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tobym\OneDrive\Documents\__PERSONAL\__Gameplan\FinalVersionForGithub\"/>
    </mc:Choice>
  </mc:AlternateContent>
  <xr:revisionPtr revIDLastSave="0" documentId="8_{D241D673-923A-46E6-8217-895CDA484BCE}" xr6:coauthVersionLast="47" xr6:coauthVersionMax="47" xr10:uidLastSave="{00000000-0000-0000-0000-000000000000}"/>
  <bookViews>
    <workbookView xWindow="-120" yWindow="-120" windowWidth="29040" windowHeight="16440" tabRatio="825" xr2:uid="{00000000-000D-0000-FFFF-FFFF00000000}"/>
  </bookViews>
  <sheets>
    <sheet name="^" sheetId="68" r:id="rId1"/>
    <sheet name="HUD" sheetId="71" r:id="rId2"/>
    <sheet name="LOGS" sheetId="67" r:id="rId3"/>
    <sheet name="PLANS" sheetId="70" r:id="rId4"/>
    <sheet name="NOTES" sheetId="94" r:id="rId5"/>
    <sheet name="TIMINGS" sheetId="82" r:id="rId6"/>
    <sheet name="MISSIONS" sheetId="69" r:id="rId7"/>
    <sheet name="ACTIONS" sheetId="16" r:id="rId8"/>
    <sheet name="PROGRESS" sheetId="43" r:id="rId9"/>
    <sheet name="JOURNEY" sheetId="85" r:id="rId10"/>
    <sheet name="BOUNTY" sheetId="77" r:id="rId11"/>
    <sheet name="MONEY" sheetId="86" r:id="rId12"/>
    <sheet name="VICTORY" sheetId="93" r:id="rId13"/>
    <sheet name="RESPITE" sheetId="89" r:id="rId14"/>
    <sheet name="GUIDE" sheetId="45" r:id="rId15"/>
    <sheet name="data" sheetId="40" r:id="rId16"/>
    <sheet name="grid" sheetId="95" state="hidden" r:id="rId17"/>
  </sheets>
  <definedNames>
    <definedName name="_xlnm._FilterDatabase" localSheetId="6" hidden="1">MISSIONS!#REF!</definedName>
    <definedName name="_xlnm._FilterDatabase" localSheetId="13" hidden="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7" i="16" l="1" a="1"/>
  <c r="BL47" i="16" s="1"/>
  <c r="DE21" i="82" l="1"/>
  <c r="DE20" i="82"/>
  <c r="DE19" i="82"/>
  <c r="DE18" i="82"/>
  <c r="DP132" i="89"/>
  <c r="DP133" i="89"/>
  <c r="DP134" i="89"/>
  <c r="DP135" i="89"/>
  <c r="BM78" i="16"/>
  <c r="BL78" i="16" a="1"/>
  <c r="BL78" i="16" s="1"/>
  <c r="BH76" i="16"/>
  <c r="BM69" i="16"/>
  <c r="BL69" i="16"/>
  <c r="BH67" i="16"/>
  <c r="BN60" i="16"/>
  <c r="BJ60" i="16" s="1"/>
  <c r="BH59" i="16"/>
  <c r="BJ58" i="16"/>
  <c r="BM47" i="16"/>
  <c r="BH45" i="16"/>
  <c r="J26" i="40" l="1"/>
  <c r="J27" i="40"/>
  <c r="J28" i="40" s="1"/>
  <c r="J29" i="40" s="1"/>
  <c r="J30" i="40" s="1"/>
  <c r="J31" i="40" s="1"/>
  <c r="J32" i="40" s="1"/>
  <c r="J33" i="40" s="1"/>
  <c r="J34" i="40" s="1"/>
  <c r="J35" i="40" s="1"/>
  <c r="J36" i="40" s="1"/>
  <c r="J37" i="40" s="1"/>
  <c r="J38" i="40" s="1"/>
  <c r="J39" i="40" s="1"/>
  <c r="J40" i="40" s="1"/>
  <c r="J41" i="40" s="1"/>
  <c r="J42" i="40" s="1"/>
  <c r="J43" i="40" s="1"/>
  <c r="J44" i="40" s="1"/>
  <c r="J45" i="40" s="1"/>
  <c r="J46" i="40" s="1"/>
  <c r="J47" i="40" s="1"/>
  <c r="J48" i="40" s="1"/>
  <c r="J49" i="40" s="1"/>
  <c r="J50" i="40" s="1"/>
  <c r="J51" i="40" s="1"/>
  <c r="J52" i="40" s="1"/>
  <c r="J53" i="40" s="1"/>
  <c r="J54" i="40" s="1"/>
  <c r="J55" i="40" s="1"/>
  <c r="J56" i="40"/>
  <c r="J57" i="40"/>
  <c r="J58" i="40"/>
  <c r="J59" i="40"/>
  <c r="J60" i="40"/>
  <c r="J61" i="40"/>
  <c r="J62" i="40"/>
  <c r="J63" i="40"/>
  <c r="J64" i="40"/>
  <c r="J65" i="40"/>
  <c r="J66" i="40"/>
  <c r="J67" i="40"/>
  <c r="J68" i="40"/>
  <c r="J69" i="40"/>
  <c r="J70" i="40"/>
  <c r="J71" i="40"/>
  <c r="J72" i="40"/>
  <c r="J73" i="40"/>
  <c r="J74" i="40"/>
  <c r="J75" i="40"/>
  <c r="J76" i="40"/>
  <c r="J77" i="40"/>
  <c r="J78" i="40"/>
  <c r="J79" i="40"/>
  <c r="J80" i="40"/>
  <c r="J81" i="40"/>
  <c r="J82" i="40"/>
  <c r="J83" i="40"/>
  <c r="J84" i="40"/>
  <c r="J85" i="40"/>
  <c r="J86" i="40"/>
  <c r="J87" i="40"/>
  <c r="J88" i="40"/>
  <c r="J89" i="40"/>
  <c r="J90" i="40"/>
  <c r="J91" i="40"/>
  <c r="J92" i="40"/>
  <c r="J93" i="40"/>
  <c r="J94" i="40"/>
  <c r="J95" i="40"/>
  <c r="J96" i="40"/>
  <c r="J97" i="40"/>
  <c r="J98" i="40"/>
  <c r="J99" i="40"/>
  <c r="J100" i="40"/>
  <c r="J101" i="40"/>
  <c r="J102" i="40"/>
  <c r="J103" i="40"/>
  <c r="J104" i="40"/>
  <c r="J105" i="40"/>
  <c r="J106" i="40"/>
  <c r="J107" i="40"/>
  <c r="J108" i="40"/>
  <c r="J109" i="40"/>
  <c r="J110" i="40"/>
  <c r="J111" i="40"/>
  <c r="J112" i="40"/>
  <c r="J113" i="40"/>
  <c r="J114" i="40"/>
  <c r="J115" i="40"/>
  <c r="J116" i="40"/>
  <c r="J117" i="40"/>
  <c r="J118" i="40"/>
  <c r="J119" i="40"/>
  <c r="J120" i="40"/>
  <c r="J121" i="40"/>
  <c r="J122" i="40"/>
  <c r="J123" i="40"/>
  <c r="J124" i="40"/>
  <c r="J125" i="40"/>
  <c r="J126" i="40"/>
  <c r="J127" i="40"/>
  <c r="J128" i="40"/>
  <c r="J129" i="40"/>
  <c r="J130" i="40"/>
  <c r="J131" i="40"/>
  <c r="J132" i="40"/>
  <c r="J133" i="40"/>
  <c r="J134" i="40"/>
  <c r="J135" i="40"/>
  <c r="J136" i="40"/>
  <c r="J137" i="40"/>
  <c r="J138" i="40"/>
  <c r="J139" i="40"/>
  <c r="J140" i="40"/>
  <c r="J141" i="40"/>
  <c r="J142" i="40"/>
  <c r="J143" i="40"/>
  <c r="J25" i="40"/>
  <c r="J24" i="40"/>
  <c r="BX33" i="40" l="1"/>
  <c r="AJ57" i="86"/>
  <c r="BX27" i="40" l="1"/>
  <c r="BX28" i="40"/>
  <c r="BX32" i="40"/>
  <c r="AY109" i="16"/>
  <c r="AU109" i="16"/>
  <c r="AU124" i="16"/>
  <c r="AY124" i="16"/>
  <c r="AY110" i="16"/>
  <c r="AY94" i="16"/>
  <c r="AU94" i="16"/>
  <c r="AY95" i="16"/>
  <c r="I45" i="40"/>
  <c r="K127" i="40"/>
  <c r="AH127" i="40"/>
  <c r="BF127" i="40"/>
  <c r="BG127" i="40"/>
  <c r="BH127" i="40" s="1"/>
  <c r="K128" i="40"/>
  <c r="AH128" i="40"/>
  <c r="BF128" i="40"/>
  <c r="BG128" i="40"/>
  <c r="BH128" i="40"/>
  <c r="K129" i="40"/>
  <c r="AH129" i="40"/>
  <c r="BF129" i="40"/>
  <c r="BG129" i="40"/>
  <c r="BH129" i="40" s="1"/>
  <c r="K130" i="40"/>
  <c r="AH130" i="40"/>
  <c r="BF130" i="40"/>
  <c r="BG130" i="40"/>
  <c r="BH130" i="40" s="1"/>
  <c r="K131" i="40"/>
  <c r="AH131" i="40"/>
  <c r="BF131" i="40"/>
  <c r="BG131" i="40"/>
  <c r="BH131" i="40" s="1"/>
  <c r="K132" i="40"/>
  <c r="AH132" i="40"/>
  <c r="BF132" i="40"/>
  <c r="BG132" i="40"/>
  <c r="BH132" i="40" s="1"/>
  <c r="K133" i="40"/>
  <c r="AH133" i="40"/>
  <c r="BF133" i="40"/>
  <c r="BG133" i="40"/>
  <c r="BH133" i="40"/>
  <c r="K134" i="40"/>
  <c r="AH134" i="40"/>
  <c r="BF134" i="40"/>
  <c r="BG134" i="40"/>
  <c r="BH134" i="40"/>
  <c r="K135" i="40"/>
  <c r="AH135" i="40"/>
  <c r="BF135" i="40"/>
  <c r="BG135" i="40"/>
  <c r="BH135" i="40" s="1"/>
  <c r="K136" i="40"/>
  <c r="AH136" i="40"/>
  <c r="BF136" i="40"/>
  <c r="BG136" i="40"/>
  <c r="BH136" i="40"/>
  <c r="K137" i="40"/>
  <c r="AH137" i="40"/>
  <c r="BF137" i="40"/>
  <c r="BG137" i="40"/>
  <c r="BH137" i="40"/>
  <c r="K138" i="40"/>
  <c r="AH138" i="40"/>
  <c r="BF138" i="40"/>
  <c r="BG138" i="40"/>
  <c r="BH138" i="40"/>
  <c r="K139" i="40"/>
  <c r="AH139" i="40"/>
  <c r="BF139" i="40"/>
  <c r="BG139" i="40"/>
  <c r="BH139" i="40" s="1"/>
  <c r="K140" i="40"/>
  <c r="AH140" i="40"/>
  <c r="BF140" i="40"/>
  <c r="BG140" i="40"/>
  <c r="BH140" i="40" s="1"/>
  <c r="K141" i="40"/>
  <c r="AH141" i="40"/>
  <c r="BF141" i="40"/>
  <c r="BG141" i="40"/>
  <c r="BH141" i="40"/>
  <c r="K142" i="40"/>
  <c r="AH142" i="40"/>
  <c r="BF142" i="40"/>
  <c r="BG142" i="40"/>
  <c r="BH142" i="40"/>
  <c r="K143" i="40"/>
  <c r="AH143" i="40"/>
  <c r="BF143" i="40"/>
  <c r="BG143" i="40"/>
  <c r="BH143" i="40" s="1"/>
  <c r="ID54" i="40"/>
  <c r="IE54" i="40"/>
  <c r="IF54" i="40"/>
  <c r="IG54" i="40"/>
  <c r="IH54" i="40"/>
  <c r="II54" i="40"/>
  <c r="IL54" i="40"/>
  <c r="IM54" i="40"/>
  <c r="CP112" i="77"/>
  <c r="CP111" i="77"/>
  <c r="JM115" i="40" l="1"/>
  <c r="JM91" i="40"/>
  <c r="CN47" i="16"/>
  <c r="CN46" i="16"/>
  <c r="JH140" i="40" l="1"/>
  <c r="BY49" i="68"/>
  <c r="CZ73" i="70"/>
  <c r="CZ72" i="70"/>
  <c r="CZ36" i="40"/>
  <c r="AX150" i="85"/>
  <c r="AX148" i="85"/>
  <c r="AX146" i="85"/>
  <c r="AX144" i="85"/>
  <c r="AX142" i="85"/>
  <c r="AX140" i="85"/>
  <c r="AX138" i="85"/>
  <c r="AX136" i="85"/>
  <c r="AX134" i="85"/>
  <c r="AX132" i="85"/>
  <c r="AX130" i="85"/>
  <c r="AX128" i="85"/>
  <c r="AX126" i="85"/>
  <c r="AX124" i="85"/>
  <c r="AX122" i="85"/>
  <c r="AX120" i="85"/>
  <c r="AX118" i="85"/>
  <c r="AX116" i="85"/>
  <c r="AX114" i="85"/>
  <c r="AX112" i="85"/>
  <c r="AX110" i="85"/>
  <c r="AX108" i="85"/>
  <c r="AX106" i="85"/>
  <c r="AX54" i="85"/>
  <c r="AX52" i="85"/>
  <c r="AX50" i="85"/>
  <c r="AX48" i="85"/>
  <c r="AX46" i="85"/>
  <c r="AX44" i="85"/>
  <c r="AX34" i="85"/>
  <c r="AX32" i="85"/>
  <c r="AX30" i="85"/>
  <c r="AX28" i="85"/>
  <c r="DC87" i="86"/>
  <c r="CF108" i="86"/>
  <c r="CF91" i="86"/>
  <c r="CF90" i="86"/>
  <c r="JF91" i="40"/>
  <c r="JF92" i="40"/>
  <c r="JF93" i="40"/>
  <c r="JF94" i="40"/>
  <c r="JF95" i="40"/>
  <c r="JF96" i="40"/>
  <c r="JF97" i="40"/>
  <c r="JF98" i="40"/>
  <c r="JF99" i="40"/>
  <c r="JF100" i="40"/>
  <c r="JF101" i="40"/>
  <c r="JF102" i="40"/>
  <c r="JF103" i="40"/>
  <c r="JF104" i="40"/>
  <c r="JF105" i="40"/>
  <c r="JF106" i="40"/>
  <c r="JF107" i="40"/>
  <c r="JF108" i="40"/>
  <c r="JF109" i="40"/>
  <c r="JF110" i="40"/>
  <c r="JF111" i="40"/>
  <c r="JF112" i="40"/>
  <c r="JF113" i="40"/>
  <c r="JF114" i="40"/>
  <c r="JF49" i="40"/>
  <c r="JF50" i="40"/>
  <c r="JF51" i="40"/>
  <c r="JF52" i="40"/>
  <c r="JF53" i="40"/>
  <c r="JF54" i="40"/>
  <c r="JF55" i="40"/>
  <c r="JF48" i="40"/>
  <c r="JM54" i="40"/>
  <c r="JM52" i="40"/>
  <c r="JM53" i="40"/>
  <c r="JM51" i="40"/>
  <c r="JM49" i="40"/>
  <c r="B77" i="45"/>
  <c r="B75" i="45" s="1" a="1"/>
  <c r="B75" i="45" s="1"/>
  <c r="CR57" i="77"/>
  <c r="BW47" i="68"/>
  <c r="BS45" i="68" s="1" a="1"/>
  <c r="BS45" i="68" s="1"/>
  <c r="C58" i="68"/>
  <c r="K58" i="68"/>
  <c r="BQ58" i="68"/>
  <c r="BQ55" i="68"/>
  <c r="BQ52" i="68"/>
  <c r="BY52" i="68"/>
  <c r="BY55" i="68"/>
  <c r="BY58" i="68"/>
  <c r="F9" i="45"/>
  <c r="C9" i="45"/>
  <c r="F3" i="70"/>
  <c r="AH16" i="16" s="1"/>
  <c r="DK26" i="16"/>
  <c r="DP26" i="16"/>
  <c r="EV11" i="68" a="1"/>
  <c r="EV11" i="68" s="1"/>
  <c r="F29" i="68"/>
  <c r="F30" i="68"/>
  <c r="DP36" i="40" l="1"/>
  <c r="DE36" i="40"/>
  <c r="DC36" i="40"/>
  <c r="DQ36" i="40"/>
  <c r="DF36" i="40"/>
  <c r="DI36" i="40"/>
  <c r="DJ36" i="40"/>
  <c r="DR36" i="40"/>
  <c r="DG36" i="40"/>
  <c r="DT36" i="40"/>
  <c r="DM36" i="40"/>
  <c r="DS36" i="40"/>
  <c r="DH36" i="40"/>
  <c r="DN36" i="40"/>
  <c r="DL36" i="40"/>
  <c r="DK36" i="40"/>
  <c r="DO36" i="40"/>
  <c r="DD36" i="40"/>
  <c r="AL144" i="71"/>
  <c r="AG18" i="77"/>
  <c r="AK2" i="69"/>
  <c r="AG13" i="16"/>
  <c r="DK31" i="16"/>
  <c r="CI35" i="16" s="1" a="1"/>
  <c r="CI35" i="16" s="1"/>
  <c r="S36" i="45" a="1"/>
  <c r="S36" i="45" s="1"/>
  <c r="L36" i="45" a="1"/>
  <c r="L36" i="45" s="1"/>
  <c r="F36" i="45"/>
  <c r="S35" i="45" a="1"/>
  <c r="S35" i="45" s="1"/>
  <c r="O35" i="45" s="1" a="1"/>
  <c r="O35" i="45" s="1"/>
  <c r="N35" i="45"/>
  <c r="L35" i="45"/>
  <c r="S34" i="45" a="1"/>
  <c r="S34" i="45" s="1"/>
  <c r="L34" i="45" a="1"/>
  <c r="L34" i="45" s="1"/>
  <c r="F34" i="45"/>
  <c r="S33" i="45" a="1"/>
  <c r="S33" i="45" s="1"/>
  <c r="N33" i="45"/>
  <c r="L33" i="45"/>
  <c r="L32" i="45" a="1"/>
  <c r="L32" i="45" s="1"/>
  <c r="F32" i="45"/>
  <c r="N31" i="45"/>
  <c r="L30" i="45" a="1"/>
  <c r="L30" i="45" s="1"/>
  <c r="F30" i="45"/>
  <c r="N29" i="45"/>
  <c r="S28" i="45" a="1"/>
  <c r="S28" i="45" s="1"/>
  <c r="L27" i="45" s="1"/>
  <c r="L28" i="45" a="1"/>
  <c r="L28" i="45" s="1"/>
  <c r="F28" i="45"/>
  <c r="S27" i="45" a="1"/>
  <c r="S27" i="45" s="1"/>
  <c r="N27" i="45"/>
  <c r="L26" i="45" a="1"/>
  <c r="L26" i="45" s="1"/>
  <c r="F26" i="45"/>
  <c r="N25" i="45"/>
  <c r="S24" i="45" a="1"/>
  <c r="S24" i="45" s="1"/>
  <c r="L24" i="45" a="1"/>
  <c r="L24" i="45" s="1"/>
  <c r="F24" i="45"/>
  <c r="S23" i="45" a="1"/>
  <c r="S23" i="45" s="1"/>
  <c r="N23" i="45"/>
  <c r="L22" i="45" a="1"/>
  <c r="L22" i="45" s="1"/>
  <c r="F22" i="45"/>
  <c r="N21" i="45"/>
  <c r="L20" i="45" a="1"/>
  <c r="L20" i="45" s="1"/>
  <c r="F20" i="45"/>
  <c r="N19" i="45"/>
  <c r="L18" i="45" a="1"/>
  <c r="L18" i="45" s="1"/>
  <c r="F18" i="45"/>
  <c r="N17" i="45"/>
  <c r="L16" i="45" a="1"/>
  <c r="L16" i="45" s="1"/>
  <c r="F16" i="45"/>
  <c r="N15" i="45"/>
  <c r="L14" i="45" a="1"/>
  <c r="L14" i="45" s="1"/>
  <c r="F14" i="45"/>
  <c r="N13" i="45"/>
  <c r="L23" i="45" l="1"/>
  <c r="O27" i="45" a="1"/>
  <c r="O27" i="45" s="1"/>
  <c r="P28" i="45" a="1"/>
  <c r="P28" i="45" s="1"/>
  <c r="O23" i="45" a="1"/>
  <c r="O23" i="45" s="1"/>
  <c r="P24" i="45" a="1"/>
  <c r="P24" i="45" s="1"/>
  <c r="P34" i="45" a="1"/>
  <c r="P34" i="45" s="1"/>
  <c r="O33" i="45" a="1"/>
  <c r="O33" i="45" s="1"/>
  <c r="P36" i="45" a="1"/>
  <c r="P36" i="45" s="1"/>
  <c r="L12" i="45" a="1"/>
  <c r="L12" i="45" s="1"/>
  <c r="CP2" i="77" l="1"/>
  <c r="DB83" i="86"/>
  <c r="DJ7" i="68"/>
  <c r="DP6" i="68"/>
  <c r="DJ6" i="68"/>
  <c r="AG57" i="77"/>
  <c r="CD71" i="77"/>
  <c r="CC71" i="77" s="1"/>
  <c r="CD70" i="77"/>
  <c r="CC70" i="77" s="1"/>
  <c r="CD69" i="77"/>
  <c r="CD68" i="77"/>
  <c r="CC68" i="77" s="1"/>
  <c r="CD67" i="77"/>
  <c r="CD66" i="77"/>
  <c r="CC66" i="77" s="1"/>
  <c r="CD65" i="77"/>
  <c r="BI151" i="77"/>
  <c r="JM41" i="40" s="1"/>
  <c r="BI149" i="77"/>
  <c r="JM40" i="40" s="1"/>
  <c r="BI147" i="77"/>
  <c r="JM39" i="40" s="1"/>
  <c r="BI145" i="77"/>
  <c r="JM38" i="40" s="1"/>
  <c r="BI143" i="77"/>
  <c r="JM37" i="40" s="1"/>
  <c r="BI141" i="77"/>
  <c r="JM36" i="40" s="1"/>
  <c r="BI139" i="77"/>
  <c r="JM35" i="40" s="1"/>
  <c r="BI137" i="77"/>
  <c r="JM34" i="40" s="1"/>
  <c r="BI135" i="77"/>
  <c r="JM33" i="40" s="1"/>
  <c r="AV151" i="77"/>
  <c r="JL41" i="40" s="1"/>
  <c r="AV149" i="77"/>
  <c r="JL40" i="40" s="1"/>
  <c r="AV147" i="77"/>
  <c r="JL39" i="40" s="1"/>
  <c r="AV145" i="77"/>
  <c r="JL38" i="40" s="1"/>
  <c r="AV143" i="77"/>
  <c r="JL37" i="40" s="1"/>
  <c r="AV141" i="77"/>
  <c r="JL36" i="40" s="1"/>
  <c r="AV139" i="77"/>
  <c r="JL35" i="40" s="1"/>
  <c r="AV137" i="77"/>
  <c r="JL34" i="40" s="1"/>
  <c r="AV135" i="77"/>
  <c r="JL33" i="40" s="1"/>
  <c r="CF92" i="86" s="1"/>
  <c r="AH151" i="77"/>
  <c r="JK41" i="40" s="1"/>
  <c r="AH149" i="77"/>
  <c r="JK40" i="40" s="1"/>
  <c r="AH147" i="77"/>
  <c r="JK39" i="40" s="1"/>
  <c r="AH145" i="77"/>
  <c r="JK38" i="40" s="1"/>
  <c r="AH143" i="77"/>
  <c r="AH141" i="77"/>
  <c r="AH139" i="77"/>
  <c r="JK35" i="40" s="1"/>
  <c r="AH137" i="77"/>
  <c r="JK34" i="40" s="1"/>
  <c r="AH135" i="77"/>
  <c r="JK33" i="40" s="1"/>
  <c r="U151" i="77"/>
  <c r="JJ41" i="40" s="1"/>
  <c r="U149" i="77"/>
  <c r="JJ40" i="40" s="1"/>
  <c r="U147" i="77"/>
  <c r="JJ39" i="40" s="1"/>
  <c r="U145" i="77"/>
  <c r="JJ38" i="40" s="1"/>
  <c r="U143" i="77"/>
  <c r="JJ37" i="40" s="1"/>
  <c r="U141" i="77"/>
  <c r="JJ36" i="40" s="1"/>
  <c r="U139" i="77"/>
  <c r="JJ35" i="40" s="1"/>
  <c r="U137" i="77"/>
  <c r="JJ34" i="40" s="1"/>
  <c r="U135" i="77"/>
  <c r="JJ33" i="40" s="1"/>
  <c r="H151" i="77"/>
  <c r="JI41" i="40" s="1"/>
  <c r="H149" i="77"/>
  <c r="JI40" i="40" s="1"/>
  <c r="H147" i="77"/>
  <c r="JI39" i="40" s="1"/>
  <c r="CF112" i="86" s="1"/>
  <c r="H145" i="77"/>
  <c r="JI38" i="40" s="1"/>
  <c r="CF109" i="86" s="1"/>
  <c r="H143" i="77"/>
  <c r="JI37" i="40" s="1"/>
  <c r="H141" i="77"/>
  <c r="JI36" i="40" s="1"/>
  <c r="H139" i="77"/>
  <c r="JI35" i="40" s="1"/>
  <c r="H137" i="77"/>
  <c r="JI34" i="40" s="1"/>
  <c r="H135" i="77"/>
  <c r="JI33" i="40" s="1"/>
  <c r="BI126" i="77"/>
  <c r="JH41" i="40" s="1"/>
  <c r="BI124" i="77"/>
  <c r="JH40" i="40" s="1"/>
  <c r="BI122" i="77"/>
  <c r="JH39" i="40" s="1"/>
  <c r="BI120" i="77"/>
  <c r="JH38" i="40" s="1"/>
  <c r="BI118" i="77"/>
  <c r="JH37" i="40" s="1"/>
  <c r="BI116" i="77"/>
  <c r="JH36" i="40" s="1"/>
  <c r="BI114" i="77"/>
  <c r="JH35" i="40" s="1"/>
  <c r="BI112" i="77"/>
  <c r="JH34" i="40" s="1"/>
  <c r="BI110" i="77"/>
  <c r="JH33" i="40" s="1"/>
  <c r="AV126" i="77"/>
  <c r="JG41" i="40" s="1"/>
  <c r="AV124" i="77"/>
  <c r="JG40" i="40" s="1"/>
  <c r="AV122" i="77"/>
  <c r="JG39" i="40" s="1"/>
  <c r="AV120" i="77"/>
  <c r="JG38" i="40" s="1"/>
  <c r="AV118" i="77"/>
  <c r="JG37" i="40" s="1"/>
  <c r="AV116" i="77"/>
  <c r="JG36" i="40" s="1"/>
  <c r="AV114" i="77"/>
  <c r="JG35" i="40" s="1"/>
  <c r="AV112" i="77"/>
  <c r="JG34" i="40" s="1"/>
  <c r="AV110" i="77"/>
  <c r="JG33" i="40" s="1"/>
  <c r="AH126" i="77"/>
  <c r="JF41" i="40" s="1"/>
  <c r="AH124" i="77"/>
  <c r="JF40" i="40" s="1"/>
  <c r="AH122" i="77"/>
  <c r="JF39" i="40" s="1"/>
  <c r="AH120" i="77"/>
  <c r="JF38" i="40" s="1"/>
  <c r="AH118" i="77"/>
  <c r="JF37" i="40" s="1"/>
  <c r="AH116" i="77"/>
  <c r="JF36" i="40" s="1"/>
  <c r="CF106" i="86" s="1"/>
  <c r="AH114" i="77"/>
  <c r="JF35" i="40" s="1"/>
  <c r="AH112" i="77"/>
  <c r="JF34" i="40" s="1"/>
  <c r="AH110" i="77"/>
  <c r="JF33" i="40" s="1"/>
  <c r="U126" i="77"/>
  <c r="JE41" i="40" s="1"/>
  <c r="U124" i="77"/>
  <c r="JE40" i="40" s="1"/>
  <c r="U122" i="77"/>
  <c r="JE39" i="40" s="1"/>
  <c r="U120" i="77"/>
  <c r="JE38" i="40" s="1"/>
  <c r="U118" i="77"/>
  <c r="JE37" i="40" s="1"/>
  <c r="U116" i="77"/>
  <c r="JE36" i="40" s="1"/>
  <c r="U114" i="77"/>
  <c r="JE35" i="40" s="1"/>
  <c r="U112" i="77"/>
  <c r="JE34" i="40" s="1"/>
  <c r="U110" i="77"/>
  <c r="JE33" i="40" s="1"/>
  <c r="BI133" i="77"/>
  <c r="AV133" i="77"/>
  <c r="JL32" i="40" s="1"/>
  <c r="AH133" i="77"/>
  <c r="U133" i="77"/>
  <c r="H133" i="77"/>
  <c r="BI108" i="77"/>
  <c r="AV108" i="77"/>
  <c r="BI130" i="77"/>
  <c r="AV130" i="77"/>
  <c r="AH130" i="77"/>
  <c r="U130" i="77"/>
  <c r="H130" i="77"/>
  <c r="BI105" i="77"/>
  <c r="AV105" i="77"/>
  <c r="AH108" i="77"/>
  <c r="JF32" i="40" s="1"/>
  <c r="AH105" i="77"/>
  <c r="U108" i="77"/>
  <c r="U105" i="77"/>
  <c r="H126" i="77"/>
  <c r="JD41" i="40" s="1"/>
  <c r="H124" i="77"/>
  <c r="JD40" i="40" s="1"/>
  <c r="H122" i="77"/>
  <c r="JD39" i="40" s="1"/>
  <c r="H120" i="77"/>
  <c r="JD38" i="40" s="1"/>
  <c r="H118" i="77"/>
  <c r="JD37" i="40" s="1"/>
  <c r="H116" i="77"/>
  <c r="JD36" i="40" s="1"/>
  <c r="H114" i="77"/>
  <c r="JD35" i="40" s="1"/>
  <c r="H112" i="77"/>
  <c r="JD34" i="40" s="1"/>
  <c r="H110" i="77"/>
  <c r="JD33" i="40" s="1"/>
  <c r="H108" i="77"/>
  <c r="H105" i="77"/>
  <c r="BQ29" i="85"/>
  <c r="BQ23" i="85"/>
  <c r="BQ17" i="85"/>
  <c r="BQ11" i="85"/>
  <c r="BH23" i="85"/>
  <c r="BH17" i="85"/>
  <c r="BQ148" i="85"/>
  <c r="BH148" i="85"/>
  <c r="BQ142" i="85"/>
  <c r="BH142" i="85"/>
  <c r="BQ136" i="85"/>
  <c r="BH136" i="85"/>
  <c r="BQ130" i="85"/>
  <c r="BH130" i="85"/>
  <c r="BQ124" i="85"/>
  <c r="BH124" i="85"/>
  <c r="BQ118" i="85"/>
  <c r="BH118" i="85"/>
  <c r="BQ112" i="85"/>
  <c r="BH112" i="85"/>
  <c r="BQ106" i="85"/>
  <c r="BH106" i="85"/>
  <c r="R148" i="85"/>
  <c r="I148" i="85"/>
  <c r="R142" i="85"/>
  <c r="I142" i="85"/>
  <c r="R136" i="85"/>
  <c r="I136" i="85"/>
  <c r="R130" i="85"/>
  <c r="I130" i="85"/>
  <c r="R124" i="85"/>
  <c r="I124" i="85"/>
  <c r="R118" i="85"/>
  <c r="I118" i="85"/>
  <c r="R112" i="85"/>
  <c r="I112" i="85"/>
  <c r="R106" i="85"/>
  <c r="I106" i="85"/>
  <c r="F12" i="45"/>
  <c r="N11" i="45"/>
  <c r="JK37" i="40"/>
  <c r="JK36" i="40"/>
  <c r="JM32" i="40"/>
  <c r="JK32" i="40"/>
  <c r="JJ32" i="40"/>
  <c r="JI32" i="40"/>
  <c r="JH32" i="40"/>
  <c r="JG32" i="40"/>
  <c r="JE32" i="40"/>
  <c r="JD32" i="40"/>
  <c r="CF97" i="86" l="1"/>
  <c r="CF95" i="86"/>
  <c r="CF105" i="86"/>
  <c r="CF113" i="86"/>
  <c r="CF102" i="86"/>
  <c r="CF103" i="86"/>
  <c r="CF101" i="86"/>
  <c r="CF104" i="86"/>
  <c r="CF100" i="86"/>
  <c r="CF98" i="86"/>
  <c r="CF110" i="86"/>
  <c r="CF96" i="86"/>
  <c r="CF93" i="86"/>
  <c r="CF111" i="86"/>
  <c r="CF94" i="86"/>
  <c r="CF99" i="86"/>
  <c r="CF107" i="86"/>
  <c r="CD60" i="77"/>
  <c r="CJ60" i="77"/>
  <c r="G125" i="77"/>
  <c r="T138" i="77"/>
  <c r="BH142" i="77"/>
  <c r="AG132" i="77"/>
  <c r="AG134" i="77"/>
  <c r="AG148" i="77"/>
  <c r="AG150" i="77"/>
  <c r="G140" i="77"/>
  <c r="AU144" i="77"/>
  <c r="G142" i="77"/>
  <c r="AU146" i="77"/>
  <c r="T136" i="77"/>
  <c r="BH140" i="77"/>
  <c r="G136" i="77"/>
  <c r="T132" i="77"/>
  <c r="T148" i="77"/>
  <c r="AG144" i="77"/>
  <c r="AU140" i="77"/>
  <c r="BH136" i="77"/>
  <c r="G138" i="77"/>
  <c r="T134" i="77"/>
  <c r="T150" i="77"/>
  <c r="AG146" i="77"/>
  <c r="AU142" i="77"/>
  <c r="BH138" i="77"/>
  <c r="G144" i="77"/>
  <c r="T140" i="77"/>
  <c r="AG136" i="77"/>
  <c r="AU132" i="77"/>
  <c r="AU148" i="77"/>
  <c r="BH144" i="77"/>
  <c r="G146" i="77"/>
  <c r="T142" i="77"/>
  <c r="AG138" i="77"/>
  <c r="AU134" i="77"/>
  <c r="AU150" i="77"/>
  <c r="BH146" i="77"/>
  <c r="G132" i="77"/>
  <c r="G148" i="77"/>
  <c r="T144" i="77"/>
  <c r="AG140" i="77"/>
  <c r="AU136" i="77"/>
  <c r="BH132" i="77"/>
  <c r="BH148" i="77"/>
  <c r="G134" i="77"/>
  <c r="G150" i="77"/>
  <c r="T146" i="77"/>
  <c r="AG142" i="77"/>
  <c r="AU138" i="77"/>
  <c r="BH134" i="77"/>
  <c r="BH150" i="77"/>
  <c r="BH125" i="77"/>
  <c r="AG119" i="77"/>
  <c r="AU115" i="77"/>
  <c r="BH111" i="77"/>
  <c r="T109" i="77"/>
  <c r="T125" i="77"/>
  <c r="AG121" i="77"/>
  <c r="AU117" i="77"/>
  <c r="BH113" i="77"/>
  <c r="G117" i="77"/>
  <c r="BH115" i="77"/>
  <c r="T121" i="77"/>
  <c r="T107" i="77"/>
  <c r="T111" i="77"/>
  <c r="AU119" i="77"/>
  <c r="T113" i="77"/>
  <c r="AG109" i="77"/>
  <c r="AG125" i="77"/>
  <c r="AU121" i="77"/>
  <c r="BH117" i="77"/>
  <c r="T123" i="77"/>
  <c r="AG107" i="77"/>
  <c r="AG123" i="77"/>
  <c r="CC69" i="77"/>
  <c r="T115" i="77"/>
  <c r="AG111" i="77"/>
  <c r="AU107" i="77"/>
  <c r="AU123" i="77"/>
  <c r="BH119" i="77"/>
  <c r="BH121" i="77"/>
  <c r="T117" i="77"/>
  <c r="AG113" i="77"/>
  <c r="AU109" i="77"/>
  <c r="AU125" i="77"/>
  <c r="G109" i="77"/>
  <c r="T119" i="77"/>
  <c r="AG115" i="77"/>
  <c r="AU111" i="77"/>
  <c r="BH107" i="77"/>
  <c r="BH123" i="77"/>
  <c r="AG117" i="77"/>
  <c r="AU113" i="77"/>
  <c r="BH109" i="77"/>
  <c r="G123" i="77"/>
  <c r="G119" i="77"/>
  <c r="G121" i="77"/>
  <c r="G115" i="77"/>
  <c r="CC67" i="77"/>
  <c r="G113" i="77"/>
  <c r="G111" i="77"/>
  <c r="CC65" i="77"/>
  <c r="G107" i="77" s="1"/>
  <c r="BQ49" i="68"/>
  <c r="F28" i="89" a="1"/>
  <c r="F28" i="89" s="1"/>
  <c r="F29" i="89" a="1"/>
  <c r="F29" i="89" s="1"/>
  <c r="F30" i="89" a="1"/>
  <c r="F30" i="89" s="1"/>
  <c r="F31" i="89" a="1"/>
  <c r="F31" i="89" s="1"/>
  <c r="F32" i="89" a="1"/>
  <c r="F32" i="89" s="1"/>
  <c r="F33" i="89" a="1"/>
  <c r="F33" i="89" s="1"/>
  <c r="F34" i="89" a="1"/>
  <c r="F34" i="89" s="1"/>
  <c r="F35" i="89" a="1"/>
  <c r="F35" i="89" s="1"/>
  <c r="F36" i="89" s="1" a="1"/>
  <c r="F36" i="89" s="1"/>
  <c r="AB17" i="77"/>
  <c r="CS90" i="86" l="1" a="1"/>
  <c r="CS90" i="86" s="1"/>
  <c r="I92" i="86" s="1"/>
  <c r="BO81" i="86"/>
  <c r="K81" i="86"/>
  <c r="CS83" i="86"/>
  <c r="CS85" i="86" s="1"/>
  <c r="DB85" i="86"/>
  <c r="CT87" i="86"/>
  <c r="DF6" i="68" s="1"/>
  <c r="DF7" i="68"/>
  <c r="BR90" i="77"/>
  <c r="BM88" i="77" s="1"/>
  <c r="BI90" i="77"/>
  <c r="BD88" i="77" s="1"/>
  <c r="AZ90" i="77"/>
  <c r="AU88" i="77" s="1"/>
  <c r="AQ90" i="77"/>
  <c r="AL88" i="77" s="1"/>
  <c r="AH90" i="77"/>
  <c r="AC88" i="77" s="1"/>
  <c r="Y90" i="77"/>
  <c r="T88" i="77" s="1"/>
  <c r="P90" i="77"/>
  <c r="K88" i="77" s="1"/>
  <c r="P89" i="77"/>
  <c r="FI21" i="68"/>
  <c r="DC21" i="68"/>
  <c r="DT10" i="68"/>
  <c r="DT11" i="68"/>
  <c r="FI28" i="68"/>
  <c r="FE26" i="68"/>
  <c r="FA24" i="68"/>
  <c r="FG22" i="68"/>
  <c r="EW19" i="68"/>
  <c r="EW22" i="68"/>
  <c r="ES20" i="68"/>
  <c r="EP17" i="68"/>
  <c r="EL14" i="68"/>
  <c r="DO19" i="68"/>
  <c r="DE23" i="68"/>
  <c r="DC28" i="68"/>
  <c r="DG26" i="68"/>
  <c r="DK24" i="68"/>
  <c r="DO22" i="68"/>
  <c r="DS20" i="68"/>
  <c r="DW17" i="68"/>
  <c r="DZ14" i="68"/>
  <c r="EH5" i="68"/>
  <c r="ED5" i="68"/>
  <c r="EB11" i="68"/>
  <c r="EJ11" i="68"/>
  <c r="EP26" i="68"/>
  <c r="EN26" i="68"/>
  <c r="EZ30" i="68"/>
  <c r="EX30" i="68"/>
  <c r="DN30" i="68"/>
  <c r="DL30" i="68"/>
  <c r="EG22" i="68"/>
  <c r="EE22" i="68"/>
  <c r="DW26" i="68"/>
  <c r="DU26" i="68"/>
  <c r="FH30" i="68"/>
  <c r="FG30" i="68"/>
  <c r="FD28" i="68"/>
  <c r="FC28" i="68"/>
  <c r="EZ26" i="68"/>
  <c r="EY26" i="68"/>
  <c r="EV24" i="68"/>
  <c r="EU24" i="68"/>
  <c r="ER22" i="68"/>
  <c r="EQ22" i="68"/>
  <c r="EO19" i="68"/>
  <c r="EN19" i="68"/>
  <c r="DE30" i="68"/>
  <c r="DD30" i="68"/>
  <c r="DI28" i="68"/>
  <c r="DH28" i="68"/>
  <c r="DM26" i="68"/>
  <c r="DL26" i="68"/>
  <c r="DQ24" i="68"/>
  <c r="DP24" i="68"/>
  <c r="DU22" i="68"/>
  <c r="DT22" i="68"/>
  <c r="DY19" i="68"/>
  <c r="DX19" i="68"/>
  <c r="EG16" i="68"/>
  <c r="EE16" i="68"/>
  <c r="EK16" i="68"/>
  <c r="EJ16" i="68"/>
  <c r="EB16" i="68"/>
  <c r="EA16" i="68"/>
  <c r="EI13" i="68"/>
  <c r="EH13" i="68"/>
  <c r="ED13" i="68"/>
  <c r="EC13" i="68"/>
  <c r="DI11" i="68"/>
  <c r="DI10" i="68"/>
  <c r="BY195" i="16"/>
  <c r="BY194" i="16"/>
  <c r="BY193" i="16"/>
  <c r="BY192" i="16"/>
  <c r="BY191" i="16"/>
  <c r="BY190" i="16"/>
  <c r="BY189" i="16"/>
  <c r="BY188" i="16"/>
  <c r="BY187" i="16"/>
  <c r="BY186" i="16"/>
  <c r="BY185" i="16"/>
  <c r="BY184" i="16"/>
  <c r="BY183" i="16"/>
  <c r="BY182" i="16"/>
  <c r="BY181" i="16"/>
  <c r="BY180" i="16"/>
  <c r="BY179" i="16"/>
  <c r="BY178" i="16"/>
  <c r="BY177" i="16"/>
  <c r="BY176" i="16"/>
  <c r="BY175" i="16"/>
  <c r="BY174" i="16"/>
  <c r="BY173" i="16"/>
  <c r="BY172" i="16"/>
  <c r="BY171" i="16"/>
  <c r="BY170" i="16"/>
  <c r="BY169" i="16"/>
  <c r="BY168" i="16"/>
  <c r="BY167" i="16"/>
  <c r="BY166" i="16"/>
  <c r="BY165" i="16"/>
  <c r="BY164" i="16"/>
  <c r="BY163" i="16"/>
  <c r="BY162" i="16"/>
  <c r="BY161" i="16"/>
  <c r="BY160" i="16"/>
  <c r="BY159" i="16"/>
  <c r="BY158" i="16"/>
  <c r="BY157" i="16"/>
  <c r="BY156" i="16"/>
  <c r="BY155" i="16"/>
  <c r="BY154" i="16"/>
  <c r="BY153" i="16"/>
  <c r="BY152" i="16"/>
  <c r="BY151" i="16"/>
  <c r="BY150" i="16"/>
  <c r="BY149" i="16"/>
  <c r="BY148" i="16"/>
  <c r="BY147" i="16"/>
  <c r="BY146" i="16"/>
  <c r="BY145" i="16"/>
  <c r="BY144" i="16"/>
  <c r="BY143" i="16"/>
  <c r="BY142" i="16"/>
  <c r="BY141" i="16"/>
  <c r="BY140" i="16"/>
  <c r="BY139" i="16"/>
  <c r="BY138" i="16"/>
  <c r="BY137" i="16"/>
  <c r="BY136" i="16"/>
  <c r="BY135" i="16"/>
  <c r="BY134" i="16"/>
  <c r="BY133" i="16"/>
  <c r="BY132" i="16"/>
  <c r="BY131" i="16"/>
  <c r="BY130" i="16"/>
  <c r="BY129" i="16"/>
  <c r="BY128" i="16"/>
  <c r="BY127" i="16"/>
  <c r="BY126" i="16"/>
  <c r="BY125" i="16"/>
  <c r="BY124" i="16"/>
  <c r="BY123" i="16"/>
  <c r="BY122" i="16"/>
  <c r="BY121" i="16"/>
  <c r="BY120" i="16"/>
  <c r="BY119" i="16"/>
  <c r="BY118" i="16"/>
  <c r="BY117" i="16"/>
  <c r="BY116" i="16"/>
  <c r="BY115" i="16"/>
  <c r="BY114" i="16"/>
  <c r="BY113" i="16"/>
  <c r="BY112" i="16"/>
  <c r="BY111" i="16"/>
  <c r="BY110" i="16"/>
  <c r="BY109" i="16"/>
  <c r="BY108" i="16"/>
  <c r="BY107" i="16"/>
  <c r="BY106" i="16"/>
  <c r="BY105" i="16"/>
  <c r="BY104" i="16"/>
  <c r="BY103" i="16"/>
  <c r="BY102" i="16"/>
  <c r="BY101" i="16"/>
  <c r="BY100" i="16"/>
  <c r="BY99" i="16"/>
  <c r="BY98" i="16"/>
  <c r="BY97" i="16"/>
  <c r="BY96" i="16"/>
  <c r="BY95" i="16"/>
  <c r="BY94" i="16"/>
  <c r="BY93" i="16"/>
  <c r="BY92" i="16"/>
  <c r="BY91" i="16"/>
  <c r="BY90" i="16"/>
  <c r="BY89" i="16"/>
  <c r="BY88" i="16"/>
  <c r="BY87" i="16"/>
  <c r="BY86" i="16"/>
  <c r="BY85" i="16"/>
  <c r="BY84" i="16"/>
  <c r="BY83" i="16"/>
  <c r="BY82" i="16"/>
  <c r="BY81" i="16"/>
  <c r="BY80" i="16"/>
  <c r="BY79" i="16"/>
  <c r="BY78" i="16"/>
  <c r="BY77" i="16"/>
  <c r="BY76" i="16"/>
  <c r="BY75" i="16"/>
  <c r="BY74" i="16"/>
  <c r="BY73" i="16"/>
  <c r="BY72" i="16"/>
  <c r="BY71" i="16"/>
  <c r="BY70" i="16"/>
  <c r="BY69" i="16"/>
  <c r="BY68" i="16"/>
  <c r="BY67" i="16"/>
  <c r="BY66" i="16"/>
  <c r="BY65" i="16"/>
  <c r="BY64" i="16"/>
  <c r="BY63" i="16"/>
  <c r="BY62" i="16"/>
  <c r="BY61" i="16"/>
  <c r="BY60" i="16"/>
  <c r="BY59" i="16"/>
  <c r="BY58" i="16"/>
  <c r="BY57" i="16"/>
  <c r="BY56" i="16"/>
  <c r="K65" i="16"/>
  <c r="K66" i="16"/>
  <c r="K67" i="16"/>
  <c r="K68" i="16"/>
  <c r="K69" i="16"/>
  <c r="K70" i="16"/>
  <c r="K71" i="16"/>
  <c r="K72" i="16"/>
  <c r="K73" i="16"/>
  <c r="K74" i="16"/>
  <c r="K75" i="16"/>
  <c r="K76" i="16"/>
  <c r="K77" i="16"/>
  <c r="K78" i="16"/>
  <c r="K79" i="16"/>
  <c r="K80" i="16"/>
  <c r="K81" i="16"/>
  <c r="K82" i="16"/>
  <c r="K83" i="16"/>
  <c r="K84" i="16"/>
  <c r="K85" i="16"/>
  <c r="K86" i="16"/>
  <c r="K87" i="16"/>
  <c r="K88" i="16"/>
  <c r="K89" i="16"/>
  <c r="K90" i="16"/>
  <c r="K91" i="16"/>
  <c r="K92" i="16"/>
  <c r="K93" i="16"/>
  <c r="K94" i="16"/>
  <c r="K95" i="16"/>
  <c r="K96" i="16"/>
  <c r="K97" i="16"/>
  <c r="K98" i="16"/>
  <c r="K99" i="16"/>
  <c r="K100" i="16"/>
  <c r="K101" i="16"/>
  <c r="K102" i="16"/>
  <c r="K103" i="16"/>
  <c r="K104" i="16"/>
  <c r="K105" i="16"/>
  <c r="K106" i="16"/>
  <c r="K107" i="16"/>
  <c r="K108" i="16"/>
  <c r="K109" i="16"/>
  <c r="K110" i="16"/>
  <c r="K111" i="16"/>
  <c r="K112" i="16"/>
  <c r="K113" i="16"/>
  <c r="K114" i="16"/>
  <c r="K115" i="16"/>
  <c r="K116" i="16"/>
  <c r="K117" i="16"/>
  <c r="K118" i="16"/>
  <c r="K119" i="16"/>
  <c r="K120" i="16"/>
  <c r="K121" i="16"/>
  <c r="K122" i="16"/>
  <c r="K123" i="16"/>
  <c r="K124" i="16"/>
  <c r="K125" i="16"/>
  <c r="K126" i="16"/>
  <c r="K127" i="16"/>
  <c r="K128" i="16"/>
  <c r="K129" i="16"/>
  <c r="K130" i="16"/>
  <c r="K131" i="16"/>
  <c r="K132" i="16"/>
  <c r="K133" i="16"/>
  <c r="K134" i="16"/>
  <c r="K135" i="16"/>
  <c r="K136" i="16"/>
  <c r="K137" i="16"/>
  <c r="K138" i="16"/>
  <c r="K139" i="16"/>
  <c r="K140" i="16"/>
  <c r="K141" i="16"/>
  <c r="K142" i="16"/>
  <c r="K143" i="16"/>
  <c r="K144" i="16"/>
  <c r="K145" i="16"/>
  <c r="K146" i="16"/>
  <c r="K147" i="16"/>
  <c r="K148" i="16"/>
  <c r="K149" i="16"/>
  <c r="K150" i="16"/>
  <c r="K151" i="16"/>
  <c r="K152" i="16"/>
  <c r="K153" i="16"/>
  <c r="K154" i="16"/>
  <c r="K155" i="16"/>
  <c r="K156" i="16"/>
  <c r="K157" i="16"/>
  <c r="K158" i="16"/>
  <c r="K159" i="16"/>
  <c r="K160" i="16"/>
  <c r="K161" i="16"/>
  <c r="K162" i="16"/>
  <c r="K163" i="16"/>
  <c r="K164" i="16"/>
  <c r="K165" i="16"/>
  <c r="K166" i="16"/>
  <c r="K167" i="16"/>
  <c r="K168" i="16"/>
  <c r="K169" i="16"/>
  <c r="K170" i="16"/>
  <c r="K171" i="16"/>
  <c r="K172" i="16"/>
  <c r="K173" i="16"/>
  <c r="K174" i="16"/>
  <c r="K175" i="16"/>
  <c r="K176" i="16"/>
  <c r="K177" i="16"/>
  <c r="K178" i="16"/>
  <c r="K179" i="16"/>
  <c r="K180" i="16"/>
  <c r="K181" i="16"/>
  <c r="K182" i="16"/>
  <c r="K183" i="16"/>
  <c r="K184" i="16"/>
  <c r="K185" i="16"/>
  <c r="K186" i="16"/>
  <c r="K187" i="16"/>
  <c r="K188" i="16"/>
  <c r="K189" i="16"/>
  <c r="K190" i="16"/>
  <c r="K191" i="16"/>
  <c r="K192" i="16"/>
  <c r="K193" i="16"/>
  <c r="K194" i="16"/>
  <c r="K195" i="16"/>
  <c r="K60" i="16"/>
  <c r="K61" i="16"/>
  <c r="K62" i="16"/>
  <c r="K63" i="16"/>
  <c r="K64" i="16"/>
  <c r="K59" i="16"/>
  <c r="K58" i="16"/>
  <c r="K57" i="16"/>
  <c r="K56" i="16"/>
  <c r="F21" i="68"/>
  <c r="BR89" i="77"/>
  <c r="BI89" i="77"/>
  <c r="AZ89" i="77"/>
  <c r="AQ89" i="77"/>
  <c r="AH89" i="77"/>
  <c r="Y89" i="77"/>
  <c r="K89" i="77"/>
  <c r="DA92" i="77"/>
  <c r="DA93" i="77"/>
  <c r="DA94" i="77"/>
  <c r="DA95" i="77"/>
  <c r="DA96" i="77"/>
  <c r="DA97" i="77"/>
  <c r="DA98" i="77"/>
  <c r="DA99" i="77"/>
  <c r="DA91" i="77"/>
  <c r="DA83" i="77"/>
  <c r="DA84" i="77"/>
  <c r="DA85" i="77"/>
  <c r="DA86" i="77"/>
  <c r="DA87" i="77"/>
  <c r="DA88" i="77"/>
  <c r="DA89" i="77"/>
  <c r="DA90" i="77"/>
  <c r="DA82" i="77"/>
  <c r="C34" i="16"/>
  <c r="O88" i="43" s="1"/>
  <c r="BN84" i="77"/>
  <c r="CV88" i="77"/>
  <c r="CV87" i="77"/>
  <c r="CV86" i="77"/>
  <c r="CV85" i="77"/>
  <c r="CV84" i="77"/>
  <c r="CV83" i="77"/>
  <c r="CV82" i="77"/>
  <c r="CW88" i="77"/>
  <c r="CW87" i="77"/>
  <c r="CW86" i="77"/>
  <c r="CW85" i="77"/>
  <c r="CW84" i="77"/>
  <c r="CW83" i="77"/>
  <c r="CW82" i="77"/>
  <c r="CX88" i="77" a="1"/>
  <c r="CX88" i="77" s="1"/>
  <c r="CX87" i="77" a="1"/>
  <c r="CX87" i="77" s="1"/>
  <c r="CX86" i="77" a="1"/>
  <c r="CX86" i="77" s="1"/>
  <c r="CX85" i="77" a="1"/>
  <c r="CX85" i="77" s="1"/>
  <c r="CX84" i="77" a="1"/>
  <c r="CX84" i="77" s="1"/>
  <c r="CX83" i="77" a="1"/>
  <c r="CX83" i="77" s="1"/>
  <c r="CX82" i="77" a="1"/>
  <c r="CX82" i="77" s="1"/>
  <c r="BE84" i="77"/>
  <c r="AV84" i="77"/>
  <c r="AM84" i="77"/>
  <c r="AD84" i="77"/>
  <c r="U84" i="77"/>
  <c r="BM89" i="77"/>
  <c r="BD89" i="77"/>
  <c r="AU89" i="77"/>
  <c r="AL89" i="77"/>
  <c r="AC89" i="77"/>
  <c r="T89" i="77"/>
  <c r="CR98" i="77"/>
  <c r="CR99" i="77"/>
  <c r="CR92" i="77"/>
  <c r="CR93" i="77"/>
  <c r="CR94" i="77"/>
  <c r="CR95" i="77"/>
  <c r="CR96" i="77"/>
  <c r="CR97" i="77"/>
  <c r="CR91" i="77"/>
  <c r="CR83" i="77"/>
  <c r="CR84" i="77"/>
  <c r="CR85" i="77"/>
  <c r="CR86" i="77"/>
  <c r="CR87" i="77"/>
  <c r="CR88" i="77"/>
  <c r="CR89" i="77"/>
  <c r="CR90" i="77"/>
  <c r="CR82" i="77"/>
  <c r="DN12" i="16"/>
  <c r="DN13" i="16"/>
  <c r="DN14" i="16"/>
  <c r="DN15" i="16"/>
  <c r="DN16" i="16"/>
  <c r="DN17" i="16"/>
  <c r="DN18" i="16"/>
  <c r="DN19" i="16"/>
  <c r="DN11" i="16"/>
  <c r="DJ12" i="16"/>
  <c r="DJ13" i="16"/>
  <c r="DJ14" i="16"/>
  <c r="DJ15" i="16"/>
  <c r="DJ16" i="16"/>
  <c r="DJ17" i="16"/>
  <c r="DJ18" i="16"/>
  <c r="DJ19" i="16"/>
  <c r="DJ11" i="16"/>
  <c r="CO26" i="68"/>
  <c r="CO25" i="68"/>
  <c r="DG21" i="82"/>
  <c r="DG20" i="82"/>
  <c r="DG19" i="82"/>
  <c r="DG18" i="82"/>
  <c r="CO17" i="68" l="1"/>
  <c r="CO16" i="68"/>
  <c r="CO29" i="68"/>
  <c r="AW92" i="86"/>
  <c r="BM99" i="86"/>
  <c r="BE99" i="86"/>
  <c r="Q92" i="86"/>
  <c r="AG92" i="86"/>
  <c r="Q106" i="86"/>
  <c r="AO99" i="86"/>
  <c r="AW106" i="86"/>
  <c r="AW99" i="86"/>
  <c r="AG106" i="86"/>
  <c r="BM106" i="86"/>
  <c r="I106" i="86"/>
  <c r="Y92" i="86"/>
  <c r="I99" i="86"/>
  <c r="AO92" i="86"/>
  <c r="AO106" i="86"/>
  <c r="BE92" i="86"/>
  <c r="AG99" i="86"/>
  <c r="Q99" i="86"/>
  <c r="Y106" i="86"/>
  <c r="BE106" i="86"/>
  <c r="BM92" i="86"/>
  <c r="Y99" i="86"/>
  <c r="O77" i="43"/>
  <c r="CO20" i="68" l="1"/>
  <c r="AH23" i="40"/>
  <c r="K23" i="40"/>
  <c r="IW54" i="40" l="1"/>
  <c r="IV54" i="40"/>
  <c r="IU54" i="40"/>
  <c r="IT54" i="40"/>
  <c r="IS54" i="40"/>
  <c r="IR54" i="40"/>
  <c r="IQ54" i="40"/>
  <c r="IP54" i="40"/>
  <c r="IO54" i="40"/>
  <c r="IN54" i="40"/>
  <c r="BM136" i="89" l="1"/>
  <c r="BN136" i="89" s="1"/>
  <c r="AZ136" i="89"/>
  <c r="BA136" i="89" s="1"/>
  <c r="AM136" i="89"/>
  <c r="AN136" i="89" s="1"/>
  <c r="Z136" i="89"/>
  <c r="AA136" i="89" s="1"/>
  <c r="M136" i="89"/>
  <c r="N136" i="89" s="1"/>
  <c r="CJ53" i="89"/>
  <c r="CH53" i="89" s="1"/>
  <c r="CJ52" i="89"/>
  <c r="CH52" i="89" s="1"/>
  <c r="CJ51" i="89"/>
  <c r="CH51" i="89" s="1"/>
  <c r="CJ50" i="89"/>
  <c r="CH50" i="89" s="1"/>
  <c r="CJ49" i="89"/>
  <c r="CH49" i="89" s="1"/>
  <c r="CK53" i="89"/>
  <c r="CK52" i="89"/>
  <c r="CK51" i="89"/>
  <c r="CK50" i="89"/>
  <c r="CK49" i="89"/>
  <c r="DX42" i="40"/>
  <c r="DX41" i="40"/>
  <c r="DX40" i="40"/>
  <c r="DX39" i="40"/>
  <c r="DX38" i="40"/>
  <c r="CM50" i="89"/>
  <c r="CO50" i="89" s="1"/>
  <c r="CM51" i="89"/>
  <c r="CR51" i="89" s="1"/>
  <c r="CM52" i="89"/>
  <c r="CO52" i="89" s="1"/>
  <c r="CM53" i="89"/>
  <c r="CO53" i="89" s="1"/>
  <c r="CM49" i="89"/>
  <c r="CE36" i="93"/>
  <c r="CF36" i="93"/>
  <c r="CG36" i="93"/>
  <c r="CH36" i="93"/>
  <c r="CI36" i="93"/>
  <c r="CJ36" i="93"/>
  <c r="CK36" i="93"/>
  <c r="CL36" i="93"/>
  <c r="CM36" i="93"/>
  <c r="CN36" i="93"/>
  <c r="CO36" i="93"/>
  <c r="CP36" i="93"/>
  <c r="CQ36" i="93"/>
  <c r="CR36" i="93"/>
  <c r="CS36" i="93"/>
  <c r="CT36" i="93"/>
  <c r="CU36" i="93"/>
  <c r="CV36" i="93"/>
  <c r="CQ35" i="93"/>
  <c r="CR35" i="93"/>
  <c r="CR38" i="93" s="1"/>
  <c r="CS35" i="93"/>
  <c r="CT35" i="93"/>
  <c r="CU35" i="93"/>
  <c r="CV35" i="93"/>
  <c r="CK35" i="93"/>
  <c r="CL35" i="93"/>
  <c r="CM35" i="93"/>
  <c r="CN35" i="93"/>
  <c r="CO35" i="93"/>
  <c r="CO38" i="93" s="1"/>
  <c r="CP35" i="93"/>
  <c r="CP38" i="93" s="1"/>
  <c r="CJ35" i="93"/>
  <c r="CI35" i="93"/>
  <c r="CH35" i="93"/>
  <c r="CG35" i="93"/>
  <c r="CF35" i="93"/>
  <c r="CF38" i="93" s="1"/>
  <c r="CE35" i="93"/>
  <c r="CE38" i="93" s="1"/>
  <c r="DA52" i="16"/>
  <c r="DA50" i="16"/>
  <c r="DA48" i="16"/>
  <c r="DA47" i="16"/>
  <c r="DA45" i="16"/>
  <c r="DA44" i="16"/>
  <c r="DA43" i="16"/>
  <c r="CJ77" i="16"/>
  <c r="CJ76" i="16"/>
  <c r="CJ75" i="16"/>
  <c r="CJ74" i="16"/>
  <c r="CJ73" i="16"/>
  <c r="CJ72" i="16"/>
  <c r="CJ70" i="16"/>
  <c r="CJ69" i="16"/>
  <c r="CJ67" i="16"/>
  <c r="CJ66" i="16"/>
  <c r="CJ64" i="16"/>
  <c r="CJ63" i="16"/>
  <c r="CJ62" i="16"/>
  <c r="CJ60" i="16"/>
  <c r="CJ58" i="16"/>
  <c r="CJ57" i="16"/>
  <c r="CJ56" i="16"/>
  <c r="CJ54" i="16"/>
  <c r="CJ53" i="16"/>
  <c r="CJ51" i="16"/>
  <c r="CJ50" i="16"/>
  <c r="CJ48" i="16"/>
  <c r="CJ47" i="16"/>
  <c r="CJ46" i="16"/>
  <c r="CJ44" i="16"/>
  <c r="CJ43" i="16"/>
  <c r="FC79" i="40"/>
  <c r="FD79" i="40"/>
  <c r="FE79" i="40"/>
  <c r="FF79" i="40"/>
  <c r="AS83" i="70" a="1"/>
  <c r="AS83" i="70" s="1"/>
  <c r="AI83" i="70" a="1"/>
  <c r="AI83" i="70" s="1"/>
  <c r="Y83" i="70" a="1"/>
  <c r="Y83" i="70" s="1"/>
  <c r="O83" i="70" a="1"/>
  <c r="O83" i="70" s="1"/>
  <c r="E83" i="70" a="1"/>
  <c r="E83" i="70" s="1"/>
  <c r="AS56" i="85"/>
  <c r="JL54" i="40" s="1"/>
  <c r="DP121" i="89"/>
  <c r="DP120" i="89"/>
  <c r="DP119" i="89"/>
  <c r="DP118" i="89"/>
  <c r="DP117" i="89"/>
  <c r="DP116" i="89"/>
  <c r="DP115" i="89"/>
  <c r="DP114" i="89"/>
  <c r="DP113" i="89"/>
  <c r="DP112" i="89"/>
  <c r="AK101" i="16"/>
  <c r="AK116" i="16"/>
  <c r="AK143" i="16"/>
  <c r="Z136" i="16"/>
  <c r="Z128" i="16"/>
  <c r="AQ150" i="85"/>
  <c r="AQ148" i="85"/>
  <c r="AQ146" i="85"/>
  <c r="AQ144" i="85"/>
  <c r="AQ142" i="85"/>
  <c r="AQ140" i="85"/>
  <c r="AQ138" i="85"/>
  <c r="AQ136" i="85"/>
  <c r="AQ134" i="85"/>
  <c r="AQ132" i="85"/>
  <c r="AQ130" i="85"/>
  <c r="AQ128" i="85"/>
  <c r="FF46" i="89"/>
  <c r="FF47" i="89"/>
  <c r="FF48" i="89"/>
  <c r="FF49" i="89"/>
  <c r="FF50" i="89"/>
  <c r="FF51" i="89"/>
  <c r="FF52" i="89"/>
  <c r="FF53" i="89"/>
  <c r="FF54" i="89"/>
  <c r="FF55" i="89"/>
  <c r="FF56" i="89"/>
  <c r="FF57" i="89"/>
  <c r="FF58" i="89"/>
  <c r="FF45" i="89"/>
  <c r="DP107" i="89"/>
  <c r="DP105" i="89"/>
  <c r="DP106" i="89"/>
  <c r="DP99" i="89"/>
  <c r="DP100" i="89"/>
  <c r="DP101" i="89"/>
  <c r="DP102" i="89"/>
  <c r="DP103" i="89"/>
  <c r="DP104" i="89"/>
  <c r="DP98" i="89"/>
  <c r="CG4" i="68"/>
  <c r="CG3" i="68"/>
  <c r="CG2" i="68"/>
  <c r="CG1" i="68"/>
  <c r="CR58" i="68"/>
  <c r="CR52" i="68"/>
  <c r="CR55" i="68"/>
  <c r="DZ98" i="89" l="1"/>
  <c r="EQ45" i="89"/>
  <c r="CI38" i="93"/>
  <c r="CG38" i="93"/>
  <c r="CH38" i="93"/>
  <c r="CT38" i="93"/>
  <c r="CM38" i="93"/>
  <c r="CQ38" i="93"/>
  <c r="CL38" i="93"/>
  <c r="CV38" i="93"/>
  <c r="CK38" i="93"/>
  <c r="CO51" i="89"/>
  <c r="CO49" i="89"/>
  <c r="AY56" i="43"/>
  <c r="BI55" i="43"/>
  <c r="BD58" i="43"/>
  <c r="BI56" i="43"/>
  <c r="AY55" i="43"/>
  <c r="CR50" i="89"/>
  <c r="DZ102" i="89"/>
  <c r="CR49" i="89"/>
  <c r="CR53" i="89"/>
  <c r="CR52" i="89"/>
  <c r="CN38" i="93"/>
  <c r="CJ38" i="93"/>
  <c r="CS38" i="93"/>
  <c r="CU38" i="93"/>
  <c r="DZ104" i="89"/>
  <c r="DZ99" i="89"/>
  <c r="DZ112" i="89"/>
  <c r="DZ114" i="89"/>
  <c r="DZ106" i="89"/>
  <c r="DZ113" i="89"/>
  <c r="DZ105" i="89"/>
  <c r="DZ111" i="89"/>
  <c r="DZ103" i="89"/>
  <c r="DZ118" i="89"/>
  <c r="DZ110" i="89"/>
  <c r="DZ117" i="89"/>
  <c r="DZ109" i="89"/>
  <c r="DZ101" i="89"/>
  <c r="DZ116" i="89"/>
  <c r="DZ108" i="89"/>
  <c r="DZ100" i="89"/>
  <c r="DZ115" i="89"/>
  <c r="DZ107" i="89"/>
  <c r="EQ46" i="89"/>
  <c r="EQ65" i="89"/>
  <c r="EQ47" i="89"/>
  <c r="EQ66" i="89"/>
  <c r="EQ64" i="89"/>
  <c r="EQ62" i="89"/>
  <c r="EQ61" i="89"/>
  <c r="EQ60" i="89"/>
  <c r="EQ63" i="89"/>
  <c r="EQ67" i="89"/>
  <c r="EQ59" i="89"/>
  <c r="EQ49" i="89"/>
  <c r="EQ48" i="89"/>
  <c r="EQ54" i="89"/>
  <c r="EQ53" i="89"/>
  <c r="EQ52" i="89"/>
  <c r="EQ51" i="89"/>
  <c r="EQ50" i="89"/>
  <c r="EQ57" i="89"/>
  <c r="EQ58" i="89"/>
  <c r="EQ56" i="89"/>
  <c r="EQ55" i="89"/>
  <c r="FI23" i="40" a="1"/>
  <c r="FI23" i="40" s="1"/>
  <c r="E56" i="68" a="1"/>
  <c r="E56" i="68" s="1"/>
  <c r="BK45" i="68" s="1"/>
  <c r="FF61" i="40"/>
  <c r="FE61" i="40"/>
  <c r="FD61" i="40"/>
  <c r="FC61" i="40"/>
  <c r="AO96" i="93"/>
  <c r="Y124" i="16"/>
  <c r="Y125" i="16"/>
  <c r="Y123" i="16"/>
  <c r="BZ21" i="40"/>
  <c r="CA21" i="40" s="1"/>
  <c r="CB21" i="40" s="1"/>
  <c r="CC21" i="40" s="1"/>
  <c r="CD21" i="40" s="1"/>
  <c r="CE21" i="40" s="1"/>
  <c r="CF21" i="40" s="1"/>
  <c r="CG21" i="40" s="1"/>
  <c r="CH21" i="40" s="1"/>
  <c r="CI21" i="40" s="1"/>
  <c r="CJ21" i="40" s="1"/>
  <c r="CK21" i="40" s="1"/>
  <c r="CL21" i="40" s="1"/>
  <c r="CM21" i="40" s="1"/>
  <c r="CN21" i="40" s="1"/>
  <c r="CO21" i="40" s="1"/>
  <c r="CP21" i="40" s="1"/>
  <c r="CQ21" i="40" s="1"/>
  <c r="CR21" i="40" s="1"/>
  <c r="CS21" i="40" s="1"/>
  <c r="CT21" i="40" s="1"/>
  <c r="CU21" i="40" s="1"/>
  <c r="CV21" i="40" s="1"/>
  <c r="AN429" i="93"/>
  <c r="AN432" i="93" s="1" a="1"/>
  <c r="AN432" i="93" s="1"/>
  <c r="AN392" i="93"/>
  <c r="AN397" i="93" s="1"/>
  <c r="AM388" i="93"/>
  <c r="AN355" i="93"/>
  <c r="AN360" i="93" s="1"/>
  <c r="AN318" i="93"/>
  <c r="AN323" i="93" s="1"/>
  <c r="AN281" i="93"/>
  <c r="AN286" i="93" s="1"/>
  <c r="AM277" i="93"/>
  <c r="AN244" i="93"/>
  <c r="AN249" i="93" s="1"/>
  <c r="AM236" i="93"/>
  <c r="AM235" i="93"/>
  <c r="AN207" i="93"/>
  <c r="AN212" i="93" s="1"/>
  <c r="AM203" i="93"/>
  <c r="AM201" i="93"/>
  <c r="AM195" i="93"/>
  <c r="AM192" i="93"/>
  <c r="AM191" i="93"/>
  <c r="AN170" i="93"/>
  <c r="AN175" i="93" s="1"/>
  <c r="AN133" i="93"/>
  <c r="AM132" i="93" s="1"/>
  <c r="AH26" i="40"/>
  <c r="AH27" i="40"/>
  <c r="AH28" i="40"/>
  <c r="AH29" i="40"/>
  <c r="AH30" i="40"/>
  <c r="AH31" i="40"/>
  <c r="AH32" i="40"/>
  <c r="AH33" i="40"/>
  <c r="AH34" i="40"/>
  <c r="AH35" i="40"/>
  <c r="AH36" i="40"/>
  <c r="AH37" i="40"/>
  <c r="AH38" i="40"/>
  <c r="AH39" i="40"/>
  <c r="AH40" i="40"/>
  <c r="AH41" i="40"/>
  <c r="AH42" i="40"/>
  <c r="AH43" i="40"/>
  <c r="AH44" i="40"/>
  <c r="AH45" i="40"/>
  <c r="AH46" i="40"/>
  <c r="AH47" i="40"/>
  <c r="AH48" i="40"/>
  <c r="AH49" i="40"/>
  <c r="AH50" i="40"/>
  <c r="AH51" i="40"/>
  <c r="AH52" i="40"/>
  <c r="AH53" i="40"/>
  <c r="AH54" i="40"/>
  <c r="AH55" i="40"/>
  <c r="AH56" i="40"/>
  <c r="AH57" i="40"/>
  <c r="AH58" i="40"/>
  <c r="AH59" i="40"/>
  <c r="AH60" i="40"/>
  <c r="AH61" i="40"/>
  <c r="AH62" i="40"/>
  <c r="AH63" i="40"/>
  <c r="AH64" i="40"/>
  <c r="AH65" i="40"/>
  <c r="AH66" i="40"/>
  <c r="AH67" i="40"/>
  <c r="AH68" i="40"/>
  <c r="AH69" i="40"/>
  <c r="AH70" i="40"/>
  <c r="AH71" i="40"/>
  <c r="AH72" i="40"/>
  <c r="AH73" i="40"/>
  <c r="AH74" i="40"/>
  <c r="AH75" i="40"/>
  <c r="AH76" i="40"/>
  <c r="AH77" i="40"/>
  <c r="AH78" i="40"/>
  <c r="AH79" i="40"/>
  <c r="AH80" i="40"/>
  <c r="AH81" i="40"/>
  <c r="AH82" i="40"/>
  <c r="AH83" i="40"/>
  <c r="AH84" i="40"/>
  <c r="AH85" i="40"/>
  <c r="AH86" i="40"/>
  <c r="AH87" i="40"/>
  <c r="AH88" i="40"/>
  <c r="AH89" i="40"/>
  <c r="AH90" i="40"/>
  <c r="AH91" i="40"/>
  <c r="AH92" i="40"/>
  <c r="AH93" i="40"/>
  <c r="AH94" i="40"/>
  <c r="AH95" i="40"/>
  <c r="AH96" i="40"/>
  <c r="AH97" i="40"/>
  <c r="AH98" i="40"/>
  <c r="AH99" i="40"/>
  <c r="AH100" i="40"/>
  <c r="AH101" i="40"/>
  <c r="AH102" i="40"/>
  <c r="AH103" i="40"/>
  <c r="AH104" i="40"/>
  <c r="AH105" i="40"/>
  <c r="AH106" i="40"/>
  <c r="AH107" i="40"/>
  <c r="AH108" i="40"/>
  <c r="AH109" i="40"/>
  <c r="AH110" i="40"/>
  <c r="AH111" i="40"/>
  <c r="AH112" i="40"/>
  <c r="AH113" i="40"/>
  <c r="AH114" i="40"/>
  <c r="AH115" i="40"/>
  <c r="AH116" i="40"/>
  <c r="AH117" i="40"/>
  <c r="AH118" i="40"/>
  <c r="AH119" i="40"/>
  <c r="AH120" i="40"/>
  <c r="AH121" i="40"/>
  <c r="AH122" i="40"/>
  <c r="AH123" i="40"/>
  <c r="AH124" i="40"/>
  <c r="AH125" i="40"/>
  <c r="AH126" i="40"/>
  <c r="AH25" i="40"/>
  <c r="AH2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105" i="40"/>
  <c r="K106" i="40"/>
  <c r="K107" i="40"/>
  <c r="K108" i="40"/>
  <c r="K109" i="40"/>
  <c r="K110" i="40"/>
  <c r="K111" i="40"/>
  <c r="K112" i="40"/>
  <c r="K113" i="40"/>
  <c r="K114" i="40"/>
  <c r="K115" i="40"/>
  <c r="K116" i="40"/>
  <c r="K117" i="40"/>
  <c r="K118" i="40"/>
  <c r="K119" i="40"/>
  <c r="K120" i="40"/>
  <c r="K121" i="40"/>
  <c r="K122" i="40"/>
  <c r="K123" i="40"/>
  <c r="K124" i="40"/>
  <c r="K125" i="40"/>
  <c r="K126"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25" i="40"/>
  <c r="K24" i="40"/>
  <c r="JF116" i="40"/>
  <c r="JF117" i="40"/>
  <c r="JF118" i="40"/>
  <c r="JF119" i="40"/>
  <c r="JF120" i="40"/>
  <c r="JF121" i="40"/>
  <c r="JF122" i="40"/>
  <c r="JF123" i="40"/>
  <c r="JF124" i="40"/>
  <c r="JF125" i="40"/>
  <c r="JF126" i="40"/>
  <c r="JF127" i="40"/>
  <c r="JF128" i="40"/>
  <c r="JF129" i="40"/>
  <c r="JF130" i="40"/>
  <c r="JF131" i="40"/>
  <c r="JF132" i="40"/>
  <c r="JF133" i="40"/>
  <c r="JF134" i="40"/>
  <c r="JF135" i="40"/>
  <c r="JF136" i="40"/>
  <c r="JF137" i="40"/>
  <c r="JF138" i="40"/>
  <c r="JF115" i="40"/>
  <c r="JF72" i="40"/>
  <c r="JF73" i="40"/>
  <c r="JF74" i="40"/>
  <c r="JF75" i="40"/>
  <c r="JF76" i="40"/>
  <c r="JF77" i="40"/>
  <c r="JF78" i="40"/>
  <c r="JF71" i="40"/>
  <c r="JF64" i="40"/>
  <c r="JF65" i="40"/>
  <c r="JF66" i="40"/>
  <c r="JF67" i="40"/>
  <c r="JF68" i="40"/>
  <c r="JF69" i="40"/>
  <c r="JF70" i="40"/>
  <c r="JF63" i="40"/>
  <c r="BW7" i="89"/>
  <c r="F9" i="68" l="1"/>
  <c r="FI30" i="40" a="1"/>
  <c r="FI30" i="40" s="1"/>
  <c r="CK48" i="16" s="1"/>
  <c r="FI85" i="40" a="1"/>
  <c r="FI85" i="40" s="1"/>
  <c r="CT33" i="16" s="1"/>
  <c r="CT32" i="16" s="1"/>
  <c r="CE30" i="93"/>
  <c r="AO30" i="93" s="1"/>
  <c r="F25" i="68"/>
  <c r="AM337" i="93"/>
  <c r="AM376" i="93"/>
  <c r="AM424" i="93"/>
  <c r="AM159" i="93"/>
  <c r="AM242" i="93"/>
  <c r="AM302" i="93"/>
  <c r="AM339" i="93"/>
  <c r="AM377" i="93"/>
  <c r="AN395" i="93" a="1"/>
  <c r="AN395" i="93" s="1"/>
  <c r="AM425" i="93"/>
  <c r="AM421" i="93"/>
  <c r="AM158" i="93"/>
  <c r="AM160" i="93"/>
  <c r="AM193" i="93"/>
  <c r="AN210" i="93" a="1"/>
  <c r="AN210" i="93" s="1"/>
  <c r="AM243" i="93"/>
  <c r="AM306" i="93"/>
  <c r="AM343" i="93"/>
  <c r="AM378" i="93"/>
  <c r="AM412" i="93"/>
  <c r="AM428" i="93"/>
  <c r="AM307" i="93"/>
  <c r="AM380" i="93"/>
  <c r="AM163" i="93"/>
  <c r="AM196" i="93"/>
  <c r="AM227" i="93"/>
  <c r="AM265" i="93"/>
  <c r="AM310" i="93"/>
  <c r="AM347" i="93"/>
  <c r="AM384" i="93"/>
  <c r="AM416" i="93"/>
  <c r="AN434" i="93"/>
  <c r="AM162" i="93"/>
  <c r="AM226" i="93"/>
  <c r="AM345" i="93"/>
  <c r="AM152" i="93"/>
  <c r="AM166" i="93"/>
  <c r="AM199" i="93"/>
  <c r="AM228" i="93"/>
  <c r="AM269" i="93"/>
  <c r="AM314" i="93"/>
  <c r="AM351" i="93"/>
  <c r="AM385" i="93"/>
  <c r="AM417" i="93"/>
  <c r="AM155" i="93"/>
  <c r="AM413" i="93"/>
  <c r="AM154" i="93"/>
  <c r="AM167" i="93"/>
  <c r="AM200" i="93"/>
  <c r="AM234" i="93"/>
  <c r="AM273" i="93"/>
  <c r="AM315" i="93"/>
  <c r="AM353" i="93"/>
  <c r="AM386" i="93"/>
  <c r="AM420" i="93"/>
  <c r="CR49" i="68"/>
  <c r="F36" i="68"/>
  <c r="F34" i="68" a="1"/>
  <c r="F34" i="68" s="1"/>
  <c r="DA54" i="16"/>
  <c r="CJ81" i="16"/>
  <c r="FI70" i="40" a="1"/>
  <c r="FI70" i="40" s="1"/>
  <c r="DB45" i="16" s="1"/>
  <c r="FI69" i="40" a="1"/>
  <c r="FI69" i="40" s="1"/>
  <c r="DB44" i="16" s="1"/>
  <c r="FI75" i="40" a="1"/>
  <c r="FI75" i="40" s="1"/>
  <c r="DB50" i="16" s="1"/>
  <c r="FI77" i="40" a="1"/>
  <c r="FI77" i="40" s="1"/>
  <c r="DB52" i="16" s="1"/>
  <c r="FI26" i="40" a="1"/>
  <c r="FI26" i="40" s="1"/>
  <c r="CK44" i="16" s="1"/>
  <c r="FI68" i="40" a="1"/>
  <c r="FI68" i="40" s="1"/>
  <c r="DB43" i="16" s="1"/>
  <c r="FI33" i="40" a="1"/>
  <c r="FI33" i="40" s="1"/>
  <c r="CK51" i="16" s="1"/>
  <c r="FI32" i="40" a="1"/>
  <c r="FI32" i="40" s="1"/>
  <c r="CK50" i="16" s="1"/>
  <c r="FI46" i="40" a="1"/>
  <c r="FI46" i="40" s="1"/>
  <c r="CK64" i="16" s="1"/>
  <c r="FI72" i="40" a="1"/>
  <c r="FI72" i="40" s="1"/>
  <c r="DB47" i="16" s="1"/>
  <c r="FI73" i="40" a="1"/>
  <c r="FI73" i="40" s="1"/>
  <c r="DB48" i="16" s="1"/>
  <c r="DV98" i="89" a="1"/>
  <c r="DV98" i="89" s="1"/>
  <c r="EL45" i="89" a="1"/>
  <c r="EL45" i="89" s="1"/>
  <c r="D54" i="68"/>
  <c r="F32" i="68" a="1"/>
  <c r="F32" i="68" s="1"/>
  <c r="FI40" i="40" a="1"/>
  <c r="FI40" i="40" s="1"/>
  <c r="CK58" i="16" s="1"/>
  <c r="FI51" i="40" a="1"/>
  <c r="FI51" i="40" s="1"/>
  <c r="CK69" i="16" s="1"/>
  <c r="FI42" i="40" a="1"/>
  <c r="FI42" i="40" s="1"/>
  <c r="CK60" i="16" s="1"/>
  <c r="FI57" i="40" a="1"/>
  <c r="FI57" i="40" s="1"/>
  <c r="CK75" i="16" s="1"/>
  <c r="FI35" i="40" a="1"/>
  <c r="FI35" i="40" s="1"/>
  <c r="CK53" i="16" s="1"/>
  <c r="FI55" i="40" a="1"/>
  <c r="FI55" i="40" s="1"/>
  <c r="CK73" i="16" s="1"/>
  <c r="FI48" i="40" a="1"/>
  <c r="FI48" i="40" s="1"/>
  <c r="CK66" i="16" s="1"/>
  <c r="FI39" i="40" a="1"/>
  <c r="FI39" i="40" s="1"/>
  <c r="CK57" i="16" s="1"/>
  <c r="FI29" i="40" a="1"/>
  <c r="FI29" i="40" s="1"/>
  <c r="CK47" i="16" s="1"/>
  <c r="CQ47" i="16" s="1"/>
  <c r="FI56" i="40" a="1"/>
  <c r="FI56" i="40" s="1"/>
  <c r="CK74" i="16" s="1"/>
  <c r="FI25" i="40" a="1"/>
  <c r="FI25" i="40" s="1"/>
  <c r="CK43" i="16" s="1"/>
  <c r="FI54" i="40" a="1"/>
  <c r="FI54" i="40" s="1"/>
  <c r="CK72" i="16" s="1"/>
  <c r="FI45" i="40" a="1"/>
  <c r="FI45" i="40" s="1"/>
  <c r="CK63" i="16" s="1"/>
  <c r="FI38" i="40" a="1"/>
  <c r="FI38" i="40" s="1"/>
  <c r="CK56" i="16" s="1"/>
  <c r="FI49" i="40" a="1"/>
  <c r="FI49" i="40" s="1"/>
  <c r="CK67" i="16" s="1"/>
  <c r="FI59" i="40" a="1"/>
  <c r="FI59" i="40" s="1"/>
  <c r="CK77" i="16" s="1"/>
  <c r="FI28" i="40" a="1"/>
  <c r="FI28" i="40" s="1"/>
  <c r="CK46" i="16" s="1"/>
  <c r="CQ46" i="16" s="1"/>
  <c r="FI58" i="40" a="1"/>
  <c r="FI58" i="40" s="1"/>
  <c r="CK76" i="16" s="1"/>
  <c r="FI52" i="40" a="1"/>
  <c r="FI52" i="40" s="1"/>
  <c r="CK70" i="16" s="1"/>
  <c r="FI44" i="40" a="1"/>
  <c r="FI44" i="40" s="1"/>
  <c r="CK62" i="16" s="1"/>
  <c r="FI36" i="40" a="1"/>
  <c r="FI36" i="40" s="1"/>
  <c r="CK54" i="16" s="1"/>
  <c r="AM418" i="93"/>
  <c r="AM426" i="93"/>
  <c r="AM411" i="93"/>
  <c r="AM419" i="93"/>
  <c r="AM427" i="93"/>
  <c r="AM414" i="93"/>
  <c r="AM422" i="93"/>
  <c r="AM415" i="93"/>
  <c r="AM423" i="93"/>
  <c r="AM381" i="93"/>
  <c r="AM389" i="93"/>
  <c r="AM374" i="93"/>
  <c r="AM382" i="93"/>
  <c r="AM390" i="93"/>
  <c r="AM375" i="93"/>
  <c r="AM383" i="93"/>
  <c r="AM391" i="93"/>
  <c r="AM379" i="93"/>
  <c r="AM387" i="93"/>
  <c r="AM344" i="93"/>
  <c r="AM352" i="93"/>
  <c r="AM338" i="93"/>
  <c r="AM346" i="93"/>
  <c r="AM354" i="93"/>
  <c r="AM340" i="93"/>
  <c r="AM348" i="93"/>
  <c r="AN358" i="93" a="1"/>
  <c r="AN358" i="93" s="1"/>
  <c r="AM341" i="93"/>
  <c r="AM349" i="93"/>
  <c r="AM342" i="93"/>
  <c r="AM350" i="93"/>
  <c r="AM300" i="93"/>
  <c r="AM308" i="93"/>
  <c r="AM316" i="93"/>
  <c r="AM301" i="93"/>
  <c r="AM309" i="93"/>
  <c r="AM317" i="93"/>
  <c r="AM303" i="93"/>
  <c r="AM311" i="93"/>
  <c r="AN321" i="93" a="1"/>
  <c r="AN321" i="93" s="1"/>
  <c r="AM304" i="93"/>
  <c r="AM312" i="93"/>
  <c r="AM305" i="93"/>
  <c r="AM313" i="93"/>
  <c r="AM270" i="93"/>
  <c r="AM278" i="93"/>
  <c r="AM263" i="93"/>
  <c r="AM271" i="93"/>
  <c r="AM279" i="93"/>
  <c r="AM264" i="93"/>
  <c r="AM272" i="93"/>
  <c r="AM280" i="93"/>
  <c r="AM266" i="93"/>
  <c r="AM274" i="93"/>
  <c r="AN284" i="93" a="1"/>
  <c r="AN284" i="93" s="1"/>
  <c r="AM267" i="93"/>
  <c r="AM275" i="93"/>
  <c r="AM268" i="93"/>
  <c r="AM276" i="93"/>
  <c r="AM232" i="93"/>
  <c r="AM240" i="93"/>
  <c r="AM233" i="93"/>
  <c r="AM241" i="93"/>
  <c r="AM229" i="93"/>
  <c r="AM237" i="93"/>
  <c r="AN247" i="93" a="1"/>
  <c r="AN247" i="93" s="1"/>
  <c r="AM230" i="93"/>
  <c r="AM238" i="93"/>
  <c r="AM231" i="93"/>
  <c r="AM239" i="93"/>
  <c r="AM204" i="93"/>
  <c r="AM189" i="93"/>
  <c r="AM197" i="93"/>
  <c r="AM205" i="93"/>
  <c r="AM190" i="93"/>
  <c r="AM198" i="93"/>
  <c r="AM206" i="93"/>
  <c r="AM194" i="93"/>
  <c r="AM202" i="93"/>
  <c r="AM168" i="93"/>
  <c r="AM153" i="93"/>
  <c r="AM161" i="93"/>
  <c r="AM169" i="93"/>
  <c r="AN173" i="93" a="1"/>
  <c r="AN173" i="93" s="1"/>
  <c r="AM156" i="93"/>
  <c r="AM164" i="93"/>
  <c r="AM157" i="93"/>
  <c r="AM165" i="93"/>
  <c r="AN136" i="93" a="1"/>
  <c r="AN136" i="93" s="1"/>
  <c r="AN138" i="93"/>
  <c r="AM115" i="93"/>
  <c r="AM117" i="93"/>
  <c r="AM119" i="93"/>
  <c r="AM118" i="93"/>
  <c r="AM123" i="93"/>
  <c r="AM125" i="93"/>
  <c r="AM126" i="93"/>
  <c r="AM127" i="93"/>
  <c r="AM120" i="93"/>
  <c r="AM128" i="93"/>
  <c r="AM121" i="93"/>
  <c r="AM129" i="93"/>
  <c r="AM122" i="93"/>
  <c r="AM130" i="93"/>
  <c r="AM131" i="93"/>
  <c r="AM116" i="93"/>
  <c r="AM124" i="93"/>
  <c r="DW42" i="40"/>
  <c r="Y122" i="16"/>
  <c r="BY34" i="16"/>
  <c r="BX34" i="16"/>
  <c r="BW34" i="16"/>
  <c r="BV34" i="16"/>
  <c r="BF144" i="71" s="1"/>
  <c r="BU34" i="16"/>
  <c r="BT34" i="16"/>
  <c r="BS34" i="16"/>
  <c r="BR34" i="16"/>
  <c r="BQ34" i="16"/>
  <c r="K34" i="16"/>
  <c r="J34" i="16"/>
  <c r="I34" i="16"/>
  <c r="H34" i="16"/>
  <c r="G34" i="16"/>
  <c r="F34" i="16"/>
  <c r="E34" i="16"/>
  <c r="D34" i="16"/>
  <c r="K144" i="71"/>
  <c r="BA141" i="16"/>
  <c r="BA133" i="16"/>
  <c r="BA139" i="16"/>
  <c r="BA131" i="16"/>
  <c r="AN121" i="16"/>
  <c r="AN106" i="16"/>
  <c r="Y110" i="16"/>
  <c r="Y109" i="16"/>
  <c r="Y95" i="16"/>
  <c r="Y94" i="16"/>
  <c r="AN91" i="16"/>
  <c r="DE44" i="82"/>
  <c r="DE46" i="82"/>
  <c r="DE48" i="82"/>
  <c r="DE50" i="82"/>
  <c r="DE52" i="82"/>
  <c r="DE54" i="82"/>
  <c r="DE56" i="82"/>
  <c r="DE58" i="82"/>
  <c r="DE60" i="82"/>
  <c r="DE62" i="82"/>
  <c r="DE64" i="82"/>
  <c r="CW44" i="82"/>
  <c r="CW46" i="82"/>
  <c r="CW48" i="82"/>
  <c r="CW50" i="82"/>
  <c r="CW52" i="82"/>
  <c r="CW54" i="82"/>
  <c r="CW56" i="82"/>
  <c r="CW58" i="82"/>
  <c r="CW60" i="82"/>
  <c r="CW62" i="82"/>
  <c r="CW64" i="82"/>
  <c r="CL44" i="82"/>
  <c r="CL46" i="82"/>
  <c r="CL48" i="82"/>
  <c r="CL50" i="82"/>
  <c r="CL52" i="82"/>
  <c r="CL54" i="82"/>
  <c r="CL56" i="82"/>
  <c r="CL58" i="82"/>
  <c r="CL60" i="82"/>
  <c r="CL62" i="82"/>
  <c r="CL64" i="82"/>
  <c r="CL66" i="82"/>
  <c r="CL68" i="82"/>
  <c r="CL70" i="82"/>
  <c r="CL72" i="82"/>
  <c r="CL74" i="82"/>
  <c r="DE42" i="82"/>
  <c r="CW42" i="82"/>
  <c r="CL42" i="82"/>
  <c r="CS36" i="69"/>
  <c r="DG36" i="82"/>
  <c r="DG35" i="82"/>
  <c r="DG34" i="82"/>
  <c r="DG33" i="82"/>
  <c r="DG31" i="82"/>
  <c r="DG30" i="82"/>
  <c r="DG29" i="82"/>
  <c r="DG28" i="82"/>
  <c r="DG26" i="82"/>
  <c r="DG25" i="82"/>
  <c r="DG24" i="82"/>
  <c r="DG23" i="82"/>
  <c r="EG9" i="82"/>
  <c r="EG10" i="82" s="1"/>
  <c r="EG11" i="82" s="1"/>
  <c r="EG12" i="82" s="1"/>
  <c r="EG13" i="82" s="1"/>
  <c r="EG14" i="82" s="1"/>
  <c r="EG15" i="82" s="1"/>
  <c r="EG16" i="82" s="1"/>
  <c r="EG17" i="82" s="1"/>
  <c r="EG18" i="82" s="1"/>
  <c r="EG19" i="82" s="1"/>
  <c r="EG20" i="82" s="1"/>
  <c r="EG21" i="82" s="1"/>
  <c r="EG22" i="82" s="1"/>
  <c r="EG23" i="82" s="1"/>
  <c r="EG24" i="82" s="1"/>
  <c r="EG25" i="82" s="1"/>
  <c r="EG26" i="82" s="1"/>
  <c r="EG27" i="82" s="1"/>
  <c r="EG28" i="82" s="1"/>
  <c r="EG29" i="82" s="1"/>
  <c r="EG30" i="82" s="1"/>
  <c r="EG31" i="82" s="1"/>
  <c r="EG32" i="82" s="1"/>
  <c r="EG33" i="82" s="1"/>
  <c r="EG34" i="82" s="1"/>
  <c r="EG35" i="82" s="1"/>
  <c r="EG36" i="82" s="1"/>
  <c r="EG37" i="82" s="1"/>
  <c r="EG38" i="82" s="1"/>
  <c r="EG39" i="82" s="1"/>
  <c r="EG8" i="82"/>
  <c r="EC8" i="82" s="1"/>
  <c r="DS5" i="82" s="1"/>
  <c r="BT56" i="69"/>
  <c r="DG83" i="70"/>
  <c r="DG84" i="70"/>
  <c r="DG85" i="70"/>
  <c r="DG86" i="70"/>
  <c r="DG87" i="70"/>
  <c r="DG88" i="70"/>
  <c r="DG89" i="70"/>
  <c r="DG90" i="70"/>
  <c r="DG91" i="70"/>
  <c r="DG82" i="70"/>
  <c r="CY17" i="89"/>
  <c r="CY18" i="89"/>
  <c r="CY19" i="89"/>
  <c r="CY9" i="89"/>
  <c r="CY10" i="89"/>
  <c r="CY11" i="89"/>
  <c r="CY12" i="89"/>
  <c r="CY13" i="89"/>
  <c r="CY14" i="89"/>
  <c r="CY15" i="89"/>
  <c r="CY16" i="89"/>
  <c r="CY8" i="89"/>
  <c r="CR99" i="89"/>
  <c r="CR100" i="89"/>
  <c r="CR101" i="89"/>
  <c r="CR102" i="89"/>
  <c r="CR103" i="89"/>
  <c r="CR104" i="89"/>
  <c r="CR105" i="89"/>
  <c r="CR106" i="89"/>
  <c r="CR107" i="89"/>
  <c r="CR108" i="89"/>
  <c r="CR109" i="89"/>
  <c r="CR110" i="89"/>
  <c r="CR111" i="89"/>
  <c r="CR112" i="89"/>
  <c r="CR113" i="89"/>
  <c r="CR114" i="89"/>
  <c r="CR115" i="89"/>
  <c r="CR116" i="89"/>
  <c r="CR117" i="89"/>
  <c r="CR118" i="89"/>
  <c r="CR119" i="89"/>
  <c r="CR120" i="89"/>
  <c r="CR121" i="89"/>
  <c r="CR98" i="89"/>
  <c r="CU95" i="89"/>
  <c r="CU97" i="89"/>
  <c r="CU99" i="89"/>
  <c r="CU101" i="89"/>
  <c r="CU103" i="89"/>
  <c r="CU105" i="89"/>
  <c r="CU107" i="89"/>
  <c r="CU109" i="89"/>
  <c r="CU111" i="89"/>
  <c r="CU113" i="89"/>
  <c r="CU115" i="89"/>
  <c r="CU117" i="89"/>
  <c r="CU119" i="89"/>
  <c r="CU121" i="89"/>
  <c r="CO69" i="89"/>
  <c r="CR69" i="89"/>
  <c r="CU69" i="89"/>
  <c r="CO71" i="89"/>
  <c r="CR71" i="89"/>
  <c r="CU71" i="89"/>
  <c r="CO73" i="89"/>
  <c r="CR73" i="89"/>
  <c r="CU73" i="89"/>
  <c r="CO75" i="89"/>
  <c r="CR75" i="89"/>
  <c r="CU75" i="89"/>
  <c r="CO77" i="89"/>
  <c r="CR77" i="89"/>
  <c r="CU77" i="89"/>
  <c r="CO79" i="89"/>
  <c r="CR79" i="89"/>
  <c r="CU79" i="89"/>
  <c r="CO81" i="89"/>
  <c r="CR81" i="89"/>
  <c r="CU81" i="89"/>
  <c r="CO83" i="89"/>
  <c r="CR83" i="89"/>
  <c r="CU83" i="89"/>
  <c r="CO85" i="89"/>
  <c r="CR85" i="89"/>
  <c r="CU85" i="89"/>
  <c r="CO87" i="89"/>
  <c r="CR87" i="89"/>
  <c r="CU87" i="89"/>
  <c r="CO89" i="89"/>
  <c r="CR89" i="89"/>
  <c r="CU89" i="89"/>
  <c r="CO91" i="89"/>
  <c r="CR91" i="89"/>
  <c r="CU91" i="89"/>
  <c r="CO93" i="89"/>
  <c r="CR93" i="89"/>
  <c r="CU93" i="89"/>
  <c r="CU67" i="89"/>
  <c r="CR67" i="89"/>
  <c r="CO67" i="89"/>
  <c r="CO10" i="89"/>
  <c r="CR10" i="89"/>
  <c r="CU10" i="89"/>
  <c r="CO12" i="89"/>
  <c r="CR12" i="89"/>
  <c r="CU12" i="89"/>
  <c r="CO14" i="89"/>
  <c r="CR14" i="89"/>
  <c r="CU14" i="89"/>
  <c r="CO16" i="89"/>
  <c r="CR16" i="89"/>
  <c r="CU16" i="89"/>
  <c r="CO18" i="89"/>
  <c r="CR18" i="89"/>
  <c r="CU18" i="89"/>
  <c r="CO20" i="89"/>
  <c r="CR20" i="89"/>
  <c r="CU20" i="89"/>
  <c r="CU8" i="89"/>
  <c r="CR8" i="89"/>
  <c r="CO8" i="89"/>
  <c r="CR25" i="89"/>
  <c r="CR26" i="89"/>
  <c r="CR27" i="89"/>
  <c r="CR28" i="89"/>
  <c r="CR29" i="89"/>
  <c r="CR30" i="89"/>
  <c r="CR31" i="89"/>
  <c r="CR32" i="89"/>
  <c r="CR33" i="89"/>
  <c r="CR34" i="89"/>
  <c r="CR35" i="89"/>
  <c r="CR36" i="89"/>
  <c r="C50" i="89" a="1"/>
  <c r="C50" i="89" s="1"/>
  <c r="C44" i="89" a="1"/>
  <c r="C44" i="89" s="1"/>
  <c r="BT47" i="69"/>
  <c r="CA41" i="69"/>
  <c r="BT50" i="69" s="1"/>
  <c r="CA42" i="69"/>
  <c r="CA43" i="69"/>
  <c r="BT44" i="69" s="1"/>
  <c r="CA40" i="69"/>
  <c r="BT53" i="69" s="1"/>
  <c r="EC69" i="69"/>
  <c r="EC68" i="69"/>
  <c r="EC67" i="69"/>
  <c r="EC66" i="69"/>
  <c r="CM42" i="69"/>
  <c r="CM41" i="69"/>
  <c r="CM40" i="69"/>
  <c r="CM39" i="69"/>
  <c r="CV18" i="69"/>
  <c r="CV20" i="69"/>
  <c r="CV22" i="69"/>
  <c r="CV24" i="69"/>
  <c r="CV16" i="69"/>
  <c r="DP31" i="89"/>
  <c r="BU71" i="89" a="1"/>
  <c r="BU71" i="89" s="1"/>
  <c r="BU73" i="89" a="1"/>
  <c r="BU73" i="89" s="1"/>
  <c r="BU75" i="89" a="1"/>
  <c r="BU75" i="89" s="1"/>
  <c r="BU77" i="89" a="1"/>
  <c r="BU77" i="89" s="1"/>
  <c r="BU79" i="89" a="1"/>
  <c r="BU79" i="89" s="1"/>
  <c r="BU81" i="89" a="1"/>
  <c r="BU81" i="89" s="1"/>
  <c r="BU83" i="89" a="1"/>
  <c r="BU83" i="89" s="1"/>
  <c r="BU85" i="89" a="1"/>
  <c r="BU85" i="89" s="1"/>
  <c r="BU87" i="89" a="1"/>
  <c r="BU87" i="89" s="1"/>
  <c r="BU89" i="89" a="1"/>
  <c r="BU89" i="89" s="1"/>
  <c r="BU91" i="89" a="1"/>
  <c r="BU91" i="89" s="1"/>
  <c r="BU93" i="89" a="1"/>
  <c r="BU93" i="89" s="1"/>
  <c r="BU95" i="89" a="1"/>
  <c r="BU95" i="89" s="1"/>
  <c r="BU97" i="89" a="1"/>
  <c r="BU97" i="89" s="1"/>
  <c r="BU99" i="89" a="1"/>
  <c r="BU99" i="89" s="1"/>
  <c r="BU101" i="89" a="1"/>
  <c r="BU101" i="89" s="1"/>
  <c r="BU103" i="89" a="1"/>
  <c r="BU103" i="89" s="1"/>
  <c r="BU105" i="89" a="1"/>
  <c r="BU105" i="89" s="1"/>
  <c r="BU107" i="89" a="1"/>
  <c r="BU107" i="89" s="1"/>
  <c r="BU109" i="89" a="1"/>
  <c r="BU109" i="89" s="1"/>
  <c r="BU111" i="89" a="1"/>
  <c r="BU111" i="89" s="1"/>
  <c r="BU113" i="89" a="1"/>
  <c r="BU113" i="89" s="1"/>
  <c r="BU115" i="89" a="1"/>
  <c r="BU115" i="89" s="1"/>
  <c r="BU117" i="89" a="1"/>
  <c r="BU117" i="89" s="1"/>
  <c r="BU119" i="89" a="1"/>
  <c r="BU119" i="89" s="1"/>
  <c r="BU121" i="89" a="1"/>
  <c r="BU121" i="89" s="1"/>
  <c r="BA71" i="89"/>
  <c r="BA73" i="89"/>
  <c r="BA75" i="89"/>
  <c r="BA77" i="89"/>
  <c r="BA79" i="89"/>
  <c r="BA81" i="89"/>
  <c r="BA83" i="89"/>
  <c r="BA85" i="89"/>
  <c r="BA87" i="89"/>
  <c r="BA89" i="89"/>
  <c r="BA91" i="89"/>
  <c r="BA93" i="89"/>
  <c r="BA95" i="89"/>
  <c r="BA97" i="89"/>
  <c r="BA99" i="89"/>
  <c r="BA101" i="89"/>
  <c r="BA103" i="89"/>
  <c r="BA105" i="89"/>
  <c r="BA107" i="89"/>
  <c r="BA109" i="89"/>
  <c r="BA111" i="89"/>
  <c r="BA113" i="89"/>
  <c r="BA115" i="89"/>
  <c r="BA117" i="89"/>
  <c r="BA119" i="89"/>
  <c r="BA121" i="89"/>
  <c r="BU69" i="89" a="1"/>
  <c r="BU69" i="89" s="1"/>
  <c r="BU67" i="89" a="1"/>
  <c r="BU67" i="89" s="1"/>
  <c r="BV64" i="89"/>
  <c r="BU10" i="89" a="1"/>
  <c r="BU10" i="89" s="1"/>
  <c r="BU12" i="89" a="1"/>
  <c r="BU12" i="89" s="1"/>
  <c r="BU14" i="89" a="1"/>
  <c r="BU14" i="89" s="1"/>
  <c r="BU16" i="89" a="1"/>
  <c r="BU16" i="89" s="1"/>
  <c r="BU18" i="89" a="1"/>
  <c r="BU18" i="89" s="1"/>
  <c r="BU20" i="89" a="1"/>
  <c r="BU20" i="89" s="1"/>
  <c r="BU8" i="89" a="1"/>
  <c r="BU8" i="89" s="1"/>
  <c r="A93" i="89" a="1"/>
  <c r="A93" i="89" s="1"/>
  <c r="DP89" i="89" s="1"/>
  <c r="BO1" i="89"/>
  <c r="AO1" i="89"/>
  <c r="O1" i="89"/>
  <c r="BA14" i="89"/>
  <c r="BA16" i="89"/>
  <c r="BA18" i="89"/>
  <c r="BA20" i="89"/>
  <c r="BA12" i="89"/>
  <c r="BA69" i="89"/>
  <c r="BA67" i="89"/>
  <c r="DM79" i="89" a="1"/>
  <c r="DM79" i="89" s="1"/>
  <c r="A79" i="89" s="1" a="1"/>
  <c r="A79" i="89" s="1"/>
  <c r="DM81" i="89" a="1"/>
  <c r="DM81" i="89" s="1"/>
  <c r="A81" i="89" s="1" a="1"/>
  <c r="A81" i="89" s="1"/>
  <c r="DP83" i="89" s="1"/>
  <c r="DM83" i="89" a="1"/>
  <c r="DM83" i="89" s="1"/>
  <c r="A83" i="89" s="1" a="1"/>
  <c r="A83" i="89" s="1"/>
  <c r="DM85" i="89" a="1"/>
  <c r="DM85" i="89" s="1"/>
  <c r="A85" i="89" s="1" a="1"/>
  <c r="A85" i="89" s="1"/>
  <c r="DP85" i="89" s="1"/>
  <c r="DM87" i="89" a="1"/>
  <c r="DM87" i="89" s="1"/>
  <c r="A87" i="89" s="1" a="1"/>
  <c r="A87" i="89" s="1"/>
  <c r="DM89" i="89" a="1"/>
  <c r="DM89" i="89" s="1"/>
  <c r="A89" i="89" s="1" a="1"/>
  <c r="A89" i="89" s="1"/>
  <c r="DM91" i="89" a="1"/>
  <c r="DM91" i="89" s="1"/>
  <c r="A91" i="89" s="1" a="1"/>
  <c r="A91" i="89" s="1"/>
  <c r="DM77" i="89" a="1"/>
  <c r="DM77" i="89" s="1"/>
  <c r="A77" i="89" s="1" a="1"/>
  <c r="A77" i="89" s="1"/>
  <c r="DP81" i="89" s="1"/>
  <c r="DM75" i="89" a="1"/>
  <c r="DM75" i="89" s="1"/>
  <c r="A75" i="89" s="1" a="1"/>
  <c r="A75" i="89" s="1"/>
  <c r="DM73" i="89" a="1"/>
  <c r="DM73" i="89" s="1"/>
  <c r="A73" i="89" s="1" a="1"/>
  <c r="A73" i="89" s="1"/>
  <c r="A20" i="89" a="1"/>
  <c r="A20" i="89" s="1"/>
  <c r="BA10" i="89"/>
  <c r="DP33" i="89" s="1"/>
  <c r="DM18" i="89" a="1"/>
  <c r="DM18" i="89" s="1"/>
  <c r="A18" i="89" s="1" a="1"/>
  <c r="A18" i="89" s="1"/>
  <c r="BA8" i="89"/>
  <c r="AA93" i="89" a="1"/>
  <c r="AA93" i="89" s="1"/>
  <c r="AZ91" i="89" a="1"/>
  <c r="AZ91" i="89" s="1"/>
  <c r="AA91" i="89" s="1" a="1"/>
  <c r="AA91" i="89" s="1"/>
  <c r="AZ89" i="89" a="1"/>
  <c r="AZ89" i="89" s="1"/>
  <c r="AA89" i="89" s="1" a="1"/>
  <c r="AA89" i="89" s="1"/>
  <c r="AZ87" i="89" a="1"/>
  <c r="AZ87" i="89" s="1"/>
  <c r="AA87" i="89" s="1" a="1"/>
  <c r="AA87" i="89" s="1"/>
  <c r="AZ85" i="89" a="1"/>
  <c r="AZ85" i="89" s="1"/>
  <c r="AA85" i="89" s="1" a="1"/>
  <c r="AA85" i="89" s="1"/>
  <c r="AZ83" i="89" a="1"/>
  <c r="AZ83" i="89" s="1"/>
  <c r="AA83" i="89" s="1" a="1"/>
  <c r="AA83" i="89" s="1"/>
  <c r="AZ81" i="89" a="1"/>
  <c r="AZ81" i="89" s="1"/>
  <c r="AZ79" i="89" s="1" a="1"/>
  <c r="AZ79" i="89" s="1"/>
  <c r="AA79" i="89" s="1" a="1"/>
  <c r="AA79" i="89" s="1"/>
  <c r="AZ77" i="89" a="1"/>
  <c r="AZ77" i="89" s="1"/>
  <c r="AA77" i="89" s="1" a="1"/>
  <c r="AA77" i="89" s="1"/>
  <c r="AZ75" i="89" a="1"/>
  <c r="AZ75" i="89" s="1"/>
  <c r="AA75" i="89" s="1" a="1"/>
  <c r="AA75" i="89" s="1"/>
  <c r="AZ73" i="89" a="1"/>
  <c r="AZ73" i="89" s="1"/>
  <c r="AZ71" i="89" s="1" a="1"/>
  <c r="AZ71" i="89" s="1"/>
  <c r="AZ69" i="89" s="1" a="1"/>
  <c r="AZ69" i="89" s="1"/>
  <c r="AA69" i="89" s="1" a="1"/>
  <c r="AA69" i="89" s="1"/>
  <c r="DP16" i="89" s="1"/>
  <c r="AZ12" i="89" a="1"/>
  <c r="AZ12" i="89" s="1"/>
  <c r="AA12" i="89" s="1" a="1"/>
  <c r="AA12" i="89" s="1"/>
  <c r="DP10" i="89" s="1"/>
  <c r="AZ14" i="89" a="1"/>
  <c r="AZ14" i="89" s="1"/>
  <c r="AA14" i="89" s="1" a="1"/>
  <c r="AA14" i="89" s="1"/>
  <c r="DP11" i="89" s="1"/>
  <c r="AZ18" i="89" a="1"/>
  <c r="AZ18" i="89" s="1"/>
  <c r="AA20" i="89" a="1"/>
  <c r="AA20" i="89" s="1"/>
  <c r="DP14" i="89" s="1"/>
  <c r="Y92" i="16"/>
  <c r="DM71" i="89" l="1" a="1"/>
  <c r="DM71" i="89" s="1"/>
  <c r="A71" i="89" s="1" a="1"/>
  <c r="A71" i="89" s="1"/>
  <c r="DP78" i="89" s="1"/>
  <c r="EC39" i="82"/>
  <c r="EG40" i="82"/>
  <c r="AZ10" i="89" a="1"/>
  <c r="AZ10" i="89" s="1"/>
  <c r="AA10" i="89" s="1" a="1"/>
  <c r="AA10" i="89" s="1"/>
  <c r="DP9" i="89" s="1"/>
  <c r="DM16" i="89" a="1"/>
  <c r="DM16" i="89" s="1"/>
  <c r="DM12" i="89" a="1"/>
  <c r="DM12" i="89" s="1"/>
  <c r="A12" i="89" s="1" a="1"/>
  <c r="A12" i="89" s="1"/>
  <c r="DP71" i="89" s="1"/>
  <c r="DM10" i="89" a="1"/>
  <c r="DM10" i="89" s="1"/>
  <c r="A10" i="89" s="1" a="1"/>
  <c r="A10" i="89" s="1"/>
  <c r="DP70" i="89" s="1"/>
  <c r="CD44" i="68"/>
  <c r="CJ44" i="68" s="1"/>
  <c r="CM44" i="68" s="1"/>
  <c r="CN50" i="16" s="1"/>
  <c r="CQ50" i="16" s="1"/>
  <c r="AF144" i="71"/>
  <c r="O95" i="43"/>
  <c r="O84" i="43"/>
  <c r="BI144" i="71"/>
  <c r="AY94" i="43"/>
  <c r="AY83" i="43"/>
  <c r="AI144" i="71"/>
  <c r="O96" i="43"/>
  <c r="O85" i="43"/>
  <c r="CO56" i="69"/>
  <c r="AY95" i="43"/>
  <c r="AY84" i="43"/>
  <c r="N144" i="71"/>
  <c r="O78" i="43"/>
  <c r="O89" i="43"/>
  <c r="AQ144" i="71"/>
  <c r="AY88" i="43"/>
  <c r="AY77" i="43"/>
  <c r="CO57" i="69"/>
  <c r="AY96" i="43"/>
  <c r="AY85" i="43"/>
  <c r="Q144" i="71"/>
  <c r="O79" i="43"/>
  <c r="O90" i="43"/>
  <c r="AT144" i="71"/>
  <c r="AY78" i="43"/>
  <c r="AY89" i="43"/>
  <c r="T144" i="71"/>
  <c r="O91" i="43"/>
  <c r="O80" i="43"/>
  <c r="CO51" i="69"/>
  <c r="AY90" i="43"/>
  <c r="AY79" i="43"/>
  <c r="W144" i="71"/>
  <c r="O92" i="43"/>
  <c r="O81" i="43"/>
  <c r="CO52" i="69"/>
  <c r="AY91" i="43"/>
  <c r="AY80" i="43"/>
  <c r="CO45" i="69"/>
  <c r="O82" i="43"/>
  <c r="O93" i="43"/>
  <c r="BC144" i="71"/>
  <c r="AY92" i="43"/>
  <c r="AY81" i="43"/>
  <c r="AC144" i="71"/>
  <c r="O94" i="43"/>
  <c r="O83" i="43"/>
  <c r="CO54" i="69"/>
  <c r="AY82" i="43"/>
  <c r="AY93" i="43"/>
  <c r="Z144" i="71"/>
  <c r="BL144" i="71"/>
  <c r="CO46" i="69"/>
  <c r="CO42" i="69"/>
  <c r="FI79" i="40"/>
  <c r="DM67" i="89" a="1"/>
  <c r="DM67" i="89" s="1"/>
  <c r="A67" i="89" s="1" a="1"/>
  <c r="A67" i="89" s="1"/>
  <c r="DP76" i="89" s="1"/>
  <c r="FI61" i="40"/>
  <c r="AW144" i="71"/>
  <c r="AZ8" i="89" a="1"/>
  <c r="AZ8" i="89" s="1"/>
  <c r="AA8" i="89" s="1" a="1"/>
  <c r="AA8" i="89" s="1"/>
  <c r="DP8" i="89" s="1"/>
  <c r="AZ144" i="71"/>
  <c r="BO144" i="71"/>
  <c r="CO55" i="69"/>
  <c r="CO53" i="69"/>
  <c r="CO50" i="69"/>
  <c r="CO49" i="69"/>
  <c r="CO43" i="69"/>
  <c r="CO48" i="69"/>
  <c r="CO47" i="69"/>
  <c r="CO44" i="69"/>
  <c r="CO41" i="69"/>
  <c r="CO40" i="69"/>
  <c r="EC18" i="82"/>
  <c r="EC33" i="82"/>
  <c r="EC25" i="82"/>
  <c r="EC17" i="82"/>
  <c r="EC26" i="82"/>
  <c r="EC9" i="82"/>
  <c r="EC32" i="82"/>
  <c r="EC24" i="82"/>
  <c r="EC16" i="82"/>
  <c r="EC31" i="82"/>
  <c r="EC23" i="82"/>
  <c r="EC15" i="82"/>
  <c r="EC38" i="82"/>
  <c r="EC30" i="82"/>
  <c r="EC22" i="82"/>
  <c r="EC14" i="82"/>
  <c r="EC37" i="82"/>
  <c r="EC13" i="82"/>
  <c r="EC21" i="82"/>
  <c r="EC36" i="82"/>
  <c r="EC28" i="82"/>
  <c r="EC20" i="82"/>
  <c r="EC12" i="82"/>
  <c r="EC29" i="82"/>
  <c r="EC35" i="82"/>
  <c r="EC27" i="82"/>
  <c r="EC19" i="82"/>
  <c r="EC11" i="82"/>
  <c r="EC34" i="82"/>
  <c r="EC10" i="82"/>
  <c r="DA8" i="89" a="1"/>
  <c r="DA8" i="89" s="1"/>
  <c r="DP82" i="89"/>
  <c r="DP88" i="89"/>
  <c r="DP80" i="89"/>
  <c r="DP86" i="89"/>
  <c r="DP84" i="89"/>
  <c r="DP79" i="89"/>
  <c r="DP87" i="89"/>
  <c r="DP74" i="89"/>
  <c r="DP75" i="89"/>
  <c r="AA81" i="89" a="1"/>
  <c r="AA81" i="89" s="1"/>
  <c r="DP22" i="89" s="1"/>
  <c r="AA73" i="89" a="1"/>
  <c r="AA73" i="89" s="1"/>
  <c r="DP18" i="89" s="1"/>
  <c r="AA71" i="89" a="1"/>
  <c r="AA71" i="89" s="1"/>
  <c r="DP17" i="89" s="1"/>
  <c r="DP28" i="89"/>
  <c r="DP24" i="89"/>
  <c r="DP27" i="89"/>
  <c r="DP19" i="89"/>
  <c r="DP26" i="89"/>
  <c r="DP23" i="89"/>
  <c r="DP21" i="89"/>
  <c r="DP20" i="89"/>
  <c r="DP25" i="89"/>
  <c r="AZ67" i="89" a="1"/>
  <c r="AZ67" i="89" s="1"/>
  <c r="AA67" i="89" s="1" a="1"/>
  <c r="AA67" i="89" s="1"/>
  <c r="DP15" i="89" s="1"/>
  <c r="AA18" i="89" a="1"/>
  <c r="AA18" i="89" s="1"/>
  <c r="DP13" i="89" s="1"/>
  <c r="AZ16" i="89" a="1"/>
  <c r="AZ16" i="89" s="1"/>
  <c r="AA16" i="89" s="1" a="1"/>
  <c r="AA16" i="89" s="1"/>
  <c r="DP12" i="89" s="1"/>
  <c r="Y107" i="16"/>
  <c r="A16" i="89" l="1" a="1"/>
  <c r="A16" i="89" s="1"/>
  <c r="DP73" i="89" s="1"/>
  <c r="DM14" i="89" a="1"/>
  <c r="DM14" i="89" s="1"/>
  <c r="A14" i="89" s="1" a="1"/>
  <c r="A14" i="89" s="1"/>
  <c r="DP72" i="89" s="1"/>
  <c r="DM69" i="89" a="1"/>
  <c r="DM69" i="89" s="1"/>
  <c r="A69" i="89" s="1" a="1"/>
  <c r="A69" i="89" s="1"/>
  <c r="DP77" i="89" s="1"/>
  <c r="EG41" i="82"/>
  <c r="EC40" i="82"/>
  <c r="DM8" i="89" a="1"/>
  <c r="DM8" i="89" s="1"/>
  <c r="A8" i="89" s="1" a="1"/>
  <c r="A8" i="89" s="1"/>
  <c r="DP69" i="89" s="1"/>
  <c r="AO126" i="16"/>
  <c r="AI142" i="16"/>
  <c r="AS142" i="16"/>
  <c r="AQ142" i="16"/>
  <c r="AO142" i="16"/>
  <c r="AM142" i="16"/>
  <c r="AK142" i="16"/>
  <c r="AK134" i="16"/>
  <c r="AM134" i="16"/>
  <c r="AO134" i="16"/>
  <c r="AQ134" i="16"/>
  <c r="AS134" i="16"/>
  <c r="AI134" i="16"/>
  <c r="BC122" i="16"/>
  <c r="AY122" i="16"/>
  <c r="BC107" i="16"/>
  <c r="AY107" i="16"/>
  <c r="AY92" i="16"/>
  <c r="BC92" i="16"/>
  <c r="BC102" i="16"/>
  <c r="BB102" i="16"/>
  <c r="BA102" i="16"/>
  <c r="AZ102" i="16"/>
  <c r="AY102" i="16"/>
  <c r="AX102" i="16"/>
  <c r="AW102" i="16"/>
  <c r="AV102" i="16"/>
  <c r="AU102" i="16"/>
  <c r="AT102" i="16"/>
  <c r="AS102" i="16"/>
  <c r="AR102" i="16"/>
  <c r="AQ102" i="16"/>
  <c r="AP102" i="16"/>
  <c r="AO102" i="16"/>
  <c r="AN102" i="16"/>
  <c r="AM102" i="16"/>
  <c r="AL102" i="16"/>
  <c r="AK102" i="16"/>
  <c r="AJ102" i="16"/>
  <c r="AI102" i="16"/>
  <c r="AH102" i="16"/>
  <c r="AG102" i="16"/>
  <c r="AF102" i="16"/>
  <c r="AE102" i="16"/>
  <c r="AD102" i="16"/>
  <c r="AC102" i="16"/>
  <c r="AB102" i="16"/>
  <c r="AA102" i="16"/>
  <c r="Z102" i="16"/>
  <c r="Y102" i="16"/>
  <c r="Z117" i="16"/>
  <c r="AA117" i="16"/>
  <c r="AB117" i="16"/>
  <c r="AC117" i="16"/>
  <c r="AD117" i="16"/>
  <c r="AE117" i="16"/>
  <c r="AF117" i="16"/>
  <c r="AG117" i="16"/>
  <c r="AH117" i="16"/>
  <c r="AI117" i="16"/>
  <c r="AJ117" i="16"/>
  <c r="AK117" i="16"/>
  <c r="AL117" i="16"/>
  <c r="AM117" i="16"/>
  <c r="AN117" i="16"/>
  <c r="AO117" i="16"/>
  <c r="AP117" i="16"/>
  <c r="AQ117" i="16"/>
  <c r="AR117" i="16"/>
  <c r="AS117" i="16"/>
  <c r="AT117" i="16"/>
  <c r="AU117" i="16"/>
  <c r="AV117" i="16"/>
  <c r="AW117" i="16"/>
  <c r="AX117" i="16"/>
  <c r="AY117" i="16"/>
  <c r="AZ117" i="16"/>
  <c r="BA117" i="16"/>
  <c r="BB117" i="16"/>
  <c r="BC117" i="16"/>
  <c r="Y117" i="16"/>
  <c r="AL9" i="69"/>
  <c r="BC94" i="16"/>
  <c r="BC109" i="16"/>
  <c r="DB13" i="82"/>
  <c r="DB14" i="82" s="1"/>
  <c r="DC13" i="82"/>
  <c r="DC14" i="82" s="1"/>
  <c r="DD13" i="82"/>
  <c r="DD14" i="82" s="1"/>
  <c r="DE13" i="82"/>
  <c r="DE14" i="82" s="1"/>
  <c r="DF13" i="82"/>
  <c r="DF14" i="82" s="1"/>
  <c r="DG13" i="82"/>
  <c r="DG14" i="82" s="1"/>
  <c r="DB9" i="82"/>
  <c r="DB10" i="82" s="1"/>
  <c r="DC9" i="82"/>
  <c r="DC10" i="82" s="1"/>
  <c r="DD9" i="82"/>
  <c r="DD10" i="82" s="1"/>
  <c r="DE9" i="82"/>
  <c r="DE10" i="82" s="1"/>
  <c r="DF9" i="82"/>
  <c r="DF10" i="82" s="1"/>
  <c r="DG9" i="82"/>
  <c r="DG10" i="82" s="1"/>
  <c r="DA13" i="82"/>
  <c r="DA14" i="82" s="1"/>
  <c r="DA9" i="82"/>
  <c r="DA10" i="82" s="1"/>
  <c r="CS7" i="82"/>
  <c r="CH7" i="82"/>
  <c r="AG142" i="16"/>
  <c r="BB141" i="16"/>
  <c r="BB139" i="16"/>
  <c r="BB137" i="16"/>
  <c r="BB133" i="16"/>
  <c r="BB131" i="16"/>
  <c r="BB129" i="16"/>
  <c r="AN127" i="16"/>
  <c r="AG128" i="16" s="1"/>
  <c r="BC124" i="16"/>
  <c r="AY125" i="16" l="1"/>
  <c r="AU110" i="16"/>
  <c r="AM108" i="16" s="1"/>
  <c r="AU95" i="16"/>
  <c r="W125" i="16" a="1"/>
  <c r="W125" i="16" s="1"/>
  <c r="W124" i="16" a="1"/>
  <c r="W124" i="16" s="1"/>
  <c r="BA137" i="16"/>
  <c r="BA129" i="16"/>
  <c r="AK145" i="16" a="1"/>
  <c r="AK145" i="16" s="1"/>
  <c r="AS145" i="16" a="1"/>
  <c r="AS145" i="16" s="1"/>
  <c r="AO145" i="16" a="1"/>
  <c r="AO145" i="16" s="1"/>
  <c r="AN105" i="16"/>
  <c r="AX108" i="16" s="1"/>
  <c r="AN90" i="16"/>
  <c r="AX93" i="16" s="1"/>
  <c r="AI145" i="16" a="1"/>
  <c r="AI145" i="16" s="1"/>
  <c r="AQ145" i="16" a="1"/>
  <c r="AQ145" i="16" s="1"/>
  <c r="AM145" i="16" a="1"/>
  <c r="AM145" i="16" s="1"/>
  <c r="BC99" i="16"/>
  <c r="BB99" i="16"/>
  <c r="AN97" i="16"/>
  <c r="AN112" i="16"/>
  <c r="BC114" i="16"/>
  <c r="BB114" i="16"/>
  <c r="AA20" i="69"/>
  <c r="AA18" i="69"/>
  <c r="AA16" i="69"/>
  <c r="AA14" i="69"/>
  <c r="X22" i="69"/>
  <c r="AA24" i="69" s="1" a="1"/>
  <c r="AA24" i="69" s="1"/>
  <c r="X30" i="69"/>
  <c r="AA32" i="69" s="1" a="1"/>
  <c r="AA32" i="69" s="1"/>
  <c r="BD14" i="69"/>
  <c r="BA16" i="69" s="1" a="1"/>
  <c r="BA16" i="69" s="1"/>
  <c r="BD22" i="69"/>
  <c r="BA28" i="69" s="1" a="1"/>
  <c r="BA28" i="69" s="1"/>
  <c r="BD30" i="69"/>
  <c r="BA30" i="69" s="1" a="1"/>
  <c r="BA30" i="69" s="1"/>
  <c r="AN30" i="93"/>
  <c r="AM30" i="93"/>
  <c r="AV56" i="85"/>
  <c r="AU125" i="16" l="1"/>
  <c r="AM123" i="16" s="1"/>
  <c r="AM93" i="16"/>
  <c r="BB93" i="16" s="1"/>
  <c r="AL110" i="16" a="1"/>
  <c r="AL110" i="16" s="1"/>
  <c r="BB108" i="16"/>
  <c r="AN120" i="16"/>
  <c r="AX123" i="16" s="1"/>
  <c r="BA22" i="69" a="1"/>
  <c r="BA22" i="69" s="1"/>
  <c r="AA34" i="69" a="1"/>
  <c r="AA34" i="69" s="1"/>
  <c r="BA24" i="69" a="1"/>
  <c r="BA24" i="69" s="1"/>
  <c r="AA36" i="69" a="1"/>
  <c r="AA36" i="69" s="1"/>
  <c r="BA18" i="69" a="1"/>
  <c r="BA18" i="69" s="1"/>
  <c r="AA30" i="69" a="1"/>
  <c r="AA30" i="69" s="1"/>
  <c r="BA20" i="69" a="1"/>
  <c r="BA20" i="69" s="1"/>
  <c r="BA26" i="69" a="1"/>
  <c r="BA26" i="69" s="1"/>
  <c r="AA22" i="69" a="1"/>
  <c r="AA22" i="69" s="1"/>
  <c r="BA14" i="69" a="1"/>
  <c r="BA14" i="69" s="1"/>
  <c r="AA26" i="69" a="1"/>
  <c r="AA26" i="69" s="1"/>
  <c r="AA28" i="69" a="1"/>
  <c r="AA28" i="69" s="1"/>
  <c r="BA32" i="69" a="1"/>
  <c r="BA32" i="69" s="1"/>
  <c r="BA34" i="69" a="1"/>
  <c r="BA34" i="69" s="1"/>
  <c r="BA36" i="69" a="1"/>
  <c r="BA36" i="69" s="1"/>
  <c r="BN91" i="77"/>
  <c r="BE91" i="77"/>
  <c r="AV91" i="77"/>
  <c r="AM91" i="77"/>
  <c r="AD91" i="77"/>
  <c r="U91" i="77"/>
  <c r="L91" i="77"/>
  <c r="AG74" i="77"/>
  <c r="AL95" i="16" l="1" a="1"/>
  <c r="AL95" i="16" s="1"/>
  <c r="CN69" i="16"/>
  <c r="CQ69" i="16" s="1"/>
  <c r="CC91" i="77"/>
  <c r="AH22" i="40"/>
  <c r="AL125" i="16" l="1" a="1"/>
  <c r="AL125" i="16" s="1"/>
  <c r="X123" i="16"/>
  <c r="X125" i="16"/>
  <c r="X124" i="16"/>
  <c r="BF67" i="40"/>
  <c r="BG67" i="40"/>
  <c r="BH67" i="40" s="1"/>
  <c r="BF68" i="40"/>
  <c r="BG68" i="40"/>
  <c r="BH68" i="40" s="1"/>
  <c r="BF69" i="40"/>
  <c r="BG69" i="40"/>
  <c r="BH69" i="40" s="1"/>
  <c r="BF70" i="40"/>
  <c r="BG70" i="40"/>
  <c r="BH70" i="40" s="1"/>
  <c r="BF71" i="40"/>
  <c r="BG71" i="40"/>
  <c r="BH71" i="40" s="1"/>
  <c r="BF72" i="40"/>
  <c r="BG72" i="40"/>
  <c r="BH72" i="40" s="1"/>
  <c r="BF73" i="40"/>
  <c r="BG73" i="40"/>
  <c r="BH73" i="40" s="1"/>
  <c r="BF74" i="40"/>
  <c r="BG74" i="40"/>
  <c r="BH74" i="40" s="1"/>
  <c r="BF75" i="40"/>
  <c r="BG75" i="40"/>
  <c r="BH75" i="40" s="1"/>
  <c r="BF76" i="40"/>
  <c r="BG76" i="40"/>
  <c r="BH76" i="40" s="1"/>
  <c r="BF77" i="40"/>
  <c r="BG77" i="40"/>
  <c r="BH77" i="40" s="1"/>
  <c r="BF78" i="40"/>
  <c r="BG78" i="40"/>
  <c r="BH78" i="40" s="1"/>
  <c r="BF79" i="40"/>
  <c r="BG79" i="40"/>
  <c r="BH79" i="40" s="1"/>
  <c r="BF80" i="40"/>
  <c r="BG80" i="40"/>
  <c r="BH80" i="40" s="1"/>
  <c r="BF81" i="40"/>
  <c r="BG81" i="40"/>
  <c r="BH81" i="40" s="1"/>
  <c r="BF82" i="40"/>
  <c r="BG82" i="40"/>
  <c r="BH82" i="40" s="1"/>
  <c r="BF83" i="40"/>
  <c r="BG83" i="40"/>
  <c r="BH83" i="40" s="1"/>
  <c r="BF84" i="40"/>
  <c r="BG84" i="40"/>
  <c r="BH84" i="40" s="1"/>
  <c r="BF85" i="40"/>
  <c r="BG85" i="40"/>
  <c r="BH85" i="40" s="1"/>
  <c r="BF86" i="40"/>
  <c r="BG86" i="40"/>
  <c r="BH86" i="40" s="1"/>
  <c r="BF87" i="40"/>
  <c r="BG87" i="40"/>
  <c r="BH87" i="40" s="1"/>
  <c r="BF88" i="40"/>
  <c r="BG88" i="40"/>
  <c r="BH88" i="40" s="1"/>
  <c r="BF89" i="40"/>
  <c r="BG89" i="40"/>
  <c r="BH89" i="40" s="1"/>
  <c r="BF90" i="40"/>
  <c r="BG90" i="40"/>
  <c r="BH90" i="40" s="1"/>
  <c r="BF91" i="40"/>
  <c r="BG91" i="40"/>
  <c r="BH91" i="40" s="1"/>
  <c r="BF92" i="40"/>
  <c r="BG92" i="40"/>
  <c r="BH92" i="40" s="1"/>
  <c r="BF93" i="40"/>
  <c r="BG93" i="40"/>
  <c r="BH93" i="40" s="1"/>
  <c r="BF94" i="40"/>
  <c r="BG94" i="40"/>
  <c r="BH94" i="40" s="1"/>
  <c r="BF95" i="40"/>
  <c r="BG95" i="40"/>
  <c r="BH95" i="40" s="1"/>
  <c r="BF96" i="40"/>
  <c r="BG96" i="40"/>
  <c r="BH96" i="40" s="1"/>
  <c r="BF97" i="40"/>
  <c r="BG97" i="40"/>
  <c r="BH97" i="40" s="1"/>
  <c r="BF98" i="40"/>
  <c r="BG98" i="40"/>
  <c r="BH98" i="40" s="1"/>
  <c r="BF99" i="40"/>
  <c r="BG99" i="40"/>
  <c r="BH99" i="40" s="1"/>
  <c r="BF100" i="40"/>
  <c r="BG100" i="40"/>
  <c r="BH100" i="40" s="1"/>
  <c r="BF101" i="40"/>
  <c r="BG101" i="40"/>
  <c r="BH101" i="40" s="1"/>
  <c r="BF102" i="40"/>
  <c r="BG102" i="40"/>
  <c r="BH102" i="40" s="1"/>
  <c r="BF103" i="40"/>
  <c r="BG103" i="40"/>
  <c r="BH103" i="40" s="1"/>
  <c r="BF104" i="40"/>
  <c r="BG104" i="40"/>
  <c r="BH104" i="40" s="1"/>
  <c r="BF105" i="40"/>
  <c r="BG105" i="40"/>
  <c r="BH105" i="40" s="1"/>
  <c r="BF106" i="40"/>
  <c r="BG106" i="40"/>
  <c r="BH106" i="40" s="1"/>
  <c r="BF107" i="40"/>
  <c r="BG107" i="40"/>
  <c r="BH107" i="40" s="1"/>
  <c r="BF108" i="40"/>
  <c r="BG108" i="40"/>
  <c r="BH108" i="40" s="1"/>
  <c r="BF109" i="40"/>
  <c r="BG109" i="40"/>
  <c r="BH109" i="40" s="1"/>
  <c r="BF110" i="40"/>
  <c r="BG110" i="40"/>
  <c r="BH110" i="40" s="1"/>
  <c r="BF111" i="40"/>
  <c r="BG111" i="40"/>
  <c r="BH111" i="40" s="1"/>
  <c r="BF112" i="40"/>
  <c r="BG112" i="40"/>
  <c r="BH112" i="40" s="1"/>
  <c r="BF113" i="40"/>
  <c r="BG113" i="40"/>
  <c r="BH113" i="40" s="1"/>
  <c r="BF114" i="40"/>
  <c r="BG114" i="40"/>
  <c r="BH114" i="40" s="1"/>
  <c r="BF115" i="40"/>
  <c r="BG115" i="40"/>
  <c r="BH115" i="40" s="1"/>
  <c r="BF116" i="40"/>
  <c r="BG116" i="40"/>
  <c r="BH116" i="40" s="1"/>
  <c r="BF117" i="40"/>
  <c r="BG117" i="40"/>
  <c r="BH117" i="40" s="1"/>
  <c r="BF118" i="40"/>
  <c r="BG118" i="40"/>
  <c r="BH118" i="40" s="1"/>
  <c r="BF119" i="40"/>
  <c r="BG119" i="40"/>
  <c r="BH119" i="40" s="1"/>
  <c r="BF120" i="40"/>
  <c r="BG120" i="40"/>
  <c r="BH120" i="40" s="1"/>
  <c r="BF121" i="40"/>
  <c r="BG121" i="40"/>
  <c r="BH121" i="40" s="1"/>
  <c r="BF122" i="40"/>
  <c r="BG122" i="40"/>
  <c r="BH122" i="40" s="1"/>
  <c r="BF123" i="40"/>
  <c r="BG123" i="40"/>
  <c r="BH123" i="40" s="1"/>
  <c r="BF124" i="40"/>
  <c r="BG124" i="40"/>
  <c r="BH124" i="40" s="1"/>
  <c r="BF125" i="40"/>
  <c r="BG125" i="40"/>
  <c r="BH125" i="40" s="1"/>
  <c r="BF126" i="40"/>
  <c r="BG126" i="40"/>
  <c r="BH126" i="40" s="1"/>
  <c r="BF53" i="40"/>
  <c r="BF54" i="40"/>
  <c r="BF55" i="40"/>
  <c r="BF56" i="40"/>
  <c r="BF57" i="40"/>
  <c r="BF58" i="40"/>
  <c r="BF59" i="40"/>
  <c r="BF60" i="40"/>
  <c r="BG60" i="40"/>
  <c r="BH60" i="40" s="1"/>
  <c r="BF61" i="40"/>
  <c r="BG61" i="40"/>
  <c r="BH61" i="40" s="1"/>
  <c r="BF62" i="40"/>
  <c r="BG62" i="40"/>
  <c r="BH62" i="40" s="1"/>
  <c r="BF63" i="40"/>
  <c r="BG63" i="40"/>
  <c r="BH63" i="40" s="1"/>
  <c r="BF64" i="40"/>
  <c r="BG64" i="40"/>
  <c r="BH64" i="40" s="1"/>
  <c r="BF65" i="40"/>
  <c r="BG65" i="40"/>
  <c r="BH65" i="40" s="1"/>
  <c r="BF66" i="40"/>
  <c r="BG66" i="40"/>
  <c r="BH66" i="40" s="1"/>
  <c r="BF52" i="40"/>
  <c r="Y81" i="16"/>
  <c r="AF81" i="16"/>
  <c r="AM81" i="16"/>
  <c r="AT81" i="16"/>
  <c r="BA81" i="16"/>
  <c r="Y82" i="16"/>
  <c r="AF82" i="16"/>
  <c r="AM82" i="16"/>
  <c r="AT82" i="16"/>
  <c r="BA82" i="16"/>
  <c r="DJ21" i="40"/>
  <c r="DJ30" i="40" s="1"/>
  <c r="DT30" i="40" l="1"/>
  <c r="DL30" i="40"/>
  <c r="DE30" i="40"/>
  <c r="DM30" i="40"/>
  <c r="DF30" i="40"/>
  <c r="DN30" i="40"/>
  <c r="DG30" i="40"/>
  <c r="DO30" i="40"/>
  <c r="DH30" i="40"/>
  <c r="CZ30" i="40"/>
  <c r="DP30" i="40"/>
  <c r="DA30" i="40"/>
  <c r="DQ30" i="40"/>
  <c r="DB30" i="40"/>
  <c r="DR30" i="40"/>
  <c r="DC30" i="40"/>
  <c r="DS30" i="40"/>
  <c r="DD30" i="40"/>
  <c r="BB123" i="16"/>
  <c r="C22" i="40"/>
  <c r="DJ27" i="40"/>
  <c r="DJ31" i="40"/>
  <c r="DJ29" i="40"/>
  <c r="DJ28" i="40"/>
  <c r="DJ26" i="40"/>
  <c r="DJ33" i="40"/>
  <c r="DJ25" i="40"/>
  <c r="DJ22" i="40"/>
  <c r="DJ32" i="40"/>
  <c r="DJ24" i="40"/>
  <c r="DJ23" i="40"/>
  <c r="CE34" i="89"/>
  <c r="CC35" i="89"/>
  <c r="BV96" i="85"/>
  <c r="BV72" i="85" s="1"/>
  <c r="BN95" i="85"/>
  <c r="BM95" i="85" s="1"/>
  <c r="BN94" i="85"/>
  <c r="BM94" i="85" s="1"/>
  <c r="BN93" i="85"/>
  <c r="BM93" i="85" s="1"/>
  <c r="BN92" i="85"/>
  <c r="BM92" i="85"/>
  <c r="BN91" i="85"/>
  <c r="BM91" i="85"/>
  <c r="BN90" i="85"/>
  <c r="BM90" i="85" s="1"/>
  <c r="BN89" i="85"/>
  <c r="BM89" i="85" s="1"/>
  <c r="BN88" i="85"/>
  <c r="BM88" i="85" s="1"/>
  <c r="BN87" i="85"/>
  <c r="BN86" i="85"/>
  <c r="BN85" i="85"/>
  <c r="BN84" i="85"/>
  <c r="BN83" i="85"/>
  <c r="BN82" i="85"/>
  <c r="BN81" i="85"/>
  <c r="BN80" i="85"/>
  <c r="BN79" i="85"/>
  <c r="BN78" i="85"/>
  <c r="BN77" i="85"/>
  <c r="BN76" i="85"/>
  <c r="BM76" i="85" s="1"/>
  <c r="BM77" i="85" s="1"/>
  <c r="BL96" i="85"/>
  <c r="BL72" i="85" s="1"/>
  <c r="BD95" i="85"/>
  <c r="BC95" i="85" s="1"/>
  <c r="BD94" i="85"/>
  <c r="BC94" i="85" s="1"/>
  <c r="BD93" i="85"/>
  <c r="BC93" i="85"/>
  <c r="BD92" i="85"/>
  <c r="BD91" i="85"/>
  <c r="BD90" i="85"/>
  <c r="BD89" i="85"/>
  <c r="BD88" i="85"/>
  <c r="BD87" i="85"/>
  <c r="BD86" i="85"/>
  <c r="BD85" i="85"/>
  <c r="BD84" i="85"/>
  <c r="BD83" i="85"/>
  <c r="BD82" i="85"/>
  <c r="BD81" i="85"/>
  <c r="BD80" i="85"/>
  <c r="BD79" i="85"/>
  <c r="BD78" i="85"/>
  <c r="BD77" i="85"/>
  <c r="BD76" i="85"/>
  <c r="BC76" i="85" s="1"/>
  <c r="BB96" i="85"/>
  <c r="AT95" i="85"/>
  <c r="AS95" i="85" s="1"/>
  <c r="AT94" i="85"/>
  <c r="AS94" i="85" s="1"/>
  <c r="AT93" i="85"/>
  <c r="AS93" i="85"/>
  <c r="AT92" i="85"/>
  <c r="AT91" i="85"/>
  <c r="AT90" i="85"/>
  <c r="AT89" i="85"/>
  <c r="AT88" i="85"/>
  <c r="AT87" i="85"/>
  <c r="AT86" i="85"/>
  <c r="AT85" i="85"/>
  <c r="AT84" i="85"/>
  <c r="AT83" i="85"/>
  <c r="AT82" i="85"/>
  <c r="AT81" i="85"/>
  <c r="AT80" i="85"/>
  <c r="AT79" i="85"/>
  <c r="AT78" i="85"/>
  <c r="AT77" i="85"/>
  <c r="AT76" i="85"/>
  <c r="AS76" i="85" s="1"/>
  <c r="AR96" i="85"/>
  <c r="AJ95" i="85"/>
  <c r="AI95" i="85" s="1"/>
  <c r="AJ94" i="85"/>
  <c r="AI94" i="85"/>
  <c r="AJ93" i="85"/>
  <c r="AI93" i="85"/>
  <c r="AJ92" i="85"/>
  <c r="AI92" i="85" s="1"/>
  <c r="AJ91" i="85"/>
  <c r="AI91" i="85" s="1"/>
  <c r="AJ90" i="85"/>
  <c r="AI90" i="85" s="1"/>
  <c r="AJ89" i="85"/>
  <c r="AI89" i="85"/>
  <c r="AJ88" i="85"/>
  <c r="AI88" i="85" s="1"/>
  <c r="AJ87" i="85"/>
  <c r="AJ86" i="85"/>
  <c r="AJ85" i="85"/>
  <c r="AJ84" i="85"/>
  <c r="AJ83" i="85"/>
  <c r="AJ82" i="85"/>
  <c r="AJ81" i="85"/>
  <c r="AJ80" i="85"/>
  <c r="AJ79" i="85"/>
  <c r="AJ78" i="85"/>
  <c r="AJ77" i="85"/>
  <c r="AJ76" i="85"/>
  <c r="AI76" i="85" s="1"/>
  <c r="AH96" i="85"/>
  <c r="AH72" i="85" s="1"/>
  <c r="Z95" i="85"/>
  <c r="Y95" i="85" s="1"/>
  <c r="Z94" i="85"/>
  <c r="Y94" i="85" s="1"/>
  <c r="Z93" i="85"/>
  <c r="Y93" i="85"/>
  <c r="Z92" i="85"/>
  <c r="Y92" i="85" s="1"/>
  <c r="Z91" i="85"/>
  <c r="Y91" i="85" s="1"/>
  <c r="Z90" i="85"/>
  <c r="Y90" i="85" s="1"/>
  <c r="Z89" i="85"/>
  <c r="Y89" i="85"/>
  <c r="Z88" i="85"/>
  <c r="Y88" i="85" s="1"/>
  <c r="Z87" i="85"/>
  <c r="Z86" i="85"/>
  <c r="Z85" i="85"/>
  <c r="Z84" i="85"/>
  <c r="Z83" i="85"/>
  <c r="Z82" i="85"/>
  <c r="Z81" i="85"/>
  <c r="Z80" i="85"/>
  <c r="Z79" i="85"/>
  <c r="Z78" i="85"/>
  <c r="Z77" i="85"/>
  <c r="Z76" i="85"/>
  <c r="Y76" i="85" s="1"/>
  <c r="X96" i="85"/>
  <c r="P95" i="85"/>
  <c r="O95" i="85" s="1"/>
  <c r="P94" i="85"/>
  <c r="O94" i="85"/>
  <c r="P93" i="85"/>
  <c r="O93" i="85"/>
  <c r="P92" i="85"/>
  <c r="O92" i="85" s="1"/>
  <c r="P91" i="85"/>
  <c r="O91" i="85" s="1"/>
  <c r="P90" i="85"/>
  <c r="O90" i="85" s="1"/>
  <c r="P89" i="85"/>
  <c r="O89" i="85"/>
  <c r="P88" i="85"/>
  <c r="O88" i="85" s="1"/>
  <c r="P87" i="85"/>
  <c r="P86" i="85"/>
  <c r="O86" i="85" s="1"/>
  <c r="P85" i="85"/>
  <c r="P84" i="85"/>
  <c r="P83" i="85"/>
  <c r="P82" i="85"/>
  <c r="P81" i="85"/>
  <c r="P80" i="85"/>
  <c r="P79" i="85"/>
  <c r="P78" i="85"/>
  <c r="P77" i="85"/>
  <c r="P76" i="85"/>
  <c r="O76" i="85" s="1"/>
  <c r="BT68" i="85"/>
  <c r="N96" i="85"/>
  <c r="E91" i="85"/>
  <c r="E88" i="85"/>
  <c r="F77" i="85"/>
  <c r="F78" i="85"/>
  <c r="F79" i="85"/>
  <c r="F80" i="85"/>
  <c r="F81" i="85"/>
  <c r="F82" i="85"/>
  <c r="F83" i="85"/>
  <c r="F84" i="85"/>
  <c r="F85" i="85"/>
  <c r="F86" i="85"/>
  <c r="F87" i="85"/>
  <c r="F88" i="85"/>
  <c r="F89" i="85"/>
  <c r="E89" i="85" s="1"/>
  <c r="F90" i="85"/>
  <c r="E90" i="85" s="1"/>
  <c r="F91" i="85"/>
  <c r="F92" i="85"/>
  <c r="E92" i="85" s="1"/>
  <c r="F93" i="85"/>
  <c r="E93" i="85" s="1"/>
  <c r="F94" i="85"/>
  <c r="E94" i="85" s="1"/>
  <c r="F95" i="85"/>
  <c r="E95" i="85" s="1"/>
  <c r="F76" i="85"/>
  <c r="E76" i="85" s="1"/>
  <c r="EL17" i="69"/>
  <c r="GE29" i="69"/>
  <c r="GB29" i="69"/>
  <c r="GE17" i="69"/>
  <c r="GB17" i="69"/>
  <c r="GE5" i="69"/>
  <c r="GB5" i="69"/>
  <c r="DE36" i="69"/>
  <c r="DD36" i="69"/>
  <c r="DE34" i="69"/>
  <c r="DD34" i="69"/>
  <c r="DE32" i="69"/>
  <c r="DD32" i="69"/>
  <c r="DE30" i="69"/>
  <c r="DD30" i="69"/>
  <c r="DE28" i="69"/>
  <c r="DD28" i="69"/>
  <c r="DE26" i="69"/>
  <c r="DD26" i="69"/>
  <c r="DE24" i="69"/>
  <c r="DD24" i="69"/>
  <c r="DE22" i="69"/>
  <c r="DD22" i="69"/>
  <c r="DE20" i="69"/>
  <c r="DD20" i="69"/>
  <c r="DE18" i="69"/>
  <c r="DD18" i="69"/>
  <c r="DE16" i="69"/>
  <c r="DD16" i="69"/>
  <c r="DE14" i="69"/>
  <c r="DD14" i="69"/>
  <c r="DE12" i="69"/>
  <c r="DD12" i="69"/>
  <c r="DE10" i="69"/>
  <c r="DD10" i="69"/>
  <c r="DE8" i="69"/>
  <c r="DD8" i="69"/>
  <c r="DE6" i="69"/>
  <c r="DD6" i="69"/>
  <c r="DD4" i="69"/>
  <c r="DE4" i="69"/>
  <c r="CS62" i="69"/>
  <c r="CR62" i="69"/>
  <c r="CS60" i="69"/>
  <c r="CR60" i="69"/>
  <c r="CS58" i="69"/>
  <c r="CR58" i="69"/>
  <c r="CS56" i="69"/>
  <c r="CR56" i="69"/>
  <c r="CS54" i="69"/>
  <c r="CR54" i="69"/>
  <c r="CS52" i="69"/>
  <c r="CR52" i="69"/>
  <c r="CS50" i="69"/>
  <c r="CR50" i="69"/>
  <c r="CS48" i="69"/>
  <c r="CR48" i="69"/>
  <c r="CS46" i="69"/>
  <c r="CR46" i="69"/>
  <c r="CS44" i="69"/>
  <c r="CR44" i="69"/>
  <c r="CS42" i="69"/>
  <c r="CR42" i="69"/>
  <c r="CS40" i="69"/>
  <c r="CR40" i="69"/>
  <c r="DQ46" i="69"/>
  <c r="DP46" i="69"/>
  <c r="DQ44" i="69"/>
  <c r="DP44" i="69"/>
  <c r="DQ42" i="69"/>
  <c r="DP42" i="69"/>
  <c r="DQ40" i="69"/>
  <c r="DP40" i="69"/>
  <c r="DQ54" i="69"/>
  <c r="DP54" i="69"/>
  <c r="DQ52" i="69"/>
  <c r="DP52" i="69"/>
  <c r="DQ50" i="69"/>
  <c r="DP50" i="69"/>
  <c r="DQ48" i="69"/>
  <c r="DP48" i="69"/>
  <c r="DQ62" i="69"/>
  <c r="DP62" i="69"/>
  <c r="DQ60" i="69"/>
  <c r="DP60" i="69"/>
  <c r="DQ58" i="69"/>
  <c r="DP58" i="69"/>
  <c r="DP56" i="69"/>
  <c r="DQ56" i="69"/>
  <c r="FO57" i="69"/>
  <c r="FR57" i="69"/>
  <c r="FD57" i="69"/>
  <c r="FA57" i="69"/>
  <c r="EJ60" i="69"/>
  <c r="EJ52" i="69"/>
  <c r="EJ44" i="69"/>
  <c r="DL60" i="69"/>
  <c r="DL52" i="69"/>
  <c r="DL44" i="69"/>
  <c r="CD74" i="70"/>
  <c r="CF74" i="70"/>
  <c r="CN74" i="70"/>
  <c r="CP74" i="70"/>
  <c r="CD75" i="70"/>
  <c r="CF75" i="70"/>
  <c r="CN75" i="70"/>
  <c r="CP75" i="70"/>
  <c r="CD76" i="70"/>
  <c r="CF76" i="70"/>
  <c r="CN76" i="70"/>
  <c r="CP76" i="70"/>
  <c r="CP70" i="70"/>
  <c r="CP71" i="70"/>
  <c r="CP72" i="70"/>
  <c r="CP73" i="70"/>
  <c r="CP69" i="70"/>
  <c r="CF70" i="70"/>
  <c r="CF71" i="70"/>
  <c r="CF72" i="70"/>
  <c r="CF73" i="70"/>
  <c r="CF69" i="70"/>
  <c r="CD90" i="70"/>
  <c r="CG90" i="70"/>
  <c r="CJ90" i="70"/>
  <c r="CM90" i="70"/>
  <c r="CP90" i="70"/>
  <c r="CS90" i="70"/>
  <c r="CV90" i="70"/>
  <c r="CD91" i="70"/>
  <c r="CG91" i="70"/>
  <c r="CJ91" i="70"/>
  <c r="CM91" i="70"/>
  <c r="CP91" i="70"/>
  <c r="CS91" i="70"/>
  <c r="CV91" i="70"/>
  <c r="CV89" i="70"/>
  <c r="CV88" i="70"/>
  <c r="CV87" i="70"/>
  <c r="CV86" i="70"/>
  <c r="CV85" i="70"/>
  <c r="CV84" i="70"/>
  <c r="CV83" i="70"/>
  <c r="CV82" i="70"/>
  <c r="CS89" i="70"/>
  <c r="CS88" i="70"/>
  <c r="CS87" i="70"/>
  <c r="CS86" i="70"/>
  <c r="CS85" i="70"/>
  <c r="CS84" i="70"/>
  <c r="CS83" i="70"/>
  <c r="CS82" i="70"/>
  <c r="CN73" i="70"/>
  <c r="CN72" i="70"/>
  <c r="CN71" i="70"/>
  <c r="CN70" i="70"/>
  <c r="CN69" i="70"/>
  <c r="CP89" i="70"/>
  <c r="CP88" i="70"/>
  <c r="CP87" i="70"/>
  <c r="CP86" i="70"/>
  <c r="CP85" i="70"/>
  <c r="CP84" i="70"/>
  <c r="CP83" i="70"/>
  <c r="CP82" i="70"/>
  <c r="CM89" i="70"/>
  <c r="CM88" i="70"/>
  <c r="CM87" i="70"/>
  <c r="CM86" i="70"/>
  <c r="CM85" i="70"/>
  <c r="CM84" i="70"/>
  <c r="CM83" i="70"/>
  <c r="CM82" i="70"/>
  <c r="CJ89" i="70"/>
  <c r="CJ88" i="70"/>
  <c r="CJ87" i="70"/>
  <c r="CJ86" i="70"/>
  <c r="CJ85" i="70"/>
  <c r="CJ84" i="70"/>
  <c r="CJ83" i="70"/>
  <c r="CJ82" i="70"/>
  <c r="CG89" i="70"/>
  <c r="CG88" i="70"/>
  <c r="CG87" i="70"/>
  <c r="CG86" i="70"/>
  <c r="CG85" i="70"/>
  <c r="CG84" i="70"/>
  <c r="CG83" i="70"/>
  <c r="CG82" i="70"/>
  <c r="CD83" i="70"/>
  <c r="CD84" i="70"/>
  <c r="CD85" i="70"/>
  <c r="CD86" i="70"/>
  <c r="CD87" i="70"/>
  <c r="CD88" i="70"/>
  <c r="CD89" i="70"/>
  <c r="CD82" i="70"/>
  <c r="CD69" i="70"/>
  <c r="CD70" i="70"/>
  <c r="CD71" i="70"/>
  <c r="CD72" i="70"/>
  <c r="CD73" i="70"/>
  <c r="CG79" i="69"/>
  <c r="Y70" i="45" a="1"/>
  <c r="Y70" i="45" s="1"/>
  <c r="Y71" i="45" a="1"/>
  <c r="Y71" i="45" s="1"/>
  <c r="Y72" i="45" a="1"/>
  <c r="Y72" i="45" s="1"/>
  <c r="Y73" i="45" a="1"/>
  <c r="Y73" i="45" s="1"/>
  <c r="Y74" i="45" a="1"/>
  <c r="Y74" i="45" s="1"/>
  <c r="DT28" i="40" l="1"/>
  <c r="DE28" i="40"/>
  <c r="DP28" i="40"/>
  <c r="DQ28" i="40"/>
  <c r="DB28" i="40"/>
  <c r="DM28" i="40"/>
  <c r="DF28" i="40"/>
  <c r="CZ28" i="40"/>
  <c r="DA28" i="40"/>
  <c r="DN28" i="40"/>
  <c r="DG28" i="40"/>
  <c r="DO28" i="40"/>
  <c r="DH28" i="40"/>
  <c r="DR28" i="40"/>
  <c r="DL28" i="40"/>
  <c r="DC28" i="40"/>
  <c r="DS28" i="40"/>
  <c r="DD28" i="40"/>
  <c r="DT31" i="40"/>
  <c r="DE31" i="40"/>
  <c r="DM31" i="40"/>
  <c r="DL31" i="40"/>
  <c r="DF31" i="40"/>
  <c r="CZ31" i="40"/>
  <c r="DB31" i="40"/>
  <c r="DN31" i="40"/>
  <c r="DG31" i="40"/>
  <c r="DA31" i="40"/>
  <c r="DQ31" i="40"/>
  <c r="DO31" i="40"/>
  <c r="DH31" i="40"/>
  <c r="DP31" i="40"/>
  <c r="DR31" i="40"/>
  <c r="DC31" i="40"/>
  <c r="DS31" i="40"/>
  <c r="DD31" i="40"/>
  <c r="DT22" i="40"/>
  <c r="CZ22" i="40"/>
  <c r="DQ22" i="40"/>
  <c r="DM22" i="40"/>
  <c r="DG22" i="40"/>
  <c r="DO22" i="40"/>
  <c r="DH22" i="40"/>
  <c r="DB22" i="40"/>
  <c r="DS22" i="40"/>
  <c r="DD22" i="40"/>
  <c r="DT29" i="40"/>
  <c r="DE29" i="40"/>
  <c r="DA29" i="40"/>
  <c r="DM29" i="40"/>
  <c r="DF29" i="40"/>
  <c r="DP29" i="40"/>
  <c r="DQ29" i="40"/>
  <c r="DN29" i="40"/>
  <c r="DG29" i="40"/>
  <c r="CZ29" i="40"/>
  <c r="DB29" i="40"/>
  <c r="DO29" i="40"/>
  <c r="DH29" i="40"/>
  <c r="DR29" i="40"/>
  <c r="DC29" i="40"/>
  <c r="DS29" i="40"/>
  <c r="DL29" i="40"/>
  <c r="DD29" i="40"/>
  <c r="DT32" i="40"/>
  <c r="DE32" i="40"/>
  <c r="DQ32" i="40"/>
  <c r="DB32" i="40"/>
  <c r="DM32" i="40"/>
  <c r="DF32" i="40"/>
  <c r="DP32" i="40"/>
  <c r="DA32" i="40"/>
  <c r="CZ32" i="40"/>
  <c r="DN32" i="40"/>
  <c r="DL32" i="40"/>
  <c r="DG32" i="40"/>
  <c r="DO32" i="40"/>
  <c r="DH32" i="40"/>
  <c r="DR32" i="40"/>
  <c r="DC32" i="40"/>
  <c r="DS32" i="40"/>
  <c r="DD32" i="40"/>
  <c r="DT27" i="40"/>
  <c r="DE27" i="40"/>
  <c r="CZ27" i="40"/>
  <c r="DM27" i="40"/>
  <c r="DF27" i="40"/>
  <c r="DB27" i="40"/>
  <c r="DN27" i="40"/>
  <c r="DG27" i="40"/>
  <c r="DP27" i="40"/>
  <c r="DQ27" i="40"/>
  <c r="DL27" i="40"/>
  <c r="DO27" i="40"/>
  <c r="DH27" i="40"/>
  <c r="DA27" i="40"/>
  <c r="DR27" i="40"/>
  <c r="DC27" i="40"/>
  <c r="DS27" i="40"/>
  <c r="DD27" i="40"/>
  <c r="DT33" i="40"/>
  <c r="DE33" i="40"/>
  <c r="DA33" i="40"/>
  <c r="DM33" i="40"/>
  <c r="DF33" i="40"/>
  <c r="DQ33" i="40"/>
  <c r="DN33" i="40"/>
  <c r="DG33" i="40"/>
  <c r="DP33" i="40"/>
  <c r="DB33" i="40"/>
  <c r="DO33" i="40"/>
  <c r="DL33" i="40"/>
  <c r="DH33" i="40"/>
  <c r="DR33" i="40"/>
  <c r="DC33" i="40"/>
  <c r="CZ33" i="40"/>
  <c r="DS33" i="40"/>
  <c r="DD33" i="40"/>
  <c r="CN70" i="16"/>
  <c r="CQ70" i="16" s="1"/>
  <c r="AC46" i="43" s="1"/>
  <c r="BM78" i="85"/>
  <c r="BM79" i="85" s="1"/>
  <c r="BT69" i="85"/>
  <c r="BC77" i="85"/>
  <c r="BC78" i="85" s="1"/>
  <c r="BC79" i="85" s="1"/>
  <c r="AS77" i="85"/>
  <c r="AI77" i="85"/>
  <c r="Y77" i="85"/>
  <c r="Y78" i="85" s="1"/>
  <c r="O77" i="85"/>
  <c r="E77" i="85"/>
  <c r="E78" i="85" s="1"/>
  <c r="DL15" i="69"/>
  <c r="GB19" i="69" s="1"/>
  <c r="GB21" i="69" s="1"/>
  <c r="CZ49" i="69"/>
  <c r="FY29" i="69"/>
  <c r="FY17" i="69"/>
  <c r="FY5" i="69"/>
  <c r="DL27" i="69"/>
  <c r="GB31" i="69" s="1"/>
  <c r="GB33" i="69" s="1"/>
  <c r="DL6" i="69"/>
  <c r="FY7" i="69" s="1"/>
  <c r="DL5" i="69"/>
  <c r="GB7" i="69" s="1"/>
  <c r="GB9" i="69" s="1"/>
  <c r="EX57" i="69"/>
  <c r="DX41" i="69"/>
  <c r="CZ57" i="69"/>
  <c r="CZ41" i="69"/>
  <c r="FL57" i="69"/>
  <c r="DX49" i="69"/>
  <c r="DX57" i="69"/>
  <c r="AS78" i="85" l="1"/>
  <c r="BC80" i="85"/>
  <c r="AI78" i="85"/>
  <c r="AI79" i="85" s="1"/>
  <c r="AI80" i="85" s="1"/>
  <c r="BM80" i="85"/>
  <c r="Y79" i="85"/>
  <c r="Y80" i="85" s="1"/>
  <c r="Y81" i="85" s="1"/>
  <c r="O78" i="85"/>
  <c r="O79" i="85" s="1"/>
  <c r="E79" i="85"/>
  <c r="FA59" i="69"/>
  <c r="FA61" i="69" s="1"/>
  <c r="GE7" i="69"/>
  <c r="GE9" i="69" s="1"/>
  <c r="FO59" i="69"/>
  <c r="FO61" i="69" s="1"/>
  <c r="FY9" i="69"/>
  <c r="BJ16" i="16" s="1"/>
  <c r="FN4" i="69"/>
  <c r="FG41" i="69"/>
  <c r="DF3" i="16"/>
  <c r="DF4" i="16"/>
  <c r="DF5" i="16"/>
  <c r="DF6" i="16"/>
  <c r="DF7" i="16"/>
  <c r="DF8" i="16"/>
  <c r="DF9" i="16"/>
  <c r="DF10" i="16"/>
  <c r="DF11" i="16"/>
  <c r="DF12" i="16"/>
  <c r="DF13" i="16"/>
  <c r="DF14" i="16"/>
  <c r="DF15" i="16"/>
  <c r="DF16" i="16"/>
  <c r="DF17" i="16"/>
  <c r="DF18" i="16"/>
  <c r="DF19" i="16"/>
  <c r="DF20" i="16"/>
  <c r="DF21" i="16"/>
  <c r="DF22" i="16"/>
  <c r="DF23" i="16"/>
  <c r="DF24" i="16"/>
  <c r="DF25" i="16"/>
  <c r="DF26" i="16"/>
  <c r="DF27" i="16"/>
  <c r="DF28" i="16"/>
  <c r="DF29" i="16"/>
  <c r="DF30" i="16"/>
  <c r="DF31" i="16"/>
  <c r="DF32" i="16"/>
  <c r="DF33" i="16"/>
  <c r="DX30" i="40"/>
  <c r="BU20" i="82"/>
  <c r="J4" i="82"/>
  <c r="J3" i="82" l="1"/>
  <c r="L4" i="82"/>
  <c r="AS79" i="85"/>
  <c r="AS80" i="85" s="1"/>
  <c r="AS81" i="85" s="1"/>
  <c r="BC81" i="85"/>
  <c r="BC82" i="85" s="1"/>
  <c r="BC83" i="85" s="1"/>
  <c r="BC84" i="85" s="1"/>
  <c r="BC85" i="85" s="1"/>
  <c r="O80" i="85"/>
  <c r="O81" i="85" s="1"/>
  <c r="BM81" i="85"/>
  <c r="AI81" i="85"/>
  <c r="Y82" i="85"/>
  <c r="E80" i="85"/>
  <c r="L12" i="82"/>
  <c r="J12" i="82"/>
  <c r="J13" i="82" s="1" a="1"/>
  <c r="J13" i="82" s="1"/>
  <c r="N4" i="82"/>
  <c r="P4" i="82" s="1"/>
  <c r="CH43" i="70"/>
  <c r="W57" i="85"/>
  <c r="CN57" i="16" s="1"/>
  <c r="CQ57" i="16" s="1"/>
  <c r="AL48" i="43" s="1"/>
  <c r="BE57" i="85"/>
  <c r="CN58" i="16" s="1"/>
  <c r="CQ58" i="16" s="1"/>
  <c r="AO48" i="43" s="1"/>
  <c r="BU154" i="85"/>
  <c r="BV57" i="85" s="1"/>
  <c r="G154" i="85"/>
  <c r="F57" i="85" s="1"/>
  <c r="C47" i="69"/>
  <c r="C46" i="69"/>
  <c r="C45" i="69"/>
  <c r="C44" i="69"/>
  <c r="C43" i="69"/>
  <c r="N44" i="69"/>
  <c r="O44" i="69"/>
  <c r="P44" i="69"/>
  <c r="Q44" i="69"/>
  <c r="R44" i="69"/>
  <c r="S44" i="69"/>
  <c r="T44" i="69"/>
  <c r="N45" i="69"/>
  <c r="O45" i="69"/>
  <c r="P45" i="69"/>
  <c r="Q45" i="69"/>
  <c r="R45" i="69"/>
  <c r="S45" i="69"/>
  <c r="T45" i="69"/>
  <c r="N46" i="69"/>
  <c r="O46" i="69"/>
  <c r="P46" i="69"/>
  <c r="Q46" i="69"/>
  <c r="R46" i="69"/>
  <c r="S46" i="69"/>
  <c r="T46" i="69"/>
  <c r="N47" i="69"/>
  <c r="O47" i="69"/>
  <c r="P47" i="69"/>
  <c r="Q47" i="69"/>
  <c r="R47" i="69"/>
  <c r="S47" i="69"/>
  <c r="T47" i="69"/>
  <c r="T43" i="69"/>
  <c r="S43" i="69"/>
  <c r="R43" i="69"/>
  <c r="Q43" i="69"/>
  <c r="P43" i="69"/>
  <c r="O43" i="69"/>
  <c r="N43" i="69"/>
  <c r="BV10" i="86"/>
  <c r="BF51" i="40"/>
  <c r="P12" i="82" l="1"/>
  <c r="N12" i="82"/>
  <c r="N13" i="82" s="1" a="1"/>
  <c r="N13" i="82" s="1"/>
  <c r="L13" i="82" a="1"/>
  <c r="L13" i="82" s="1"/>
  <c r="BM82" i="85"/>
  <c r="BC86" i="85"/>
  <c r="BC87" i="85" s="1"/>
  <c r="AS82" i="85"/>
  <c r="AI82" i="85"/>
  <c r="AI83" i="85" s="1"/>
  <c r="Y83" i="85"/>
  <c r="O82" i="85"/>
  <c r="O83" i="85" s="1"/>
  <c r="O84" i="85" s="1"/>
  <c r="E81" i="85"/>
  <c r="E82" i="85" s="1"/>
  <c r="E83" i="85" s="1"/>
  <c r="E84" i="85" s="1"/>
  <c r="CL43" i="70"/>
  <c r="CP43" i="70" s="1"/>
  <c r="CT43" i="70" s="1"/>
  <c r="W4" i="70" s="1"/>
  <c r="R4" i="82"/>
  <c r="N3" i="82"/>
  <c r="V46" i="69"/>
  <c r="V45" i="69"/>
  <c r="V43" i="69"/>
  <c r="V47" i="69"/>
  <c r="V44" i="69"/>
  <c r="AB57" i="85"/>
  <c r="AQ126" i="85"/>
  <c r="BA126" i="85" s="1"/>
  <c r="AQ124" i="85"/>
  <c r="BA124" i="85" s="1"/>
  <c r="AQ122" i="85"/>
  <c r="BA122" i="85" s="1"/>
  <c r="AQ120" i="85"/>
  <c r="BA120" i="85" s="1"/>
  <c r="AQ118" i="85"/>
  <c r="BA118" i="85" s="1"/>
  <c r="AQ116" i="85"/>
  <c r="BA116" i="85" s="1"/>
  <c r="AQ114" i="85"/>
  <c r="BA114" i="85" s="1"/>
  <c r="AQ112" i="85"/>
  <c r="BA112" i="85" s="1"/>
  <c r="AQ110" i="85"/>
  <c r="BA110" i="85" s="1"/>
  <c r="AQ108" i="85"/>
  <c r="BA108" i="85" s="1"/>
  <c r="AQ106" i="85"/>
  <c r="BA106" i="85" s="1"/>
  <c r="AX104" i="85"/>
  <c r="AQ104" i="85"/>
  <c r="X54" i="89"/>
  <c r="X46" i="89"/>
  <c r="CZ37" i="40"/>
  <c r="B123" i="89"/>
  <c r="AB123" i="89"/>
  <c r="AP10" i="86"/>
  <c r="T19" i="86"/>
  <c r="BQ19" i="86"/>
  <c r="T23" i="86"/>
  <c r="BQ23" i="86"/>
  <c r="T27" i="86"/>
  <c r="BQ27" i="86"/>
  <c r="AP48" i="86"/>
  <c r="T57" i="86"/>
  <c r="BQ57" i="86"/>
  <c r="T61" i="86"/>
  <c r="BQ61" i="86"/>
  <c r="T65" i="86"/>
  <c r="BQ65" i="86"/>
  <c r="EM426" i="93"/>
  <c r="EC426" i="93"/>
  <c r="DS426" i="93"/>
  <c r="DD426" i="93"/>
  <c r="CT426" i="93"/>
  <c r="CJ426" i="93"/>
  <c r="EM418" i="93"/>
  <c r="EC418" i="93"/>
  <c r="DS418" i="93"/>
  <c r="DD418" i="93"/>
  <c r="CT418" i="93"/>
  <c r="CJ418" i="93"/>
  <c r="EM410" i="93"/>
  <c r="EC410" i="93"/>
  <c r="DS410" i="93"/>
  <c r="DD410" i="93"/>
  <c r="CT410" i="93"/>
  <c r="CJ410" i="93"/>
  <c r="EM389" i="93"/>
  <c r="EC389" i="93"/>
  <c r="DS389" i="93"/>
  <c r="DD389" i="93"/>
  <c r="CT389" i="93"/>
  <c r="CJ389" i="93"/>
  <c r="EM381" i="93"/>
  <c r="EC381" i="93"/>
  <c r="DS381" i="93"/>
  <c r="DD381" i="93"/>
  <c r="CT381" i="93"/>
  <c r="CJ381" i="93"/>
  <c r="EM373" i="93"/>
  <c r="EC373" i="93"/>
  <c r="DS373" i="93"/>
  <c r="DD373" i="93"/>
  <c r="CT373" i="93"/>
  <c r="CJ373" i="93"/>
  <c r="EM352" i="93"/>
  <c r="EC352" i="93"/>
  <c r="DS352" i="93"/>
  <c r="DD352" i="93"/>
  <c r="CT352" i="93"/>
  <c r="CJ352" i="93"/>
  <c r="EM344" i="93"/>
  <c r="EC344" i="93"/>
  <c r="DS344" i="93"/>
  <c r="DD344" i="93"/>
  <c r="CT344" i="93"/>
  <c r="CJ344" i="93"/>
  <c r="EM336" i="93"/>
  <c r="EC336" i="93"/>
  <c r="DS336" i="93"/>
  <c r="DD336" i="93"/>
  <c r="CT336" i="93"/>
  <c r="CJ336" i="93"/>
  <c r="EM315" i="93"/>
  <c r="EC315" i="93"/>
  <c r="DS315" i="93"/>
  <c r="DD315" i="93"/>
  <c r="CT315" i="93"/>
  <c r="CJ315" i="93"/>
  <c r="EM307" i="93"/>
  <c r="EC307" i="93"/>
  <c r="DS307" i="93"/>
  <c r="DD307" i="93"/>
  <c r="CT307" i="93"/>
  <c r="CJ307" i="93"/>
  <c r="EM299" i="93"/>
  <c r="EC299" i="93"/>
  <c r="DS299" i="93"/>
  <c r="DD299" i="93"/>
  <c r="CT299" i="93"/>
  <c r="CJ299" i="93"/>
  <c r="EM278" i="93"/>
  <c r="EC278" i="93"/>
  <c r="DS278" i="93"/>
  <c r="DD278" i="93"/>
  <c r="CT278" i="93"/>
  <c r="CJ278" i="93"/>
  <c r="EM270" i="93"/>
  <c r="EC270" i="93"/>
  <c r="DS270" i="93"/>
  <c r="DD270" i="93"/>
  <c r="CT270" i="93"/>
  <c r="CJ270" i="93"/>
  <c r="EM262" i="93"/>
  <c r="EC262" i="93"/>
  <c r="DS262" i="93"/>
  <c r="DD262" i="93"/>
  <c r="CT262" i="93"/>
  <c r="CJ262" i="93"/>
  <c r="EM241" i="93"/>
  <c r="EC241" i="93"/>
  <c r="DS241" i="93"/>
  <c r="DD241" i="93"/>
  <c r="CT241" i="93"/>
  <c r="CJ241" i="93"/>
  <c r="EM233" i="93"/>
  <c r="EC233" i="93"/>
  <c r="DS233" i="93"/>
  <c r="DD233" i="93"/>
  <c r="CT233" i="93"/>
  <c r="CJ233" i="93"/>
  <c r="EM225" i="93"/>
  <c r="EC225" i="93"/>
  <c r="DS225" i="93"/>
  <c r="DD225" i="93"/>
  <c r="CT225" i="93"/>
  <c r="CJ225" i="93"/>
  <c r="EM204" i="93"/>
  <c r="EC204" i="93"/>
  <c r="DS204" i="93"/>
  <c r="DD204" i="93"/>
  <c r="CT204" i="93"/>
  <c r="CJ204" i="93"/>
  <c r="EM196" i="93"/>
  <c r="EC196" i="93"/>
  <c r="DS196" i="93"/>
  <c r="DD196" i="93"/>
  <c r="CT196" i="93"/>
  <c r="CJ196" i="93"/>
  <c r="EM188" i="93"/>
  <c r="EC188" i="93"/>
  <c r="DS188" i="93"/>
  <c r="DD188" i="93"/>
  <c r="CT188" i="93"/>
  <c r="CJ188" i="93"/>
  <c r="EM167" i="93"/>
  <c r="EC167" i="93"/>
  <c r="DS167" i="93"/>
  <c r="DD167" i="93"/>
  <c r="CT167" i="93"/>
  <c r="CJ167" i="93"/>
  <c r="EM159" i="93"/>
  <c r="EC159" i="93"/>
  <c r="DS159" i="93"/>
  <c r="DD159" i="93"/>
  <c r="CT159" i="93"/>
  <c r="CJ159" i="93"/>
  <c r="EM151" i="93"/>
  <c r="EC151" i="93"/>
  <c r="DS151" i="93"/>
  <c r="DD151" i="93"/>
  <c r="CT151" i="93"/>
  <c r="CJ151" i="93"/>
  <c r="EM130" i="93"/>
  <c r="EC130" i="93"/>
  <c r="DS130" i="93"/>
  <c r="EM122" i="93"/>
  <c r="EC122" i="93"/>
  <c r="DS122" i="93"/>
  <c r="EM114" i="93"/>
  <c r="EC114" i="93"/>
  <c r="DS114" i="93"/>
  <c r="DD130" i="93"/>
  <c r="CT130" i="93"/>
  <c r="CJ130" i="93"/>
  <c r="DD122" i="93"/>
  <c r="CT122" i="93"/>
  <c r="CJ122" i="93"/>
  <c r="DD19" i="93"/>
  <c r="DS11" i="93"/>
  <c r="DD114" i="93"/>
  <c r="CT114" i="93"/>
  <c r="CJ114" i="93"/>
  <c r="EM27" i="93"/>
  <c r="DS27" i="93"/>
  <c r="AM96" i="93"/>
  <c r="CE18" i="93"/>
  <c r="CE17" i="93"/>
  <c r="CE12" i="93"/>
  <c r="AN32" i="93"/>
  <c r="P13" i="82" l="1" a="1"/>
  <c r="P13" i="82" s="1"/>
  <c r="V4" i="82"/>
  <c r="V3" i="82" s="1"/>
  <c r="T4" i="82"/>
  <c r="R12" i="82"/>
  <c r="R13" i="82" s="1" a="1"/>
  <c r="R13" i="82" s="1"/>
  <c r="T12" i="82"/>
  <c r="AI84" i="85"/>
  <c r="BC88" i="85"/>
  <c r="BC89" i="85" s="1"/>
  <c r="BC90" i="85" s="1"/>
  <c r="AS83" i="85"/>
  <c r="AS84" i="85" s="1"/>
  <c r="AS85" i="85" s="1"/>
  <c r="BM83" i="85"/>
  <c r="BM84" i="85" s="1"/>
  <c r="BM85" i="85" s="1"/>
  <c r="BM86" i="85" s="1"/>
  <c r="AI85" i="85"/>
  <c r="AI86" i="85" s="1"/>
  <c r="AI87" i="85" s="1"/>
  <c r="Y84" i="85"/>
  <c r="Y85" i="85" s="1"/>
  <c r="Y86" i="85" s="1"/>
  <c r="Y87" i="85" s="1"/>
  <c r="Y96" i="85" s="1"/>
  <c r="O85" i="85"/>
  <c r="O87" i="85"/>
  <c r="E85" i="85"/>
  <c r="AP17" i="86"/>
  <c r="AP7" i="86" s="1"/>
  <c r="R3" i="82"/>
  <c r="BD458" i="93"/>
  <c r="X458" i="93"/>
  <c r="AN459" i="93"/>
  <c r="AB462" i="93"/>
  <c r="AZ462" i="93"/>
  <c r="AN462" i="93"/>
  <c r="CE16" i="93"/>
  <c r="CE15" i="93"/>
  <c r="CE14" i="93"/>
  <c r="AN450" i="93" s="1"/>
  <c r="AP55" i="86"/>
  <c r="AP45" i="86" s="1"/>
  <c r="AJ446" i="93"/>
  <c r="AN444" i="93"/>
  <c r="AR446" i="93"/>
  <c r="CJ11" i="93"/>
  <c r="CT11" i="93"/>
  <c r="DS19" i="93"/>
  <c r="EC27" i="93"/>
  <c r="DD11" i="93"/>
  <c r="EC19" i="93"/>
  <c r="EM19" i="93"/>
  <c r="EC11" i="93"/>
  <c r="CJ27" i="93"/>
  <c r="EM11" i="93"/>
  <c r="CT27" i="93"/>
  <c r="CJ19" i="93"/>
  <c r="DD27" i="93"/>
  <c r="CT19" i="93"/>
  <c r="AN96" i="93"/>
  <c r="CE20" i="93"/>
  <c r="AV466" i="93" s="1"/>
  <c r="CE19" i="93"/>
  <c r="BH11" i="85"/>
  <c r="CE13" i="93" l="1"/>
  <c r="AN447" i="93" s="1"/>
  <c r="T13" i="82" a="1"/>
  <c r="T13" i="82" s="1"/>
  <c r="X4" i="82"/>
  <c r="Z4" i="82"/>
  <c r="AB12" i="82" s="1"/>
  <c r="X12" i="82"/>
  <c r="V12" i="82"/>
  <c r="V13" i="82" s="1" a="1"/>
  <c r="V13" i="82" s="1"/>
  <c r="AI96" i="85"/>
  <c r="AR72" i="85" s="1"/>
  <c r="BC91" i="85"/>
  <c r="AS86" i="85"/>
  <c r="AS87" i="85" s="1"/>
  <c r="AS88" i="85" s="1"/>
  <c r="O96" i="85"/>
  <c r="X72" i="85" s="1"/>
  <c r="BM87" i="85"/>
  <c r="BM96" i="85" s="1"/>
  <c r="E86" i="85"/>
  <c r="E87" i="85" s="1"/>
  <c r="E96" i="85" s="1"/>
  <c r="N72" i="85" s="1"/>
  <c r="AR462" i="93"/>
  <c r="AJ462" i="93"/>
  <c r="AN465" i="93"/>
  <c r="AV458" i="93"/>
  <c r="AF458" i="93"/>
  <c r="AN456" i="93"/>
  <c r="AF466" i="93"/>
  <c r="AJ454" i="93"/>
  <c r="AR454" i="93"/>
  <c r="AN468" i="93"/>
  <c r="AZ454" i="93"/>
  <c r="AB454" i="93"/>
  <c r="AN453" i="93"/>
  <c r="DN9" i="93"/>
  <c r="FR24" i="40"/>
  <c r="FT24" i="40" s="1"/>
  <c r="HN24" i="40"/>
  <c r="FR26" i="40"/>
  <c r="FT26" i="40" s="1"/>
  <c r="HN26" i="40"/>
  <c r="FR28" i="40"/>
  <c r="FT28" i="40" s="1"/>
  <c r="HN28" i="40"/>
  <c r="FR30" i="40"/>
  <c r="FT30" i="40" s="1"/>
  <c r="HN30" i="40"/>
  <c r="FR32" i="40"/>
  <c r="FV32" i="40" s="1" a="1"/>
  <c r="FV32" i="40" s="1"/>
  <c r="HN32" i="40"/>
  <c r="FR34" i="40"/>
  <c r="FV34" i="40" s="1" a="1"/>
  <c r="FV34" i="40" s="1"/>
  <c r="GH34" i="40"/>
  <c r="GX34" i="40"/>
  <c r="HN34" i="40"/>
  <c r="FR36" i="40"/>
  <c r="FT36" i="40" s="1"/>
  <c r="GH36" i="40"/>
  <c r="GX36" i="40"/>
  <c r="HN36" i="40"/>
  <c r="FR38" i="40"/>
  <c r="FT38" i="40" s="1"/>
  <c r="GH38" i="40"/>
  <c r="GX38" i="40"/>
  <c r="HN38" i="40"/>
  <c r="FR40" i="40"/>
  <c r="FV40" i="40" s="1" a="1"/>
  <c r="FV40" i="40" s="1"/>
  <c r="GH40" i="40"/>
  <c r="GX40" i="40"/>
  <c r="HN40" i="40"/>
  <c r="FR42" i="40"/>
  <c r="FT42" i="40" s="1"/>
  <c r="GH42" i="40"/>
  <c r="GX42" i="40"/>
  <c r="HN42" i="40"/>
  <c r="FR44" i="40"/>
  <c r="FT44" i="40" s="1"/>
  <c r="GH44" i="40"/>
  <c r="GX44" i="40"/>
  <c r="HN44" i="40"/>
  <c r="FR46" i="40"/>
  <c r="FV46" i="40" s="1" a="1"/>
  <c r="FV46" i="40" s="1"/>
  <c r="GH46" i="40"/>
  <c r="GX46" i="40"/>
  <c r="HN46" i="40"/>
  <c r="FR48" i="40"/>
  <c r="FT48" i="40" s="1"/>
  <c r="GH48" i="40"/>
  <c r="GX48" i="40"/>
  <c r="HN48" i="40"/>
  <c r="FR50" i="40"/>
  <c r="FT50" i="40" s="1"/>
  <c r="GH50" i="40"/>
  <c r="GX50" i="40"/>
  <c r="HN50" i="40"/>
  <c r="FR52" i="40"/>
  <c r="FT52" i="40" s="1"/>
  <c r="GH52" i="40"/>
  <c r="GX52" i="40"/>
  <c r="HN52" i="40"/>
  <c r="FR54" i="40"/>
  <c r="FV54" i="40" s="1" a="1"/>
  <c r="FV54" i="40" s="1"/>
  <c r="GH54" i="40"/>
  <c r="GX54" i="40"/>
  <c r="HN54" i="40"/>
  <c r="FR56" i="40"/>
  <c r="FT56" i="40" s="1"/>
  <c r="GH56" i="40"/>
  <c r="GX56" i="40"/>
  <c r="HN56" i="40"/>
  <c r="DY37" i="43"/>
  <c r="DY38" i="43"/>
  <c r="Z3" i="82" l="1"/>
  <c r="AF450" i="93"/>
  <c r="CE22" i="93"/>
  <c r="AV450" i="93"/>
  <c r="Z12" i="82"/>
  <c r="Z13" i="82" s="1" a="1"/>
  <c r="Z13" i="82" s="1"/>
  <c r="GZ56" i="40"/>
  <c r="HP44" i="40"/>
  <c r="HU44" i="40"/>
  <c r="HP32" i="40"/>
  <c r="X13" i="82" a="1"/>
  <c r="X13" i="82" s="1"/>
  <c r="AB4" i="82"/>
  <c r="AD4" i="82"/>
  <c r="AD3" i="82" s="1"/>
  <c r="HR56" i="40" a="1"/>
  <c r="HR56" i="40" s="1"/>
  <c r="GZ40" i="40"/>
  <c r="FY56" i="40"/>
  <c r="GZ36" i="40"/>
  <c r="HB38" i="40" a="1"/>
  <c r="HB38" i="40" s="1"/>
  <c r="BC92" i="85"/>
  <c r="BC96" i="85" s="1"/>
  <c r="AS89" i="85"/>
  <c r="AS90" i="85" s="1"/>
  <c r="AS91" i="85" s="1"/>
  <c r="AS92" i="85" s="1"/>
  <c r="HP54" i="40"/>
  <c r="HP52" i="40"/>
  <c r="GZ54" i="40"/>
  <c r="HP42" i="40"/>
  <c r="HP40" i="40"/>
  <c r="HR50" i="40" a="1"/>
  <c r="HR50" i="40" s="1"/>
  <c r="HU50" i="40"/>
  <c r="GJ56" i="40"/>
  <c r="GJ54" i="40"/>
  <c r="GL48" i="40" a="1"/>
  <c r="GL48" i="40" s="1"/>
  <c r="HP38" i="40"/>
  <c r="GZ48" i="40"/>
  <c r="GL52" i="40" a="1"/>
  <c r="GL52" i="40" s="1"/>
  <c r="GJ44" i="40"/>
  <c r="GJ36" i="40"/>
  <c r="GJ46" i="40"/>
  <c r="HP46" i="40"/>
  <c r="HR34" i="40" a="1"/>
  <c r="HR34" i="40" s="1"/>
  <c r="HP28" i="40"/>
  <c r="GL50" i="40" a="1"/>
  <c r="GL50" i="40" s="1"/>
  <c r="GZ44" i="40"/>
  <c r="GZ50" i="40"/>
  <c r="GZ46" i="40"/>
  <c r="GZ42" i="40"/>
  <c r="GZ34" i="40"/>
  <c r="GL42" i="40" a="1"/>
  <c r="GL42" i="40" s="1"/>
  <c r="GJ38" i="40"/>
  <c r="GJ34" i="40"/>
  <c r="HP26" i="40"/>
  <c r="HP48" i="40"/>
  <c r="HP36" i="40"/>
  <c r="HP24" i="40"/>
  <c r="GJ40" i="40"/>
  <c r="HR30" i="40" a="1"/>
  <c r="HR30" i="40" s="1"/>
  <c r="GJ42" i="40"/>
  <c r="GL38" i="40" a="1"/>
  <c r="GL38" i="40" s="1"/>
  <c r="FT54" i="40"/>
  <c r="HR54" i="40" a="1"/>
  <c r="HR54" i="40" s="1"/>
  <c r="HR46" i="40" a="1"/>
  <c r="HR46" i="40" s="1"/>
  <c r="FV44" i="40" a="1"/>
  <c r="FV44" i="40" s="1"/>
  <c r="BC3" i="93" a="1"/>
  <c r="BC3" i="93" s="1"/>
  <c r="Y3" i="93" a="1"/>
  <c r="Y3" i="93" s="1"/>
  <c r="HB52" i="40" a="1"/>
  <c r="HB52" i="40" s="1"/>
  <c r="GZ52" i="40"/>
  <c r="HB56" i="40" a="1"/>
  <c r="HB56" i="40" s="1"/>
  <c r="FT32" i="40"/>
  <c r="HB50" i="40" a="1"/>
  <c r="HB50" i="40" s="1"/>
  <c r="HP30" i="40"/>
  <c r="GJ52" i="40"/>
  <c r="GL46" i="40" a="1"/>
  <c r="GL46" i="40" s="1"/>
  <c r="GL56" i="40" a="1"/>
  <c r="GL56" i="40" s="1"/>
  <c r="HR32" i="40" a="1"/>
  <c r="HR32" i="40" s="1"/>
  <c r="HR28" i="40" a="1"/>
  <c r="HR28" i="40" s="1"/>
  <c r="GJ48" i="40"/>
  <c r="HB40" i="40" a="1"/>
  <c r="HB40" i="40" s="1"/>
  <c r="GL36" i="40" a="1"/>
  <c r="GL36" i="40" s="1"/>
  <c r="FT34" i="40"/>
  <c r="HR26" i="40" a="1"/>
  <c r="HR26" i="40" s="1"/>
  <c r="GL40" i="40" a="1"/>
  <c r="GL40" i="40" s="1"/>
  <c r="FT46" i="40"/>
  <c r="FV42" i="40" a="1"/>
  <c r="FV42" i="40" s="1"/>
  <c r="HP34" i="40"/>
  <c r="GJ50" i="40"/>
  <c r="FT40" i="40"/>
  <c r="FV38" i="40" a="1"/>
  <c r="FV38" i="40" s="1"/>
  <c r="FV26" i="40" a="1"/>
  <c r="FV26" i="40" s="1"/>
  <c r="HP56" i="40"/>
  <c r="HU56" i="40" s="1"/>
  <c r="FV50" i="40" a="1"/>
  <c r="FV50" i="40" s="1"/>
  <c r="HR44" i="40" a="1"/>
  <c r="HR44" i="40" s="1"/>
  <c r="HB42" i="40" a="1"/>
  <c r="HB42" i="40" s="1"/>
  <c r="HR38" i="40" a="1"/>
  <c r="HR38" i="40" s="1"/>
  <c r="GL34" i="40" a="1"/>
  <c r="GL34" i="40" s="1"/>
  <c r="FV24" i="40" a="1"/>
  <c r="FV24" i="40" s="1"/>
  <c r="HB44" i="40" a="1"/>
  <c r="HB44" i="40" s="1"/>
  <c r="GL54" i="40" a="1"/>
  <c r="GL54" i="40" s="1"/>
  <c r="HR48" i="40" a="1"/>
  <c r="HR48" i="40" s="1"/>
  <c r="FV28" i="40" a="1"/>
  <c r="FV28" i="40" s="1"/>
  <c r="FV52" i="40" a="1"/>
  <c r="FV52" i="40" s="1"/>
  <c r="HB46" i="40" a="1"/>
  <c r="HB46" i="40" s="1"/>
  <c r="HR40" i="40" a="1"/>
  <c r="HR40" i="40" s="1"/>
  <c r="HB34" i="40" a="1"/>
  <c r="HB34" i="40" s="1"/>
  <c r="HR36" i="40" a="1"/>
  <c r="HR36" i="40" s="1"/>
  <c r="FV30" i="40" a="1"/>
  <c r="FV30" i="40" s="1"/>
  <c r="HR24" i="40" a="1"/>
  <c r="HR24" i="40" s="1"/>
  <c r="FV56" i="40" a="1"/>
  <c r="FV56" i="40" s="1"/>
  <c r="HB54" i="40" a="1"/>
  <c r="HB54" i="40" s="1"/>
  <c r="HE54" i="40" s="1"/>
  <c r="GL44" i="40" a="1"/>
  <c r="GL44" i="40" s="1"/>
  <c r="HR42" i="40" a="1"/>
  <c r="HR42" i="40" s="1"/>
  <c r="FV36" i="40" a="1"/>
  <c r="FV36" i="40" s="1"/>
  <c r="HB48" i="40" a="1"/>
  <c r="HB48" i="40" s="1"/>
  <c r="HE48" i="40" s="1"/>
  <c r="FV48" i="40" a="1"/>
  <c r="FV48" i="40" s="1"/>
  <c r="GZ38" i="40"/>
  <c r="HR52" i="40" a="1"/>
  <c r="HR52" i="40" s="1"/>
  <c r="HU52" i="40" s="1"/>
  <c r="HP50" i="40"/>
  <c r="HB36" i="40" a="1"/>
  <c r="HB36" i="40" s="1"/>
  <c r="AV52" i="16"/>
  <c r="BO91" i="77"/>
  <c r="BF91" i="77"/>
  <c r="AW91" i="77"/>
  <c r="AN91" i="77"/>
  <c r="AE91" i="77"/>
  <c r="V91" i="77"/>
  <c r="M91" i="77"/>
  <c r="BF50" i="40"/>
  <c r="AC122" i="89"/>
  <c r="AC37" i="89" s="1"/>
  <c r="BB123" i="89"/>
  <c r="CD81" i="89"/>
  <c r="CD83" i="89"/>
  <c r="CD85" i="89"/>
  <c r="CD87" i="89"/>
  <c r="CD89" i="89"/>
  <c r="CD91" i="89"/>
  <c r="CD93" i="89"/>
  <c r="HU32" i="40" l="1"/>
  <c r="AR470" i="93"/>
  <c r="CQ44" i="68"/>
  <c r="CW44" i="68" s="1"/>
  <c r="CZ44" i="68" s="1"/>
  <c r="CN51" i="16" s="1"/>
  <c r="CQ51" i="16" s="1"/>
  <c r="AX47" i="43" s="1"/>
  <c r="HE56" i="40"/>
  <c r="AM6" i="93" a="1"/>
  <c r="AM6" i="93" s="1"/>
  <c r="AJ470" i="93"/>
  <c r="AN471" i="93"/>
  <c r="AB13" i="82" a="1"/>
  <c r="AB13" i="82" s="1"/>
  <c r="AD12" i="82"/>
  <c r="AD13" i="82" s="1" a="1"/>
  <c r="AD13" i="82" s="1"/>
  <c r="AF12" i="82"/>
  <c r="AF4" i="82"/>
  <c r="AH4" i="82"/>
  <c r="AJ12" i="82" s="1"/>
  <c r="HU54" i="40"/>
  <c r="HE40" i="40"/>
  <c r="HE52" i="40"/>
  <c r="HE38" i="40"/>
  <c r="HE36" i="40"/>
  <c r="GO46" i="40"/>
  <c r="AV53" i="16"/>
  <c r="HU40" i="40"/>
  <c r="AS96" i="85"/>
  <c r="HU42" i="40"/>
  <c r="HU38" i="40"/>
  <c r="GO36" i="40"/>
  <c r="GO44" i="40"/>
  <c r="GO56" i="40"/>
  <c r="HU28" i="40"/>
  <c r="GO48" i="40"/>
  <c r="HU30" i="40"/>
  <c r="HU36" i="40"/>
  <c r="GO52" i="40"/>
  <c r="GO54" i="40"/>
  <c r="GO50" i="40"/>
  <c r="HU24" i="40"/>
  <c r="GO40" i="40"/>
  <c r="HE46" i="40"/>
  <c r="HE50" i="40"/>
  <c r="GO34" i="40"/>
  <c r="GO38" i="40"/>
  <c r="HU34" i="40"/>
  <c r="HE42" i="40"/>
  <c r="HE34" i="40"/>
  <c r="HU48" i="40"/>
  <c r="HU46" i="40"/>
  <c r="GO42" i="40"/>
  <c r="HE44" i="40"/>
  <c r="HU26" i="40"/>
  <c r="X50" i="89"/>
  <c r="BZ35" i="40"/>
  <c r="J143" i="82"/>
  <c r="N143" i="82" s="1"/>
  <c r="R143" i="82" s="1"/>
  <c r="V143" i="82" s="1"/>
  <c r="Z143" i="82" s="1"/>
  <c r="AD143" i="82" s="1"/>
  <c r="AH143" i="82" s="1"/>
  <c r="AL143" i="82" s="1"/>
  <c r="AP143" i="82" s="1"/>
  <c r="AT143" i="82" s="1"/>
  <c r="AX143" i="82" s="1"/>
  <c r="BB143" i="82" s="1"/>
  <c r="BF143" i="82" s="1"/>
  <c r="BJ143" i="82" s="1"/>
  <c r="BN143" i="82" s="1"/>
  <c r="BR143" i="82" s="1"/>
  <c r="BV143" i="82" s="1"/>
  <c r="J141" i="82"/>
  <c r="N141" i="82" s="1"/>
  <c r="R141" i="82" s="1"/>
  <c r="V141" i="82" s="1"/>
  <c r="Z141" i="82" s="1"/>
  <c r="AD141" i="82" s="1"/>
  <c r="AH141" i="82" s="1"/>
  <c r="AL141" i="82" s="1"/>
  <c r="AP141" i="82" s="1"/>
  <c r="AT141" i="82" s="1"/>
  <c r="AX141" i="82" s="1"/>
  <c r="BB141" i="82" s="1"/>
  <c r="BF141" i="82" s="1"/>
  <c r="BJ141" i="82" s="1"/>
  <c r="BN141" i="82" s="1"/>
  <c r="BR141" i="82" s="1"/>
  <c r="BV141" i="82" s="1"/>
  <c r="J139" i="82"/>
  <c r="N139" i="82" s="1"/>
  <c r="R139" i="82" s="1"/>
  <c r="V139" i="82" s="1"/>
  <c r="Z139" i="82" s="1"/>
  <c r="AD139" i="82" s="1"/>
  <c r="AH139" i="82" s="1"/>
  <c r="AL139" i="82" s="1"/>
  <c r="AP139" i="82" s="1"/>
  <c r="AT139" i="82" s="1"/>
  <c r="AX139" i="82" s="1"/>
  <c r="BB139" i="82" s="1"/>
  <c r="BF139" i="82" s="1"/>
  <c r="BJ139" i="82" s="1"/>
  <c r="BN139" i="82" s="1"/>
  <c r="BR139" i="82" s="1"/>
  <c r="BV139" i="82" s="1"/>
  <c r="J137" i="82"/>
  <c r="N137" i="82" s="1"/>
  <c r="R137" i="82" s="1"/>
  <c r="V137" i="82" s="1"/>
  <c r="Z137" i="82" s="1"/>
  <c r="AD137" i="82" s="1"/>
  <c r="AH137" i="82" s="1"/>
  <c r="AL137" i="82" s="1"/>
  <c r="AP137" i="82" s="1"/>
  <c r="AT137" i="82" s="1"/>
  <c r="AX137" i="82" s="1"/>
  <c r="BB137" i="82" s="1"/>
  <c r="BF137" i="82" s="1"/>
  <c r="BJ137" i="82" s="1"/>
  <c r="BN137" i="82" s="1"/>
  <c r="BR137" i="82" s="1"/>
  <c r="BV137" i="82" s="1"/>
  <c r="J135" i="82"/>
  <c r="N135" i="82" s="1"/>
  <c r="R135" i="82" s="1"/>
  <c r="V135" i="82" s="1"/>
  <c r="Z135" i="82" s="1"/>
  <c r="AD135" i="82" s="1"/>
  <c r="AH135" i="82" s="1"/>
  <c r="AL135" i="82" s="1"/>
  <c r="AP135" i="82" s="1"/>
  <c r="AT135" i="82" s="1"/>
  <c r="AX135" i="82" s="1"/>
  <c r="BB135" i="82" s="1"/>
  <c r="BF135" i="82" s="1"/>
  <c r="BJ135" i="82" s="1"/>
  <c r="BN135" i="82" s="1"/>
  <c r="BR135" i="82" s="1"/>
  <c r="BV135" i="82" s="1"/>
  <c r="J133" i="82"/>
  <c r="N133" i="82" s="1"/>
  <c r="R133" i="82" s="1"/>
  <c r="V133" i="82" s="1"/>
  <c r="Z133" i="82" s="1"/>
  <c r="AD133" i="82" s="1"/>
  <c r="AH133" i="82" s="1"/>
  <c r="AL133" i="82" s="1"/>
  <c r="AP133" i="82" s="1"/>
  <c r="AT133" i="82" s="1"/>
  <c r="AX133" i="82" s="1"/>
  <c r="BB133" i="82" s="1"/>
  <c r="BF133" i="82" s="1"/>
  <c r="BJ133" i="82" s="1"/>
  <c r="BN133" i="82" s="1"/>
  <c r="BR133" i="82" s="1"/>
  <c r="BV133" i="82" s="1"/>
  <c r="J131" i="82"/>
  <c r="N131" i="82" s="1"/>
  <c r="R131" i="82" s="1"/>
  <c r="V131" i="82" s="1"/>
  <c r="Z131" i="82" s="1"/>
  <c r="AD131" i="82" s="1"/>
  <c r="AH131" i="82" s="1"/>
  <c r="AL131" i="82" s="1"/>
  <c r="AP131" i="82" s="1"/>
  <c r="AT131" i="82" s="1"/>
  <c r="AX131" i="82" s="1"/>
  <c r="BB131" i="82" s="1"/>
  <c r="BF131" i="82" s="1"/>
  <c r="BJ131" i="82" s="1"/>
  <c r="BN131" i="82" s="1"/>
  <c r="BR131" i="82" s="1"/>
  <c r="BV131" i="82" s="1"/>
  <c r="BT67" i="85" l="1" a="1"/>
  <c r="BT67" i="85" s="1"/>
  <c r="BT66" i="85" s="1" a="1"/>
  <c r="BT66" i="85" s="1"/>
  <c r="BB72" i="85"/>
  <c r="AH12" i="82"/>
  <c r="AH13" i="82" s="1" a="1"/>
  <c r="AH13" i="82" s="1"/>
  <c r="AF13" i="82" a="1"/>
  <c r="AF13" i="82" s="1"/>
  <c r="AL4" i="82"/>
  <c r="AL3" i="82" s="1"/>
  <c r="AJ4" i="82"/>
  <c r="AH3" i="82"/>
  <c r="AK2" i="16"/>
  <c r="CU123" i="89"/>
  <c r="CO123" i="89"/>
  <c r="CR123" i="89"/>
  <c r="AL12" i="82" l="1"/>
  <c r="AL13" i="82" s="1" a="1"/>
  <c r="AL13" i="82" s="1"/>
  <c r="AJ13" i="82" a="1"/>
  <c r="AJ13" i="82" s="1"/>
  <c r="AN12" i="82"/>
  <c r="AN4" i="82"/>
  <c r="AP4" i="82"/>
  <c r="AR12" i="82" s="1"/>
  <c r="AN13" i="82" l="1" a="1"/>
  <c r="AN13" i="82" s="1"/>
  <c r="AP3" i="82"/>
  <c r="AP12" i="82"/>
  <c r="AP13" i="82" s="1" a="1"/>
  <c r="AP13" i="82" s="1"/>
  <c r="AR4" i="82"/>
  <c r="AT4" i="82"/>
  <c r="AT12" i="82" s="1"/>
  <c r="AT13" i="82" s="1" a="1"/>
  <c r="AT13" i="82" s="1"/>
  <c r="AT3" i="82" l="1"/>
  <c r="AV12" i="82"/>
  <c r="AV13" i="82" s="1" a="1"/>
  <c r="AV13" i="82" s="1"/>
  <c r="AR13" i="82" a="1"/>
  <c r="AR13" i="82" s="1"/>
  <c r="AV4" i="82"/>
  <c r="AX4" i="82"/>
  <c r="AX12" i="82" s="1"/>
  <c r="BF49" i="40"/>
  <c r="ED90" i="69"/>
  <c r="ED82" i="69"/>
  <c r="ED74" i="69"/>
  <c r="DY90" i="69"/>
  <c r="DY82" i="69"/>
  <c r="DY74" i="69"/>
  <c r="R29" i="85"/>
  <c r="R23" i="85"/>
  <c r="R17" i="85"/>
  <c r="R11" i="85"/>
  <c r="I29" i="85"/>
  <c r="I23" i="85"/>
  <c r="I17" i="85"/>
  <c r="I11" i="85"/>
  <c r="DB83" i="82"/>
  <c r="DB81" i="82"/>
  <c r="DB79" i="82"/>
  <c r="DB77" i="82"/>
  <c r="CT83" i="82"/>
  <c r="CT81" i="82"/>
  <c r="CT79" i="82"/>
  <c r="CT77" i="82"/>
  <c r="CL83" i="82"/>
  <c r="CL81" i="82"/>
  <c r="CL79" i="82"/>
  <c r="CL77" i="82"/>
  <c r="CD83" i="82"/>
  <c r="CD81" i="82"/>
  <c r="CD79" i="82"/>
  <c r="CD77" i="82"/>
  <c r="CQ41" i="43"/>
  <c r="CQ42" i="43"/>
  <c r="CQ43" i="43"/>
  <c r="CQ44" i="43"/>
  <c r="CQ45" i="43"/>
  <c r="CQ46" i="43"/>
  <c r="CU46" i="43"/>
  <c r="A74" i="43"/>
  <c r="C74" i="43"/>
  <c r="E74" i="43"/>
  <c r="G74" i="43"/>
  <c r="I74" i="43"/>
  <c r="K74" i="43"/>
  <c r="BP74" i="43"/>
  <c r="BR74" i="43"/>
  <c r="BT74" i="43"/>
  <c r="BV74" i="43"/>
  <c r="BX74" i="43"/>
  <c r="BZ74" i="43"/>
  <c r="AX13" i="82" l="1" a="1"/>
  <c r="AX13" i="82" s="1"/>
  <c r="AX3" i="82"/>
  <c r="AZ12" i="82"/>
  <c r="AZ13" i="82" s="1" a="1"/>
  <c r="AZ13" i="82" s="1"/>
  <c r="AZ4" i="82"/>
  <c r="BB4" i="82"/>
  <c r="BD12" i="82" s="1"/>
  <c r="Y113" i="69"/>
  <c r="Y111" i="69" s="1"/>
  <c r="CO66" i="69"/>
  <c r="Y155" i="69"/>
  <c r="Y153" i="69" s="1"/>
  <c r="Y109" i="69"/>
  <c r="Y107" i="69" s="1"/>
  <c r="Y151" i="69"/>
  <c r="Y149" i="69" s="1"/>
  <c r="CO65" i="69"/>
  <c r="BC109" i="69"/>
  <c r="BC107" i="69" s="1"/>
  <c r="CO74" i="69"/>
  <c r="BC151" i="69"/>
  <c r="BC149" i="69" s="1"/>
  <c r="Y105" i="69"/>
  <c r="Y103" i="69" s="1"/>
  <c r="Y147" i="69"/>
  <c r="Y145" i="69" s="1"/>
  <c r="CO64" i="69"/>
  <c r="BC105" i="69"/>
  <c r="BC103" i="69" s="1"/>
  <c r="BC147" i="69"/>
  <c r="BC145" i="69" s="1"/>
  <c r="CO73" i="69"/>
  <c r="Y143" i="69"/>
  <c r="Y141" i="69" s="1"/>
  <c r="CO63" i="69"/>
  <c r="Y139" i="69"/>
  <c r="Y137" i="69" s="1"/>
  <c r="CO62" i="69"/>
  <c r="CO61" i="69"/>
  <c r="Y135" i="69"/>
  <c r="Y133" i="69" s="1"/>
  <c r="BC93" i="69"/>
  <c r="BC91" i="69" s="1"/>
  <c r="CO70" i="69"/>
  <c r="BC135" i="69"/>
  <c r="BC133" i="69" s="1"/>
  <c r="BC113" i="69"/>
  <c r="BC111" i="69" s="1"/>
  <c r="CO75" i="69"/>
  <c r="BC155" i="69"/>
  <c r="BC153" i="69" s="1"/>
  <c r="Y85" i="69"/>
  <c r="Y83" i="69" s="1"/>
  <c r="CO59" i="69"/>
  <c r="Y127" i="69"/>
  <c r="Y125" i="69" s="1"/>
  <c r="Y89" i="69"/>
  <c r="Y87" i="69" s="1"/>
  <c r="CO60" i="69"/>
  <c r="Y131" i="69"/>
  <c r="Y129" i="69" s="1"/>
  <c r="CO69" i="69"/>
  <c r="BC131" i="69"/>
  <c r="BC129" i="69" s="1"/>
  <c r="BC143" i="69"/>
  <c r="BC141" i="69" s="1"/>
  <c r="CO72" i="69"/>
  <c r="BC139" i="69"/>
  <c r="BC137" i="69" s="1"/>
  <c r="CO71" i="69"/>
  <c r="Y117" i="69"/>
  <c r="Y115" i="69" s="1"/>
  <c r="Y159" i="69"/>
  <c r="Y157" i="69" s="1"/>
  <c r="CO67" i="69"/>
  <c r="BC127" i="69"/>
  <c r="BC125" i="69" s="1"/>
  <c r="CO68" i="69"/>
  <c r="CO76" i="69"/>
  <c r="BC159" i="69"/>
  <c r="BC157" i="69" s="1"/>
  <c r="Y93" i="69"/>
  <c r="Y91" i="69" s="1"/>
  <c r="Y97" i="69"/>
  <c r="Y95" i="69" s="1"/>
  <c r="BC97" i="69"/>
  <c r="BC95" i="69" s="1"/>
  <c r="Y101" i="69"/>
  <c r="Y99" i="69" s="1"/>
  <c r="BC85" i="69"/>
  <c r="BC83" i="69" s="1"/>
  <c r="BC117" i="69"/>
  <c r="BC115" i="69" s="1"/>
  <c r="BC89" i="69"/>
  <c r="BC87" i="69" s="1"/>
  <c r="BC101" i="69"/>
  <c r="BC99" i="69" s="1"/>
  <c r="CR37" i="89"/>
  <c r="CU22" i="89"/>
  <c r="CR22" i="89"/>
  <c r="CO22" i="89"/>
  <c r="J127" i="82"/>
  <c r="N127" i="82" s="1"/>
  <c r="R127" i="82" s="1"/>
  <c r="V127" i="82" s="1"/>
  <c r="Z127" i="82" s="1"/>
  <c r="AD127" i="82" s="1"/>
  <c r="AH127" i="82" s="1"/>
  <c r="AL127" i="82" s="1"/>
  <c r="AP127" i="82" s="1"/>
  <c r="AT127" i="82" s="1"/>
  <c r="AX127" i="82" s="1"/>
  <c r="BB127" i="82" s="1"/>
  <c r="BF127" i="82" s="1"/>
  <c r="BJ127" i="82" s="1"/>
  <c r="BN127" i="82" s="1"/>
  <c r="BR127" i="82" s="1"/>
  <c r="BV127" i="82" s="1"/>
  <c r="J125" i="82"/>
  <c r="N125" i="82" s="1"/>
  <c r="R125" i="82" s="1"/>
  <c r="V125" i="82" s="1"/>
  <c r="Z125" i="82" s="1"/>
  <c r="AD125" i="82" s="1"/>
  <c r="AH125" i="82" s="1"/>
  <c r="AL125" i="82" s="1"/>
  <c r="AP125" i="82" s="1"/>
  <c r="AT125" i="82" s="1"/>
  <c r="AX125" i="82" s="1"/>
  <c r="BB125" i="82" s="1"/>
  <c r="BF125" i="82" s="1"/>
  <c r="BJ125" i="82" s="1"/>
  <c r="BN125" i="82" s="1"/>
  <c r="BR125" i="82" s="1"/>
  <c r="BV125" i="82" s="1"/>
  <c r="J123" i="82"/>
  <c r="N123" i="82" s="1"/>
  <c r="R123" i="82" s="1"/>
  <c r="V123" i="82" s="1"/>
  <c r="Z123" i="82" s="1"/>
  <c r="AD123" i="82" s="1"/>
  <c r="AH123" i="82" s="1"/>
  <c r="AL123" i="82" s="1"/>
  <c r="AP123" i="82" s="1"/>
  <c r="AT123" i="82" s="1"/>
  <c r="AX123" i="82" s="1"/>
  <c r="BB123" i="82" s="1"/>
  <c r="BF123" i="82" s="1"/>
  <c r="BJ123" i="82" s="1"/>
  <c r="BN123" i="82" s="1"/>
  <c r="BR123" i="82" s="1"/>
  <c r="BV123" i="82" s="1"/>
  <c r="J121" i="82"/>
  <c r="N121" i="82" s="1"/>
  <c r="R121" i="82" s="1"/>
  <c r="V121" i="82" s="1"/>
  <c r="Z121" i="82" s="1"/>
  <c r="AD121" i="82" s="1"/>
  <c r="AH121" i="82" s="1"/>
  <c r="AL121" i="82" s="1"/>
  <c r="AP121" i="82" s="1"/>
  <c r="AT121" i="82" s="1"/>
  <c r="AX121" i="82" s="1"/>
  <c r="BB121" i="82" s="1"/>
  <c r="BF121" i="82" s="1"/>
  <c r="BJ121" i="82" s="1"/>
  <c r="BN121" i="82" s="1"/>
  <c r="BR121" i="82" s="1"/>
  <c r="BV121" i="82" s="1"/>
  <c r="J119" i="82"/>
  <c r="N119" i="82" s="1"/>
  <c r="R119" i="82" s="1"/>
  <c r="V119" i="82" s="1"/>
  <c r="Z119" i="82" s="1"/>
  <c r="AD119" i="82" s="1"/>
  <c r="AH119" i="82" s="1"/>
  <c r="AL119" i="82" s="1"/>
  <c r="AP119" i="82" s="1"/>
  <c r="AT119" i="82" s="1"/>
  <c r="AX119" i="82" s="1"/>
  <c r="BB119" i="82" s="1"/>
  <c r="BF119" i="82" s="1"/>
  <c r="BJ119" i="82" s="1"/>
  <c r="BN119" i="82" s="1"/>
  <c r="BR119" i="82" s="1"/>
  <c r="BV119" i="82" s="1"/>
  <c r="J117" i="82"/>
  <c r="N117" i="82" s="1"/>
  <c r="R117" i="82" s="1"/>
  <c r="V117" i="82" s="1"/>
  <c r="Z117" i="82" s="1"/>
  <c r="AD117" i="82" s="1"/>
  <c r="AH117" i="82" s="1"/>
  <c r="AL117" i="82" s="1"/>
  <c r="AP117" i="82" s="1"/>
  <c r="AT117" i="82" s="1"/>
  <c r="AX117" i="82" s="1"/>
  <c r="BB117" i="82" s="1"/>
  <c r="BF117" i="82" s="1"/>
  <c r="BJ117" i="82" s="1"/>
  <c r="BN117" i="82" s="1"/>
  <c r="BR117" i="82" s="1"/>
  <c r="BV117" i="82" s="1"/>
  <c r="J115" i="82"/>
  <c r="N115" i="82" s="1"/>
  <c r="R115" i="82" s="1"/>
  <c r="V115" i="82" s="1"/>
  <c r="Z115" i="82" s="1"/>
  <c r="AD115" i="82" s="1"/>
  <c r="AH115" i="82" s="1"/>
  <c r="AL115" i="82" s="1"/>
  <c r="AP115" i="82" s="1"/>
  <c r="AT115" i="82" s="1"/>
  <c r="AX115" i="82" s="1"/>
  <c r="BB115" i="82" s="1"/>
  <c r="BF115" i="82" s="1"/>
  <c r="BJ115" i="82" s="1"/>
  <c r="BN115" i="82" s="1"/>
  <c r="BR115" i="82" s="1"/>
  <c r="BV115" i="82" s="1"/>
  <c r="J111" i="82"/>
  <c r="N111" i="82" s="1"/>
  <c r="R111" i="82" s="1"/>
  <c r="V111" i="82" s="1"/>
  <c r="Z111" i="82" s="1"/>
  <c r="AD111" i="82" s="1"/>
  <c r="AH111" i="82" s="1"/>
  <c r="AL111" i="82" s="1"/>
  <c r="AP111" i="82" s="1"/>
  <c r="AT111" i="82" s="1"/>
  <c r="AX111" i="82" s="1"/>
  <c r="BB111" i="82" s="1"/>
  <c r="BF111" i="82" s="1"/>
  <c r="BJ111" i="82" s="1"/>
  <c r="BN111" i="82" s="1"/>
  <c r="BR111" i="82" s="1"/>
  <c r="BV111" i="82" s="1"/>
  <c r="J109" i="82"/>
  <c r="N109" i="82" s="1"/>
  <c r="R109" i="82" s="1"/>
  <c r="V109" i="82" s="1"/>
  <c r="Z109" i="82" s="1"/>
  <c r="AD109" i="82" s="1"/>
  <c r="AH109" i="82" s="1"/>
  <c r="AL109" i="82" s="1"/>
  <c r="AP109" i="82" s="1"/>
  <c r="AT109" i="82" s="1"/>
  <c r="AX109" i="82" s="1"/>
  <c r="BB109" i="82" s="1"/>
  <c r="BF109" i="82" s="1"/>
  <c r="BJ109" i="82" s="1"/>
  <c r="BN109" i="82" s="1"/>
  <c r="BR109" i="82" s="1"/>
  <c r="BV109" i="82" s="1"/>
  <c r="J107" i="82"/>
  <c r="N107" i="82" s="1"/>
  <c r="R107" i="82" s="1"/>
  <c r="V107" i="82" s="1"/>
  <c r="Z107" i="82" s="1"/>
  <c r="AD107" i="82" s="1"/>
  <c r="AH107" i="82" s="1"/>
  <c r="AL107" i="82" s="1"/>
  <c r="AP107" i="82" s="1"/>
  <c r="AT107" i="82" s="1"/>
  <c r="AX107" i="82" s="1"/>
  <c r="BB107" i="82" s="1"/>
  <c r="BF107" i="82" s="1"/>
  <c r="BJ107" i="82" s="1"/>
  <c r="BN107" i="82" s="1"/>
  <c r="BR107" i="82" s="1"/>
  <c r="BV107" i="82" s="1"/>
  <c r="J105" i="82"/>
  <c r="N105" i="82" s="1"/>
  <c r="R105" i="82" s="1"/>
  <c r="V105" i="82" s="1"/>
  <c r="Z105" i="82" s="1"/>
  <c r="AD105" i="82" s="1"/>
  <c r="AH105" i="82" s="1"/>
  <c r="AL105" i="82" s="1"/>
  <c r="AP105" i="82" s="1"/>
  <c r="AT105" i="82" s="1"/>
  <c r="AX105" i="82" s="1"/>
  <c r="BB105" i="82" s="1"/>
  <c r="BF105" i="82" s="1"/>
  <c r="BJ105" i="82" s="1"/>
  <c r="BN105" i="82" s="1"/>
  <c r="BR105" i="82" s="1"/>
  <c r="BV105" i="82" s="1"/>
  <c r="J103" i="82"/>
  <c r="N103" i="82" s="1"/>
  <c r="R103" i="82" s="1"/>
  <c r="V103" i="82" s="1"/>
  <c r="Z103" i="82" s="1"/>
  <c r="AD103" i="82" s="1"/>
  <c r="AH103" i="82" s="1"/>
  <c r="AL103" i="82" s="1"/>
  <c r="AP103" i="82" s="1"/>
  <c r="AT103" i="82" s="1"/>
  <c r="AX103" i="82" s="1"/>
  <c r="BB103" i="82" s="1"/>
  <c r="BF103" i="82" s="1"/>
  <c r="BJ103" i="82" s="1"/>
  <c r="BN103" i="82" s="1"/>
  <c r="BR103" i="82" s="1"/>
  <c r="BV103" i="82" s="1"/>
  <c r="J101" i="82"/>
  <c r="N101" i="82" s="1"/>
  <c r="R101" i="82" s="1"/>
  <c r="V101" i="82" s="1"/>
  <c r="Z101" i="82" s="1"/>
  <c r="AD101" i="82" s="1"/>
  <c r="AH101" i="82" s="1"/>
  <c r="AL101" i="82" s="1"/>
  <c r="AP101" i="82" s="1"/>
  <c r="AT101" i="82" s="1"/>
  <c r="AX101" i="82" s="1"/>
  <c r="BB101" i="82" s="1"/>
  <c r="BF101" i="82" s="1"/>
  <c r="BJ101" i="82" s="1"/>
  <c r="BN101" i="82" s="1"/>
  <c r="BR101" i="82" s="1"/>
  <c r="BV101" i="82" s="1"/>
  <c r="J99" i="82"/>
  <c r="N99" i="82" s="1"/>
  <c r="R99" i="82" s="1"/>
  <c r="V99" i="82" s="1"/>
  <c r="Z99" i="82" s="1"/>
  <c r="AD99" i="82" s="1"/>
  <c r="AH99" i="82" s="1"/>
  <c r="AL99" i="82" s="1"/>
  <c r="AP99" i="82" s="1"/>
  <c r="AT99" i="82" s="1"/>
  <c r="AX99" i="82" s="1"/>
  <c r="BB99" i="82" s="1"/>
  <c r="BF99" i="82" s="1"/>
  <c r="BJ99" i="82" s="1"/>
  <c r="BN99" i="82" s="1"/>
  <c r="BR99" i="82" s="1"/>
  <c r="BV99" i="82" s="1"/>
  <c r="J95" i="82"/>
  <c r="N95" i="82" s="1"/>
  <c r="R95" i="82" s="1"/>
  <c r="V95" i="82" s="1"/>
  <c r="Z95" i="82" s="1"/>
  <c r="AD95" i="82" s="1"/>
  <c r="AH95" i="82" s="1"/>
  <c r="AL95" i="82" s="1"/>
  <c r="AP95" i="82" s="1"/>
  <c r="AT95" i="82" s="1"/>
  <c r="AX95" i="82" s="1"/>
  <c r="BB95" i="82" s="1"/>
  <c r="BF95" i="82" s="1"/>
  <c r="BJ95" i="82" s="1"/>
  <c r="BN95" i="82" s="1"/>
  <c r="BR95" i="82" s="1"/>
  <c r="BV95" i="82" s="1"/>
  <c r="J93" i="82"/>
  <c r="N93" i="82" s="1"/>
  <c r="R93" i="82" s="1"/>
  <c r="V93" i="82" s="1"/>
  <c r="Z93" i="82" s="1"/>
  <c r="AD93" i="82" s="1"/>
  <c r="AH93" i="82" s="1"/>
  <c r="AL93" i="82" s="1"/>
  <c r="AP93" i="82" s="1"/>
  <c r="AT93" i="82" s="1"/>
  <c r="AX93" i="82" s="1"/>
  <c r="BB93" i="82" s="1"/>
  <c r="BF93" i="82" s="1"/>
  <c r="BJ93" i="82" s="1"/>
  <c r="BN93" i="82" s="1"/>
  <c r="BR93" i="82" s="1"/>
  <c r="BV93" i="82" s="1"/>
  <c r="J91" i="82"/>
  <c r="N91" i="82" s="1"/>
  <c r="R91" i="82" s="1"/>
  <c r="V91" i="82" s="1"/>
  <c r="Z91" i="82" s="1"/>
  <c r="AD91" i="82" s="1"/>
  <c r="AH91" i="82" s="1"/>
  <c r="AL91" i="82" s="1"/>
  <c r="AP91" i="82" s="1"/>
  <c r="AT91" i="82" s="1"/>
  <c r="AX91" i="82" s="1"/>
  <c r="BB91" i="82" s="1"/>
  <c r="BF91" i="82" s="1"/>
  <c r="BJ91" i="82" s="1"/>
  <c r="BN91" i="82" s="1"/>
  <c r="BR91" i="82" s="1"/>
  <c r="BV91" i="82" s="1"/>
  <c r="J89" i="82"/>
  <c r="N89" i="82" s="1"/>
  <c r="R89" i="82" s="1"/>
  <c r="V89" i="82" s="1"/>
  <c r="Z89" i="82" s="1"/>
  <c r="AD89" i="82" s="1"/>
  <c r="AH89" i="82" s="1"/>
  <c r="AL89" i="82" s="1"/>
  <c r="AP89" i="82" s="1"/>
  <c r="AT89" i="82" s="1"/>
  <c r="AX89" i="82" s="1"/>
  <c r="BB89" i="82" s="1"/>
  <c r="BF89" i="82" s="1"/>
  <c r="BJ89" i="82" s="1"/>
  <c r="BN89" i="82" s="1"/>
  <c r="BR89" i="82" s="1"/>
  <c r="BV89" i="82" s="1"/>
  <c r="J87" i="82"/>
  <c r="N87" i="82" s="1"/>
  <c r="R87" i="82" s="1"/>
  <c r="V87" i="82" s="1"/>
  <c r="Z87" i="82" s="1"/>
  <c r="AD87" i="82" s="1"/>
  <c r="AH87" i="82" s="1"/>
  <c r="AL87" i="82" s="1"/>
  <c r="AP87" i="82" s="1"/>
  <c r="AT87" i="82" s="1"/>
  <c r="AX87" i="82" s="1"/>
  <c r="BB87" i="82" s="1"/>
  <c r="BF87" i="82" s="1"/>
  <c r="BJ87" i="82" s="1"/>
  <c r="BN87" i="82" s="1"/>
  <c r="BR87" i="82" s="1"/>
  <c r="BV87" i="82" s="1"/>
  <c r="J85" i="82"/>
  <c r="N85" i="82" s="1"/>
  <c r="R85" i="82" s="1"/>
  <c r="V85" i="82" s="1"/>
  <c r="Z85" i="82" s="1"/>
  <c r="AD85" i="82" s="1"/>
  <c r="AH85" i="82" s="1"/>
  <c r="AL85" i="82" s="1"/>
  <c r="AP85" i="82" s="1"/>
  <c r="AT85" i="82" s="1"/>
  <c r="AX85" i="82" s="1"/>
  <c r="BB85" i="82" s="1"/>
  <c r="BF85" i="82" s="1"/>
  <c r="BJ85" i="82" s="1"/>
  <c r="BN85" i="82" s="1"/>
  <c r="BR85" i="82" s="1"/>
  <c r="BV85" i="82" s="1"/>
  <c r="J83" i="82"/>
  <c r="N83" i="82" s="1"/>
  <c r="R83" i="82" s="1"/>
  <c r="V83" i="82" s="1"/>
  <c r="Z83" i="82" s="1"/>
  <c r="AD83" i="82" s="1"/>
  <c r="AH83" i="82" s="1"/>
  <c r="AL83" i="82" s="1"/>
  <c r="AP83" i="82" s="1"/>
  <c r="AT83" i="82" s="1"/>
  <c r="AX83" i="82" s="1"/>
  <c r="BB83" i="82" s="1"/>
  <c r="BF83" i="82" s="1"/>
  <c r="BJ83" i="82" s="1"/>
  <c r="BN83" i="82" s="1"/>
  <c r="BR83" i="82" s="1"/>
  <c r="BV83" i="82" s="1"/>
  <c r="CC3" i="82"/>
  <c r="CD3" i="82" s="1"/>
  <c r="CE3" i="82" s="1"/>
  <c r="CF3" i="82" s="1"/>
  <c r="CG3" i="82" s="1"/>
  <c r="CH3" i="82" s="1"/>
  <c r="CI3" i="82" s="1"/>
  <c r="CJ3" i="82" s="1"/>
  <c r="CK3" i="82" s="1"/>
  <c r="CL3" i="82" s="1"/>
  <c r="CM3" i="82" s="1"/>
  <c r="CN3" i="82" s="1"/>
  <c r="CO3" i="82" s="1"/>
  <c r="CP3" i="82" s="1"/>
  <c r="CQ3" i="82" s="1"/>
  <c r="CR3" i="82" s="1"/>
  <c r="CS3" i="82" s="1"/>
  <c r="CT3" i="82" s="1"/>
  <c r="CU3" i="82" s="1"/>
  <c r="CV3" i="82" s="1"/>
  <c r="CW3" i="82" s="1"/>
  <c r="CX3" i="82" s="1"/>
  <c r="CY3" i="82" s="1"/>
  <c r="CZ3" i="82" s="1"/>
  <c r="DA3" i="82" s="1"/>
  <c r="DB3" i="82" s="1"/>
  <c r="DC3" i="82" s="1"/>
  <c r="DD3" i="82" s="1"/>
  <c r="DE3" i="82" s="1"/>
  <c r="DF3" i="82" s="1"/>
  <c r="DG3" i="82" s="1"/>
  <c r="DH3" i="82" s="1"/>
  <c r="DI3" i="82" s="1"/>
  <c r="DJ3" i="82" s="1"/>
  <c r="DK3" i="82" s="1"/>
  <c r="DL3" i="82" s="1"/>
  <c r="DM3" i="82" s="1"/>
  <c r="DN3" i="82" s="1"/>
  <c r="DO3" i="82" s="1"/>
  <c r="DP3" i="82" s="1"/>
  <c r="DQ3" i="82" s="1"/>
  <c r="DR3" i="82" s="1"/>
  <c r="DS3" i="82" s="1"/>
  <c r="DT3" i="82" s="1"/>
  <c r="DU3" i="82" s="1"/>
  <c r="DV3" i="82" s="1"/>
  <c r="DW3" i="82" s="1"/>
  <c r="DX3" i="82" s="1"/>
  <c r="DY3" i="82" s="1"/>
  <c r="DZ3" i="82" s="1"/>
  <c r="EA3" i="82" s="1"/>
  <c r="EB3" i="82" s="1"/>
  <c r="EC3" i="82" s="1"/>
  <c r="ED3" i="82" s="1"/>
  <c r="EE3" i="82" s="1"/>
  <c r="EF3" i="82" s="1"/>
  <c r="EG3" i="82" s="1"/>
  <c r="EH3" i="82" s="1"/>
  <c r="EI3" i="82" s="1"/>
  <c r="EJ3" i="82" s="1"/>
  <c r="EK3" i="82" s="1"/>
  <c r="EL3" i="82" s="1"/>
  <c r="EM3" i="82" s="1"/>
  <c r="EN3" i="82" s="1"/>
  <c r="EO3" i="82" s="1"/>
  <c r="EP3" i="82" s="1"/>
  <c r="EQ3" i="82" s="1"/>
  <c r="ER3" i="82" s="1"/>
  <c r="ES3" i="82" s="1"/>
  <c r="ET3" i="82" s="1"/>
  <c r="EU3" i="82" s="1"/>
  <c r="EV3" i="82" s="1"/>
  <c r="EW3" i="82" s="1"/>
  <c r="AZ18" i="85" a="1"/>
  <c r="AZ18" i="85" s="1"/>
  <c r="AB18" i="85" a="1"/>
  <c r="AB18" i="85" s="1"/>
  <c r="AZ15" i="85" a="1"/>
  <c r="AZ15" i="85" s="1"/>
  <c r="AB15" i="85" a="1"/>
  <c r="AB15" i="85" s="1"/>
  <c r="AZ12" i="85" a="1"/>
  <c r="AZ12" i="85" s="1"/>
  <c r="AB12" i="85" a="1"/>
  <c r="AB12" i="85" s="1"/>
  <c r="AZ9" i="85" a="1"/>
  <c r="AZ9" i="85" s="1"/>
  <c r="AB9" i="85" a="1"/>
  <c r="AB9" i="85" s="1"/>
  <c r="BK27" i="43"/>
  <c r="BK28" i="43"/>
  <c r="BK29" i="43"/>
  <c r="BK30" i="43"/>
  <c r="BK31" i="43"/>
  <c r="BK32" i="43"/>
  <c r="BK34" i="43"/>
  <c r="BK35" i="43"/>
  <c r="BK33" i="43"/>
  <c r="AA27" i="43"/>
  <c r="AA28" i="43"/>
  <c r="AA30" i="43"/>
  <c r="AA31" i="43"/>
  <c r="AA32" i="43"/>
  <c r="AA33" i="43"/>
  <c r="AA34" i="43"/>
  <c r="AA35" i="43"/>
  <c r="AA29" i="43"/>
  <c r="CD79" i="89"/>
  <c r="CD77" i="89"/>
  <c r="CD75" i="89"/>
  <c r="CD73" i="89"/>
  <c r="CD71" i="89"/>
  <c r="CD69" i="89"/>
  <c r="CD67" i="89"/>
  <c r="CD20" i="89"/>
  <c r="CD18" i="89"/>
  <c r="CD16" i="89"/>
  <c r="CD14" i="89"/>
  <c r="CD12" i="89"/>
  <c r="CD10" i="89"/>
  <c r="CD8" i="89"/>
  <c r="CG121" i="69"/>
  <c r="CG123" i="69"/>
  <c r="CG124" i="69"/>
  <c r="CG125" i="69"/>
  <c r="CG113" i="69"/>
  <c r="CG101" i="69"/>
  <c r="CG91" i="69"/>
  <c r="CG92" i="69"/>
  <c r="CG93" i="69"/>
  <c r="CG94" i="69"/>
  <c r="CG95" i="69"/>
  <c r="CG96" i="69"/>
  <c r="CG97" i="69"/>
  <c r="CG98" i="69"/>
  <c r="CG99" i="69"/>
  <c r="CG100" i="69"/>
  <c r="CG86" i="69"/>
  <c r="CG87" i="69"/>
  <c r="CG88" i="69"/>
  <c r="CG89" i="69"/>
  <c r="CG90" i="69"/>
  <c r="CG85" i="69"/>
  <c r="CG84" i="69"/>
  <c r="CG80" i="69"/>
  <c r="CG81" i="69"/>
  <c r="CG82" i="69"/>
  <c r="CG83" i="69"/>
  <c r="CC9" i="69"/>
  <c r="CD9" i="69"/>
  <c r="BB3" i="82" l="1"/>
  <c r="BB12" i="82"/>
  <c r="BB13" i="82" s="1" a="1"/>
  <c r="BB13" i="82" s="1"/>
  <c r="BD4" i="82"/>
  <c r="BF4" i="82"/>
  <c r="BH12" i="82" s="1"/>
  <c r="BF3" i="82"/>
  <c r="CD123" i="89"/>
  <c r="CU23" i="89"/>
  <c r="X56" i="89" s="1"/>
  <c r="AV54" i="89" s="1"/>
  <c r="CO23" i="89"/>
  <c r="CR23" i="89"/>
  <c r="X52" i="89" s="1"/>
  <c r="AW50" i="89" s="1"/>
  <c r="AH13" i="85"/>
  <c r="AD4" i="85"/>
  <c r="CD22" i="89"/>
  <c r="X43" i="16"/>
  <c r="AB52" i="16"/>
  <c r="AB53" i="16" s="1"/>
  <c r="AB54" i="16" s="1"/>
  <c r="AB55" i="16" s="1"/>
  <c r="AB56" i="16" s="1"/>
  <c r="AB57" i="16" s="1"/>
  <c r="AB58" i="16" s="1"/>
  <c r="AB59" i="16" s="1"/>
  <c r="AB60" i="16" s="1"/>
  <c r="AB61" i="16" s="1"/>
  <c r="AB62" i="16" s="1"/>
  <c r="AA52" i="16"/>
  <c r="AE43" i="16"/>
  <c r="AI52" i="16"/>
  <c r="AI53" i="16" s="1"/>
  <c r="AI54" i="16" s="1"/>
  <c r="AI55" i="16" s="1"/>
  <c r="AI56" i="16" s="1"/>
  <c r="AI57" i="16" s="1"/>
  <c r="AH52" i="16"/>
  <c r="AL43" i="16"/>
  <c r="AO51" i="16" s="1"/>
  <c r="AP52" i="16"/>
  <c r="AP53" i="16" s="1"/>
  <c r="AP54" i="16" s="1"/>
  <c r="AP55" i="16" s="1"/>
  <c r="AP56" i="16" s="1"/>
  <c r="AP57" i="16" s="1"/>
  <c r="AP58" i="16" s="1"/>
  <c r="AP59" i="16" s="1"/>
  <c r="AP60" i="16" s="1"/>
  <c r="AP61" i="16" s="1"/>
  <c r="AP62" i="16" s="1"/>
  <c r="AP63" i="16" s="1"/>
  <c r="AP64" i="16" s="1"/>
  <c r="AP65" i="16" s="1"/>
  <c r="AP66" i="16" s="1"/>
  <c r="AP67" i="16" s="1"/>
  <c r="AP68" i="16" s="1"/>
  <c r="AP69" i="16" s="1"/>
  <c r="AP70" i="16" s="1"/>
  <c r="AP71" i="16" s="1"/>
  <c r="AP72" i="16" s="1"/>
  <c r="AP73" i="16" s="1"/>
  <c r="AP74" i="16" s="1"/>
  <c r="AP75" i="16" s="1"/>
  <c r="AP76" i="16" s="1"/>
  <c r="AP77" i="16" s="1"/>
  <c r="AP78" i="16" s="1"/>
  <c r="AP79" i="16" s="1"/>
  <c r="AP80" i="16" s="1"/>
  <c r="AP81" i="16" s="1"/>
  <c r="AP82" i="16" s="1"/>
  <c r="AO52" i="16"/>
  <c r="AS43" i="16"/>
  <c r="AW52" i="16"/>
  <c r="AV54" i="16"/>
  <c r="BD79" i="16"/>
  <c r="BD80" i="16" s="1"/>
  <c r="BD81" i="16" s="1"/>
  <c r="BD82" i="16" s="1"/>
  <c r="AZ43" i="16"/>
  <c r="BC51" i="16" s="1"/>
  <c r="BD52" i="16"/>
  <c r="BD53" i="16" s="1"/>
  <c r="BD54" i="16" s="1"/>
  <c r="BD55" i="16" s="1"/>
  <c r="BD56" i="16" s="1"/>
  <c r="BD57" i="16" s="1"/>
  <c r="BD58" i="16" s="1"/>
  <c r="BD59" i="16" s="1"/>
  <c r="BD60" i="16" s="1"/>
  <c r="BD61" i="16" s="1"/>
  <c r="BD62" i="16" s="1"/>
  <c r="BD63" i="16" s="1"/>
  <c r="BD64" i="16" s="1"/>
  <c r="BD65" i="16" s="1"/>
  <c r="BD66" i="16" s="1"/>
  <c r="BD67" i="16" s="1"/>
  <c r="BD68" i="16" s="1"/>
  <c r="BD69" i="16" s="1"/>
  <c r="BD70" i="16" s="1"/>
  <c r="BD71" i="16" s="1"/>
  <c r="BD72" i="16" s="1"/>
  <c r="BD73" i="16" s="1"/>
  <c r="BD74" i="16" s="1"/>
  <c r="BD75" i="16" s="1"/>
  <c r="BD76" i="16" s="1"/>
  <c r="BD77" i="16" s="1"/>
  <c r="BD78" i="16" s="1"/>
  <c r="BC52" i="16"/>
  <c r="BF48" i="40"/>
  <c r="BD13" i="82" l="1" a="1"/>
  <c r="BD13" i="82" s="1"/>
  <c r="AW53" i="16"/>
  <c r="AW54" i="16" s="1"/>
  <c r="AW55" i="16" s="1"/>
  <c r="AW56" i="16" s="1"/>
  <c r="AW57" i="16" s="1"/>
  <c r="AW58" i="16" s="1"/>
  <c r="AW59" i="16" s="1"/>
  <c r="AW60" i="16" s="1"/>
  <c r="AW61" i="16" s="1"/>
  <c r="AW62" i="16" s="1"/>
  <c r="AW63" i="16" s="1"/>
  <c r="AW64" i="16" s="1"/>
  <c r="AW65" i="16" s="1"/>
  <c r="AW66" i="16" s="1"/>
  <c r="AW67" i="16" s="1"/>
  <c r="AW68" i="16" s="1"/>
  <c r="AW69" i="16" s="1"/>
  <c r="AW70" i="16" s="1"/>
  <c r="AW71" i="16" s="1"/>
  <c r="AW72" i="16" s="1"/>
  <c r="AW73" i="16" s="1"/>
  <c r="AW74" i="16" s="1"/>
  <c r="AW75" i="16" s="1"/>
  <c r="AW76" i="16" s="1"/>
  <c r="AW77" i="16" s="1"/>
  <c r="AW78" i="16" s="1"/>
  <c r="AW79" i="16" s="1"/>
  <c r="AW80" i="16" s="1"/>
  <c r="AW81" i="16" s="1"/>
  <c r="AW82" i="16" s="1"/>
  <c r="AH6" i="85"/>
  <c r="CD54" i="68"/>
  <c r="CJ54" i="68" s="1"/>
  <c r="BF12" i="82"/>
  <c r="BF13" i="82" s="1" a="1"/>
  <c r="BF13" i="82" s="1"/>
  <c r="BH4" i="82"/>
  <c r="BJ4" i="82"/>
  <c r="BL12" i="82" s="1"/>
  <c r="DY8" i="82"/>
  <c r="DW8" i="82"/>
  <c r="DU8" i="82"/>
  <c r="DS8" i="82"/>
  <c r="DY9" i="82"/>
  <c r="DW9" i="82"/>
  <c r="DU9" i="82"/>
  <c r="DS9" i="82"/>
  <c r="AA51" i="16"/>
  <c r="Y48" i="16"/>
  <c r="Z49" i="16"/>
  <c r="BC53" i="16"/>
  <c r="BC54" i="16" s="1"/>
  <c r="BC55" i="16" s="1"/>
  <c r="BC56" i="16" s="1"/>
  <c r="BC57" i="16" s="1"/>
  <c r="BC58" i="16" s="1"/>
  <c r="BC59" i="16" s="1"/>
  <c r="BC60" i="16" s="1"/>
  <c r="BC61" i="16" s="1"/>
  <c r="BC62" i="16" s="1"/>
  <c r="BC63" i="16" s="1"/>
  <c r="BC64" i="16" s="1"/>
  <c r="BC65" i="16" s="1"/>
  <c r="BC66" i="16" s="1"/>
  <c r="BC67" i="16" s="1"/>
  <c r="BC68" i="16" s="1"/>
  <c r="BC69" i="16" s="1"/>
  <c r="BC70" i="16" s="1"/>
  <c r="BC71" i="16" s="1"/>
  <c r="BC72" i="16" s="1"/>
  <c r="BC73" i="16" s="1"/>
  <c r="BC74" i="16" s="1"/>
  <c r="BC75" i="16" s="1"/>
  <c r="BC76" i="16" s="1"/>
  <c r="BC77" i="16" s="1"/>
  <c r="BC78" i="16" s="1"/>
  <c r="BC79" i="16" s="1"/>
  <c r="BC80" i="16" s="1"/>
  <c r="BC81" i="16" s="1"/>
  <c r="BC82" i="16" s="1"/>
  <c r="AV55" i="16"/>
  <c r="AV56" i="16" s="1"/>
  <c r="AV57" i="16" s="1"/>
  <c r="AV58" i="16" s="1"/>
  <c r="AV59" i="16" s="1"/>
  <c r="AV60" i="16" s="1"/>
  <c r="AV61" i="16" s="1"/>
  <c r="AV62" i="16" s="1"/>
  <c r="AV63" i="16" s="1"/>
  <c r="AV64" i="16" s="1"/>
  <c r="AV65" i="16" s="1"/>
  <c r="AV66" i="16" s="1"/>
  <c r="AV67" i="16" s="1"/>
  <c r="AV68" i="16" s="1"/>
  <c r="AV69" i="16" s="1"/>
  <c r="AV70" i="16" s="1"/>
  <c r="AV71" i="16" s="1"/>
  <c r="AV72" i="16" s="1"/>
  <c r="AV73" i="16" s="1"/>
  <c r="AV74" i="16" s="1"/>
  <c r="AV75" i="16" s="1"/>
  <c r="AV76" i="16" s="1"/>
  <c r="AV77" i="16" s="1"/>
  <c r="AV78" i="16" s="1"/>
  <c r="AV79" i="16" s="1"/>
  <c r="AV80" i="16" s="1"/>
  <c r="AV81" i="16" s="1"/>
  <c r="AV82" i="16" s="1"/>
  <c r="AO53" i="16"/>
  <c r="AO54" i="16" s="1"/>
  <c r="AO55" i="16" s="1"/>
  <c r="AO56" i="16" s="1"/>
  <c r="AO57" i="16" s="1"/>
  <c r="AO58" i="16" s="1"/>
  <c r="AO59" i="16" s="1"/>
  <c r="AO60" i="16" s="1"/>
  <c r="AO61" i="16" s="1"/>
  <c r="AO62" i="16" s="1"/>
  <c r="AO63" i="16" s="1"/>
  <c r="AO64" i="16" s="1"/>
  <c r="AO65" i="16" s="1"/>
  <c r="AO66" i="16" s="1"/>
  <c r="AO67" i="16" s="1"/>
  <c r="AO68" i="16" s="1"/>
  <c r="AO69" i="16" s="1"/>
  <c r="AO70" i="16" s="1"/>
  <c r="AO71" i="16" s="1"/>
  <c r="AO72" i="16" s="1"/>
  <c r="AO73" i="16" s="1"/>
  <c r="AO74" i="16" s="1"/>
  <c r="AO75" i="16" s="1"/>
  <c r="AO76" i="16" s="1"/>
  <c r="AO77" i="16" s="1"/>
  <c r="AO78" i="16" s="1"/>
  <c r="AO79" i="16" s="1"/>
  <c r="AO80" i="16" s="1"/>
  <c r="AO81" i="16" s="1"/>
  <c r="AO82" i="16" s="1"/>
  <c r="AH53" i="16"/>
  <c r="AH54" i="16" s="1"/>
  <c r="AH55" i="16" s="1"/>
  <c r="AH56" i="16" s="1"/>
  <c r="AH57" i="16" s="1"/>
  <c r="AH58" i="16" s="1"/>
  <c r="AH59" i="16" s="1"/>
  <c r="AH60" i="16" s="1"/>
  <c r="AH61" i="16" s="1"/>
  <c r="AH62" i="16" s="1"/>
  <c r="AH63" i="16" s="1"/>
  <c r="AH64" i="16" s="1"/>
  <c r="AH65" i="16" s="1"/>
  <c r="AH66" i="16" s="1"/>
  <c r="AH67" i="16" s="1"/>
  <c r="AH68" i="16" s="1"/>
  <c r="AH69" i="16" s="1"/>
  <c r="AH70" i="16" s="1"/>
  <c r="AH71" i="16" s="1"/>
  <c r="AH72" i="16" s="1"/>
  <c r="AH73" i="16" s="1"/>
  <c r="AH74" i="16" s="1"/>
  <c r="AH75" i="16" s="1"/>
  <c r="AH76" i="16" s="1"/>
  <c r="AH77" i="16" s="1"/>
  <c r="AH78" i="16" s="1"/>
  <c r="AH79" i="16" s="1"/>
  <c r="AH80" i="16" s="1"/>
  <c r="AH81" i="16" s="1"/>
  <c r="AH82" i="16" s="1"/>
  <c r="AA53" i="16"/>
  <c r="AA54" i="16" s="1"/>
  <c r="AA55" i="16" s="1"/>
  <c r="AA56" i="16" s="1"/>
  <c r="AA57" i="16" s="1"/>
  <c r="AA58" i="16" s="1"/>
  <c r="AA59" i="16" s="1"/>
  <c r="AA60" i="16" s="1"/>
  <c r="AA61" i="16" s="1"/>
  <c r="AA62" i="16" s="1"/>
  <c r="AA63" i="16" s="1"/>
  <c r="AA64" i="16" s="1"/>
  <c r="AA65" i="16" s="1"/>
  <c r="AA66" i="16" s="1"/>
  <c r="AA67" i="16" s="1"/>
  <c r="AA68" i="16" s="1"/>
  <c r="AA69" i="16" s="1"/>
  <c r="AA70" i="16" s="1"/>
  <c r="AA71" i="16" s="1"/>
  <c r="AA72" i="16" s="1"/>
  <c r="AA73" i="16" s="1"/>
  <c r="AA74" i="16" s="1"/>
  <c r="AA75" i="16" s="1"/>
  <c r="AA76" i="16" s="1"/>
  <c r="AA77" i="16" s="1"/>
  <c r="AA78" i="16" s="1"/>
  <c r="AA79" i="16" s="1"/>
  <c r="AA80" i="16" s="1"/>
  <c r="AA81" i="16" s="1"/>
  <c r="AA82" i="16" s="1"/>
  <c r="AB63" i="16"/>
  <c r="AB64" i="16" s="1"/>
  <c r="AB65" i="16" s="1"/>
  <c r="AB66" i="16" s="1"/>
  <c r="AB67" i="16" s="1"/>
  <c r="AB68" i="16" s="1"/>
  <c r="AB69" i="16" s="1"/>
  <c r="AB70" i="16" s="1"/>
  <c r="AB71" i="16" s="1"/>
  <c r="AB72" i="16" s="1"/>
  <c r="AB73" i="16" s="1"/>
  <c r="AB74" i="16" s="1"/>
  <c r="AB75" i="16" s="1"/>
  <c r="AB76" i="16" s="1"/>
  <c r="AB77" i="16" s="1"/>
  <c r="AB78" i="16" s="1"/>
  <c r="AB79" i="16" s="1"/>
  <c r="AB80" i="16" s="1"/>
  <c r="AB81" i="16" s="1"/>
  <c r="AB82" i="16" s="1"/>
  <c r="BB83" i="16"/>
  <c r="AR35" i="43" s="1"/>
  <c r="AI58" i="16"/>
  <c r="AI59" i="16" s="1"/>
  <c r="AI60" i="16" s="1"/>
  <c r="AI61" i="16" s="1"/>
  <c r="AI62" i="16" s="1"/>
  <c r="AI63" i="16" s="1"/>
  <c r="AI64" i="16" s="1"/>
  <c r="AI65" i="16" s="1"/>
  <c r="AI66" i="16" s="1"/>
  <c r="AI67" i="16" s="1"/>
  <c r="AI68" i="16" s="1"/>
  <c r="AI69" i="16" s="1"/>
  <c r="AI70" i="16" s="1"/>
  <c r="AI71" i="16" s="1"/>
  <c r="AI72" i="16" s="1"/>
  <c r="AI73" i="16" s="1"/>
  <c r="AI74" i="16" s="1"/>
  <c r="AI75" i="16" s="1"/>
  <c r="AI76" i="16" s="1"/>
  <c r="AI77" i="16" s="1"/>
  <c r="AI78" i="16" s="1"/>
  <c r="AI79" i="16" s="1"/>
  <c r="AI80" i="16" s="1"/>
  <c r="AI81" i="16" s="1"/>
  <c r="AI82" i="16" s="1"/>
  <c r="AN83" i="16"/>
  <c r="AR31" i="43" s="1"/>
  <c r="BB27" i="82"/>
  <c r="CD23" i="89"/>
  <c r="CO25" i="89" s="1"/>
  <c r="X48" i="89" s="1"/>
  <c r="AJ46" i="89" s="1"/>
  <c r="AS54" i="89"/>
  <c r="AQ54" i="89"/>
  <c r="AL54" i="89"/>
  <c r="AE54" i="89"/>
  <c r="AG54" i="89"/>
  <c r="AI54" i="89"/>
  <c r="AD54" i="89"/>
  <c r="BD54" i="89"/>
  <c r="AY54" i="89"/>
  <c r="AT54" i="89"/>
  <c r="AM54" i="89"/>
  <c r="AO54" i="89"/>
  <c r="BA54" i="89"/>
  <c r="AW54" i="89"/>
  <c r="AR54" i="89"/>
  <c r="AH54" i="89"/>
  <c r="BC54" i="89"/>
  <c r="BE54" i="89"/>
  <c r="BF54" i="89"/>
  <c r="AU54" i="89"/>
  <c r="AZ54" i="89"/>
  <c r="AX54" i="89"/>
  <c r="AF54" i="89"/>
  <c r="AK54" i="89"/>
  <c r="AJ54" i="89"/>
  <c r="BB54" i="89"/>
  <c r="AP54" i="89"/>
  <c r="AC54" i="89"/>
  <c r="AN54" i="89"/>
  <c r="AG50" i="89"/>
  <c r="AD50" i="89"/>
  <c r="AL50" i="89"/>
  <c r="AE50" i="89"/>
  <c r="AJ50" i="89"/>
  <c r="AT50" i="89"/>
  <c r="AF50" i="89"/>
  <c r="AH50" i="89"/>
  <c r="AY50" i="89"/>
  <c r="AN50" i="89"/>
  <c r="AC50" i="89"/>
  <c r="AZ50" i="89"/>
  <c r="AV50" i="89"/>
  <c r="AX50" i="89"/>
  <c r="AS50" i="89"/>
  <c r="AU50" i="89"/>
  <c r="AQ50" i="89"/>
  <c r="BA50" i="89"/>
  <c r="BC50" i="89"/>
  <c r="BE50" i="89"/>
  <c r="AR50" i="89"/>
  <c r="BB50" i="89"/>
  <c r="AP50" i="89"/>
  <c r="AK50" i="89"/>
  <c r="AM50" i="89"/>
  <c r="BD50" i="89"/>
  <c r="BF50" i="89"/>
  <c r="AO50" i="89"/>
  <c r="AI50" i="89"/>
  <c r="AD63" i="82"/>
  <c r="AD35" i="82"/>
  <c r="AD75" i="82"/>
  <c r="AD33" i="82"/>
  <c r="AD29" i="82"/>
  <c r="AD67" i="82"/>
  <c r="AD25" i="82"/>
  <c r="AD65" i="82"/>
  <c r="AD73" i="82"/>
  <c r="AD31" i="82"/>
  <c r="AD71" i="82"/>
  <c r="AD23" i="82"/>
  <c r="AD69" i="82"/>
  <c r="AD27" i="82"/>
  <c r="Z65" i="82"/>
  <c r="Z23" i="82"/>
  <c r="Z63" i="82"/>
  <c r="Z25" i="82"/>
  <c r="Z35" i="82"/>
  <c r="Z69" i="82"/>
  <c r="Z27" i="82"/>
  <c r="Z75" i="82"/>
  <c r="Z33" i="82"/>
  <c r="Z73" i="82"/>
  <c r="Z31" i="82"/>
  <c r="Z67" i="82"/>
  <c r="Z71" i="82"/>
  <c r="Z29" i="82"/>
  <c r="N71" i="82"/>
  <c r="N29" i="82"/>
  <c r="N69" i="82"/>
  <c r="N27" i="82"/>
  <c r="N73" i="82"/>
  <c r="N31" i="82"/>
  <c r="N67" i="82"/>
  <c r="N25" i="82"/>
  <c r="N63" i="82"/>
  <c r="N75" i="82"/>
  <c r="N65" i="82"/>
  <c r="N23" i="82"/>
  <c r="N33" i="82"/>
  <c r="N35" i="82"/>
  <c r="R69" i="82"/>
  <c r="R27" i="82"/>
  <c r="R25" i="82"/>
  <c r="R31" i="82"/>
  <c r="R71" i="82"/>
  <c r="R67" i="82"/>
  <c r="R65" i="82"/>
  <c r="R23" i="82"/>
  <c r="R73" i="82"/>
  <c r="R63" i="82"/>
  <c r="R35" i="82"/>
  <c r="R29" i="82"/>
  <c r="R75" i="82"/>
  <c r="R33" i="82"/>
  <c r="J73" i="82"/>
  <c r="J31" i="82"/>
  <c r="J71" i="82"/>
  <c r="J29" i="82"/>
  <c r="J69" i="82"/>
  <c r="J27" i="82"/>
  <c r="J65" i="82"/>
  <c r="J75" i="82"/>
  <c r="J33" i="82"/>
  <c r="J67" i="82"/>
  <c r="J25" i="82"/>
  <c r="J23" i="82"/>
  <c r="J63" i="82"/>
  <c r="J35" i="82"/>
  <c r="BB23" i="82"/>
  <c r="BB31" i="82"/>
  <c r="V67" i="82"/>
  <c r="V25" i="82"/>
  <c r="V65" i="82"/>
  <c r="V23" i="82"/>
  <c r="V63" i="82"/>
  <c r="V75" i="82"/>
  <c r="V71" i="82"/>
  <c r="V29" i="82"/>
  <c r="V69" i="82"/>
  <c r="V35" i="82"/>
  <c r="V33" i="82"/>
  <c r="V27" i="82"/>
  <c r="V73" i="82"/>
  <c r="V31" i="82"/>
  <c r="AX69" i="82"/>
  <c r="AX27" i="82"/>
  <c r="AX67" i="82"/>
  <c r="AX25" i="82"/>
  <c r="AX29" i="82"/>
  <c r="AX65" i="82"/>
  <c r="AX23" i="82"/>
  <c r="AX35" i="82"/>
  <c r="AX31" i="82"/>
  <c r="AX71" i="82"/>
  <c r="AX63" i="82"/>
  <c r="AX73" i="82"/>
  <c r="AX75" i="82"/>
  <c r="AX33" i="82"/>
  <c r="AP73" i="82"/>
  <c r="AP31" i="82"/>
  <c r="AP71" i="82"/>
  <c r="AP29" i="82"/>
  <c r="AP33" i="82"/>
  <c r="AP75" i="82"/>
  <c r="AP69" i="82"/>
  <c r="AP27" i="82"/>
  <c r="AP23" i="82"/>
  <c r="AP67" i="82"/>
  <c r="AP25" i="82"/>
  <c r="AP65" i="82"/>
  <c r="AP63" i="82"/>
  <c r="AP35" i="82"/>
  <c r="AT71" i="82"/>
  <c r="AT29" i="82"/>
  <c r="AT69" i="82"/>
  <c r="AT27" i="82"/>
  <c r="AT67" i="82"/>
  <c r="AT25" i="82"/>
  <c r="AT33" i="82"/>
  <c r="AT65" i="82"/>
  <c r="AT23" i="82"/>
  <c r="AT63" i="82"/>
  <c r="AT73" i="82"/>
  <c r="AT31" i="82"/>
  <c r="AT35" i="82"/>
  <c r="AT75" i="82"/>
  <c r="AH35" i="82"/>
  <c r="AH75" i="82"/>
  <c r="AH33" i="82"/>
  <c r="AH63" i="82"/>
  <c r="AH73" i="82"/>
  <c r="AH31" i="82"/>
  <c r="AH69" i="82"/>
  <c r="AH27" i="82"/>
  <c r="AH23" i="82"/>
  <c r="AH71" i="82"/>
  <c r="AH29" i="82"/>
  <c r="AH65" i="82"/>
  <c r="AH67" i="82"/>
  <c r="AH25" i="82"/>
  <c r="AL75" i="82"/>
  <c r="AL33" i="82"/>
  <c r="AL73" i="82"/>
  <c r="AL31" i="82"/>
  <c r="AL71" i="82"/>
  <c r="AL29" i="82"/>
  <c r="AL67" i="82"/>
  <c r="AL25" i="82"/>
  <c r="AL35" i="82"/>
  <c r="AL69" i="82"/>
  <c r="AL27" i="82"/>
  <c r="AL65" i="82"/>
  <c r="AL23" i="82"/>
  <c r="AL63" i="82"/>
  <c r="AE44" i="16"/>
  <c r="AH51" i="16"/>
  <c r="AS44" i="16"/>
  <c r="AV51" i="16"/>
  <c r="AL44" i="16"/>
  <c r="X44" i="16"/>
  <c r="AU51" i="16"/>
  <c r="BB51" i="16"/>
  <c r="BB49" i="16"/>
  <c r="BA48" i="16"/>
  <c r="BC48" i="16"/>
  <c r="AA48" i="16"/>
  <c r="Z51" i="16"/>
  <c r="AG51" i="16"/>
  <c r="AF48" i="16"/>
  <c r="AH48" i="16"/>
  <c r="AG49" i="16"/>
  <c r="AN51" i="16"/>
  <c r="AM48" i="16"/>
  <c r="AO48" i="16"/>
  <c r="AN49" i="16"/>
  <c r="AU49" i="16"/>
  <c r="AT48" i="16"/>
  <c r="AV48" i="16"/>
  <c r="AZ44" i="16"/>
  <c r="DR62" i="69"/>
  <c r="DR60" i="69"/>
  <c r="DR58" i="69"/>
  <c r="EK56" i="69"/>
  <c r="DY56" i="69"/>
  <c r="DR56" i="69"/>
  <c r="DR54" i="69"/>
  <c r="DR52" i="69"/>
  <c r="DR50" i="69"/>
  <c r="EK48" i="69"/>
  <c r="DY48" i="69"/>
  <c r="DR48" i="69"/>
  <c r="DR46" i="69"/>
  <c r="DR44" i="69"/>
  <c r="DR42" i="69"/>
  <c r="DR40" i="69"/>
  <c r="EK40" i="69"/>
  <c r="DY40" i="69"/>
  <c r="CT54" i="69"/>
  <c r="CT62" i="69"/>
  <c r="CT60" i="69"/>
  <c r="CT58" i="69"/>
  <c r="DM56" i="69"/>
  <c r="DA56" i="69"/>
  <c r="CT56" i="69"/>
  <c r="DM48" i="69"/>
  <c r="DM40" i="69"/>
  <c r="DA48" i="69"/>
  <c r="DA40" i="69"/>
  <c r="CT52" i="69"/>
  <c r="CT50" i="69"/>
  <c r="CT48" i="69"/>
  <c r="CT46" i="69"/>
  <c r="CT44" i="69"/>
  <c r="CT42" i="69"/>
  <c r="CT40" i="69"/>
  <c r="BG81" i="86"/>
  <c r="S81" i="86"/>
  <c r="BH29" i="85"/>
  <c r="BE54" i="82"/>
  <c r="AZ54" i="82"/>
  <c r="AU54" i="82"/>
  <c r="BX54" i="82"/>
  <c r="BS54" i="82"/>
  <c r="BN54" i="82"/>
  <c r="CG108" i="69"/>
  <c r="CD62" i="69"/>
  <c r="CD59" i="69"/>
  <c r="CD60" i="69"/>
  <c r="CD61" i="69"/>
  <c r="CD53" i="69"/>
  <c r="CD54" i="69"/>
  <c r="CD55" i="69"/>
  <c r="CD56" i="69"/>
  <c r="CD57" i="69"/>
  <c r="CD58" i="69"/>
  <c r="CD41" i="69"/>
  <c r="CD42" i="69"/>
  <c r="CD43" i="69"/>
  <c r="CD44" i="69"/>
  <c r="CD45" i="69"/>
  <c r="CD46" i="69"/>
  <c r="CD47" i="69"/>
  <c r="CD48" i="69"/>
  <c r="CD49" i="69"/>
  <c r="CD50" i="69"/>
  <c r="CD51" i="69"/>
  <c r="CD52" i="69"/>
  <c r="CD40" i="69"/>
  <c r="CD39" i="69"/>
  <c r="CC6" i="69"/>
  <c r="CD6" i="69"/>
  <c r="CC7" i="69"/>
  <c r="CD7" i="69"/>
  <c r="CC8" i="69"/>
  <c r="CD8" i="69"/>
  <c r="CC10" i="69"/>
  <c r="CD10" i="69"/>
  <c r="CC11" i="69"/>
  <c r="CD11" i="69"/>
  <c r="CC12" i="69"/>
  <c r="CD12" i="69"/>
  <c r="CC13" i="69"/>
  <c r="CD13" i="69"/>
  <c r="CC14" i="69"/>
  <c r="CD14" i="69"/>
  <c r="CC15" i="69"/>
  <c r="CD15" i="69"/>
  <c r="CC16" i="69"/>
  <c r="CD16" i="69"/>
  <c r="CC17" i="69"/>
  <c r="CD17" i="69"/>
  <c r="CC18" i="69"/>
  <c r="CD18" i="69"/>
  <c r="CC19" i="69"/>
  <c r="CD19" i="69"/>
  <c r="CC20" i="69"/>
  <c r="CD20" i="69"/>
  <c r="CC21" i="69"/>
  <c r="CD21" i="69"/>
  <c r="CC22" i="69"/>
  <c r="CD22" i="69"/>
  <c r="CC23" i="69"/>
  <c r="CD23" i="69"/>
  <c r="CC24" i="69"/>
  <c r="CD24" i="69"/>
  <c r="CC25" i="69"/>
  <c r="CD25" i="69"/>
  <c r="CC26" i="69"/>
  <c r="CD26" i="69"/>
  <c r="CC27" i="69"/>
  <c r="CD27" i="69"/>
  <c r="CC28" i="69"/>
  <c r="CD28" i="69"/>
  <c r="CC29" i="69"/>
  <c r="CD29" i="69"/>
  <c r="CC30" i="69"/>
  <c r="CD30" i="69"/>
  <c r="CC31" i="69"/>
  <c r="CD31" i="69"/>
  <c r="CC32" i="69"/>
  <c r="CD32" i="69"/>
  <c r="CC33" i="69"/>
  <c r="CD33" i="69"/>
  <c r="CC34" i="69"/>
  <c r="CD34" i="69"/>
  <c r="CC35" i="69"/>
  <c r="CD35" i="69"/>
  <c r="CC36" i="69"/>
  <c r="CD36" i="69"/>
  <c r="CC37" i="69"/>
  <c r="CD37" i="69"/>
  <c r="CD5" i="69"/>
  <c r="CC5" i="69"/>
  <c r="CD4" i="69"/>
  <c r="CC4" i="69"/>
  <c r="R17" i="77"/>
  <c r="Z56" i="89"/>
  <c r="BF47" i="40"/>
  <c r="BB21" i="89"/>
  <c r="BF46" i="40"/>
  <c r="C20" i="71"/>
  <c r="AQ54" i="85"/>
  <c r="DX31" i="40"/>
  <c r="DX32" i="40"/>
  <c r="DX33" i="40"/>
  <c r="DX34" i="40"/>
  <c r="DY40" i="40"/>
  <c r="DY39" i="40"/>
  <c r="DY38" i="40"/>
  <c r="DW39" i="40"/>
  <c r="DW40" i="40"/>
  <c r="DW41" i="40"/>
  <c r="DW38" i="40"/>
  <c r="DY42" i="40"/>
  <c r="DY41" i="40"/>
  <c r="B21" i="89"/>
  <c r="AB21" i="89"/>
  <c r="R20" i="71"/>
  <c r="CC20" i="71"/>
  <c r="CE20" i="71" s="1"/>
  <c r="Q20" i="71"/>
  <c r="D20" i="71"/>
  <c r="BJ34" i="40"/>
  <c r="BJ33" i="40" s="1"/>
  <c r="BJ32" i="40" s="1"/>
  <c r="BJ31" i="40" s="1"/>
  <c r="BJ30" i="40" s="1"/>
  <c r="BJ29" i="40" s="1"/>
  <c r="BJ28" i="40" s="1"/>
  <c r="BJ27" i="40" s="1"/>
  <c r="BJ26" i="40" s="1"/>
  <c r="BJ25" i="40" s="1"/>
  <c r="BJ24" i="40" s="1"/>
  <c r="BJ12" i="82" l="1"/>
  <c r="BJ13" i="82" s="1" a="1"/>
  <c r="BJ13" i="82" s="1"/>
  <c r="BJ3" i="82"/>
  <c r="AU83" i="16"/>
  <c r="AR33" i="43" s="1"/>
  <c r="DK4" i="16"/>
  <c r="CM54" i="68"/>
  <c r="CU51" i="89"/>
  <c r="BH13" i="82" a="1"/>
  <c r="BH13" i="82" s="1"/>
  <c r="BL4" i="82"/>
  <c r="BN4" i="82"/>
  <c r="BP12" i="82" s="1"/>
  <c r="DS11" i="82"/>
  <c r="DY11" i="82"/>
  <c r="DW11" i="82"/>
  <c r="DU11" i="82"/>
  <c r="DY10" i="82"/>
  <c r="DW10" i="82"/>
  <c r="DU10" i="82"/>
  <c r="DS10" i="82"/>
  <c r="DS12" i="82"/>
  <c r="DY12" i="82"/>
  <c r="DW12" i="82"/>
  <c r="DU12" i="82"/>
  <c r="DY13" i="82"/>
  <c r="DW13" i="82"/>
  <c r="DU13" i="82"/>
  <c r="DS13" i="82"/>
  <c r="BC83" i="16"/>
  <c r="AV83" i="16"/>
  <c r="AO83" i="16"/>
  <c r="AH83" i="16"/>
  <c r="AA83" i="16"/>
  <c r="CZ52" i="69"/>
  <c r="Z83" i="16"/>
  <c r="AR27" i="43" s="1"/>
  <c r="AW28" i="43" s="1"/>
  <c r="AG83" i="16"/>
  <c r="AR29" i="43" s="1"/>
  <c r="BB29" i="82"/>
  <c r="BB33" i="82"/>
  <c r="BB71" i="82"/>
  <c r="BB63" i="82"/>
  <c r="BB73" i="82"/>
  <c r="BB65" i="82"/>
  <c r="BB69" i="82"/>
  <c r="BB25" i="82"/>
  <c r="BB75" i="82"/>
  <c r="BB67" i="82"/>
  <c r="BB35" i="82"/>
  <c r="DJ95" i="82"/>
  <c r="BA54" i="85"/>
  <c r="AM2" i="69"/>
  <c r="AX46" i="89"/>
  <c r="AM46" i="89"/>
  <c r="AL46" i="89"/>
  <c r="Z48" i="89"/>
  <c r="AP46" i="89"/>
  <c r="AE46" i="89"/>
  <c r="AD46" i="89"/>
  <c r="AW46" i="89"/>
  <c r="AH46" i="89"/>
  <c r="BE46" i="89"/>
  <c r="AK46" i="89"/>
  <c r="AC46" i="89"/>
  <c r="AO46" i="89"/>
  <c r="AG46" i="89"/>
  <c r="BA46" i="89"/>
  <c r="AY46" i="89"/>
  <c r="AV46" i="89"/>
  <c r="BD46" i="89"/>
  <c r="AS46" i="89"/>
  <c r="AQ46" i="89"/>
  <c r="AF46" i="89"/>
  <c r="AN46" i="89"/>
  <c r="AZ46" i="89"/>
  <c r="AI46" i="89"/>
  <c r="BC46" i="89"/>
  <c r="BB46" i="89"/>
  <c r="AR46" i="89"/>
  <c r="CU29" i="89"/>
  <c r="X59" i="89" s="1"/>
  <c r="BF46" i="89"/>
  <c r="AU46" i="89"/>
  <c r="AT46" i="89"/>
  <c r="DX22" i="40"/>
  <c r="DZ22" i="40"/>
  <c r="CH22" i="89"/>
  <c r="CZ60" i="69"/>
  <c r="CG107" i="69"/>
  <c r="CG112" i="69"/>
  <c r="CG119" i="69"/>
  <c r="CG120" i="69"/>
  <c r="CG118" i="69"/>
  <c r="DX50" i="69"/>
  <c r="DX52" i="69"/>
  <c r="DX58" i="69"/>
  <c r="DX60" i="69"/>
  <c r="CG106" i="69"/>
  <c r="CG122" i="69"/>
  <c r="CG109" i="69"/>
  <c r="CZ58" i="69"/>
  <c r="CZ50" i="69"/>
  <c r="CZ44" i="69"/>
  <c r="DX42" i="69"/>
  <c r="DX44" i="69"/>
  <c r="CZ42" i="69"/>
  <c r="CG105" i="69"/>
  <c r="BI44" i="77"/>
  <c r="BF45" i="77" s="1"/>
  <c r="BK34" i="40"/>
  <c r="BK33" i="40"/>
  <c r="AQ52" i="85"/>
  <c r="AQ46" i="85"/>
  <c r="CG8" i="70"/>
  <c r="CG7" i="70"/>
  <c r="CG6" i="70"/>
  <c r="CG5" i="70"/>
  <c r="BN3" i="82" l="1"/>
  <c r="BN12" i="82"/>
  <c r="BN13" i="82" s="1" a="1"/>
  <c r="BN13" i="82" s="1"/>
  <c r="BL13" i="82" a="1"/>
  <c r="BL13" i="82" s="1"/>
  <c r="CN48" i="16"/>
  <c r="CQ48" i="16" s="1"/>
  <c r="AO45" i="43" s="1"/>
  <c r="CY51" i="89"/>
  <c r="BB2" i="89" s="1"/>
  <c r="DB51" i="89"/>
  <c r="BG55" i="43" s="1"/>
  <c r="BW57" i="89" a="1"/>
  <c r="BW57" i="89" s="1"/>
  <c r="GC57" i="89" s="1"/>
  <c r="GD57" i="89" s="1" a="1"/>
  <c r="GD57" i="89" s="1"/>
  <c r="BW56" i="89" a="1"/>
  <c r="BW56" i="89" s="1"/>
  <c r="GC56" i="89" s="1"/>
  <c r="GD56" i="89" s="1" a="1"/>
  <c r="GD56" i="89" s="1"/>
  <c r="CU49" i="89"/>
  <c r="BP4" i="82"/>
  <c r="BR4" i="82"/>
  <c r="BT4" i="82" s="1"/>
  <c r="DY14" i="82"/>
  <c r="DS14" i="82"/>
  <c r="DW14" i="82"/>
  <c r="DU14" i="82"/>
  <c r="DS15" i="82"/>
  <c r="DY15" i="82"/>
  <c r="DW15" i="82"/>
  <c r="DU15" i="82"/>
  <c r="EX59" i="69"/>
  <c r="FL59" i="69"/>
  <c r="BJ35" i="82"/>
  <c r="BF75" i="82"/>
  <c r="BF67" i="82"/>
  <c r="BF65" i="82"/>
  <c r="BF33" i="82"/>
  <c r="BF31" i="82"/>
  <c r="BF23" i="82"/>
  <c r="BF73" i="82"/>
  <c r="BF63" i="82"/>
  <c r="BF27" i="82"/>
  <c r="BF71" i="82"/>
  <c r="BF25" i="82"/>
  <c r="BF29" i="82"/>
  <c r="BF35" i="82"/>
  <c r="BF69" i="82"/>
  <c r="BJ25" i="82"/>
  <c r="BJ31" i="82"/>
  <c r="BJ71" i="82"/>
  <c r="BJ65" i="82"/>
  <c r="BJ67" i="82"/>
  <c r="DJ87" i="82"/>
  <c r="BA46" i="85"/>
  <c r="DJ93" i="82"/>
  <c r="BA52" i="85"/>
  <c r="CD47" i="82"/>
  <c r="CD49" i="82"/>
  <c r="CD45" i="82"/>
  <c r="CH12" i="69"/>
  <c r="CD41" i="82"/>
  <c r="CH8" i="69"/>
  <c r="CH10" i="69"/>
  <c r="CH4" i="69"/>
  <c r="CG10" i="69"/>
  <c r="CG12" i="69"/>
  <c r="CG8" i="69"/>
  <c r="CG4" i="69"/>
  <c r="CG116" i="69"/>
  <c r="CG110" i="69"/>
  <c r="CG111" i="69"/>
  <c r="CG103" i="69"/>
  <c r="CG115" i="69"/>
  <c r="CG104" i="69"/>
  <c r="CG114" i="69"/>
  <c r="CG102" i="69"/>
  <c r="CG117" i="69"/>
  <c r="BK32" i="40"/>
  <c r="BP13" i="82" l="1" a="1"/>
  <c r="BP13" i="82" s="1"/>
  <c r="BT12" i="82"/>
  <c r="FZ57" i="89" a="1"/>
  <c r="FZ57" i="89" s="1"/>
  <c r="FZ56" i="89" a="1"/>
  <c r="FZ56" i="89" s="1"/>
  <c r="FU57" i="89"/>
  <c r="FL57" i="89"/>
  <c r="FP57" i="89"/>
  <c r="FL56" i="89"/>
  <c r="FU56" i="89"/>
  <c r="FP56" i="89"/>
  <c r="BV2" i="89"/>
  <c r="BY2" i="89"/>
  <c r="BD2" i="89"/>
  <c r="CY49" i="89"/>
  <c r="D2" i="89" s="1"/>
  <c r="DB49" i="89"/>
  <c r="BD56" i="43" s="1"/>
  <c r="BR3" i="82"/>
  <c r="BV4" i="82"/>
  <c r="BR12" i="82"/>
  <c r="BR13" i="82" s="1" a="1"/>
  <c r="BR13" i="82" s="1"/>
  <c r="DS16" i="82"/>
  <c r="DY16" i="82"/>
  <c r="DW16" i="82"/>
  <c r="DU16" i="82"/>
  <c r="DY17" i="82"/>
  <c r="DW17" i="82"/>
  <c r="DU17" i="82"/>
  <c r="DS17" i="82"/>
  <c r="FR59" i="69"/>
  <c r="FR61" i="69" s="1"/>
  <c r="FL61" i="69"/>
  <c r="BJ19" i="16" s="1"/>
  <c r="FD59" i="69"/>
  <c r="EX61" i="69"/>
  <c r="BV3" i="82"/>
  <c r="BN65" i="82"/>
  <c r="BJ27" i="82"/>
  <c r="BJ63" i="82"/>
  <c r="BJ69" i="82"/>
  <c r="BJ73" i="82"/>
  <c r="BJ33" i="82"/>
  <c r="BJ75" i="82"/>
  <c r="BJ29" i="82"/>
  <c r="BJ23" i="82"/>
  <c r="BN33" i="82"/>
  <c r="BN71" i="82"/>
  <c r="BN35" i="82"/>
  <c r="CI79" i="69" a="1"/>
  <c r="CI79" i="69" s="1"/>
  <c r="BK31" i="40"/>
  <c r="Y2" i="89" l="1"/>
  <c r="B2" i="89"/>
  <c r="V2" i="89"/>
  <c r="BT13" i="82" a="1"/>
  <c r="BT13" i="82" s="1"/>
  <c r="DS19" i="82"/>
  <c r="DY19" i="82"/>
  <c r="DW19" i="82"/>
  <c r="DU19" i="82"/>
  <c r="DY18" i="82"/>
  <c r="DW18" i="82"/>
  <c r="DU18" i="82"/>
  <c r="DS18" i="82"/>
  <c r="FG47" i="69"/>
  <c r="AE10" i="69" s="1"/>
  <c r="R19" i="16"/>
  <c r="FG44" i="69"/>
  <c r="FD61" i="69"/>
  <c r="BN73" i="82"/>
  <c r="BR29" i="82"/>
  <c r="BR75" i="82"/>
  <c r="BN25" i="82"/>
  <c r="BN63" i="82"/>
  <c r="BN31" i="82"/>
  <c r="BN23" i="82"/>
  <c r="BN67" i="82"/>
  <c r="BN69" i="82"/>
  <c r="BN75" i="82"/>
  <c r="BN29" i="82"/>
  <c r="BN27" i="82"/>
  <c r="BK30" i="40"/>
  <c r="GN5" i="69" l="1"/>
  <c r="CN62" i="16" s="1"/>
  <c r="CQ62" i="16" s="1"/>
  <c r="AC47" i="43" s="1"/>
  <c r="DS20" i="82"/>
  <c r="DY20" i="82"/>
  <c r="DW20" i="82"/>
  <c r="DU20" i="82"/>
  <c r="DY21" i="82"/>
  <c r="DW21" i="82"/>
  <c r="DU21" i="82"/>
  <c r="DS21" i="82"/>
  <c r="AV10" i="69"/>
  <c r="BR33" i="82"/>
  <c r="BV27" i="82"/>
  <c r="BR69" i="82"/>
  <c r="BR71" i="82"/>
  <c r="BR67" i="82"/>
  <c r="BR65" i="82"/>
  <c r="BR73" i="82"/>
  <c r="BR23" i="82"/>
  <c r="BR35" i="82"/>
  <c r="BR25" i="82"/>
  <c r="BR31" i="82"/>
  <c r="BR27" i="82"/>
  <c r="BR63" i="82"/>
  <c r="BK29" i="40"/>
  <c r="AQ28" i="85"/>
  <c r="AQ30" i="85"/>
  <c r="AQ32" i="85"/>
  <c r="DW22" i="82" l="1"/>
  <c r="DU22" i="82"/>
  <c r="DS22" i="82"/>
  <c r="DY22" i="82"/>
  <c r="DU23" i="82"/>
  <c r="DS23" i="82"/>
  <c r="DY23" i="82"/>
  <c r="DW23" i="82"/>
  <c r="BV75" i="82"/>
  <c r="BV29" i="82"/>
  <c r="BV67" i="82"/>
  <c r="BV71" i="82"/>
  <c r="BV33" i="82"/>
  <c r="BV25" i="82"/>
  <c r="BV23" i="82"/>
  <c r="BV63" i="82"/>
  <c r="BV35" i="82"/>
  <c r="BV73" i="82"/>
  <c r="BV65" i="82"/>
  <c r="BV69" i="82"/>
  <c r="BV31" i="82"/>
  <c r="DJ81" i="82"/>
  <c r="BA32" i="85"/>
  <c r="DJ79" i="82"/>
  <c r="BA30" i="85"/>
  <c r="DJ77" i="82"/>
  <c r="BA28" i="85"/>
  <c r="BK28" i="40"/>
  <c r="Z52" i="89"/>
  <c r="BF45" i="40"/>
  <c r="CU50" i="89" l="1"/>
  <c r="DY25" i="82"/>
  <c r="DW25" i="82"/>
  <c r="DU25" i="82"/>
  <c r="DS25" i="82"/>
  <c r="DS24" i="82"/>
  <c r="DY24" i="82"/>
  <c r="DW24" i="82"/>
  <c r="DU24" i="82"/>
  <c r="DY22" i="40"/>
  <c r="BK27" i="40"/>
  <c r="CT29" i="16"/>
  <c r="AN17" i="43"/>
  <c r="CY50" i="89" l="1"/>
  <c r="DB50" i="89"/>
  <c r="DY27" i="82"/>
  <c r="DW27" i="82"/>
  <c r="DU27" i="82"/>
  <c r="DS27" i="82"/>
  <c r="DW26" i="82"/>
  <c r="DY26" i="82"/>
  <c r="DU26" i="82"/>
  <c r="DS26" i="82"/>
  <c r="BK26" i="40"/>
  <c r="DF36" i="69"/>
  <c r="DF34" i="69"/>
  <c r="DF32" i="69"/>
  <c r="DF30" i="69"/>
  <c r="DF28" i="69"/>
  <c r="DF26" i="69"/>
  <c r="DF24" i="69"/>
  <c r="DF22" i="69"/>
  <c r="DF20" i="69"/>
  <c r="DF18" i="69"/>
  <c r="DF16" i="69"/>
  <c r="DF14" i="69"/>
  <c r="DF12" i="69"/>
  <c r="DF10" i="69"/>
  <c r="DF8" i="69"/>
  <c r="DF6" i="69"/>
  <c r="DF4" i="69"/>
  <c r="ES161" i="40"/>
  <c r="ET161" i="40"/>
  <c r="EU161" i="40"/>
  <c r="EV161" i="40"/>
  <c r="EQ161" i="40"/>
  <c r="EP161" i="40"/>
  <c r="EO161" i="40"/>
  <c r="EN161" i="40"/>
  <c r="ER161" i="40"/>
  <c r="EK161" i="40"/>
  <c r="EJ161" i="40"/>
  <c r="EI161" i="40"/>
  <c r="EH161" i="40"/>
  <c r="EG161" i="40"/>
  <c r="EF161" i="40"/>
  <c r="EE161" i="40"/>
  <c r="ED161" i="40"/>
  <c r="EC161" i="40"/>
  <c r="AB2" i="89" l="1"/>
  <c r="AV2" i="89"/>
  <c r="AD2" i="89"/>
  <c r="AY2" i="89"/>
  <c r="BD55" i="43"/>
  <c r="DS28" i="82"/>
  <c r="DY28" i="82"/>
  <c r="DW28" i="82"/>
  <c r="DU28" i="82"/>
  <c r="DY29" i="82"/>
  <c r="DW29" i="82"/>
  <c r="DU29" i="82"/>
  <c r="DS29" i="82"/>
  <c r="BK24" i="40"/>
  <c r="BK25" i="40"/>
  <c r="DL30" i="69"/>
  <c r="DL18" i="69"/>
  <c r="DL8" i="69"/>
  <c r="DZ35" i="40"/>
  <c r="DY31" i="82" l="1"/>
  <c r="DS31" i="82"/>
  <c r="DW31" i="82"/>
  <c r="DU31" i="82"/>
  <c r="DY30" i="82"/>
  <c r="DW30" i="82"/>
  <c r="DU30" i="82"/>
  <c r="DS30" i="82"/>
  <c r="CC53" i="69"/>
  <c r="CC59" i="69"/>
  <c r="CC46" i="69"/>
  <c r="CC51" i="69"/>
  <c r="CC55" i="69"/>
  <c r="CC50" i="69"/>
  <c r="CC56" i="69"/>
  <c r="CC45" i="69"/>
  <c r="CC44" i="69"/>
  <c r="CC49" i="69"/>
  <c r="CC48" i="69"/>
  <c r="CC57" i="69"/>
  <c r="CC43" i="69"/>
  <c r="CC42" i="69"/>
  <c r="CC54" i="69"/>
  <c r="CC61" i="69"/>
  <c r="CC47" i="69"/>
  <c r="CC62" i="69"/>
  <c r="CC41" i="69"/>
  <c r="CC39" i="69"/>
  <c r="CC40" i="69"/>
  <c r="CC52" i="69"/>
  <c r="CC58" i="69"/>
  <c r="CC60" i="69"/>
  <c r="EO114" i="40"/>
  <c r="EP114" i="40"/>
  <c r="EQ114" i="40"/>
  <c r="ER114" i="40"/>
  <c r="ES114" i="40"/>
  <c r="ET114" i="40"/>
  <c r="EU114" i="40"/>
  <c r="EV114" i="40"/>
  <c r="EO116" i="40"/>
  <c r="EP116" i="40"/>
  <c r="EQ116" i="40"/>
  <c r="ER116" i="40"/>
  <c r="ES116" i="40"/>
  <c r="ET116" i="40"/>
  <c r="EU116" i="40"/>
  <c r="EV116" i="40"/>
  <c r="EO117" i="40"/>
  <c r="EP117" i="40"/>
  <c r="EQ117" i="40"/>
  <c r="ER117" i="40"/>
  <c r="ES117" i="40"/>
  <c r="ET117" i="40"/>
  <c r="EU117" i="40"/>
  <c r="EV117" i="40"/>
  <c r="EO118" i="40"/>
  <c r="EP118" i="40"/>
  <c r="EQ118" i="40"/>
  <c r="ER118" i="40"/>
  <c r="ES118" i="40"/>
  <c r="ET118" i="40"/>
  <c r="EU118" i="40"/>
  <c r="EV118" i="40"/>
  <c r="EO119" i="40"/>
  <c r="EP119" i="40"/>
  <c r="EQ119" i="40"/>
  <c r="ER119" i="40"/>
  <c r="ES119" i="40"/>
  <c r="ET119" i="40"/>
  <c r="EU119" i="40"/>
  <c r="EV119" i="40"/>
  <c r="EO120" i="40"/>
  <c r="EP120" i="40"/>
  <c r="EQ120" i="40"/>
  <c r="ER120" i="40"/>
  <c r="ES120" i="40"/>
  <c r="ET120" i="40"/>
  <c r="EU120" i="40"/>
  <c r="EV120" i="40"/>
  <c r="EO122" i="40"/>
  <c r="EP122" i="40"/>
  <c r="EQ122" i="40"/>
  <c r="ER122" i="40"/>
  <c r="ES122" i="40"/>
  <c r="ET122" i="40"/>
  <c r="EU122" i="40"/>
  <c r="EV122" i="40"/>
  <c r="EN120" i="40"/>
  <c r="EN119" i="40"/>
  <c r="EN118" i="40"/>
  <c r="EN117" i="40"/>
  <c r="EN116" i="40"/>
  <c r="EN122" i="40"/>
  <c r="EN114" i="40"/>
  <c r="O33" i="43"/>
  <c r="CJ33" i="43" s="1"/>
  <c r="CF18" i="43"/>
  <c r="CF14" i="43"/>
  <c r="EL29" i="69"/>
  <c r="CQ39" i="16"/>
  <c r="CN43" i="16" s="1"/>
  <c r="BV15" i="77"/>
  <c r="F15" i="77"/>
  <c r="BE15" i="77"/>
  <c r="W15" i="77"/>
  <c r="AN11" i="69" l="1"/>
  <c r="AL10" i="69" s="1"/>
  <c r="CN44" i="16"/>
  <c r="CQ44" i="16" s="1"/>
  <c r="CQ43" i="16"/>
  <c r="DY33" i="82"/>
  <c r="DW33" i="82"/>
  <c r="DU33" i="82"/>
  <c r="DS33" i="82"/>
  <c r="DS32" i="82"/>
  <c r="DY32" i="82"/>
  <c r="DW32" i="82"/>
  <c r="DU32" i="82"/>
  <c r="AB13" i="16"/>
  <c r="AZ13" i="16"/>
  <c r="CF21" i="43"/>
  <c r="DX35" i="40"/>
  <c r="EI117" i="40"/>
  <c r="EI119" i="40"/>
  <c r="EI114" i="40"/>
  <c r="EI120" i="40"/>
  <c r="EI122" i="40"/>
  <c r="EI116" i="40"/>
  <c r="EI118" i="40"/>
  <c r="DL16" i="69"/>
  <c r="FY19" i="69" s="1"/>
  <c r="DL28" i="69"/>
  <c r="FY31" i="69" s="1"/>
  <c r="CK91" i="77"/>
  <c r="AL45" i="43" l="1"/>
  <c r="DY35" i="82"/>
  <c r="DW35" i="82"/>
  <c r="DU35" i="82"/>
  <c r="DS35" i="82"/>
  <c r="DS34" i="82"/>
  <c r="DY34" i="82"/>
  <c r="DU34" i="82"/>
  <c r="DW34" i="82"/>
  <c r="GE31" i="69"/>
  <c r="GE33" i="69" s="1"/>
  <c r="FY33" i="69"/>
  <c r="BJ18" i="16" s="1"/>
  <c r="GE19" i="69"/>
  <c r="FY21" i="69"/>
  <c r="BJ17" i="16" s="1"/>
  <c r="M60" i="71"/>
  <c r="O60" i="71" s="1"/>
  <c r="CQ79" i="16"/>
  <c r="AX46" i="43" s="1"/>
  <c r="CF22" i="43"/>
  <c r="L84" i="77"/>
  <c r="I29" i="77"/>
  <c r="JF21" i="40"/>
  <c r="CD57" i="70"/>
  <c r="AQ44" i="85"/>
  <c r="BF44" i="40"/>
  <c r="AS74" i="70"/>
  <c r="AI74" i="70"/>
  <c r="Y74" i="70"/>
  <c r="O74" i="70"/>
  <c r="E74" i="70"/>
  <c r="AS67" i="70"/>
  <c r="AI67" i="70"/>
  <c r="Y67" i="70"/>
  <c r="BP51" i="70"/>
  <c r="D122" i="69" s="1"/>
  <c r="O67" i="70"/>
  <c r="E67" i="70"/>
  <c r="CQ13" i="82"/>
  <c r="CQ14" i="82" s="1"/>
  <c r="CR13" i="82"/>
  <c r="CR14" i="82" s="1"/>
  <c r="CS13" i="82"/>
  <c r="CS14" i="82" s="1"/>
  <c r="CT13" i="82"/>
  <c r="CT14" i="82" s="1"/>
  <c r="CU13" i="82"/>
  <c r="CU14" i="82" s="1"/>
  <c r="CV13" i="82"/>
  <c r="CV14" i="82" s="1"/>
  <c r="CP13" i="82"/>
  <c r="CP14" i="82" s="1"/>
  <c r="CF13" i="82"/>
  <c r="CF14" i="82" s="1"/>
  <c r="CG13" i="82"/>
  <c r="CG14" i="82" s="1"/>
  <c r="CH13" i="82"/>
  <c r="CH14" i="82" s="1"/>
  <c r="CI13" i="82"/>
  <c r="CI14" i="82" s="1"/>
  <c r="CJ13" i="82"/>
  <c r="CJ14" i="82" s="1"/>
  <c r="CK13" i="82"/>
  <c r="CK14" i="82" s="1"/>
  <c r="CE13" i="82"/>
  <c r="CE14" i="82" s="1"/>
  <c r="CQ9" i="82"/>
  <c r="CQ10" i="82" s="1"/>
  <c r="CR9" i="82"/>
  <c r="CR10" i="82" s="1"/>
  <c r="CS9" i="82"/>
  <c r="CS10" i="82" s="1"/>
  <c r="CT9" i="82"/>
  <c r="CT10" i="82" s="1"/>
  <c r="CU9" i="82"/>
  <c r="CU10" i="82" s="1"/>
  <c r="CV9" i="82"/>
  <c r="CV10" i="82" s="1"/>
  <c r="CP9" i="82"/>
  <c r="CP10" i="82" s="1"/>
  <c r="CF9" i="82"/>
  <c r="CF10" i="82" s="1"/>
  <c r="CG9" i="82"/>
  <c r="CG10" i="82" s="1"/>
  <c r="CH9" i="82"/>
  <c r="CH10" i="82" s="1"/>
  <c r="CI9" i="82"/>
  <c r="CI10" i="82" s="1"/>
  <c r="CJ9" i="82"/>
  <c r="CJ10" i="82" s="1"/>
  <c r="CK9" i="82"/>
  <c r="CK10" i="82" s="1"/>
  <c r="CE9" i="82"/>
  <c r="CE10" i="82" s="1"/>
  <c r="DO27" i="43"/>
  <c r="CP110" i="77" l="1"/>
  <c r="CC58" i="68" a="1"/>
  <c r="CC58" i="68" s="1"/>
  <c r="F26" i="68" s="1"/>
  <c r="F28" i="68" s="1" a="1"/>
  <c r="F28" i="68" s="1"/>
  <c r="DY36" i="43"/>
  <c r="DY37" i="82"/>
  <c r="DW37" i="82"/>
  <c r="DU37" i="82"/>
  <c r="DS37" i="82"/>
  <c r="DS36" i="82"/>
  <c r="DY36" i="82"/>
  <c r="DW36" i="82"/>
  <c r="DU36" i="82"/>
  <c r="FN10" i="69"/>
  <c r="GE21" i="69"/>
  <c r="FN7" i="69"/>
  <c r="DJ85" i="82"/>
  <c r="BA44" i="85"/>
  <c r="DO30" i="43"/>
  <c r="AW34" i="43"/>
  <c r="DO31" i="43"/>
  <c r="AW36" i="43"/>
  <c r="DO29" i="43"/>
  <c r="AW32" i="43"/>
  <c r="DO28" i="43"/>
  <c r="AW30" i="43"/>
  <c r="BF9" i="77"/>
  <c r="BG13" i="16"/>
  <c r="BO55" i="70"/>
  <c r="CC8" i="43"/>
  <c r="BP55" i="70"/>
  <c r="AX42" i="85"/>
  <c r="AQ42" i="85"/>
  <c r="BN67" i="77"/>
  <c r="BE67" i="77"/>
  <c r="AV67" i="77"/>
  <c r="AM67" i="77"/>
  <c r="AD67" i="77"/>
  <c r="U67" i="77"/>
  <c r="L67" i="77"/>
  <c r="BQ29" i="77"/>
  <c r="BH29" i="77"/>
  <c r="BQ23" i="77"/>
  <c r="BH23" i="77"/>
  <c r="BQ17" i="77"/>
  <c r="BH17" i="77"/>
  <c r="R29" i="77"/>
  <c r="R23" i="77"/>
  <c r="I23" i="77"/>
  <c r="I17" i="77"/>
  <c r="AV9" i="69" l="1"/>
  <c r="GN7" i="69"/>
  <c r="BA99" i="16"/>
  <c r="BA114" i="16"/>
  <c r="AM80" i="16"/>
  <c r="AT80" i="16"/>
  <c r="BA80" i="16"/>
  <c r="Y80" i="16"/>
  <c r="AF80" i="16"/>
  <c r="CD34" i="89"/>
  <c r="CX31" i="69"/>
  <c r="DB21" i="82"/>
  <c r="H9" i="45"/>
  <c r="S8" i="45" s="1"/>
  <c r="O8" i="45" s="1" a="1"/>
  <c r="O8" i="45" s="1"/>
  <c r="U26" i="45"/>
  <c r="DG6" i="68"/>
  <c r="DE7" i="68" s="1"/>
  <c r="AI90" i="86"/>
  <c r="CC43" i="89"/>
  <c r="BW55" i="89" s="1" a="1"/>
  <c r="BW55" i="89" s="1"/>
  <c r="CW79" i="86"/>
  <c r="DI72" i="70"/>
  <c r="DI78" i="70" s="1"/>
  <c r="DS38" i="82"/>
  <c r="DU38" i="82"/>
  <c r="DY38" i="82"/>
  <c r="DW38" i="82"/>
  <c r="DS39" i="82"/>
  <c r="DU39" i="82"/>
  <c r="DY39" i="82"/>
  <c r="DW39" i="82"/>
  <c r="AE9" i="69"/>
  <c r="AO57" i="43"/>
  <c r="BM9" i="77"/>
  <c r="CC42" i="45"/>
  <c r="X58" i="89"/>
  <c r="Z59" i="89" s="1"/>
  <c r="K90" i="86"/>
  <c r="CC49" i="68"/>
  <c r="CF49" i="68" s="1"/>
  <c r="CI49" i="68" s="1"/>
  <c r="CL49" i="68" s="1"/>
  <c r="F7" i="68" s="1"/>
  <c r="S20" i="45" l="1" a="1"/>
  <c r="S20" i="45" s="1"/>
  <c r="S19" i="45" a="1"/>
  <c r="S19" i="45" s="1"/>
  <c r="S21" i="45" a="1"/>
  <c r="S21" i="45" s="1"/>
  <c r="S22" i="45" a="1"/>
  <c r="S22" i="45" s="1"/>
  <c r="S18" i="45" a="1"/>
  <c r="S18" i="45" s="1"/>
  <c r="S17" i="45" a="1"/>
  <c r="S17" i="45" s="1"/>
  <c r="S14" i="45" a="1"/>
  <c r="S14" i="45" s="1"/>
  <c r="S15" i="45" a="1"/>
  <c r="S15" i="45" s="1"/>
  <c r="S16" i="45" a="1"/>
  <c r="S16" i="45" s="1"/>
  <c r="O9" i="45"/>
  <c r="S13" i="45" a="1"/>
  <c r="S13" i="45" s="1"/>
  <c r="S31" i="45" a="1"/>
  <c r="S31" i="45" s="1"/>
  <c r="O31" i="45" s="1" a="1"/>
  <c r="O31" i="45" s="1"/>
  <c r="DE6" i="68"/>
  <c r="S25" i="45" a="1"/>
  <c r="S25" i="45" s="1"/>
  <c r="P26" i="45" s="1" a="1"/>
  <c r="P26" i="45" s="1"/>
  <c r="S11" i="45" a="1"/>
  <c r="S11" i="45" s="1"/>
  <c r="O11" i="45" s="1" a="1"/>
  <c r="O11" i="45" s="1"/>
  <c r="S26" i="45" a="1"/>
  <c r="S26" i="45" s="1"/>
  <c r="S30" i="45" a="1"/>
  <c r="S30" i="45" s="1"/>
  <c r="S12" i="45" a="1"/>
  <c r="S12" i="45" s="1"/>
  <c r="S32" i="45" a="1"/>
  <c r="S32" i="45" s="1"/>
  <c r="S29" i="45" a="1"/>
  <c r="S29" i="45" s="1"/>
  <c r="O29" i="45" s="1" a="1"/>
  <c r="O29" i="45" s="1"/>
  <c r="GC55" i="89"/>
  <c r="GD55" i="89" s="1" a="1"/>
  <c r="GD55" i="89" s="1"/>
  <c r="FL55" i="89"/>
  <c r="FU55" i="89"/>
  <c r="FP55" i="89"/>
  <c r="BW54" i="89" a="1"/>
  <c r="BW54" i="89" s="1"/>
  <c r="BW58" i="89" a="1"/>
  <c r="BW58" i="89" s="1"/>
  <c r="GC58" i="89" s="1"/>
  <c r="GD58" i="89" s="1" a="1"/>
  <c r="GD58" i="89" s="1"/>
  <c r="DC81" i="86"/>
  <c r="CT81" i="86"/>
  <c r="BW52" i="89" a="1"/>
  <c r="BW52" i="89" s="1"/>
  <c r="DP129" i="89" s="1"/>
  <c r="BW46" i="89" a="1"/>
  <c r="BW46" i="89" s="1"/>
  <c r="DP123" i="89" s="1"/>
  <c r="BW48" i="89" a="1"/>
  <c r="BW48" i="89" s="1"/>
  <c r="DP125" i="89" s="1"/>
  <c r="BW45" i="89" a="1"/>
  <c r="BW45" i="89" s="1"/>
  <c r="BW51" i="89" a="1"/>
  <c r="BW51" i="89" s="1"/>
  <c r="DP128" i="89" s="1"/>
  <c r="BW49" i="89" a="1"/>
  <c r="BW49" i="89" s="1"/>
  <c r="DP126" i="89" s="1"/>
  <c r="BW53" i="89" a="1"/>
  <c r="BW53" i="89" s="1"/>
  <c r="DP130" i="89" s="1"/>
  <c r="BW47" i="89" a="1"/>
  <c r="BW47" i="89" s="1"/>
  <c r="DP124" i="89" s="1"/>
  <c r="BW50" i="89" a="1"/>
  <c r="BW50" i="89" s="1"/>
  <c r="DP127" i="89" s="1"/>
  <c r="CU53" i="89"/>
  <c r="CU52" i="89"/>
  <c r="DI74" i="70"/>
  <c r="DH91" i="70" s="1" a="1"/>
  <c r="DH91" i="70" s="1"/>
  <c r="DI91" i="70" s="1"/>
  <c r="DA7" i="69"/>
  <c r="Y69" i="45" a="1"/>
  <c r="Y69" i="45" s="1"/>
  <c r="AC69" i="45" s="1"/>
  <c r="AF69" i="45" s="1"/>
  <c r="Y64" i="45" a="1"/>
  <c r="Y64" i="45" s="1"/>
  <c r="Y43" i="45" a="1"/>
  <c r="Y43" i="45" s="1"/>
  <c r="Y63" i="45" a="1"/>
  <c r="Y63" i="45" s="1"/>
  <c r="Y44" i="45" a="1"/>
  <c r="Y44" i="45" s="1"/>
  <c r="Y68" i="45" a="1"/>
  <c r="Y68" i="45" s="1"/>
  <c r="Y45" i="45" a="1"/>
  <c r="Y45" i="45" s="1"/>
  <c r="Y49" i="45" a="1"/>
  <c r="Y49" i="45" s="1"/>
  <c r="Y53" i="45" a="1"/>
  <c r="Y53" i="45" s="1"/>
  <c r="Y57" i="45" a="1"/>
  <c r="Y57" i="45" s="1"/>
  <c r="Y61" i="45" a="1"/>
  <c r="Y61" i="45" s="1"/>
  <c r="Y65" i="45" a="1"/>
  <c r="Y65" i="45" s="1"/>
  <c r="Y59" i="45" a="1"/>
  <c r="Y59" i="45" s="1"/>
  <c r="Y48" i="45" a="1"/>
  <c r="Y48" i="45" s="1"/>
  <c r="Y60" i="45" a="1"/>
  <c r="Y60" i="45" s="1"/>
  <c r="Y66" i="45" a="1"/>
  <c r="Y66" i="45" s="1"/>
  <c r="Y47" i="45" a="1"/>
  <c r="Y47" i="45" s="1"/>
  <c r="Y51" i="45" a="1"/>
  <c r="Y51" i="45" s="1"/>
  <c r="Y67" i="45" a="1"/>
  <c r="Y67" i="45" s="1"/>
  <c r="Y46" i="45" a="1"/>
  <c r="Y46" i="45" s="1"/>
  <c r="Y50" i="45" a="1"/>
  <c r="Y50" i="45" s="1"/>
  <c r="Y54" i="45" a="1"/>
  <c r="Y54" i="45" s="1"/>
  <c r="Y58" i="45" a="1"/>
  <c r="Y58" i="45" s="1"/>
  <c r="Y62" i="45" a="1"/>
  <c r="Y62" i="45" s="1"/>
  <c r="Y55" i="45" a="1"/>
  <c r="Y55" i="45" s="1"/>
  <c r="Y52" i="45" a="1"/>
  <c r="Y52" i="45" s="1"/>
  <c r="Y56" i="45" a="1"/>
  <c r="Y56" i="45" s="1"/>
  <c r="AC71" i="45"/>
  <c r="AF71" i="45" s="1"/>
  <c r="AC73" i="45"/>
  <c r="AF73" i="45" s="1"/>
  <c r="AC70" i="45"/>
  <c r="AF70" i="45" s="1"/>
  <c r="AC74" i="45"/>
  <c r="AF74" i="45" s="1"/>
  <c r="AC72" i="45"/>
  <c r="AF72" i="45" s="1"/>
  <c r="BG90" i="86"/>
  <c r="AA90" i="86"/>
  <c r="S90" i="86"/>
  <c r="AQ90" i="86"/>
  <c r="AY90" i="86"/>
  <c r="BF43" i="40"/>
  <c r="C3" i="70"/>
  <c r="C3" i="67"/>
  <c r="C1" i="70"/>
  <c r="AQ34" i="85"/>
  <c r="X3" i="70"/>
  <c r="CE28" i="43"/>
  <c r="CE29" i="43"/>
  <c r="CE30" i="43"/>
  <c r="CE31" i="43"/>
  <c r="CE32" i="43"/>
  <c r="CE33" i="43"/>
  <c r="CE34" i="43"/>
  <c r="CE35" i="43"/>
  <c r="CE27" i="43"/>
  <c r="CC29" i="43"/>
  <c r="CC30" i="43"/>
  <c r="CC31" i="43"/>
  <c r="CC32" i="43"/>
  <c r="CC33" i="43"/>
  <c r="CC34" i="43"/>
  <c r="CC35" i="43"/>
  <c r="CC28" i="43"/>
  <c r="CC27" i="43"/>
  <c r="L21" i="45" l="1"/>
  <c r="O19" i="45" a="1"/>
  <c r="O19" i="45" s="1"/>
  <c r="P20" i="45" a="1"/>
  <c r="P20" i="45" s="1"/>
  <c r="L19" i="45"/>
  <c r="AF4" i="70"/>
  <c r="AO4" i="70" s="1"/>
  <c r="AX4" i="70" s="1"/>
  <c r="BG4" i="70" s="1"/>
  <c r="BP4" i="70" s="1"/>
  <c r="BY4" i="70" s="1"/>
  <c r="GC54" i="89"/>
  <c r="GD54" i="89" s="1" a="1"/>
  <c r="GD54" i="89" s="1"/>
  <c r="DP131" i="89"/>
  <c r="GC50" i="89"/>
  <c r="GD50" i="89" s="1" a="1"/>
  <c r="GD50" i="89" s="1"/>
  <c r="GC49" i="89"/>
  <c r="GD49" i="89" s="1" a="1"/>
  <c r="GD49" i="89" s="1"/>
  <c r="GC51" i="89"/>
  <c r="GD51" i="89" s="1" a="1"/>
  <c r="GD51" i="89" s="1"/>
  <c r="GC48" i="89"/>
  <c r="GD48" i="89" s="1" a="1"/>
  <c r="GD48" i="89" s="1"/>
  <c r="GC46" i="89"/>
  <c r="GD46" i="89" s="1" a="1"/>
  <c r="GD46" i="89" s="1"/>
  <c r="GC52" i="89"/>
  <c r="GD52" i="89" s="1" a="1"/>
  <c r="GD52" i="89" s="1"/>
  <c r="GC47" i="89"/>
  <c r="GD47" i="89" s="1" a="1"/>
  <c r="GD47" i="89" s="1"/>
  <c r="GC45" i="89"/>
  <c r="GD45" i="89" s="1" a="1"/>
  <c r="GD45" i="89" s="1"/>
  <c r="DP122" i="89"/>
  <c r="GC53" i="89"/>
  <c r="GD53" i="89" s="1" a="1"/>
  <c r="GD53" i="89" s="1"/>
  <c r="L17" i="45"/>
  <c r="O21" i="45" a="1"/>
  <c r="O21" i="45" s="1"/>
  <c r="P22" i="45" a="1"/>
  <c r="P22" i="45" s="1"/>
  <c r="L15" i="45"/>
  <c r="P18" i="45" a="1"/>
  <c r="P18" i="45" s="1"/>
  <c r="O17" i="45" a="1"/>
  <c r="O17" i="45" s="1"/>
  <c r="L13" i="45"/>
  <c r="P16" i="45" a="1"/>
  <c r="P16" i="45" s="1"/>
  <c r="O15" i="45" a="1"/>
  <c r="O15" i="45" s="1"/>
  <c r="O13" i="45" a="1"/>
  <c r="O13" i="45" s="1"/>
  <c r="P14" i="45" a="1"/>
  <c r="P14" i="45" s="1"/>
  <c r="O25" i="45" a="1"/>
  <c r="O25" i="45" s="1"/>
  <c r="P12" i="45" a="1"/>
  <c r="P12" i="45" s="1"/>
  <c r="P32" i="45" a="1"/>
  <c r="P32" i="45" s="1"/>
  <c r="L31" i="45"/>
  <c r="L11" i="45"/>
  <c r="L25" i="45"/>
  <c r="P30" i="45" a="1"/>
  <c r="P30" i="45" s="1"/>
  <c r="L29" i="45"/>
  <c r="AG86" i="86" a="1"/>
  <c r="AG86" i="86" s="1"/>
  <c r="BM8" i="77"/>
  <c r="BO82" i="86"/>
  <c r="N8" i="77"/>
  <c r="K82" i="86"/>
  <c r="FZ55" i="89" a="1"/>
  <c r="FZ55" i="89" s="1"/>
  <c r="FZ58" i="89" a="1"/>
  <c r="FZ58" i="89" s="1"/>
  <c r="FU46" i="89"/>
  <c r="FU58" i="89"/>
  <c r="FU45" i="89"/>
  <c r="FP48" i="89"/>
  <c r="FU48" i="89"/>
  <c r="FP50" i="89"/>
  <c r="FU50" i="89"/>
  <c r="FP52" i="89"/>
  <c r="FU52" i="89"/>
  <c r="FP47" i="89"/>
  <c r="FU47" i="89"/>
  <c r="FP53" i="89"/>
  <c r="FU53" i="89"/>
  <c r="FP49" i="89"/>
  <c r="FU49" i="89"/>
  <c r="FP51" i="89"/>
  <c r="FU51" i="89"/>
  <c r="FP54" i="89"/>
  <c r="FU54" i="89"/>
  <c r="FP46" i="89"/>
  <c r="FL54" i="89"/>
  <c r="FL58" i="89"/>
  <c r="FP58" i="89"/>
  <c r="FL48" i="89"/>
  <c r="FL46" i="89"/>
  <c r="FL50" i="89"/>
  <c r="FL52" i="89"/>
  <c r="FL47" i="89"/>
  <c r="FL53" i="89"/>
  <c r="FL49" i="89"/>
  <c r="FL51" i="89"/>
  <c r="FL45" i="89"/>
  <c r="FP45" i="89"/>
  <c r="CX83" i="86"/>
  <c r="CY52" i="89"/>
  <c r="BY24" i="89" s="1"/>
  <c r="DB52" i="89"/>
  <c r="CY53" i="89"/>
  <c r="BD36" i="89" s="1"/>
  <c r="DB53" i="89"/>
  <c r="BE57" i="43" s="1"/>
  <c r="G51" i="77"/>
  <c r="BF51" i="77"/>
  <c r="DH90" i="70" a="1"/>
  <c r="DH90" i="70" s="1"/>
  <c r="DI90" i="70" s="1"/>
  <c r="DH89" i="70" a="1"/>
  <c r="DH89" i="70" s="1"/>
  <c r="DI89" i="70" s="1"/>
  <c r="DH85" i="70" a="1"/>
  <c r="DH85" i="70" s="1"/>
  <c r="DI85" i="70" s="1"/>
  <c r="DH88" i="70" a="1"/>
  <c r="DH88" i="70" s="1"/>
  <c r="DI88" i="70" s="1"/>
  <c r="DH84" i="70" a="1"/>
  <c r="DH84" i="70" s="1"/>
  <c r="DI84" i="70" s="1"/>
  <c r="DH87" i="70" a="1"/>
  <c r="DH87" i="70" s="1"/>
  <c r="DI87" i="70" s="1"/>
  <c r="DH83" i="70" a="1"/>
  <c r="DH83" i="70" s="1"/>
  <c r="DI83" i="70" s="1"/>
  <c r="DH86" i="70" a="1"/>
  <c r="DH86" i="70" s="1"/>
  <c r="DI86" i="70" s="1"/>
  <c r="DH82" i="70" a="1"/>
  <c r="DH82" i="70" s="1"/>
  <c r="DI82" i="70" s="1"/>
  <c r="CO74" i="70"/>
  <c r="CO75" i="70"/>
  <c r="CO76" i="70"/>
  <c r="CE76" i="70"/>
  <c r="CE75" i="70"/>
  <c r="CE74" i="70"/>
  <c r="CN91" i="70"/>
  <c r="CN90" i="70"/>
  <c r="CK91" i="70"/>
  <c r="CW90" i="70"/>
  <c r="CQ90" i="70"/>
  <c r="CT89" i="70"/>
  <c r="CH90" i="70"/>
  <c r="CE91" i="70"/>
  <c r="CT91" i="70"/>
  <c r="CW91" i="70"/>
  <c r="CW89" i="70"/>
  <c r="CQ91" i="70"/>
  <c r="CW84" i="70"/>
  <c r="CE90" i="70"/>
  <c r="CW87" i="70"/>
  <c r="CT82" i="70"/>
  <c r="CW86" i="70"/>
  <c r="CT90" i="70"/>
  <c r="CW82" i="70"/>
  <c r="CW83" i="70"/>
  <c r="CT85" i="70"/>
  <c r="CK90" i="70"/>
  <c r="CT88" i="70"/>
  <c r="CH91" i="70"/>
  <c r="CW85" i="70"/>
  <c r="CW88" i="70"/>
  <c r="CT83" i="70"/>
  <c r="CT84" i="70"/>
  <c r="CT86" i="70"/>
  <c r="CT87" i="70"/>
  <c r="CE71" i="70"/>
  <c r="CE69" i="70"/>
  <c r="CE72" i="70"/>
  <c r="CK85" i="70"/>
  <c r="CN86" i="70"/>
  <c r="CN87" i="70"/>
  <c r="CK89" i="70"/>
  <c r="CH82" i="70"/>
  <c r="CE84" i="70"/>
  <c r="CO69" i="70"/>
  <c r="CE70" i="70"/>
  <c r="CN85" i="70"/>
  <c r="CQ86" i="70"/>
  <c r="CQ87" i="70"/>
  <c r="CN89" i="70"/>
  <c r="CE89" i="70"/>
  <c r="CE83" i="70"/>
  <c r="CQ85" i="70"/>
  <c r="CN82" i="70"/>
  <c r="CH89" i="70"/>
  <c r="CQ89" i="70"/>
  <c r="CO70" i="70"/>
  <c r="CK82" i="70"/>
  <c r="CH83" i="70"/>
  <c r="CE82" i="70"/>
  <c r="CK88" i="70"/>
  <c r="CE73" i="70"/>
  <c r="CN88" i="70"/>
  <c r="CH85" i="70"/>
  <c r="CQ88" i="70"/>
  <c r="CE88" i="70"/>
  <c r="CK83" i="70"/>
  <c r="CK84" i="70"/>
  <c r="CQ84" i="70"/>
  <c r="CH88" i="70"/>
  <c r="CQ82" i="70"/>
  <c r="CE87" i="70"/>
  <c r="CE85" i="70"/>
  <c r="CO71" i="70"/>
  <c r="CH84" i="70"/>
  <c r="CE86" i="70"/>
  <c r="CN83" i="70"/>
  <c r="CN84" i="70"/>
  <c r="CH86" i="70"/>
  <c r="CH87" i="70"/>
  <c r="CQ83" i="70"/>
  <c r="CK86" i="70"/>
  <c r="CO72" i="70"/>
  <c r="CK87" i="70"/>
  <c r="CO73" i="70"/>
  <c r="AC65" i="45"/>
  <c r="AF65" i="45" s="1"/>
  <c r="AC68" i="45"/>
  <c r="AC62" i="45"/>
  <c r="AC61" i="45"/>
  <c r="AF61" i="45" s="1"/>
  <c r="AC64" i="45"/>
  <c r="AF64" i="45" s="1"/>
  <c r="AC50" i="45"/>
  <c r="AF50" i="45" s="1"/>
  <c r="AC53" i="45"/>
  <c r="AF53" i="45" s="1"/>
  <c r="AC56" i="45"/>
  <c r="AF56" i="45" s="1"/>
  <c r="AC63" i="45"/>
  <c r="AF63" i="45" s="1"/>
  <c r="AC67" i="45"/>
  <c r="AF67" i="45" s="1"/>
  <c r="AC49" i="45"/>
  <c r="AC52" i="45"/>
  <c r="AF52" i="45" s="1"/>
  <c r="AC59" i="45"/>
  <c r="AF59" i="45" s="1"/>
  <c r="AC60" i="45"/>
  <c r="AC45" i="45"/>
  <c r="AF45" i="45" s="1"/>
  <c r="AC48" i="45"/>
  <c r="AF48" i="45" s="1"/>
  <c r="AC55" i="45"/>
  <c r="AF55" i="45" s="1"/>
  <c r="AC57" i="45"/>
  <c r="AF57" i="45" s="1"/>
  <c r="AC58" i="45"/>
  <c r="AF58" i="45" s="1"/>
  <c r="AC44" i="45"/>
  <c r="AF44" i="45" s="1"/>
  <c r="AC51" i="45"/>
  <c r="AF51" i="45" s="1"/>
  <c r="AC66" i="45"/>
  <c r="AF66" i="45" s="1"/>
  <c r="AC54" i="45"/>
  <c r="AF54" i="45" s="1"/>
  <c r="AC46" i="45"/>
  <c r="AF46" i="45" s="1"/>
  <c r="AC47" i="45"/>
  <c r="AF47" i="45" s="1"/>
  <c r="AC43" i="45"/>
  <c r="DJ83" i="82"/>
  <c r="BA34" i="85"/>
  <c r="G10" i="86"/>
  <c r="AH4" i="85"/>
  <c r="BO90" i="86"/>
  <c r="CC53" i="70"/>
  <c r="CF20" i="82"/>
  <c r="L3" i="70"/>
  <c r="DB20" i="82" s="1"/>
  <c r="B1" i="70"/>
  <c r="BX24" i="82"/>
  <c r="BX26" i="82"/>
  <c r="BX28" i="82"/>
  <c r="BX30" i="82"/>
  <c r="BF42" i="40"/>
  <c r="FZ54" i="89" l="1" a="1"/>
  <c r="FZ54" i="89" s="1"/>
  <c r="FZ51" i="89" a="1"/>
  <c r="FZ51" i="89" s="1"/>
  <c r="FZ46" i="89" a="1"/>
  <c r="FZ46" i="89" s="1"/>
  <c r="FZ52" i="89" a="1"/>
  <c r="FZ52" i="89" s="1"/>
  <c r="FZ49" i="89" a="1"/>
  <c r="FZ49" i="89" s="1"/>
  <c r="FZ47" i="89" a="1"/>
  <c r="FZ47" i="89" s="1"/>
  <c r="FZ48" i="89" a="1"/>
  <c r="FZ48" i="89" s="1"/>
  <c r="FZ50" i="89" a="1"/>
  <c r="FZ50" i="89" s="1"/>
  <c r="FZ45" i="89" a="1"/>
  <c r="FZ45" i="89" s="1"/>
  <c r="GP45" i="89" a="1"/>
  <c r="GP45" i="89" s="1"/>
  <c r="FZ53" i="89" a="1"/>
  <c r="FZ53" i="89" s="1"/>
  <c r="AX31" i="16"/>
  <c r="BL53" i="70"/>
  <c r="BL54" i="70"/>
  <c r="AF24" i="16"/>
  <c r="AX24" i="16"/>
  <c r="O31" i="16"/>
  <c r="O24" i="16"/>
  <c r="I3" i="70"/>
  <c r="GI45" i="89" a="1"/>
  <c r="BH36" i="89" s="1"/>
  <c r="F27" i="89"/>
  <c r="DF46" i="89" a="1"/>
  <c r="DF46" i="89" s="1"/>
  <c r="DJ46" i="89" a="1"/>
  <c r="DJ46" i="89" s="1"/>
  <c r="DL112" i="89" a="1"/>
  <c r="DL112" i="89" s="1"/>
  <c r="CK80" i="77"/>
  <c r="CC10" i="43"/>
  <c r="DQ4" i="69"/>
  <c r="BX24" i="89"/>
  <c r="W36" i="89"/>
  <c r="X36" i="89"/>
  <c r="Y36" i="89"/>
  <c r="V36" i="89"/>
  <c r="BF36" i="89"/>
  <c r="F24" i="89"/>
  <c r="AW2" i="89"/>
  <c r="F2" i="89"/>
  <c r="BF2" i="89"/>
  <c r="X2" i="89"/>
  <c r="BE2" i="89"/>
  <c r="BW2" i="89"/>
  <c r="BE36" i="89"/>
  <c r="BX2" i="89"/>
  <c r="AE2" i="89"/>
  <c r="E2" i="89"/>
  <c r="BW24" i="89"/>
  <c r="AF2" i="89"/>
  <c r="D24" i="89"/>
  <c r="BV24" i="89"/>
  <c r="E24" i="89"/>
  <c r="BB36" i="89"/>
  <c r="W2" i="89"/>
  <c r="AX2" i="89"/>
  <c r="CY55" i="89"/>
  <c r="DE50" i="16" s="1"/>
  <c r="B24" i="89"/>
  <c r="BG56" i="43"/>
  <c r="BE54" i="43" s="1"/>
  <c r="DB55" i="89"/>
  <c r="DI81" i="70"/>
  <c r="DB17" i="69" s="1"/>
  <c r="CZ83" i="70"/>
  <c r="CZ91" i="70"/>
  <c r="CZ86" i="70"/>
  <c r="CZ82" i="70"/>
  <c r="CZ84" i="70"/>
  <c r="CZ89" i="70"/>
  <c r="CZ88" i="70"/>
  <c r="CZ85" i="70"/>
  <c r="CZ87" i="70"/>
  <c r="DE41" i="82" a="1"/>
  <c r="DE41" i="82" s="1"/>
  <c r="DE43" i="82" a="1"/>
  <c r="DE43" i="82" s="1"/>
  <c r="DE59" i="82" a="1"/>
  <c r="DE59" i="82" s="1"/>
  <c r="DE49" i="82" a="1"/>
  <c r="DE49" i="82" s="1"/>
  <c r="DE55" i="82" a="1"/>
  <c r="DE55" i="82" s="1"/>
  <c r="DE53" i="82" a="1"/>
  <c r="DE53" i="82" s="1"/>
  <c r="DE45" i="82" a="1"/>
  <c r="DE45" i="82" s="1"/>
  <c r="DE61" i="82" a="1"/>
  <c r="DE61" i="82" s="1"/>
  <c r="DE51" i="82" a="1"/>
  <c r="DE51" i="82" s="1"/>
  <c r="DE57" i="82" a="1"/>
  <c r="DE57" i="82" s="1"/>
  <c r="DE47" i="82" a="1"/>
  <c r="DE47" i="82" s="1"/>
  <c r="DE63" i="82" a="1"/>
  <c r="DE63" i="82" s="1"/>
  <c r="CW41" i="82" a="1"/>
  <c r="CW41" i="82" s="1"/>
  <c r="CW43" i="82" a="1"/>
  <c r="CW43" i="82" s="1"/>
  <c r="CW59" i="82" a="1"/>
  <c r="CW59" i="82" s="1"/>
  <c r="CW49" i="82" a="1"/>
  <c r="CW49" i="82" s="1"/>
  <c r="CW55" i="82" a="1"/>
  <c r="CW55" i="82" s="1"/>
  <c r="CW45" i="82" a="1"/>
  <c r="CW45" i="82" s="1"/>
  <c r="CW61" i="82" a="1"/>
  <c r="CW61" i="82" s="1"/>
  <c r="CW51" i="82" a="1"/>
  <c r="CW51" i="82" s="1"/>
  <c r="CW57" i="82" a="1"/>
  <c r="CW57" i="82" s="1"/>
  <c r="CW53" i="82" a="1"/>
  <c r="CW53" i="82" s="1"/>
  <c r="CW47" i="82" a="1"/>
  <c r="CW47" i="82" s="1"/>
  <c r="CW63" i="82" a="1"/>
  <c r="CW63" i="82" s="1"/>
  <c r="CL43" i="82"/>
  <c r="CL51" i="82"/>
  <c r="CL59" i="82"/>
  <c r="CL67" i="82"/>
  <c r="CL63" i="82"/>
  <c r="CL57" i="82"/>
  <c r="CL71" i="82"/>
  <c r="CL49" i="82"/>
  <c r="CL45" i="82"/>
  <c r="CL53" i="82"/>
  <c r="CL61" i="82"/>
  <c r="CL69" i="82"/>
  <c r="CL55" i="82"/>
  <c r="CL65" i="82"/>
  <c r="CL47" i="82"/>
  <c r="CL73" i="82"/>
  <c r="CL41" i="82"/>
  <c r="CW20" i="69"/>
  <c r="CW22" i="69"/>
  <c r="CW24" i="69"/>
  <c r="EC37" i="69"/>
  <c r="EE54" i="69" s="1"/>
  <c r="DS32" i="69"/>
  <c r="DS34" i="69"/>
  <c r="CZ90" i="70"/>
  <c r="AL87" i="16"/>
  <c r="CG95" i="70"/>
  <c r="AA44" i="69" s="1"/>
  <c r="CD95" i="70"/>
  <c r="CV95" i="70"/>
  <c r="CM95" i="70"/>
  <c r="AC46" i="69" s="1"/>
  <c r="CJ95" i="70"/>
  <c r="CS95" i="70"/>
  <c r="AE45" i="69" s="1"/>
  <c r="CP95" i="70"/>
  <c r="CZ78" i="70"/>
  <c r="DB18" i="82"/>
  <c r="AF62" i="45"/>
  <c r="AF49" i="45"/>
  <c r="AF68" i="45"/>
  <c r="AF60" i="45"/>
  <c r="CC51" i="45"/>
  <c r="CC52" i="45"/>
  <c r="CC53" i="45"/>
  <c r="CC55" i="45"/>
  <c r="CC54" i="45"/>
  <c r="CC46" i="45"/>
  <c r="CC47" i="45"/>
  <c r="CC48" i="45"/>
  <c r="CC49" i="45"/>
  <c r="CC50" i="45"/>
  <c r="AF43" i="45"/>
  <c r="AC75" i="45"/>
  <c r="G14" i="82"/>
  <c r="O14" i="82"/>
  <c r="W14" i="82"/>
  <c r="AE14" i="82"/>
  <c r="AM14" i="82"/>
  <c r="AU14" i="82"/>
  <c r="BC14" i="82"/>
  <c r="BK14" i="82"/>
  <c r="BS14" i="82"/>
  <c r="BG14" i="82"/>
  <c r="AB14" i="82"/>
  <c r="BP14" i="82"/>
  <c r="BY14" i="82"/>
  <c r="BB14" i="82"/>
  <c r="H14" i="82"/>
  <c r="P14" i="82"/>
  <c r="X14" i="82"/>
  <c r="AF14" i="82"/>
  <c r="AN14" i="82"/>
  <c r="AV14" i="82"/>
  <c r="BD14" i="82"/>
  <c r="BL14" i="82"/>
  <c r="BT14" i="82"/>
  <c r="AY14" i="82"/>
  <c r="T14" i="82"/>
  <c r="BH14" i="82"/>
  <c r="BA14" i="82"/>
  <c r="AD14" i="82"/>
  <c r="BJ14" i="82"/>
  <c r="I14" i="82"/>
  <c r="Q14" i="82"/>
  <c r="Y14" i="82"/>
  <c r="AG14" i="82"/>
  <c r="AO14" i="82"/>
  <c r="AW14" i="82"/>
  <c r="BE14" i="82"/>
  <c r="BM14" i="82"/>
  <c r="BU14" i="82"/>
  <c r="BW14" i="82"/>
  <c r="AR14" i="82"/>
  <c r="AS14" i="82"/>
  <c r="AL14" i="82"/>
  <c r="J14" i="82"/>
  <c r="R14" i="82"/>
  <c r="Z14" i="82"/>
  <c r="AH14" i="82"/>
  <c r="AP14" i="82"/>
  <c r="AX14" i="82"/>
  <c r="BF14" i="82"/>
  <c r="BN14" i="82"/>
  <c r="BV14" i="82"/>
  <c r="AI14" i="82"/>
  <c r="L14" i="82"/>
  <c r="AZ14" i="82"/>
  <c r="BI14" i="82"/>
  <c r="N14" i="82"/>
  <c r="BR14" i="82"/>
  <c r="K14" i="82"/>
  <c r="S14" i="82"/>
  <c r="AA14" i="82"/>
  <c r="AQ14" i="82"/>
  <c r="BO14" i="82"/>
  <c r="AJ14" i="82"/>
  <c r="BX14" i="82"/>
  <c r="V14" i="82"/>
  <c r="M14" i="82"/>
  <c r="U14" i="82"/>
  <c r="AC14" i="82"/>
  <c r="AK14" i="82"/>
  <c r="BQ14" i="82"/>
  <c r="AT14" i="82"/>
  <c r="F14" i="82"/>
  <c r="G5" i="82"/>
  <c r="O5" i="82"/>
  <c r="W5" i="82"/>
  <c r="AE5" i="82"/>
  <c r="AM5" i="82"/>
  <c r="AU5" i="82"/>
  <c r="BC5" i="82"/>
  <c r="BK5" i="82"/>
  <c r="BS5" i="82"/>
  <c r="AG5" i="82"/>
  <c r="AW5" i="82"/>
  <c r="BM5" i="82"/>
  <c r="AL5" i="82"/>
  <c r="H5" i="82"/>
  <c r="P5" i="82"/>
  <c r="X5" i="82"/>
  <c r="AF5" i="82"/>
  <c r="AN5" i="82"/>
  <c r="AV5" i="82"/>
  <c r="BD5" i="82"/>
  <c r="BL5" i="82"/>
  <c r="BT5" i="82"/>
  <c r="Y5" i="82"/>
  <c r="BE5" i="82"/>
  <c r="BX5" i="82"/>
  <c r="I5" i="82"/>
  <c r="Q5" i="82"/>
  <c r="AO5" i="82"/>
  <c r="BU5" i="82"/>
  <c r="BJ5" i="82"/>
  <c r="J5" i="82"/>
  <c r="R5" i="82"/>
  <c r="Z5" i="82"/>
  <c r="AH5" i="82"/>
  <c r="AP5" i="82"/>
  <c r="AX5" i="82"/>
  <c r="BF5" i="82"/>
  <c r="BN5" i="82"/>
  <c r="BV5" i="82"/>
  <c r="T5" i="82"/>
  <c r="AB5" i="82"/>
  <c r="AR5" i="82"/>
  <c r="BH5" i="82"/>
  <c r="AT5" i="82"/>
  <c r="K5" i="82"/>
  <c r="S5" i="82"/>
  <c r="AA5" i="82"/>
  <c r="AI5" i="82"/>
  <c r="AQ5" i="82"/>
  <c r="AY5" i="82"/>
  <c r="BG5" i="82"/>
  <c r="BO5" i="82"/>
  <c r="BW5" i="82"/>
  <c r="L5" i="82"/>
  <c r="AJ5" i="82"/>
  <c r="AZ5" i="82"/>
  <c r="BP5" i="82"/>
  <c r="BR5" i="82"/>
  <c r="M5" i="82"/>
  <c r="U5" i="82"/>
  <c r="AC5" i="82"/>
  <c r="AK5" i="82"/>
  <c r="AS5" i="82"/>
  <c r="BA5" i="82"/>
  <c r="BI5" i="82"/>
  <c r="BQ5" i="82"/>
  <c r="BY5" i="82"/>
  <c r="N5" i="82"/>
  <c r="V5" i="82"/>
  <c r="AD5" i="82"/>
  <c r="BB5" i="82"/>
  <c r="F5" i="82"/>
  <c r="A3" i="69"/>
  <c r="FY32" i="40" s="1"/>
  <c r="X41" i="67"/>
  <c r="Y41" i="67" s="1" a="1"/>
  <c r="Y41" i="67" s="1"/>
  <c r="BY2" i="69"/>
  <c r="EC62" i="69"/>
  <c r="EC58" i="69"/>
  <c r="EC56" i="69"/>
  <c r="EC60" i="69"/>
  <c r="EC54" i="69"/>
  <c r="EC50" i="69"/>
  <c r="EC52" i="69"/>
  <c r="EC48" i="69"/>
  <c r="EC44" i="69"/>
  <c r="EC46" i="69"/>
  <c r="EC40" i="69"/>
  <c r="EC42" i="69"/>
  <c r="DE62" i="69"/>
  <c r="DE58" i="69"/>
  <c r="DE60" i="69"/>
  <c r="DE56" i="69"/>
  <c r="DE54" i="69"/>
  <c r="DE52" i="69"/>
  <c r="DE50" i="69"/>
  <c r="DE48" i="69"/>
  <c r="DE44" i="69"/>
  <c r="DE46" i="69"/>
  <c r="DE40" i="69"/>
  <c r="DE42" i="69"/>
  <c r="CC9" i="43"/>
  <c r="DQ12" i="69"/>
  <c r="DQ10" i="69"/>
  <c r="DQ8" i="69"/>
  <c r="DQ6" i="69"/>
  <c r="DQ24" i="69"/>
  <c r="DQ22" i="69"/>
  <c r="DQ20" i="69"/>
  <c r="DQ18" i="69"/>
  <c r="DQ16" i="69"/>
  <c r="DQ14" i="69"/>
  <c r="DQ28" i="69"/>
  <c r="DQ26" i="69"/>
  <c r="DQ36" i="69"/>
  <c r="DQ30" i="69"/>
  <c r="DQ32" i="69"/>
  <c r="DQ34" i="69"/>
  <c r="L3" i="67"/>
  <c r="BA42" i="67" s="1"/>
  <c r="K97" i="86"/>
  <c r="CE53" i="70"/>
  <c r="BP54" i="70" s="1"/>
  <c r="D47" i="43"/>
  <c r="ED196" i="40" s="1"/>
  <c r="E47" i="43"/>
  <c r="EE196" i="40" s="1"/>
  <c r="F47" i="43"/>
  <c r="EF196" i="40" s="1"/>
  <c r="G47" i="43"/>
  <c r="EG196" i="40" s="1"/>
  <c r="I47" i="43"/>
  <c r="EI196" i="40" s="1"/>
  <c r="J47" i="43"/>
  <c r="EJ196" i="40" s="1"/>
  <c r="K47" i="43"/>
  <c r="EK196" i="40" s="1"/>
  <c r="C47" i="43"/>
  <c r="EC196" i="40" s="1"/>
  <c r="BR47" i="43"/>
  <c r="EU196" i="40" s="1"/>
  <c r="BS47" i="43"/>
  <c r="ET196" i="40" s="1"/>
  <c r="BT47" i="43"/>
  <c r="ES196" i="40" s="1"/>
  <c r="BU47" i="43"/>
  <c r="ER196" i="40" s="1"/>
  <c r="BV47" i="43"/>
  <c r="EQ196" i="40" s="1"/>
  <c r="BW47" i="43"/>
  <c r="EP196" i="40" s="1"/>
  <c r="BX47" i="43"/>
  <c r="EO196" i="40" s="1"/>
  <c r="BY47" i="43"/>
  <c r="EN196" i="40" s="1"/>
  <c r="BQ47" i="43"/>
  <c r="EV196" i="40" s="1"/>
  <c r="JH21" i="40"/>
  <c r="AI55" i="45" l="1" a="1"/>
  <c r="AI55" i="45" s="1"/>
  <c r="AI48" i="45" a="1"/>
  <c r="AI48" i="45" s="1"/>
  <c r="AI73" i="45" a="1"/>
  <c r="AI73" i="45" s="1"/>
  <c r="AI74" i="45" a="1"/>
  <c r="AI74" i="45" s="1"/>
  <c r="AI59" i="45" a="1"/>
  <c r="AI59" i="45" s="1"/>
  <c r="AI69" i="45" a="1"/>
  <c r="AI69" i="45" s="1"/>
  <c r="AI72" i="45" a="1"/>
  <c r="AI72" i="45" s="1"/>
  <c r="AI71" i="45" a="1"/>
  <c r="AI71" i="45" s="1"/>
  <c r="AI58" i="45" a="1"/>
  <c r="AI58" i="45" s="1"/>
  <c r="AI70" i="45" a="1"/>
  <c r="AI70" i="45" s="1"/>
  <c r="AI63" i="45" a="1"/>
  <c r="AI63" i="45" s="1"/>
  <c r="AF47" i="69"/>
  <c r="AF45" i="69"/>
  <c r="AF43" i="69"/>
  <c r="AF44" i="69"/>
  <c r="AI61" i="45" a="1"/>
  <c r="AI61" i="45" s="1"/>
  <c r="AI57" i="45" a="1"/>
  <c r="AI57" i="45" s="1"/>
  <c r="AI67" i="45" a="1"/>
  <c r="AI67" i="45" s="1"/>
  <c r="AI52" i="45" a="1"/>
  <c r="AI52" i="45" s="1"/>
  <c r="AI50" i="45" a="1"/>
  <c r="AI50" i="45" s="1"/>
  <c r="AI65" i="45" a="1"/>
  <c r="AI65" i="45" s="1"/>
  <c r="AI53" i="45" a="1"/>
  <c r="AI53" i="45" s="1"/>
  <c r="AI54" i="45" a="1"/>
  <c r="AI54" i="45" s="1"/>
  <c r="AI47" i="45" a="1"/>
  <c r="AI47" i="45" s="1"/>
  <c r="AI43" i="45" a="1"/>
  <c r="AI43" i="45" s="1"/>
  <c r="AI64" i="45" a="1"/>
  <c r="AI64" i="45" s="1"/>
  <c r="AI62" i="45" a="1"/>
  <c r="AI62" i="45" s="1"/>
  <c r="AI45" i="45" a="1"/>
  <c r="AI45" i="45" s="1"/>
  <c r="AI44" i="45" a="1"/>
  <c r="AI44" i="45" s="1"/>
  <c r="AI60" i="45" a="1"/>
  <c r="AI60" i="45" s="1"/>
  <c r="AI66" i="45" a="1"/>
  <c r="AI66" i="45" s="1"/>
  <c r="AI56" i="45" a="1"/>
  <c r="AI56" i="45" s="1"/>
  <c r="AI49" i="45" a="1"/>
  <c r="AI49" i="45" s="1"/>
  <c r="AI51" i="45" a="1"/>
  <c r="AI51" i="45" s="1"/>
  <c r="AI46" i="45" a="1"/>
  <c r="AI46" i="45" s="1"/>
  <c r="AI68" i="45" a="1"/>
  <c r="AI68" i="45" s="1"/>
  <c r="BP53" i="70"/>
  <c r="BH35" i="89"/>
  <c r="GM45" i="89" a="1"/>
  <c r="GQ45" i="89" a="1"/>
  <c r="BQ36" i="89" s="1"/>
  <c r="GI45" i="89"/>
  <c r="BH28" i="89" s="1"/>
  <c r="BH29" i="89"/>
  <c r="BH30" i="89"/>
  <c r="BH31" i="89"/>
  <c r="BH32" i="89"/>
  <c r="BH34" i="89"/>
  <c r="BH33" i="89"/>
  <c r="EE60" i="69"/>
  <c r="EE52" i="69"/>
  <c r="AZ88" i="77"/>
  <c r="AH88" i="77"/>
  <c r="AQ88" i="77"/>
  <c r="BR88" i="77"/>
  <c r="BI88" i="77"/>
  <c r="CC86" i="77"/>
  <c r="CC88" i="77" s="1"/>
  <c r="CC83" i="77"/>
  <c r="Y88" i="77"/>
  <c r="CT10" i="69"/>
  <c r="CN53" i="16"/>
  <c r="CQ53" i="16" s="1"/>
  <c r="CT12" i="69"/>
  <c r="BJ13" i="16"/>
  <c r="M45" i="71"/>
  <c r="DH50" i="16"/>
  <c r="U57" i="43" s="1"/>
  <c r="CN54" i="16"/>
  <c r="CQ54" i="16" s="1"/>
  <c r="DS36" i="69"/>
  <c r="EE62" i="69"/>
  <c r="DG54" i="69"/>
  <c r="DS22" i="69"/>
  <c r="DS24" i="69"/>
  <c r="EE46" i="69"/>
  <c r="DS12" i="69"/>
  <c r="DS28" i="69"/>
  <c r="DS26" i="69"/>
  <c r="DG48" i="69"/>
  <c r="DG50" i="69"/>
  <c r="DS20" i="69"/>
  <c r="DG52" i="69"/>
  <c r="DS6" i="69"/>
  <c r="DG42" i="69"/>
  <c r="DS8" i="69"/>
  <c r="EE58" i="69"/>
  <c r="DS10" i="69"/>
  <c r="EE56" i="69"/>
  <c r="DS30" i="69"/>
  <c r="DG60" i="69"/>
  <c r="DG58" i="69"/>
  <c r="DG44" i="69"/>
  <c r="DS4" i="69"/>
  <c r="DG56" i="69"/>
  <c r="DG46" i="69"/>
  <c r="EE48" i="69"/>
  <c r="DS16" i="69"/>
  <c r="DS14" i="69"/>
  <c r="EE50" i="69"/>
  <c r="DS18" i="69"/>
  <c r="DG62" i="69"/>
  <c r="DG40" i="69"/>
  <c r="EE40" i="69"/>
  <c r="EE42" i="69"/>
  <c r="EE44" i="69"/>
  <c r="AA43" i="69"/>
  <c r="AA46" i="69"/>
  <c r="AA47" i="69"/>
  <c r="AA45" i="69"/>
  <c r="AC45" i="69"/>
  <c r="AC47" i="69"/>
  <c r="AC44" i="69"/>
  <c r="CZ81" i="70"/>
  <c r="CY21" i="69" s="1"/>
  <c r="ER17" i="69"/>
  <c r="AF46" i="69"/>
  <c r="AC43" i="69"/>
  <c r="AB43" i="69"/>
  <c r="AB44" i="69"/>
  <c r="AB46" i="69"/>
  <c r="AB45" i="69"/>
  <c r="AB47" i="69"/>
  <c r="Z44" i="69"/>
  <c r="Z46" i="69"/>
  <c r="Z43" i="69"/>
  <c r="Z45" i="69"/>
  <c r="Z47" i="69"/>
  <c r="AD45" i="69"/>
  <c r="AD44" i="69"/>
  <c r="AD43" i="69"/>
  <c r="AD47" i="69"/>
  <c r="AD46" i="69"/>
  <c r="AE46" i="69"/>
  <c r="AE44" i="69"/>
  <c r="AE43" i="69"/>
  <c r="AE47" i="69"/>
  <c r="FY24" i="40"/>
  <c r="FY30" i="40"/>
  <c r="FY28" i="40"/>
  <c r="AF75" i="45"/>
  <c r="L47" i="69"/>
  <c r="CR12" i="69" s="1"/>
  <c r="CS12" i="69" s="1"/>
  <c r="L46" i="69"/>
  <c r="CR10" i="69" s="1"/>
  <c r="CS10" i="69" s="1"/>
  <c r="L43" i="69"/>
  <c r="CR4" i="69" s="1"/>
  <c r="CS4" i="69" s="1"/>
  <c r="L45" i="69"/>
  <c r="CR8" i="69" s="1"/>
  <c r="CS8" i="69" s="1"/>
  <c r="L44" i="69"/>
  <c r="CR6" i="69" s="1"/>
  <c r="CS6" i="69" s="1"/>
  <c r="B2" i="69" a="1"/>
  <c r="B2" i="69" s="1"/>
  <c r="EJ58" i="69"/>
  <c r="EJ50" i="69"/>
  <c r="EJ42" i="69"/>
  <c r="DL58" i="69"/>
  <c r="DL50" i="69"/>
  <c r="DL42" i="69"/>
  <c r="DX28" i="69"/>
  <c r="FY35" i="69" s="1"/>
  <c r="DX16" i="69"/>
  <c r="DX6" i="69"/>
  <c r="AA97" i="86"/>
  <c r="AQ50" i="85"/>
  <c r="AQ48" i="85"/>
  <c r="BF41" i="40"/>
  <c r="BQ35" i="89" l="1"/>
  <c r="BQ34" i="89"/>
  <c r="BQ33" i="89"/>
  <c r="BQ32" i="89"/>
  <c r="BQ31" i="89"/>
  <c r="BQ30" i="89"/>
  <c r="BQ29" i="89"/>
  <c r="GQ45" i="89"/>
  <c r="BQ28" i="89" s="1"/>
  <c r="GM45" i="89"/>
  <c r="E2" i="16" a="1"/>
  <c r="E2" i="16" s="1"/>
  <c r="BX2" i="16" a="1"/>
  <c r="BX2" i="16" s="1"/>
  <c r="BS2" i="16" a="1"/>
  <c r="BS2" i="16" s="1"/>
  <c r="BQ2" i="16" a="1"/>
  <c r="BQ2" i="16" s="1"/>
  <c r="J2" i="16" a="1"/>
  <c r="J2" i="16" s="1"/>
  <c r="C2" i="16" a="1"/>
  <c r="C2" i="16" s="1"/>
  <c r="CC80" i="77"/>
  <c r="O45" i="71"/>
  <c r="BK13" i="16"/>
  <c r="AX48" i="43"/>
  <c r="V25" i="69"/>
  <c r="V23" i="69"/>
  <c r="V21" i="69"/>
  <c r="V19" i="69"/>
  <c r="V17" i="69"/>
  <c r="V15" i="69"/>
  <c r="DX36" i="69"/>
  <c r="BM18" i="16" s="1"/>
  <c r="DX24" i="69"/>
  <c r="BM17" i="16" s="1"/>
  <c r="DX12" i="69"/>
  <c r="BM16" i="16" s="1"/>
  <c r="DL62" i="69"/>
  <c r="O19" i="16" s="1"/>
  <c r="EJ62" i="69"/>
  <c r="BM19" i="16" s="1"/>
  <c r="CT16" i="69"/>
  <c r="CT20" i="69"/>
  <c r="CT18" i="69"/>
  <c r="CT22" i="69"/>
  <c r="CT24" i="69"/>
  <c r="CZ6" i="69"/>
  <c r="ER5" i="69"/>
  <c r="EL5" i="69"/>
  <c r="FY23" i="69"/>
  <c r="FY11" i="69"/>
  <c r="W47" i="69"/>
  <c r="CU12" i="69" s="1"/>
  <c r="V13" i="69" s="1"/>
  <c r="W45" i="69"/>
  <c r="CU8" i="69" s="1"/>
  <c r="W43" i="69"/>
  <c r="CU4" i="69" s="1"/>
  <c r="CT4" i="69" s="1"/>
  <c r="W46" i="69"/>
  <c r="W44" i="69"/>
  <c r="CI18" i="69"/>
  <c r="CI16" i="69"/>
  <c r="CI20" i="69"/>
  <c r="CI14" i="69"/>
  <c r="CI22" i="69"/>
  <c r="CI24" i="69"/>
  <c r="DJ91" i="82"/>
  <c r="BA50" i="85"/>
  <c r="DJ89" i="82"/>
  <c r="BA48" i="85"/>
  <c r="L41" i="69"/>
  <c r="FG50" i="69"/>
  <c r="FG53" i="69" s="1"/>
  <c r="AI97" i="86"/>
  <c r="JF140" i="40"/>
  <c r="EZ4" i="69" l="1"/>
  <c r="FG18" i="69" s="1"/>
  <c r="V9" i="69"/>
  <c r="CT8" i="69"/>
  <c r="GN14" i="69"/>
  <c r="DE43" i="16" s="1"/>
  <c r="CI4" i="69"/>
  <c r="V5" i="69"/>
  <c r="S16" i="16"/>
  <c r="CI12" i="69"/>
  <c r="FN13" i="69"/>
  <c r="GN16" i="69" s="1"/>
  <c r="CI8" i="69"/>
  <c r="CU6" i="69"/>
  <c r="CT6" i="69" s="1"/>
  <c r="CU10" i="69"/>
  <c r="V11" i="69" s="1"/>
  <c r="CN21" i="69"/>
  <c r="ER19" i="69" s="1"/>
  <c r="ER21" i="69" s="1"/>
  <c r="BA57" i="85"/>
  <c r="CN56" i="16" s="1"/>
  <c r="CQ56" i="16" s="1"/>
  <c r="AC48" i="43" s="1"/>
  <c r="BF40" i="40"/>
  <c r="BF25" i="40"/>
  <c r="BF26" i="40"/>
  <c r="BF27" i="40"/>
  <c r="BF28" i="40"/>
  <c r="BF29" i="40"/>
  <c r="BF30" i="40"/>
  <c r="BF31" i="40"/>
  <c r="BF32" i="40"/>
  <c r="BF33" i="40"/>
  <c r="BF34" i="40"/>
  <c r="BF35" i="40"/>
  <c r="BF36" i="40"/>
  <c r="BF37" i="40"/>
  <c r="BF38" i="40"/>
  <c r="BF39" i="40"/>
  <c r="BF24" i="40"/>
  <c r="FN16" i="69" l="1"/>
  <c r="CI6" i="69"/>
  <c r="V7" i="69"/>
  <c r="CI10" i="69"/>
  <c r="AQ97" i="86"/>
  <c r="AY97" i="86"/>
  <c r="CN11" i="69" l="1"/>
  <c r="ER7" i="69" s="1"/>
  <c r="CZ11" i="69"/>
  <c r="EL11" i="69" s="1"/>
  <c r="BG97" i="86"/>
  <c r="ER9" i="69" l="1"/>
  <c r="BO97" i="86" l="1"/>
  <c r="K104" i="86"/>
  <c r="S104" i="86" l="1"/>
  <c r="JH56" i="40"/>
  <c r="JH79" i="40"/>
  <c r="CB8" i="16"/>
  <c r="CB33" i="16"/>
  <c r="CB32" i="16"/>
  <c r="CB31" i="16"/>
  <c r="CB30" i="16"/>
  <c r="CB29" i="16"/>
  <c r="CB27" i="16"/>
  <c r="CB26" i="16"/>
  <c r="CB25" i="16"/>
  <c r="CB24" i="16"/>
  <c r="CB23" i="16"/>
  <c r="CB22" i="16"/>
  <c r="CB9" i="16"/>
  <c r="CB7" i="16"/>
  <c r="CB5" i="16"/>
  <c r="CB4" i="16"/>
  <c r="CC8" i="16" l="1"/>
  <c r="CJ32" i="16"/>
  <c r="CJ33" i="16"/>
  <c r="CC4" i="16"/>
  <c r="CC9" i="16"/>
  <c r="CJ29" i="16"/>
  <c r="CC26" i="16"/>
  <c r="CC7" i="16"/>
  <c r="CJ30" i="16"/>
  <c r="CC25" i="16"/>
  <c r="CC5" i="16"/>
  <c r="CC22" i="16"/>
  <c r="CC23" i="16"/>
  <c r="CC24" i="16"/>
  <c r="CC32" i="16"/>
  <c r="CJ31" i="16"/>
  <c r="CC33" i="16"/>
  <c r="CC29" i="16"/>
  <c r="CC30" i="16"/>
  <c r="CC31" i="16"/>
  <c r="CC27" i="16"/>
  <c r="AA104" i="86"/>
  <c r="CB6" i="16"/>
  <c r="JF79" i="40"/>
  <c r="JF56" i="40"/>
  <c r="CB10" i="16"/>
  <c r="CB11" i="16"/>
  <c r="CI32" i="77"/>
  <c r="CK32" i="77" s="1"/>
  <c r="CH32" i="77" s="1"/>
  <c r="CM54" i="77"/>
  <c r="CO54" i="77" s="1"/>
  <c r="CN53" i="77" s="1"/>
  <c r="CL54" i="77" s="1"/>
  <c r="CP54" i="77" s="1"/>
  <c r="CM53" i="77" s="1"/>
  <c r="CO53" i="77" s="1"/>
  <c r="CN52" i="77" s="1"/>
  <c r="CK54" i="77" s="1"/>
  <c r="CQ54" i="77" s="1"/>
  <c r="CL53" i="77" s="1"/>
  <c r="CP53" i="77" s="1"/>
  <c r="CM52" i="77" s="1"/>
  <c r="CO52" i="77" s="1"/>
  <c r="CN51" i="77" s="1"/>
  <c r="CJ54" i="77" s="1"/>
  <c r="CR54" i="77" s="1"/>
  <c r="CK53" i="77" s="1"/>
  <c r="CQ53" i="77" s="1"/>
  <c r="CL52" i="77" s="1"/>
  <c r="CP52" i="77" s="1"/>
  <c r="CM51" i="77" s="1"/>
  <c r="CO51" i="77" s="1"/>
  <c r="CN50" i="77" s="1"/>
  <c r="CI54" i="77" s="1"/>
  <c r="CS54" i="77" s="1"/>
  <c r="CJ53" i="77" s="1"/>
  <c r="CR53" i="77" s="1"/>
  <c r="CK52" i="77" s="1"/>
  <c r="CQ52" i="77" s="1"/>
  <c r="CL51" i="77" s="1"/>
  <c r="CP51" i="77" s="1"/>
  <c r="CM50" i="77" s="1"/>
  <c r="CO50" i="77" s="1"/>
  <c r="CN49" i="77" s="1"/>
  <c r="CH54" i="77" s="1"/>
  <c r="CT54" i="77" s="1"/>
  <c r="CI53" i="77" s="1"/>
  <c r="CS53" i="77" s="1"/>
  <c r="CJ52" i="77" s="1"/>
  <c r="CR52" i="77" s="1"/>
  <c r="CK51" i="77" s="1"/>
  <c r="CQ51" i="77" s="1"/>
  <c r="CL50" i="77" s="1"/>
  <c r="CP50" i="77" s="1"/>
  <c r="CM49" i="77" s="1"/>
  <c r="CO49" i="77" s="1"/>
  <c r="CN48" i="77" s="1"/>
  <c r="CG54" i="77" s="1"/>
  <c r="CI16" i="77"/>
  <c r="CK16" i="77" s="1"/>
  <c r="CJ15" i="77" s="1"/>
  <c r="CH16" i="77" s="1"/>
  <c r="CL16" i="77" s="1"/>
  <c r="CI15" i="77" s="1"/>
  <c r="CK15" i="77" s="1"/>
  <c r="CJ14" i="77" s="1"/>
  <c r="CG16" i="77" s="1"/>
  <c r="CM16" i="77" s="1"/>
  <c r="CH15" i="77" s="1"/>
  <c r="CL15" i="77" s="1"/>
  <c r="CI14" i="77" s="1"/>
  <c r="CK14" i="77" s="1"/>
  <c r="CJ13" i="77" s="1"/>
  <c r="CF16" i="77" s="1"/>
  <c r="CN16" i="77" s="1"/>
  <c r="CG15" i="77" s="1"/>
  <c r="CM15" i="77" s="1"/>
  <c r="CH14" i="77" s="1"/>
  <c r="CL14" i="77" s="1"/>
  <c r="CI13" i="77" s="1"/>
  <c r="CK13" i="77" s="1"/>
  <c r="CJ12" i="77" s="1"/>
  <c r="CE16" i="77" s="1"/>
  <c r="CO16" i="77" s="1"/>
  <c r="CF15" i="77" s="1"/>
  <c r="CN15" i="77" s="1"/>
  <c r="CG14" i="77" s="1"/>
  <c r="CM14" i="77" s="1"/>
  <c r="CH13" i="77" s="1"/>
  <c r="CL13" i="77" s="1"/>
  <c r="CI12" i="77" s="1"/>
  <c r="CK12" i="77" s="1"/>
  <c r="CJ11" i="77" s="1"/>
  <c r="CD16" i="77" s="1"/>
  <c r="CP16" i="77" s="1"/>
  <c r="CE15" i="77" s="1"/>
  <c r="CO15" i="77" s="1"/>
  <c r="CF14" i="77" s="1"/>
  <c r="CN14" i="77" s="1"/>
  <c r="CG13" i="77" s="1"/>
  <c r="CM13" i="77" s="1"/>
  <c r="CH12" i="77" s="1"/>
  <c r="CL12" i="77" s="1"/>
  <c r="CI11" i="77" s="1"/>
  <c r="CK11" i="77" s="1"/>
  <c r="CJ10" i="77" s="1"/>
  <c r="CC16" i="77" s="1"/>
  <c r="CQ16" i="77" s="1"/>
  <c r="CD15" i="77" s="1"/>
  <c r="CP15" i="77" s="1"/>
  <c r="CE14" i="77" s="1"/>
  <c r="CO14" i="77" s="1"/>
  <c r="CF13" i="77" s="1"/>
  <c r="CN13" i="77" s="1"/>
  <c r="CG12" i="77" s="1"/>
  <c r="CM12" i="77" s="1"/>
  <c r="CH11" i="77" s="1"/>
  <c r="CL11" i="77" s="1"/>
  <c r="CI10" i="77" s="1"/>
  <c r="CK10" i="77" s="1"/>
  <c r="CJ9" i="77" s="1"/>
  <c r="CB21" i="16"/>
  <c r="F3" i="67"/>
  <c r="DA37" i="40"/>
  <c r="DA36" i="40" s="1"/>
  <c r="O74" i="43"/>
  <c r="O73" i="43"/>
  <c r="O72" i="43"/>
  <c r="O71" i="43"/>
  <c r="O70" i="43"/>
  <c r="O69" i="43"/>
  <c r="O68" i="43"/>
  <c r="O67" i="43"/>
  <c r="O66" i="43"/>
  <c r="AY74" i="43"/>
  <c r="AY73" i="43"/>
  <c r="AY72" i="43"/>
  <c r="AY71" i="43"/>
  <c r="AY70" i="43"/>
  <c r="AY69" i="43"/>
  <c r="AY68" i="43"/>
  <c r="AY67" i="43"/>
  <c r="AY66" i="43"/>
  <c r="EC127" i="40"/>
  <c r="ED127" i="40"/>
  <c r="EE127" i="40"/>
  <c r="EF127" i="40"/>
  <c r="EG127" i="40"/>
  <c r="EH127" i="40"/>
  <c r="EI127" i="40"/>
  <c r="EJ127" i="40"/>
  <c r="EK127" i="40"/>
  <c r="ED128" i="40"/>
  <c r="EE128" i="40"/>
  <c r="EF128" i="40"/>
  <c r="EG128" i="40"/>
  <c r="EH128" i="40"/>
  <c r="EJ128" i="40"/>
  <c r="EK128" i="40"/>
  <c r="ED129" i="40"/>
  <c r="EE129" i="40"/>
  <c r="EF129" i="40"/>
  <c r="EG129" i="40"/>
  <c r="EH129" i="40"/>
  <c r="EI129" i="40"/>
  <c r="EI128" i="40" s="1"/>
  <c r="EJ129" i="40"/>
  <c r="EK129" i="40"/>
  <c r="ED130" i="40"/>
  <c r="EE130" i="40"/>
  <c r="EF130" i="40"/>
  <c r="EG130" i="40"/>
  <c r="EH130" i="40"/>
  <c r="EJ130" i="40"/>
  <c r="EK130" i="40"/>
  <c r="ED131" i="40"/>
  <c r="EE131" i="40"/>
  <c r="EF131" i="40"/>
  <c r="EG131" i="40"/>
  <c r="EH131" i="40"/>
  <c r="EJ131" i="40"/>
  <c r="ED132" i="40"/>
  <c r="EE132" i="40"/>
  <c r="EF132" i="40"/>
  <c r="EG132" i="40"/>
  <c r="EH132" i="40"/>
  <c r="EI132" i="40"/>
  <c r="EI131" i="40" s="1"/>
  <c r="EI130" i="40" s="1"/>
  <c r="EJ132" i="40"/>
  <c r="EK132" i="40"/>
  <c r="EK131" i="40" s="1"/>
  <c r="EC133" i="40"/>
  <c r="EC132" i="40" s="1"/>
  <c r="EC131" i="40" s="1"/>
  <c r="EC130" i="40" s="1"/>
  <c r="EC129" i="40" s="1"/>
  <c r="EC128" i="40" s="1"/>
  <c r="ED133" i="40"/>
  <c r="EE133" i="40"/>
  <c r="EF133" i="40"/>
  <c r="EG133" i="40"/>
  <c r="EH133" i="40"/>
  <c r="EJ133" i="40"/>
  <c r="EK133" i="40"/>
  <c r="ED134" i="40"/>
  <c r="EE134" i="40"/>
  <c r="EF134" i="40"/>
  <c r="EG134" i="40"/>
  <c r="EH134" i="40"/>
  <c r="EJ134" i="40"/>
  <c r="EK134" i="40"/>
  <c r="EC135" i="40"/>
  <c r="EC134" i="40" s="1"/>
  <c r="ED135" i="40"/>
  <c r="EE135" i="40"/>
  <c r="EF135" i="40"/>
  <c r="EG135" i="40"/>
  <c r="EH135" i="40"/>
  <c r="EJ135" i="40"/>
  <c r="EK135" i="40"/>
  <c r="ED136" i="40"/>
  <c r="EE136" i="40"/>
  <c r="EF136" i="40"/>
  <c r="EG136" i="40"/>
  <c r="EH136" i="40"/>
  <c r="EJ136" i="40"/>
  <c r="EK136" i="40"/>
  <c r="ED137" i="40"/>
  <c r="EE137" i="40"/>
  <c r="EF137" i="40"/>
  <c r="EG137" i="40"/>
  <c r="EH137" i="40"/>
  <c r="EJ137" i="40"/>
  <c r="ED138" i="40"/>
  <c r="EE138" i="40"/>
  <c r="EF138" i="40"/>
  <c r="EG138" i="40"/>
  <c r="EH138" i="40"/>
  <c r="EJ138" i="40"/>
  <c r="EK138" i="40"/>
  <c r="EK137" i="40" s="1"/>
  <c r="ED139" i="40"/>
  <c r="EE139" i="40"/>
  <c r="EF139" i="40"/>
  <c r="EG139" i="40"/>
  <c r="EH139" i="40"/>
  <c r="EC140" i="40"/>
  <c r="EC139" i="40" s="1"/>
  <c r="ED140" i="40"/>
  <c r="EE140" i="40"/>
  <c r="EF140" i="40"/>
  <c r="EG140" i="40"/>
  <c r="EH140" i="40"/>
  <c r="EJ140" i="40"/>
  <c r="EJ139" i="40" s="1"/>
  <c r="ED141" i="40"/>
  <c r="EE141" i="40"/>
  <c r="EF141" i="40"/>
  <c r="EG141" i="40"/>
  <c r="ED142" i="40"/>
  <c r="EE142" i="40"/>
  <c r="EF142" i="40"/>
  <c r="EG142" i="40"/>
  <c r="EH142" i="40"/>
  <c r="EH141" i="40" s="1"/>
  <c r="EI142" i="40"/>
  <c r="EI141" i="40" s="1"/>
  <c r="ED143" i="40"/>
  <c r="EE143" i="40"/>
  <c r="EF143" i="40"/>
  <c r="EG143" i="40"/>
  <c r="EH143" i="40"/>
  <c r="EJ143" i="40"/>
  <c r="EK143" i="40"/>
  <c r="EK142" i="40" s="1"/>
  <c r="EK141" i="40" s="1"/>
  <c r="EK140" i="40" s="1"/>
  <c r="EK139" i="40" s="1"/>
  <c r="ED144" i="40"/>
  <c r="EE144" i="40"/>
  <c r="EF144" i="40"/>
  <c r="EH144" i="40"/>
  <c r="EJ144" i="40"/>
  <c r="ED145" i="40"/>
  <c r="EE145" i="40"/>
  <c r="EF145" i="40"/>
  <c r="EH145" i="40"/>
  <c r="EI145" i="40"/>
  <c r="EI144" i="40" s="1"/>
  <c r="EI143" i="40" s="1"/>
  <c r="EJ145" i="40"/>
  <c r="ED146" i="40"/>
  <c r="EE146" i="40"/>
  <c r="EF146" i="40"/>
  <c r="EH146" i="40"/>
  <c r="EI146" i="40"/>
  <c r="EJ146" i="40"/>
  <c r="ED147" i="40"/>
  <c r="EE147" i="40"/>
  <c r="EF147" i="40"/>
  <c r="EG147" i="40"/>
  <c r="EG146" i="40" s="1"/>
  <c r="EG145" i="40" s="1"/>
  <c r="EG144" i="40" s="1"/>
  <c r="EH147" i="40"/>
  <c r="EI147" i="40"/>
  <c r="EJ147" i="40"/>
  <c r="ED148" i="40"/>
  <c r="EE148" i="40"/>
  <c r="EF148" i="40"/>
  <c r="EH148" i="40"/>
  <c r="EC149" i="40"/>
  <c r="EC148" i="40" s="1"/>
  <c r="EC147" i="40" s="1"/>
  <c r="EC146" i="40" s="1"/>
  <c r="EC145" i="40" s="1"/>
  <c r="EC144" i="40" s="1"/>
  <c r="EC143" i="40" s="1"/>
  <c r="EC142" i="40" s="1"/>
  <c r="EC141" i="40" s="1"/>
  <c r="ED149" i="40"/>
  <c r="EE149" i="40"/>
  <c r="EF149" i="40"/>
  <c r="EG149" i="40"/>
  <c r="EG148" i="40" s="1"/>
  <c r="EH149" i="40"/>
  <c r="EJ149" i="40"/>
  <c r="EJ148" i="40" s="1"/>
  <c r="ED150" i="40"/>
  <c r="EE150" i="40"/>
  <c r="EF150" i="40"/>
  <c r="EG150" i="40"/>
  <c r="EH150" i="40"/>
  <c r="EJ150" i="40"/>
  <c r="EK150" i="40"/>
  <c r="EK149" i="40" s="1"/>
  <c r="EK148" i="40" s="1"/>
  <c r="EK147" i="40" s="1"/>
  <c r="EK146" i="40" s="1"/>
  <c r="EK145" i="40" s="1"/>
  <c r="EK144" i="40" s="1"/>
  <c r="ED151" i="40"/>
  <c r="EE151" i="40"/>
  <c r="EF151" i="40"/>
  <c r="EG151" i="40"/>
  <c r="EH151" i="40"/>
  <c r="EJ151" i="40"/>
  <c r="ED152" i="40"/>
  <c r="EE152" i="40"/>
  <c r="EF152" i="40"/>
  <c r="EG152" i="40"/>
  <c r="EJ152" i="40"/>
  <c r="EE153" i="40"/>
  <c r="EF153" i="40"/>
  <c r="EG153" i="40"/>
  <c r="EH153" i="40"/>
  <c r="EJ153" i="40"/>
  <c r="EK153" i="40"/>
  <c r="EK152" i="40" s="1"/>
  <c r="EK151" i="40" s="1"/>
  <c r="ED154" i="40"/>
  <c r="ED153" i="40" s="1"/>
  <c r="EE154" i="40"/>
  <c r="EF154" i="40"/>
  <c r="EG154" i="40"/>
  <c r="EH154" i="40"/>
  <c r="EJ154" i="40"/>
  <c r="ED155" i="40"/>
  <c r="EE155" i="40"/>
  <c r="EF155" i="40"/>
  <c r="EH155" i="40"/>
  <c r="EJ155" i="40"/>
  <c r="EK155" i="40"/>
  <c r="EK154" i="40" s="1"/>
  <c r="ED156" i="40"/>
  <c r="EE156" i="40"/>
  <c r="EF156" i="40"/>
  <c r="EG156" i="40"/>
  <c r="EG155" i="40" s="1"/>
  <c r="EH156" i="40"/>
  <c r="EK157" i="40"/>
  <c r="EK156" i="40" s="1"/>
  <c r="EJ157" i="40"/>
  <c r="EJ156" i="40" s="1"/>
  <c r="EH157" i="40"/>
  <c r="EG157" i="40"/>
  <c r="EF157" i="40"/>
  <c r="EE157" i="40"/>
  <c r="ED157" i="40"/>
  <c r="EN127" i="40"/>
  <c r="EO127" i="40"/>
  <c r="EP127" i="40"/>
  <c r="EQ127" i="40"/>
  <c r="ES127" i="40"/>
  <c r="ET127" i="40"/>
  <c r="EU127" i="40"/>
  <c r="EN128" i="40"/>
  <c r="EP128" i="40"/>
  <c r="ES128" i="40"/>
  <c r="EN129" i="40"/>
  <c r="EQ129" i="40"/>
  <c r="EQ128" i="40" s="1"/>
  <c r="ES129" i="40"/>
  <c r="EN130" i="40"/>
  <c r="EQ130" i="40"/>
  <c r="ES130" i="40"/>
  <c r="EN131" i="40"/>
  <c r="EP131" i="40"/>
  <c r="EP130" i="40" s="1"/>
  <c r="EP129" i="40" s="1"/>
  <c r="EQ131" i="40"/>
  <c r="ES131" i="40"/>
  <c r="EN132" i="40"/>
  <c r="EQ132" i="40"/>
  <c r="ES132" i="40"/>
  <c r="EN133" i="40"/>
  <c r="EQ133" i="40"/>
  <c r="ES133" i="40"/>
  <c r="EN134" i="40"/>
  <c r="EQ134" i="40"/>
  <c r="ES134" i="40"/>
  <c r="EN135" i="40"/>
  <c r="EQ135" i="40"/>
  <c r="ES135" i="40"/>
  <c r="EN136" i="40"/>
  <c r="ES136" i="40"/>
  <c r="EN137" i="40"/>
  <c r="ES137" i="40"/>
  <c r="EN138" i="40"/>
  <c r="ER138" i="40"/>
  <c r="ER137" i="40" s="1"/>
  <c r="ER136" i="40" s="1"/>
  <c r="ER135" i="40" s="1"/>
  <c r="ER134" i="40" s="1"/>
  <c r="ER133" i="40" s="1"/>
  <c r="ER132" i="40" s="1"/>
  <c r="ER131" i="40" s="1"/>
  <c r="ER130" i="40" s="1"/>
  <c r="ER129" i="40" s="1"/>
  <c r="ER128" i="40" s="1"/>
  <c r="ER127" i="40" s="1"/>
  <c r="ES138" i="40"/>
  <c r="EN139" i="40"/>
  <c r="ES139" i="40"/>
  <c r="EN140" i="40"/>
  <c r="EQ140" i="40"/>
  <c r="EQ139" i="40" s="1"/>
  <c r="EQ138" i="40" s="1"/>
  <c r="EQ137" i="40" s="1"/>
  <c r="EQ136" i="40" s="1"/>
  <c r="EN141" i="40"/>
  <c r="EQ141" i="40"/>
  <c r="EN142" i="40"/>
  <c r="ES142" i="40"/>
  <c r="ES141" i="40" s="1"/>
  <c r="ES140" i="40" s="1"/>
  <c r="EN143" i="40"/>
  <c r="ES143" i="40"/>
  <c r="EN144" i="40"/>
  <c r="EN145" i="40"/>
  <c r="ES145" i="40"/>
  <c r="ES144" i="40" s="1"/>
  <c r="EN146" i="40"/>
  <c r="EQ146" i="40"/>
  <c r="EQ145" i="40" s="1"/>
  <c r="EQ144" i="40" s="1"/>
  <c r="EQ143" i="40" s="1"/>
  <c r="EQ142" i="40" s="1"/>
  <c r="ES146" i="40"/>
  <c r="EN147" i="40"/>
  <c r="EQ147" i="40"/>
  <c r="EN148" i="40"/>
  <c r="EQ148" i="40"/>
  <c r="EN149" i="40"/>
  <c r="EQ149" i="40"/>
  <c r="EN150" i="40"/>
  <c r="ES150" i="40"/>
  <c r="ES149" i="40" s="1"/>
  <c r="ES148" i="40" s="1"/>
  <c r="ES147" i="40" s="1"/>
  <c r="EN151" i="40"/>
  <c r="EN152" i="40"/>
  <c r="EP152" i="40"/>
  <c r="EP151" i="40" s="1"/>
  <c r="EP150" i="40" s="1"/>
  <c r="EP149" i="40" s="1"/>
  <c r="EP148" i="40" s="1"/>
  <c r="EP147" i="40" s="1"/>
  <c r="EP146" i="40" s="1"/>
  <c r="EP145" i="40" s="1"/>
  <c r="EP144" i="40" s="1"/>
  <c r="EP143" i="40" s="1"/>
  <c r="EP142" i="40" s="1"/>
  <c r="EP141" i="40" s="1"/>
  <c r="EP140" i="40" s="1"/>
  <c r="EP139" i="40" s="1"/>
  <c r="EP138" i="40" s="1"/>
  <c r="EP137" i="40" s="1"/>
  <c r="EP136" i="40" s="1"/>
  <c r="EP135" i="40" s="1"/>
  <c r="EP134" i="40" s="1"/>
  <c r="EP133" i="40" s="1"/>
  <c r="EP132" i="40" s="1"/>
  <c r="ES152" i="40"/>
  <c r="ES151" i="40" s="1"/>
  <c r="EN153" i="40"/>
  <c r="ES153" i="40"/>
  <c r="EN154" i="40"/>
  <c r="EQ154" i="40"/>
  <c r="EQ153" i="40" s="1"/>
  <c r="EQ152" i="40" s="1"/>
  <c r="EQ151" i="40" s="1"/>
  <c r="EQ150" i="40" s="1"/>
  <c r="EN155" i="40"/>
  <c r="EN156" i="40"/>
  <c r="ES157" i="40"/>
  <c r="ES156" i="40" s="1"/>
  <c r="ES155" i="40" s="1"/>
  <c r="ES154" i="40" s="1"/>
  <c r="EP157" i="40"/>
  <c r="EP156" i="40" s="1"/>
  <c r="EP155" i="40" s="1"/>
  <c r="EP154" i="40" s="1"/>
  <c r="EP153" i="40" s="1"/>
  <c r="EO157" i="40"/>
  <c r="EO156" i="40" s="1"/>
  <c r="EO155" i="40" s="1"/>
  <c r="EO154" i="40" s="1"/>
  <c r="EO153" i="40" s="1"/>
  <c r="EO152" i="40" s="1"/>
  <c r="EO151" i="40" s="1"/>
  <c r="EO150" i="40" s="1"/>
  <c r="EO149" i="40" s="1"/>
  <c r="EO148" i="40" s="1"/>
  <c r="EO147" i="40" s="1"/>
  <c r="EO146" i="40" s="1"/>
  <c r="EO145" i="40" s="1"/>
  <c r="EO144" i="40" s="1"/>
  <c r="EN157" i="40"/>
  <c r="CC6" i="16" l="1"/>
  <c r="DH33" i="16"/>
  <c r="CK33" i="16"/>
  <c r="DH31" i="16"/>
  <c r="CK31" i="16"/>
  <c r="DH32" i="16"/>
  <c r="CK32" i="16"/>
  <c r="CC21" i="16"/>
  <c r="CC11" i="16"/>
  <c r="CK29" i="16"/>
  <c r="DH29" i="16"/>
  <c r="CC10" i="16"/>
  <c r="CK30" i="16"/>
  <c r="DH30" i="16"/>
  <c r="AI104" i="86"/>
  <c r="O1" i="16"/>
  <c r="N1" i="16"/>
  <c r="DC6" i="16" s="1"/>
  <c r="K43" i="43"/>
  <c r="EK193" i="40" s="1"/>
  <c r="CB15" i="16"/>
  <c r="CB20" i="16"/>
  <c r="EO143" i="40"/>
  <c r="EO142" i="40" s="1"/>
  <c r="EO141" i="40" s="1"/>
  <c r="EO140" i="40" s="1"/>
  <c r="EO139" i="40" s="1"/>
  <c r="EO138" i="40" s="1"/>
  <c r="EO137" i="40" s="1"/>
  <c r="EO136" i="40" s="1"/>
  <c r="EO135" i="40" s="1"/>
  <c r="EO134" i="40" s="1"/>
  <c r="EO133" i="40" s="1"/>
  <c r="EO132" i="40" s="1"/>
  <c r="EO131" i="40" s="1"/>
  <c r="EO130" i="40" s="1"/>
  <c r="EO129" i="40" s="1"/>
  <c r="EO128" i="40" s="1"/>
  <c r="CB19" i="16"/>
  <c r="EJ142" i="40"/>
  <c r="EJ141" i="40" s="1"/>
  <c r="CB18" i="16"/>
  <c r="CB13" i="16"/>
  <c r="CB12" i="16"/>
  <c r="EI140" i="40"/>
  <c r="EI139" i="40" s="1"/>
  <c r="EI138" i="40" s="1"/>
  <c r="EI137" i="40" s="1"/>
  <c r="EI136" i="40" s="1"/>
  <c r="EI135" i="40" s="1"/>
  <c r="EI134" i="40" s="1"/>
  <c r="EI133" i="40" s="1"/>
  <c r="CB16" i="16"/>
  <c r="CB14" i="16"/>
  <c r="CB17" i="16"/>
  <c r="EC138" i="40"/>
  <c r="EC137" i="40" s="1"/>
  <c r="EC136" i="40" s="1"/>
  <c r="CU54" i="77"/>
  <c r="CH53" i="77" s="1"/>
  <c r="CT53" i="77" s="1"/>
  <c r="CI52" i="77" s="1"/>
  <c r="CS52" i="77" s="1"/>
  <c r="CJ51" i="77" s="1"/>
  <c r="CR51" i="77" s="1"/>
  <c r="CK50" i="77" s="1"/>
  <c r="CQ50" i="77" s="1"/>
  <c r="CL49" i="77" s="1"/>
  <c r="CP49" i="77" s="1"/>
  <c r="CM48" i="77" s="1"/>
  <c r="CO48" i="77" s="1"/>
  <c r="CN47" i="77" s="1"/>
  <c r="CF54" i="77" s="1"/>
  <c r="CV54" i="77" s="1"/>
  <c r="CG53" i="77" s="1"/>
  <c r="CU53" i="77" s="1"/>
  <c r="CH52" i="77" s="1"/>
  <c r="CT52" i="77" s="1"/>
  <c r="CI51" i="77" s="1"/>
  <c r="CS51" i="77" s="1"/>
  <c r="CJ50" i="77" s="1"/>
  <c r="CR50" i="77" s="1"/>
  <c r="CK49" i="77" s="1"/>
  <c r="CQ49" i="77" s="1"/>
  <c r="CL48" i="77" s="1"/>
  <c r="CP48" i="77" s="1"/>
  <c r="CM47" i="77" s="1"/>
  <c r="CO47" i="77" s="1"/>
  <c r="CN46" i="77" s="1"/>
  <c r="CE54" i="77" s="1"/>
  <c r="CW54" i="77" s="1"/>
  <c r="CF53" i="77" s="1"/>
  <c r="CV53" i="77" s="1"/>
  <c r="CG52" i="77" s="1"/>
  <c r="CU52" i="77" s="1"/>
  <c r="CH51" i="77" s="1"/>
  <c r="CT51" i="77" s="1"/>
  <c r="CI50" i="77" s="1"/>
  <c r="CS50" i="77" s="1"/>
  <c r="CJ49" i="77" s="1"/>
  <c r="CR49" i="77" s="1"/>
  <c r="CK48" i="77" s="1"/>
  <c r="CQ48" i="77" s="1"/>
  <c r="CL47" i="77" s="1"/>
  <c r="CP47" i="77" s="1"/>
  <c r="CM46" i="77" s="1"/>
  <c r="CO46" i="77" s="1"/>
  <c r="CN45" i="77" s="1"/>
  <c r="CD54" i="77" s="1"/>
  <c r="CX54" i="77" s="1"/>
  <c r="CE53" i="77" s="1"/>
  <c r="CW53" i="77" s="1"/>
  <c r="CF52" i="77" s="1"/>
  <c r="CV52" i="77" s="1"/>
  <c r="CG51" i="77" s="1"/>
  <c r="CU51" i="77" s="1"/>
  <c r="CH50" i="77" s="1"/>
  <c r="CT50" i="77" s="1"/>
  <c r="CI49" i="77" s="1"/>
  <c r="CS49" i="77" s="1"/>
  <c r="CJ48" i="77" s="1"/>
  <c r="CR48" i="77" s="1"/>
  <c r="CK47" i="77" s="1"/>
  <c r="CQ47" i="77" s="1"/>
  <c r="CL46" i="77" s="1"/>
  <c r="CP46" i="77" s="1"/>
  <c r="CM45" i="77" s="1"/>
  <c r="CO45" i="77" s="1"/>
  <c r="CN44" i="77" s="1"/>
  <c r="CC54" i="77" s="1"/>
  <c r="CY54" i="77" s="1"/>
  <c r="CD53" i="77" s="1"/>
  <c r="CX53" i="77" s="1"/>
  <c r="CE52" i="77" s="1"/>
  <c r="CW52" i="77" s="1"/>
  <c r="CF51" i="77" s="1"/>
  <c r="CV51" i="77" s="1"/>
  <c r="CG50" i="77" s="1"/>
  <c r="CU50" i="77" s="1"/>
  <c r="CH49" i="77" s="1"/>
  <c r="CT49" i="77" s="1"/>
  <c r="CI48" i="77" s="1"/>
  <c r="CS48" i="77" s="1"/>
  <c r="CJ47" i="77" s="1"/>
  <c r="CR47" i="77" s="1"/>
  <c r="CK46" i="77" s="1"/>
  <c r="CQ46" i="77" s="1"/>
  <c r="CL45" i="77" s="1"/>
  <c r="CP45" i="77" s="1"/>
  <c r="CM44" i="77" s="1"/>
  <c r="CO44" i="77" s="1"/>
  <c r="CN43" i="77" s="1"/>
  <c r="CL32" i="77"/>
  <c r="BY43" i="43"/>
  <c r="EN193" i="40" s="1"/>
  <c r="BX43" i="43"/>
  <c r="EO193" i="40" s="1"/>
  <c r="BW43" i="43"/>
  <c r="EP193" i="40" s="1"/>
  <c r="BV43" i="43"/>
  <c r="EQ193" i="40" s="1"/>
  <c r="BU43" i="43"/>
  <c r="ER193" i="40" s="1"/>
  <c r="BT43" i="43"/>
  <c r="ES193" i="40" s="1"/>
  <c r="BS43" i="43"/>
  <c r="BR43" i="43"/>
  <c r="EU193" i="40" s="1"/>
  <c r="I43" i="43"/>
  <c r="EI193" i="40" s="1"/>
  <c r="E43" i="43"/>
  <c r="BQ43" i="43"/>
  <c r="EV193" i="40" s="1"/>
  <c r="J43" i="43"/>
  <c r="EJ193" i="40" s="1"/>
  <c r="G43" i="43"/>
  <c r="F43" i="43"/>
  <c r="D43" i="43"/>
  <c r="ED193" i="40" s="1"/>
  <c r="C43" i="43"/>
  <c r="EC193" i="40" s="1"/>
  <c r="AW27" i="43"/>
  <c r="CV27" i="40"/>
  <c r="AW33" i="43"/>
  <c r="AW35" i="43"/>
  <c r="AW31" i="43"/>
  <c r="AW29" i="43"/>
  <c r="EJ120" i="40"/>
  <c r="BB33" i="43" s="1"/>
  <c r="DC33" i="43" s="1"/>
  <c r="EJ119" i="40"/>
  <c r="EJ118" i="40"/>
  <c r="EJ117" i="40"/>
  <c r="EJ116" i="40"/>
  <c r="EJ115" i="40"/>
  <c r="EJ114" i="40"/>
  <c r="EJ112" i="40"/>
  <c r="EJ111" i="40"/>
  <c r="EJ110" i="40"/>
  <c r="EJ108" i="40"/>
  <c r="EJ107" i="40"/>
  <c r="EJ106" i="40"/>
  <c r="EJ105" i="40"/>
  <c r="EJ104" i="40"/>
  <c r="EJ121" i="40"/>
  <c r="EJ122" i="40"/>
  <c r="CC18" i="16" l="1"/>
  <c r="CC17" i="16"/>
  <c r="CC19" i="16"/>
  <c r="CC16" i="16"/>
  <c r="CC20" i="16"/>
  <c r="CC14" i="16"/>
  <c r="CC12" i="16"/>
  <c r="CC13" i="16"/>
  <c r="CC15" i="16"/>
  <c r="BA83" i="16"/>
  <c r="DR31" i="43" s="1"/>
  <c r="DU31" i="43" s="1"/>
  <c r="DW35" i="43" s="1"/>
  <c r="DK12" i="16"/>
  <c r="CQ28" i="43" s="1"/>
  <c r="AF83" i="16"/>
  <c r="DR28" i="43" s="1"/>
  <c r="DU28" i="43" s="1"/>
  <c r="DK13" i="16"/>
  <c r="CQ29" i="43" s="1"/>
  <c r="DO19" i="16"/>
  <c r="DF35" i="43" s="1"/>
  <c r="AT83" i="16"/>
  <c r="DR30" i="43" s="1"/>
  <c r="DU30" i="43" s="1"/>
  <c r="Y83" i="16"/>
  <c r="DO11" i="16"/>
  <c r="DF27" i="43" s="1"/>
  <c r="DO14" i="16"/>
  <c r="DF30" i="43" s="1"/>
  <c r="DK17" i="16"/>
  <c r="CQ33" i="43" s="1"/>
  <c r="AM83" i="16"/>
  <c r="DR29" i="43" s="1"/>
  <c r="DU29" i="43" s="1"/>
  <c r="DK18" i="16"/>
  <c r="CQ34" i="43" s="1"/>
  <c r="DK11" i="16"/>
  <c r="CQ27" i="43" s="1"/>
  <c r="DO15" i="16"/>
  <c r="DF31" i="43" s="1"/>
  <c r="DK14" i="16"/>
  <c r="CQ30" i="43" s="1"/>
  <c r="DO12" i="16"/>
  <c r="DF28" i="43" s="1"/>
  <c r="DK19" i="16"/>
  <c r="CQ35" i="43" s="1"/>
  <c r="DO13" i="16"/>
  <c r="DF29" i="43" s="1"/>
  <c r="DO17" i="16"/>
  <c r="DF33" i="43" s="1"/>
  <c r="DI33" i="43" s="1"/>
  <c r="DO18" i="16"/>
  <c r="DF34" i="43" s="1"/>
  <c r="DK15" i="16"/>
  <c r="CQ31" i="43" s="1"/>
  <c r="DO16" i="16"/>
  <c r="DF32" i="43" s="1"/>
  <c r="BU5" i="89" a="1"/>
  <c r="BU5" i="89" s="1"/>
  <c r="AN96" i="16"/>
  <c r="AN111" i="16"/>
  <c r="Z43" i="16"/>
  <c r="AG43" i="16"/>
  <c r="CG12" i="70"/>
  <c r="CG10" i="70"/>
  <c r="CG9" i="70"/>
  <c r="CG11" i="70"/>
  <c r="AN6" i="77"/>
  <c r="AN43" i="16"/>
  <c r="AO6" i="77"/>
  <c r="AU43" i="16"/>
  <c r="AP6" i="77"/>
  <c r="BB43" i="16"/>
  <c r="AL6" i="77"/>
  <c r="CI18" i="43"/>
  <c r="CE4" i="16"/>
  <c r="CE12" i="16"/>
  <c r="CE20" i="16"/>
  <c r="CE28" i="16"/>
  <c r="CE5" i="16"/>
  <c r="CE13" i="16"/>
  <c r="CF13" i="16" s="1"/>
  <c r="CE21" i="16"/>
  <c r="CE29" i="16"/>
  <c r="CE6" i="16"/>
  <c r="CE14" i="16"/>
  <c r="CE22" i="16"/>
  <c r="CF22" i="16" s="1"/>
  <c r="CE30" i="16"/>
  <c r="CE7" i="16"/>
  <c r="CE15" i="16"/>
  <c r="CE23" i="16"/>
  <c r="CE31" i="16"/>
  <c r="CE8" i="16"/>
  <c r="CE16" i="16"/>
  <c r="CF16" i="16" s="1"/>
  <c r="CE24" i="16"/>
  <c r="CE32" i="16"/>
  <c r="CE27" i="16"/>
  <c r="CE9" i="16"/>
  <c r="CE17" i="16"/>
  <c r="CF17" i="16" s="1"/>
  <c r="CE25" i="16"/>
  <c r="CE33" i="16"/>
  <c r="CE19" i="16"/>
  <c r="CF19" i="16" s="1"/>
  <c r="CE10" i="16"/>
  <c r="CE18" i="16"/>
  <c r="CF18" i="16" s="1"/>
  <c r="CE26" i="16"/>
  <c r="CE11" i="16"/>
  <c r="EG193" i="40"/>
  <c r="EF193" i="40"/>
  <c r="EE193" i="40"/>
  <c r="ET193" i="40"/>
  <c r="BM1" i="16"/>
  <c r="CE3" i="16"/>
  <c r="CF3" i="16" s="1"/>
  <c r="AM6" i="77"/>
  <c r="CG32" i="77"/>
  <c r="I3" i="67"/>
  <c r="EO158" i="40"/>
  <c r="EP158" i="40"/>
  <c r="EQ158" i="40"/>
  <c r="EQ157" i="40" s="1"/>
  <c r="EQ156" i="40" s="1"/>
  <c r="EQ155" i="40" s="1"/>
  <c r="ER158" i="40"/>
  <c r="ER157" i="40" s="1"/>
  <c r="ER156" i="40" s="1"/>
  <c r="ER155" i="40" s="1"/>
  <c r="ER154" i="40" s="1"/>
  <c r="ER153" i="40" s="1"/>
  <c r="ER152" i="40" s="1"/>
  <c r="ER151" i="40" s="1"/>
  <c r="ER150" i="40" s="1"/>
  <c r="ER149" i="40" s="1"/>
  <c r="ER148" i="40" s="1"/>
  <c r="ER147" i="40" s="1"/>
  <c r="ER146" i="40" s="1"/>
  <c r="ER145" i="40" s="1"/>
  <c r="ER144" i="40" s="1"/>
  <c r="ER143" i="40" s="1"/>
  <c r="ER142" i="40" s="1"/>
  <c r="ER141" i="40" s="1"/>
  <c r="ER140" i="40" s="1"/>
  <c r="ER139" i="40" s="1"/>
  <c r="ES158" i="40"/>
  <c r="ET158" i="40"/>
  <c r="ET157" i="40" s="1"/>
  <c r="ET156" i="40" s="1"/>
  <c r="ET155" i="40" s="1"/>
  <c r="ET154" i="40" s="1"/>
  <c r="ET153" i="40" s="1"/>
  <c r="ET152" i="40" s="1"/>
  <c r="ET151" i="40" s="1"/>
  <c r="ET150" i="40" s="1"/>
  <c r="ET149" i="40" s="1"/>
  <c r="ET148" i="40" s="1"/>
  <c r="ET147" i="40" s="1"/>
  <c r="ET146" i="40" s="1"/>
  <c r="ET145" i="40" s="1"/>
  <c r="ET144" i="40" s="1"/>
  <c r="ET143" i="40" s="1"/>
  <c r="ET142" i="40" s="1"/>
  <c r="ET141" i="40" s="1"/>
  <c r="ET140" i="40" s="1"/>
  <c r="ET139" i="40" s="1"/>
  <c r="ET138" i="40" s="1"/>
  <c r="ET137" i="40" s="1"/>
  <c r="ET136" i="40" s="1"/>
  <c r="ET135" i="40" s="1"/>
  <c r="ET134" i="40" s="1"/>
  <c r="ET133" i="40" s="1"/>
  <c r="ET132" i="40" s="1"/>
  <c r="ET131" i="40" s="1"/>
  <c r="ET130" i="40" s="1"/>
  <c r="ET129" i="40" s="1"/>
  <c r="ET128" i="40" s="1"/>
  <c r="EU158" i="40"/>
  <c r="EU157" i="40" s="1"/>
  <c r="EU156" i="40" s="1"/>
  <c r="EU155" i="40" s="1"/>
  <c r="EU154" i="40" s="1"/>
  <c r="EU153" i="40" s="1"/>
  <c r="EU152" i="40" s="1"/>
  <c r="EU151" i="40" s="1"/>
  <c r="EU150" i="40" s="1"/>
  <c r="EU149" i="40" s="1"/>
  <c r="EU148" i="40" s="1"/>
  <c r="EU147" i="40" s="1"/>
  <c r="EU146" i="40" s="1"/>
  <c r="EU145" i="40" s="1"/>
  <c r="EU144" i="40" s="1"/>
  <c r="EU143" i="40" s="1"/>
  <c r="EU142" i="40" s="1"/>
  <c r="EU141" i="40" s="1"/>
  <c r="EU140" i="40" s="1"/>
  <c r="EU139" i="40" s="1"/>
  <c r="EU138" i="40" s="1"/>
  <c r="EU137" i="40" s="1"/>
  <c r="EU136" i="40" s="1"/>
  <c r="EU135" i="40" s="1"/>
  <c r="EU134" i="40" s="1"/>
  <c r="EU133" i="40" s="1"/>
  <c r="EU132" i="40" s="1"/>
  <c r="EU131" i="40" s="1"/>
  <c r="EU130" i="40" s="1"/>
  <c r="EU129" i="40" s="1"/>
  <c r="EU128" i="40" s="1"/>
  <c r="EN158" i="40"/>
  <c r="EC158" i="40"/>
  <c r="EC157" i="40" s="1"/>
  <c r="EC156" i="40" s="1"/>
  <c r="EC155" i="40" s="1"/>
  <c r="EC154" i="40" s="1"/>
  <c r="EC153" i="40" s="1"/>
  <c r="EC152" i="40" s="1"/>
  <c r="EC151" i="40" s="1"/>
  <c r="EC150" i="40" s="1"/>
  <c r="ED158" i="40"/>
  <c r="EE158" i="40"/>
  <c r="EF158" i="40"/>
  <c r="EG158" i="40"/>
  <c r="EH158" i="40"/>
  <c r="EJ158" i="40"/>
  <c r="EK158" i="40"/>
  <c r="EI158" i="40"/>
  <c r="EI157" i="40" s="1"/>
  <c r="EI156" i="40" s="1"/>
  <c r="EI155" i="40" s="1"/>
  <c r="EI154" i="40" s="1"/>
  <c r="EI153" i="40" s="1"/>
  <c r="EI152" i="40" s="1"/>
  <c r="EI151" i="40" s="1"/>
  <c r="EI150" i="40" s="1"/>
  <c r="EI149" i="40" s="1"/>
  <c r="EI148" i="40" s="1"/>
  <c r="ET90" i="40"/>
  <c r="ET89" i="40" s="1"/>
  <c r="ET88" i="40" s="1"/>
  <c r="EV126" i="40"/>
  <c r="EU126" i="40"/>
  <c r="ET126" i="40"/>
  <c r="ES126" i="40"/>
  <c r="ER126" i="40"/>
  <c r="EQ126" i="40"/>
  <c r="EP126" i="40"/>
  <c r="EO126" i="40"/>
  <c r="EN126" i="40"/>
  <c r="EK126" i="40"/>
  <c r="EJ126" i="40"/>
  <c r="EI126" i="40"/>
  <c r="EH126" i="40"/>
  <c r="EG126" i="40"/>
  <c r="EF126" i="40"/>
  <c r="EE126" i="40"/>
  <c r="ED126" i="40"/>
  <c r="EC126" i="40"/>
  <c r="O28" i="43"/>
  <c r="CJ28" i="43" s="1"/>
  <c r="O29" i="43"/>
  <c r="CJ29" i="43" s="1"/>
  <c r="O30" i="43"/>
  <c r="CJ30" i="43" s="1"/>
  <c r="O31" i="43"/>
  <c r="CJ31" i="43" s="1"/>
  <c r="O32" i="43"/>
  <c r="CJ32" i="43" s="1"/>
  <c r="O34" i="43"/>
  <c r="CJ34" i="43" s="1"/>
  <c r="O35" i="43"/>
  <c r="CJ35" i="43" s="1"/>
  <c r="O27" i="43"/>
  <c r="CJ27" i="43" s="1"/>
  <c r="EC122" i="40"/>
  <c r="EC121" i="40"/>
  <c r="EC120" i="40"/>
  <c r="EC119" i="40"/>
  <c r="EC118" i="40"/>
  <c r="EC117" i="40"/>
  <c r="EC116" i="40"/>
  <c r="EC115" i="40"/>
  <c r="EC114" i="40"/>
  <c r="EC112" i="40"/>
  <c r="EC111" i="40"/>
  <c r="EC110" i="40"/>
  <c r="EC109" i="40"/>
  <c r="EC108" i="40"/>
  <c r="EC107" i="40"/>
  <c r="EC106" i="40"/>
  <c r="EC105" i="40"/>
  <c r="EC104" i="40"/>
  <c r="CF26" i="16" l="1"/>
  <c r="DG26" i="16" s="1"/>
  <c r="CF27" i="16"/>
  <c r="DG27" i="16" s="1"/>
  <c r="CF7" i="16"/>
  <c r="DG7" i="16" s="1"/>
  <c r="CF32" i="16"/>
  <c r="DG32" i="16" s="1"/>
  <c r="CF30" i="16"/>
  <c r="DG30" i="16" s="1"/>
  <c r="CF28" i="16"/>
  <c r="DG28" i="16" s="1"/>
  <c r="CF5" i="16"/>
  <c r="DG5" i="16" s="1"/>
  <c r="CF10" i="16"/>
  <c r="DG10" i="16" s="1"/>
  <c r="CF24" i="16"/>
  <c r="DG24" i="16" s="1"/>
  <c r="CF20" i="16"/>
  <c r="DG20" i="16" s="1"/>
  <c r="CF14" i="16"/>
  <c r="DG14" i="16" s="1"/>
  <c r="CF12" i="16"/>
  <c r="DG12" i="16" s="1"/>
  <c r="CF8" i="16"/>
  <c r="DG8" i="16" s="1"/>
  <c r="CF6" i="16"/>
  <c r="DG6" i="16" s="1"/>
  <c r="CF4" i="16"/>
  <c r="DG4" i="16" s="1"/>
  <c r="CF25" i="16"/>
  <c r="CF31" i="16"/>
  <c r="DG31" i="16" s="1"/>
  <c r="CF29" i="16"/>
  <c r="DG29" i="16" s="1"/>
  <c r="CF21" i="16"/>
  <c r="DG21" i="16" s="1"/>
  <c r="CF23" i="16"/>
  <c r="CF11" i="16"/>
  <c r="DG11" i="16" s="1"/>
  <c r="CF9" i="16"/>
  <c r="DG9" i="16" s="1"/>
  <c r="CF15" i="16"/>
  <c r="DG15" i="16" s="1"/>
  <c r="BD43" i="16"/>
  <c r="AZ46" i="16" s="1"/>
  <c r="AI43" i="16"/>
  <c r="AE46" i="16" s="1"/>
  <c r="DW29" i="43"/>
  <c r="DW33" i="43"/>
  <c r="AW43" i="16"/>
  <c r="AS46" i="16" s="1"/>
  <c r="DW31" i="43"/>
  <c r="AP43" i="16"/>
  <c r="AL46" i="16" s="1"/>
  <c r="DR27" i="43"/>
  <c r="DU27" i="43" s="1"/>
  <c r="CN67" i="16"/>
  <c r="CQ67" i="16" s="1"/>
  <c r="AO46" i="43" s="1"/>
  <c r="A9" i="89" a="1"/>
  <c r="A9" i="89" s="1"/>
  <c r="A15" i="89" a="1"/>
  <c r="A15" i="89" s="1"/>
  <c r="A13" i="89" a="1"/>
  <c r="A13" i="89" s="1"/>
  <c r="A17" i="89" a="1"/>
  <c r="A17" i="89" s="1"/>
  <c r="A11" i="89" a="1"/>
  <c r="A11" i="89" s="1"/>
  <c r="A66" i="89" a="1"/>
  <c r="A66" i="89" s="1"/>
  <c r="A68" i="89" a="1"/>
  <c r="A68" i="89" s="1"/>
  <c r="A7" i="89" a="1"/>
  <c r="A7" i="89" s="1"/>
  <c r="A92" i="89" a="1"/>
  <c r="A92" i="89" s="1"/>
  <c r="A74" i="89" a="1"/>
  <c r="A74" i="89" s="1"/>
  <c r="A19" i="89" a="1"/>
  <c r="A19" i="89" s="1"/>
  <c r="A76" i="89" a="1"/>
  <c r="A76" i="89" s="1"/>
  <c r="A72" i="89" a="1"/>
  <c r="A72" i="89" s="1"/>
  <c r="A70" i="89" a="1"/>
  <c r="A70" i="89" s="1"/>
  <c r="A90" i="89" a="1"/>
  <c r="A90" i="89" s="1"/>
  <c r="A80" i="89" a="1"/>
  <c r="A80" i="89" s="1"/>
  <c r="A88" i="89" a="1"/>
  <c r="A88" i="89" s="1"/>
  <c r="A82" i="89" a="1"/>
  <c r="A82" i="89" s="1"/>
  <c r="A84" i="89" a="1"/>
  <c r="A84" i="89" s="1"/>
  <c r="A86" i="89" a="1"/>
  <c r="A86" i="89" s="1"/>
  <c r="A78" i="89" a="1"/>
  <c r="A78" i="89" s="1"/>
  <c r="AA92" i="89" a="1"/>
  <c r="AA92" i="89" s="1"/>
  <c r="AA19" i="89" a="1"/>
  <c r="AA19" i="89" s="1"/>
  <c r="AA76" i="89" a="1"/>
  <c r="AA76" i="89" s="1"/>
  <c r="AA84" i="89" a="1"/>
  <c r="AA84" i="89" s="1"/>
  <c r="AA86" i="89" a="1"/>
  <c r="AA86" i="89" s="1"/>
  <c r="AA82" i="89" a="1"/>
  <c r="AA82" i="89" s="1"/>
  <c r="AA88" i="89" a="1"/>
  <c r="AA88" i="89" s="1"/>
  <c r="AA80" i="89" a="1"/>
  <c r="AA80" i="89" s="1"/>
  <c r="AA70" i="89" a="1"/>
  <c r="AA70" i="89" s="1"/>
  <c r="AA72" i="89" a="1"/>
  <c r="AA72" i="89" s="1"/>
  <c r="AA90" i="89" a="1"/>
  <c r="AA90" i="89" s="1"/>
  <c r="AA74" i="89" a="1"/>
  <c r="AA74" i="89" s="1"/>
  <c r="AA78" i="89" a="1"/>
  <c r="AA78" i="89" s="1"/>
  <c r="AA15" i="89" a="1"/>
  <c r="AA15" i="89" s="1"/>
  <c r="AA17" i="89" a="1"/>
  <c r="AA17" i="89" s="1"/>
  <c r="AA11" i="89" a="1"/>
  <c r="AA11" i="89" s="1"/>
  <c r="AA13" i="89" a="1"/>
  <c r="AA13" i="89" s="1"/>
  <c r="AA66" i="89" a="1"/>
  <c r="AA66" i="89" s="1"/>
  <c r="AA68" i="89" a="1"/>
  <c r="AA68" i="89" s="1"/>
  <c r="AA7" i="89" a="1"/>
  <c r="AA7" i="89" s="1"/>
  <c r="AA9" i="89" a="1"/>
  <c r="AA9" i="89" s="1"/>
  <c r="CG16" i="70"/>
  <c r="CG15" i="70"/>
  <c r="CR33" i="16"/>
  <c r="CF33" i="16"/>
  <c r="DG33" i="16" s="1"/>
  <c r="Z41" i="67"/>
  <c r="CG14" i="70"/>
  <c r="CG13" i="70"/>
  <c r="CD3" i="43"/>
  <c r="CG3" i="43" s="1"/>
  <c r="CJ3" i="43" s="1"/>
  <c r="EV105" i="40"/>
  <c r="EV106" i="40"/>
  <c r="EV107" i="40"/>
  <c r="EV108" i="40"/>
  <c r="EV109" i="40"/>
  <c r="EV110" i="40"/>
  <c r="EV111" i="40"/>
  <c r="EV112" i="40"/>
  <c r="EN105" i="40"/>
  <c r="EQ105" i="40"/>
  <c r="EQ107" i="40"/>
  <c r="EQ110" i="40"/>
  <c r="EN110" i="40"/>
  <c r="EO105" i="40"/>
  <c r="EO106" i="40"/>
  <c r="EO107" i="40"/>
  <c r="EO108" i="40"/>
  <c r="EO109" i="40"/>
  <c r="EO110" i="40"/>
  <c r="EO111" i="40"/>
  <c r="EO112" i="40"/>
  <c r="EN112" i="40"/>
  <c r="EQ108" i="40"/>
  <c r="EQ112" i="40"/>
  <c r="EP105" i="40"/>
  <c r="EP106" i="40"/>
  <c r="EP107" i="40"/>
  <c r="EP108" i="40"/>
  <c r="EP109" i="40"/>
  <c r="EP110" i="40"/>
  <c r="EP111" i="40"/>
  <c r="EP112" i="40"/>
  <c r="EN111" i="40"/>
  <c r="EQ106" i="40"/>
  <c r="EQ109" i="40"/>
  <c r="EQ111" i="40"/>
  <c r="ER105" i="40"/>
  <c r="ER106" i="40"/>
  <c r="ER107" i="40"/>
  <c r="ER108" i="40"/>
  <c r="ER109" i="40"/>
  <c r="ER110" i="40"/>
  <c r="ER111" i="40"/>
  <c r="ER112" i="40"/>
  <c r="EN109" i="40"/>
  <c r="EU107" i="40"/>
  <c r="EU109" i="40"/>
  <c r="EU112" i="40"/>
  <c r="ES105" i="40"/>
  <c r="ES106" i="40"/>
  <c r="ES107" i="40"/>
  <c r="ES108" i="40"/>
  <c r="ES109" i="40"/>
  <c r="ES110" i="40"/>
  <c r="ES111" i="40"/>
  <c r="ES112" i="40"/>
  <c r="EN108" i="40"/>
  <c r="EU105" i="40"/>
  <c r="EU108" i="40"/>
  <c r="EU111" i="40"/>
  <c r="ET105" i="40"/>
  <c r="ET106" i="40"/>
  <c r="ET107" i="40"/>
  <c r="ET108" i="40"/>
  <c r="ET109" i="40"/>
  <c r="ET110" i="40"/>
  <c r="ET111" i="40"/>
  <c r="ET112" i="40"/>
  <c r="EN107" i="40"/>
  <c r="EU106" i="40"/>
  <c r="EU110" i="40"/>
  <c r="EN106" i="40"/>
  <c r="AQ104" i="86"/>
  <c r="AY104" i="86"/>
  <c r="CR17" i="16"/>
  <c r="CM17" i="16"/>
  <c r="CN17" i="16"/>
  <c r="CO17" i="16"/>
  <c r="CP17" i="16"/>
  <c r="CQ17" i="16"/>
  <c r="CH31" i="16"/>
  <c r="CN31" i="16"/>
  <c r="CO31" i="16"/>
  <c r="CP31" i="16"/>
  <c r="CQ31" i="16"/>
  <c r="CR31" i="16"/>
  <c r="CM31" i="16"/>
  <c r="CR25" i="16"/>
  <c r="CQ25" i="16"/>
  <c r="CM25" i="16"/>
  <c r="CN25" i="16"/>
  <c r="CO25" i="16"/>
  <c r="CP25" i="16"/>
  <c r="CN27" i="16"/>
  <c r="CO27" i="16"/>
  <c r="CP27" i="16"/>
  <c r="CQ27" i="16"/>
  <c r="CR27" i="16"/>
  <c r="CM27" i="16"/>
  <c r="CM10" i="16"/>
  <c r="CN10" i="16"/>
  <c r="CO10" i="16"/>
  <c r="CP10" i="16"/>
  <c r="CQ10" i="16"/>
  <c r="CR10" i="16"/>
  <c r="CN3" i="16"/>
  <c r="CO3" i="16"/>
  <c r="CP3" i="16"/>
  <c r="CQ3" i="16"/>
  <c r="CR3" i="16"/>
  <c r="CM3" i="16"/>
  <c r="CH32" i="16"/>
  <c r="CP32" i="16"/>
  <c r="CQ32" i="16"/>
  <c r="CO32" i="16"/>
  <c r="CR32" i="16"/>
  <c r="CM32" i="16"/>
  <c r="CN32" i="16"/>
  <c r="CP12" i="16"/>
  <c r="CQ12" i="16"/>
  <c r="CR12" i="16"/>
  <c r="CM12" i="16"/>
  <c r="CN12" i="16"/>
  <c r="CO12" i="16"/>
  <c r="CN7" i="16"/>
  <c r="CO7" i="16"/>
  <c r="CM7" i="16"/>
  <c r="CP7" i="16"/>
  <c r="CQ7" i="16"/>
  <c r="CR7" i="16"/>
  <c r="CH30" i="16"/>
  <c r="CM30" i="16"/>
  <c r="CN30" i="16"/>
  <c r="CO30" i="16"/>
  <c r="CP30" i="16"/>
  <c r="CQ30" i="16"/>
  <c r="CR30" i="16"/>
  <c r="CP16" i="16"/>
  <c r="CO16" i="16"/>
  <c r="CQ16" i="16"/>
  <c r="CR16" i="16"/>
  <c r="CM16" i="16"/>
  <c r="CN16" i="16"/>
  <c r="CM14" i="16"/>
  <c r="CN14" i="16"/>
  <c r="CO14" i="16"/>
  <c r="CP14" i="16"/>
  <c r="CQ14" i="16"/>
  <c r="CR14" i="16"/>
  <c r="CP28" i="16"/>
  <c r="CO28" i="16"/>
  <c r="CQ28" i="16"/>
  <c r="CR28" i="16"/>
  <c r="CM28" i="16"/>
  <c r="CN28" i="16"/>
  <c r="CH29" i="16"/>
  <c r="CR29" i="16"/>
  <c r="CM29" i="16"/>
  <c r="CN29" i="16"/>
  <c r="CO29" i="16"/>
  <c r="CP29" i="16"/>
  <c r="CQ29" i="16"/>
  <c r="CM18" i="16"/>
  <c r="CN18" i="16"/>
  <c r="CO18" i="16"/>
  <c r="CP18" i="16"/>
  <c r="CQ18" i="16"/>
  <c r="CR18" i="16"/>
  <c r="CM22" i="16"/>
  <c r="CN22" i="16"/>
  <c r="CO22" i="16"/>
  <c r="CP22" i="16"/>
  <c r="CQ22" i="16"/>
  <c r="CR22" i="16"/>
  <c r="CP20" i="16"/>
  <c r="CO20" i="16"/>
  <c r="CQ20" i="16"/>
  <c r="CR20" i="16"/>
  <c r="CM20" i="16"/>
  <c r="CN20" i="16"/>
  <c r="CM26" i="16"/>
  <c r="CN26" i="16"/>
  <c r="CO26" i="16"/>
  <c r="CP26" i="16"/>
  <c r="CQ26" i="16"/>
  <c r="CR26" i="16"/>
  <c r="CR21" i="16"/>
  <c r="CM21" i="16"/>
  <c r="CN21" i="16"/>
  <c r="CO21" i="16"/>
  <c r="CP21" i="16"/>
  <c r="CQ21" i="16"/>
  <c r="CO8" i="16"/>
  <c r="CP8" i="16"/>
  <c r="CQ8" i="16"/>
  <c r="CR8" i="16"/>
  <c r="CM8" i="16"/>
  <c r="CN8" i="16"/>
  <c r="CP4" i="16"/>
  <c r="CO4" i="16"/>
  <c r="CQ4" i="16"/>
  <c r="CR4" i="16"/>
  <c r="CM4" i="16"/>
  <c r="CN4" i="16"/>
  <c r="CN23" i="16"/>
  <c r="CO23" i="16"/>
  <c r="CP23" i="16"/>
  <c r="CQ23" i="16"/>
  <c r="CR23" i="16"/>
  <c r="CM23" i="16"/>
  <c r="CR13" i="16"/>
  <c r="CM13" i="16"/>
  <c r="CN13" i="16"/>
  <c r="CQ13" i="16"/>
  <c r="CO13" i="16"/>
  <c r="CP13" i="16"/>
  <c r="CN15" i="16"/>
  <c r="CR15" i="16"/>
  <c r="CO15" i="16"/>
  <c r="CM15" i="16"/>
  <c r="CP15" i="16"/>
  <c r="CQ15" i="16"/>
  <c r="CR5" i="16"/>
  <c r="CM5" i="16"/>
  <c r="CN5" i="16"/>
  <c r="CQ5" i="16"/>
  <c r="CO5" i="16"/>
  <c r="CP5" i="16"/>
  <c r="CN11" i="16"/>
  <c r="CM11" i="16"/>
  <c r="CO11" i="16"/>
  <c r="CP11" i="16"/>
  <c r="CQ11" i="16"/>
  <c r="CR11" i="16"/>
  <c r="CM6" i="16"/>
  <c r="CN6" i="16"/>
  <c r="CO6" i="16"/>
  <c r="CP6" i="16"/>
  <c r="CQ6" i="16"/>
  <c r="CR6" i="16"/>
  <c r="CR9" i="16"/>
  <c r="CQ9" i="16"/>
  <c r="CM9" i="16"/>
  <c r="CN9" i="16"/>
  <c r="CO9" i="16"/>
  <c r="CP9" i="16"/>
  <c r="CP24" i="16"/>
  <c r="CQ24" i="16"/>
  <c r="CO24" i="16"/>
  <c r="CR24" i="16"/>
  <c r="CM24" i="16"/>
  <c r="CN24" i="16"/>
  <c r="CM19" i="16"/>
  <c r="CN19" i="16"/>
  <c r="CO19" i="16"/>
  <c r="CP19" i="16"/>
  <c r="CQ19" i="16"/>
  <c r="CR19" i="16"/>
  <c r="CP33" i="16"/>
  <c r="CQ33" i="16"/>
  <c r="CN33" i="16"/>
  <c r="CO33" i="16"/>
  <c r="CM33" i="16"/>
  <c r="BA13" i="16"/>
  <c r="CH33" i="16"/>
  <c r="E54" i="71"/>
  <c r="G54" i="71" s="1"/>
  <c r="DG19" i="16"/>
  <c r="DG17" i="16"/>
  <c r="DG13" i="16"/>
  <c r="DG16" i="16"/>
  <c r="DG18" i="16"/>
  <c r="DG22" i="16"/>
  <c r="DG3" i="16"/>
  <c r="CL18" i="43"/>
  <c r="AV21" i="43"/>
  <c r="CM32" i="77"/>
  <c r="EH117" i="40"/>
  <c r="EH119" i="40"/>
  <c r="EH116" i="40"/>
  <c r="EH104" i="40"/>
  <c r="EH105" i="40"/>
  <c r="EH108" i="40"/>
  <c r="EH112" i="40"/>
  <c r="EH107" i="40"/>
  <c r="EH106" i="40"/>
  <c r="EH114" i="40"/>
  <c r="EH121" i="40"/>
  <c r="EH120" i="40"/>
  <c r="EH110" i="40"/>
  <c r="EH111" i="40"/>
  <c r="EH115" i="40"/>
  <c r="EH118" i="40"/>
  <c r="ET87" i="40"/>
  <c r="EV93" i="40"/>
  <c r="EU93" i="40"/>
  <c r="ET93" i="40"/>
  <c r="ES93" i="40"/>
  <c r="ER93" i="40"/>
  <c r="EQ93" i="40"/>
  <c r="EP93" i="40"/>
  <c r="EO93" i="40"/>
  <c r="EN93" i="40"/>
  <c r="EK93" i="40"/>
  <c r="EJ93" i="40"/>
  <c r="EI93" i="40"/>
  <c r="EH93" i="40"/>
  <c r="EG93" i="40"/>
  <c r="EF93" i="40"/>
  <c r="EE93" i="40"/>
  <c r="ED93" i="40"/>
  <c r="EC93" i="40"/>
  <c r="ED60" i="40"/>
  <c r="EE60" i="40"/>
  <c r="EF60" i="40"/>
  <c r="EG60" i="40"/>
  <c r="EH60" i="40"/>
  <c r="EE61" i="40"/>
  <c r="EF61" i="40"/>
  <c r="EE62" i="40"/>
  <c r="EF62" i="40"/>
  <c r="EH62" i="40"/>
  <c r="EH61" i="40" s="1"/>
  <c r="ED63" i="40"/>
  <c r="ED62" i="40" s="1"/>
  <c r="ED61" i="40" s="1"/>
  <c r="EE63" i="40"/>
  <c r="EF63" i="40"/>
  <c r="EH63" i="40"/>
  <c r="ED64" i="40"/>
  <c r="EE64" i="40"/>
  <c r="EF64" i="40"/>
  <c r="ED65" i="40"/>
  <c r="EE65" i="40"/>
  <c r="EF65" i="40"/>
  <c r="EH65" i="40"/>
  <c r="EH64" i="40" s="1"/>
  <c r="EE66" i="40"/>
  <c r="EF66" i="40"/>
  <c r="EF67" i="40"/>
  <c r="EH67" i="40"/>
  <c r="EH66" i="40" s="1"/>
  <c r="EE68" i="40"/>
  <c r="EE67" i="40" s="1"/>
  <c r="EF68" i="40"/>
  <c r="EH68" i="40"/>
  <c r="ED69" i="40"/>
  <c r="ED68" i="40" s="1"/>
  <c r="ED67" i="40" s="1"/>
  <c r="ED66" i="40" s="1"/>
  <c r="EE69" i="40"/>
  <c r="EF69" i="40"/>
  <c r="EH69" i="40"/>
  <c r="EE70" i="40"/>
  <c r="EF70" i="40"/>
  <c r="EG70" i="40"/>
  <c r="EG69" i="40" s="1"/>
  <c r="EG68" i="40" s="1"/>
  <c r="EG67" i="40" s="1"/>
  <c r="EG66" i="40" s="1"/>
  <c r="EG65" i="40" s="1"/>
  <c r="EG64" i="40" s="1"/>
  <c r="EG63" i="40" s="1"/>
  <c r="EG62" i="40" s="1"/>
  <c r="EG61" i="40" s="1"/>
  <c r="EE71" i="40"/>
  <c r="EF71" i="40"/>
  <c r="EE72" i="40"/>
  <c r="EF72" i="40"/>
  <c r="EE73" i="40"/>
  <c r="EF73" i="40"/>
  <c r="EG73" i="40"/>
  <c r="EG72" i="40" s="1"/>
  <c r="EG71" i="40" s="1"/>
  <c r="EE74" i="40"/>
  <c r="EF74" i="40"/>
  <c r="ED75" i="40"/>
  <c r="ED74" i="40" s="1"/>
  <c r="ED73" i="40" s="1"/>
  <c r="ED72" i="40" s="1"/>
  <c r="ED71" i="40" s="1"/>
  <c r="ED70" i="40" s="1"/>
  <c r="EE75" i="40"/>
  <c r="EF75" i="40"/>
  <c r="EE76" i="40"/>
  <c r="EE77" i="40"/>
  <c r="EF77" i="40"/>
  <c r="EF76" i="40" s="1"/>
  <c r="EE78" i="40"/>
  <c r="EF78" i="40"/>
  <c r="EH78" i="40"/>
  <c r="EH77" i="40" s="1"/>
  <c r="EH76" i="40" s="1"/>
  <c r="EH75" i="40" s="1"/>
  <c r="EH74" i="40" s="1"/>
  <c r="EH73" i="40" s="1"/>
  <c r="EH72" i="40" s="1"/>
  <c r="EH71" i="40" s="1"/>
  <c r="EH70" i="40" s="1"/>
  <c r="EE79" i="40"/>
  <c r="EF79" i="40"/>
  <c r="EE80" i="40"/>
  <c r="EF80" i="40"/>
  <c r="EE81" i="40"/>
  <c r="EF81" i="40"/>
  <c r="EH81" i="40"/>
  <c r="EH80" i="40" s="1"/>
  <c r="EH79" i="40" s="1"/>
  <c r="EE82" i="40"/>
  <c r="EF82" i="40"/>
  <c r="EE83" i="40"/>
  <c r="EF83" i="40"/>
  <c r="EH83" i="40"/>
  <c r="EH82" i="40" s="1"/>
  <c r="EE84" i="40"/>
  <c r="EF84" i="40"/>
  <c r="EH84" i="40"/>
  <c r="ED85" i="40"/>
  <c r="ED84" i="40" s="1"/>
  <c r="ED83" i="40" s="1"/>
  <c r="ED82" i="40" s="1"/>
  <c r="ED81" i="40" s="1"/>
  <c r="ED80" i="40" s="1"/>
  <c r="ED79" i="40" s="1"/>
  <c r="ED78" i="40" s="1"/>
  <c r="ED77" i="40" s="1"/>
  <c r="ED76" i="40" s="1"/>
  <c r="EE85" i="40"/>
  <c r="EF85" i="40"/>
  <c r="EE86" i="40"/>
  <c r="EF86" i="40"/>
  <c r="EE87" i="40"/>
  <c r="EF87" i="40"/>
  <c r="EE88" i="40"/>
  <c r="EF88" i="40"/>
  <c r="EE89" i="40"/>
  <c r="EF89" i="40"/>
  <c r="ED90" i="40"/>
  <c r="ED89" i="40" s="1"/>
  <c r="ED88" i="40" s="1"/>
  <c r="ED87" i="40" s="1"/>
  <c r="ED86" i="40" s="1"/>
  <c r="EE90" i="40"/>
  <c r="EF90" i="40"/>
  <c r="EG90" i="40"/>
  <c r="EG89" i="40" s="1"/>
  <c r="EG88" i="40" s="1"/>
  <c r="EG87" i="40" s="1"/>
  <c r="EG86" i="40" s="1"/>
  <c r="EG85" i="40" s="1"/>
  <c r="EG84" i="40" s="1"/>
  <c r="EG83" i="40" s="1"/>
  <c r="EG82" i="40" s="1"/>
  <c r="EG81" i="40" s="1"/>
  <c r="EG80" i="40" s="1"/>
  <c r="EG79" i="40" s="1"/>
  <c r="EG78" i="40" s="1"/>
  <c r="EG77" i="40" s="1"/>
  <c r="EG76" i="40" s="1"/>
  <c r="EG75" i="40" s="1"/>
  <c r="EG74" i="40" s="1"/>
  <c r="EH90" i="40"/>
  <c r="EH89" i="40" s="1"/>
  <c r="EH88" i="40" s="1"/>
  <c r="EH87" i="40" s="1"/>
  <c r="EH86" i="40" s="1"/>
  <c r="EI90" i="40"/>
  <c r="EI89" i="40" s="1"/>
  <c r="EI88" i="40" s="1"/>
  <c r="EI87" i="40" s="1"/>
  <c r="EI86" i="40" s="1"/>
  <c r="EI85" i="40" s="1"/>
  <c r="EI84" i="40" s="1"/>
  <c r="EI83" i="40" s="1"/>
  <c r="EI82" i="40" s="1"/>
  <c r="EI81" i="40" s="1"/>
  <c r="EI80" i="40" s="1"/>
  <c r="EI79" i="40" s="1"/>
  <c r="EI78" i="40" s="1"/>
  <c r="EI77" i="40" s="1"/>
  <c r="EI76" i="40" s="1"/>
  <c r="EI75" i="40" s="1"/>
  <c r="EI74" i="40" s="1"/>
  <c r="EI73" i="40" s="1"/>
  <c r="EI72" i="40" s="1"/>
  <c r="EI71" i="40" s="1"/>
  <c r="EI70" i="40" s="1"/>
  <c r="EI69" i="40" s="1"/>
  <c r="EI68" i="40" s="1"/>
  <c r="EI67" i="40" s="1"/>
  <c r="EI66" i="40" s="1"/>
  <c r="EI65" i="40" s="1"/>
  <c r="EI64" i="40" s="1"/>
  <c r="EI63" i="40" s="1"/>
  <c r="EI62" i="40" s="1"/>
  <c r="EI61" i="40" s="1"/>
  <c r="EI60" i="40" s="1"/>
  <c r="EJ90" i="40"/>
  <c r="EJ89" i="40" s="1"/>
  <c r="EJ88" i="40" s="1"/>
  <c r="EJ87" i="40" s="1"/>
  <c r="EJ86" i="40" s="1"/>
  <c r="EJ85" i="40" s="1"/>
  <c r="EJ84" i="40" s="1"/>
  <c r="EJ83" i="40" s="1"/>
  <c r="EJ82" i="40" s="1"/>
  <c r="EJ81" i="40" s="1"/>
  <c r="EJ80" i="40" s="1"/>
  <c r="EJ79" i="40" s="1"/>
  <c r="EJ78" i="40" s="1"/>
  <c r="EJ77" i="40" s="1"/>
  <c r="EJ76" i="40" s="1"/>
  <c r="EJ75" i="40" s="1"/>
  <c r="EJ74" i="40" s="1"/>
  <c r="EJ73" i="40" s="1"/>
  <c r="EJ72" i="40" s="1"/>
  <c r="EJ71" i="40" s="1"/>
  <c r="EJ70" i="40" s="1"/>
  <c r="EJ69" i="40" s="1"/>
  <c r="EJ68" i="40" s="1"/>
  <c r="EJ67" i="40" s="1"/>
  <c r="EJ66" i="40" s="1"/>
  <c r="EJ65" i="40" s="1"/>
  <c r="EJ64" i="40" s="1"/>
  <c r="EJ63" i="40" s="1"/>
  <c r="EJ62" i="40" s="1"/>
  <c r="EJ61" i="40" s="1"/>
  <c r="EJ60" i="40" s="1"/>
  <c r="EK90" i="40"/>
  <c r="EK89" i="40" s="1"/>
  <c r="EK88" i="40" s="1"/>
  <c r="EK87" i="40" s="1"/>
  <c r="EK86" i="40" s="1"/>
  <c r="EK85" i="40" s="1"/>
  <c r="EK84" i="40" s="1"/>
  <c r="EK83" i="40" s="1"/>
  <c r="EK82" i="40" s="1"/>
  <c r="EK81" i="40" s="1"/>
  <c r="EK80" i="40" s="1"/>
  <c r="EK79" i="40" s="1"/>
  <c r="EK78" i="40" s="1"/>
  <c r="EK77" i="40" s="1"/>
  <c r="EK76" i="40" s="1"/>
  <c r="EK75" i="40" s="1"/>
  <c r="EK74" i="40" s="1"/>
  <c r="EK73" i="40" s="1"/>
  <c r="EK72" i="40" s="1"/>
  <c r="EK71" i="40" s="1"/>
  <c r="EK70" i="40" s="1"/>
  <c r="EK69" i="40" s="1"/>
  <c r="EK68" i="40" s="1"/>
  <c r="EK67" i="40" s="1"/>
  <c r="EK66" i="40" s="1"/>
  <c r="EK65" i="40" s="1"/>
  <c r="EK64" i="40" s="1"/>
  <c r="EK63" i="40" s="1"/>
  <c r="EK62" i="40" s="1"/>
  <c r="EK61" i="40" s="1"/>
  <c r="EK60" i="40" s="1"/>
  <c r="EC90" i="40"/>
  <c r="EC89" i="40" s="1"/>
  <c r="EC88" i="40" s="1"/>
  <c r="EC87" i="40" s="1"/>
  <c r="EC86" i="40" s="1"/>
  <c r="EC85" i="40" s="1"/>
  <c r="EC84" i="40" s="1"/>
  <c r="EC83" i="40" s="1"/>
  <c r="EC82" i="40" s="1"/>
  <c r="EC81" i="40" s="1"/>
  <c r="EC80" i="40" s="1"/>
  <c r="EC79" i="40" s="1"/>
  <c r="EC78" i="40" s="1"/>
  <c r="EC77" i="40" s="1"/>
  <c r="EC76" i="40" s="1"/>
  <c r="EC75" i="40" s="1"/>
  <c r="EC74" i="40" s="1"/>
  <c r="EC73" i="40" s="1"/>
  <c r="EC72" i="40" s="1"/>
  <c r="EC71" i="40" s="1"/>
  <c r="EC70" i="40" s="1"/>
  <c r="EC69" i="40" s="1"/>
  <c r="EC68" i="40" s="1"/>
  <c r="EC67" i="40" s="1"/>
  <c r="EC66" i="40" s="1"/>
  <c r="EC65" i="40" s="1"/>
  <c r="EC64" i="40" s="1"/>
  <c r="EC63" i="40" s="1"/>
  <c r="EC62" i="40" s="1"/>
  <c r="EC61" i="40" s="1"/>
  <c r="EC60" i="40" s="1"/>
  <c r="EQ104" i="40" s="1"/>
  <c r="EP60" i="40"/>
  <c r="EP64" i="40"/>
  <c r="EP63" i="40" s="1"/>
  <c r="EP62" i="40" s="1"/>
  <c r="EP61" i="40" s="1"/>
  <c r="EP85" i="40"/>
  <c r="EP84" i="40" s="1"/>
  <c r="EP83" i="40" s="1"/>
  <c r="EP82" i="40" s="1"/>
  <c r="EP81" i="40" s="1"/>
  <c r="EP80" i="40" s="1"/>
  <c r="EP79" i="40" s="1"/>
  <c r="EP78" i="40" s="1"/>
  <c r="EP77" i="40" s="1"/>
  <c r="EP76" i="40" s="1"/>
  <c r="EP75" i="40" s="1"/>
  <c r="EP74" i="40" s="1"/>
  <c r="EP73" i="40" s="1"/>
  <c r="EP72" i="40" s="1"/>
  <c r="EP71" i="40" s="1"/>
  <c r="EP70" i="40" s="1"/>
  <c r="EP69" i="40" s="1"/>
  <c r="EP68" i="40" s="1"/>
  <c r="EP67" i="40" s="1"/>
  <c r="EP66" i="40" s="1"/>
  <c r="EP65" i="40" s="1"/>
  <c r="EO90" i="40"/>
  <c r="EO89" i="40" s="1"/>
  <c r="EO88" i="40" s="1"/>
  <c r="EO87" i="40" s="1"/>
  <c r="EO86" i="40" s="1"/>
  <c r="EO85" i="40" s="1"/>
  <c r="EO84" i="40" s="1"/>
  <c r="EO83" i="40" s="1"/>
  <c r="EO82" i="40" s="1"/>
  <c r="EO81" i="40" s="1"/>
  <c r="EO80" i="40" s="1"/>
  <c r="EO79" i="40" s="1"/>
  <c r="EO78" i="40" s="1"/>
  <c r="EO77" i="40" s="1"/>
  <c r="EO76" i="40" s="1"/>
  <c r="EO75" i="40" s="1"/>
  <c r="EO74" i="40" s="1"/>
  <c r="EO73" i="40" s="1"/>
  <c r="EO72" i="40" s="1"/>
  <c r="EO71" i="40" s="1"/>
  <c r="EO70" i="40" s="1"/>
  <c r="EO69" i="40" s="1"/>
  <c r="EO68" i="40" s="1"/>
  <c r="EO67" i="40" s="1"/>
  <c r="EO66" i="40" s="1"/>
  <c r="EO65" i="40" s="1"/>
  <c r="EO64" i="40" s="1"/>
  <c r="EO63" i="40" s="1"/>
  <c r="EO62" i="40" s="1"/>
  <c r="EO61" i="40" s="1"/>
  <c r="EO60" i="40" s="1"/>
  <c r="EP90" i="40"/>
  <c r="EP89" i="40" s="1"/>
  <c r="EP88" i="40" s="1"/>
  <c r="EP87" i="40" s="1"/>
  <c r="EP86" i="40" s="1"/>
  <c r="EQ90" i="40"/>
  <c r="EQ89" i="40" s="1"/>
  <c r="EQ88" i="40" s="1"/>
  <c r="EQ87" i="40" s="1"/>
  <c r="EQ86" i="40" s="1"/>
  <c r="EQ85" i="40" s="1"/>
  <c r="EQ84" i="40" s="1"/>
  <c r="EQ83" i="40" s="1"/>
  <c r="EQ82" i="40" s="1"/>
  <c r="EQ81" i="40" s="1"/>
  <c r="EQ80" i="40" s="1"/>
  <c r="EQ79" i="40" s="1"/>
  <c r="EQ78" i="40" s="1"/>
  <c r="EQ77" i="40" s="1"/>
  <c r="EQ76" i="40" s="1"/>
  <c r="EQ75" i="40" s="1"/>
  <c r="EQ74" i="40" s="1"/>
  <c r="EQ73" i="40" s="1"/>
  <c r="EQ72" i="40" s="1"/>
  <c r="EQ71" i="40" s="1"/>
  <c r="EQ70" i="40" s="1"/>
  <c r="EQ69" i="40" s="1"/>
  <c r="EQ68" i="40" s="1"/>
  <c r="EQ67" i="40" s="1"/>
  <c r="EQ66" i="40" s="1"/>
  <c r="EQ65" i="40" s="1"/>
  <c r="EQ64" i="40" s="1"/>
  <c r="EQ63" i="40" s="1"/>
  <c r="EQ62" i="40" s="1"/>
  <c r="EQ61" i="40" s="1"/>
  <c r="EQ60" i="40" s="1"/>
  <c r="ER90" i="40"/>
  <c r="ER89" i="40" s="1"/>
  <c r="ER88" i="40" s="1"/>
  <c r="ER87" i="40" s="1"/>
  <c r="ER86" i="40" s="1"/>
  <c r="ER85" i="40" s="1"/>
  <c r="ER84" i="40" s="1"/>
  <c r="ER83" i="40" s="1"/>
  <c r="ER82" i="40" s="1"/>
  <c r="ER81" i="40" s="1"/>
  <c r="ER80" i="40" s="1"/>
  <c r="ER79" i="40" s="1"/>
  <c r="ER78" i="40" s="1"/>
  <c r="ER77" i="40" s="1"/>
  <c r="ER76" i="40" s="1"/>
  <c r="ER75" i="40" s="1"/>
  <c r="ER74" i="40" s="1"/>
  <c r="ER73" i="40" s="1"/>
  <c r="ER72" i="40" s="1"/>
  <c r="ER71" i="40" s="1"/>
  <c r="ER70" i="40" s="1"/>
  <c r="ER69" i="40" s="1"/>
  <c r="ER68" i="40" s="1"/>
  <c r="ER67" i="40" s="1"/>
  <c r="ER66" i="40" s="1"/>
  <c r="ER65" i="40" s="1"/>
  <c r="ER64" i="40" s="1"/>
  <c r="ER63" i="40" s="1"/>
  <c r="ER62" i="40" s="1"/>
  <c r="ER61" i="40" s="1"/>
  <c r="ER60" i="40" s="1"/>
  <c r="ES90" i="40"/>
  <c r="ES89" i="40" s="1"/>
  <c r="ES88" i="40" s="1"/>
  <c r="ES87" i="40" s="1"/>
  <c r="ES86" i="40" s="1"/>
  <c r="ES85" i="40" s="1"/>
  <c r="ES84" i="40" s="1"/>
  <c r="ES83" i="40" s="1"/>
  <c r="ES82" i="40" s="1"/>
  <c r="ES81" i="40" s="1"/>
  <c r="ES80" i="40" s="1"/>
  <c r="ES79" i="40" s="1"/>
  <c r="ES78" i="40" s="1"/>
  <c r="ES77" i="40" s="1"/>
  <c r="ES76" i="40" s="1"/>
  <c r="ES75" i="40" s="1"/>
  <c r="ES74" i="40" s="1"/>
  <c r="ES73" i="40" s="1"/>
  <c r="ES72" i="40" s="1"/>
  <c r="ES71" i="40" s="1"/>
  <c r="ES70" i="40" s="1"/>
  <c r="ES69" i="40" s="1"/>
  <c r="ES68" i="40" s="1"/>
  <c r="ES67" i="40" s="1"/>
  <c r="ES66" i="40" s="1"/>
  <c r="ES65" i="40" s="1"/>
  <c r="ES64" i="40" s="1"/>
  <c r="ES63" i="40" s="1"/>
  <c r="ES62" i="40" s="1"/>
  <c r="ES61" i="40" s="1"/>
  <c r="ES60" i="40" s="1"/>
  <c r="EU90" i="40"/>
  <c r="EU89" i="40" s="1"/>
  <c r="EU88" i="40" s="1"/>
  <c r="EU87" i="40" s="1"/>
  <c r="EU86" i="40" s="1"/>
  <c r="EU85" i="40" s="1"/>
  <c r="EU84" i="40" s="1"/>
  <c r="EU83" i="40" s="1"/>
  <c r="EU82" i="40" s="1"/>
  <c r="EU81" i="40" s="1"/>
  <c r="EU80" i="40" s="1"/>
  <c r="EU79" i="40" s="1"/>
  <c r="EU78" i="40" s="1"/>
  <c r="EU77" i="40" s="1"/>
  <c r="EU76" i="40" s="1"/>
  <c r="EU75" i="40" s="1"/>
  <c r="EU74" i="40" s="1"/>
  <c r="EU73" i="40" s="1"/>
  <c r="EU72" i="40" s="1"/>
  <c r="EU71" i="40" s="1"/>
  <c r="EU70" i="40" s="1"/>
  <c r="EU69" i="40" s="1"/>
  <c r="EU68" i="40" s="1"/>
  <c r="EU67" i="40" s="1"/>
  <c r="EU66" i="40" s="1"/>
  <c r="EU65" i="40" s="1"/>
  <c r="EU64" i="40" s="1"/>
  <c r="EU63" i="40" s="1"/>
  <c r="EU62" i="40" s="1"/>
  <c r="EU61" i="40" s="1"/>
  <c r="EU60" i="40" s="1"/>
  <c r="EN90" i="40"/>
  <c r="EN89" i="40" s="1"/>
  <c r="EN88" i="40" s="1"/>
  <c r="EN87" i="40" s="1"/>
  <c r="EN86" i="40" s="1"/>
  <c r="EN85" i="40" s="1"/>
  <c r="EN84" i="40" s="1"/>
  <c r="EN83" i="40" s="1"/>
  <c r="EN82" i="40" s="1"/>
  <c r="EN81" i="40" s="1"/>
  <c r="EN80" i="40" s="1"/>
  <c r="EN79" i="40" s="1"/>
  <c r="EN78" i="40" s="1"/>
  <c r="EN77" i="40" s="1"/>
  <c r="EN76" i="40" s="1"/>
  <c r="EN75" i="40" s="1"/>
  <c r="EN74" i="40" s="1"/>
  <c r="EN73" i="40" s="1"/>
  <c r="EN72" i="40" s="1"/>
  <c r="EN71" i="40" s="1"/>
  <c r="EN70" i="40" s="1"/>
  <c r="EN69" i="40" s="1"/>
  <c r="EN68" i="40" s="1"/>
  <c r="EN67" i="40" s="1"/>
  <c r="EN66" i="40" s="1"/>
  <c r="EN65" i="40" s="1"/>
  <c r="EN64" i="40" s="1"/>
  <c r="EN63" i="40" s="1"/>
  <c r="EN62" i="40" s="1"/>
  <c r="EN61" i="40" s="1"/>
  <c r="EN60" i="40" s="1"/>
  <c r="EV59" i="40"/>
  <c r="EU59" i="40"/>
  <c r="ET59" i="40"/>
  <c r="ES59" i="40"/>
  <c r="ER59" i="40"/>
  <c r="EQ59" i="40"/>
  <c r="EP59" i="40"/>
  <c r="EO59" i="40"/>
  <c r="EN59" i="40"/>
  <c r="EK59" i="40"/>
  <c r="EJ59" i="40"/>
  <c r="EI59" i="40"/>
  <c r="EH59" i="40"/>
  <c r="EG59" i="40"/>
  <c r="EF59" i="40"/>
  <c r="EE59" i="40"/>
  <c r="ED59" i="40"/>
  <c r="EC59" i="40"/>
  <c r="AY35" i="43"/>
  <c r="CY35" i="43" s="1"/>
  <c r="AY34" i="43"/>
  <c r="CY34" i="43" s="1"/>
  <c r="AY33" i="43"/>
  <c r="CY33" i="43" s="1"/>
  <c r="AY32" i="43"/>
  <c r="CY32" i="43" s="1"/>
  <c r="AY31" i="43"/>
  <c r="CY31" i="43" s="1"/>
  <c r="AY30" i="43"/>
  <c r="CY30" i="43" s="1"/>
  <c r="AP11" i="43"/>
  <c r="ER11" i="43" s="1"/>
  <c r="AP10" i="43"/>
  <c r="ER10" i="43" s="1"/>
  <c r="AP9" i="43"/>
  <c r="ER9" i="43" s="1"/>
  <c r="AP8" i="43"/>
  <c r="ER8" i="43" s="1"/>
  <c r="AP7" i="43"/>
  <c r="ER7" i="43" s="1"/>
  <c r="AP6" i="43"/>
  <c r="ER6" i="43" s="1"/>
  <c r="AP5" i="43"/>
  <c r="ER5" i="43" s="1"/>
  <c r="AP4" i="43"/>
  <c r="ER4" i="43" s="1"/>
  <c r="AP3" i="43"/>
  <c r="ER3" i="43" s="1"/>
  <c r="AK11" i="43"/>
  <c r="EK11" i="43" s="1"/>
  <c r="AK10" i="43"/>
  <c r="EK10" i="43" s="1"/>
  <c r="AK9" i="43"/>
  <c r="EK9" i="43" s="1"/>
  <c r="AK8" i="43"/>
  <c r="EK8" i="43" s="1"/>
  <c r="AK7" i="43"/>
  <c r="EK7" i="43" s="1"/>
  <c r="AK6" i="43"/>
  <c r="EK6" i="43" s="1"/>
  <c r="AK5" i="43"/>
  <c r="EK5" i="43" s="1"/>
  <c r="AK4" i="43"/>
  <c r="EK4" i="43" s="1"/>
  <c r="AY29" i="43"/>
  <c r="CY29" i="43" s="1"/>
  <c r="AY28" i="43"/>
  <c r="CY28" i="43" s="1"/>
  <c r="AY27" i="43"/>
  <c r="CY27" i="43" s="1"/>
  <c r="AK3" i="43"/>
  <c r="EK3" i="43" s="1"/>
  <c r="BY34" i="43"/>
  <c r="BX34" i="43"/>
  <c r="BW34" i="43"/>
  <c r="BV34" i="43"/>
  <c r="BU34" i="43"/>
  <c r="BT34" i="43"/>
  <c r="BS34" i="43"/>
  <c r="BR34" i="43"/>
  <c r="BQ34" i="43"/>
  <c r="K34" i="43"/>
  <c r="J34" i="43"/>
  <c r="I34" i="43"/>
  <c r="H34" i="43"/>
  <c r="G34" i="43"/>
  <c r="F34" i="43"/>
  <c r="E34" i="43"/>
  <c r="D34" i="43"/>
  <c r="C34" i="43"/>
  <c r="BD22" i="40"/>
  <c r="BC22" i="40"/>
  <c r="BB22" i="40"/>
  <c r="BA22" i="40"/>
  <c r="AZ22" i="40"/>
  <c r="AY22" i="40"/>
  <c r="AX22" i="40"/>
  <c r="AW22" i="40"/>
  <c r="AV22" i="40"/>
  <c r="CH30" i="40"/>
  <c r="CG30" i="40"/>
  <c r="CF30" i="40"/>
  <c r="CE30" i="40"/>
  <c r="CD30" i="40"/>
  <c r="CC30" i="40"/>
  <c r="CB30" i="40"/>
  <c r="CA30" i="40"/>
  <c r="BZ30" i="40"/>
  <c r="DT35" i="40"/>
  <c r="DS35" i="40"/>
  <c r="DR35" i="40"/>
  <c r="DQ35" i="40"/>
  <c r="DP35" i="40"/>
  <c r="DO35" i="40"/>
  <c r="DN35" i="40"/>
  <c r="DM35" i="40"/>
  <c r="DL35" i="40"/>
  <c r="DT21" i="40"/>
  <c r="DS21" i="40"/>
  <c r="DR21" i="40"/>
  <c r="DQ21" i="40"/>
  <c r="DP21" i="40"/>
  <c r="DO21" i="40"/>
  <c r="DN21" i="40"/>
  <c r="DM21" i="40"/>
  <c r="DL21" i="40"/>
  <c r="AF22" i="40"/>
  <c r="AE22" i="40"/>
  <c r="AD22" i="40"/>
  <c r="AC22" i="40"/>
  <c r="AB22" i="40"/>
  <c r="AA22" i="40"/>
  <c r="Z22" i="40"/>
  <c r="Y22" i="40"/>
  <c r="X22" i="40"/>
  <c r="EV54" i="40"/>
  <c r="EU54" i="40"/>
  <c r="ET54" i="40"/>
  <c r="ES54" i="40"/>
  <c r="ER54" i="40"/>
  <c r="EQ54" i="40"/>
  <c r="EP54" i="40"/>
  <c r="EO54" i="40"/>
  <c r="EN54" i="40"/>
  <c r="AS22" i="40"/>
  <c r="AR22" i="40"/>
  <c r="AQ22" i="40"/>
  <c r="AP22" i="40"/>
  <c r="AO22" i="40"/>
  <c r="AN22" i="40"/>
  <c r="AM22" i="40"/>
  <c r="AL22" i="40"/>
  <c r="AK22" i="40"/>
  <c r="CH25" i="40"/>
  <c r="CG25" i="40"/>
  <c r="CF25" i="40"/>
  <c r="CE25" i="40"/>
  <c r="CD25" i="40"/>
  <c r="CC25" i="40"/>
  <c r="CB25" i="40"/>
  <c r="CA25" i="40"/>
  <c r="BZ25" i="40"/>
  <c r="DK35" i="40"/>
  <c r="DJ35" i="40"/>
  <c r="DI35" i="40"/>
  <c r="DH35" i="40"/>
  <c r="DG35" i="40"/>
  <c r="DF35" i="40"/>
  <c r="DE35" i="40"/>
  <c r="DD35" i="40"/>
  <c r="DC35" i="40"/>
  <c r="DH21" i="40"/>
  <c r="DG21" i="40"/>
  <c r="DF21" i="40"/>
  <c r="DE21" i="40"/>
  <c r="DD21" i="40"/>
  <c r="DC21" i="40"/>
  <c r="DB21" i="40"/>
  <c r="DA21" i="40"/>
  <c r="CZ21" i="40"/>
  <c r="U22" i="40"/>
  <c r="T22" i="40"/>
  <c r="S22" i="40"/>
  <c r="R22" i="40"/>
  <c r="Q22" i="40"/>
  <c r="P22" i="40"/>
  <c r="O22" i="40"/>
  <c r="N22" i="40"/>
  <c r="M22" i="40"/>
  <c r="EK54" i="40"/>
  <c r="EJ54" i="40"/>
  <c r="EI54" i="40"/>
  <c r="EH54" i="40"/>
  <c r="EG54" i="40"/>
  <c r="EF54" i="40"/>
  <c r="EE54" i="40"/>
  <c r="ED54" i="40"/>
  <c r="EC54" i="40"/>
  <c r="EV21" i="40"/>
  <c r="EU21" i="40"/>
  <c r="ET21" i="40"/>
  <c r="ES21" i="40"/>
  <c r="ER21" i="40"/>
  <c r="EQ21" i="40"/>
  <c r="EP21" i="40"/>
  <c r="EO21" i="40"/>
  <c r="EN21" i="40"/>
  <c r="EK21" i="40"/>
  <c r="EJ21" i="40"/>
  <c r="EI21" i="40"/>
  <c r="EH21" i="40"/>
  <c r="EG21" i="40"/>
  <c r="EF21" i="40"/>
  <c r="EE21" i="40"/>
  <c r="ED21" i="40"/>
  <c r="EC21" i="40"/>
  <c r="CB3" i="16"/>
  <c r="DG23" i="16" l="1"/>
  <c r="DG25" i="16"/>
  <c r="DW27" i="43"/>
  <c r="CP18" i="43"/>
  <c r="AB43" i="16"/>
  <c r="X46" i="16" s="1"/>
  <c r="CC3" i="16"/>
  <c r="M1" i="89"/>
  <c r="N1" i="89" s="1" a="1"/>
  <c r="N1" i="89" s="1"/>
  <c r="L1" i="89"/>
  <c r="AM1" i="89"/>
  <c r="AN1" i="89" s="1" a="1"/>
  <c r="AN1" i="89" s="1"/>
  <c r="AL1" i="89"/>
  <c r="CG4" i="43"/>
  <c r="CG19" i="70"/>
  <c r="CG18" i="70"/>
  <c r="CG17" i="70"/>
  <c r="CG20" i="70"/>
  <c r="AA41" i="67" a="1"/>
  <c r="AA41" i="67" s="1"/>
  <c r="X42" i="67" s="1"/>
  <c r="ET104" i="40"/>
  <c r="EU104" i="40"/>
  <c r="EP104" i="40"/>
  <c r="ER104" i="40"/>
  <c r="EN104" i="40"/>
  <c r="EV104" i="40"/>
  <c r="ES104" i="40"/>
  <c r="EO104" i="40"/>
  <c r="CD4" i="43"/>
  <c r="AX21" i="43"/>
  <c r="EI112" i="40"/>
  <c r="EI107" i="40"/>
  <c r="EI110" i="40"/>
  <c r="EI111" i="40"/>
  <c r="EI109" i="40"/>
  <c r="EI105" i="40"/>
  <c r="EI106" i="40"/>
  <c r="R29" i="43" s="1"/>
  <c r="CN29" i="43" s="1"/>
  <c r="CT29" i="43" s="1"/>
  <c r="EI108" i="40"/>
  <c r="CM35" i="16"/>
  <c r="CR35" i="16"/>
  <c r="CN77" i="16" s="1"/>
  <c r="CQ35" i="16"/>
  <c r="CP35" i="16"/>
  <c r="CO35" i="16"/>
  <c r="CN35" i="16"/>
  <c r="ET121" i="40"/>
  <c r="EU121" i="40"/>
  <c r="EV121" i="40"/>
  <c r="EO121" i="40"/>
  <c r="EN121" i="40"/>
  <c r="EP121" i="40"/>
  <c r="EQ121" i="40"/>
  <c r="ER121" i="40"/>
  <c r="ES121" i="40"/>
  <c r="ES115" i="40"/>
  <c r="ET115" i="40"/>
  <c r="EU115" i="40"/>
  <c r="EN115" i="40"/>
  <c r="EP115" i="40"/>
  <c r="EV115" i="40"/>
  <c r="EO115" i="40"/>
  <c r="EQ115" i="40"/>
  <c r="ER115" i="40"/>
  <c r="BG104" i="86"/>
  <c r="CJ4" i="43"/>
  <c r="CM3" i="43"/>
  <c r="CF32" i="77"/>
  <c r="ET86" i="40"/>
  <c r="EG94" i="40"/>
  <c r="EQ94" i="40"/>
  <c r="EF94" i="40"/>
  <c r="EP94" i="40"/>
  <c r="EC94" i="40"/>
  <c r="EE94" i="40"/>
  <c r="EO94" i="40"/>
  <c r="ED94" i="40"/>
  <c r="EN94" i="40"/>
  <c r="EK94" i="40"/>
  <c r="EU95" i="40"/>
  <c r="EJ95" i="40"/>
  <c r="EI95" i="40"/>
  <c r="ER94" i="40"/>
  <c r="ES94" i="40"/>
  <c r="EJ94" i="40"/>
  <c r="EG95" i="40"/>
  <c r="ES95" i="40"/>
  <c r="EI94" i="40"/>
  <c r="EU94" i="40"/>
  <c r="EF95" i="40"/>
  <c r="ER95" i="40"/>
  <c r="EE95" i="40"/>
  <c r="EQ95" i="40"/>
  <c r="EC95" i="40"/>
  <c r="ED95" i="40"/>
  <c r="EP95" i="40"/>
  <c r="EK95" i="40"/>
  <c r="EN95" i="40"/>
  <c r="EO95" i="40"/>
  <c r="A3" i="16"/>
  <c r="A4" i="16"/>
  <c r="A5" i="16"/>
  <c r="A6" i="16"/>
  <c r="A7" i="16"/>
  <c r="A8" i="16"/>
  <c r="A9" i="16"/>
  <c r="A10" i="16"/>
  <c r="A11" i="16"/>
  <c r="A12" i="16"/>
  <c r="A13" i="16"/>
  <c r="A14" i="16"/>
  <c r="A15" i="16"/>
  <c r="A16" i="16"/>
  <c r="A17" i="16"/>
  <c r="A18" i="16"/>
  <c r="A19" i="16"/>
  <c r="A20" i="16"/>
  <c r="A21" i="16"/>
  <c r="A22" i="16"/>
  <c r="A23" i="16"/>
  <c r="A24" i="16"/>
  <c r="A25" i="16"/>
  <c r="A26" i="16"/>
  <c r="A27" i="16"/>
  <c r="A29" i="16"/>
  <c r="A30" i="16"/>
  <c r="A31" i="16"/>
  <c r="A32" i="16"/>
  <c r="A33" i="16"/>
  <c r="CA3" i="16"/>
  <c r="CA4" i="16"/>
  <c r="CA5" i="16"/>
  <c r="CA6" i="16"/>
  <c r="CA7" i="16"/>
  <c r="CA8" i="16"/>
  <c r="CA9" i="16"/>
  <c r="CA10" i="16"/>
  <c r="CA11" i="16"/>
  <c r="CA12" i="16"/>
  <c r="CA13" i="16"/>
  <c r="CA14" i="16"/>
  <c r="CA15" i="16"/>
  <c r="CA16" i="16"/>
  <c r="CA17" i="16"/>
  <c r="CA18" i="16"/>
  <c r="CA19" i="16"/>
  <c r="CA20" i="16"/>
  <c r="CA21" i="16"/>
  <c r="CA22" i="16"/>
  <c r="CA23" i="16"/>
  <c r="CA24" i="16"/>
  <c r="CA25" i="16"/>
  <c r="CA26" i="16"/>
  <c r="CA27" i="16"/>
  <c r="CA28" i="16"/>
  <c r="CA29" i="16"/>
  <c r="CA30" i="16"/>
  <c r="CA31" i="16"/>
  <c r="CA32" i="16"/>
  <c r="CA33" i="16"/>
  <c r="CA22" i="40"/>
  <c r="CB22" i="40"/>
  <c r="CC22" i="40"/>
  <c r="CD22" i="40"/>
  <c r="CE22" i="40"/>
  <c r="CF22" i="40"/>
  <c r="CG22" i="40"/>
  <c r="CH22" i="40"/>
  <c r="CI22" i="40"/>
  <c r="CJ22" i="40"/>
  <c r="CK22" i="40"/>
  <c r="CL22" i="40"/>
  <c r="CM22" i="40"/>
  <c r="CN22" i="40"/>
  <c r="CO22" i="40"/>
  <c r="CP22" i="40"/>
  <c r="CQ22" i="40"/>
  <c r="CR22" i="40"/>
  <c r="CS22" i="40"/>
  <c r="CT22" i="40"/>
  <c r="CU22" i="40"/>
  <c r="CV22" i="40"/>
  <c r="BZ22" i="40"/>
  <c r="CV25" i="40"/>
  <c r="DC9" i="16" l="1"/>
  <c r="BU2" i="43"/>
  <c r="BR2" i="43"/>
  <c r="BR41" i="77" s="1"/>
  <c r="BO42" i="77" s="1"/>
  <c r="DE48" i="16"/>
  <c r="DH48" i="16" s="1"/>
  <c r="W56" i="43" s="1"/>
  <c r="M54" i="71"/>
  <c r="O54" i="71" s="1"/>
  <c r="CT18" i="43"/>
  <c r="AY13" i="16" s="1"/>
  <c r="CN76" i="16"/>
  <c r="CQ76" i="16" s="1"/>
  <c r="CN75" i="16"/>
  <c r="CQ75" i="16" s="1"/>
  <c r="CN74" i="16"/>
  <c r="CQ74" i="16" s="1"/>
  <c r="CN73" i="16"/>
  <c r="CQ73" i="16" s="1"/>
  <c r="CN72" i="16"/>
  <c r="CQ72" i="16" s="1"/>
  <c r="CQ77" i="16"/>
  <c r="CG24" i="70"/>
  <c r="CG23" i="70"/>
  <c r="CG22" i="70"/>
  <c r="EE106" i="40"/>
  <c r="E51" i="43"/>
  <c r="EF105" i="40"/>
  <c r="D55" i="43"/>
  <c r="EF121" i="40"/>
  <c r="BX55" i="43"/>
  <c r="EE116" i="40"/>
  <c r="BS51" i="43"/>
  <c r="EE112" i="40"/>
  <c r="K51" i="43"/>
  <c r="EE107" i="40"/>
  <c r="F51" i="43"/>
  <c r="EF107" i="40"/>
  <c r="F55" i="43"/>
  <c r="EE114" i="40"/>
  <c r="BQ51" i="43"/>
  <c r="EE117" i="40"/>
  <c r="BT51" i="43"/>
  <c r="EF117" i="40"/>
  <c r="BT55" i="43"/>
  <c r="EF106" i="40"/>
  <c r="E55" i="43"/>
  <c r="EE105" i="40"/>
  <c r="D51" i="43"/>
  <c r="EE108" i="40"/>
  <c r="G51" i="43"/>
  <c r="EF108" i="40"/>
  <c r="G55" i="43"/>
  <c r="EE121" i="40"/>
  <c r="BB34" i="43" s="1"/>
  <c r="DC34" i="43" s="1"/>
  <c r="DI34" i="43" s="1"/>
  <c r="BX51" i="43"/>
  <c r="EF114" i="40"/>
  <c r="BQ55" i="43"/>
  <c r="EF112" i="40"/>
  <c r="K55" i="43"/>
  <c r="EF116" i="40"/>
  <c r="BS55" i="43"/>
  <c r="EF111" i="40"/>
  <c r="J55" i="43"/>
  <c r="EE111" i="40"/>
  <c r="J51" i="43"/>
  <c r="EF119" i="40"/>
  <c r="BV55" i="43"/>
  <c r="EE119" i="40"/>
  <c r="BB32" i="43" s="1"/>
  <c r="DC32" i="43" s="1"/>
  <c r="DI32" i="43" s="1"/>
  <c r="BV51" i="43"/>
  <c r="EF115" i="40"/>
  <c r="BR55" i="43"/>
  <c r="EE115" i="40"/>
  <c r="BR51" i="43"/>
  <c r="EE118" i="40"/>
  <c r="BU51" i="43"/>
  <c r="EF118" i="40"/>
  <c r="BU55" i="43"/>
  <c r="EE110" i="40"/>
  <c r="R33" i="43" s="1"/>
  <c r="CN33" i="43" s="1"/>
  <c r="CT33" i="43" s="1"/>
  <c r="I51" i="43"/>
  <c r="EF110" i="40"/>
  <c r="I55" i="43"/>
  <c r="EE104" i="40"/>
  <c r="C51" i="43"/>
  <c r="EF104" i="40"/>
  <c r="C55" i="43"/>
  <c r="EI104" i="40"/>
  <c r="AD29" i="43"/>
  <c r="AD6" i="77" s="1"/>
  <c r="CG21" i="70"/>
  <c r="EI121" i="40"/>
  <c r="EI115" i="40"/>
  <c r="BO104" i="86"/>
  <c r="BD12" i="43"/>
  <c r="X12" i="43"/>
  <c r="BK12" i="43"/>
  <c r="Q12" i="43"/>
  <c r="BC12" i="43"/>
  <c r="Y12" i="43"/>
  <c r="AU12" i="43"/>
  <c r="AG12" i="43"/>
  <c r="BL12" i="43"/>
  <c r="P12" i="43"/>
  <c r="AV12" i="43"/>
  <c r="AF12" i="43"/>
  <c r="BJ12" i="43"/>
  <c r="R12" i="43"/>
  <c r="BB12" i="43"/>
  <c r="Z12" i="43"/>
  <c r="AT12" i="43"/>
  <c r="AH12" i="43"/>
  <c r="BI12" i="43"/>
  <c r="S12" i="43"/>
  <c r="AA12" i="43"/>
  <c r="BA12" i="43"/>
  <c r="AI12" i="43"/>
  <c r="AS12" i="43"/>
  <c r="T12" i="43"/>
  <c r="BH12" i="43"/>
  <c r="AC12" i="43"/>
  <c r="AY12" i="43"/>
  <c r="AZ12" i="43"/>
  <c r="AB12" i="43"/>
  <c r="BN12" i="43"/>
  <c r="N12" i="43"/>
  <c r="CM4" i="43"/>
  <c r="CP3" i="43"/>
  <c r="AJ12" i="43"/>
  <c r="AR12" i="43"/>
  <c r="U12" i="43"/>
  <c r="BG12" i="43"/>
  <c r="BF12" i="43"/>
  <c r="V12" i="43"/>
  <c r="AX12" i="43"/>
  <c r="AD12" i="43"/>
  <c r="BM12" i="43"/>
  <c r="O12" i="43"/>
  <c r="BE12" i="43"/>
  <c r="W12" i="43"/>
  <c r="AW12" i="43"/>
  <c r="AE12" i="43"/>
  <c r="CN32" i="77"/>
  <c r="ET85" i="40"/>
  <c r="B41" i="40"/>
  <c r="EN22" i="40"/>
  <c r="EO22" i="40"/>
  <c r="EP22" i="40"/>
  <c r="EQ22" i="40"/>
  <c r="ER22" i="40"/>
  <c r="ES22" i="40"/>
  <c r="ET22" i="40"/>
  <c r="EU22" i="40"/>
  <c r="EV22" i="40"/>
  <c r="EC22" i="40"/>
  <c r="ED22" i="40"/>
  <c r="EE22" i="40"/>
  <c r="EF22" i="40"/>
  <c r="EG22" i="40"/>
  <c r="EH22" i="40"/>
  <c r="EI22" i="40"/>
  <c r="EJ22" i="40"/>
  <c r="EK22" i="40"/>
  <c r="E28" i="40" l="1"/>
  <c r="F28" i="40"/>
  <c r="D32" i="40"/>
  <c r="E29" i="40"/>
  <c r="F31" i="40"/>
  <c r="D29" i="40"/>
  <c r="E31" i="40"/>
  <c r="F33" i="40"/>
  <c r="D31" i="40"/>
  <c r="E33" i="40"/>
  <c r="F30" i="40"/>
  <c r="D33" i="40"/>
  <c r="E30" i="40"/>
  <c r="F29" i="40"/>
  <c r="F32" i="40"/>
  <c r="D30" i="40"/>
  <c r="E32" i="40"/>
  <c r="C23" i="40"/>
  <c r="C35" i="40"/>
  <c r="F34" i="40" s="1"/>
  <c r="E49" i="40"/>
  <c r="E50" i="40" s="1"/>
  <c r="E51" i="40" s="1"/>
  <c r="E52" i="40" s="1"/>
  <c r="E53" i="40" s="1"/>
  <c r="E54" i="40" s="1"/>
  <c r="BN32" i="43"/>
  <c r="AW6" i="77" s="1"/>
  <c r="AC45" i="43"/>
  <c r="CS26" i="69"/>
  <c r="CS28" i="69"/>
  <c r="CS30" i="69"/>
  <c r="CS32" i="69"/>
  <c r="CS34" i="69"/>
  <c r="DB19" i="82"/>
  <c r="X99" i="16"/>
  <c r="X114" i="16"/>
  <c r="CE66" i="69" a="1"/>
  <c r="CE66" i="69" s="1"/>
  <c r="CE67" i="69" s="1" a="1"/>
  <c r="CE67" i="69" s="1"/>
  <c r="CE68" i="69" s="1" a="1"/>
  <c r="CE68" i="69" s="1"/>
  <c r="CG28" i="70"/>
  <c r="CG26" i="70"/>
  <c r="CG27" i="70"/>
  <c r="AK1" i="69"/>
  <c r="FY54" i="40"/>
  <c r="AD33" i="43"/>
  <c r="AH6" i="77" s="1"/>
  <c r="FY50" i="40"/>
  <c r="FY52" i="40"/>
  <c r="FY46" i="40"/>
  <c r="FY48" i="40"/>
  <c r="AZ52" i="16"/>
  <c r="AS52" i="16"/>
  <c r="X52" i="16"/>
  <c r="AE52" i="16"/>
  <c r="AL52" i="16"/>
  <c r="CG25" i="70"/>
  <c r="CD67" i="82"/>
  <c r="CD65" i="82"/>
  <c r="CD71" i="82"/>
  <c r="CD63" i="82"/>
  <c r="CD69" i="82"/>
  <c r="CD73" i="82"/>
  <c r="CG32" i="69"/>
  <c r="CH30" i="69"/>
  <c r="CG28" i="69"/>
  <c r="CH34" i="69"/>
  <c r="CG26" i="69"/>
  <c r="CH32" i="69"/>
  <c r="CG30" i="69"/>
  <c r="CG34" i="69"/>
  <c r="CH36" i="69"/>
  <c r="CH28" i="69"/>
  <c r="CG36" i="69"/>
  <c r="CH26" i="69"/>
  <c r="BO6" i="77"/>
  <c r="BF13" i="16"/>
  <c r="BN34" i="43"/>
  <c r="AY6" i="77" s="1"/>
  <c r="CP4" i="43"/>
  <c r="CS3" i="43"/>
  <c r="CE32" i="77"/>
  <c r="EM55" i="40"/>
  <c r="EB55" i="40"/>
  <c r="B1" i="69"/>
  <c r="ET84" i="40"/>
  <c r="B35" i="40" l="1"/>
  <c r="E34" i="40"/>
  <c r="D34" i="40"/>
  <c r="B34" i="40"/>
  <c r="G32" i="40"/>
  <c r="B33" i="40"/>
  <c r="G31" i="40"/>
  <c r="G33" i="40"/>
  <c r="B32" i="40"/>
  <c r="G30" i="40"/>
  <c r="B31" i="40"/>
  <c r="G29" i="40"/>
  <c r="B30" i="40"/>
  <c r="B29" i="40"/>
  <c r="B23" i="40"/>
  <c r="CZ36" i="69"/>
  <c r="O18" i="16" s="1"/>
  <c r="CG30" i="70"/>
  <c r="CG31" i="70"/>
  <c r="CG29" i="70"/>
  <c r="CG32" i="70"/>
  <c r="AO56" i="43"/>
  <c r="BN7" i="77"/>
  <c r="EB78" i="69"/>
  <c r="EB84" i="69"/>
  <c r="EB76" i="69"/>
  <c r="EB80" i="69"/>
  <c r="EB82" i="69"/>
  <c r="EB74" i="69"/>
  <c r="EB92" i="69"/>
  <c r="EB86" i="69"/>
  <c r="EB72" i="69"/>
  <c r="EB88" i="69"/>
  <c r="EB90" i="69"/>
  <c r="EB70" i="69"/>
  <c r="DW72" i="69"/>
  <c r="DW88" i="69"/>
  <c r="DW74" i="69"/>
  <c r="DW90" i="69"/>
  <c r="DW92" i="69"/>
  <c r="DW78" i="69"/>
  <c r="DW80" i="69"/>
  <c r="DW82" i="69"/>
  <c r="DW84" i="69"/>
  <c r="DW76" i="69"/>
  <c r="DW86" i="69"/>
  <c r="DW70" i="69"/>
  <c r="CK45" i="69"/>
  <c r="CK47" i="69"/>
  <c r="CK51" i="69"/>
  <c r="CK53" i="69"/>
  <c r="CK49" i="69"/>
  <c r="CK43" i="69"/>
  <c r="CG45" i="69"/>
  <c r="CG61" i="69"/>
  <c r="CG47" i="69"/>
  <c r="CG51" i="69"/>
  <c r="CG67" i="69"/>
  <c r="CG53" i="69"/>
  <c r="CG69" i="69"/>
  <c r="CG73" i="69"/>
  <c r="CG49" i="69"/>
  <c r="CG55" i="69"/>
  <c r="CG71" i="69"/>
  <c r="CG57" i="69"/>
  <c r="CG59" i="69"/>
  <c r="CG75" i="69"/>
  <c r="CG63" i="69"/>
  <c r="CG65" i="69"/>
  <c r="CG43" i="69"/>
  <c r="CN30" i="69"/>
  <c r="ER35" i="69" s="1"/>
  <c r="CN28" i="69"/>
  <c r="CS4" i="43"/>
  <c r="CV3" i="43"/>
  <c r="CO32" i="77"/>
  <c r="ET83" i="40"/>
  <c r="EE23" i="40"/>
  <c r="EO23" i="40"/>
  <c r="EP23" i="40"/>
  <c r="EQ23" i="40"/>
  <c r="ER23" i="40"/>
  <c r="ES23" i="40"/>
  <c r="ET23" i="40"/>
  <c r="EU23" i="40"/>
  <c r="EV23" i="40"/>
  <c r="EO24" i="40"/>
  <c r="EP24" i="40"/>
  <c r="EQ24" i="40"/>
  <c r="ER24" i="40"/>
  <c r="ES24" i="40"/>
  <c r="ET24" i="40"/>
  <c r="EU24" i="40"/>
  <c r="EV24" i="40"/>
  <c r="EO25" i="40"/>
  <c r="EP25" i="40"/>
  <c r="EQ25" i="40"/>
  <c r="ER25" i="40"/>
  <c r="ES25" i="40"/>
  <c r="ET25" i="40"/>
  <c r="EU25" i="40"/>
  <c r="EV25" i="40"/>
  <c r="EO26" i="40"/>
  <c r="EP26" i="40"/>
  <c r="EQ26" i="40"/>
  <c r="ER26" i="40"/>
  <c r="ES26" i="40"/>
  <c r="ET26" i="40"/>
  <c r="EU26" i="40"/>
  <c r="EV26" i="40"/>
  <c r="EO27" i="40"/>
  <c r="EP27" i="40"/>
  <c r="EQ27" i="40"/>
  <c r="ER27" i="40"/>
  <c r="ES27" i="40"/>
  <c r="ET27" i="40"/>
  <c r="EU27" i="40"/>
  <c r="EV27" i="40"/>
  <c r="EO28" i="40"/>
  <c r="EP28" i="40"/>
  <c r="EQ28" i="40"/>
  <c r="ER28" i="40"/>
  <c r="ES28" i="40"/>
  <c r="ET28" i="40"/>
  <c r="EU28" i="40"/>
  <c r="EV28" i="40"/>
  <c r="EO29" i="40"/>
  <c r="EP29" i="40"/>
  <c r="EQ29" i="40"/>
  <c r="ER29" i="40"/>
  <c r="ES29" i="40"/>
  <c r="ET29" i="40"/>
  <c r="EU29" i="40"/>
  <c r="EV29" i="40"/>
  <c r="EO30" i="40"/>
  <c r="EP30" i="40"/>
  <c r="EQ30" i="40"/>
  <c r="ER30" i="40"/>
  <c r="ES30" i="40"/>
  <c r="ET30" i="40"/>
  <c r="EU30" i="40"/>
  <c r="EV30" i="40"/>
  <c r="EO31" i="40"/>
  <c r="EP31" i="40"/>
  <c r="EQ31" i="40"/>
  <c r="ER31" i="40"/>
  <c r="ES31" i="40"/>
  <c r="ET31" i="40"/>
  <c r="EU31" i="40"/>
  <c r="EV31" i="40"/>
  <c r="EO32" i="40"/>
  <c r="EP32" i="40"/>
  <c r="EQ32" i="40"/>
  <c r="ER32" i="40"/>
  <c r="ES32" i="40"/>
  <c r="ET32" i="40"/>
  <c r="EU32" i="40"/>
  <c r="EV32" i="40"/>
  <c r="EO33" i="40"/>
  <c r="EP33" i="40"/>
  <c r="EQ33" i="40"/>
  <c r="ER33" i="40"/>
  <c r="ES33" i="40"/>
  <c r="ET33" i="40"/>
  <c r="EU33" i="40"/>
  <c r="EV33" i="40"/>
  <c r="EO34" i="40"/>
  <c r="EP34" i="40"/>
  <c r="EQ34" i="40"/>
  <c r="ER34" i="40"/>
  <c r="ES34" i="40"/>
  <c r="ET34" i="40"/>
  <c r="EU34" i="40"/>
  <c r="EV34" i="40"/>
  <c r="EO35" i="40"/>
  <c r="EP35" i="40"/>
  <c r="EQ35" i="40"/>
  <c r="ER35" i="40"/>
  <c r="ES35" i="40"/>
  <c r="ET35" i="40"/>
  <c r="EU35" i="40"/>
  <c r="EV35" i="40"/>
  <c r="EO36" i="40"/>
  <c r="EP36" i="40"/>
  <c r="EQ36" i="40"/>
  <c r="ER36" i="40"/>
  <c r="ES36" i="40"/>
  <c r="ET36" i="40"/>
  <c r="EU36" i="40"/>
  <c r="EV36" i="40"/>
  <c r="EO37" i="40"/>
  <c r="EP37" i="40"/>
  <c r="EQ37" i="40"/>
  <c r="ER37" i="40"/>
  <c r="ES37" i="40"/>
  <c r="ET37" i="40"/>
  <c r="EU37" i="40"/>
  <c r="EV37" i="40"/>
  <c r="EO38" i="40"/>
  <c r="EP38" i="40"/>
  <c r="EQ38" i="40"/>
  <c r="ER38" i="40"/>
  <c r="ES38" i="40"/>
  <c r="ET38" i="40"/>
  <c r="EU38" i="40"/>
  <c r="EV38" i="40"/>
  <c r="EO39" i="40"/>
  <c r="EP39" i="40"/>
  <c r="EQ39" i="40"/>
  <c r="ER39" i="40"/>
  <c r="ES39" i="40"/>
  <c r="ET39" i="40"/>
  <c r="EU39" i="40"/>
  <c r="EV39" i="40"/>
  <c r="EO40" i="40"/>
  <c r="EP40" i="40"/>
  <c r="EQ40" i="40"/>
  <c r="ER40" i="40"/>
  <c r="ES40" i="40"/>
  <c r="ET40" i="40"/>
  <c r="EU40" i="40"/>
  <c r="EV40" i="40"/>
  <c r="EO41" i="40"/>
  <c r="EP41" i="40"/>
  <c r="EQ41" i="40"/>
  <c r="ER41" i="40"/>
  <c r="ES41" i="40"/>
  <c r="ET41" i="40"/>
  <c r="EU41" i="40"/>
  <c r="EV41" i="40"/>
  <c r="EO42" i="40"/>
  <c r="EP42" i="40"/>
  <c r="EQ42" i="40"/>
  <c r="ER42" i="40"/>
  <c r="ES42" i="40"/>
  <c r="ET42" i="40"/>
  <c r="EU42" i="40"/>
  <c r="EV42" i="40"/>
  <c r="EO43" i="40"/>
  <c r="EP43" i="40"/>
  <c r="EQ43" i="40"/>
  <c r="ER43" i="40"/>
  <c r="ES43" i="40"/>
  <c r="ET43" i="40"/>
  <c r="EU43" i="40"/>
  <c r="EV43" i="40"/>
  <c r="EO44" i="40"/>
  <c r="EP44" i="40"/>
  <c r="EQ44" i="40"/>
  <c r="ER44" i="40"/>
  <c r="ES44" i="40"/>
  <c r="ET44" i="40"/>
  <c r="EU44" i="40"/>
  <c r="EV44" i="40"/>
  <c r="EO45" i="40"/>
  <c r="EP45" i="40"/>
  <c r="EQ45" i="40"/>
  <c r="ER45" i="40"/>
  <c r="ES45" i="40"/>
  <c r="ET45" i="40"/>
  <c r="EU45" i="40"/>
  <c r="EV45" i="40"/>
  <c r="EO46" i="40"/>
  <c r="EP46" i="40"/>
  <c r="EQ46" i="40"/>
  <c r="ER46" i="40"/>
  <c r="ES46" i="40"/>
  <c r="ET46" i="40"/>
  <c r="EU46" i="40"/>
  <c r="EV46" i="40"/>
  <c r="EO47" i="40"/>
  <c r="EP47" i="40"/>
  <c r="EQ47" i="40"/>
  <c r="ER47" i="40"/>
  <c r="ES47" i="40"/>
  <c r="ET47" i="40"/>
  <c r="EU47" i="40"/>
  <c r="EV47" i="40"/>
  <c r="EO48" i="40"/>
  <c r="EP48" i="40"/>
  <c r="EQ48" i="40"/>
  <c r="ER48" i="40"/>
  <c r="ES48" i="40"/>
  <c r="ET48" i="40"/>
  <c r="EU48" i="40"/>
  <c r="EV48" i="40"/>
  <c r="EO49" i="40"/>
  <c r="EP49" i="40"/>
  <c r="EQ49" i="40"/>
  <c r="ER49" i="40"/>
  <c r="ES49" i="40"/>
  <c r="ET49" i="40"/>
  <c r="EU49" i="40"/>
  <c r="EV49" i="40"/>
  <c r="EO50" i="40"/>
  <c r="EP50" i="40"/>
  <c r="EQ50" i="40"/>
  <c r="ER50" i="40"/>
  <c r="ES50" i="40"/>
  <c r="ET50" i="40"/>
  <c r="EU50" i="40"/>
  <c r="EV50" i="40"/>
  <c r="EO51" i="40"/>
  <c r="EP51" i="40"/>
  <c r="EQ51" i="40"/>
  <c r="ER51" i="40"/>
  <c r="ES51" i="40"/>
  <c r="ET51" i="40"/>
  <c r="EU51" i="40"/>
  <c r="EV51" i="40"/>
  <c r="EO52" i="40"/>
  <c r="EP52" i="40"/>
  <c r="EQ52" i="40"/>
  <c r="ER52" i="40"/>
  <c r="ES52" i="40"/>
  <c r="ET52" i="40"/>
  <c r="EU52" i="40"/>
  <c r="EV52" i="40"/>
  <c r="EN23" i="40"/>
  <c r="EN24" i="40"/>
  <c r="EN25" i="40"/>
  <c r="EN26" i="40"/>
  <c r="EN27" i="40"/>
  <c r="EN28" i="40"/>
  <c r="EN29" i="40"/>
  <c r="EN30" i="40"/>
  <c r="EN31" i="40"/>
  <c r="EN32" i="40"/>
  <c r="EN33" i="40"/>
  <c r="EN34" i="40"/>
  <c r="EN35" i="40"/>
  <c r="EN36" i="40"/>
  <c r="EN37" i="40"/>
  <c r="EN38" i="40"/>
  <c r="EN39" i="40"/>
  <c r="EN40" i="40"/>
  <c r="EN41" i="40"/>
  <c r="EN42" i="40"/>
  <c r="EN43" i="40"/>
  <c r="EN44" i="40"/>
  <c r="EN45" i="40"/>
  <c r="EN46" i="40"/>
  <c r="EN47" i="40"/>
  <c r="EN48" i="40"/>
  <c r="EN49" i="40"/>
  <c r="EN50" i="40"/>
  <c r="EN51" i="40"/>
  <c r="EN52" i="40"/>
  <c r="ED23" i="40"/>
  <c r="EF23" i="40"/>
  <c r="EG23" i="40"/>
  <c r="EH23" i="40"/>
  <c r="EI23" i="40"/>
  <c r="EJ23" i="40"/>
  <c r="EK23" i="40"/>
  <c r="ED24" i="40"/>
  <c r="EE24" i="40"/>
  <c r="EF24" i="40"/>
  <c r="EG24" i="40"/>
  <c r="EH24" i="40"/>
  <c r="EI24" i="40"/>
  <c r="EJ24" i="40"/>
  <c r="EK24" i="40"/>
  <c r="ED25" i="40"/>
  <c r="EE25" i="40"/>
  <c r="EF25" i="40"/>
  <c r="EG25" i="40"/>
  <c r="EH25" i="40"/>
  <c r="EI25" i="40"/>
  <c r="EJ25" i="40"/>
  <c r="EK25" i="40"/>
  <c r="ED26" i="40"/>
  <c r="EE26" i="40"/>
  <c r="EF26" i="40"/>
  <c r="EG26" i="40"/>
  <c r="EH26" i="40"/>
  <c r="EI26" i="40"/>
  <c r="EJ26" i="40"/>
  <c r="EK26" i="40"/>
  <c r="ED27" i="40"/>
  <c r="EE27" i="40"/>
  <c r="EF27" i="40"/>
  <c r="EG27" i="40"/>
  <c r="EH27" i="40"/>
  <c r="EI27" i="40"/>
  <c r="EJ27" i="40"/>
  <c r="EK27" i="40"/>
  <c r="ED28" i="40"/>
  <c r="EE28" i="40"/>
  <c r="EF28" i="40"/>
  <c r="EG28" i="40"/>
  <c r="EH28" i="40"/>
  <c r="EI28" i="40"/>
  <c r="EJ28" i="40"/>
  <c r="EK28" i="40"/>
  <c r="ED29" i="40"/>
  <c r="EE29" i="40"/>
  <c r="EF29" i="40"/>
  <c r="EG29" i="40"/>
  <c r="EH29" i="40"/>
  <c r="EI29" i="40"/>
  <c r="EJ29" i="40"/>
  <c r="EK29" i="40"/>
  <c r="ED30" i="40"/>
  <c r="EE30" i="40"/>
  <c r="EF30" i="40"/>
  <c r="EG30" i="40"/>
  <c r="EH30" i="40"/>
  <c r="EI30" i="40"/>
  <c r="EJ30" i="40"/>
  <c r="EK30" i="40"/>
  <c r="ED31" i="40"/>
  <c r="EE31" i="40"/>
  <c r="EF31" i="40"/>
  <c r="EG31" i="40"/>
  <c r="EH31" i="40"/>
  <c r="EI31" i="40"/>
  <c r="EJ31" i="40"/>
  <c r="EK31" i="40"/>
  <c r="ED32" i="40"/>
  <c r="EE32" i="40"/>
  <c r="EF32" i="40"/>
  <c r="EG32" i="40"/>
  <c r="EH32" i="40"/>
  <c r="EI32" i="40"/>
  <c r="EJ32" i="40"/>
  <c r="EK32" i="40"/>
  <c r="ED33" i="40"/>
  <c r="EE33" i="40"/>
  <c r="EF33" i="40"/>
  <c r="EG33" i="40"/>
  <c r="EH33" i="40"/>
  <c r="EI33" i="40"/>
  <c r="EJ33" i="40"/>
  <c r="EK33" i="40"/>
  <c r="ED34" i="40"/>
  <c r="EE34" i="40"/>
  <c r="EF34" i="40"/>
  <c r="EG34" i="40"/>
  <c r="EH34" i="40"/>
  <c r="EI34" i="40"/>
  <c r="EJ34" i="40"/>
  <c r="EK34" i="40"/>
  <c r="ED35" i="40"/>
  <c r="EE35" i="40"/>
  <c r="EF35" i="40"/>
  <c r="EG35" i="40"/>
  <c r="EH35" i="40"/>
  <c r="EI35" i="40"/>
  <c r="EJ35" i="40"/>
  <c r="EK35" i="40"/>
  <c r="ED36" i="40"/>
  <c r="EE36" i="40"/>
  <c r="EF36" i="40"/>
  <c r="EG36" i="40"/>
  <c r="EH36" i="40"/>
  <c r="EI36" i="40"/>
  <c r="EJ36" i="40"/>
  <c r="EK36" i="40"/>
  <c r="ED37" i="40"/>
  <c r="EE37" i="40"/>
  <c r="EF37" i="40"/>
  <c r="EG37" i="40"/>
  <c r="EH37" i="40"/>
  <c r="EI37" i="40"/>
  <c r="EJ37" i="40"/>
  <c r="EK37" i="40"/>
  <c r="ED38" i="40"/>
  <c r="EE38" i="40"/>
  <c r="EF38" i="40"/>
  <c r="EG38" i="40"/>
  <c r="EH38" i="40"/>
  <c r="EI38" i="40"/>
  <c r="EJ38" i="40"/>
  <c r="EK38" i="40"/>
  <c r="ED39" i="40"/>
  <c r="EE39" i="40"/>
  <c r="EF39" i="40"/>
  <c r="EG39" i="40"/>
  <c r="EH39" i="40"/>
  <c r="EI39" i="40"/>
  <c r="EJ39" i="40"/>
  <c r="EK39" i="40"/>
  <c r="ED40" i="40"/>
  <c r="EE40" i="40"/>
  <c r="EF40" i="40"/>
  <c r="EG40" i="40"/>
  <c r="EH40" i="40"/>
  <c r="EI40" i="40"/>
  <c r="EJ40" i="40"/>
  <c r="EK40" i="40"/>
  <c r="ED41" i="40"/>
  <c r="EE41" i="40"/>
  <c r="EF41" i="40"/>
  <c r="EG41" i="40"/>
  <c r="EH41" i="40"/>
  <c r="EI41" i="40"/>
  <c r="EJ41" i="40"/>
  <c r="EK41" i="40"/>
  <c r="ED42" i="40"/>
  <c r="EE42" i="40"/>
  <c r="EF42" i="40"/>
  <c r="EG42" i="40"/>
  <c r="EH42" i="40"/>
  <c r="EI42" i="40"/>
  <c r="EJ42" i="40"/>
  <c r="EK42" i="40"/>
  <c r="ED43" i="40"/>
  <c r="EE43" i="40"/>
  <c r="EF43" i="40"/>
  <c r="EG43" i="40"/>
  <c r="EH43" i="40"/>
  <c r="EI43" i="40"/>
  <c r="EJ43" i="40"/>
  <c r="EK43" i="40"/>
  <c r="ED44" i="40"/>
  <c r="EE44" i="40"/>
  <c r="EF44" i="40"/>
  <c r="EG44" i="40"/>
  <c r="EH44" i="40"/>
  <c r="EI44" i="40"/>
  <c r="EJ44" i="40"/>
  <c r="EK44" i="40"/>
  <c r="ED45" i="40"/>
  <c r="EE45" i="40"/>
  <c r="EF45" i="40"/>
  <c r="EG45" i="40"/>
  <c r="EH45" i="40"/>
  <c r="EI45" i="40"/>
  <c r="EJ45" i="40"/>
  <c r="EK45" i="40"/>
  <c r="ED46" i="40"/>
  <c r="EE46" i="40"/>
  <c r="EF46" i="40"/>
  <c r="EG46" i="40"/>
  <c r="EH46" i="40"/>
  <c r="EI46" i="40"/>
  <c r="EJ46" i="40"/>
  <c r="EK46" i="40"/>
  <c r="ED47" i="40"/>
  <c r="EE47" i="40"/>
  <c r="EF47" i="40"/>
  <c r="EG47" i="40"/>
  <c r="EI47" i="40"/>
  <c r="EJ47" i="40"/>
  <c r="EK47" i="40"/>
  <c r="ED48" i="40"/>
  <c r="EE48" i="40"/>
  <c r="EF48" i="40"/>
  <c r="EG48" i="40"/>
  <c r="EH48" i="40"/>
  <c r="EI48" i="40"/>
  <c r="EJ48" i="40"/>
  <c r="EK48" i="40"/>
  <c r="ED49" i="40"/>
  <c r="EE49" i="40"/>
  <c r="EF49" i="40"/>
  <c r="EG49" i="40"/>
  <c r="EH49" i="40"/>
  <c r="EI49" i="40"/>
  <c r="EJ49" i="40"/>
  <c r="EK49" i="40"/>
  <c r="ED50" i="40"/>
  <c r="EE50" i="40"/>
  <c r="EF50" i="40"/>
  <c r="EG50" i="40"/>
  <c r="EH50" i="40"/>
  <c r="EI50" i="40"/>
  <c r="EJ50" i="40"/>
  <c r="EK50" i="40"/>
  <c r="ED51" i="40"/>
  <c r="EE51" i="40"/>
  <c r="EF51" i="40"/>
  <c r="EG51" i="40"/>
  <c r="EH51" i="40"/>
  <c r="EI51" i="40"/>
  <c r="EJ51" i="40"/>
  <c r="EK51" i="40"/>
  <c r="ED52" i="40"/>
  <c r="EE52" i="40"/>
  <c r="EF52" i="40"/>
  <c r="EG52" i="40"/>
  <c r="EH52" i="40"/>
  <c r="EI52" i="40"/>
  <c r="EJ52" i="40"/>
  <c r="EK52" i="40"/>
  <c r="EC23" i="40"/>
  <c r="EC24" i="40"/>
  <c r="EC25" i="40"/>
  <c r="EC26" i="40"/>
  <c r="EC27" i="40"/>
  <c r="EC28" i="40"/>
  <c r="EC29" i="40"/>
  <c r="EC30" i="40"/>
  <c r="EC31" i="40"/>
  <c r="EC32" i="40"/>
  <c r="EC33" i="40"/>
  <c r="EC34" i="40"/>
  <c r="EC35" i="40"/>
  <c r="EC36" i="40"/>
  <c r="EC37" i="40"/>
  <c r="EC38" i="40"/>
  <c r="EC39" i="40"/>
  <c r="EC40" i="40"/>
  <c r="EC41" i="40"/>
  <c r="EC42" i="40"/>
  <c r="EC43" i="40"/>
  <c r="EC44" i="40"/>
  <c r="EC45" i="40"/>
  <c r="EC46" i="40"/>
  <c r="EC47" i="40"/>
  <c r="EC48" i="40"/>
  <c r="EC49" i="40"/>
  <c r="EC50" i="40"/>
  <c r="EC51" i="40"/>
  <c r="EC52" i="40"/>
  <c r="DC15" i="16"/>
  <c r="DB15" i="16"/>
  <c r="DA15" i="16"/>
  <c r="CY15" i="16"/>
  <c r="CX15" i="16"/>
  <c r="CW15" i="16"/>
  <c r="CV15" i="16"/>
  <c r="CU15" i="16"/>
  <c r="CV18" i="16"/>
  <c r="CW18" i="16"/>
  <c r="CX18" i="16"/>
  <c r="CY18" i="16"/>
  <c r="CZ18" i="16"/>
  <c r="DA18" i="16"/>
  <c r="DB18" i="16"/>
  <c r="DC18" i="16"/>
  <c r="CU18" i="16"/>
  <c r="EL31" i="69" l="1"/>
  <c r="EZ7" i="69" s="1"/>
  <c r="AV8" i="69" s="1"/>
  <c r="ER31" i="69"/>
  <c r="GN9" i="69" s="1"/>
  <c r="CN64" i="16" s="1"/>
  <c r="CQ64" i="16" s="1"/>
  <c r="AL47" i="43" s="1"/>
  <c r="G34" i="40"/>
  <c r="I34" i="40" s="1"/>
  <c r="B24" i="40"/>
  <c r="BT2" i="43"/>
  <c r="CN63" i="16"/>
  <c r="CQ63" i="16" s="1"/>
  <c r="AO47" i="43" s="1"/>
  <c r="CL7" i="70"/>
  <c r="CL6" i="70"/>
  <c r="CL5" i="70"/>
  <c r="CG33" i="70"/>
  <c r="CI5" i="70" s="1" a="1"/>
  <c r="CI5" i="70" s="1"/>
  <c r="CM43" i="69"/>
  <c r="S18" i="16" s="1"/>
  <c r="ED86" i="69"/>
  <c r="ED70" i="69"/>
  <c r="ED78" i="69"/>
  <c r="DY78" i="69"/>
  <c r="DY86" i="69"/>
  <c r="DY70" i="69"/>
  <c r="EC164" i="40"/>
  <c r="EC163" i="40" s="1"/>
  <c r="ED167" i="40"/>
  <c r="ED166" i="40" s="1"/>
  <c r="ET170" i="40"/>
  <c r="EF173" i="40"/>
  <c r="EF174" i="40" s="1"/>
  <c r="EE170" i="40"/>
  <c r="EE169" i="40" s="1"/>
  <c r="ES173" i="40"/>
  <c r="EI182" i="40"/>
  <c r="EI181" i="40" s="1"/>
  <c r="EG176" i="40"/>
  <c r="EG175" i="40" s="1"/>
  <c r="EJ185" i="40"/>
  <c r="EJ186" i="40" s="1"/>
  <c r="EU167" i="40"/>
  <c r="EK188" i="40"/>
  <c r="EK187" i="40" s="1"/>
  <c r="EO185" i="40"/>
  <c r="ER176" i="40"/>
  <c r="EP182" i="40"/>
  <c r="EQ179" i="40"/>
  <c r="EN188" i="40"/>
  <c r="EV164" i="40"/>
  <c r="CI65" i="69"/>
  <c r="CI53" i="69"/>
  <c r="CI43" i="69"/>
  <c r="EL33" i="69"/>
  <c r="BQ3" i="43"/>
  <c r="CV4" i="43"/>
  <c r="CY3" i="43"/>
  <c r="CD32" i="77"/>
  <c r="ED106" i="40"/>
  <c r="ED105" i="40"/>
  <c r="R28" i="43" s="1"/>
  <c r="ED111" i="40"/>
  <c r="R34" i="43" s="1"/>
  <c r="ED118" i="40"/>
  <c r="BB31" i="43" s="1"/>
  <c r="ED112" i="40"/>
  <c r="R35" i="43" s="1"/>
  <c r="CN35" i="43" s="1"/>
  <c r="CT35" i="43" s="1"/>
  <c r="ED110" i="40"/>
  <c r="ED117" i="40"/>
  <c r="BB30" i="43" s="1"/>
  <c r="DC30" i="43" s="1"/>
  <c r="DI30" i="43" s="1"/>
  <c r="ED107" i="40"/>
  <c r="R30" i="43" s="1"/>
  <c r="ED116" i="40"/>
  <c r="BB29" i="43" s="1"/>
  <c r="DC29" i="43" s="1"/>
  <c r="DI29" i="43" s="1"/>
  <c r="ED108" i="40"/>
  <c r="ED114" i="40"/>
  <c r="BB27" i="43" s="1"/>
  <c r="DC27" i="43" s="1"/>
  <c r="DI27" i="43" s="1"/>
  <c r="ED115" i="40"/>
  <c r="BB28" i="43" s="1"/>
  <c r="ED121" i="40"/>
  <c r="ED104" i="40"/>
  <c r="R27" i="43" s="1"/>
  <c r="CN27" i="43" s="1"/>
  <c r="CT27" i="43" s="1"/>
  <c r="ED120" i="40"/>
  <c r="BN33" i="43" s="1"/>
  <c r="ED122" i="40"/>
  <c r="ED119" i="40"/>
  <c r="ET82" i="40"/>
  <c r="EI55" i="40"/>
  <c r="DF26" i="40" s="1"/>
  <c r="EG55" i="40"/>
  <c r="DD26" i="40" s="1"/>
  <c r="EF55" i="40"/>
  <c r="DC26" i="40" s="1"/>
  <c r="EE55" i="40"/>
  <c r="DB26" i="40" s="1"/>
  <c r="ED55" i="40"/>
  <c r="DA26" i="40" s="1"/>
  <c r="EC55" i="40"/>
  <c r="CZ26" i="40" s="1"/>
  <c r="EJ55" i="40"/>
  <c r="DG26" i="40" s="1"/>
  <c r="ET55" i="40"/>
  <c r="DR26" i="40" s="1"/>
  <c r="EQ55" i="40"/>
  <c r="DO26" i="40" s="1"/>
  <c r="EP55" i="40"/>
  <c r="DN26" i="40" s="1"/>
  <c r="EN55" i="40"/>
  <c r="DL26" i="40" s="1"/>
  <c r="EV55" i="40"/>
  <c r="DT26" i="40" s="1"/>
  <c r="EO55" i="40"/>
  <c r="DM26" i="40" s="1"/>
  <c r="EU55" i="40"/>
  <c r="DS26" i="40" s="1"/>
  <c r="ES55" i="40"/>
  <c r="DQ26" i="40" s="1"/>
  <c r="ER55" i="40"/>
  <c r="DP26" i="40" s="1"/>
  <c r="EK55" i="40"/>
  <c r="DH26" i="40" s="1"/>
  <c r="BR3" i="43"/>
  <c r="F3" i="43"/>
  <c r="G3" i="43"/>
  <c r="K3" i="43"/>
  <c r="D3" i="43"/>
  <c r="BX3" i="43"/>
  <c r="BS3" i="43"/>
  <c r="BT3" i="43"/>
  <c r="BV3" i="43"/>
  <c r="C3" i="43"/>
  <c r="BU3" i="43"/>
  <c r="J3" i="43"/>
  <c r="BY3" i="43"/>
  <c r="BW3" i="43"/>
  <c r="I3" i="43"/>
  <c r="E3" i="43"/>
  <c r="DS24" i="40" l="1"/>
  <c r="DS25" i="40"/>
  <c r="DM24" i="40"/>
  <c r="DM25" i="40"/>
  <c r="DT24" i="40"/>
  <c r="DT25" i="40"/>
  <c r="DL24" i="40"/>
  <c r="DL25" i="40"/>
  <c r="DN24" i="40"/>
  <c r="DN25" i="40"/>
  <c r="DO24" i="40"/>
  <c r="DO25" i="40"/>
  <c r="DP24" i="40"/>
  <c r="DP25" i="40"/>
  <c r="DR24" i="40"/>
  <c r="DR25" i="40"/>
  <c r="DQ24" i="40"/>
  <c r="DQ25" i="40"/>
  <c r="DF24" i="40"/>
  <c r="DF25" i="40"/>
  <c r="DH24" i="40"/>
  <c r="DH25" i="40"/>
  <c r="DA24" i="40"/>
  <c r="DA25" i="40"/>
  <c r="DB24" i="40"/>
  <c r="DB25" i="40"/>
  <c r="DC24" i="40"/>
  <c r="DC25" i="40"/>
  <c r="DD24" i="40"/>
  <c r="DD25" i="40"/>
  <c r="DG24" i="40"/>
  <c r="DG25" i="40"/>
  <c r="CZ24" i="40"/>
  <c r="CZ25" i="40"/>
  <c r="DL23" i="40"/>
  <c r="DP23" i="40"/>
  <c r="DR23" i="40"/>
  <c r="DF23" i="40"/>
  <c r="DC23" i="40"/>
  <c r="DN23" i="40"/>
  <c r="DA23" i="40"/>
  <c r="CE31" i="40"/>
  <c r="DQ23" i="40"/>
  <c r="DO23" i="40"/>
  <c r="DM23" i="40"/>
  <c r="CG31" i="40"/>
  <c r="DS23" i="40"/>
  <c r="DS37" i="40"/>
  <c r="DT23" i="40"/>
  <c r="CD26" i="40"/>
  <c r="DD23" i="40"/>
  <c r="DG37" i="40"/>
  <c r="CG26" i="40"/>
  <c r="DG23" i="40"/>
  <c r="DJ37" i="40"/>
  <c r="BZ26" i="40"/>
  <c r="CZ23" i="40"/>
  <c r="DC37" i="40"/>
  <c r="DH23" i="40"/>
  <c r="CB26" i="40"/>
  <c r="DB23" i="40"/>
  <c r="DE37" i="40"/>
  <c r="CC26" i="40"/>
  <c r="DC22" i="40"/>
  <c r="DF37" i="40"/>
  <c r="CN34" i="43"/>
  <c r="CT34" i="43" s="1"/>
  <c r="AD34" i="43"/>
  <c r="AI6" i="77" s="1"/>
  <c r="B25" i="40"/>
  <c r="EV56" i="40"/>
  <c r="ES7" i="68" s="1"/>
  <c r="FG21" i="69"/>
  <c r="EZ10" i="69"/>
  <c r="AE8" i="69" s="1"/>
  <c r="R18" i="16"/>
  <c r="DL67" i="69"/>
  <c r="EL35" i="69"/>
  <c r="DC28" i="43"/>
  <c r="DI28" i="43" s="1"/>
  <c r="BN28" i="43"/>
  <c r="AS6" i="77" s="1"/>
  <c r="AD30" i="43"/>
  <c r="AE6" i="77" s="1"/>
  <c r="CN30" i="43"/>
  <c r="CT30" i="43" s="1"/>
  <c r="DC31" i="43"/>
  <c r="DI31" i="43" s="1"/>
  <c r="BN31" i="43"/>
  <c r="AV6" i="77" s="1"/>
  <c r="DQ67" i="69"/>
  <c r="BI17" i="16"/>
  <c r="BI18" i="16"/>
  <c r="BI16" i="16"/>
  <c r="AD28" i="43"/>
  <c r="AC6" i="77" s="1"/>
  <c r="CN28" i="43"/>
  <c r="CT28" i="43" s="1"/>
  <c r="R31" i="43"/>
  <c r="CN31" i="43" s="1"/>
  <c r="CT31" i="43" s="1"/>
  <c r="EC165" i="40"/>
  <c r="EF172" i="40"/>
  <c r="EE171" i="40"/>
  <c r="EG177" i="40"/>
  <c r="EJ184" i="40"/>
  <c r="EK189" i="40"/>
  <c r="EI183" i="40"/>
  <c r="ED168" i="40"/>
  <c r="EV163" i="40"/>
  <c r="EV165" i="40"/>
  <c r="EU166" i="40"/>
  <c r="EU168" i="40"/>
  <c r="ET169" i="40"/>
  <c r="ET171" i="40"/>
  <c r="ES172" i="40"/>
  <c r="ES174" i="40"/>
  <c r="ER175" i="40"/>
  <c r="ER177" i="40"/>
  <c r="EQ178" i="40"/>
  <c r="EQ180" i="40"/>
  <c r="EP181" i="40"/>
  <c r="EP183" i="40"/>
  <c r="EO184" i="40"/>
  <c r="EO186" i="40"/>
  <c r="EN187" i="40"/>
  <c r="EN189" i="40"/>
  <c r="AD35" i="43"/>
  <c r="AJ6" i="77" s="1"/>
  <c r="AD27" i="43"/>
  <c r="BN29" i="43"/>
  <c r="AT6" i="77" s="1"/>
  <c r="BN30" i="43"/>
  <c r="AU6" i="77" s="1"/>
  <c r="DB3" i="43"/>
  <c r="CY4" i="43"/>
  <c r="CP32" i="77"/>
  <c r="AX6" i="77"/>
  <c r="ET81" i="40"/>
  <c r="BN27" i="43"/>
  <c r="AR6" i="77" s="1"/>
  <c r="CA31" i="40" l="1"/>
  <c r="CH31" i="40"/>
  <c r="DQ37" i="40"/>
  <c r="DO37" i="40"/>
  <c r="CC31" i="40"/>
  <c r="DM37" i="40"/>
  <c r="DT37" i="40"/>
  <c r="DK37" i="40"/>
  <c r="CH26" i="40"/>
  <c r="DE44" i="16"/>
  <c r="DH44" i="16" s="1"/>
  <c r="BZ31" i="40"/>
  <c r="DL22" i="40"/>
  <c r="DL37" i="40"/>
  <c r="CF31" i="40"/>
  <c r="BI148" i="71" s="1"/>
  <c r="DR22" i="40"/>
  <c r="DR37" i="40"/>
  <c r="CB31" i="40"/>
  <c r="DN22" i="40"/>
  <c r="DN37" i="40"/>
  <c r="CD31" i="40"/>
  <c r="BC148" i="71" s="1"/>
  <c r="DP22" i="40"/>
  <c r="DP37" i="40"/>
  <c r="DE22" i="40"/>
  <c r="CA26" i="40"/>
  <c r="DA22" i="40"/>
  <c r="DD37" i="40"/>
  <c r="CF26" i="40"/>
  <c r="AC148" i="71" s="1"/>
  <c r="DF22" i="40"/>
  <c r="DI37" i="40"/>
  <c r="B26" i="40"/>
  <c r="J44" i="77"/>
  <c r="G45" i="77" s="1"/>
  <c r="G9" i="77"/>
  <c r="AL57" i="43" s="1"/>
  <c r="E57" i="71"/>
  <c r="V13" i="16"/>
  <c r="S19" i="16"/>
  <c r="BI19" i="16"/>
  <c r="FG24" i="69"/>
  <c r="CL11" i="70"/>
  <c r="CL10" i="70"/>
  <c r="AD31" i="43"/>
  <c r="AF6" i="77" s="1"/>
  <c r="AB6" i="77"/>
  <c r="DB4" i="43"/>
  <c r="DE3" i="43"/>
  <c r="CC32" i="77"/>
  <c r="ET80" i="40"/>
  <c r="B27" i="40" l="1"/>
  <c r="CM31" i="40"/>
  <c r="FC7" i="68" s="1"/>
  <c r="K148" i="71"/>
  <c r="N9" i="77"/>
  <c r="CH28" i="40"/>
  <c r="AI148" i="71"/>
  <c r="CD28" i="40"/>
  <c r="W148" i="71"/>
  <c r="CB28" i="40"/>
  <c r="Q148" i="71"/>
  <c r="CC28" i="40"/>
  <c r="T148" i="71"/>
  <c r="CA28" i="40"/>
  <c r="N148" i="71"/>
  <c r="CA33" i="40"/>
  <c r="AT148" i="71"/>
  <c r="CH33" i="40"/>
  <c r="BO148" i="71"/>
  <c r="CG33" i="40"/>
  <c r="BL148" i="71"/>
  <c r="CB33" i="40"/>
  <c r="AW148" i="71"/>
  <c r="BZ33" i="40"/>
  <c r="AQ148" i="71"/>
  <c r="CG28" i="40"/>
  <c r="AF148" i="71"/>
  <c r="CE33" i="40"/>
  <c r="BF148" i="71"/>
  <c r="CC33" i="40"/>
  <c r="AZ148" i="71"/>
  <c r="CL14" i="70"/>
  <c r="CL15" i="70"/>
  <c r="DH3" i="43"/>
  <c r="DE4" i="43"/>
  <c r="CQ32" i="77"/>
  <c r="ET79" i="40"/>
  <c r="CH27" i="40" l="1"/>
  <c r="CA27" i="40"/>
  <c r="AF4" i="77" s="1"/>
  <c r="CD27" i="40"/>
  <c r="AI4" i="77" s="1"/>
  <c r="CC27" i="40"/>
  <c r="EN6" i="43" s="1"/>
  <c r="CB27" i="40"/>
  <c r="AG4" i="77" s="1"/>
  <c r="CG27" i="40"/>
  <c r="CG32" i="40"/>
  <c r="CH32" i="40"/>
  <c r="CE32" i="40"/>
  <c r="AT4" i="77" s="1"/>
  <c r="CA32" i="40"/>
  <c r="BZ32" i="40"/>
  <c r="AO4" i="77" s="1"/>
  <c r="CC32" i="40"/>
  <c r="CB32" i="40"/>
  <c r="EP5" i="43" s="1"/>
  <c r="B28" i="40"/>
  <c r="EM6" i="43"/>
  <c r="EM5" i="43"/>
  <c r="X120" i="71"/>
  <c r="W121" i="71" s="1"/>
  <c r="AX120" i="71"/>
  <c r="AW121" i="71" s="1"/>
  <c r="EM7" i="43"/>
  <c r="EQ5" i="43"/>
  <c r="BP120" i="71"/>
  <c r="BO121" i="71" s="1"/>
  <c r="U120" i="71"/>
  <c r="T121" i="71" s="1"/>
  <c r="AG120" i="71"/>
  <c r="AF121" i="71" s="1"/>
  <c r="AU120" i="71"/>
  <c r="AT121" i="71" s="1"/>
  <c r="EM4" i="43"/>
  <c r="AR120" i="71"/>
  <c r="AQ121" i="71" s="1"/>
  <c r="O120" i="71"/>
  <c r="N121" i="71" s="1"/>
  <c r="AJ120" i="71"/>
  <c r="AI121" i="71" s="1"/>
  <c r="BM120" i="71"/>
  <c r="BL121" i="71" s="1"/>
  <c r="R120" i="71"/>
  <c r="Q121" i="71" s="1"/>
  <c r="BG120" i="71"/>
  <c r="BF121" i="71" s="1"/>
  <c r="EQ8" i="43"/>
  <c r="BA120" i="71"/>
  <c r="AZ121" i="71" s="1"/>
  <c r="CL17" i="70"/>
  <c r="CL20" i="70"/>
  <c r="CL18" i="70"/>
  <c r="CL19" i="70"/>
  <c r="EM11" i="43"/>
  <c r="EQ11" i="43"/>
  <c r="EQ6" i="43"/>
  <c r="EQ3" i="43"/>
  <c r="EQ10" i="43"/>
  <c r="EQ4" i="43"/>
  <c r="EM10" i="43"/>
  <c r="DK3" i="43"/>
  <c r="DH4" i="43"/>
  <c r="CJ31" i="77"/>
  <c r="ET78" i="40"/>
  <c r="EN5" i="43" l="1"/>
  <c r="Z5" i="43" s="1"/>
  <c r="AH4" i="77"/>
  <c r="AQ4" i="77"/>
  <c r="EP8" i="43"/>
  <c r="BF8" i="43" s="1"/>
  <c r="EN4" i="43"/>
  <c r="P4" i="43" s="1"/>
  <c r="EN7" i="43"/>
  <c r="AF7" i="43" s="1"/>
  <c r="CL24" i="70"/>
  <c r="CL23" i="70"/>
  <c r="CL22" i="70"/>
  <c r="EP3" i="43"/>
  <c r="BJ3" i="43" s="1"/>
  <c r="AV4" i="77"/>
  <c r="EP10" i="43"/>
  <c r="AW4" i="77"/>
  <c r="EP11" i="43"/>
  <c r="AR5" i="43"/>
  <c r="AZ5" i="43"/>
  <c r="BH5" i="43"/>
  <c r="BC5" i="43"/>
  <c r="AS5" i="43"/>
  <c r="BA5" i="43"/>
  <c r="BI5" i="43"/>
  <c r="BK5" i="43"/>
  <c r="AT5" i="43"/>
  <c r="BB5" i="43"/>
  <c r="BJ5" i="43"/>
  <c r="AU5" i="43"/>
  <c r="AV5" i="43"/>
  <c r="BD5" i="43"/>
  <c r="BL5" i="43"/>
  <c r="AY5" i="43"/>
  <c r="BG5" i="43"/>
  <c r="AW5" i="43"/>
  <c r="BE5" i="43"/>
  <c r="BM5" i="43"/>
  <c r="AX5" i="43"/>
  <c r="BF5" i="43"/>
  <c r="AP4" i="77"/>
  <c r="EP4" i="43"/>
  <c r="AR4" i="77"/>
  <c r="EP6" i="43"/>
  <c r="AM4" i="77"/>
  <c r="EN11" i="43"/>
  <c r="T6" i="43"/>
  <c r="AB6" i="43"/>
  <c r="AJ6" i="43"/>
  <c r="AC6" i="43"/>
  <c r="U6" i="43"/>
  <c r="V6" i="43"/>
  <c r="AD6" i="43"/>
  <c r="O6" i="43"/>
  <c r="W6" i="43"/>
  <c r="AE6" i="43"/>
  <c r="Y6" i="43"/>
  <c r="P6" i="43"/>
  <c r="X6" i="43"/>
  <c r="AF6" i="43"/>
  <c r="AG6" i="43"/>
  <c r="Q6" i="43"/>
  <c r="R6" i="43"/>
  <c r="Z6" i="43"/>
  <c r="AH6" i="43"/>
  <c r="S6" i="43"/>
  <c r="AA6" i="43"/>
  <c r="AI6" i="43"/>
  <c r="AL4" i="77"/>
  <c r="EN10" i="43"/>
  <c r="DK4" i="43"/>
  <c r="DN3" i="43"/>
  <c r="CI31" i="77"/>
  <c r="ET77" i="40"/>
  <c r="X5" i="43" l="1"/>
  <c r="P5" i="43"/>
  <c r="U5" i="43"/>
  <c r="AJ5" i="43"/>
  <c r="R5" i="43"/>
  <c r="AA5" i="43"/>
  <c r="AD5" i="43"/>
  <c r="T5" i="43"/>
  <c r="AB5" i="43"/>
  <c r="Y5" i="43"/>
  <c r="AE5" i="43"/>
  <c r="S5" i="43"/>
  <c r="Q5" i="43"/>
  <c r="O5" i="43"/>
  <c r="AH5" i="43"/>
  <c r="W5" i="43"/>
  <c r="AG5" i="43"/>
  <c r="V5" i="43"/>
  <c r="AI5" i="43"/>
  <c r="AF5" i="43"/>
  <c r="AC5" i="43"/>
  <c r="Y7" i="43"/>
  <c r="BD8" i="43"/>
  <c r="AH7" i="43"/>
  <c r="AI7" i="43"/>
  <c r="AB4" i="43"/>
  <c r="Z4" i="43"/>
  <c r="R4" i="43"/>
  <c r="Y4" i="43"/>
  <c r="X4" i="43"/>
  <c r="BG8" i="43"/>
  <c r="BJ8" i="43"/>
  <c r="AE4" i="43"/>
  <c r="W4" i="43"/>
  <c r="AC4" i="43"/>
  <c r="Q7" i="43"/>
  <c r="P7" i="43"/>
  <c r="V4" i="43"/>
  <c r="AJ7" i="43"/>
  <c r="AJ4" i="43"/>
  <c r="AC7" i="43"/>
  <c r="V7" i="43"/>
  <c r="T7" i="43"/>
  <c r="BC8" i="43"/>
  <c r="BH8" i="43"/>
  <c r="AX8" i="43"/>
  <c r="AU8" i="43"/>
  <c r="AZ8" i="43"/>
  <c r="AR8" i="43"/>
  <c r="BM8" i="43"/>
  <c r="BL8" i="43"/>
  <c r="AW8" i="43"/>
  <c r="BA8" i="43"/>
  <c r="AV8" i="43"/>
  <c r="BB8" i="43"/>
  <c r="AY8" i="43"/>
  <c r="BE8" i="43"/>
  <c r="AT8" i="43"/>
  <c r="AS8" i="43"/>
  <c r="BK8" i="43"/>
  <c r="BI8" i="43"/>
  <c r="W7" i="43"/>
  <c r="Z7" i="43"/>
  <c r="AE7" i="43"/>
  <c r="R7" i="43"/>
  <c r="O7" i="43"/>
  <c r="U7" i="43"/>
  <c r="S7" i="43"/>
  <c r="AA7" i="43"/>
  <c r="X7" i="43"/>
  <c r="T4" i="43"/>
  <c r="S4" i="43"/>
  <c r="AG4" i="43"/>
  <c r="AB7" i="43"/>
  <c r="AG7" i="43"/>
  <c r="AD7" i="43"/>
  <c r="O4" i="43"/>
  <c r="AI4" i="43"/>
  <c r="Q4" i="43"/>
  <c r="AD4" i="43"/>
  <c r="AA4" i="43"/>
  <c r="AF4" i="43"/>
  <c r="U4" i="43"/>
  <c r="AH4" i="43"/>
  <c r="CL25" i="70"/>
  <c r="CL32" i="70"/>
  <c r="CL29" i="70"/>
  <c r="CL31" i="70"/>
  <c r="CL26" i="70"/>
  <c r="CL28" i="70"/>
  <c r="CL27" i="70"/>
  <c r="AW3" i="43"/>
  <c r="AT3" i="43"/>
  <c r="BG3" i="43"/>
  <c r="AX3" i="43"/>
  <c r="BI3" i="43"/>
  <c r="AY3" i="43"/>
  <c r="BL3" i="43"/>
  <c r="BA3" i="43"/>
  <c r="BD3" i="43"/>
  <c r="AS3" i="43"/>
  <c r="AR3" i="43"/>
  <c r="AV3" i="43"/>
  <c r="BB3" i="43"/>
  <c r="BF3" i="43"/>
  <c r="BK3" i="43"/>
  <c r="BH3" i="43"/>
  <c r="BM3" i="43"/>
  <c r="BC3" i="43"/>
  <c r="AZ3" i="43"/>
  <c r="BE3" i="43"/>
  <c r="AU3" i="43"/>
  <c r="CL30" i="70"/>
  <c r="AT6" i="43"/>
  <c r="BB6" i="43"/>
  <c r="BJ6" i="43"/>
  <c r="BE6" i="43"/>
  <c r="AU6" i="43"/>
  <c r="BC6" i="43"/>
  <c r="BK6" i="43"/>
  <c r="AV6" i="43"/>
  <c r="BD6" i="43"/>
  <c r="BL6" i="43"/>
  <c r="AW6" i="43"/>
  <c r="BM6" i="43"/>
  <c r="AX6" i="43"/>
  <c r="BF6" i="43"/>
  <c r="AS6" i="43"/>
  <c r="BI6" i="43"/>
  <c r="AY6" i="43"/>
  <c r="BG6" i="43"/>
  <c r="BA6" i="43"/>
  <c r="AR6" i="43"/>
  <c r="AZ6" i="43"/>
  <c r="BH6" i="43"/>
  <c r="AX4" i="43"/>
  <c r="BF4" i="43"/>
  <c r="BI4" i="43"/>
  <c r="AY4" i="43"/>
  <c r="BG4" i="43"/>
  <c r="BA4" i="43"/>
  <c r="AR4" i="43"/>
  <c r="AZ4" i="43"/>
  <c r="BH4" i="43"/>
  <c r="AS4" i="43"/>
  <c r="AT4" i="43"/>
  <c r="BB4" i="43"/>
  <c r="BJ4" i="43"/>
  <c r="AW4" i="43"/>
  <c r="BM4" i="43"/>
  <c r="AU4" i="43"/>
  <c r="BC4" i="43"/>
  <c r="BK4" i="43"/>
  <c r="BE4" i="43"/>
  <c r="AV4" i="43"/>
  <c r="BD4" i="43"/>
  <c r="BL4" i="43"/>
  <c r="AV11" i="43"/>
  <c r="BD11" i="43"/>
  <c r="BL11" i="43"/>
  <c r="BG11" i="43"/>
  <c r="AW11" i="43"/>
  <c r="BE11" i="43"/>
  <c r="BM11" i="43"/>
  <c r="AY11" i="43"/>
  <c r="AX11" i="43"/>
  <c r="BF11" i="43"/>
  <c r="AR11" i="43"/>
  <c r="AZ11" i="43"/>
  <c r="BH11" i="43"/>
  <c r="BC11" i="43"/>
  <c r="BK11" i="43"/>
  <c r="AS11" i="43"/>
  <c r="BA11" i="43"/>
  <c r="BI11" i="43"/>
  <c r="AU11" i="43"/>
  <c r="AT11" i="43"/>
  <c r="BB11" i="43"/>
  <c r="BJ11" i="43"/>
  <c r="AT10" i="43"/>
  <c r="BB10" i="43"/>
  <c r="BJ10" i="43"/>
  <c r="BM10" i="43"/>
  <c r="AU10" i="43"/>
  <c r="BC10" i="43"/>
  <c r="BK10" i="43"/>
  <c r="AW10" i="43"/>
  <c r="AV10" i="43"/>
  <c r="BD10" i="43"/>
  <c r="BL10" i="43"/>
  <c r="BE10" i="43"/>
  <c r="AX10" i="43"/>
  <c r="BF10" i="43"/>
  <c r="AS10" i="43"/>
  <c r="BI10" i="43"/>
  <c r="AY10" i="43"/>
  <c r="BG10" i="43"/>
  <c r="BA10" i="43"/>
  <c r="AR10" i="43"/>
  <c r="AZ10" i="43"/>
  <c r="BH10" i="43"/>
  <c r="T10" i="43"/>
  <c r="AB10" i="43"/>
  <c r="AJ10" i="43"/>
  <c r="AC10" i="43"/>
  <c r="U10" i="43"/>
  <c r="V10" i="43"/>
  <c r="AD10" i="43"/>
  <c r="O10" i="43"/>
  <c r="W10" i="43"/>
  <c r="AE10" i="43"/>
  <c r="Y10" i="43"/>
  <c r="P10" i="43"/>
  <c r="X10" i="43"/>
  <c r="AF10" i="43"/>
  <c r="AG10" i="43"/>
  <c r="Q10" i="43"/>
  <c r="R10" i="43"/>
  <c r="Z10" i="43"/>
  <c r="AH10" i="43"/>
  <c r="S10" i="43"/>
  <c r="AA10" i="43"/>
  <c r="AI10" i="43"/>
  <c r="V11" i="43"/>
  <c r="AD11" i="43"/>
  <c r="W11" i="43"/>
  <c r="P11" i="43"/>
  <c r="X11" i="43"/>
  <c r="AF11" i="43"/>
  <c r="Q11" i="43"/>
  <c r="Y11" i="43"/>
  <c r="AG11" i="43"/>
  <c r="S11" i="43"/>
  <c r="R11" i="43"/>
  <c r="Z11" i="43"/>
  <c r="AH11" i="43"/>
  <c r="AI11" i="43"/>
  <c r="AB11" i="43"/>
  <c r="AA11" i="43"/>
  <c r="AJ11" i="43"/>
  <c r="T11" i="43"/>
  <c r="U11" i="43"/>
  <c r="AC11" i="43"/>
  <c r="O11" i="43"/>
  <c r="AE11" i="43"/>
  <c r="DQ3" i="43"/>
  <c r="DN4" i="43"/>
  <c r="CK31" i="77"/>
  <c r="ET76" i="40"/>
  <c r="CQ6" i="70" l="1"/>
  <c r="CQ7" i="70"/>
  <c r="CQ5" i="70"/>
  <c r="DQ4" i="43"/>
  <c r="DT3" i="43"/>
  <c r="CH31" i="77"/>
  <c r="ET75" i="40"/>
  <c r="ET74" i="40" s="1"/>
  <c r="ET73" i="40" s="1"/>
  <c r="CQ11" i="70" l="1"/>
  <c r="CQ12" i="70"/>
  <c r="CQ10" i="70"/>
  <c r="AN52" i="77"/>
  <c r="AR52" i="77"/>
  <c r="AQ54" i="77"/>
  <c r="AI54" i="77"/>
  <c r="AM54" i="77"/>
  <c r="AP53" i="77"/>
  <c r="AL54" i="77"/>
  <c r="AJ52" i="77"/>
  <c r="AS53" i="77"/>
  <c r="AN49" i="77"/>
  <c r="AL51" i="77"/>
  <c r="AM53" i="77"/>
  <c r="AG54" i="77"/>
  <c r="AI53" i="77"/>
  <c r="AL50" i="77"/>
  <c r="AM51" i="77"/>
  <c r="AO52" i="77"/>
  <c r="AN50" i="77"/>
  <c r="AN53" i="77"/>
  <c r="AR54" i="77"/>
  <c r="AP52" i="77"/>
  <c r="AN48" i="77"/>
  <c r="AO53" i="77"/>
  <c r="AL52" i="77"/>
  <c r="AP51" i="77"/>
  <c r="AK53" i="77"/>
  <c r="AK51" i="77"/>
  <c r="AQ52" i="77"/>
  <c r="AM52" i="77"/>
  <c r="AK54" i="77"/>
  <c r="AM50" i="77"/>
  <c r="AQ51" i="77"/>
  <c r="AR53" i="77"/>
  <c r="AO51" i="77"/>
  <c r="AQ53" i="77"/>
  <c r="AO49" i="77"/>
  <c r="AK52" i="77"/>
  <c r="AJ53" i="77"/>
  <c r="AO54" i="77"/>
  <c r="AP50" i="77"/>
  <c r="AH54" i="77"/>
  <c r="AO50" i="77"/>
  <c r="AN54" i="77"/>
  <c r="AL53" i="77"/>
  <c r="AS54" i="77"/>
  <c r="AP54" i="77"/>
  <c r="AM49" i="77"/>
  <c r="AJ54" i="77"/>
  <c r="AT54" i="77"/>
  <c r="AN51" i="77"/>
  <c r="AN43" i="77"/>
  <c r="AL49" i="77"/>
  <c r="AR49" i="77"/>
  <c r="AS48" i="77"/>
  <c r="AK50" i="77"/>
  <c r="AL48" i="77"/>
  <c r="AH49" i="77"/>
  <c r="AJ48" i="77"/>
  <c r="AN45" i="77"/>
  <c r="AO44" i="77"/>
  <c r="AK46" i="77"/>
  <c r="AG50" i="77"/>
  <c r="AK48" i="77"/>
  <c r="AN47" i="77"/>
  <c r="AM48" i="77"/>
  <c r="AS50" i="77"/>
  <c r="AR47" i="77"/>
  <c r="AL45" i="77"/>
  <c r="AE54" i="77"/>
  <c r="AT53" i="77"/>
  <c r="AH53" i="77"/>
  <c r="AH50" i="77"/>
  <c r="AW52" i="77"/>
  <c r="AH51" i="77"/>
  <c r="AQ46" i="77"/>
  <c r="AM44" i="77"/>
  <c r="AP45" i="77"/>
  <c r="AC54" i="77"/>
  <c r="AI51" i="77"/>
  <c r="AQ49" i="77"/>
  <c r="AJ49" i="77"/>
  <c r="AT52" i="77"/>
  <c r="AN44" i="77"/>
  <c r="AM47" i="77"/>
  <c r="AQ50" i="77"/>
  <c r="AJ50" i="77"/>
  <c r="AI48" i="77"/>
  <c r="AG52" i="77"/>
  <c r="AN46" i="77"/>
  <c r="AL46" i="77"/>
  <c r="AH52" i="77"/>
  <c r="AU54" i="77"/>
  <c r="AM45" i="77"/>
  <c r="AM46" i="77"/>
  <c r="AU51" i="77"/>
  <c r="AF53" i="77"/>
  <c r="AP46" i="77"/>
  <c r="AJ51" i="77"/>
  <c r="AL47" i="77"/>
  <c r="AR51" i="77"/>
  <c r="AO47" i="77"/>
  <c r="AO45" i="77"/>
  <c r="AW53" i="77"/>
  <c r="AT51" i="77"/>
  <c r="AF51" i="77"/>
  <c r="AP49" i="77"/>
  <c r="AO46" i="77"/>
  <c r="AK49" i="77"/>
  <c r="AV54" i="77"/>
  <c r="AY54" i="77"/>
  <c r="AT50" i="77"/>
  <c r="AV52" i="77"/>
  <c r="AS52" i="77"/>
  <c r="AQ48" i="77"/>
  <c r="AE52" i="77"/>
  <c r="AF52" i="77"/>
  <c r="AV53" i="77"/>
  <c r="AV51" i="77"/>
  <c r="AX54" i="77"/>
  <c r="AW54" i="77"/>
  <c r="AD54" i="77"/>
  <c r="AU52" i="77"/>
  <c r="AG51" i="77"/>
  <c r="AI52" i="77"/>
  <c r="AD53" i="77"/>
  <c r="AO48" i="77"/>
  <c r="AU53" i="77"/>
  <c r="AG53" i="77"/>
  <c r="AR50" i="77"/>
  <c r="AE53" i="77"/>
  <c r="AP48" i="77"/>
  <c r="AQ47" i="77"/>
  <c r="AF54" i="77"/>
  <c r="AR48" i="77"/>
  <c r="AT49" i="77"/>
  <c r="AX53" i="77"/>
  <c r="AI50" i="77"/>
  <c r="AK47" i="77"/>
  <c r="AP47" i="77"/>
  <c r="AI49" i="77"/>
  <c r="AU50" i="77"/>
  <c r="AS51" i="77"/>
  <c r="AJ47" i="77"/>
  <c r="AS49" i="77"/>
  <c r="DW3" i="43"/>
  <c r="DT4" i="43"/>
  <c r="CL31" i="77"/>
  <c r="ET72" i="40"/>
  <c r="ET71" i="40" s="1"/>
  <c r="ET70" i="40" s="1"/>
  <c r="ET69" i="40" s="1"/>
  <c r="ET68" i="40" s="1"/>
  <c r="ET67" i="40" s="1"/>
  <c r="ET66" i="40" s="1"/>
  <c r="ET65" i="40" s="1"/>
  <c r="ET64" i="40" s="1"/>
  <c r="ET63" i="40" s="1"/>
  <c r="CQ14" i="70" l="1"/>
  <c r="CQ16" i="70"/>
  <c r="CQ15" i="70"/>
  <c r="CQ13" i="70"/>
  <c r="DW4" i="43"/>
  <c r="DZ3" i="43"/>
  <c r="CG31" i="77"/>
  <c r="ET62" i="40"/>
  <c r="ET61" i="40" s="1"/>
  <c r="ET60" i="40" s="1"/>
  <c r="ET95" i="40" s="1"/>
  <c r="CQ19" i="70" l="1"/>
  <c r="CQ20" i="70"/>
  <c r="CQ17" i="70"/>
  <c r="EF120" i="40"/>
  <c r="BW55" i="43"/>
  <c r="EC3" i="43"/>
  <c r="DZ4" i="43"/>
  <c r="CM31" i="77"/>
  <c r="ET94" i="40"/>
  <c r="CQ21" i="70" l="1"/>
  <c r="CQ24" i="70"/>
  <c r="CQ22" i="70"/>
  <c r="EE120" i="40"/>
  <c r="BW51" i="43"/>
  <c r="EF3" i="43"/>
  <c r="N6" i="43" s="1"/>
  <c r="EC4" i="43"/>
  <c r="CF31" i="77"/>
  <c r="CQ28" i="70" l="1"/>
  <c r="CQ26" i="70"/>
  <c r="CQ27" i="70"/>
  <c r="BN3" i="43"/>
  <c r="BN5" i="43"/>
  <c r="N3" i="43"/>
  <c r="N10" i="43"/>
  <c r="BN11" i="43"/>
  <c r="N9" i="43"/>
  <c r="CF28" i="40" s="1"/>
  <c r="N11" i="43"/>
  <c r="BN9" i="43"/>
  <c r="CF33" i="40" s="1"/>
  <c r="BN8" i="43"/>
  <c r="N5" i="43"/>
  <c r="BN6" i="43"/>
  <c r="N7" i="43"/>
  <c r="EF4" i="43"/>
  <c r="BN4" i="43"/>
  <c r="BN7" i="43"/>
  <c r="CD33" i="40" s="1"/>
  <c r="BN10" i="43"/>
  <c r="N4" i="43"/>
  <c r="CN31" i="77"/>
  <c r="CF27" i="40" l="1"/>
  <c r="EN9" i="43" s="1"/>
  <c r="CF32" i="40"/>
  <c r="EP9" i="43" s="1"/>
  <c r="CD32" i="40"/>
  <c r="AS4" i="77" s="1"/>
  <c r="BZ28" i="40"/>
  <c r="CQ32" i="70"/>
  <c r="CQ31" i="70"/>
  <c r="AD120" i="71"/>
  <c r="AC121" i="71" s="1"/>
  <c r="EM9" i="43"/>
  <c r="BJ120" i="71"/>
  <c r="BI121" i="71" s="1"/>
  <c r="BD120" i="71"/>
  <c r="BC121" i="71" s="1"/>
  <c r="CQ30" i="70"/>
  <c r="CQ29" i="70"/>
  <c r="EQ7" i="43"/>
  <c r="EQ9" i="43"/>
  <c r="CE31" i="77"/>
  <c r="BG25" i="40" l="1"/>
  <c r="BG29" i="40"/>
  <c r="BG33" i="40"/>
  <c r="BG37" i="40"/>
  <c r="BG41" i="40"/>
  <c r="BG45" i="40"/>
  <c r="BG49" i="40"/>
  <c r="BG38" i="40"/>
  <c r="BG34" i="40"/>
  <c r="BG46" i="40"/>
  <c r="BG27" i="40"/>
  <c r="BG31" i="40"/>
  <c r="BG35" i="40"/>
  <c r="BH35" i="40" s="1"/>
  <c r="BG39" i="40"/>
  <c r="BG43" i="40"/>
  <c r="BG47" i="40"/>
  <c r="BG42" i="40"/>
  <c r="BG28" i="40"/>
  <c r="BH28" i="40" s="1"/>
  <c r="BG32" i="40"/>
  <c r="BG36" i="40"/>
  <c r="BG40" i="40"/>
  <c r="BG44" i="40"/>
  <c r="BG48" i="40"/>
  <c r="BG30" i="40"/>
  <c r="BH30" i="40" s="1"/>
  <c r="BG26" i="40"/>
  <c r="BH26" i="40" s="1"/>
  <c r="BG24" i="40"/>
  <c r="BH25" i="40" s="1"/>
  <c r="BZ27" i="40"/>
  <c r="BG55" i="40"/>
  <c r="L120" i="71"/>
  <c r="K121" i="71" s="1"/>
  <c r="BG53" i="40"/>
  <c r="AK4" i="77"/>
  <c r="BG52" i="40"/>
  <c r="EM3" i="43"/>
  <c r="CV8" i="70"/>
  <c r="CV7" i="70"/>
  <c r="CV6" i="70"/>
  <c r="T9" i="43"/>
  <c r="AD9" i="43"/>
  <c r="AI9" i="43"/>
  <c r="O9" i="43"/>
  <c r="V9" i="43"/>
  <c r="AB9" i="43"/>
  <c r="W9" i="43"/>
  <c r="AJ9" i="43"/>
  <c r="P9" i="43"/>
  <c r="AH9" i="43"/>
  <c r="AA9" i="43"/>
  <c r="R9" i="43"/>
  <c r="U9" i="43"/>
  <c r="X9" i="43"/>
  <c r="Q9" i="43"/>
  <c r="Z9" i="43"/>
  <c r="AC9" i="43"/>
  <c r="AF9" i="43"/>
  <c r="AG9" i="43"/>
  <c r="S9" i="43"/>
  <c r="AE9" i="43"/>
  <c r="Y9" i="43"/>
  <c r="BG51" i="40"/>
  <c r="BL30" i="40" s="1"/>
  <c r="AU4" i="77"/>
  <c r="EP7" i="43"/>
  <c r="BA7" i="43" s="1"/>
  <c r="BG50" i="40"/>
  <c r="AZ9" i="43"/>
  <c r="AT9" i="43"/>
  <c r="BM9" i="43"/>
  <c r="BC9" i="43"/>
  <c r="BH9" i="43"/>
  <c r="BB9" i="43"/>
  <c r="BG9" i="43"/>
  <c r="AU9" i="43"/>
  <c r="BJ9" i="43"/>
  <c r="AX9" i="43"/>
  <c r="BK9" i="43"/>
  <c r="AV9" i="43"/>
  <c r="BF9" i="43"/>
  <c r="AS9" i="43"/>
  <c r="BD9" i="43"/>
  <c r="AY9" i="43"/>
  <c r="BA9" i="43"/>
  <c r="BL9" i="43"/>
  <c r="AR9" i="43"/>
  <c r="BI9" i="43"/>
  <c r="AW9" i="43"/>
  <c r="BE9" i="43"/>
  <c r="CO31" i="77"/>
  <c r="BL29" i="40" l="1"/>
  <c r="BH44" i="40"/>
  <c r="BH42" i="40"/>
  <c r="BH34" i="40"/>
  <c r="BH40" i="40"/>
  <c r="BH32" i="40"/>
  <c r="BH31" i="40"/>
  <c r="BL24" i="40"/>
  <c r="BH45" i="40"/>
  <c r="BH27" i="40"/>
  <c r="BH41" i="40"/>
  <c r="BH37" i="40"/>
  <c r="BL27" i="40"/>
  <c r="BH48" i="40"/>
  <c r="BL25" i="40"/>
  <c r="BH46" i="40"/>
  <c r="BH33" i="40"/>
  <c r="BL26" i="40"/>
  <c r="BH47" i="40"/>
  <c r="BH29" i="40"/>
  <c r="BL28" i="40"/>
  <c r="BH49" i="40"/>
  <c r="BH43" i="40"/>
  <c r="BH38" i="40"/>
  <c r="BH36" i="40"/>
  <c r="BH39" i="40"/>
  <c r="BG54" i="40"/>
  <c r="EN3" i="43"/>
  <c r="X3" i="43" s="1"/>
  <c r="BH53" i="40"/>
  <c r="BH52" i="40"/>
  <c r="CV12" i="70"/>
  <c r="CV9" i="70"/>
  <c r="BH50" i="40"/>
  <c r="BH51" i="40"/>
  <c r="CV10" i="70"/>
  <c r="BE7" i="43"/>
  <c r="AW7" i="43"/>
  <c r="AR7" i="43"/>
  <c r="BG7" i="43"/>
  <c r="BF7" i="43"/>
  <c r="AV7" i="43"/>
  <c r="BM7" i="43"/>
  <c r="BB7" i="43"/>
  <c r="BH7" i="43"/>
  <c r="AS7" i="43"/>
  <c r="AT7" i="43"/>
  <c r="AZ7" i="43"/>
  <c r="AX7" i="43"/>
  <c r="BK7" i="43"/>
  <c r="BC7" i="43"/>
  <c r="BL7" i="43"/>
  <c r="AU7" i="43"/>
  <c r="BI7" i="43"/>
  <c r="AY7" i="43"/>
  <c r="BD7" i="43"/>
  <c r="BJ7" i="43"/>
  <c r="CD31" i="77"/>
  <c r="BH54" i="40" l="1"/>
  <c r="BH55" i="40"/>
  <c r="AG3" i="43"/>
  <c r="P3" i="43"/>
  <c r="W3" i="43"/>
  <c r="V3" i="43"/>
  <c r="Y3" i="43"/>
  <c r="AB3" i="43"/>
  <c r="AC3" i="43"/>
  <c r="AD3" i="43"/>
  <c r="AJ3" i="43"/>
  <c r="AE3" i="43"/>
  <c r="Q3" i="43"/>
  <c r="AF3" i="43"/>
  <c r="AH3" i="43"/>
  <c r="AE4" i="77"/>
  <c r="U3" i="43"/>
  <c r="T3" i="43"/>
  <c r="O3" i="43"/>
  <c r="Z3" i="43"/>
  <c r="AI3" i="43"/>
  <c r="AA3" i="43"/>
  <c r="S3" i="43"/>
  <c r="R3" i="43"/>
  <c r="CV16" i="70"/>
  <c r="CP31" i="77"/>
  <c r="CV20" i="70" l="1"/>
  <c r="CV19" i="70"/>
  <c r="CV18" i="70"/>
  <c r="CC31" i="77"/>
  <c r="CV21" i="70" l="1"/>
  <c r="CV24" i="70"/>
  <c r="CV22" i="70"/>
  <c r="CQ31" i="77"/>
  <c r="CV28" i="70" l="1"/>
  <c r="CV25" i="70"/>
  <c r="CV27" i="70"/>
  <c r="CV26" i="70"/>
  <c r="CJ30" i="77"/>
  <c r="CV32" i="70" l="1"/>
  <c r="CV29" i="70"/>
  <c r="CV30" i="70"/>
  <c r="CV31" i="70"/>
  <c r="CI30" i="77"/>
  <c r="DA8" i="70" l="1"/>
  <c r="DA7" i="70"/>
  <c r="DA6" i="70"/>
  <c r="DA5" i="70"/>
  <c r="DA10" i="70"/>
  <c r="CK30" i="77"/>
  <c r="DA9" i="70" l="1"/>
  <c r="DA12" i="70"/>
  <c r="CH30" i="77"/>
  <c r="DA13" i="70" l="1"/>
  <c r="DA14" i="70"/>
  <c r="DA16" i="70"/>
  <c r="DA15" i="70"/>
  <c r="DA17" i="70"/>
  <c r="G57" i="71"/>
  <c r="CL30" i="77"/>
  <c r="DA19" i="70" l="1"/>
  <c r="DA20" i="70"/>
  <c r="DA18" i="70"/>
  <c r="CG30" i="77"/>
  <c r="DA21" i="70" l="1"/>
  <c r="DA22" i="70"/>
  <c r="DA23" i="70"/>
  <c r="DA24" i="70"/>
  <c r="CM30" i="77"/>
  <c r="DA28" i="70" l="1"/>
  <c r="DA25" i="70"/>
  <c r="DA27" i="70"/>
  <c r="DA26" i="70"/>
  <c r="CF30" i="77"/>
  <c r="DA30" i="70" l="1"/>
  <c r="DA29" i="70"/>
  <c r="DA31" i="70"/>
  <c r="DA32" i="70"/>
  <c r="CN30" i="77"/>
  <c r="DF8" i="70" l="1"/>
  <c r="DF6" i="70"/>
  <c r="DF7" i="70"/>
  <c r="DF5" i="70"/>
  <c r="DF12" i="70"/>
  <c r="CE30" i="77"/>
  <c r="DF11" i="70" l="1"/>
  <c r="DF10" i="70"/>
  <c r="DF9" i="70"/>
  <c r="DF16" i="70"/>
  <c r="CO30" i="77"/>
  <c r="DF15" i="70" l="1"/>
  <c r="DF14" i="70"/>
  <c r="DF13" i="70"/>
  <c r="CD30" i="77"/>
  <c r="DH43" i="16" l="1"/>
  <c r="DF17" i="70"/>
  <c r="DF20" i="70"/>
  <c r="DF18" i="70"/>
  <c r="DF19" i="70"/>
  <c r="CP30" i="77"/>
  <c r="DF24" i="70" l="1"/>
  <c r="DF21" i="70"/>
  <c r="DF22" i="70"/>
  <c r="DF23" i="70"/>
  <c r="CC30" i="77"/>
  <c r="DF25" i="70" l="1"/>
  <c r="DF28" i="70"/>
  <c r="DF27" i="70"/>
  <c r="DF26" i="70"/>
  <c r="CQ30" i="77"/>
  <c r="DF33" i="70" l="1"/>
  <c r="DH5" i="70" s="1" a="1"/>
  <c r="DH5" i="70" s="1"/>
  <c r="CJ29" i="77"/>
  <c r="CS24" i="69" l="1"/>
  <c r="CS20" i="69"/>
  <c r="CS22" i="69"/>
  <c r="CU20" i="69"/>
  <c r="CU22" i="69"/>
  <c r="CU24" i="69"/>
  <c r="FY42" i="40"/>
  <c r="FY44" i="40"/>
  <c r="FY40" i="40"/>
  <c r="CI29" i="77"/>
  <c r="CK29" i="77" l="1"/>
  <c r="DP32" i="89" l="1"/>
  <c r="AV6" i="69"/>
  <c r="AE6" i="69"/>
  <c r="CH29" i="77"/>
  <c r="CL29" i="77" l="1"/>
  <c r="CG29" i="77" l="1"/>
  <c r="CM29" i="77" l="1"/>
  <c r="CF29" i="77" l="1"/>
  <c r="CN29" i="77" l="1"/>
  <c r="CE29" i="77" l="1"/>
  <c r="CO29" i="77" l="1"/>
  <c r="CD29" i="77" l="1"/>
  <c r="CP29" i="77" l="1"/>
  <c r="CC29" i="77" l="1"/>
  <c r="CQ29" i="77" l="1"/>
  <c r="CJ28" i="77" l="1"/>
  <c r="CI28" i="77" l="1"/>
  <c r="CK28" i="77" l="1"/>
  <c r="CH28" i="77" l="1"/>
  <c r="CL28" i="77" l="1"/>
  <c r="CG28" i="77" l="1"/>
  <c r="CM28" i="77" l="1"/>
  <c r="CF28" i="77" l="1"/>
  <c r="CN28" i="77" l="1"/>
  <c r="CE28" i="77" l="1"/>
  <c r="CO28" i="77" l="1"/>
  <c r="CD28" i="77" l="1"/>
  <c r="CP28" i="77" l="1"/>
  <c r="CC28" i="77" l="1"/>
  <c r="CQ28" i="77" l="1"/>
  <c r="CJ27" i="77" l="1"/>
  <c r="CI27" i="77" l="1"/>
  <c r="CK27" i="77" l="1"/>
  <c r="CH27" i="77" l="1"/>
  <c r="CL27" i="77" l="1"/>
  <c r="CG27" i="77" l="1"/>
  <c r="CM27" i="77" l="1"/>
  <c r="CF27" i="77" l="1"/>
  <c r="CN27" i="77" l="1"/>
  <c r="CE27" i="77" l="1"/>
  <c r="CO27" i="77" l="1"/>
  <c r="CD27" i="77" l="1"/>
  <c r="CP27" i="77" l="1"/>
  <c r="CC27" i="77" l="1"/>
  <c r="CQ27" i="77" l="1"/>
  <c r="CJ26" i="77" l="1"/>
  <c r="CI26" i="77" l="1"/>
  <c r="CK26" i="77" l="1"/>
  <c r="CH26" i="77" l="1"/>
  <c r="CL26" i="77" l="1"/>
  <c r="CG26" i="77" l="1"/>
  <c r="CM26" i="77" l="1"/>
  <c r="CF26" i="77" l="1"/>
  <c r="CN26" i="77" l="1"/>
  <c r="CE26" i="77" l="1"/>
  <c r="CO26" i="77" l="1"/>
  <c r="CD26" i="77" l="1"/>
  <c r="CP26" i="77" l="1"/>
  <c r="CC26" i="77" l="1"/>
  <c r="CQ26" i="77" l="1"/>
  <c r="CJ25" i="77" l="1"/>
  <c r="CI25" i="77" l="1"/>
  <c r="CK25" i="77" l="1"/>
  <c r="CH25" i="77" l="1"/>
  <c r="CL25" i="77" l="1"/>
  <c r="CG25" i="77" l="1"/>
  <c r="CM25" i="77" l="1"/>
  <c r="CF25" i="77" l="1"/>
  <c r="CN25" i="77" l="1"/>
  <c r="CE25" i="77" l="1"/>
  <c r="CO25" i="77" l="1"/>
  <c r="CD25" i="77" l="1"/>
  <c r="CP25" i="77" l="1"/>
  <c r="CC25" i="77" l="1"/>
  <c r="CQ25" i="77" l="1"/>
  <c r="EV158" i="40"/>
  <c r="EV157" i="40" s="1"/>
  <c r="EV156" i="40" s="1"/>
  <c r="EV155" i="40" s="1"/>
  <c r="EV154" i="40" s="1"/>
  <c r="EV153" i="40" s="1"/>
  <c r="EV152" i="40" s="1"/>
  <c r="EV151" i="40" s="1"/>
  <c r="EV150" i="40" s="1"/>
  <c r="EV149" i="40" s="1"/>
  <c r="EV148" i="40" s="1"/>
  <c r="EV147" i="40" s="1"/>
  <c r="EV146" i="40" s="1"/>
  <c r="EV145" i="40" s="1"/>
  <c r="EV144" i="40" s="1"/>
  <c r="EV143" i="40" s="1"/>
  <c r="EV142" i="40" s="1"/>
  <c r="EV141" i="40" s="1"/>
  <c r="EV140" i="40" s="1"/>
  <c r="EV139" i="40" s="1"/>
  <c r="EV138" i="40" s="1"/>
  <c r="EV137" i="40" s="1"/>
  <c r="EV136" i="40" s="1"/>
  <c r="EV135" i="40" s="1"/>
  <c r="EV134" i="40" s="1"/>
  <c r="EV133" i="40" s="1"/>
  <c r="EV132" i="40" s="1"/>
  <c r="EV131" i="40" s="1"/>
  <c r="EV130" i="40" s="1"/>
  <c r="EV129" i="40" s="1"/>
  <c r="EV128" i="40" s="1"/>
  <c r="EV127" i="40" s="1"/>
  <c r="EV90" i="40"/>
  <c r="EV89" i="40" s="1"/>
  <c r="EV88" i="40" s="1"/>
  <c r="EV87" i="40" s="1"/>
  <c r="EV86" i="40" s="1"/>
  <c r="EV85" i="40" s="1"/>
  <c r="EV84" i="40" s="1"/>
  <c r="EV83" i="40" s="1"/>
  <c r="EV82" i="40" s="1"/>
  <c r="EV81" i="40" s="1"/>
  <c r="EV80" i="40" s="1"/>
  <c r="EV79" i="40" s="1"/>
  <c r="EV78" i="40" s="1"/>
  <c r="EV77" i="40" s="1"/>
  <c r="EV76" i="40" s="1"/>
  <c r="EV75" i="40" s="1"/>
  <c r="EV74" i="40" s="1"/>
  <c r="EV73" i="40" s="1"/>
  <c r="EV72" i="40" s="1"/>
  <c r="EV71" i="40" s="1"/>
  <c r="EV70" i="40" s="1"/>
  <c r="EV69" i="40" s="1"/>
  <c r="EV68" i="40" s="1"/>
  <c r="EV67" i="40" s="1"/>
  <c r="EV66" i="40" s="1"/>
  <c r="EV65" i="40" s="1"/>
  <c r="EV64" i="40" s="1"/>
  <c r="EV63" i="40" s="1"/>
  <c r="EV62" i="40" s="1"/>
  <c r="EV61" i="40" s="1"/>
  <c r="EV60" i="40" s="1"/>
  <c r="EV95" i="40" l="1"/>
  <c r="EV97" i="40"/>
  <c r="EH122" i="40"/>
  <c r="EV94" i="40"/>
  <c r="EE122" i="40" l="1"/>
  <c r="BY51" i="43"/>
  <c r="EF122" i="40"/>
  <c r="BB35" i="43" s="1"/>
  <c r="DC35" i="43" s="1"/>
  <c r="BY55" i="43"/>
  <c r="DI35" i="43" l="1"/>
  <c r="BN35" i="43"/>
  <c r="AZ6" i="77" l="1"/>
  <c r="G24" i="40" l="1"/>
  <c r="F50" i="40" s="1"/>
  <c r="G23" i="40"/>
  <c r="F49" i="40" s="1"/>
  <c r="CF27" i="82" l="1"/>
  <c r="CK27" i="82" s="1"/>
  <c r="BX27" i="82" s="1"/>
  <c r="CF25" i="82"/>
  <c r="CK25" i="82" s="1"/>
  <c r="BX25" i="82" s="1"/>
  <c r="CF33" i="82"/>
  <c r="CK33" i="82" s="1"/>
  <c r="BX33" i="82" s="1"/>
  <c r="CF23" i="82"/>
  <c r="CK23" i="82" s="1"/>
  <c r="BX23" i="82" s="1"/>
  <c r="CF31" i="82"/>
  <c r="CK31" i="82" s="1"/>
  <c r="BX31" i="82" s="1"/>
  <c r="CF29" i="82"/>
  <c r="CK29" i="82" s="1"/>
  <c r="BX29" i="82" s="1"/>
  <c r="CF35" i="82"/>
  <c r="CK35" i="82" s="1"/>
  <c r="BX35" i="82" s="1"/>
  <c r="BT7" i="82" l="1" a="1"/>
  <c r="BT7" i="82" s="1"/>
  <c r="BS7" i="82" a="1"/>
  <c r="BS7" i="82" s="1"/>
  <c r="BR7" i="82" a="1"/>
  <c r="BR7" i="82" s="1"/>
  <c r="BU7" i="82" a="1"/>
  <c r="BU7" i="82" s="1"/>
  <c r="BP7" i="82" a="1"/>
  <c r="BP7" i="82" s="1"/>
  <c r="BO7" i="82" a="1"/>
  <c r="BO7" i="82" s="1"/>
  <c r="BN7" i="82" a="1"/>
  <c r="BN7" i="82" s="1"/>
  <c r="BQ7" i="82" a="1"/>
  <c r="BQ7" i="82" s="1"/>
  <c r="BL7" i="82" a="1"/>
  <c r="BL7" i="82" s="1"/>
  <c r="BK7" i="82" a="1"/>
  <c r="BK7" i="82" s="1"/>
  <c r="BJ7" i="82" a="1"/>
  <c r="BJ7" i="82" s="1"/>
  <c r="BM7" i="82" a="1"/>
  <c r="BM7" i="82" s="1"/>
  <c r="BH7" i="82" a="1"/>
  <c r="BH7" i="82" s="1"/>
  <c r="BG7" i="82" a="1"/>
  <c r="BG7" i="82" s="1"/>
  <c r="BF7" i="82" a="1"/>
  <c r="BF7" i="82" s="1"/>
  <c r="BI7" i="82" a="1"/>
  <c r="BI7" i="82" s="1"/>
  <c r="BE7" i="82" a="1"/>
  <c r="BE7" i="82" s="1"/>
  <c r="BD7" i="82" a="1"/>
  <c r="BD7" i="82" s="1"/>
  <c r="BC7" i="82" a="1"/>
  <c r="BC7" i="82" s="1"/>
  <c r="BB7" i="82" a="1"/>
  <c r="BB7" i="82" s="1"/>
  <c r="AZ7" i="82" a="1"/>
  <c r="AZ7" i="82" s="1"/>
  <c r="BA7" i="82" a="1"/>
  <c r="BA7" i="82" s="1"/>
  <c r="AY7" i="82" a="1"/>
  <c r="AY7" i="82" s="1"/>
  <c r="AX7" i="82" a="1"/>
  <c r="AX7" i="82" s="1"/>
  <c r="AV7" i="82" a="1"/>
  <c r="AV7" i="82" s="1"/>
  <c r="AU7" i="82" a="1"/>
  <c r="AU7" i="82" s="1"/>
  <c r="AT7" i="82" a="1"/>
  <c r="AT7" i="82" s="1"/>
  <c r="AW7" i="82" a="1"/>
  <c r="AW7" i="82" s="1"/>
  <c r="AR7" i="82" a="1"/>
  <c r="AR7" i="82" s="1"/>
  <c r="AQ7" i="82" a="1"/>
  <c r="AQ7" i="82" s="1"/>
  <c r="AP7" i="82" a="1"/>
  <c r="AP7" i="82" s="1"/>
  <c r="AS7" i="82" a="1"/>
  <c r="AS7" i="82" s="1"/>
  <c r="AO7" i="82" a="1"/>
  <c r="AO7" i="82" s="1"/>
  <c r="AN7" i="82" a="1"/>
  <c r="AN7" i="82" s="1"/>
  <c r="AM7" i="82" a="1"/>
  <c r="AM7" i="82" s="1"/>
  <c r="AL7" i="82" a="1"/>
  <c r="AL7" i="82" s="1"/>
  <c r="AJ7" i="82" a="1"/>
  <c r="AJ7" i="82" s="1"/>
  <c r="AI7" i="82" a="1"/>
  <c r="AI7" i="82" s="1"/>
  <c r="AH7" i="82" a="1"/>
  <c r="AH7" i="82" s="1"/>
  <c r="AK7" i="82" a="1"/>
  <c r="AK7" i="82" s="1"/>
  <c r="AF7" i="82" a="1"/>
  <c r="AF7" i="82" s="1"/>
  <c r="AE7" i="82" a="1"/>
  <c r="AE7" i="82" s="1"/>
  <c r="AD7" i="82" a="1"/>
  <c r="AD7" i="82" s="1"/>
  <c r="AG7" i="82" a="1"/>
  <c r="AG7" i="82" s="1"/>
  <c r="AB7" i="82" a="1"/>
  <c r="AB7" i="82" s="1"/>
  <c r="AA7" i="82" a="1"/>
  <c r="AA7" i="82" s="1"/>
  <c r="Z7" i="82" a="1"/>
  <c r="Z7" i="82" s="1"/>
  <c r="AC7" i="82" a="1"/>
  <c r="AC7" i="82" s="1"/>
  <c r="X7" i="82" a="1"/>
  <c r="X7" i="82" s="1"/>
  <c r="W7" i="82" a="1"/>
  <c r="W7" i="82" s="1"/>
  <c r="V7" i="82" a="1"/>
  <c r="V7" i="82" s="1"/>
  <c r="Y7" i="82" a="1"/>
  <c r="Y7" i="82" s="1"/>
  <c r="T7" i="82" a="1"/>
  <c r="T7" i="82" s="1"/>
  <c r="S7" i="82" a="1"/>
  <c r="S7" i="82" s="1"/>
  <c r="U7" i="82" a="1"/>
  <c r="U7" i="82" s="1"/>
  <c r="R7" i="82" a="1"/>
  <c r="R7" i="82" s="1"/>
  <c r="P7" i="82" a="1"/>
  <c r="P7" i="82" s="1"/>
  <c r="O7" i="82" a="1"/>
  <c r="O7" i="82" s="1"/>
  <c r="N7" i="82" a="1"/>
  <c r="N7" i="82" s="1"/>
  <c r="Q7" i="82" a="1"/>
  <c r="Q7" i="82" s="1"/>
  <c r="K7" i="82" a="1"/>
  <c r="K7" i="82" s="1"/>
  <c r="L7" i="82" a="1"/>
  <c r="L7" i="82" s="1"/>
  <c r="J7" i="82" a="1"/>
  <c r="J7" i="82" s="1"/>
  <c r="J6" i="82" s="1" a="1"/>
  <c r="J6" i="82" s="1"/>
  <c r="M7" i="82" a="1"/>
  <c r="M7" i="82" s="1"/>
  <c r="CO35" i="82"/>
  <c r="CO31" i="82"/>
  <c r="CO23" i="82"/>
  <c r="CO33" i="82"/>
  <c r="CO25" i="82"/>
  <c r="CO29" i="82"/>
  <c r="CO27" i="82"/>
  <c r="CP35" i="82" l="1"/>
  <c r="H35" i="82" s="1"/>
  <c r="CP33" i="82"/>
  <c r="H33" i="82" s="1"/>
  <c r="CP31" i="82"/>
  <c r="H31" i="82" s="1"/>
  <c r="CP25" i="82"/>
  <c r="H25" i="82" s="1"/>
  <c r="CP23" i="82"/>
  <c r="H23" i="82" s="1"/>
  <c r="AM36" i="77"/>
  <c r="L6" i="82" a="1"/>
  <c r="L6" i="82" s="1"/>
  <c r="N6" i="82" s="1" a="1"/>
  <c r="N6" i="82" s="1"/>
  <c r="P6" i="82" s="1" a="1"/>
  <c r="P6" i="82" s="1"/>
  <c r="R6" i="82" s="1" a="1"/>
  <c r="R6" i="82" s="1"/>
  <c r="T6" i="82" s="1" a="1"/>
  <c r="T6" i="82" s="1"/>
  <c r="V6" i="82" s="1" a="1"/>
  <c r="V6" i="82" s="1"/>
  <c r="X6" i="82" s="1" a="1"/>
  <c r="X6" i="82" s="1"/>
  <c r="Z6" i="82" s="1" a="1"/>
  <c r="Z6" i="82" s="1"/>
  <c r="AB6" i="82" s="1" a="1"/>
  <c r="AB6" i="82" s="1"/>
  <c r="AD6" i="82" s="1" a="1"/>
  <c r="AD6" i="82" s="1"/>
  <c r="AF6" i="82" s="1" a="1"/>
  <c r="AF6" i="82" s="1"/>
  <c r="AH6" i="82" s="1" a="1"/>
  <c r="AH6" i="82" s="1"/>
  <c r="AJ6" i="82" s="1" a="1"/>
  <c r="AJ6" i="82" s="1"/>
  <c r="AL6" i="82" s="1" a="1"/>
  <c r="AL6" i="82" s="1"/>
  <c r="AN6" i="82" s="1" a="1"/>
  <c r="AN6" i="82" s="1"/>
  <c r="AP6" i="82" s="1" a="1"/>
  <c r="AP6" i="82" s="1"/>
  <c r="AR6" i="82" s="1" a="1"/>
  <c r="AR6" i="82" s="1"/>
  <c r="AT6" i="82" s="1" a="1"/>
  <c r="AT6" i="82" s="1"/>
  <c r="AV6" i="82" s="1" a="1"/>
  <c r="AV6" i="82" s="1"/>
  <c r="AX6" i="82" s="1" a="1"/>
  <c r="AX6" i="82" s="1"/>
  <c r="AZ6" i="82" s="1" a="1"/>
  <c r="AZ6" i="82" s="1"/>
  <c r="BB6" i="82" s="1" a="1"/>
  <c r="BB6" i="82" s="1"/>
  <c r="BD6" i="82" s="1" a="1"/>
  <c r="BD6" i="82" s="1"/>
  <c r="BF6" i="82" s="1" a="1"/>
  <c r="BF6" i="82" s="1"/>
  <c r="BH6" i="82" s="1" a="1"/>
  <c r="BH6" i="82" s="1"/>
  <c r="BJ6" i="82" s="1" a="1"/>
  <c r="BJ6" i="82" s="1"/>
  <c r="BL6" i="82" s="1" a="1"/>
  <c r="BL6" i="82" s="1"/>
  <c r="BN6" i="82" s="1" a="1"/>
  <c r="BN6" i="82" s="1"/>
  <c r="BP6" i="82" s="1" a="1"/>
  <c r="BP6" i="82" s="1"/>
  <c r="BR6" i="82" s="1" a="1"/>
  <c r="BR6" i="82" s="1"/>
  <c r="BT6" i="82" s="1" a="1"/>
  <c r="BT6" i="82" s="1"/>
  <c r="CP27" i="82"/>
  <c r="H27" i="82" s="1"/>
  <c r="CP29" i="82"/>
  <c r="H29" i="82" s="1"/>
  <c r="DC18" i="82" l="1"/>
  <c r="FY26" i="40" l="1"/>
  <c r="CG6" i="69"/>
  <c r="CN6" i="69" s="1"/>
  <c r="EL7" i="69" s="1"/>
  <c r="EL9" i="69" s="1"/>
  <c r="CD43" i="82"/>
  <c r="CH6" i="69"/>
  <c r="CN8" i="69" s="1"/>
  <c r="ER11" i="69" s="1"/>
  <c r="R16" i="16" l="1"/>
  <c r="DP34" i="89" l="1"/>
  <c r="DP35" i="89" l="1"/>
  <c r="DP36" i="89" l="1"/>
  <c r="DP37" i="89" l="1"/>
  <c r="DP38" i="89" l="1"/>
  <c r="DP39" i="89" l="1"/>
  <c r="DP41" i="89" l="1"/>
  <c r="DP40" i="89"/>
  <c r="DP42" i="89" l="1"/>
  <c r="DP43" i="89" l="1"/>
  <c r="DP44" i="89" l="1"/>
  <c r="DP45" i="89" l="1"/>
  <c r="DP46" i="89" l="1"/>
  <c r="DP47" i="89" l="1"/>
  <c r="DP48" i="89" l="1"/>
  <c r="DP49" i="89" l="1"/>
  <c r="DP50" i="89" l="1"/>
  <c r="DP51" i="89" l="1"/>
  <c r="DP52" i="89" l="1"/>
  <c r="DP53" i="89" l="1"/>
  <c r="DP54" i="89" l="1"/>
  <c r="DP55" i="89" l="1"/>
  <c r="DP56" i="89" l="1"/>
  <c r="DP57" i="89" l="1"/>
  <c r="DP58" i="89" l="1"/>
  <c r="DP59" i="89" l="1"/>
  <c r="DP60" i="89"/>
  <c r="DP61" i="89" l="1"/>
  <c r="DP62" i="89" l="1"/>
  <c r="DP63" i="89" l="1"/>
  <c r="DP64" i="89" l="1"/>
  <c r="DP65" i="89" l="1"/>
  <c r="DP66" i="89" l="1"/>
  <c r="DX7" i="89" s="1" a="1"/>
  <c r="DX7" i="89" s="1"/>
  <c r="S97" i="86" l="1"/>
  <c r="H47" i="43"/>
  <c r="EH196" i="40" s="1"/>
  <c r="EJ109" i="40"/>
  <c r="H43" i="43"/>
  <c r="EH193" i="40" s="1"/>
  <c r="EH152" i="40"/>
  <c r="EH109" i="40" s="1"/>
  <c r="EH85" i="40"/>
  <c r="EH95" i="40" s="1"/>
  <c r="CB28" i="16"/>
  <c r="BP31" i="16" s="1"/>
  <c r="CZ15" i="16"/>
  <c r="H3" i="43" s="1"/>
  <c r="DK16" i="16"/>
  <c r="CQ32" i="43" s="1"/>
  <c r="A28" i="16"/>
  <c r="EH47" i="40"/>
  <c r="EH55" i="40" s="1"/>
  <c r="DE26" i="40" s="1"/>
  <c r="DE24" i="40" l="1"/>
  <c r="DE25" i="40"/>
  <c r="W13" i="16"/>
  <c r="S44" i="77"/>
  <c r="P45" i="77" s="1"/>
  <c r="AD21" i="43"/>
  <c r="DG10" i="68" s="1"/>
  <c r="DE11" i="68" s="1"/>
  <c r="CJ16" i="16"/>
  <c r="CJ23" i="16"/>
  <c r="CJ4" i="16"/>
  <c r="CH4" i="16" s="1"/>
  <c r="CJ25" i="16"/>
  <c r="CJ21" i="16"/>
  <c r="CJ13" i="16"/>
  <c r="CH13" i="16" s="1"/>
  <c r="P9" i="77"/>
  <c r="CJ24" i="16"/>
  <c r="CH24" i="16" s="1"/>
  <c r="CJ22" i="16"/>
  <c r="CH22" i="16" s="1"/>
  <c r="EK56" i="40"/>
  <c r="EO7" i="68" s="1"/>
  <c r="EQ9" i="68" s="1" a="1"/>
  <c r="EQ9" i="68" s="1"/>
  <c r="H55" i="43"/>
  <c r="EF109" i="40"/>
  <c r="F2" i="43"/>
  <c r="L30" i="16"/>
  <c r="L31" i="16"/>
  <c r="L29" i="16"/>
  <c r="L32" i="16"/>
  <c r="L33" i="16"/>
  <c r="J2" i="43"/>
  <c r="ED109" i="40"/>
  <c r="R32" i="43" s="1"/>
  <c r="EH179" i="40"/>
  <c r="EH94" i="40"/>
  <c r="BP33" i="16"/>
  <c r="H2" i="43"/>
  <c r="CJ15" i="16"/>
  <c r="CH15" i="16" s="1"/>
  <c r="CJ18" i="16"/>
  <c r="CH18" i="16" s="1"/>
  <c r="BP30" i="16"/>
  <c r="BP29" i="16"/>
  <c r="CJ17" i="16"/>
  <c r="CH17" i="16" s="1"/>
  <c r="CJ27" i="16"/>
  <c r="CH27" i="16" s="1"/>
  <c r="CJ2" i="16"/>
  <c r="CK2" i="16" s="1"/>
  <c r="BP32" i="16"/>
  <c r="CJ3" i="16"/>
  <c r="CH3" i="16" s="1"/>
  <c r="CC28" i="16"/>
  <c r="AF21" i="43" s="1"/>
  <c r="CJ6" i="16"/>
  <c r="CH6" i="16" s="1"/>
  <c r="CJ9" i="16"/>
  <c r="CH9" i="16" s="1"/>
  <c r="CJ19" i="16"/>
  <c r="CH19" i="16" s="1"/>
  <c r="CJ20" i="16"/>
  <c r="CH20" i="16" s="1"/>
  <c r="CJ12" i="16"/>
  <c r="CH12" i="16" s="1"/>
  <c r="CJ26" i="16"/>
  <c r="CH26" i="16" s="1"/>
  <c r="CJ8" i="16"/>
  <c r="CH8" i="16" s="1"/>
  <c r="CJ7" i="16"/>
  <c r="CH7" i="16" s="1"/>
  <c r="CJ11" i="16"/>
  <c r="CH11" i="16" s="1"/>
  <c r="CJ14" i="16"/>
  <c r="CH14" i="16" s="1"/>
  <c r="CJ10" i="16"/>
  <c r="CH10" i="16" s="1"/>
  <c r="CJ5" i="16"/>
  <c r="CH5" i="16" s="1"/>
  <c r="AM22" i="43"/>
  <c r="CJ28" i="16"/>
  <c r="CK16" i="16" l="1"/>
  <c r="CH16" i="16"/>
  <c r="DH21" i="16"/>
  <c r="BP21" i="16" s="1"/>
  <c r="CH21" i="16"/>
  <c r="DP10" i="68"/>
  <c r="DH23" i="16"/>
  <c r="L23" i="16" s="1"/>
  <c r="CH23" i="16"/>
  <c r="DH25" i="16"/>
  <c r="L25" i="16" s="1"/>
  <c r="CH25" i="16"/>
  <c r="DE10" i="68"/>
  <c r="CK21" i="16"/>
  <c r="CH28" i="16"/>
  <c r="AM21" i="43"/>
  <c r="CK23" i="16"/>
  <c r="DH16" i="16"/>
  <c r="CK25" i="16"/>
  <c r="CK13" i="16"/>
  <c r="DH13" i="16"/>
  <c r="CK4" i="16"/>
  <c r="DH4" i="16"/>
  <c r="CK22" i="16"/>
  <c r="DH22" i="16"/>
  <c r="CK24" i="16"/>
  <c r="DH24" i="16"/>
  <c r="AL58" i="43"/>
  <c r="O9" i="77"/>
  <c r="EH178" i="40"/>
  <c r="EH180" i="40"/>
  <c r="CK6" i="16"/>
  <c r="DH6" i="16"/>
  <c r="CK17" i="16"/>
  <c r="DH17" i="16"/>
  <c r="AD32" i="43"/>
  <c r="CN32" i="43"/>
  <c r="CT32" i="43" s="1"/>
  <c r="CP14" i="43" s="1"/>
  <c r="CK11" i="16"/>
  <c r="DH11" i="16"/>
  <c r="AU22" i="16"/>
  <c r="AI22" i="16"/>
  <c r="BA16" i="43"/>
  <c r="AA22" i="16"/>
  <c r="AG22" i="16"/>
  <c r="BA22" i="16"/>
  <c r="O3" i="71"/>
  <c r="AR16" i="43"/>
  <c r="W16" i="43"/>
  <c r="Y22" i="16"/>
  <c r="M3" i="71"/>
  <c r="K3" i="71"/>
  <c r="AK22" i="16"/>
  <c r="BJ16" i="43"/>
  <c r="I3" i="71"/>
  <c r="Q16" i="43"/>
  <c r="AF16" i="43"/>
  <c r="AW22" i="16"/>
  <c r="E60" i="71"/>
  <c r="G60" i="71" s="1"/>
  <c r="AY22" i="16"/>
  <c r="AQ22" i="16"/>
  <c r="AC22" i="16"/>
  <c r="G3" i="71"/>
  <c r="AS22" i="16"/>
  <c r="T16" i="43"/>
  <c r="AI16" i="43"/>
  <c r="BG16" i="43"/>
  <c r="BD16" i="43"/>
  <c r="BC22" i="16"/>
  <c r="AC16" i="43"/>
  <c r="AX16" i="43"/>
  <c r="E3" i="71"/>
  <c r="Z16" i="43"/>
  <c r="AE22" i="16"/>
  <c r="AU16" i="43"/>
  <c r="Q3" i="71"/>
  <c r="AQ22" i="43"/>
  <c r="AO22" i="43"/>
  <c r="AJ22" i="43"/>
  <c r="CK7" i="16"/>
  <c r="DH7" i="16"/>
  <c r="CK8" i="16"/>
  <c r="DH8" i="16"/>
  <c r="DH3" i="16"/>
  <c r="CK3" i="16"/>
  <c r="BI41" i="77"/>
  <c r="BF42" i="77" s="1"/>
  <c r="BE13" i="16"/>
  <c r="BF6" i="77"/>
  <c r="DH26" i="16"/>
  <c r="CK26" i="16"/>
  <c r="CK5" i="16"/>
  <c r="DH5" i="16"/>
  <c r="DH12" i="16"/>
  <c r="CK12" i="16"/>
  <c r="DH37" i="40"/>
  <c r="CE26" i="40"/>
  <c r="DE23" i="40"/>
  <c r="DH14" i="16"/>
  <c r="CK14" i="16"/>
  <c r="DH27" i="16"/>
  <c r="CK27" i="16"/>
  <c r="EE109" i="40"/>
  <c r="H51" i="43"/>
  <c r="CK9" i="16"/>
  <c r="DH9" i="16"/>
  <c r="DH28" i="16"/>
  <c r="CK28" i="16"/>
  <c r="CK10" i="16"/>
  <c r="DH10" i="16"/>
  <c r="DH20" i="16"/>
  <c r="CK20" i="16"/>
  <c r="CK18" i="16"/>
  <c r="DH18" i="16"/>
  <c r="DH19" i="16"/>
  <c r="CK19" i="16"/>
  <c r="CK15" i="16"/>
  <c r="DH15" i="16"/>
  <c r="L21" i="16" l="1"/>
  <c r="BP25" i="16"/>
  <c r="BP23" i="16"/>
  <c r="AO21" i="43"/>
  <c r="AN16" i="43" s="1"/>
  <c r="CH35" i="16"/>
  <c r="DE52" i="16" s="1"/>
  <c r="DH52" i="16" s="1"/>
  <c r="T55" i="43" s="1"/>
  <c r="DC12" i="16"/>
  <c r="N16" i="43" s="1"/>
  <c r="L16" i="16"/>
  <c r="BP16" i="16"/>
  <c r="L22" i="16"/>
  <c r="BP22" i="16"/>
  <c r="BP4" i="16"/>
  <c r="L4" i="16"/>
  <c r="BP13" i="16"/>
  <c r="L13" i="16"/>
  <c r="BP24" i="16"/>
  <c r="L24" i="16"/>
  <c r="BN1" i="16"/>
  <c r="CI14" i="43"/>
  <c r="AG6" i="77"/>
  <c r="M51" i="71"/>
  <c r="O51" i="71" s="1"/>
  <c r="DE47" i="16"/>
  <c r="BP15" i="16"/>
  <c r="L15" i="16"/>
  <c r="L10" i="16"/>
  <c r="BP10" i="16"/>
  <c r="L12" i="16"/>
  <c r="BP12" i="16"/>
  <c r="BP27" i="16"/>
  <c r="L27" i="16"/>
  <c r="BP5" i="16"/>
  <c r="L5" i="16"/>
  <c r="L3" i="16"/>
  <c r="BP3" i="16"/>
  <c r="L17" i="16"/>
  <c r="BP17" i="16"/>
  <c r="BP8" i="16"/>
  <c r="L8" i="16"/>
  <c r="L19" i="16"/>
  <c r="BP19" i="16"/>
  <c r="L28" i="16"/>
  <c r="BP28" i="16"/>
  <c r="BP14" i="16"/>
  <c r="L14" i="16"/>
  <c r="L6" i="16"/>
  <c r="BP6" i="16"/>
  <c r="L18" i="16"/>
  <c r="BP18" i="16"/>
  <c r="BP9" i="16"/>
  <c r="L9" i="16"/>
  <c r="L26" i="16"/>
  <c r="BP26" i="16"/>
  <c r="L7" i="16"/>
  <c r="BP7" i="16"/>
  <c r="CM26" i="40"/>
  <c r="N8" i="43"/>
  <c r="CE28" i="40"/>
  <c r="BG59" i="40" s="1"/>
  <c r="Z148" i="71"/>
  <c r="BM7" i="77"/>
  <c r="AO55" i="43"/>
  <c r="BP11" i="16"/>
  <c r="L11" i="16"/>
  <c r="BP20" i="16"/>
  <c r="L20" i="16"/>
  <c r="BG57" i="40" l="1"/>
  <c r="BL32" i="40" s="1"/>
  <c r="BG58" i="40"/>
  <c r="BH59" i="40" s="1"/>
  <c r="M42" i="71"/>
  <c r="O42" i="71" s="1"/>
  <c r="CD21" i="77"/>
  <c r="AM15" i="43"/>
  <c r="BM16" i="43"/>
  <c r="EY7" i="68"/>
  <c r="FA9" i="68" s="1" a="1"/>
  <c r="FA9" i="68" s="1"/>
  <c r="CM28" i="40" a="1"/>
  <c r="CM28" i="40" s="1"/>
  <c r="DH47" i="16"/>
  <c r="AA120" i="71"/>
  <c r="Z121" i="71" s="1"/>
  <c r="BZ36" i="40"/>
  <c r="EM8" i="43"/>
  <c r="AA13" i="16"/>
  <c r="S41" i="77"/>
  <c r="P42" i="77" s="1"/>
  <c r="U13" i="16"/>
  <c r="P6" i="77"/>
  <c r="CL14" i="43"/>
  <c r="CT14" i="43" s="1"/>
  <c r="AC13" i="16" s="1"/>
  <c r="E51" i="71"/>
  <c r="G51" i="71" s="1"/>
  <c r="CN66" i="16"/>
  <c r="CQ66" i="16" s="1"/>
  <c r="AL46" i="43" s="1"/>
  <c r="BH58" i="40" l="1"/>
  <c r="BG56" i="40"/>
  <c r="BL31" i="40" s="1"/>
  <c r="CE27" i="40"/>
  <c r="BL34" i="40"/>
  <c r="AL56" i="43"/>
  <c r="O7" i="77"/>
  <c r="T56" i="43"/>
  <c r="AK3" i="16"/>
  <c r="F22" i="68" a="1"/>
  <c r="F22" i="68" s="1"/>
  <c r="AN120" i="71"/>
  <c r="EF2" i="68"/>
  <c r="EF3" i="68" s="1"/>
  <c r="BL33" i="40" l="1"/>
  <c r="BH57" i="40"/>
  <c r="BH56" i="40"/>
  <c r="EN8" i="43"/>
  <c r="CH36" i="40"/>
  <c r="AM13" i="16" s="1"/>
  <c r="E42" i="71" s="1"/>
  <c r="G42" i="71" s="1"/>
  <c r="AJ4" i="77"/>
  <c r="DD28" i="68" a="1"/>
  <c r="DD28" i="68" s="1"/>
  <c r="U28" i="68" s="1"/>
  <c r="EJ14" i="68" a="1"/>
  <c r="EJ14" i="68" s="1"/>
  <c r="BA14" i="68" s="1"/>
  <c r="EC11" i="68" a="1"/>
  <c r="EC11" i="68" s="1"/>
  <c r="AT11" i="68" s="1"/>
  <c r="EN17" i="68" a="1"/>
  <c r="EN17" i="68" s="1"/>
  <c r="BE17" i="68" s="1"/>
  <c r="FF28" i="68" a="1"/>
  <c r="FF28" i="68" s="1"/>
  <c r="BW28" i="68" s="1"/>
  <c r="EM17" i="68" a="1"/>
  <c r="EM17" i="68" s="1"/>
  <c r="BD17" i="68" s="1"/>
  <c r="DL17" i="68" a="1"/>
  <c r="DL17" i="68" s="1"/>
  <c r="AG19" i="68" s="1"/>
  <c r="DL24" i="68" a="1"/>
  <c r="DL24" i="68" s="1"/>
  <c r="AC24" i="68" s="1"/>
  <c r="EN24" i="68" a="1"/>
  <c r="EN24" i="68" s="1"/>
  <c r="BE24" i="68" s="1"/>
  <c r="EI14" i="68" a="1"/>
  <c r="EI14" i="68" s="1"/>
  <c r="AZ14" i="68" s="1"/>
  <c r="DN17" i="68" a="1"/>
  <c r="DN17" i="68" s="1"/>
  <c r="AI20" i="68" s="1"/>
  <c r="EY24" i="68" a="1"/>
  <c r="EY24" i="68" s="1"/>
  <c r="BP24" i="68" s="1"/>
  <c r="DT20" i="68" a="1"/>
  <c r="DT20" i="68" s="1"/>
  <c r="AK20" i="68" s="1"/>
  <c r="EY17" i="68" a="1"/>
  <c r="EY17" i="68" s="1"/>
  <c r="BM19" i="68" s="1"/>
  <c r="EC8" i="68"/>
  <c r="AT8" i="68" s="1"/>
  <c r="EE14" i="68" a="1"/>
  <c r="EE14" i="68" s="1"/>
  <c r="AV14" i="68" s="1"/>
  <c r="EV18" i="68" a="1"/>
  <c r="EV18" i="68" s="1"/>
  <c r="BJ20" i="68" s="1"/>
  <c r="DE24" i="68" a="1"/>
  <c r="DE24" i="68" s="1"/>
  <c r="V24" i="68" s="1"/>
  <c r="DU24" i="68" a="1"/>
  <c r="DU24" i="68" s="1"/>
  <c r="AL24" i="68" s="1"/>
  <c r="EU22" i="68" a="1"/>
  <c r="EU22" i="68" s="1"/>
  <c r="BL21" i="68" s="1"/>
  <c r="DP18" i="68" a="1"/>
  <c r="DP18" i="68" s="1"/>
  <c r="AJ22" i="68" s="1"/>
  <c r="ET22" i="68" a="1"/>
  <c r="ET22" i="68" s="1"/>
  <c r="BK22" i="68" s="1"/>
  <c r="DH26" i="68" a="1"/>
  <c r="DH26" i="68" s="1"/>
  <c r="Y26" i="68" s="1"/>
  <c r="EQ20" i="68" a="1"/>
  <c r="EQ20" i="68" s="1"/>
  <c r="BH20" i="68" s="1"/>
  <c r="DP22" i="68" a="1"/>
  <c r="DP22" i="68" s="1"/>
  <c r="AG23" i="68" s="1"/>
  <c r="EE20" i="68" a="1"/>
  <c r="EE20" i="68" s="1"/>
  <c r="AV20" i="68" s="1"/>
  <c r="EA14" i="68" a="1"/>
  <c r="EA14" i="68" s="1"/>
  <c r="AR14" i="68" s="1"/>
  <c r="EC14" i="68" a="1"/>
  <c r="EC14" i="68" s="1"/>
  <c r="AU14" i="68" s="1"/>
  <c r="DJ26" i="68" a="1"/>
  <c r="DJ26" i="68" s="1"/>
  <c r="AA26" i="68" s="1"/>
  <c r="EW17" i="68" a="1"/>
  <c r="EW17" i="68" s="1"/>
  <c r="BK19" i="68" s="1"/>
  <c r="DK18" i="68" a="1"/>
  <c r="DK18" i="68" s="1"/>
  <c r="AF21" i="68" s="1"/>
  <c r="FG23" i="68" a="1"/>
  <c r="FG23" i="68" s="1"/>
  <c r="BX23" i="68" s="1"/>
  <c r="DR22" i="68" a="1"/>
  <c r="DR22" i="68" s="1"/>
  <c r="AI23" i="68" s="1"/>
  <c r="EG11" i="68" a="1"/>
  <c r="EG11" i="68" s="1"/>
  <c r="AX11" i="68" s="1"/>
  <c r="FC26" i="68" a="1"/>
  <c r="FC26" i="68" s="1"/>
  <c r="BT26" i="68" s="1"/>
  <c r="FA18" i="68" a="1"/>
  <c r="FA18" i="68" s="1"/>
  <c r="BO20" i="68" s="1"/>
  <c r="EH11" i="68" a="1"/>
  <c r="EH11" i="68" s="1"/>
  <c r="AY11" i="68" s="1"/>
  <c r="DX17" i="68" a="1"/>
  <c r="DX17" i="68" s="1"/>
  <c r="AO17" i="68" s="1"/>
  <c r="EX28" i="68" a="1"/>
  <c r="EX28" i="68" s="1"/>
  <c r="BO28" i="68" s="1"/>
  <c r="FG28" i="68" a="1"/>
  <c r="FG28" i="68" s="1"/>
  <c r="BX28" i="68" s="1"/>
  <c r="EC4" i="68"/>
  <c r="AT4" i="68" s="1"/>
  <c r="FB26" i="68" a="1"/>
  <c r="FB26" i="68" s="1"/>
  <c r="BS26" i="68" s="1"/>
  <c r="EH4" i="68"/>
  <c r="AY4" i="68" s="1"/>
  <c r="DL28" i="68" a="1"/>
  <c r="DL28" i="68" s="1"/>
  <c r="AC28" i="68" s="1"/>
  <c r="EF11" i="68"/>
  <c r="DF28" i="68" a="1"/>
  <c r="DF28" i="68" s="1"/>
  <c r="W28" i="68" s="1"/>
  <c r="DZ17" i="68" a="1"/>
  <c r="DZ17" i="68" s="1"/>
  <c r="AQ17" i="68" s="1"/>
  <c r="EE11" i="68" a="1"/>
  <c r="EE11" i="68" s="1"/>
  <c r="AW11" i="68" s="1"/>
  <c r="AL134" i="71"/>
  <c r="AL142" i="71"/>
  <c r="AL132" i="71"/>
  <c r="AL135" i="71"/>
  <c r="AL136" i="71"/>
  <c r="AL139" i="71"/>
  <c r="AL123" i="71"/>
  <c r="AL140" i="71"/>
  <c r="AL138" i="71"/>
  <c r="AL128" i="71"/>
  <c r="AL121" i="71"/>
  <c r="AL129" i="71"/>
  <c r="AL124" i="71"/>
  <c r="AL130" i="71"/>
  <c r="AL131" i="71"/>
  <c r="AL125" i="71"/>
  <c r="AL133" i="71"/>
  <c r="AL126" i="71"/>
  <c r="AL122" i="71"/>
  <c r="AL137" i="71"/>
  <c r="AL141" i="71"/>
  <c r="AL127" i="71"/>
  <c r="AL143" i="71"/>
  <c r="G25" i="40"/>
  <c r="CN60" i="16" l="1"/>
  <c r="CQ60" i="16" s="1"/>
  <c r="AX45" i="43" s="1"/>
  <c r="AM44" i="43" s="1"/>
  <c r="E48" i="71" s="1"/>
  <c r="G48" i="71" s="1"/>
  <c r="AR13" i="16"/>
  <c r="T13" i="16"/>
  <c r="G6" i="77"/>
  <c r="AL55" i="43" s="1"/>
  <c r="J41" i="77"/>
  <c r="G42" i="77" s="1"/>
  <c r="CC5" i="77"/>
  <c r="AM20" i="77"/>
  <c r="AG8" i="43"/>
  <c r="AD8" i="43"/>
  <c r="R8" i="43"/>
  <c r="T8" i="43"/>
  <c r="Q8" i="43"/>
  <c r="AJ8" i="43"/>
  <c r="U8" i="43"/>
  <c r="Y8" i="43"/>
  <c r="P8" i="43"/>
  <c r="W8" i="43"/>
  <c r="X8" i="43"/>
  <c r="Z8" i="43"/>
  <c r="AA8" i="43"/>
  <c r="AI8" i="43"/>
  <c r="V8" i="43"/>
  <c r="AC8" i="43"/>
  <c r="AE8" i="43"/>
  <c r="AF8" i="43"/>
  <c r="AH8" i="43"/>
  <c r="S8" i="43"/>
  <c r="AB8" i="43"/>
  <c r="O8" i="43"/>
  <c r="F51" i="40"/>
  <c r="G27" i="40" l="1"/>
  <c r="F53" i="40" s="1"/>
  <c r="G28" i="40"/>
  <c r="F54" i="40" s="1"/>
  <c r="CQ81" i="16"/>
  <c r="N7" i="77"/>
  <c r="G26" i="40"/>
  <c r="CC9" i="77"/>
  <c r="BR44" i="77"/>
  <c r="BO45" i="77" s="1"/>
  <c r="AG19" i="77"/>
  <c r="BH13" i="16"/>
  <c r="BO9" i="77"/>
  <c r="F52" i="40" l="1"/>
  <c r="I49" i="40" s="1"/>
  <c r="I28" i="40"/>
  <c r="BN9" i="77"/>
  <c r="E45" i="71" s="1"/>
  <c r="G45" i="71" s="1"/>
  <c r="AO58" i="43"/>
  <c r="AM54" i="43" s="1"/>
  <c r="AQ13" i="77"/>
  <c r="AU16" i="77"/>
  <c r="AK12" i="77"/>
  <c r="AL13" i="77"/>
  <c r="AP12" i="77"/>
  <c r="AM15" i="77"/>
  <c r="AI14" i="77"/>
  <c r="AN9" i="77"/>
  <c r="AM16" i="77"/>
  <c r="AJ16" i="77"/>
  <c r="AL12" i="77"/>
  <c r="AO15" i="77"/>
  <c r="AH15" i="77"/>
  <c r="AL14" i="77"/>
  <c r="AJ13" i="77"/>
  <c r="AI16" i="77"/>
  <c r="AN13" i="77"/>
  <c r="AL15" i="77"/>
  <c r="AN16" i="77"/>
  <c r="AM13" i="77"/>
  <c r="AM10" i="77"/>
  <c r="AN11" i="77"/>
  <c r="AQ12" i="77"/>
  <c r="B42" i="40"/>
  <c r="AR16" i="77"/>
  <c r="AO12" i="77"/>
  <c r="AK14" i="77"/>
  <c r="AH16" i="77"/>
  <c r="AP13" i="77"/>
  <c r="AQ16" i="77"/>
  <c r="AJ15" i="77"/>
  <c r="CJ21" i="77"/>
  <c r="AN14" i="77"/>
  <c r="AN15" i="77"/>
  <c r="AN10" i="77"/>
  <c r="AO11" i="77"/>
  <c r="AO10" i="77"/>
  <c r="AS14" i="77"/>
  <c r="AO16" i="77"/>
  <c r="AK13" i="77"/>
  <c r="AR14" i="77"/>
  <c r="AP14" i="77"/>
  <c r="AM11" i="77"/>
  <c r="AP16" i="77"/>
  <c r="AJ14" i="77"/>
  <c r="AR15" i="77"/>
  <c r="AN12" i="77"/>
  <c r="AO13" i="77"/>
  <c r="AT16" i="77"/>
  <c r="AO14" i="77"/>
  <c r="AL16" i="77"/>
  <c r="AR13" i="77"/>
  <c r="AM14" i="77"/>
  <c r="AS15" i="77"/>
  <c r="AT15" i="77"/>
  <c r="AI15" i="77"/>
  <c r="AS16" i="77"/>
  <c r="AK15" i="77"/>
  <c r="AP15" i="77"/>
  <c r="AM12" i="77"/>
  <c r="AL11" i="77"/>
  <c r="AK16" i="77"/>
  <c r="AG16" i="77"/>
  <c r="AP11" i="77"/>
  <c r="AQ15" i="77"/>
  <c r="AQ14" i="77"/>
  <c r="I42" i="40" l="1"/>
  <c r="CO5" i="77" s="1"/>
  <c r="D43" i="40"/>
  <c r="CJ5" i="77" s="1"/>
  <c r="CV17" i="70"/>
  <c r="CL12" i="70"/>
  <c r="AG3" i="70"/>
  <c r="CI57" i="77" l="1"/>
  <c r="BF57" i="77" s="1"/>
  <c r="E43" i="40" s="1" a="1"/>
  <c r="E43" i="40" s="1"/>
  <c r="F43" i="40" s="1"/>
  <c r="CC57" i="77"/>
  <c r="G57" i="77" s="1"/>
  <c r="AG35" i="77" a="1"/>
  <c r="AG35" i="77" s="1"/>
  <c r="CO9" i="77"/>
  <c r="AY3" i="70"/>
  <c r="AP3" i="70"/>
  <c r="AN29" i="77" l="1"/>
  <c r="AJ25" i="77"/>
  <c r="AU29" i="77"/>
  <c r="AU28" i="77"/>
  <c r="AP26" i="77"/>
  <c r="AU32" i="77"/>
  <c r="AO27" i="77"/>
  <c r="AJ29" i="77"/>
  <c r="AM28" i="77"/>
  <c r="AK25" i="77"/>
  <c r="AH27" i="77"/>
  <c r="AR26" i="77"/>
  <c r="AL27" i="77"/>
  <c r="AT31" i="77"/>
  <c r="AG27" i="77"/>
  <c r="FH22" i="68"/>
  <c r="BY22" i="68" s="1"/>
  <c r="AG30" i="77"/>
  <c r="AG29" i="77"/>
  <c r="AG32" i="77"/>
  <c r="AL31" i="77"/>
  <c r="AJ28" i="77"/>
  <c r="AI30" i="77"/>
  <c r="AS27" i="77"/>
  <c r="AT25" i="77"/>
  <c r="AQ30" i="77"/>
  <c r="AH28" i="77"/>
  <c r="AG25" i="77"/>
  <c r="AN30" i="77"/>
  <c r="AQ28" i="77"/>
  <c r="AJ31" i="77"/>
  <c r="AQ32" i="77"/>
  <c r="AL25" i="77"/>
  <c r="AP29" i="77"/>
  <c r="AT30" i="77"/>
  <c r="AT28" i="77"/>
  <c r="AQ29" i="77"/>
  <c r="AK27" i="77"/>
  <c r="AT29" i="77"/>
  <c r="AT26" i="77"/>
  <c r="AO28" i="77"/>
  <c r="AJ26" i="77"/>
  <c r="AP27" i="77"/>
  <c r="AK28" i="77"/>
  <c r="AR31" i="77"/>
  <c r="AS28" i="77"/>
  <c r="AI27" i="77"/>
  <c r="AH30" i="77"/>
  <c r="AP28" i="77"/>
  <c r="AS30" i="77"/>
  <c r="AU27" i="77"/>
  <c r="AN31" i="77"/>
  <c r="AR32" i="77"/>
  <c r="AS29" i="77"/>
  <c r="AO29" i="77"/>
  <c r="AM30" i="77"/>
  <c r="AT32" i="77"/>
  <c r="AI31" i="77"/>
  <c r="AQ26" i="77"/>
  <c r="AM31" i="77"/>
  <c r="AL26" i="77"/>
  <c r="AG28" i="77"/>
  <c r="AR28" i="77"/>
  <c r="AS25" i="77"/>
  <c r="AU25" i="77"/>
  <c r="AU30" i="77"/>
  <c r="AM27" i="77"/>
  <c r="AG31" i="77"/>
  <c r="AP32" i="77"/>
  <c r="AI25" i="77"/>
  <c r="AL32" i="77"/>
  <c r="AJ32" i="77"/>
  <c r="AO32" i="77"/>
  <c r="AP25" i="77"/>
  <c r="AN28" i="77"/>
  <c r="AP31" i="77"/>
  <c r="AM26" i="77"/>
  <c r="AK31" i="77"/>
  <c r="AI28" i="77"/>
  <c r="AT27" i="77"/>
  <c r="AJ27" i="77"/>
  <c r="AQ27" i="77"/>
  <c r="AL29" i="77"/>
  <c r="AN26" i="77"/>
  <c r="AM29" i="77"/>
  <c r="AQ25" i="77"/>
  <c r="AK29" i="77"/>
  <c r="AM32" i="77"/>
  <c r="AK26" i="77"/>
  <c r="AL28" i="77"/>
  <c r="AL30" i="77"/>
  <c r="AO31" i="77"/>
  <c r="AO25" i="77"/>
  <c r="AM25" i="77"/>
  <c r="AN27" i="77"/>
  <c r="AG26" i="77"/>
  <c r="AN25" i="77"/>
  <c r="AU31" i="77"/>
  <c r="AU26" i="77"/>
  <c r="AH26" i="77"/>
  <c r="AK30" i="77"/>
  <c r="AO26" i="77"/>
  <c r="AP30" i="77"/>
  <c r="AI29" i="77"/>
  <c r="AN32" i="77"/>
  <c r="AR30" i="77"/>
  <c r="AR27" i="77"/>
  <c r="AS31" i="77"/>
  <c r="AO30" i="77"/>
  <c r="AS32" i="77"/>
  <c r="AQ31" i="77"/>
  <c r="AR25" i="77"/>
  <c r="AR29" i="77"/>
  <c r="AK32" i="77"/>
  <c r="AH32" i="77"/>
  <c r="AI32" i="77"/>
  <c r="AI26" i="77"/>
  <c r="AS26" i="77"/>
  <c r="AH25" i="77"/>
  <c r="AH29" i="77"/>
  <c r="AH31" i="77"/>
  <c r="AJ30" i="77"/>
  <c r="DC22" i="68"/>
  <c r="T22" i="68" s="1"/>
  <c r="BH3" i="70"/>
  <c r="BQ3" i="70" l="1"/>
  <c r="CE4" i="70"/>
  <c r="A23" i="69" l="1"/>
  <c r="A25" i="69"/>
  <c r="A21" i="69"/>
  <c r="AI135" i="16"/>
  <c r="W10" i="70"/>
  <c r="CL8" i="70" s="1"/>
  <c r="AF10" i="70" l="1"/>
  <c r="AO10" i="70" l="1"/>
  <c r="CL9" i="70"/>
  <c r="AX10" i="70" l="1"/>
  <c r="CL13" i="70"/>
  <c r="CL16" i="70"/>
  <c r="BG10" i="70" l="1"/>
  <c r="BP10" i="70" l="1"/>
  <c r="BY10" i="70" s="1"/>
  <c r="W16" i="70" s="1"/>
  <c r="CL21" i="70"/>
  <c r="CL33" i="70" s="1"/>
  <c r="CN5" i="70" s="1" a="1"/>
  <c r="CN5" i="70" s="1"/>
  <c r="CE10" i="70"/>
  <c r="AK135" i="16" l="1"/>
  <c r="CQ8" i="70"/>
  <c r="AF16" i="70"/>
  <c r="AO16" i="70" l="1"/>
  <c r="AX16" i="70" s="1"/>
  <c r="CQ9" i="70"/>
  <c r="CQ23" i="70"/>
  <c r="BG16" i="70" l="1"/>
  <c r="BP16" i="70" s="1"/>
  <c r="CQ25" i="70" s="1"/>
  <c r="CQ18" i="70"/>
  <c r="CQ33" i="70" l="1"/>
  <c r="CS5" i="70" s="1" a="1"/>
  <c r="CS5" i="70" s="1"/>
  <c r="BY16" i="70"/>
  <c r="W22" i="70" s="1"/>
  <c r="CV5" i="70" s="1"/>
  <c r="CE16" i="70"/>
  <c r="AM135" i="16" l="1"/>
  <c r="AF22" i="70"/>
  <c r="AO22" i="70" l="1"/>
  <c r="CV11" i="70"/>
  <c r="CV23" i="70"/>
  <c r="CV15" i="70" l="1"/>
  <c r="CV13" i="70"/>
  <c r="AX22" i="70"/>
  <c r="BG22" i="70" s="1"/>
  <c r="BP22" i="70" s="1"/>
  <c r="BY22" i="70" s="1"/>
  <c r="AO135" i="16" s="1"/>
  <c r="CV14" i="70"/>
  <c r="CE22" i="70"/>
  <c r="W28" i="70" l="1"/>
  <c r="X27" i="70" s="1"/>
  <c r="CV33" i="70"/>
  <c r="CX5" i="70" s="1" a="1"/>
  <c r="CX5" i="70" s="1"/>
  <c r="A17" i="69"/>
  <c r="A19" i="69"/>
  <c r="AF28" i="70" l="1"/>
  <c r="DA11" i="70" s="1"/>
  <c r="DA33" i="70" s="1"/>
  <c r="DC5" i="70" s="1" a="1"/>
  <c r="DC5" i="70" s="1"/>
  <c r="AG27" i="70" l="1"/>
  <c r="AO28" i="70"/>
  <c r="AX28" i="70" s="1"/>
  <c r="AP27" i="70" l="1"/>
  <c r="BG28" i="70"/>
  <c r="AY27" i="70"/>
  <c r="BH27" i="70" l="1"/>
  <c r="BP28" i="70" a="1"/>
  <c r="BP28" i="70" s="1"/>
  <c r="BQ27" i="70" l="1"/>
  <c r="BY28" i="70" a="1"/>
  <c r="BY28" i="70" s="1"/>
  <c r="BZ27" i="70" l="1"/>
  <c r="W34" i="70"/>
  <c r="AQ135" i="16"/>
  <c r="CE28" i="70"/>
  <c r="A15" i="69" l="1"/>
  <c r="CY22" i="69" a="1"/>
  <c r="CY22" i="69" s="1"/>
  <c r="CW18" i="69" s="1"/>
  <c r="X33" i="70"/>
  <c r="AF34" i="70"/>
  <c r="AU135" i="16"/>
  <c r="AG33" i="70" l="1"/>
  <c r="AO34" i="70"/>
  <c r="CW16" i="69"/>
  <c r="CW14" i="69"/>
  <c r="CZ20" i="69" l="1"/>
  <c r="EL23" i="69" s="1"/>
  <c r="AP33" i="70"/>
  <c r="AX34" i="70"/>
  <c r="EZ13" i="69" l="1"/>
  <c r="FG27" i="69" s="1"/>
  <c r="GN18" i="69"/>
  <c r="DE45" i="16" s="1"/>
  <c r="DH45" i="16" s="1"/>
  <c r="BG34" i="70"/>
  <c r="AY33" i="70"/>
  <c r="EZ16" i="69" l="1"/>
  <c r="FG30" i="69" s="1"/>
  <c r="FG34" i="69" s="1"/>
  <c r="M57" i="71" s="1"/>
  <c r="O57" i="71" s="1"/>
  <c r="R13" i="16"/>
  <c r="Q13" i="16" s="1"/>
  <c r="W55" i="43"/>
  <c r="U54" i="43" s="1"/>
  <c r="M48" i="71" s="1"/>
  <c r="O48" i="71" s="1"/>
  <c r="DH54" i="16"/>
  <c r="CI37" i="16" s="1"/>
  <c r="CH37" i="16" s="1"/>
  <c r="BP34" i="70" a="1"/>
  <c r="BP34" i="70" s="1"/>
  <c r="BH33" i="70"/>
  <c r="BQ33" i="70" l="1"/>
  <c r="BY34" i="70" a="1"/>
  <c r="BY34" i="70" s="1"/>
  <c r="CN34" i="40"/>
  <c r="R21" i="43"/>
  <c r="L10" i="71"/>
  <c r="U22" i="16"/>
  <c r="BI22" i="16"/>
  <c r="N8" i="71"/>
  <c r="Q15" i="77"/>
  <c r="BK21" i="43"/>
  <c r="BK22" i="16"/>
  <c r="T22" i="16"/>
  <c r="DG14" i="68"/>
  <c r="DE14" i="68" s="1"/>
  <c r="CX14" i="71"/>
  <c r="V21" i="43"/>
  <c r="BH22" i="16"/>
  <c r="Q21" i="43"/>
  <c r="U21" i="43"/>
  <c r="H8" i="71"/>
  <c r="H10" i="71"/>
  <c r="O22" i="16"/>
  <c r="BI21" i="43"/>
  <c r="F8" i="71"/>
  <c r="BJ22" i="16"/>
  <c r="T21" i="43"/>
  <c r="N6" i="71"/>
  <c r="X21" i="43"/>
  <c r="BG22" i="16"/>
  <c r="BH21" i="43"/>
  <c r="L15" i="77"/>
  <c r="DF12" i="71"/>
  <c r="BL22" i="16"/>
  <c r="BG15" i="77"/>
  <c r="J6" i="71"/>
  <c r="CZ12" i="71"/>
  <c r="BJ21" i="43"/>
  <c r="DB14" i="71"/>
  <c r="L8" i="71"/>
  <c r="BD21" i="43"/>
  <c r="S22" i="16"/>
  <c r="BE21" i="43"/>
  <c r="CV12" i="71"/>
  <c r="H15" i="77"/>
  <c r="BG21" i="43"/>
  <c r="S21" i="43"/>
  <c r="AL8" i="77"/>
  <c r="CT12" i="71"/>
  <c r="CM21" i="77"/>
  <c r="CP21" i="77" s="1"/>
  <c r="CX12" i="71"/>
  <c r="BF21" i="43"/>
  <c r="DD14" i="71"/>
  <c r="CZ14" i="71"/>
  <c r="P6" i="71"/>
  <c r="J8" i="71"/>
  <c r="F6" i="71"/>
  <c r="AP8" i="77"/>
  <c r="DB12" i="71"/>
  <c r="Q22" i="16"/>
  <c r="R22" i="16"/>
  <c r="BM22" i="16"/>
  <c r="CT14" i="71"/>
  <c r="BP15" i="77"/>
  <c r="DF14" i="71"/>
  <c r="D6" i="71"/>
  <c r="U15" i="77"/>
  <c r="CV14" i="71"/>
  <c r="BT15" i="77"/>
  <c r="BK15" i="77"/>
  <c r="L6" i="71"/>
  <c r="P22" i="16"/>
  <c r="DD12" i="71"/>
  <c r="W21" i="43"/>
  <c r="DP14" i="68"/>
  <c r="H6" i="71"/>
  <c r="DN24" i="68" l="1" a="1"/>
  <c r="DN24" i="68" s="1"/>
  <c r="AE24" i="68" s="1"/>
  <c r="EX24" i="68" a="1"/>
  <c r="EX24" i="68" s="1"/>
  <c r="BO24" i="68" s="1"/>
  <c r="AL24" i="77"/>
  <c r="O13" i="16" s="1"/>
  <c r="AP24" i="77"/>
  <c r="DV20" i="68" a="1"/>
  <c r="DV20" i="68" s="1"/>
  <c r="AM20" i="68" s="1"/>
  <c r="EP20" i="68" a="1"/>
  <c r="EP20" i="68" s="1"/>
  <c r="BG20" i="68" s="1"/>
  <c r="BZ33" i="70"/>
  <c r="AV135" i="16"/>
  <c r="AW135" i="16" s="1"/>
  <c r="AS135" i="16"/>
  <c r="AK12" i="69" a="1"/>
  <c r="AK12" i="69" s="1"/>
  <c r="CE34" i="70"/>
  <c r="AP2" i="69" s="1"/>
  <c r="FY38" i="40" l="1"/>
  <c r="CU18" i="69"/>
  <c r="CS18" i="69"/>
  <c r="CU14" i="69"/>
  <c r="CS14" i="69"/>
  <c r="CU16" i="69"/>
  <c r="CS16" i="69"/>
  <c r="BM13" i="16"/>
  <c r="F46" i="82"/>
  <c r="AE49" i="82"/>
  <c r="CG22" i="69"/>
  <c r="CH22" i="69"/>
  <c r="F48" i="82"/>
  <c r="F50" i="82"/>
  <c r="AG135" i="16"/>
  <c r="CG18" i="69"/>
  <c r="BU6" i="89"/>
  <c r="F47" i="82"/>
  <c r="CD61" i="82"/>
  <c r="CD59" i="82"/>
  <c r="CH20" i="69"/>
  <c r="FY36" i="40"/>
  <c r="CG14" i="69"/>
  <c r="AE51" i="82"/>
  <c r="CH16" i="69"/>
  <c r="CD51" i="82"/>
  <c r="FY34" i="40"/>
  <c r="AE48" i="82"/>
  <c r="AQ1" i="69"/>
  <c r="AE47" i="82"/>
  <c r="CD55" i="82"/>
  <c r="AE46" i="82"/>
  <c r="P1" i="16"/>
  <c r="AN126" i="16" s="1"/>
  <c r="CD57" i="82"/>
  <c r="F51" i="82"/>
  <c r="AE50" i="82"/>
  <c r="CH14" i="69"/>
  <c r="CG24" i="69"/>
  <c r="CH18" i="69"/>
  <c r="CH24" i="69"/>
  <c r="F49" i="82"/>
  <c r="CD53" i="82"/>
  <c r="CG20" i="69"/>
  <c r="CG16" i="69"/>
  <c r="CZ16" i="69" l="1"/>
  <c r="S17" i="16" s="1"/>
  <c r="CZ24" i="69"/>
  <c r="O17" i="16" s="1"/>
  <c r="CN16" i="69"/>
  <c r="EL19" i="69" s="1"/>
  <c r="EL21" i="69" s="1"/>
  <c r="R17" i="16" s="1"/>
  <c r="CN18" i="69"/>
  <c r="ER23" i="69" s="1"/>
  <c r="GQ24" i="40"/>
  <c r="FO34" i="40" s="1"/>
  <c r="BA19" i="89" a="1"/>
  <c r="BA19" i="89" s="1"/>
  <c r="BA116" i="89" a="1"/>
  <c r="BA116" i="89" s="1"/>
  <c r="BA106" i="89" a="1"/>
  <c r="BA106" i="89" s="1"/>
  <c r="BA66" i="89" a="1"/>
  <c r="BA66" i="89" s="1"/>
  <c r="BA78" i="89" a="1"/>
  <c r="BA78" i="89" s="1"/>
  <c r="BA118" i="89" a="1"/>
  <c r="BA118" i="89" s="1"/>
  <c r="BA96" i="89" a="1"/>
  <c r="BA96" i="89" s="1"/>
  <c r="BA104" i="89" a="1"/>
  <c r="BA104" i="89" s="1"/>
  <c r="BA120" i="89" a="1"/>
  <c r="BA120" i="89" s="1"/>
  <c r="BA7" i="89" a="1"/>
  <c r="BA7" i="89" s="1"/>
  <c r="BA92" i="89" a="1"/>
  <c r="BA92" i="89" s="1"/>
  <c r="BA80" i="89" a="1"/>
  <c r="BA80" i="89" s="1"/>
  <c r="BA84" i="89" a="1"/>
  <c r="BA84" i="89" s="1"/>
  <c r="BA94" i="89" a="1"/>
  <c r="BA94" i="89" s="1"/>
  <c r="BA90" i="89" a="1"/>
  <c r="BA90" i="89" s="1"/>
  <c r="BA108" i="89" a="1"/>
  <c r="BA108" i="89" s="1"/>
  <c r="BA68" i="89" a="1"/>
  <c r="BA68" i="89" s="1"/>
  <c r="BA70" i="89" a="1"/>
  <c r="BA70" i="89" s="1"/>
  <c r="BA9" i="89" a="1"/>
  <c r="BA9" i="89" s="1"/>
  <c r="BA112" i="89" a="1"/>
  <c r="BA112" i="89" s="1"/>
  <c r="BA17" i="89" a="1"/>
  <c r="BA17" i="89" s="1"/>
  <c r="BA88" i="89" a="1"/>
  <c r="BA88" i="89" s="1"/>
  <c r="BA110" i="89" a="1"/>
  <c r="BA110" i="89" s="1"/>
  <c r="BA15" i="89" a="1"/>
  <c r="BA15" i="89" s="1"/>
  <c r="BA72" i="89" a="1"/>
  <c r="BA72" i="89" s="1"/>
  <c r="BA102" i="89" a="1"/>
  <c r="BA102" i="89" s="1"/>
  <c r="BA100" i="89" a="1"/>
  <c r="BA100" i="89" s="1"/>
  <c r="BA86" i="89" a="1"/>
  <c r="BA86" i="89" s="1"/>
  <c r="BA13" i="89" a="1"/>
  <c r="BA13" i="89" s="1"/>
  <c r="BA76" i="89" a="1"/>
  <c r="BA76" i="89" s="1"/>
  <c r="BA82" i="89" a="1"/>
  <c r="BA82" i="89" s="1"/>
  <c r="BA114" i="89" a="1"/>
  <c r="BA114" i="89" s="1"/>
  <c r="BA11" i="89" a="1"/>
  <c r="BA11" i="89" s="1"/>
  <c r="BA74" i="89" a="1"/>
  <c r="BA74" i="89" s="1"/>
  <c r="BA98" i="89" a="1"/>
  <c r="BA98" i="89" s="1"/>
  <c r="BM1" i="89" l="1"/>
  <c r="BN1" i="89" s="1" a="1"/>
  <c r="BN1" i="89" s="1"/>
  <c r="BL1" i="89"/>
  <c r="FO36" i="40"/>
  <c r="HK46" i="40"/>
  <c r="HK30" i="40"/>
  <c r="GU36" i="40"/>
  <c r="HK44" i="40"/>
  <c r="HK24" i="40"/>
  <c r="FO26" i="40"/>
  <c r="FO40" i="40"/>
  <c r="FO24" i="40"/>
  <c r="GE46" i="40"/>
  <c r="GU40" i="40"/>
  <c r="FO28" i="40"/>
  <c r="HK42" i="40"/>
  <c r="HK26" i="40"/>
  <c r="HK36" i="40"/>
  <c r="GE50" i="40"/>
  <c r="GE34" i="40"/>
  <c r="GE52" i="40"/>
  <c r="HK34" i="40"/>
  <c r="HK54" i="40"/>
  <c r="FO32" i="40"/>
  <c r="GU52" i="40"/>
  <c r="FO50" i="40"/>
  <c r="GE40" i="40"/>
  <c r="FO56" i="40"/>
  <c r="GU46" i="40"/>
  <c r="FO38" i="40"/>
  <c r="GU48" i="40"/>
  <c r="GE48" i="40"/>
  <c r="FO42" i="40"/>
  <c r="GU56" i="40"/>
  <c r="FO52" i="40"/>
  <c r="GE56" i="40"/>
  <c r="GE42" i="40"/>
  <c r="GE38" i="40"/>
  <c r="GU34" i="40"/>
  <c r="FO44" i="40"/>
  <c r="HK40" i="40"/>
  <c r="HK50" i="40"/>
  <c r="GE54" i="40"/>
  <c r="HK28" i="40"/>
  <c r="GU54" i="40"/>
  <c r="GU50" i="40"/>
  <c r="FO54" i="40"/>
  <c r="HK38" i="40"/>
  <c r="GU38" i="40"/>
  <c r="FO46" i="40"/>
  <c r="FO48" i="40"/>
  <c r="HK56" i="40"/>
  <c r="FO30" i="40"/>
  <c r="HK32" i="40"/>
  <c r="GU42" i="40"/>
  <c r="GU44" i="40"/>
  <c r="HK52" i="40"/>
  <c r="HK48" i="40"/>
  <c r="GE36" i="40"/>
  <c r="GE44" i="4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<sst xmlns="http://schemas.openxmlformats.org/spreadsheetml/2006/main" count="7531" uniqueCount="2491">
  <si>
    <t>GAMEPLAN</t>
  </si>
  <si>
    <t>q</t>
  </si>
  <si>
    <t>MODE</t>
  </si>
  <si>
    <t>DIFFICULTY</t>
  </si>
  <si>
    <t>^</t>
  </si>
  <si>
    <t>N G +</t>
  </si>
  <si>
    <t>N G + +</t>
  </si>
  <si>
    <t>LOOT CALCULATION</t>
  </si>
  <si>
    <t>NOVEMBER</t>
  </si>
  <si>
    <t>s</t>
  </si>
  <si>
    <t xml:space="preserve"> M O N D A Y</t>
  </si>
  <si>
    <t xml:space="preserve"> T U E S D A Y</t>
  </si>
  <si>
    <t xml:space="preserve"> W E D N E S D A Y</t>
  </si>
  <si>
    <t xml:space="preserve"> T H U R S D A Y</t>
  </si>
  <si>
    <t xml:space="preserve"> F R I D A Y</t>
  </si>
  <si>
    <t>S A T U R D A Y</t>
  </si>
  <si>
    <t xml:space="preserve"> S U N D A Y</t>
  </si>
  <si>
    <t>S U N R I S E
0 4 : 4 9 - 0 4 : 4 6</t>
  </si>
  <si>
    <t>S P R I N G</t>
  </si>
  <si>
    <t>S U M M E R</t>
  </si>
  <si>
    <t>MAY</t>
  </si>
  <si>
    <t>JUNE</t>
  </si>
  <si>
    <t>APRIL</t>
  </si>
  <si>
    <t>JULY</t>
  </si>
  <si>
    <t>MARCH</t>
  </si>
  <si>
    <t>AUGUST</t>
  </si>
  <si>
    <t>FEBRUARY</t>
  </si>
  <si>
    <t>SEPTEMBER</t>
  </si>
  <si>
    <t>JANUARY</t>
  </si>
  <si>
    <t>OCTOBER</t>
  </si>
  <si>
    <t>DECEMBER</t>
  </si>
  <si>
    <t>W I N T E R</t>
  </si>
  <si>
    <t>A U T U M N</t>
  </si>
  <si>
    <t>R  E  P  E  A  T  I  N  G</t>
  </si>
  <si>
    <t>percentage complete</t>
  </si>
  <si>
    <t>deadline date</t>
  </si>
  <si>
    <t>NOW</t>
  </si>
  <si>
    <t>1-1</t>
  </si>
  <si>
    <t>D-1</t>
  </si>
  <si>
    <t>D-3</t>
  </si>
  <si>
    <t>DEC</t>
  </si>
  <si>
    <t>NEXT</t>
  </si>
  <si>
    <t>JAN</t>
  </si>
  <si>
    <t>LATER</t>
  </si>
  <si>
    <t>D</t>
  </si>
  <si>
    <t>W</t>
  </si>
  <si>
    <t>M</t>
  </si>
  <si>
    <t xml:space="preserve"> </t>
  </si>
  <si>
    <t>MON</t>
  </si>
  <si>
    <t>TUE</t>
  </si>
  <si>
    <t>WED</t>
  </si>
  <si>
    <t>THU</t>
  </si>
  <si>
    <t>FRI</t>
  </si>
  <si>
    <t>SAT</t>
  </si>
  <si>
    <t>SUN</t>
  </si>
  <si>
    <t>P L A N N I N G</t>
  </si>
  <si>
    <t>15m</t>
  </si>
  <si>
    <t>30m</t>
  </si>
  <si>
    <t>60m</t>
  </si>
  <si>
    <t>120m</t>
  </si>
  <si>
    <t>MISSIONS</t>
  </si>
  <si>
    <t>TOTAL XP TODAY</t>
  </si>
  <si>
    <t>AVG</t>
  </si>
  <si>
    <t>MAX</t>
  </si>
  <si>
    <t>µ</t>
  </si>
  <si>
    <t>=</t>
  </si>
  <si>
    <t xml:space="preserve">+ </t>
  </si>
  <si>
    <t>«</t>
  </si>
  <si>
    <t></t>
  </si>
  <si>
    <t>XP</t>
  </si>
  <si>
    <t>LANG</t>
  </si>
  <si>
    <t>FOCUS</t>
  </si>
  <si>
    <t>±</t>
  </si>
  <si>
    <t>CHALLENGES TRACKER</t>
  </si>
  <si>
    <t>¯</t>
  </si>
  <si>
    <t>Y</t>
  </si>
  <si>
    <t>N</t>
  </si>
  <si>
    <t>days</t>
  </si>
  <si>
    <t>#</t>
  </si>
  <si>
    <t>hrs</t>
  </si>
  <si>
    <t>LVL</t>
  </si>
  <si>
    <t>+</t>
  </si>
  <si>
    <t>t</t>
  </si>
  <si>
    <t>u</t>
  </si>
  <si>
    <t>®</t>
  </si>
  <si>
    <t>HRS</t>
  </si>
  <si>
    <t>BEFORE NOON = AVERAGE + LOWEST</t>
  </si>
  <si>
    <t>H P</t>
  </si>
  <si>
    <t>FROM NOON = TODAY or = TODAY + AVERAGE/2 (if average &gt;= 8.0)</t>
  </si>
  <si>
    <t>DAY TOTAL XP IN ALL SKILLS</t>
  </si>
  <si>
    <t>HIGHEST</t>
  </si>
  <si>
    <t>AVERAGE</t>
  </si>
  <si>
    <t>LOWEST</t>
  </si>
  <si>
    <t>TODAY</t>
  </si>
  <si>
    <t>/</t>
  </si>
  <si>
    <t>total days of</t>
  </si>
  <si>
    <t>DLVL</t>
  </si>
  <si>
    <t>total days</t>
  </si>
  <si>
    <t>total XP</t>
  </si>
  <si>
    <t>TTL</t>
  </si>
  <si>
    <t>DAY XP AVG</t>
  </si>
  <si>
    <t>OPTIONS FOR OBJECTIVES</t>
  </si>
  <si>
    <t>aim</t>
  </si>
  <si>
    <t>DIFFICULTY LEVELS FOR OBJECTIVES AND CHALLENGES</t>
  </si>
  <si>
    <t>day chain</t>
  </si>
  <si>
    <t xml:space="preserve">day chain of </t>
  </si>
  <si>
    <t>chains of</t>
  </si>
  <si>
    <t>LVL UP</t>
  </si>
  <si>
    <t>B O O T Y</t>
  </si>
  <si>
    <t>R E W A R D   C H E S T</t>
  </si>
  <si>
    <t>T R E A S U R Y</t>
  </si>
  <si>
    <t>A D V E N T U R E S</t>
  </si>
  <si>
    <t>HOME</t>
  </si>
  <si>
    <t>C O N N E C T I O N S</t>
  </si>
  <si>
    <t>FRIENDSHIPS</t>
  </si>
  <si>
    <t>ENVIRONMENT</t>
  </si>
  <si>
    <t>HEALTH</t>
  </si>
  <si>
    <t>of</t>
  </si>
  <si>
    <t>EN</t>
  </si>
  <si>
    <t>Title</t>
  </si>
  <si>
    <t>Author</t>
  </si>
  <si>
    <t>Genre</t>
  </si>
  <si>
    <t>MINS</t>
  </si>
  <si>
    <t>G A M I N G</t>
  </si>
  <si>
    <t>F I L M</t>
  </si>
  <si>
    <t>N O W   P L A Y I N G</t>
  </si>
  <si>
    <t>N O W   W A T C H I N G</t>
  </si>
  <si>
    <t>Netflix</t>
  </si>
  <si>
    <t>&gt;</t>
  </si>
  <si>
    <t>Developer</t>
  </si>
  <si>
    <t>Platform</t>
  </si>
  <si>
    <t>Creator</t>
  </si>
  <si>
    <t>Director</t>
  </si>
  <si>
    <t>T O T A L S</t>
  </si>
  <si>
    <t>GAMING</t>
  </si>
  <si>
    <t>TV</t>
  </si>
  <si>
    <t>FILM</t>
  </si>
  <si>
    <t>End Date</t>
  </si>
  <si>
    <t>Disney+</t>
  </si>
  <si>
    <t>Apple TV+</t>
  </si>
  <si>
    <t>Paramount+</t>
  </si>
  <si>
    <t>Now Entertainment</t>
  </si>
  <si>
    <t>Now Cinema</t>
  </si>
  <si>
    <t>Mubi</t>
  </si>
  <si>
    <t></t>
  </si>
  <si>
    <t>Take a walk around my area.</t>
  </si>
  <si>
    <t>Arrange a meet up.</t>
  </si>
  <si>
    <t>Take a park walk.</t>
  </si>
  <si>
    <t xml:space="preserve">Sketch something. </t>
  </si>
  <si>
    <t xml:space="preserve">Take a hot bath. </t>
  </si>
  <si>
    <t>Listen to an audiobook.</t>
  </si>
  <si>
    <t>Take a train ride.</t>
  </si>
  <si>
    <t xml:space="preserve">Call a friend. </t>
  </si>
  <si>
    <t>Go to a museum.</t>
  </si>
  <si>
    <t xml:space="preserve">Read a book. </t>
  </si>
  <si>
    <t>Go to an art gallery.</t>
  </si>
  <si>
    <t>Watch a TV series.</t>
  </si>
  <si>
    <t>Go to the local library.</t>
  </si>
  <si>
    <t xml:space="preserve">Watch a film. </t>
  </si>
  <si>
    <t>BALANCE</t>
  </si>
  <si>
    <t>credit day</t>
  </si>
  <si>
    <t>debit day</t>
  </si>
  <si>
    <t>22nd</t>
  </si>
  <si>
    <t>1st</t>
  </si>
  <si>
    <t>YouTube Premium</t>
  </si>
  <si>
    <t>13th</t>
  </si>
  <si>
    <t>Item</t>
  </si>
  <si>
    <t>to</t>
  </si>
  <si>
    <t>LOGS</t>
  </si>
  <si>
    <t>A C H I E V E M E N T S</t>
  </si>
  <si>
    <t>XP THIS MONTH</t>
  </si>
  <si>
    <t>DAY</t>
  </si>
  <si>
    <t>XP
THIS
YEAR
&amp;
MONTH
IN
HRS</t>
  </si>
  <si>
    <t>TOTAL XP</t>
  </si>
  <si>
    <t>THIS MONTH</t>
  </si>
  <si>
    <t>LOOT</t>
  </si>
  <si>
    <t>BOOTY ARRAY</t>
  </si>
  <si>
    <t>YEAR</t>
  </si>
  <si>
    <t>COUNTRY</t>
  </si>
  <si>
    <t>TOTAL HRS</t>
  </si>
  <si>
    <t>FEB</t>
  </si>
  <si>
    <t>LEVEL</t>
  </si>
  <si>
    <t>"Yoga is silencing the modifications of the mind. Then the seer dwells in his own nature. But who is the seer? The seer is the witness, the pure consciousness."
Patanjali</t>
  </si>
  <si>
    <t>QUOTES TO ADD</t>
  </si>
  <si>
    <t>MAR</t>
  </si>
  <si>
    <t>LAST MONTH</t>
  </si>
  <si>
    <t>"Success is the ability to go from one failure to another with no loss of enthusiasm."
Winston Churchill</t>
  </si>
  <si>
    <t>&lt; MAX SHORT QUOTE LENGTH TO HERE AT CALIBRI 5</t>
  </si>
  <si>
    <t>&lt; MAX LONG QUOTE LENGTH TO HERE AT CALIBRI 5</t>
  </si>
  <si>
    <t>APR</t>
  </si>
  <si>
    <t>MAX TML LVL</t>
  </si>
  <si>
    <t>"I've lived through some terrible things in my life. Some of which actually happened."
Mark Twain</t>
  </si>
  <si>
    <t>"You have power over your mind, not outside events. Realise this, and you will find strength." 
Marcus Aurelius</t>
  </si>
  <si>
    <t>JUN</t>
  </si>
  <si>
    <t xml:space="preserve">LVL1 </t>
  </si>
  <si>
    <t>LVL23</t>
  </si>
  <si>
    <t>"Do now what nature demands of you. Get right to it if that's in your power. Don't look around to see if people will know about it. Don't await the perfection of Plato's Republic, but be satisfied with even the smallest step forward and regard the outcome as a small thing."
Marcus Aurelius</t>
  </si>
  <si>
    <t>"Once you have learned to ask questions – relevant and appropriate and substantial questions – you have learned how to learn and no one can keep you from learning whatever you want or need to know."
Neil Postman</t>
  </si>
  <si>
    <t xml:space="preserve">"Good players win races. Great ones break records. Legends change the game." 
Anonymous </t>
  </si>
  <si>
    <t>"Character, the willingness to accept responsibility for one's own life - is the source from which self-respect springs."
Joan Didion</t>
  </si>
  <si>
    <t>"There are things we do not understand, yet they exist nonetheless."
Worf in ‘Star Trek: The Next Generation’</t>
  </si>
  <si>
    <t>"The future is an infinite succession of presents, and to live now as we think human beings should live, in defiance of all that is bad around us, is itself a marvelous victory."
Howard Zinn</t>
  </si>
  <si>
    <t>"Anyone who acts without paying attention to what he is doing is wasting his life. I'd go so far as to say life is denied by lack of attention, whether it be to cleaning windows or trying to write a masterpiece."
Nadia Boulanger</t>
  </si>
  <si>
    <t>"Continuous effort – not strength or intelligence – is the key to unlocking our potential."
Winston Churchill</t>
  </si>
  <si>
    <t>"You get what you deserve. Instead of being a good person today, you choose instead to become one tomorrow."
Marcus Aurelius</t>
  </si>
  <si>
    <t>"Procrastination seems like it makes things easier, but it damns us to a low-grade, gnawing state of anxiety."
Ryan Holiday</t>
  </si>
  <si>
    <t>JUL</t>
  </si>
  <si>
    <t>300 XP / 5 hrs</t>
  </si>
  <si>
    <t>12429 XP / 207 hrs</t>
  </si>
  <si>
    <t>"The sign of the true expert is his modest awareness of how much more there is to know."
Derren Brown</t>
  </si>
  <si>
    <t>"The strength of a person's spirit [can be] measured by how much truth he could tolerate... to what extent he needs to have it diluted, disguised, sweetened."
Friedrich Nietzsche</t>
  </si>
  <si>
    <t>"The truth may be puzzling. It may take some work to grapple with. It may be counterintuitive. It may contradict deeply held prejudices. It may not be consonant with what we desperately want to be true. But our preferences do not determine what's true."
Carl Sagan</t>
  </si>
  <si>
    <t>"Inwardly, we ought to be different in every respect, but our outward dress should blend in with the crowd."
Seneca</t>
  </si>
  <si>
    <t>"Comparison is the theif of joy."
Theodore Roosevelt</t>
  </si>
  <si>
    <t>"I delight in my own improvement day to day."
Epictetus</t>
  </si>
  <si>
    <t>"Happiness must ensue. It cannot be pursued."
Viktor Frankl</t>
  </si>
  <si>
    <t>"If your choices are beautiful, so too will you be."
Epictetus</t>
  </si>
  <si>
    <t>"Don't abandon our pursuits because we despair of ever perfecting them."
Epictetus</t>
  </si>
  <si>
    <t>"Wellbeing is realised in small steps, but is truly no small thing."
Zeno</t>
  </si>
  <si>
    <t>"Apply yourself to thinking through difficulties - hard times can be softened, tight squeezes widened, and heavy loads made lighter for those who can apply the right pressure."
Seneca</t>
  </si>
  <si>
    <t>AUG</t>
  </si>
  <si>
    <t>600 XP / 10 hrs</t>
  </si>
  <si>
    <t>24858 XP / 414 hrs</t>
  </si>
  <si>
    <t>"Every one minute without playing the blame game is progress in the art of living."
Ryan Holiday</t>
  </si>
  <si>
    <t>"When you insist on finding the real truth first and learning to love it second, you can become the master of your own cognition."
Ryan A Bush</t>
  </si>
  <si>
    <t>SEP</t>
  </si>
  <si>
    <t>900 XP / 15 hrs</t>
  </si>
  <si>
    <t>37287 XP / 621 hrs</t>
  </si>
  <si>
    <t>"Really, the fundamental, ultimate mystery, the only thing you need to know to understand the deepest metaphysical secrets, is this: that for every outside there is an inside and for every inside there is an outside, and although they are different, they go together."
Alan Watts</t>
  </si>
  <si>
    <t>OCT</t>
  </si>
  <si>
    <t>1200 XP/ 20 hrs</t>
  </si>
  <si>
    <t>49717 XP / 829 hrs</t>
  </si>
  <si>
    <t>"When you create a difference in someone's life, you not only impact their life, you impact everyone influenced by them throughout their entire lifetime. No act is ever too small. One by one, this is how to make an ocean rise."
Danielle Doby</t>
  </si>
  <si>
    <t>NOV</t>
  </si>
  <si>
    <t>1500 XP / 25 hrs</t>
  </si>
  <si>
    <t>62146 XP / 1036 hrs</t>
  </si>
  <si>
    <t>"First, you ought to live your own life in such a way that it doesn't negatively impose on others. Second, you have to be open-minded and accepting enough to let others do the same."
Ryan Holiday</t>
  </si>
  <si>
    <t>"The mystery of life isn't a problem to solve, but a reality to experience. A process that cannot be understood by stopping it. We must move with the flow of the process. We must join it. We must flow with it."
Jamis in 'Dune: Part One'</t>
  </si>
  <si>
    <t>&lt; TYPE 'ROLL' HERE TO GENERATE RANDOM NUMBERS</t>
  </si>
  <si>
    <t>"Meditation seems to train you to stop automatically identifying with all of your thoughts, so that, for example, when the thought 'John's a jerk' pops into your head, you don't assume that John necessarily is a jerk. You take the thought as something your brain produced, which may or may not be true, and may or may not be useful."
Julia Galef</t>
  </si>
  <si>
    <t>GRAB</t>
  </si>
  <si>
    <t>&lt; COPY &amp; PASTE FROM 'GRAB' SO AS NOT TO SEE VALUES</t>
  </si>
  <si>
    <t>"It's not the most inteligent people that will do best, and it is not the physically strongest people that will do best. It is those that are most adaptable. Those that are willing to learn and to investigate and to explore, and to not be set in their ways but open to that transformation and to that dynamic movement in time. Those are the ones that will thrive in the future."
Albert Einstein</t>
  </si>
  <si>
    <t># skills level up</t>
  </si>
  <si>
    <t>left 1</t>
  </si>
  <si>
    <t>"If anyone spoke to you the way you speak to yourself ... you would never spend another minute with this person. We're doing it to ourselves on some level, and it can completely undermine our sense of wellbeing. There's this kind of perseverating quality to our own rumination which is totally bizarre if you imagine what the transcript of it would look like. That's a spell that can be broken, and breaking it is a tremendous relief, and makes everything else we want to do in life far more available to our psychological and creative and moral inteligence."
Sam Harris</t>
  </si>
  <si>
    <t>left 2</t>
  </si>
  <si>
    <t>XP HISTORY</t>
  </si>
  <si>
    <t>LEVELS HISTORY</t>
  </si>
  <si>
    <t>"Self-assurance is yours to claim as well. No matter what happens today, no matter where you find yourself, shift to what lies within your reasoned choice. Ignore, as best you can, the emotions that pop up, which would be so easy to distract yourself with. Don't get emotional - get focused."
Ryan Holiday</t>
  </si>
  <si>
    <t>left 3</t>
  </si>
  <si>
    <t>MONTH</t>
  </si>
  <si>
    <t>PLAN</t>
  </si>
  <si>
    <t>TML-LVL</t>
  </si>
  <si>
    <t>LVLS+</t>
  </si>
  <si>
    <t>"We tell ourselves that we need the right setup before we finally buckle down and get serious. ... It's far better that we become pragmatic and adaptable - able to do what we need to do anywhere, anytime. The place to do your work, to live the good life, is here."
Ryan Holiday</t>
  </si>
  <si>
    <t xml:space="preserve"># total XP in all skills </t>
  </si>
  <si>
    <t>left 4</t>
  </si>
  <si>
    <t>"We want things to go perfectly, so we tell ourselves that we'll get started once the conditions are right, or once we have our bearings. When, really, it'd be better to focus on making do with how things actually are."
Ryan Holiday</t>
  </si>
  <si>
    <t>right 1</t>
  </si>
  <si>
    <t>&lt; COLOUR FILLED TO HIDE VALUES</t>
  </si>
  <si>
    <t>"Here's how you know if someone's your friend. You can tell them bad news and they'll listen. They won't tell you why you're stupid and why that bad thing happened to you, and how something worse happened to them once and derail the whole conversation. You can actually tell them bad news and they'll listen. So that's a good thing. And then this is a weirder thing - you can tell them good news and they'll help you celebrate."
Jordan Peterson</t>
  </si>
  <si>
    <t>right 2</t>
  </si>
  <si>
    <t>"The kind of self image we may be best advised to seek then, is not of our ourselves as beautiful winners, as often we're told we should, but one wherein our strengths and weaknesses are realistically appraised, with neither self-aggrandisement, nor abnegation, and our share of inevitable failings looked upon with kindness and good humour."
Derren Brown</t>
  </si>
  <si>
    <t># pages &amp; mins of books reached</t>
  </si>
  <si>
    <t>right 3</t>
  </si>
  <si>
    <t>"There is plenty that you could do right now, today, that would make the world a better place. There are plenty of small steps that, were you to take them, would help move things forward. Don't excuse yourself from doing them because the conditions aren't right or because a better opportunity might come along soon. Do what you can, now. And when you've done it, keep it in perspective, don't overblow the results. Shun both ego and excuse, before and after."
Ryan Holiday</t>
  </si>
  <si>
    <t># pounds of Loot</t>
  </si>
  <si>
    <t>right 4</t>
  </si>
  <si>
    <t>&lt; VALUE COUNTS</t>
  </si>
  <si>
    <t>"A considered life is one in which we deeply engage with our own story. That means we need to identify what our story is and then know how to move it forward. If we don't, if we swing between pain and boredom or merely defy those who would dare to tell us what to do, we shut off important channels of development and therefore life."
Derren Brown</t>
  </si>
  <si>
    <t>"Overcoming and optimizing yourself must be more deeply embedded in your desires, in your identity, than the desires that threaten to undermine it. The desires to be competent, to be unique, and even to be right, must all fall short of the desire for self-mastery. You must come to pride yourself, not on the accuracy of your current beliefs, but on your willingness to abandon your beliefs for new, more accurate ones."
Ryan A Bush</t>
  </si>
  <si>
    <t>"The pragmatist can't worry about every possible outcome in advance. Think about it. Best case scenario - if the news turns out to be better than expected, all this time was wasted with needless fear. Worst case scenario - we were miserable for extra time, by choice."
Ryan Holiday</t>
  </si>
  <si>
    <t>"Choosing a lifestyle that makes a statement of non-conformity or rejection of parental expectations, might work as a temporary right of passage to a more independant place, but in as much as it relies on 'the enemy' to know what to reject, it remains tied to and dependant on the opposition. It may give the illusion of authorship, but 'fuck you' is too much about the 'you'. It's center of gravity is external. It's also in the longer term, a very unhappy stance."
Derren Brown</t>
  </si>
  <si>
    <t>"'Tis worthy of observation concerning that envy, which arises from a superiority in others, that 'tis not the great disproportion betwixt ourself and another, which produces it; but on the contrary, our proximity."
David Hume</t>
  </si>
  <si>
    <t>"How often we make ourselves miserable... in advance. Out of fear of this, out of desperate hope for that. When we focus on pining for or avoiding a certain future, we make ourselves miserable here in the present."
Ryan Holiday</t>
  </si>
  <si>
    <t>"Motion will never produce a final result. Action will. When you’re in motion, you’re planning and strategizing and learning. Those are all good things, but they don’t produce a result. Are you doing something? Or are you just preparing to do it? Are you in motion? Or are you taking action?"
James Clear</t>
  </si>
  <si>
    <t>row numbers</t>
  </si>
  <si>
    <t>ROW FOR ONCE MONTH IS OVER &gt;</t>
  </si>
  <si>
    <t>NOTE: COPY QUOTES RIGHT ALONG ROWS ONLY</t>
  </si>
  <si>
    <t>NOTE: COPY QUOTES DOWN COLUMNS ONLY, SO EACH COLUMN IS A UNIQUE SET</t>
  </si>
  <si>
    <t>NOTE: QUOTES IN CENTRAL COLUMNS WILL APPEAR MORE OFTEN</t>
  </si>
  <si>
    <t>DAY AND CHAIN TOTALS</t>
  </si>
  <si>
    <t>column numbers</t>
  </si>
  <si>
    <t>on INVENTORY sheet</t>
  </si>
  <si>
    <t>TOTAL DAYS</t>
  </si>
  <si>
    <t>MAX CHAIN</t>
  </si>
  <si>
    <t xml:space="preserve">
SKILL INFO HORIZONTAL</t>
  </si>
  <si>
    <t>SKILLS</t>
  </si>
  <si>
    <t>VARI CHAIN OF DAYS</t>
  </si>
  <si>
    <t>VARI COUNT MIN XP</t>
  </si>
  <si>
    <t>CHAIN DATA OF DAYS HITTING # XP (VARIABLE ACCORDING TO OBJECTIVE)</t>
  </si>
  <si>
    <t>v</t>
  </si>
  <si>
    <t>TOTAL ROWS</t>
  </si>
  <si>
    <t>TOTAL COLUMNS</t>
  </si>
  <si>
    <t xml:space="preserve">Watch a documentary. </t>
  </si>
  <si>
    <t>28th</t>
  </si>
  <si>
    <t>"You put up with that sort of behaviour [bad behaviour], you're providing tacit consent for it and even tacit approval."
Jordan Peterson</t>
  </si>
  <si>
    <t>deadline not imminent</t>
  </si>
  <si>
    <t>WORK</t>
  </si>
  <si>
    <t>CREATIVITY</t>
  </si>
  <si>
    <t>PARTNER</t>
  </si>
  <si>
    <t>Comic</t>
  </si>
  <si>
    <t>Free Choice Item</t>
  </si>
  <si>
    <t>&lt;</t>
  </si>
  <si>
    <t>Bicycle</t>
  </si>
  <si>
    <t>Skateboard</t>
  </si>
  <si>
    <t>Randomly visit a friend.</t>
  </si>
  <si>
    <t>MONDAY</t>
  </si>
  <si>
    <t>TUESDAY</t>
  </si>
  <si>
    <t>WEDNESDAY</t>
  </si>
  <si>
    <t>THURSDAY</t>
  </si>
  <si>
    <t>FRIDAY</t>
  </si>
  <si>
    <t>SATURDAY</t>
  </si>
  <si>
    <t>SUNDAY</t>
  </si>
  <si>
    <t>TODAY'S DATE</t>
  </si>
  <si>
    <t>1=YES 0=NO</t>
  </si>
  <si>
    <t>IS A HOLIDAY</t>
  </si>
  <si>
    <t>2/3</t>
  </si>
  <si>
    <t>3/4</t>
  </si>
  <si>
    <t>WK1</t>
  </si>
  <si>
    <t>WK2</t>
  </si>
  <si>
    <t>WK3</t>
  </si>
  <si>
    <t>WK4</t>
  </si>
  <si>
    <t>WK5</t>
  </si>
  <si>
    <t>WK6</t>
  </si>
  <si>
    <t>Merchant Trade Token</t>
  </si>
  <si>
    <t>2 0</t>
  </si>
  <si>
    <t>P A S S E D</t>
  </si>
  <si>
    <t>R E M A I N</t>
  </si>
  <si>
    <t>M E R C H A N T</t>
  </si>
  <si>
    <t>Comedy</t>
  </si>
  <si>
    <t>Gameplan no. input</t>
  </si>
  <si>
    <t>final output to be shown</t>
  </si>
  <si>
    <t>convert to numerals</t>
  </si>
  <si>
    <t>char count of numerals</t>
  </si>
  <si>
    <t>$</t>
  </si>
  <si>
    <t>[</t>
  </si>
  <si>
    <t>top1</t>
  </si>
  <si>
    <t>top2</t>
  </si>
  <si>
    <t>top3</t>
  </si>
  <si>
    <t>top4</t>
  </si>
  <si>
    <t>top5</t>
  </si>
  <si>
    <t>top6</t>
  </si>
  <si>
    <t>top7</t>
  </si>
  <si>
    <t>top8</t>
  </si>
  <si>
    <t>bottom1</t>
  </si>
  <si>
    <t>bottom2</t>
  </si>
  <si>
    <t>bottom3</t>
  </si>
  <si>
    <t>bottom4</t>
  </si>
  <si>
    <t>bottom5</t>
  </si>
  <si>
    <t>bottom6</t>
  </si>
  <si>
    <t>bottom7</t>
  </si>
  <si>
    <t>bottom8</t>
  </si>
  <si>
    <t>middle1</t>
  </si>
  <si>
    <t>middle2</t>
  </si>
  <si>
    <t>middle3</t>
  </si>
  <si>
    <t>middle4</t>
  </si>
  <si>
    <t>middle5</t>
  </si>
  <si>
    <t>middle6</t>
  </si>
  <si>
    <t>middle7</t>
  </si>
  <si>
    <t>middle8</t>
  </si>
  <si>
    <t>A C T I V E   S T R E A M I N G   S E R V I C E S</t>
  </si>
  <si>
    <t>keyword/s</t>
  </si>
  <si>
    <t>SYMBOL</t>
  </si>
  <si>
    <t>T</t>
  </si>
  <si>
    <t>S</t>
  </si>
  <si>
    <t>DAY XP MAX</t>
  </si>
  <si>
    <r>
      <t xml:space="preserve">GENERATE NUMBERS FOR </t>
    </r>
    <r>
      <rPr>
        <b/>
        <sz val="9"/>
        <color theme="1"/>
        <rFont val="Calibri"/>
        <family val="2"/>
        <scheme val="minor"/>
      </rPr>
      <t>BOOTY</t>
    </r>
    <r>
      <rPr>
        <sz val="9"/>
        <color theme="1"/>
        <rFont val="Calibri"/>
        <family val="2"/>
        <scheme val="minor"/>
      </rPr>
      <t xml:space="preserve"> REQUIRMENTS</t>
    </r>
  </si>
  <si>
    <t>¥</t>
  </si>
  <si>
    <t>I</t>
  </si>
  <si>
    <t>|</t>
  </si>
  <si>
    <t>Game</t>
  </si>
  <si>
    <t>Yoga</t>
  </si>
  <si>
    <t>Running</t>
  </si>
  <si>
    <t>Drink</t>
  </si>
  <si>
    <t>Scented Candle</t>
  </si>
  <si>
    <t>P R O C U R E M E N T</t>
  </si>
  <si>
    <t>Gadget</t>
  </si>
  <si>
    <t>Blu-ray</t>
  </si>
  <si>
    <t>DVD</t>
  </si>
  <si>
    <t>VHS</t>
  </si>
  <si>
    <t>Painting</t>
  </si>
  <si>
    <t>Gym</t>
  </si>
  <si>
    <t>Homeware</t>
  </si>
  <si>
    <t>Cup</t>
  </si>
  <si>
    <t>Perfume</t>
  </si>
  <si>
    <t>Ornament</t>
  </si>
  <si>
    <t>Candle</t>
  </si>
  <si>
    <t>Jacket</t>
  </si>
  <si>
    <t>Trousers</t>
  </si>
  <si>
    <t>Shirt</t>
  </si>
  <si>
    <t>T-shirt</t>
  </si>
  <si>
    <t>Shoes</t>
  </si>
  <si>
    <t>Hat</t>
  </si>
  <si>
    <t>no keyword ref. [misc.]</t>
  </si>
  <si>
    <t>[ ]</t>
  </si>
  <si>
    <t>-</t>
  </si>
  <si>
    <t>Surprise</t>
  </si>
  <si>
    <t>Random</t>
  </si>
  <si>
    <t>if is blank [default]</t>
  </si>
  <si>
    <t>[for cell references]</t>
  </si>
  <si>
    <t>Book</t>
  </si>
  <si>
    <t>Video Game</t>
  </si>
  <si>
    <t>CREDIT</t>
  </si>
  <si>
    <t>DEBIT</t>
  </si>
  <si>
    <t>Sci-fi</t>
  </si>
  <si>
    <t>Series</t>
  </si>
  <si>
    <t>Film</t>
  </si>
  <si>
    <t>T V</t>
  </si>
  <si>
    <t xml:space="preserve">Take a bus ride. </t>
  </si>
  <si>
    <t>TEMPER</t>
  </si>
  <si>
    <t>DAYS</t>
  </si>
  <si>
    <t>F</t>
  </si>
  <si>
    <t xml:space="preserve">HOURS  </t>
  </si>
  <si>
    <t xml:space="preserve">DAYS  </t>
  </si>
  <si>
    <t xml:space="preserve"> DAYS  </t>
  </si>
  <si>
    <t xml:space="preserve"> HOURS  </t>
  </si>
  <si>
    <t>[ALT]</t>
  </si>
  <si>
    <t>[F]</t>
  </si>
  <si>
    <t>[S]</t>
  </si>
  <si>
    <t>[M]</t>
  </si>
  <si>
    <t>[T]</t>
  </si>
  <si>
    <t>[W]</t>
  </si>
  <si>
    <t>Q1</t>
  </si>
  <si>
    <t>Q2</t>
  </si>
  <si>
    <t>Q3</t>
  </si>
  <si>
    <t>Q4</t>
  </si>
  <si>
    <t>Leap Years to come</t>
  </si>
  <si>
    <t>This year is a leap year?</t>
  </si>
  <si>
    <t>Trip</t>
  </si>
  <si>
    <t>Cinema Ticket</t>
  </si>
  <si>
    <t>Theatre Ticket</t>
  </si>
  <si>
    <t>Music Concert Ticket</t>
  </si>
  <si>
    <t>Art Gallery Ticket</t>
  </si>
  <si>
    <t>Museum Ticket</t>
  </si>
  <si>
    <t>Ticket</t>
  </si>
  <si>
    <t>E N H A N C E M E N T</t>
  </si>
  <si>
    <t>SKILL</t>
  </si>
  <si>
    <t>TOTAL</t>
  </si>
  <si>
    <t>Text</t>
  </si>
  <si>
    <t>²</t>
  </si>
  <si>
    <t>TOTAL ENHANCEMENTS</t>
  </si>
  <si>
    <t>♥</t>
  </si>
  <si>
    <t>TOTAL 1 UPs</t>
  </si>
  <si>
    <t>TOTAL LIVES</t>
  </si>
  <si>
    <t>1UP</t>
  </si>
  <si>
    <t>LIVES LEFT FROM LAST MONTH</t>
  </si>
  <si>
    <t>¿</t>
  </si>
  <si>
    <t>ENHANCEMENT 1UPs</t>
  </si>
  <si>
    <t>HP</t>
  </si>
  <si>
    <t>0.5UP</t>
  </si>
  <si>
    <t>1UP - Get a Whole Life Heart</t>
  </si>
  <si>
    <t>0.5UP - Get Half a Life Heart</t>
  </si>
  <si>
    <t>LEFT FROM LAST MONTH</t>
  </si>
  <si>
    <t>CHALLENGES</t>
  </si>
  <si>
    <t>WEEK</t>
  </si>
  <si>
    <t>REPEATING DAILY COMPLETE</t>
  </si>
  <si>
    <t>REPEATING WEEKLY COMPLETE</t>
  </si>
  <si>
    <t>REPEATING MONTHLY COMPLETE</t>
  </si>
  <si>
    <t>TO-DO NOW COMPLETE</t>
  </si>
  <si>
    <t>TO-DO LATER COMPLETE</t>
  </si>
  <si>
    <t>REMAINING</t>
  </si>
  <si>
    <t>COMPLETED</t>
  </si>
  <si>
    <t>FAILED</t>
  </si>
  <si>
    <t>BOOBY TRAPS</t>
  </si>
  <si>
    <t>TOTAL DAYS THIS MONTH</t>
  </si>
  <si>
    <t>TO-DO NOW PAST DEADLINE</t>
  </si>
  <si>
    <t>TO-DO LATER PAST DEADLINE</t>
  </si>
  <si>
    <t>PAST DEADLINE</t>
  </si>
  <si>
    <t>Other Expenses</t>
  </si>
  <si>
    <t>OUT OF TIME?</t>
  </si>
  <si>
    <t>MAXIMUM</t>
  </si>
  <si>
    <t>XP PER DAY</t>
  </si>
  <si>
    <t>VARI MAX CHAIN</t>
  </si>
  <si>
    <t>CHAINS OF DAYS  (SEPARATE x1, OR CONNECTED, x2 ETC.)</t>
  </si>
  <si>
    <t>CHALLENGES FAILED</t>
  </si>
  <si>
    <t>REMAINING MINUS FAILS</t>
  </si>
  <si>
    <t>REWARD</t>
  </si>
  <si>
    <t>BOOBY TRAPS CALCULATION</t>
  </si>
  <si>
    <t xml:space="preserve">GENERATE NUMBERS &gt; </t>
  </si>
  <si>
    <t>TOTAL MINS</t>
  </si>
  <si>
    <t>G    A    M    E    P    L    A    N</t>
  </si>
  <si>
    <t>Î</t>
  </si>
  <si>
    <t>þ</t>
  </si>
  <si>
    <t>LEVEL UPS</t>
  </si>
  <si>
    <t>p</t>
  </si>
  <si>
    <t>ý</t>
  </si>
  <si>
    <t>LIVES LOST</t>
  </si>
  <si>
    <t>CHALLENGES DONE</t>
  </si>
  <si>
    <t>MISSIONS FAILED</t>
  </si>
  <si>
    <t>TOTAL STARTED</t>
  </si>
  <si>
    <t>TOTAL COMPLETE</t>
  </si>
  <si>
    <t>STARTED</t>
  </si>
  <si>
    <t>OVERALL</t>
  </si>
  <si>
    <t>MINIMUM OBJECTIVES</t>
  </si>
  <si>
    <t>NOT ENOUGH</t>
  </si>
  <si>
    <t>HRS MAX DAY XP</t>
  </si>
  <si>
    <t>LEVEL UP</t>
  </si>
  <si>
    <t>HR MAX DAY XP</t>
  </si>
  <si>
    <t>CHALLENGE DONE</t>
  </si>
  <si>
    <t>BOOBY TRAP</t>
  </si>
  <si>
    <t>LIFE LOST</t>
  </si>
  <si>
    <t>CHALLENGE FAILED</t>
  </si>
  <si>
    <t>MISSION FAILED</t>
  </si>
  <si>
    <t>COMPLETE</t>
  </si>
  <si>
    <t>ONGOING</t>
  </si>
  <si>
    <t xml:space="preserve"> NOW</t>
  </si>
  <si>
    <t xml:space="preserve"> LATER</t>
  </si>
  <si>
    <t xml:space="preserve">DAY </t>
  </si>
  <si>
    <t xml:space="preserve">WEEK </t>
  </si>
  <si>
    <t xml:space="preserve">MONTH </t>
  </si>
  <si>
    <t>HOURS</t>
  </si>
  <si>
    <t>MINIMUM TO PREVENT DEATH STATE</t>
  </si>
  <si>
    <t>XP TODAY ON HUD</t>
  </si>
  <si>
    <t>LOOT OBTAINED</t>
  </si>
  <si>
    <t>Platform / Channel</t>
  </si>
  <si>
    <t>Series / Video</t>
  </si>
  <si>
    <t>Minutes</t>
  </si>
  <si>
    <t>Sessions</t>
  </si>
  <si>
    <t>Episodes</t>
  </si>
  <si>
    <t>Progress</t>
  </si>
  <si>
    <t>Continuing</t>
  </si>
  <si>
    <t>Mins</t>
  </si>
  <si>
    <t>Mins per day</t>
  </si>
  <si>
    <t>]</t>
  </si>
  <si>
    <t>ADVENTURES</t>
  </si>
  <si>
    <t>CONNECTIONS</t>
  </si>
  <si>
    <t>D-2</t>
  </si>
  <si>
    <t>D-4</t>
  </si>
  <si>
    <t>D-5</t>
  </si>
  <si>
    <t>W-1</t>
  </si>
  <si>
    <t>W-2</t>
  </si>
  <si>
    <t>W-3</t>
  </si>
  <si>
    <t>W-4</t>
  </si>
  <si>
    <t>W-5</t>
  </si>
  <si>
    <t>W-6</t>
  </si>
  <si>
    <t>M-1</t>
  </si>
  <si>
    <t>M-2</t>
  </si>
  <si>
    <t>M-3</t>
  </si>
  <si>
    <t>M-4</t>
  </si>
  <si>
    <t>M-5</t>
  </si>
  <si>
    <t>M-6</t>
  </si>
  <si>
    <t>&lt; TEXT TO SHOW FOR LATE MISSIONS</t>
  </si>
  <si>
    <t>MISCELLANEOUS</t>
  </si>
  <si>
    <t>TEXT - EMAIL - LETTER - MEETUP - VISIT - CALL</t>
  </si>
  <si>
    <r>
      <rPr>
        <b/>
        <sz val="22"/>
        <color theme="1"/>
        <rFont val="Calibri"/>
        <family val="2"/>
        <scheme val="minor"/>
      </rPr>
      <t xml:space="preserve">M O M E N T U M   I N I T I A T I O N    </t>
    </r>
    <r>
      <rPr>
        <b/>
        <sz val="22"/>
        <color theme="0" tint="-0.34998626667073579"/>
        <rFont val="Calibri"/>
        <family val="2"/>
        <scheme val="minor"/>
      </rPr>
      <t>A N T I - P R O C R A S T I N A T I O N</t>
    </r>
  </si>
  <si>
    <t>DAY XP TOTALS &gt;=</t>
  </si>
  <si>
    <t>F U R T H E R   P L A Y I N G</t>
  </si>
  <si>
    <t>F U R T H E R   W A T C H I N G</t>
  </si>
  <si>
    <t>Gaming</t>
  </si>
  <si>
    <t>PC</t>
  </si>
  <si>
    <t>LVL HISTORY CHART ON HUD</t>
  </si>
  <si>
    <t>R E S O U R C E S</t>
  </si>
  <si>
    <t>YESTERDAY</t>
  </si>
  <si>
    <t>Radioplay</t>
  </si>
  <si>
    <t>Audiobook</t>
  </si>
  <si>
    <t>Type</t>
  </si>
  <si>
    <t>A F T E R W A R D</t>
  </si>
  <si>
    <t xml:space="preserve">Do a to-do mission. </t>
  </si>
  <si>
    <t>Do a repeating mission.</t>
  </si>
  <si>
    <t>T O D A Y</t>
  </si>
  <si>
    <t>Y E S T E R D A Y</t>
  </si>
  <si>
    <t>N G</t>
  </si>
  <si>
    <t>LOW</t>
  </si>
  <si>
    <t>HIGH</t>
  </si>
  <si>
    <t>"Always produce more than you consume."
Joey Schweitzer</t>
  </si>
  <si>
    <t>"Life feels so much more exciting when you are creating more than you are consuming."
Joey Schweitzer</t>
  </si>
  <si>
    <t>"Surround yourself by the dreamers and the doers, the believers and thinkers, but most of all, surround yourself with those who see the greatness within you, even when you don't see it yourself."
Edmund Lee</t>
  </si>
  <si>
    <t>"If you have one of those impulses that are pulling you, if you don't marry it with an action within five seconds, you pull the emergency brake and kill the idea."
Mel Robbins</t>
  </si>
  <si>
    <t>"Your problem isn't ideas. Your problem is you don't act on them."
Mel Robbins</t>
  </si>
  <si>
    <t>"You're not a procrastinator. You have a habit of procrastinating."
Mel Robbins</t>
  </si>
  <si>
    <t>"Your problem isn't working. It's the habit of avoiding."
Mel Robbins</t>
  </si>
  <si>
    <t>"Life is long if you know how to use it."
Seneca</t>
  </si>
  <si>
    <t>"When considering how to spend one's time, perhaps if it is not definitely a 'yes', it is definitely a 'no.'"
Robert Pantano</t>
  </si>
  <si>
    <t>"The most important conversation is the one you have with yourself. Whether good or bad - you wake up with it, you walk around with it, you go to bed with it. Eventually, you're gonna act on it."
David Goggins</t>
  </si>
  <si>
    <t>"Our personal experiences make up a tiny percentage of the world, but a huge percentage of how we perceive the world."
Ryan Holiday</t>
  </si>
  <si>
    <t>"In a world without clear direction, often far more important than being influential or world-renowned or in a position of power, is simply being sane and kind. Sometimes just being a good, decent person - a good friend to a few, a dependable partner to one, a well-focused participant in a thoughtfully chosen career - is as heroic and successful as anyone can truly be. Perhaps some of the most successful among us are those who very few will ever know."
Robert Pantano</t>
  </si>
  <si>
    <t>"Embrace risk. If you become a risk taker, somebody who's more comfortable with risk, you'll gain the strength to bear life's pain. Realise that by not taking risks in life, you're not saving yourself from pain. All you're doing is trading away the acute discomfort of action for the slow burning, longer lasting decay of inaction, where feelings like despair and regret blossom. So how is that any less painful?"
Joey Schweitzer</t>
  </si>
  <si>
    <t>"When you overcome resistence, you absorb its power. The greater the resistence, the greater the power."
Joey Schweitzer</t>
  </si>
  <si>
    <t>"Nobody can beat you at being you."
Unknown</t>
  </si>
  <si>
    <t>"Nobody can beat you at being you. Can you hear me? You ain't meant to do what they do, right? You ain't meant to do what they do. And what's meant for them ain't meant for you. So do you. And let them do them. Because the day you start trying to be them and not you, is the day that you lose everything that's meant for you. Why do them, when you him? Why do them, when you her?"
Unknown</t>
  </si>
  <si>
    <t>"Finish something. Anything. Stop researching, planning, and preparing to do the work and just do the work. It doesn’t matter how good or how bad it is. You don’t need to set the world on fire with your first try. You just need to prove to yourself that you have what it takes to produce something. There are no artists, athletes, entrepreneurs, or scientists who became great by half-finishing their work. Stop debating what you should make and just make something."
James Clear</t>
  </si>
  <si>
    <t>"Our greatest fear should not be of failure but of succeeding at things in life that don't really matter."
Francis Chan</t>
  </si>
  <si>
    <t>"Frodo: I wish none of this had happened. 
Gandalf: So do all who live to see such times, but that is not for them to decide. All we have to decide is what to do with the time that is given to us."
Frodo &amp; Gandalf in 'The Fellowship of the Ring'</t>
  </si>
  <si>
    <t>"[We are] encouraging you to let go. To imagine a life with more. More time, more meaningful relationships, more growth, and contribution, and contentment. A life of passion, unencumbered by the trappings of the chaotic world around you. What you're imagining is an intentional life. Not a perfect life. Not even an easy life. But a simple one. And to get there, you might have to let go of some stuff that's in the way."
Ryan Nicodemus</t>
  </si>
  <si>
    <t>"We make life unnecessarily complicated because we overlook or underestimate the sense of direction that can come from just taking a little time to sit alone with ourselves, to sit in the quiet and say, 'I'm not gonna get my ideas about what a good life is from external sources of stimulation. I'm gonna listen to that inner voice and see where that's guiding me.'"
T.K. Coleman</t>
  </si>
  <si>
    <t>"If people could just make a decision to be fully alive, if they could just get rid of everything that's sucking the life out of their soul, that's when you're gonna find your passion. But your passion will never be about yourself. Your passion will always be about some good you can do in the world."
Erwin McManus</t>
  </si>
  <si>
    <t>"You have to figure out what you want and you have to ask for help."
Barbara Sher</t>
  </si>
  <si>
    <t>"Instead of seeing it as a bad thing that the rewards in life are hidden behind discomfort paywalls, you'll view it as a good thing. You'll see these pockets of discomfort as power-ups that you can absorb on demand. ... you overcame this discomfort and you have become somebody who is better at overcoming discomfort. And that is a tangible, powerful feeling to have. And it's a power that sticks with you."
Joey Schweitzer</t>
  </si>
  <si>
    <t>"So here's what you do: you get a team, you figure out what you want, and then you say, 'here's my wish, and here's my obstacle. Here's what I want, and here's why I cannot have it.' If you don't say both those things, nothing happens. We are problem solving animals. If you say, 'I'd love to be a ballerina.' Everybody goes, 'Mmm.' If you say, 'I'd love to be a ballerina, but I'm 44 years old.' Every mind starts working. Even if people don't like you, they'll solve your problem. ... People want to help. Amazing things will happen to you."
Barbara Sher</t>
  </si>
  <si>
    <t>"Isolation is the dream killer, not your rotten attitude. ... Cross out 'Positive Thinking.'"
Barbara Sher</t>
  </si>
  <si>
    <t>"You can't walk around faking feelings, I mean, to yourself anyway."
Barbara Sher</t>
  </si>
  <si>
    <t>"You never know who you're talking to. We are all the center of enormous amounts of information and connections that we don't need and we don't think of, unless somebody asks us." 
Barbara Sher</t>
  </si>
  <si>
    <t>"The right amount of nourishment and exercise, not too little, not too much, is the safest way to health."
Hippocrates</t>
  </si>
  <si>
    <t>"The ability to access this pleasure from effort aspect of our dopmainergic circuitry is without question the most powerful aspect of dopamine in our biology of dopamine. And the beautiful thing is, it's accessible to all of us."
Andrew Huberman</t>
  </si>
  <si>
    <t>"Don't spike dopamine prior to engaging in effort, and don't spike dopamine after engaging in effort. Learn to spike your dopamine from effort itself."
Andrew Huberman</t>
  </si>
  <si>
    <t>"[Seneca] suggests a nightly review. ... When the day was over and he'd withdrawn to his room for his nightly rest, he questioned his soul - what evils have you cured yourself of today? What vices have you thawed? In what sense are you better? Is there anything better than to examine a whole day's conduct?" 
Derren Brown</t>
  </si>
  <si>
    <t>"When we find ourselves worrying or anxious, we might ask ourselves - do I have a problem right now? If not, and where possible, we could decide to worry about it if and when it happens, or learn something useful from it and consign it to the past."
Derren Brown</t>
  </si>
  <si>
    <t>"Luck is what happens when preparation meets oppportunity."
Seneca</t>
  </si>
  <si>
    <t>"All cruelty springs from weakness."
Seneca</t>
  </si>
  <si>
    <t>"The pain of regret is far worse than the pain of discipline."
Shi Heng Yi</t>
  </si>
  <si>
    <t>"If you reduce the sugar in your diet, you'll be using your meals as they were intended to - to fuel you into greatness."
Jody Stanislaw</t>
  </si>
  <si>
    <t>"The two big questions we might ask ourselves when we're feeling mad, bad or sad. Firstly, I am responsible for how I feel about external events. What am I doing to give myself this feeling? Secondly, is this thing that's upsetting me something which lies under my control? If not, what if I were to decide 'it's fine', and let it go? We should ask these questions and pay attention to the honest answers."
Derren Brown</t>
  </si>
  <si>
    <t>"But when I said that nothing had been done I erred in one important matter. We had definitely committed ourselves and were halfway out of our ruts."
W.H. Murray</t>
  </si>
  <si>
    <t>"Until one is committed, there is hesitancy, the chance to draw back ... the moment one definitely commits oneself, then providence moves too."
W.H. Murray</t>
  </si>
  <si>
    <t>"While Eeyore frets… and Piglet hesitates… and Rabbit calculates… and Owl pontificates… Pooh just is."
Benjamin Hoff</t>
  </si>
  <si>
    <t>"The seventy-five years and twenty million dollars expended on the Grant Study points to a straightforward five-word conclusion: Happiness is love. Full stop."
George Vaillant</t>
  </si>
  <si>
    <t>"The difficult truths that no one wants to hear. ... Truth number one - everything you believe today will one day be proven to be completely and utterly wrong or incomplete. ... Truth number two - most people are not evil, they're just stupid. This definitely includes ourselves. ... Truth number three - the highest leverage behaviour you can adopt in your life is to care about people and show them that you care."
Mark Manson</t>
  </si>
  <si>
    <t>"It is very hard to control the mind with the mind. And I think a simple rule that people can adopt is - when your mind is not where you want it to be, look to your body. Use the body to shift the mind."
Andrew Huberman</t>
  </si>
  <si>
    <t>"When your mind is not where you want it to be, if you don't feel as happy or you're obsessing. You need to go to a mechanical system in the body, because if you do that you'll shift the chemicals that are released in your brain in a way that will allow you to regain control of the steering wheel."
Andrew Huberman</t>
  </si>
  <si>
    <t>"For me the relief I feel when I remind myself that a source of annoyance is fine, is none of my business, is akin to the surge of joy that would fill my lungs as a child when I realised it was a Saturday and I didn't have to go to school. Thus the thought itself if allowed to deeply settle provides it's own clear reward."
Derren Brown</t>
  </si>
  <si>
    <t>"When we let things go that we can't control, nothing, bad, happens."
Derren Brown</t>
  </si>
  <si>
    <t>"When you have something worth being embarrassed over. When you have something worth being ridiculed for. When you believe in something so intensely and it's so important, that if you're willing to lose friends or the respect of your neighbours, that's when you stop caring what other people think. And the irony of this of course, is that that is the moment that everybody starts respecting you."
Mark Manson</t>
  </si>
  <si>
    <t>"You will stop caring what other people think about you when you have something in your life that's more important than what other people think."
Mark Manson</t>
  </si>
  <si>
    <t>"Some things are a job, others are a craft. The primary difference is not the task, but the enthusiasm and curiosity put into the task. The more engaged and interested you are, the more it becomes a craft."
James Clear</t>
  </si>
  <si>
    <t>"It only takes five minutes to break the cycle. Five minutes of exercise and you are back on the path. Five minutes of writing and the manuscript is moving forward again. Five minutes of conversation and the relationship is restored. It doesn't take much to feel good again."
James Clear</t>
  </si>
  <si>
    <t>"Every thought a person dwells upon, whether he expresses it or not, either damages or improves his life."
Lucy Mallory</t>
  </si>
  <si>
    <t>"Are you just living day to day? Are you lost and confused? 'I want to feel alive!' It's easy. You can't think about the past. 'Why did I do that?!' It'll just turn to anger. You also can't think about the future. 'Will it be okay?' It just turns to worry. In that case, hold on for dear life! Stake your entire life on here and now. Yes! If you stake your life now, everyone, you will be alive!"
Shuzo Matsuoka</t>
  </si>
  <si>
    <t>"God: If you wanna get out of here [purgatory] all you have to do is sing.
Kevin: I don't believe you.
God: Why not?
Kevin: Because it's stupid. 
God: Ah, the trial, it's beneath you. It's not elegant enough. Too easy. ...
Kevin: [pauses, thinks]
God: You're right. Don't do it. It's stupid.
Kevin: [sings karaoke]"
Kevin &amp; God in 'The Leftovers'</t>
  </si>
  <si>
    <t>"We know already the two big questions we might ask ourselves when we're feeling mad, bad or sad. Firstly, I am responsible for how I feel about external events. What am I doing to give myself this feeling? Secondly, is this thing that's upsetting me something which lies under my control? If not, what if I were to decide 'it's fine', and let it go? We should ask these questions and pay attention to the honest answers."
Derren Brown</t>
  </si>
  <si>
    <t>"When your mind is not where you want it to be, if you don't feel as happy or you're obsessing. You need to go to a mechanical system in the body, because if you do that you'll shift the chemicals that are released in your brain in a way that will allow you to regain control of the steering wheel. So there are a couple of things that can do that immediately. The most basic one and the simplest one is going to be with respiration, with breathing."
Andrew Huberman</t>
  </si>
  <si>
    <t>"Your depression is not a malfunction. It's a signal. Your depression is a signal. It's telling you something. We feel this way for reasons, and they can be hard to see in the throes of depression ... the very first step, is we have to stop insulting these signals, by saying they're a sign of weakness, or madness or purely biological ... It's only when we truly listen to these signals, and we honour these signals and respect these signals, that we're going to begin to see the liberating, nourishing, deeper solutions."
Johann Hari</t>
  </si>
  <si>
    <t>"In those moments of the most intense friction, you tell yourself: this is very painful, and because it's painful it will evoke an increase in dopamine release later, meaning it will increase my baseline in dopamine. But, you also have to tell yourself that in that moment you are doing it by choice and you're doing it because you love it. And I know that sounds like lying to yourself, and in some ways it is lying to yourself, but it's lying to yourself in the context of a truth, which is that you want it to feel better." 
Andrew Huberman</t>
  </si>
  <si>
    <t>"I was thinking, so often when people feel down in this culture, what we say to them ... we say, 'You just need to be you, be yourself.' And I realised, actually, what we should say to people is, 'Don't be you. Don't be yourself. Be us, be we. Be part of a group.' The solution to these problems does not lie in drawing more and more on your resources as an isolated individual ... It relies on reconnecting with something bigger than you."
Johann Hari</t>
  </si>
  <si>
    <t>"So I got an email the other day. This guy's talking about he's struggling to get up, wants to go to the gym and start grinding early in the morning. I said when I was twenty-four, I had the same condition man, had the same problem. So I started to study it. The more I studied it, I came up with this crazy conclusion - I was just being a bitch. When I say 'bitch', it's not gender specific, it's a mindset, in Goggish, it means weak, soft, feeling sorry for yourself. Get your ass up and lace 'em up. Stay hard."
David Goggins</t>
  </si>
  <si>
    <t>"If you're depressed, if you're anxious - you're not weak, you're not crazy, you're not, in the main, a machine with broken parts. You're a human being with unmet needs."
Johann Hari</t>
  </si>
  <si>
    <t>"It should be written on every schoolroom blackboard: life is a playground, or nothing."
Mr Nobody in "Mr Nobody"</t>
  </si>
  <si>
    <t>"Every path is the right path. Everything could've been anything else and it would have just as much meaning." 
Mr Nobody in "Mr Nobody"</t>
  </si>
  <si>
    <t>"Hope is generally regarded as good. Fear is generally regarded as bad. ...[But] they are the same - both are projections into the future about things we do not control. Both are the enemy of this present moment that you are actually in."
Ryan Holiday</t>
  </si>
  <si>
    <t>"When you are distressed by an external thing, it's not the thing itself that troubles you, but only your judgement of it. And you can wipe this out at a moment's notice."
Marcus Aurelius</t>
  </si>
  <si>
    <t xml:space="preserve">"We act as though comfort and luxury were the chief requirements of life, when all that we need to make us happy is something to be enthusiastic about."
Charles Kingsley </t>
  </si>
  <si>
    <t>"The other thing that's so interesting about being alive is that you're all in. No matter what you do, you're all in. This is gonna kill you. So, I think you might as well play the most magnificent game you can while you're waiting, because, do you have anything better to do? Really? Why not pick the best possible thing that you could do?"
Jordan Peterson</t>
  </si>
  <si>
    <t>"You have to master a new skill, but you’re avoiding it because you know you’ll be bad at it when you first do it, and if you’re perfectionistic, you’re going to say, “I can’t allow myself to be bad at anything. I can’t allow myself to be a fool.” And, no wonder, but the problem is when you try something new, you’re always a fool. And so unless you’re willing to be a fool, you can’t learn anything new. You are a fool when you first try something new, but you’re a worse fool if you don’t try it."
Jordan Peterson</t>
  </si>
  <si>
    <t>"You can find an excuse of why you lost, or you can call it a lesson. Instead of saying,'I lost', start saying, 'I got a lesson today, I learned today.'"
Unknown</t>
  </si>
  <si>
    <t>"No matter what's going on in your life, it's not permanent. Every thing is going to change. So there's two things you can do with change: you can react to it; or you can participate in it."
Unknown</t>
  </si>
  <si>
    <t>"Avoiding uncomfortable surroundings will make you vulnerable when things don't go according to plan. Avoiding uncomfortable feedback will keep you from developing your ideas and developing into the person you are capable of being. Avoiding uncomfortable beliefs will shield you from the truth. And avoiding uncomfortable situations will create barriers which may keep you from ever knowing who you were capable of being. You must learn to do what scares you."
Ryan A Bush</t>
  </si>
  <si>
    <t>"Without altering the facts of the situation I am facing and without ignoring the reality of what must be done, what is the most useful and empowering story I can tell myself about what is happening and what I need to do next?"
James Clear</t>
  </si>
  <si>
    <t>"Goal construction is like breathing - it happens automatically by default, but can also be done reflectively and coherently."
Ryan A Bush</t>
  </si>
  <si>
    <t>"The demarcation between a positive and a negative desire or action is not whether it gives you an immediate feeling of satisfaction but whether it ultimately results in positive or negative consequences."
Dalai Lama XIV</t>
  </si>
  <si>
    <t>"Desires are the screams you can't ignore, but values are the whispers it is often hard to notice."
Ryan A Bush</t>
  </si>
  <si>
    <t>"The bowman must first know what he is aiming at: then he has to prepare hand, bow, bowstring, arrow and his drill to that end."
Michel de Montaigne</t>
  </si>
  <si>
    <t>"No wind is right for a seaman who has no predetermined harbour."
Michel de Montaigne</t>
  </si>
  <si>
    <t>"It is impossible to put the pieces together if you do not have in your head the idea of the whole. ... The bowman must first know what he is aiming at: then he has to prepare hand, bow, bowstring, arrow and his drill to that end. Our projects go astray because they are not addressed to a target. No wind is right for a seaman who has no predetermined harbour."
Michel de Montaigne</t>
  </si>
  <si>
    <t>"We have to learn to quit trusting our wants as valid indicators of what will genuinely satisfy us."
Ryan A Bush</t>
  </si>
  <si>
    <t>"Temperance isn’t about elimination — going without, or removing something 'bad'. It’s about moderation — finding the right amount of something, anything. It’s Aristotle’s famous metaphor of the 'Golden Mean' — the idea that virtue usually sits between two vices. Courage is somewhere between cowardice and recklessness. Confidence between crippling self-doubt and blinding arrogance. Hard work between workaholism and laziness."
Ryan Holiday</t>
  </si>
  <si>
    <t>"Concentrate every minute on doing what's in front of you with precise and genuine seriousness."
Marcus Aurelius</t>
  </si>
  <si>
    <t>"Don't be fooled by the calendar. There are only as many days in the year as you make use of. One person gets only a week's value out of a year while another gets a full year's value out of a week."
Charles Richards</t>
  </si>
  <si>
    <t>"Whatever age you are today, your future self would love to be it. ... Today is a great opportunity, no matter your age. Looking back in a few years, today will seem like the time when you were young and full of potential or the moment when you could have started early or the turning point when you made a choice that benefited your future. The moment in front of you right now is a good one. Make the most of it."
James Clear</t>
  </si>
  <si>
    <t xml:space="preserve">"If you're waiting for someone to hand deliver an excellent opportunity to you, it's unlikely to happen. But if you are exploring and moving — if you're in the mix and engaged — then you'll stumble upon many opportunities."
James Clear </t>
  </si>
  <si>
    <t>"If you don’t want to let received contexts limit possibility, then you need to walk in the darkest forest of all—the one in your own skull—and face down the fear of ideas that challenge.”
Beau Lotto</t>
  </si>
  <si>
    <t>"Let me be smart enough to know how dumb I am and give me the courage to carry on anyway."
Austin Kleon</t>
  </si>
  <si>
    <t>"Give yourself a gift: the present moment."
Marcus Aurelius</t>
  </si>
  <si>
    <t>"Don’t make yourself dependent on getting what you want... but don’t beat yourself up for wanting what you want."
Ryan Holiday</t>
  </si>
  <si>
    <t>"But there is no reason to live and no limit to our miseries if we let our fears predominate."
Seneca</t>
  </si>
  <si>
    <t>"Let me assert my firm belief that the only thing we have to fear is fear itself - nameless, unreasoning, unjustified terror which paralyzes needed efforts to convert retreat into advance."
Franklin Roosevelt</t>
  </si>
  <si>
    <t>"Inspiration usually comes during work, rather than before it."
Madeleine L'Engle</t>
  </si>
  <si>
    <t>"The hard way is rarely harder in terms of daily effort, but it is often harder psychologically. 
It requires: thinking long-term; removing limiting beliefs; avoiding the lure of status and approval; trusting that small things will lead to big things. It’s a mental battle."
James Clear</t>
  </si>
  <si>
    <t>"Your hidden power is your ability to use reason and make choices, however limited or small. Think about the areas of your life where you are under duress or weighed down by obligation. What are the choices available to you, day after day? You might be surprised at how many there actually are. Are you taking advantage? Are you finding the positives?"
Ryan Holiday</t>
  </si>
  <si>
    <t>"Consider who you are. Above all, a human being, carrying no greater power than your own reasoned choice, which oversees all other things, and is free from any other master."
Epictetus</t>
  </si>
  <si>
    <t>"A wise Italian says that the best is the enemy of the good."
Voltaire</t>
  </si>
  <si>
    <t>"To me, being present is being extremely calm. When you stay calm and you have a nice routine, you don't have to go find success. Success will come find you. It will land right on top of you."
Tony Gonzalez</t>
  </si>
  <si>
    <t>"You think about all the times you got it right, that's the feeling that you keep. ... Be very selective about bringing in constructive memories from your past." 
Nate Zinsser</t>
  </si>
  <si>
    <t>"How do you think about yourself in the future? What are the still photos of various futures that your imagination is feeding you? What are the video clips of various future scenarios that sophisticated video production studio in your imagination is feeding you? Why don't we become the director of those short movies, of a whole bunch of scenarios that fill us with a sense of energy and optimism and enthusiasm."
Nate Zinsser</t>
  </si>
  <si>
    <t>"Self-discipline is the ground from which great things - mastery, happiness, a good life - grow. If you wish to make the most of the opportunities freedom has given you, you're gonna need it."
Ryan Holiday</t>
  </si>
  <si>
    <t>"[Be] really careful about the stories that you tell yourself about yourself in the present. What are the underlying stories that you tell yourself? 'Oh I'm good at this, oh I'm not good at that, oh I hate doing this, oh I love doing that.' ... every one of those expressions is basically a belief about yourself. ... That belief is now a causal factor in your future experience. One of the things that we have to do is come to terms with the various self-fulfulling prophecies that we're all labouring under."
Nate Zinsser</t>
  </si>
  <si>
    <t>"I wish it were as easy to stop hating as it was to start."
Chakotay in 'Star Trek: Voyager'</t>
  </si>
  <si>
    <t>"We must strive to be more than we are ... It does not matter that we will never reach our ultimate goal. The effort yields its own rewards."
Data in 'Star Trek: The Next Generation'</t>
  </si>
  <si>
    <t>"The rational soul is stronger than any kind of fortune - from its own share it guides its affairs here or there, and is itself the cause of a happy or miserable life."
Seneca</t>
  </si>
  <si>
    <t>"Things are only impossible until they are not."
Picard in 'Star Trek: The Next Generation'</t>
  </si>
  <si>
    <t>"You know the greatest danger facing us is ourselves, an irrational fear of the unknown. But there's no such thing as the unknown, only things temporarily hidden, temporarily not understood."
Kirk in 'Star Trek'</t>
  </si>
  <si>
    <t>"Here's a lesson to test your mind's mettle: take part of a week in which you have only the most meager and cheap food, dress scantly in shabby clothes, and ask yourself if this is really the worst that you feared. It is when times are good that you should gird yourself for tougher times ahead, for when Fortune is kind the soul can build defenses against her ravages."
Seneca</t>
  </si>
  <si>
    <t>"Nonviolence is often the path of wisdom, but not always. Love and passive resistance are wonderfully effective weapons against some kinds of tyranny, but not against all. There is a tribal imperative of self-preservation that compels us to use bullets and bombs against the enemies of the tribe when the tribe's existence is threatened. When it is a question of survival, passive resistance may be too slow and too uncertain a weapon."
Freeman Dyson</t>
  </si>
  <si>
    <t>"A man's wealth must be determined by the relation of his desires and expenditures to his income. If he feels rich on $10 and has everything he desires, he really is rich."
John D. Rockefeller</t>
  </si>
  <si>
    <t>"No person has the power to have everything they want, but it is in their power not to want what they don't have, and to cheerfully put to good use what they do have."
Seneca</t>
  </si>
  <si>
    <t>"Heraclitis would shed tears whenever he went out in public - Democritus laughed. One saw the whole as a parade of miseries, the other of follies. And so, we should take a lighter view of things and bear them with an easy spirit, for it is more human to laugh at life then to lament it."
Seneca</t>
  </si>
  <si>
    <t>"The founder of the universe, who assigned to us the laws of life, provided that we should live well, but not in luxury. Everything needed for our well-being is right before us, whereas what luxury requires is gathered by many miseries and anxieties. Let us use this gift of nature and count it among the greatest things."
Seneca</t>
  </si>
  <si>
    <t>"It is very hard to control the mind with the mind. And I think a simple rule that people can adopt is - when your mind is not where you want it to be, look to your body. Use the body to shift the mind." 
Andrew Huberman</t>
  </si>
  <si>
    <t>"Whatever you can do, or dream you can do, begin it. Boldness has genius, power, and magic in it. Begin it now."
W.H. Murray</t>
  </si>
  <si>
    <t>"People think confidence is related to success. Not true. Confidence is related to your relationship with failure."
Mark Manson</t>
  </si>
  <si>
    <t>"People think confidence is related to success. Not true. Confidence is related to your relationship with failure. Being confident doesn't mean you think you're gonna win all the time, or you're gonna do things the best, or you're gonna be fucking great every second of every day. Being confident is understanding that you're not always gonna win, that you're not always gonna be the best, and that you're not always gonna be great every second of every day."
Mark Manson</t>
  </si>
  <si>
    <t>Self-help</t>
  </si>
  <si>
    <t>C A S H F L O W</t>
  </si>
  <si>
    <t>ART - CULTURE - LEARNING - NATURE - SOCIAL - FUN</t>
  </si>
  <si>
    <t>!  L I V E   T H E   N O W ,   R O L L   T H E   D I E</t>
  </si>
  <si>
    <t xml:space="preserve">B O R E D ,   T I R E D ,   L O S T   O R   L O W  ?  </t>
  </si>
  <si>
    <t>Adventure</t>
  </si>
  <si>
    <t>"It isn't obvious at all that we want happiness. It isn't even obvious that we want absence of misery. What's really obvious is that we want an adventure. We want an adventure that's so compelling that it makes the misery of life not just justifiable, but worthwhile. ... I think that's what you want from your life. It's something like - you know what, that was difficult but it was worth it. And that meant that the adventure was so great that it justified the difficulties."
Jordan Peterson</t>
  </si>
  <si>
    <t>wk1</t>
  </si>
  <si>
    <t>N A R R A T I V E S</t>
  </si>
  <si>
    <t>Switch</t>
  </si>
  <si>
    <t>REPEATING</t>
  </si>
  <si>
    <t>SINGULAR</t>
  </si>
  <si>
    <t>Name - Person</t>
  </si>
  <si>
    <t>S  I  N  G  U  L  A  R</t>
  </si>
  <si>
    <t xml:space="preserve">ADVENTURES </t>
  </si>
  <si>
    <t>Culture</t>
  </si>
  <si>
    <t xml:space="preserve">Nature </t>
  </si>
  <si>
    <t>Social</t>
  </si>
  <si>
    <t>Fun</t>
  </si>
  <si>
    <t>Email</t>
  </si>
  <si>
    <t>Letter</t>
  </si>
  <si>
    <t>Meetup</t>
  </si>
  <si>
    <t>Visit</t>
  </si>
  <si>
    <t>Call</t>
  </si>
  <si>
    <t>­</t>
  </si>
  <si>
    <t>Party</t>
  </si>
  <si>
    <t>Cinema</t>
  </si>
  <si>
    <t>Course</t>
  </si>
  <si>
    <t>Walk</t>
  </si>
  <si>
    <t></t>
  </si>
  <si>
    <t>Dinner</t>
  </si>
  <si>
    <t>Concert</t>
  </si>
  <si>
    <t>Theatre</t>
  </si>
  <si>
    <t>NARRATIVES</t>
  </si>
  <si>
    <t>if is blank [slot left 1]</t>
  </si>
  <si>
    <t>if is blank [slot left 2]</t>
  </si>
  <si>
    <t>if is blank [slot left 3]</t>
  </si>
  <si>
    <t>if is blank [slot left 4]</t>
  </si>
  <si>
    <t>if is blank [slot right 2]</t>
  </si>
  <si>
    <t>if is blank [slot right 3]</t>
  </si>
  <si>
    <t>if is blank [slot right 4]</t>
  </si>
  <si>
    <t>if is blank [slot right 1]</t>
  </si>
  <si>
    <t>"To know the Way, We go the Way; We do the Way, 
The way we do, The things we do. 
It's all there in front of you. 
But if you try too hard to see it, 
You'll only become Confused.
I am me, And you are you, As you can see; 
But when you do, The things that you can do, 
You will find the Way. 
And the Way will follow you."
Pooh's song in 'The Tao of Pooh'</t>
  </si>
  <si>
    <t>if is blank [merchant]</t>
  </si>
  <si>
    <t>if is blank [inventory]</t>
  </si>
  <si>
    <t>N-1</t>
  </si>
  <si>
    <t xml:space="preserve"> SOON</t>
  </si>
  <si>
    <t>N-2</t>
  </si>
  <si>
    <t>N-3</t>
  </si>
  <si>
    <t>N-4</t>
  </si>
  <si>
    <t>N-5</t>
  </si>
  <si>
    <t>SOON</t>
  </si>
  <si>
    <t>S-1</t>
  </si>
  <si>
    <t>S-2</t>
  </si>
  <si>
    <t>S-3</t>
  </si>
  <si>
    <t>S-4</t>
  </si>
  <si>
    <t>S-5</t>
  </si>
  <si>
    <t>S-6</t>
  </si>
  <si>
    <t>L-1</t>
  </si>
  <si>
    <t>L-2</t>
  </si>
  <si>
    <t>L-3</t>
  </si>
  <si>
    <t>L-4</t>
  </si>
  <si>
    <t>L-5</t>
  </si>
  <si>
    <t>L-6</t>
  </si>
  <si>
    <t>L</t>
  </si>
  <si>
    <t>Video call</t>
  </si>
  <si>
    <t>jun</t>
  </si>
  <si>
    <t>MISSIONS COMPLETE</t>
  </si>
  <si>
    <t>DONE</t>
  </si>
  <si>
    <t>ONGOING MISSIONS</t>
  </si>
  <si>
    <t>jan</t>
  </si>
  <si>
    <t>feb</t>
  </si>
  <si>
    <t>mar</t>
  </si>
  <si>
    <t>apr</t>
  </si>
  <si>
    <t>may</t>
  </si>
  <si>
    <t>jul</t>
  </si>
  <si>
    <t>aug</t>
  </si>
  <si>
    <t>sep</t>
  </si>
  <si>
    <t>oct</t>
  </si>
  <si>
    <t>nov</t>
  </si>
  <si>
    <t>dec</t>
  </si>
  <si>
    <t>wk2</t>
  </si>
  <si>
    <t>wk3</t>
  </si>
  <si>
    <t>wk4</t>
  </si>
  <si>
    <t>wk5</t>
  </si>
  <si>
    <t>wk6</t>
  </si>
  <si>
    <t>ONE THING: DYNAMIC DROP DOWN SELECTION</t>
  </si>
  <si>
    <t xml:space="preserve">days </t>
  </si>
  <si>
    <t>Audiofilm</t>
  </si>
  <si>
    <t>2nd</t>
  </si>
  <si>
    <t>PROJECTS</t>
  </si>
  <si>
    <t>STUDY</t>
  </si>
  <si>
    <t>EXERCISE</t>
  </si>
  <si>
    <t>TRAINING</t>
  </si>
  <si>
    <t>REPEATS TARGETS MET</t>
  </si>
  <si>
    <t>10th</t>
  </si>
  <si>
    <t>CREATION</t>
  </si>
  <si>
    <t>day chain of</t>
  </si>
  <si>
    <t>TOTAL INCLUDING FURTHER PLAYTIMES</t>
  </si>
  <si>
    <t>2MORO</t>
  </si>
  <si>
    <t>TASKS</t>
  </si>
  <si>
    <t>i</t>
  </si>
  <si>
    <t>DAILY FLOW</t>
  </si>
  <si>
    <t>OBJECTIVES</t>
  </si>
  <si>
    <t>BAD</t>
  </si>
  <si>
    <t>OKAY</t>
  </si>
  <si>
    <t>GOOD</t>
  </si>
  <si>
    <t>GREAT</t>
  </si>
  <si>
    <t>SUPERB</t>
  </si>
  <si>
    <t>NIL</t>
  </si>
  <si>
    <t>R E W A R D S</t>
  </si>
  <si>
    <t>L I V E S   L O S T</t>
  </si>
  <si>
    <t>B O O B Y   T R A P S</t>
  </si>
  <si>
    <t xml:space="preserve">  BEGIN DAY</t>
  </si>
  <si>
    <t xml:space="preserve"> DAY ENDS  </t>
  </si>
  <si>
    <t>&gt;|</t>
  </si>
  <si>
    <t>BEGIN DAY HOUR LIST</t>
  </si>
  <si>
    <t>BFAST</t>
  </si>
  <si>
    <t>DINNER</t>
  </si>
  <si>
    <t>BREAK</t>
  </si>
  <si>
    <t>LUNCH</t>
  </si>
  <si>
    <t>16th</t>
  </si>
  <si>
    <t>BEGIN</t>
  </si>
  <si>
    <t>DAY &gt;</t>
  </si>
  <si>
    <t>ROLL</t>
  </si>
  <si>
    <t>ROLL 2</t>
  </si>
  <si>
    <t>ROLL 3</t>
  </si>
  <si>
    <t>ROLL 4</t>
  </si>
  <si>
    <t>ROLL 5</t>
  </si>
  <si>
    <t>ROLL 6</t>
  </si>
  <si>
    <t>ROLL 7</t>
  </si>
  <si>
    <t>MTH</t>
  </si>
  <si>
    <t>Xbox</t>
  </si>
  <si>
    <t>Playstation</t>
  </si>
  <si>
    <t>BOOKS - COMICS - AUDIOBOOKS - RADIOPLAYS - AUDIOFILMS - TV AUDIO</t>
  </si>
  <si>
    <t>3rd</t>
  </si>
  <si>
    <t>4th</t>
  </si>
  <si>
    <t>5th</t>
  </si>
  <si>
    <t>6th</t>
  </si>
  <si>
    <t>7th</t>
  </si>
  <si>
    <t>8th</t>
  </si>
  <si>
    <t>9th</t>
  </si>
  <si>
    <t>11th</t>
  </si>
  <si>
    <t>12th</t>
  </si>
  <si>
    <t>14th</t>
  </si>
  <si>
    <t>15th</t>
  </si>
  <si>
    <t>17th</t>
  </si>
  <si>
    <t>18th</t>
  </si>
  <si>
    <t>19th</t>
  </si>
  <si>
    <t>20th</t>
  </si>
  <si>
    <t>21st</t>
  </si>
  <si>
    <t>23rd</t>
  </si>
  <si>
    <t>24th</t>
  </si>
  <si>
    <t>25th</t>
  </si>
  <si>
    <t>26th</t>
  </si>
  <si>
    <t>27th</t>
  </si>
  <si>
    <t>29th</t>
  </si>
  <si>
    <t>30th</t>
  </si>
  <si>
    <t>31st</t>
  </si>
  <si>
    <t>details</t>
  </si>
  <si>
    <t>sum</t>
  </si>
  <si>
    <t>LAST UPDATE</t>
  </si>
  <si>
    <t>ADDRESS</t>
  </si>
  <si>
    <t>FROM</t>
  </si>
  <si>
    <t>TO</t>
  </si>
  <si>
    <t>S U P P L E M E N T A L</t>
  </si>
  <si>
    <t>BELOW TARGET</t>
  </si>
  <si>
    <t>LEVELS</t>
  </si>
  <si>
    <t>MTH START</t>
  </si>
  <si>
    <t>CURRENT</t>
  </si>
  <si>
    <t>CLAIMED</t>
  </si>
  <si>
    <t>EXAMPLE OBJECTIVES</t>
  </si>
  <si>
    <t>OBJECTIVE FAILED</t>
  </si>
  <si>
    <t>OBJECTIVES FAILED</t>
  </si>
  <si>
    <t>Adventure Complete &gt;</t>
  </si>
  <si>
    <t>Connection Complete &gt;</t>
  </si>
  <si>
    <t>N E X T    C H A L L E N G E S</t>
  </si>
  <si>
    <t>OBJECTIVE MET</t>
  </si>
  <si>
    <t>OBJECTIVES MET</t>
  </si>
  <si>
    <t>LANGUAGE TRAINING</t>
  </si>
  <si>
    <t xml:space="preserve">LANG </t>
  </si>
  <si>
    <t>LANGUAGE TRAINING (FURTHER)</t>
  </si>
  <si>
    <t>TOTALS INCLUDING FURTHER PLAYTIMES</t>
  </si>
  <si>
    <t>[TV TOTALS ALSO INCLUDES OTHER VIDEOS]</t>
  </si>
  <si>
    <t>GAME</t>
  </si>
  <si>
    <t>THE HIGHER OF</t>
  </si>
  <si>
    <t>EITHER TOBOT</t>
  </si>
  <si>
    <t>OR LANGUAGE</t>
  </si>
  <si>
    <t>TO DEDUCT</t>
  </si>
  <si>
    <t>FROM BOOTY</t>
  </si>
  <si>
    <t>CALCULATION]</t>
  </si>
  <si>
    <t>TO BE DEDUCTED FROM BOOTY CALCULATION</t>
  </si>
  <si>
    <t>[FOR GAMING</t>
  </si>
  <si>
    <t>VIDEOS</t>
  </si>
  <si>
    <t>OTHER</t>
  </si>
  <si>
    <t>TV/YT</t>
  </si>
  <si>
    <t>[GAME/TV/FILM]</t>
  </si>
  <si>
    <t>TBOT/LANG</t>
  </si>
  <si>
    <t>LANGUAGE CODES</t>
  </si>
  <si>
    <t xml:space="preserve">SKILLS </t>
  </si>
  <si>
    <t xml:space="preserve"> SKILLS</t>
  </si>
  <si>
    <t xml:space="preserve">DEADLINE IMMINENT </t>
  </si>
  <si>
    <t>English</t>
  </si>
  <si>
    <t>Trek</t>
  </si>
  <si>
    <t>Museum</t>
  </si>
  <si>
    <t xml:space="preserve">Train </t>
  </si>
  <si>
    <t>Bus</t>
  </si>
  <si>
    <t>Car</t>
  </si>
  <si>
    <t>Art</t>
  </si>
  <si>
    <t>TREASURY</t>
  </si>
  <si>
    <t>CURRENT LIVES</t>
  </si>
  <si>
    <t>DEATH STATES PENALTY</t>
  </si>
  <si>
    <t>TOTAL BOOTY
COSTS</t>
  </si>
  <si>
    <t>Lunch</t>
  </si>
  <si>
    <r>
      <t xml:space="preserve">No. X </t>
    </r>
    <r>
      <rPr>
        <sz val="6"/>
        <color theme="1"/>
        <rFont val="Calibri"/>
        <family val="2"/>
        <scheme val="minor"/>
      </rPr>
      <t>100%</t>
    </r>
  </si>
  <si>
    <t>DAYS TILL DEADLINE &amp; &lt;</t>
  </si>
  <si>
    <t>DAYS/DEADLINE DAY &amp; &lt;</t>
  </si>
  <si>
    <t>DAY TILL DEADLINE &amp; &lt;</t>
  </si>
  <si>
    <t>INSPIRATION</t>
  </si>
  <si>
    <t>MIDDLE NAME</t>
  </si>
  <si>
    <t>SURNAME</t>
  </si>
  <si>
    <t>USER LVL HISTORY</t>
  </si>
  <si>
    <t>Celebration</t>
  </si>
  <si>
    <t>"The odds of the [bad outcome imagined] are so low I wouldn't bet on them. So why does my head even entertain the idea. It's just anxiety. Plus no amount of rehearsing tragedy will ever make you ready for it."
Campbell Walker aka Struthless</t>
  </si>
  <si>
    <t>"I like to imagine six impossible things before breakfast."
Lewis Carol</t>
  </si>
  <si>
    <t>"For there is nothing either good or bad, but thinking makes it so."
William Shakespeare as Hamlet</t>
  </si>
  <si>
    <t xml:space="preserve">Do some journalling. </t>
  </si>
  <si>
    <t>2UP</t>
  </si>
  <si>
    <t>3UP</t>
  </si>
  <si>
    <t>W R I T I N G   D E S K</t>
  </si>
  <si>
    <t>extract time</t>
  </si>
  <si>
    <t>hours to mins</t>
  </si>
  <si>
    <t>mins</t>
  </si>
  <si>
    <t>total</t>
  </si>
  <si>
    <t>fastest time</t>
  </si>
  <si>
    <t>fastest?</t>
  </si>
  <si>
    <t>SKILL1</t>
  </si>
  <si>
    <t>SKILL2</t>
  </si>
  <si>
    <t>SKILL3</t>
  </si>
  <si>
    <t>SKILL4</t>
  </si>
  <si>
    <t>OPTIMAL</t>
  </si>
  <si>
    <t>ACTUAL</t>
  </si>
  <si>
    <t>mission text structure</t>
  </si>
  <si>
    <t>mission/s with fastest time</t>
  </si>
  <si>
    <t>MISSION TITLE:
mission details. [#h#m] or [#m]</t>
  </si>
  <si>
    <t>notes on
missions:</t>
  </si>
  <si>
    <t xml:space="preserve">If all Monthly, Singular or Skill missions are filled and completed, do not delete and add more. When missions are maxed out and still completed, a break is in order for time left in the month. </t>
  </si>
  <si>
    <t xml:space="preserve">DAYS THIS MONTH </t>
  </si>
  <si>
    <t>CHALLENGES DROP-DOWN</t>
  </si>
  <si>
    <t>TARGET BALANCE MINIMUM</t>
  </si>
  <si>
    <t>Ceremony</t>
  </si>
  <si>
    <t>MISSIONS: FASTEST TO COMPLETE</t>
  </si>
  <si>
    <t>LIVES</t>
  </si>
  <si>
    <t>DAILY AVERAGE TO REACH PREVENTING DEATH STATE</t>
  </si>
  <si>
    <t>Group</t>
  </si>
  <si>
    <t>Graphic Novel</t>
  </si>
  <si>
    <t>TV Audio</t>
  </si>
  <si>
    <t>Picture Book</t>
  </si>
  <si>
    <t></t>
  </si>
  <si>
    <t></t>
  </si>
  <si>
    <t>f</t>
  </si>
  <si>
    <t>e</t>
  </si>
  <si>
    <t>I I</t>
  </si>
  <si>
    <t>I I I</t>
  </si>
  <si>
    <t>I V</t>
  </si>
  <si>
    <t>V</t>
  </si>
  <si>
    <t>V I</t>
  </si>
  <si>
    <t>V I I</t>
  </si>
  <si>
    <t>X</t>
  </si>
  <si>
    <t>I X</t>
  </si>
  <si>
    <t>V I I I</t>
  </si>
  <si>
    <t xml:space="preserve">± ¯ ± </t>
  </si>
  <si>
    <t xml:space="preserve">­ ± ­ ¯ ­ ± ­ </t>
  </si>
  <si>
    <t>L E G A C Y</t>
  </si>
  <si>
    <t>REPEATS COUNT</t>
  </si>
  <si>
    <t>total sum</t>
  </si>
  <si>
    <t>Pubs &amp; Restaurants</t>
  </si>
  <si>
    <t>Small Foodshops</t>
  </si>
  <si>
    <t>Travel Expenses</t>
  </si>
  <si>
    <t>Cafés &amp; Coffees</t>
  </si>
  <si>
    <t xml:space="preserve">           </t>
  </si>
  <si>
    <t>NOTEBOARD</t>
  </si>
  <si>
    <t>ROADMAP</t>
  </si>
  <si>
    <r>
      <rPr>
        <b/>
        <sz val="50"/>
        <color rgb="FF00B0F0"/>
        <rFont val="Agency FB"/>
        <family val="2"/>
      </rPr>
      <t>I</t>
    </r>
    <r>
      <rPr>
        <b/>
        <sz val="50"/>
        <color rgb="FF00B050"/>
        <rFont val="Agency FB"/>
        <family val="2"/>
      </rPr>
      <t>D</t>
    </r>
    <r>
      <rPr>
        <b/>
        <sz val="50"/>
        <color rgb="FFFFC000"/>
        <rFont val="Agency FB"/>
        <family val="2"/>
      </rPr>
      <t>E</t>
    </r>
    <r>
      <rPr>
        <b/>
        <sz val="50"/>
        <color rgb="FFFF6600"/>
        <rFont val="Agency FB"/>
        <family val="2"/>
      </rPr>
      <t>A</t>
    </r>
    <r>
      <rPr>
        <b/>
        <sz val="50"/>
        <color rgb="FFC00000"/>
        <rFont val="Agency FB"/>
        <family val="2"/>
      </rPr>
      <t>B</t>
    </r>
    <r>
      <rPr>
        <b/>
        <sz val="50"/>
        <color rgb="FFFF0000"/>
        <rFont val="Agency FB"/>
        <family val="2"/>
      </rPr>
      <t>O</t>
    </r>
    <r>
      <rPr>
        <b/>
        <sz val="50"/>
        <color rgb="FFFF00FF"/>
        <rFont val="Agency FB"/>
        <family val="2"/>
      </rPr>
      <t>A</t>
    </r>
    <r>
      <rPr>
        <b/>
        <sz val="50"/>
        <color rgb="FF9900CC"/>
        <rFont val="Agency FB"/>
        <family val="2"/>
      </rPr>
      <t>R</t>
    </r>
    <r>
      <rPr>
        <b/>
        <sz val="50"/>
        <color rgb="FF0070C0"/>
        <rFont val="Agency FB"/>
        <family val="2"/>
      </rPr>
      <t>D</t>
    </r>
  </si>
  <si>
    <t>¢</t>
  </si>
  <si>
    <t>Audio message</t>
  </si>
  <si>
    <t>CHAOSZONE</t>
  </si>
  <si>
    <t>LAST MONTH VS THIS MONTH</t>
  </si>
  <si>
    <t>MTH-YR</t>
  </si>
  <si>
    <t>Stealth</t>
  </si>
  <si>
    <t>  </t>
  </si>
  <si>
    <t>F U R T H E R   N A R R A T I V E S</t>
  </si>
  <si>
    <t>F U R T H E R   C O N N E C T I O N S</t>
  </si>
  <si>
    <t>F U R T H E R   A D V E N T U R E S</t>
  </si>
  <si>
    <t>"When you send yourself into a conversation, into a presentation, even into typing up an email, when you start your day by saying 'I look terrible,' 'I screwed up again yesterday,' 'I hate my life.' That's not going to motivate you to change it. And so your sense of feeling like the effort is worth it, begins and ends with how encouraging, supportive and kind you are to yourself."
Mel Robbins</t>
  </si>
  <si>
    <t>"Nine short rules for a better life: 1. Wake up early. 2. Focus on effort, not results. 3. Read every day. 4. Strict with yourself, forgiving of others. 5. Seek out challenges. 6. Stay a student. 7. Cut toxic people out of your life. 8. Think about death. 9. Focus on what you can control."
Ryan Holiday</t>
  </si>
  <si>
    <t>"Talking about what you’re going to do makes you a lot less likely to actually do it. Talking and doing fight for the same resources."
Ryan Holiday</t>
  </si>
  <si>
    <t>"Whenever you think you can't - confidence comes from the thing that you built - you must build belief, you must build confidence. ... It's belief, and it's built on what you put into yourself."
David Goggins</t>
  </si>
  <si>
    <t>"You don’t become confident by shouting affirmations in the mirror, but by having a stack of undeniable proof that you are who you say you are. Outwork your self doubt."
Alex Hormozi</t>
  </si>
  <si>
    <t>"You don’t become confident by shouting affirmations in the mirror, but by having a stack of undeniable proof that you are who you say you are. Confidence without evidence is delusion. Give yourself so much goddamn proof that you are the version of yourself want to be, and you’ll become them. Outwork your self doubt."
Alex Hormozi</t>
  </si>
  <si>
    <t>"Don't build confidence. Build evidence. Confidence comes as a result of evidence. Not the other way around."
Alex Hormozi</t>
  </si>
  <si>
    <t>"If you want something to be perfect, you either work on it forever and never finish, or never start and let it live perfectly in your head forever, or until your brain explodes."
Craig Benzine</t>
  </si>
  <si>
    <t>"I asked him a question, 'Do you have fear of not reaching those goals?' He said, 'No.' 'Well, That's your problem, you set goals you know you can reach. And when you do that, that fear, that insecurity, that doubt, that's where you grow.' He's not getting that. You must always set goals that you think you cannot achieve. And then there, you get better."
David Goggins</t>
  </si>
  <si>
    <t>"If you pursue the impossible, you will make it possible."
Andrew Bustamente</t>
  </si>
  <si>
    <t>"What are you trying to do that nobody else can do? What can you try to do, starting today, that everybody else thinks is unrealistic? That's the question."
Andrew Bustamente</t>
  </si>
  <si>
    <t>"The way that I got there [being a CIA agent] wasn't by making a series of short realistic goals. It was by always leaving myself open to the possibility that I was gonna do something ridiculous, that I was gonna do something crazy and unbelievable. And when I left myself open to that opportunity, I started setting my goals to things that were very very ambitious."
Andrew Bustamente</t>
  </si>
  <si>
    <t>"The mind doesn't wear out with use, it actually rusts with disuse."
Dr Alok Kanojia</t>
  </si>
  <si>
    <t>"We glorify hustle and work. Don't go the hard way. Say it's like, okay, I need to accomplish x result. What's the easiest, fastest, laziest way, that requires the least amount for me to still accomplish that result? Not to sacrifice that result, to get the same result, but what's the easiest way? Make it easy. And you'll be baffled by how much we overcomplicate everything, make things way harder than they need to be. Easy success, fast success, prioritizing."
Julien Blanc</t>
  </si>
  <si>
    <t>"You can also notice with perfectionism and control, the more you try to make something perfect, the slower you grow. Control just slowing the growth. You gotta loosen up a little bit."
Julien Blanc</t>
  </si>
  <si>
    <t>"[Talking about your dreams] It feels good to talk about that shit, man, it actually makes you feel good, makes you feel proud, all that shit. But guess what happens when that alarm clock goes off at 4am, to train - umm, I don't wanna be a Seal today, I don't want to be whatever today. I'll start tomorrow. And that's the usual pattern of people's lives. That's why I talk about clearing out the mind.  Until you really wanna do something, you're always gonna be a talker, you're always gonna run your fucking mouth." 
David Goggins</t>
  </si>
  <si>
    <t>"I have no idea how [I became a CIA agent]. That's not something that I put in motion, that's just something that happened as a result of decisions that I made along the way. But I do know this. I do know that the reason it happened was, in part, because I never told myself it couldn't happen, I never convinced myself that I couldn't do it, I never thought to myself that it wouldn't be possible."
Andrew Bustamente</t>
  </si>
  <si>
    <t>"Your brain doesn't know the difference between something you vividly imagine and actually experience in reality... Be as if. Be as if you are that person already. ... If it feels fake, it's just because you're at the start. So if you just 'be as if' and stay on that path, eventually you start to merge in and you are that person. And that whole realness of when it actually happened is an illusion. In other words, it's a gradual moving and attracting towards. It's not just a flip a switch and then it happens."
Clark Kegley</t>
  </si>
  <si>
    <t>"You don't need to put thousands and thousands of dollars and thousands and thousands of hours into everything you do... You should just get comfortable with making things in a safe environment where failure is just for the lols. Do that over and over and over again and you'll get better and better and get more comfortable with failure and more confident, then you'll be ready to make the Sistine Chapel, but don't make the Sistine Chapel, it's already been done, make the Seventeen Chapel."
Craig Gene Benzine</t>
  </si>
  <si>
    <t>"It's a truly liberating experience to know that you're an adult who can choose the people you let into your life. Something we didn't have access to as children."
Dr. Nicole LePera</t>
  </si>
  <si>
    <t>"The lesson that I've learned for myself, after my time at the agency, was that goals are not supposed to be simple, goals are not supposed to be short-sighted, goals are not supposed to be the kind of thing that you can realistically believe in. If you set realistic goals, then the best that you can ever hope for is to do what you can already do, because it's what you consider to be realistic."
Andrew Bustamente</t>
  </si>
  <si>
    <t>"People usually judge you based on where you are at currently, not what you could become eventually. Don't let one comment stop you from trying. File it away or use it as fuel. Focus on getting better. Someone else's analysis of your current position doesn't tell you anything about your current potential."
James Clear</t>
  </si>
  <si>
    <t>"I have a friend who makes high six figures as an engineer. I once asked him his secret and he was like, 'Honestly man, I just read one engineering textbook every year, which is one more book than everyone else I know reads.'"
Charlie Becker</t>
  </si>
  <si>
    <t>"I heard my mom asking our neighbor for some salt. We had salt at home so I asked her why she was asking. She told me, 'They don't have much money and they sometimes ask us for things. So I asked for something small that wouldn't burden them. I want them to feel as if we needed them too. That way, it will be much easier for them to ask us for anything they need.'"
Unknown</t>
  </si>
  <si>
    <t>"You can be relaxed and dedicated. Just because you worry more, doesn't mean you care more."
James Clear</t>
  </si>
  <si>
    <t>"Let's say I'm running, if I'm in the middle of a race, and I'm thinking about how far I have to go, and I'm thinking,'okay I've got 10k to go. I've got to catch that guy ahead,' or I'm thinking, 'geez I've come a long way, I'm tired, that's been a long way.' I can't be thinking about what I'm doing. If I'm thinking ahead or I'm thinking behind. I can't be thinking about what I'm doing, and if I'm not thinking about what I'm doing, how can I be the best at what I'm doing."
Ned Phillips</t>
  </si>
  <si>
    <t>"If I'm thinking ahead or I'm thinking behind. I can't be thinking about what I'm doing, and if I'm not thinking about what I'm doing, how can I be the best at what I'm doing."
Ned Phillips</t>
  </si>
  <si>
    <t>"When something evolves, everything around that thing evolves as well."
Paulo Coelho, The Alchemist</t>
  </si>
  <si>
    <t>"Don't think about what you've left behind. Everything is written in the sould of the world, and there it will stay forever."
Paulo Coelho, The Alchemist</t>
  </si>
  <si>
    <t>"Every search begins with beginners luck. And every search ends with the victors being severely tested."
Paulo Coelho, The Alchemist</t>
  </si>
  <si>
    <t>"There is only one way to learn. It's through action. Everything you need to know, you have learned through your journey."
Paulo Coelho, The Alchemist</t>
  </si>
  <si>
    <t>"Making a decision was only the beginning of things. When someone makes a decision, he is really diving into a strong current that will carry him to places he had never dreamed of when he first made the decision."
Paulo Coelho, The Alchemist</t>
  </si>
  <si>
    <t>"If you can't do it all, do what you can."
Vin Diesel</t>
  </si>
  <si>
    <t>"Most people are cheap with their money and generous with their time. I think it should be the opposite. We should be cheap with our time and generous with our money. Because you can always make more money, you cannot make more time." 
Nir Eyal</t>
  </si>
  <si>
    <t>"Sometimes all you need for exceptional results is average effort repeated for an above-average amount of time."
James Clear</t>
  </si>
  <si>
    <t>"What I want for you is the best case scenario failure. I want you to fail good and feel good, and make lots and lots of things, and finally, have fun, enjoy it. ... If it's a project that you think is worthwhile, it's, of course, not always gonna be fun and you shouldn't expect it to always be fun. It shouldn't make you want to tear your eyeballs out either ... When I started making videos I felt it in my soul that I wanted to do it, and every time I did it, it was cathartic and wonderful."
Craig Gene Benzine</t>
  </si>
  <si>
    <t>"I've found that it's of some help to think of one's moods and feelings about the world as being similar to weather. Here are some obvious things about the weather: it’s real. You can't change it by wishing it away. If it's dark and rainy it really is dark and rainy and you can't alter it. It might be dark and rainy for two weeks in a row. But. It will be sunny one day. In the same way that one has to accept the weather, so one has to accept how one feels about life sometimes."
Stephen Fry</t>
  </si>
  <si>
    <t>"In the same way that one has to accept the weather, so one has to accept how one feels about life sometimes. 'Today's a crap day,' is a perfectly realistic approach. It's all about finding a kind of mental umbrella. 'Hey-ho, it's raining inside: it isn’t my fault and there's nothing I can do about it, but sit it out. But the sun may well come out tomorrow and when it does, I shall take full advantage.'" 
Stephen Fry</t>
  </si>
  <si>
    <t xml:space="preserve">"A day in the marine corps is like a day on the farm. Every meal is a banquet. Every paycheck a fortune. Every formation a parade. I love the corps."
Apone in 'Aliens' </t>
  </si>
  <si>
    <t xml:space="preserve">"There is perhaps nothing worse than reaching the top of the ladder and discovering that you're on the wrong wall."
Joseph Campbell </t>
  </si>
  <si>
    <t>"Anyone who truly wants to be free won't desire something that is actually in someone else's control, unless they want to be a slave." 
Epictetus</t>
  </si>
  <si>
    <t>"I usually took my best pictures on my day off." 
LB Jeffries in 'Rear Window'</t>
  </si>
  <si>
    <t>"You keep cutting the task until you find the threshold for positive movement forward."
Jordan Peterson</t>
  </si>
  <si>
    <t>"Acceptance isn't passive. It's the first step in an active process toward self-improvement." 
Ryan Holiday</t>
  </si>
  <si>
    <t>"Aim high, let's say, and then concentrate on the day. What are the most important things that I need to attend to so that I'm in better shape tonight than I was this morning." 
Jordan Peterson</t>
  </si>
  <si>
    <t>"All failure is is a tool for success. It shows you how to get there if you're willing to stay in the fight."
David Goggins</t>
  </si>
  <si>
    <t>"You don't judge a person by where they stand in times of comfort and convenience. You judge them by where they stand in times of challenge and controversy."
David Goggins</t>
  </si>
  <si>
    <t>"You have to first go to war with yourself. You gotta figure out what you're about and be proud of who you are."
David Goggins</t>
  </si>
  <si>
    <t>"Once you come face to face with who you are, you have a starting point. 'Alright, I'm not real smart. I have no courage. I have no self-esteem. I have no nothing. Nothing.' That's my starting point. Now we can move from there. But if I tell myself, 'I'm strong. I have courage. I'm smart,' and all these are lies, you continuously push that starting point backwards. So that starting point is the truth."
David Goggins</t>
  </si>
  <si>
    <t>"Don't talk about it. Be about it."
David Goggins</t>
  </si>
  <si>
    <t>"The most important step we're ever taking in life is our next one." 
David Goggins</t>
  </si>
  <si>
    <t>"Epictetus, too, would tell his students that the important thing was that they had begun: begun to practice, learn, get better."
Ryan Holiday</t>
  </si>
  <si>
    <t>"Rather than postpone, our impulse each day should be to bring things, as much as possible, to completion." 
Ryan Holiday</t>
  </si>
  <si>
    <t>"Ask enough questions and you will find the answer. Asking questions starts an endless chain of ideas, each one suggesting several others. Most inventions and improvements are the result of questions. Someone wanted to know the answer.”
Earl Prevette</t>
  </si>
  <si>
    <t>"My formula for living is quite simple. I get up in the morning and I go to bed at night. In between, I occupy myself as best I can."
Cary Grant</t>
  </si>
  <si>
    <t>"Perfection is not important. Just keeping going is all that matters."
Derren Brown</t>
  </si>
  <si>
    <t>"Putting things off is the biggest waste of life: it snatches away each day as it comes, and denies us the present by promising the future."
Seneca</t>
  </si>
  <si>
    <t>"Sometimes even to live is an act of courage." 
Seneca</t>
  </si>
  <si>
    <t>"Failure is not the opposite of success, it's a part of success."
Jim Kwik</t>
  </si>
  <si>
    <t>"It's never about perfection, it's about progress."
Jim Kwik</t>
  </si>
  <si>
    <t>"As frightening as death might seem, remember: it contains within it the end of fear."
Ryan Holiday</t>
  </si>
  <si>
    <t>"[The fool] is always getting ready to live."
Seneca</t>
  </si>
  <si>
    <t>"The fool, with all his other faults, has this also, he is always getting ready to live."
Seneca</t>
  </si>
  <si>
    <t>"One of our greatest freedoms is how we react to things." 
The Mole in 'The Boy, the Mole, the Fox and the Horse'</t>
  </si>
  <si>
    <t>"When the big things feel out of control, focus on what you love, right under your nose."
The Horse in 'The Boy, the Mole, the Fox and the Horse'</t>
  </si>
  <si>
    <t>"Life is long enough, and it's given in sufficient measure to do many great things if we spend it well. ... We don't receive a short life, we make it so."
Seneca</t>
  </si>
  <si>
    <t>"Do not focus on the fall, but focus on the getting up."
Seve</t>
  </si>
  <si>
    <t>"You cannot put a condition on yourself that 'I am enough if...'"
Seve</t>
  </si>
  <si>
    <t>"What you don't want in your life is this endless horizon of aspiration, 'I just need a bit more of this or a litte bit more of that. I need more success, more income, more wealth, a bigger house, bigger car, bigger this,' because that's just an endless black hole."
Erwin McManus</t>
  </si>
  <si>
    <t>"All those things I brought into my life to make me happy, they weren't doing their job. So that's when I decided to let go. And you know what? I started to feel free for the first time in my life. I got my time back. I got my life back. And as I changed my life, I was focused on community, not consumerism. Giving, not taking. People, not stuff."
Ryan Nicodemus</t>
  </si>
  <si>
    <t xml:space="preserve">"If you have a longing, and a dream, and a passion inside of you, why hold on to what you used to do and who you used to be, and lose who you want to become?" 
Erwin McManus </t>
  </si>
  <si>
    <t>"Chances are you should be lazy more often. Whether it’s to give your brain a rest, dig up insightful ideas or plot future plans, sometimes the best way to make stuff happen is by doing nothing at all." 
Chris Bailey</t>
  </si>
  <si>
    <t>"Ninety days from now you will be somewhere, God willing. So, why not make that somewhere you wanna be?" 
Joey Schweitzer</t>
  </si>
  <si>
    <t>"We're given technology that far surpasses that which put man on the moon and use it to tweet spite from the toilet."
Derren Brown</t>
  </si>
  <si>
    <t>"Anger is just proof of how unrealistic your expectations were."
Derren Brown</t>
  </si>
  <si>
    <t>OBJECTIVES PENALTY</t>
  </si>
  <si>
    <t>CHALLENGES PENALTY</t>
  </si>
  <si>
    <t>MISSIONS PENALTY</t>
  </si>
  <si>
    <t xml:space="preserve">COUNT </t>
  </si>
  <si>
    <t xml:space="preserve"> TARGET</t>
  </si>
  <si>
    <t xml:space="preserve">  DAY NUMBERS NOT REPEATING</t>
  </si>
  <si>
    <t>L I V E S   A D D E D</t>
  </si>
  <si>
    <t>♡</t>
  </si>
  <si>
    <t>BOOKS FINISHED</t>
  </si>
  <si>
    <t>CASHFLOW BALANCE</t>
  </si>
  <si>
    <t>D A Y   X P   A V G</t>
  </si>
  <si>
    <t>D A Y   X P   M A X</t>
  </si>
  <si>
    <t>T O T A L   D A Y S</t>
  </si>
  <si>
    <t>M A X   C H A I N</t>
  </si>
  <si>
    <t>100% COUNT</t>
  </si>
  <si>
    <t>COUNT</t>
  </si>
  <si>
    <t>DATE INPUT</t>
  </si>
  <si>
    <t>FIRST DAY NUMBER</t>
  </si>
  <si>
    <t>WEEK START DATE</t>
  </si>
  <si>
    <t>1ST DAY NUMBER</t>
  </si>
  <si>
    <t>LIFE ADDED</t>
  </si>
  <si>
    <t>LIVES ADDED</t>
  </si>
  <si>
    <t>U</t>
  </si>
  <si>
    <t>W  A  L  K  T  H  R  O  U  G  H</t>
  </si>
  <si>
    <t>˅</t>
  </si>
  <si>
    <t>NEW NOTES</t>
  </si>
  <si>
    <t>XP  FROM YESTERDAY</t>
  </si>
  <si>
    <t>CALCULATOR</t>
  </si>
  <si>
    <t>DATE YESTERDAY</t>
  </si>
  <si>
    <t>TODAY / END OF MONTH</t>
  </si>
  <si>
    <t>2nd Longest</t>
  </si>
  <si>
    <t>3rd Longest</t>
  </si>
  <si>
    <t>Moving to</t>
  </si>
  <si>
    <t>Current Residence</t>
  </si>
  <si>
    <t>YEARS</t>
  </si>
  <si>
    <t>INFO</t>
  </si>
  <si>
    <t>Longest Time</t>
  </si>
  <si>
    <t>MONTH BONUS</t>
  </si>
  <si>
    <t>MONTH STATUS</t>
  </si>
  <si>
    <t>TOTALS</t>
  </si>
  <si>
    <t>WEEK 1</t>
  </si>
  <si>
    <t>WEEK 2</t>
  </si>
  <si>
    <t>WEEK 3</t>
  </si>
  <si>
    <t>PLANS  &gt;</t>
  </si>
  <si>
    <t>TIMINGS</t>
  </si>
  <si>
    <t>WEEK 4</t>
  </si>
  <si>
    <t>WEEK 5</t>
  </si>
  <si>
    <t>WEEK 6</t>
  </si>
  <si>
    <t>Autobio</t>
  </si>
  <si>
    <t>HOLIDAY DAYS THIS MONTH</t>
  </si>
  <si>
    <t>BANK HOLIDAY</t>
  </si>
  <si>
    <t>IN CHOSEN DAYS</t>
  </si>
  <si>
    <t xml:space="preserve">DATES DUPLICATED </t>
  </si>
  <si>
    <t>BANK HOLIDAY DAYS MONTH NUMBERS</t>
  </si>
  <si>
    <t>CHOSEN HOLIDAY DAYS MONTH NUMBERS</t>
  </si>
  <si>
    <t>HOLIDAY WEEKS THIS MONTH</t>
  </si>
  <si>
    <t>DAYS OFF</t>
  </si>
  <si>
    <t>IS A HOLIDAY WEEK</t>
  </si>
  <si>
    <t>IF FOUR OR MORE</t>
  </si>
  <si>
    <t>IS THIS WEEK A HOLIDAY?</t>
  </si>
  <si>
    <t>IS TODAY A HOLIDAY?</t>
  </si>
  <si>
    <t>DATE TODAY</t>
  </si>
  <si>
    <t>REPEAT DAILY TARGETS</t>
  </si>
  <si>
    <t>NOT MET/OUT OF TIME</t>
  </si>
  <si>
    <t>DAYS REMAINING THIS MONTH (INCLUDING TODAY)</t>
  </si>
  <si>
    <t>WK</t>
  </si>
  <si>
    <t>TOTAL HOLIDAY DAYS THIS MONTH BY DAY OF THE WEEK</t>
  </si>
  <si>
    <t>HOL</t>
  </si>
  <si>
    <t>COU</t>
  </si>
  <si>
    <t>NT</t>
  </si>
  <si>
    <t>GET</t>
  </si>
  <si>
    <t>TAR</t>
  </si>
  <si>
    <t>NATIONAL HOLIDAY DAYS</t>
  </si>
  <si>
    <t>CHOSEN HOLIDAY DAYS/WEEKS</t>
  </si>
  <si>
    <t>✓</t>
  </si>
  <si>
    <t>BBC iPlayer</t>
  </si>
  <si>
    <t>"So when you start thinking, 'hey I should do this', go fucking do it. Because the self-talk that naturally rebounds from not doing those things that you tell yourself you're going to do, is what literally destroys your self-esteem and your self-confidence. ... If you invest into keeping those promises to yourself without any compromise, zero fucking compromise, this is getting done no matter what. What comes back is you know that you're a person of integrity that you can trust and that gives you confidence."
Unknown</t>
  </si>
  <si>
    <t>"Find the beauty and joy in your daily rituals and you will find beauty and joy in your daily life. To love your habits is to love your days, and to love your days is to love your life."
James Clear</t>
  </si>
  <si>
    <t>"What I'm talking about is third-personing oneself in service to overriding limbic friction. Sometimes we have this narrative that's so closely tied to our immediate state, that we have a hard time forcing our selves into some other mode of action. So it can be very helpful to take on a view of yourself that's living in anticipation of the future state that you're going to be in." 
Andrew Huberman</t>
  </si>
  <si>
    <t>"What the really great artists do is they're entirely themselves. They've got their own vision, their own way of fracturing reality, and then if it's authentic and true, you will feel it in your nerve endings."
David Foster Wallace</t>
  </si>
  <si>
    <t>"Life is full of small minded people with narrow horizons. And they’re all trying to kill you. They’ll kill you with words like: 'Be reasonable', 'Play it safe', and the worst: 'Stay in your lane.' You don't have to listen to these people. You don't have to listen to anyone. I recommend listening to the people who are building the things you love."
Tris Oaten</t>
  </si>
  <si>
    <t>"Books hold most of the secrets of the world, most of the thoughts that men and women have had. And when you are reading a book, you and the author are alone together—just the two of you. A library is a good place to go when you feel unhappy, for there, in a book, you may find encouragement and comfort. A library is a good place to go when you feel bewildered or undecided, for there, in a book, you may have your question answered. Books are good company, in sad times and happy times, for books are people."
E.B. White</t>
  </si>
  <si>
    <t>"You are never at a loss of where to take your life next if you learn the art of presencing yourself and actually starting to build from the ground up. ... Everybody has the capacity to do something in the next twenty-four hours of their life that brings them closer to the future they actually want. The only way to gurantee that you are never going to get there, is to spend every twenty-four hour period of your life thinking and fantising about the future without taking any steps towards it."
Heidi Priebe</t>
  </si>
  <si>
    <t>"You do not even have to believe in yourself or your work. You have to keep yourself open and aware to the urges that motivate you. Keep the channel open."
Martha Graham</t>
  </si>
  <si>
    <t>"If you do not need to stand at continuous post in your own personal watchtower to ensure that the world does not discover your shameful secret, then you can scan the world for more promising possibilities and bring to your own living a deep restfulness that you may never before have known."
Robert Kegan &amp; Lisa Laskew Lahey</t>
  </si>
  <si>
    <t>"Everything in your life right now, you secretly love it, or you would have done something about it. However, you're not always aware of the part of you that loves it, but you all do. So when it comes to self-sabotage, instead of fighting against it, it's much more beneficial to identify the part of you that loves it."
Julien Blanc</t>
  </si>
  <si>
    <t>NOT THIS MONTH</t>
  </si>
  <si>
    <t>Workshop</t>
  </si>
  <si>
    <t>LEFT SIDE</t>
  </si>
  <si>
    <t>RIGHT SIDE</t>
  </si>
  <si>
    <t>ALL MONTHS</t>
  </si>
  <si>
    <t>TOTAL SKILL MISSIONS FOR THIS MONTH</t>
  </si>
  <si>
    <t>- - -</t>
  </si>
  <si>
    <t>| --</t>
  </si>
  <si>
    <t>TO-DO SOON COMPLETE</t>
  </si>
  <si>
    <t>TO-DO NEXT SOON DEADLINE</t>
  </si>
  <si>
    <t>TARGET MET</t>
  </si>
  <si>
    <t>REPEATS</t>
  </si>
  <si>
    <t>TARGET</t>
  </si>
  <si>
    <t>NOT MET</t>
  </si>
  <si>
    <t>TOTAL SINGULAR MISSIONS FOR THIS MONTH</t>
  </si>
  <si>
    <t>TOTAL REPEATING MISSIONS</t>
  </si>
  <si>
    <t>TOTAL SKILL MISSIONS PAST DEADLINE</t>
  </si>
  <si>
    <t>SKILL MISSIONS</t>
  </si>
  <si>
    <t>TOTAL REPEATING &amp; SINGULAR MISSIONS</t>
  </si>
  <si>
    <t>TOTAL REPEATING &amp; SINGULAR COMPLETE</t>
  </si>
  <si>
    <t>TOTAL REPEATING &amp; SINGULAR FAILED</t>
  </si>
  <si>
    <t>TOTAL REPEATING &amp; SINGULAR BELOW TARGET OR PAST DEADLINE</t>
  </si>
  <si>
    <t>TOTAL REPEATING TARGET NOT MET / REMAINING</t>
  </si>
  <si>
    <t>TOTAL REPEATING BELOW TARGET / PAST DEADLINE</t>
  </si>
  <si>
    <t>TOTAL REPEATING COMPLETE</t>
  </si>
  <si>
    <t>TOTAL SINGULAR COMPLETE FOR ALL MONTHS</t>
  </si>
  <si>
    <t>TOTAL SINGULAR REMAINING FOR THIS MONTH</t>
  </si>
  <si>
    <t>TOTAL SINGULAR PAST DEADLINE</t>
  </si>
  <si>
    <t>TOTAL SKILL MISSIONS COMPLETE FOR ALL MONTHS</t>
  </si>
  <si>
    <t>TOTAL SKILL MISSIONS REMAINING FOR THIS MONTH</t>
  </si>
  <si>
    <t>TOTAL REPEATING &amp; SINGULAR TARGET NOT MET OR REMAINING</t>
  </si>
  <si>
    <t>[ IF MONTH ONGOING FAILED = NO. PAST DEADLINE ]</t>
  </si>
  <si>
    <t>[ IF MONTH COMPLETE FAILED = NO. REMAINING ]</t>
  </si>
  <si>
    <t>TOTAL SKILL MISSIONS FAILED</t>
  </si>
  <si>
    <t>TOTAL REPEATING &amp; SINGULAR &amp; SKILL MISSIONS FAILED</t>
  </si>
  <si>
    <t>TOTAL [ SET TO ZERO</t>
  </si>
  <si>
    <t>IF HOLIDAY WEEK ]</t>
  </si>
  <si>
    <t>IF HOLIDAY DAY ]</t>
  </si>
  <si>
    <t>DAY OF THE WEEK</t>
  </si>
  <si>
    <t>TOTAL LIVES ADDED</t>
  </si>
  <si>
    <t>COOP MODE</t>
  </si>
  <si>
    <t>"Whenever you think you can't - confidence comes from the thing that you built - you must build belief, you must build confidence. It can't be like, 'hey, I'm gonna knock that shit out.' You gotta look over and say, 'I can knock that shit out.' It's belief, and it's built on what you put into yourself."
David Goggins</t>
  </si>
  <si>
    <t>"Never attribute to malice that which is adequately explained by stupidity." (Hanlon's Razor)
Robert J. Hanlon</t>
  </si>
  <si>
    <t>2UP - Get Two Whole Life Hearts</t>
  </si>
  <si>
    <t>3UP - Get Three Whole Life Hearts</t>
  </si>
  <si>
    <t>Bonus 10 XP in a Light Blue Skill - Do Any Action</t>
  </si>
  <si>
    <t>Bonus 20 XP in a Light Blue Skill - Do Any Action</t>
  </si>
  <si>
    <t>Bonus 30 XP in a Light Blue Skill - Do Any Action</t>
  </si>
  <si>
    <t>Bonus 10 XP in Related Skill - Do Any Dice Roll Action</t>
  </si>
  <si>
    <t>Bonus 20 XP in Related Skill - Do Any Dice Roll Action</t>
  </si>
  <si>
    <t>Bonus 30 XP in Related Skill - Do Any Dice Roll Action</t>
  </si>
  <si>
    <t>Bonus 60 XP in Related Skill - Do Any Dice Roll Action</t>
  </si>
  <si>
    <t>Bonus 10 XP in a Green Skill - Do Any Action</t>
  </si>
  <si>
    <t>Bonus 20 XP in a Green Skill - Do Any Action</t>
  </si>
  <si>
    <t>Bonus 30 XP in a Green Skill - Do Any Action</t>
  </si>
  <si>
    <t>Bonus 10 XP in Related Skill - Do Wildcard Dice Roll Action</t>
  </si>
  <si>
    <t>Bonus 20 XP in Related Skill - Do Wildcard Dice Roll Action</t>
  </si>
  <si>
    <t>Bonus 30 XP in Related Skill - Do Wildcard Dice Roll Action</t>
  </si>
  <si>
    <t>Bonus 60 XP in Related Skill - Do Wildcard Dice Roll Action</t>
  </si>
  <si>
    <t>Bonus 10 XP in a Yellow Skill - Do Any Action</t>
  </si>
  <si>
    <t>Bonus 20 XP in a Yellow Skill - Do Any Action</t>
  </si>
  <si>
    <t>Bonus 30 XP in a Yellow Skill - Do Any Action</t>
  </si>
  <si>
    <t>Bonus 10 XP in an Orange Skill - Do Any Action</t>
  </si>
  <si>
    <t>Bonus 20 XP in an Orange Skill - Do Any Action</t>
  </si>
  <si>
    <t>Bonus 30 XP in an Orange Skill - Do Any Action</t>
  </si>
  <si>
    <t>Bonus 10 XP in a Dark Red Skill - Do Any Action</t>
  </si>
  <si>
    <t>Bonus 20 XP in a Dark Red Skill - Do Any Action</t>
  </si>
  <si>
    <t>Bonus 30 XP in a Dark Red Skill - Do Any Action</t>
  </si>
  <si>
    <t>Bonus 10 XP in a Bright Red Skill - Do Any Action</t>
  </si>
  <si>
    <t>Bonus 20 XP in a Bright Red Skill - Do Any Action</t>
  </si>
  <si>
    <t>Bonus 30 XP in a Bright Red Skill - Do Any Action</t>
  </si>
  <si>
    <t>Bonus 10 XP in a Pink Skill - Do Any Action</t>
  </si>
  <si>
    <t>Bonus 20 XP in a Pink Skill - Do Any Action</t>
  </si>
  <si>
    <t>Bonus 30 XP in a Pink Skill - Do Any Action</t>
  </si>
  <si>
    <t>Bonus 10 XP in a Purple Skill - Do Any Action</t>
  </si>
  <si>
    <t>Bonus 20 XP in a Purple Skill - Do Any Action</t>
  </si>
  <si>
    <t>Bonus 30 XP in a Purple Skill - Do Any Action</t>
  </si>
  <si>
    <t>Bonus 10 XP in a Dark Blue Skill - Do Any Action</t>
  </si>
  <si>
    <t>Bonus 20 XP in a Dark Blue Skill - Do Any Action</t>
  </si>
  <si>
    <t>Bonus 30 XP in a Dark Blue Skill - Do Any Action</t>
  </si>
  <si>
    <t>Bonus 10 XP in a Skill of Choice - Do Any Action</t>
  </si>
  <si>
    <t>Bonus 20 XP in a Skill of Choice - Do Any Action</t>
  </si>
  <si>
    <t>Bonus 30 XP in a Skill of Choice - Do Any Action</t>
  </si>
  <si>
    <t>NEW MONTH CHANGEOVER</t>
  </si>
  <si>
    <t>28 DAYS</t>
  </si>
  <si>
    <t>29 DAYS</t>
  </si>
  <si>
    <t>30 DAYS</t>
  </si>
  <si>
    <t>31 DAYS</t>
  </si>
  <si>
    <t>IN "XP HISTORY" TABLE</t>
  </si>
  <si>
    <t>IN "LEVELS HISTORY" TABLE</t>
  </si>
  <si>
    <t>CLICK BUTTON</t>
  </si>
  <si>
    <t>THEN CLICK BUTTON</t>
  </si>
  <si>
    <t>IF NEW MONTH HAS</t>
  </si>
  <si>
    <t xml:space="preserve">MISSIONS: </t>
  </si>
  <si>
    <t>LOGS:</t>
  </si>
  <si>
    <t xml:space="preserve"> NEW MONTH CHANGEOVER</t>
  </si>
  <si>
    <t>ADDITIONAL MANUAL ACTIONS PER SHEET</t>
  </si>
  <si>
    <t>COMPLETE STEPS 9 &amp; 10 MANUALLY</t>
  </si>
  <si>
    <t>🎮</t>
  </si>
  <si>
    <t>📺</t>
  </si>
  <si>
    <t>🎥</t>
  </si>
  <si>
    <t xml:space="preserve">     NARRATIVES</t>
  </si>
  <si>
    <t xml:space="preserve">        MISSIONS</t>
  </si>
  <si>
    <t xml:space="preserve">  PLANS</t>
  </si>
  <si>
    <t>£</t>
  </si>
  <si>
    <t>€</t>
  </si>
  <si>
    <t>₹</t>
  </si>
  <si>
    <t>CURRENCY</t>
  </si>
  <si>
    <t>LOOT SUM</t>
  </si>
  <si>
    <t>XP RULES</t>
  </si>
  <si>
    <r>
      <t xml:space="preserve">GENERATE NUMBERS FOR </t>
    </r>
    <r>
      <rPr>
        <b/>
        <sz val="9"/>
        <color theme="1"/>
        <rFont val="Calibri"/>
        <family val="2"/>
        <scheme val="minor"/>
      </rPr>
      <t>MERCHANT,</t>
    </r>
    <r>
      <rPr>
        <sz val="9"/>
        <color theme="1"/>
        <rFont val="Calibri"/>
        <family val="2"/>
        <scheme val="minor"/>
      </rPr>
      <t xml:space="preserve"> ROW AND COLUMN SELECTION</t>
    </r>
  </si>
  <si>
    <r>
      <t xml:space="preserve">GENERATE NUMBERS FOR </t>
    </r>
    <r>
      <rPr>
        <b/>
        <sz val="9"/>
        <color theme="1"/>
        <rFont val="Calibri"/>
        <family val="2"/>
        <scheme val="minor"/>
      </rPr>
      <t>BOOTY</t>
    </r>
    <r>
      <rPr>
        <sz val="9"/>
        <color theme="1"/>
        <rFont val="Calibri"/>
        <family val="2"/>
        <scheme val="minor"/>
      </rPr>
      <t xml:space="preserve"> ITEMS, ROW AND COLUMN SELECTION</t>
    </r>
  </si>
  <si>
    <t>MEDIA</t>
  </si>
  <si>
    <t>silver</t>
  </si>
  <si>
    <t>bronze</t>
  </si>
  <si>
    <t>gold</t>
  </si>
  <si>
    <t>week dates</t>
  </si>
  <si>
    <t>♥♥♥</t>
  </si>
  <si>
    <t>♥♥</t>
  </si>
  <si>
    <t>ROUTINES</t>
  </si>
  <si>
    <t>RELAX</t>
  </si>
  <si>
    <t>PT3</t>
  </si>
  <si>
    <t>PT-1/PT-2/PT-3</t>
  </si>
  <si>
    <t>ONE THING: DATE UPDATE FOR MACRO</t>
  </si>
  <si>
    <t>day date | week no. | month</t>
  </si>
  <si>
    <t>Aim at most missions added being possible to complete within one day.</t>
  </si>
  <si>
    <t>"The quality of your life has much less to do with what you add to it, and more to do with what you remove from it."
Julien Blanc</t>
  </si>
  <si>
    <t>"Instead of trying to fix your life, fix the way that you interpret and draw conclusions from life events."
Alok Kanojia</t>
  </si>
  <si>
    <t>"This is the definition of internal powered goals... I'm sticking with this, even if I'm not excited about it every moment, even if my motivation goes up and down, even if my success or failures have periods where one is big and the other's down. ...It's this relentless return."
Cal Newport</t>
  </si>
  <si>
    <t>"Productivity doesn't have to be fast. Productivity doesn't require constant intakes of motivation and inspiration. ... Sometimes it's as boring as... I'm just gonna take my time, keep working on this craft."
Cal Newport</t>
  </si>
  <si>
    <t>"Sometimes slowing down is the way to actually make it farther down the path, as paradoxical as that can seem."
Cal Newport</t>
  </si>
  <si>
    <t>"People care about the thing you do best, so you're almost always better off making your best things as good as possible, which almost always requires doing less."
Cal Newport</t>
  </si>
  <si>
    <t>"I have a wonderful work, in a wonderful way, I give wonderful service, for wonderful pay."
Florence Scovel Shinn</t>
  </si>
  <si>
    <t>"Forward momentum always continues, steps every day. So you're moving in the right direction adjusting your path, always moving. This more often than not is what unlocks really interesting impact and interesting opportunities. The slow productivity approach, a small number of things that through internal power you keep pursuing over time, just relentlessly. 'I'm sticking with this, updating how I do it, but sticking with it over time.' A small number of things done really well at a reasonable sustainable pace."
Cal Newport</t>
  </si>
  <si>
    <t>S K I L L S</t>
  </si>
  <si>
    <t>Monday</t>
  </si>
  <si>
    <t>Tuesday</t>
  </si>
  <si>
    <t>Wednesday</t>
  </si>
  <si>
    <t>Thursday</t>
  </si>
  <si>
    <t>Friday</t>
  </si>
  <si>
    <t>Saturday</t>
  </si>
  <si>
    <t>Sunday</t>
  </si>
  <si>
    <t>S T R E A M I N G   S E L E C T I O N</t>
  </si>
  <si>
    <t>L A N G U A G E   S E L E C T I O N</t>
  </si>
  <si>
    <t>Code</t>
  </si>
  <si>
    <t>Week One</t>
  </si>
  <si>
    <t>Week Two</t>
  </si>
  <si>
    <t>Week Three</t>
  </si>
  <si>
    <t>Week Four</t>
  </si>
  <si>
    <t>Week Five</t>
  </si>
  <si>
    <t>Week Six</t>
  </si>
  <si>
    <t>Watch Week</t>
  </si>
  <si>
    <t>[ Film ]</t>
  </si>
  <si>
    <t>DYNAMIC DROP-DOWN LIST</t>
  </si>
  <si>
    <t>TITLES</t>
  </si>
  <si>
    <t>Film of the Week</t>
  </si>
  <si>
    <t>"To realise one's personal legend is a person's only real obligation. All things are one. And when you want something, all the universe conspires in helping you to achieve it."
Paulo Coelho, The Alchemist</t>
  </si>
  <si>
    <t xml:space="preserve"> &lt;   DAILY REPEATS TARGETS</t>
  </si>
  <si>
    <t>REPEATING DAILY</t>
  </si>
  <si>
    <t>TIMER PAST</t>
  </si>
  <si>
    <t>REPEATING WEEKLY</t>
  </si>
  <si>
    <t>DAY IS SAT OR SUN</t>
  </si>
  <si>
    <t>TODAY = HOL</t>
  </si>
  <si>
    <t>THIS WEEK = HOL</t>
  </si>
  <si>
    <t>Try to estimate a time to complete each mission. For repeating missions, adjust time estimates as needed.</t>
  </si>
  <si>
    <t>If procrastinating about a particular mission, break it down into multiple more manageable or less intimidating missions, ensuring specific actions are clear.</t>
  </si>
  <si>
    <t>To avoid being overwhelmed by too many missions, do the fastest one first. Once complete, do the next fastest mission, and proceed like this.</t>
  </si>
  <si>
    <t>🞅</t>
  </si>
  <si>
    <t>🕮</t>
  </si>
  <si>
    <t>🖫</t>
  </si>
  <si>
    <t>🤖</t>
  </si>
  <si>
    <t>🎲</t>
  </si>
  <si>
    <t>🖉</t>
  </si>
  <si>
    <t>🛠</t>
  </si>
  <si>
    <t>🕯</t>
  </si>
  <si>
    <t>🕉</t>
  </si>
  <si>
    <t>🍴</t>
  </si>
  <si>
    <t>💎</t>
  </si>
  <si>
    <t>new notes</t>
  </si>
  <si>
    <t>Apple</t>
  </si>
  <si>
    <t>👣</t>
  </si>
  <si>
    <t>🛒</t>
  </si>
  <si>
    <t>🎒</t>
  </si>
  <si>
    <t>🦋</t>
  </si>
  <si>
    <t>Bag</t>
  </si>
  <si>
    <t xml:space="preserve">| </t>
  </si>
  <si>
    <t>Strategy</t>
  </si>
  <si>
    <t xml:space="preserve"> HOURS</t>
  </si>
  <si>
    <t xml:space="preserve"> ALT HRS</t>
  </si>
  <si>
    <t xml:space="preserve"> &gt;</t>
  </si>
  <si>
    <t xml:space="preserve"> &gt;&gt;</t>
  </si>
  <si>
    <t xml:space="preserve"> &gt;&gt;&gt;</t>
  </si>
  <si>
    <t xml:space="preserve">DINNER </t>
  </si>
  <si>
    <t xml:space="preserve">|| </t>
  </si>
  <si>
    <t xml:space="preserve">||| </t>
  </si>
  <si>
    <t>20:00</t>
  </si>
  <si>
    <t>MIND</t>
  </si>
  <si>
    <t>MIND OBJECTIVES</t>
  </si>
  <si>
    <t>BODY OBJECTIVES</t>
  </si>
  <si>
    <t>B O D Y   O B J E C T I V E S</t>
  </si>
  <si>
    <t>M I N D   O B J E C T I V E S</t>
  </si>
  <si>
    <t>MIND DAY XP</t>
  </si>
  <si>
    <t>BODY DAY XP</t>
  </si>
  <si>
    <t>N E X T   B O D Y   O B J E C T I V E S</t>
  </si>
  <si>
    <t>N E X T   M I N D   O B J E C T I V E S</t>
  </si>
  <si>
    <t>BODY</t>
  </si>
  <si>
    <t>Bonus 10 XP in Mind Skill of Choice - Do Any Action</t>
  </si>
  <si>
    <t>Bonus 20 XP in Mind Skill of Choice - Do Any Action</t>
  </si>
  <si>
    <t>Bonus 30 XP in Mind Skill of Choice - Do Any Action</t>
  </si>
  <si>
    <t>Bonus 60 XP in Mind Skill of Choice - Do Any Action</t>
  </si>
  <si>
    <t>Bonus 10 XP in Body Skill of Choice - Do Any Action</t>
  </si>
  <si>
    <t>Bonus 20 XP in Body Skill of Choice - Do Any Action</t>
  </si>
  <si>
    <t>Bonus 30 XP in Body Skill of Choice - Do Any Action</t>
  </si>
  <si>
    <t>Bonus 60 XP in Body Skill of Choice - Do Any Action</t>
  </si>
  <si>
    <t>B O D Y</t>
  </si>
  <si>
    <t>M I N D</t>
  </si>
  <si>
    <t>C H A L L E N G E S</t>
  </si>
  <si>
    <t>CREATIVE - LEARNING - IMPROVEMENTS - PERSONAL - RANDOM</t>
  </si>
  <si>
    <t>REPEATING MONTHLY</t>
  </si>
  <si>
    <t>&lt;100% &amp; LAST DAY OF MONTH</t>
  </si>
  <si>
    <t>LAST DAY OF MONTH DATE</t>
  </si>
  <si>
    <t>1 DAY LEFT &amp; &lt;</t>
  </si>
  <si>
    <t>&lt;100% &amp; LAST DAY OF WEEK</t>
  </si>
  <si>
    <t>TOTAL AT DEADLINE DAY</t>
  </si>
  <si>
    <t>&lt;  IS DEADLINE DAY</t>
  </si>
  <si>
    <t>DAY TODAY</t>
  </si>
  <si>
    <t>👞</t>
  </si>
  <si>
    <t>👕</t>
  </si>
  <si>
    <t>🏃</t>
  </si>
  <si>
    <t>🏋</t>
  </si>
  <si>
    <t>💿</t>
  </si>
  <si>
    <t>🖸</t>
  </si>
  <si>
    <t>🖼</t>
  </si>
  <si>
    <t>👖</t>
  </si>
  <si>
    <t>🚀</t>
  </si>
  <si>
    <t>🛀</t>
  </si>
  <si>
    <t>◎</t>
  </si>
  <si>
    <t>🖐</t>
  </si>
  <si>
    <t>👔</t>
  </si>
  <si>
    <t>💰</t>
  </si>
  <si>
    <t>Funds</t>
  </si>
  <si>
    <t>🏬</t>
  </si>
  <si>
    <t>🔮</t>
  </si>
  <si>
    <t>📜</t>
  </si>
  <si>
    <t>📎</t>
  </si>
  <si>
    <t>🏡</t>
  </si>
  <si>
    <t>🏠</t>
  </si>
  <si>
    <t>🕿</t>
  </si>
  <si>
    <t>💫</t>
  </si>
  <si>
    <t>🖋</t>
  </si>
  <si>
    <t>🍵</t>
  </si>
  <si>
    <t>🗄</t>
  </si>
  <si>
    <t>🞄</t>
  </si>
  <si>
    <t>⌚</t>
  </si>
  <si>
    <t>☕</t>
  </si>
  <si>
    <t>⚿</t>
  </si>
  <si>
    <t>C U R R E N T   V I E W I N G   S C H E D U L E</t>
  </si>
  <si>
    <t>REPEATS TARGET</t>
  </si>
  <si>
    <t>WKS DONE BY NOW</t>
  </si>
  <si>
    <t>TARGET NOT MET/OUT OF TIME</t>
  </si>
  <si>
    <t>ALT HRS</t>
  </si>
  <si>
    <t xml:space="preserve"> (OVERDUE)</t>
  </si>
  <si>
    <t>09:00-12:00</t>
  </si>
  <si>
    <t>12:00-15:00</t>
  </si>
  <si>
    <t>15:00-18:00</t>
  </si>
  <si>
    <t>18:00-21:00</t>
  </si>
  <si>
    <t>mission not for this month or day</t>
  </si>
  <si>
    <t>repeating daily days to include
delete/add letter as necessary</t>
  </si>
  <si>
    <t>Cost</t>
  </si>
  <si>
    <t>NEW GAME PLAYTHROUGH</t>
  </si>
  <si>
    <t>WILD CARD</t>
  </si>
  <si>
    <t>LIMITS</t>
  </si>
  <si>
    <t>Prime</t>
  </si>
  <si>
    <t>PERSONAL</t>
  </si>
  <si>
    <t>FAST</t>
  </si>
  <si>
    <t>DEFAULT</t>
  </si>
  <si>
    <t>SLOW</t>
  </si>
  <si>
    <t>SLOWER</t>
  </si>
  <si>
    <t>SLOWEST</t>
  </si>
  <si>
    <t>LEVELLING SPEED</t>
  </si>
  <si>
    <t>LEVELLING TYPE</t>
  </si>
  <si>
    <t>HORIZONTAL</t>
  </si>
  <si>
    <t>DIAGONAL</t>
  </si>
  <si>
    <t>LEVELLING SPEEDS</t>
  </si>
  <si>
    <t>LEVELLING TYPES</t>
  </si>
  <si>
    <t>Each level up requires progressively more XP</t>
  </si>
  <si>
    <t>Horror</t>
  </si>
  <si>
    <t>FIRST</t>
  </si>
  <si>
    <t>PLAYTHROUGH</t>
  </si>
  <si>
    <t>SECOND</t>
  </si>
  <si>
    <t>THIRD</t>
  </si>
  <si>
    <t>FORTH</t>
  </si>
  <si>
    <t>FIFTH</t>
  </si>
  <si>
    <t>SIXTH</t>
  </si>
  <si>
    <t>SEVENTH</t>
  </si>
  <si>
    <t>EIGHTH</t>
  </si>
  <si>
    <t>NINTH</t>
  </si>
  <si>
    <t>Action</t>
  </si>
  <si>
    <t>current status on Journey</t>
  </si>
  <si>
    <t>status at month  start</t>
  </si>
  <si>
    <t>status increase this month</t>
  </si>
  <si>
    <t>life hearts calculation</t>
  </si>
  <si>
    <t>Thriller</t>
  </si>
  <si>
    <t>Bonus 10 in Related Skill - Complete One Mission</t>
  </si>
  <si>
    <t>Bonus 20 in Related Skill - Complete One Mission</t>
  </si>
  <si>
    <t>Bonus 30 in Related Skill - Complete One Mission</t>
  </si>
  <si>
    <t>Bonus 60 in Related Skill - Complete One Mission</t>
  </si>
  <si>
    <t>Bonus 40 XP in Mind Skill of Choice - Do Any Action</t>
  </si>
  <si>
    <t>Bonus 40 XP in Body Skill of Choice - Do Any Action</t>
  </si>
  <si>
    <t>Bonus 40 in Related Skill - Complete One Mission</t>
  </si>
  <si>
    <t>Bonus 40 XP in Related Skill - Do Any Dice Roll Action</t>
  </si>
  <si>
    <t>Bonus 40 XP in Related Skill - Do Wildcard Dice Roll Action</t>
  </si>
  <si>
    <t>⯑❖⯑</t>
  </si>
  <si>
    <t>Complete One Mission</t>
  </si>
  <si>
    <t>Dice Roll Action</t>
  </si>
  <si>
    <t></t>
  </si>
  <si>
    <t>Any Item on Sale</t>
  </si>
  <si>
    <t>⠐❖⠂</t>
  </si>
  <si>
    <t>⠒❖⠒</t>
  </si>
  <si>
    <t>⠿❖⠿</t>
  </si>
  <si>
    <t>10 XP</t>
  </si>
  <si>
    <t>20 XP</t>
  </si>
  <si>
    <t>30 XP</t>
  </si>
  <si>
    <t>40 XP</t>
  </si>
  <si>
    <t>60 XP</t>
  </si>
  <si>
    <t>current death state count</t>
  </si>
  <si>
    <t>death count when lives last hit zero</t>
  </si>
  <si>
    <t>current life hearts</t>
  </si>
  <si>
    <t>current loot amount</t>
  </si>
  <si>
    <t>LOOT PENALTY</t>
  </si>
  <si>
    <t>REWARD CHEST PENALTY</t>
  </si>
  <si>
    <t>✕</t>
  </si>
  <si>
    <t>REWARD CHEST</t>
  </si>
  <si>
    <t>lives = 0
deaths + 1</t>
  </si>
  <si>
    <t>REWARD CHEST FUNDS TO SEND TO TREASURY</t>
  </si>
  <si>
    <t>REWARD CHEST FUNDS TO SPEND</t>
  </si>
  <si>
    <t>🏆</t>
  </si>
  <si>
    <t>PER CHALLENGE DONE</t>
  </si>
  <si>
    <t>PER SKILL MISSION COMPLETE</t>
  </si>
  <si>
    <t>PER LEVEL UP</t>
  </si>
  <si>
    <t>PER BOOK FINISHED</t>
  </si>
  <si>
    <t>PER ADVENTURE DONE</t>
  </si>
  <si>
    <t>PER CONNECTION DONE</t>
  </si>
  <si>
    <t>NEW MONTH BONUS IF ♥ = 0</t>
  </si>
  <si>
    <t>NEW MONTH BONUS IF ♥ &gt;= 0.5</t>
  </si>
  <si>
    <t>IF CASHFLOW BAL. &gt; TARGET</t>
  </si>
  <si>
    <t>IF MTH START STATUS &gt;=20</t>
  </si>
  <si>
    <t>IF MTH START STATUS &gt;=30</t>
  </si>
  <si>
    <t>Paramount</t>
  </si>
  <si>
    <t>PER COOP MTH OBJECTIVE MET</t>
  </si>
  <si>
    <t>PER COOP OVERALL OBJECTIVE MET</t>
  </si>
  <si>
    <t>IF CASHFLOW BALANCE &gt; 0</t>
  </si>
  <si>
    <t>EASY</t>
  </si>
  <si>
    <t>NORMAL</t>
  </si>
  <si>
    <t>NUMBER</t>
  </si>
  <si>
    <t>PER OBJECTIVE MET</t>
  </si>
  <si>
    <t>CURRENT SELECTED DIFFICULTY</t>
  </si>
  <si>
    <t>PER DAY XP &gt;= 600 (10 hrs)</t>
  </si>
  <si>
    <t>PER DAY XP &gt;= 720 (12 hrs)</t>
  </si>
  <si>
    <t>PER DAY XP &gt;= 840 (14 hrs)</t>
  </si>
  <si>
    <t>PER DAY XP &gt;= 960 (16 hrs)</t>
  </si>
  <si>
    <t>PER DAY XP &gt;= 360  (6 hrs)</t>
  </si>
  <si>
    <t>PER DAY XP &gt;= 480  (8 hrs)</t>
  </si>
  <si>
    <t>LIFE HEARTS REWARDED WITH EACH DIFFICULTY</t>
  </si>
  <si>
    <t>PLAYER</t>
  </si>
  <si>
    <t>START DATE</t>
  </si>
  <si>
    <t>DETAILS</t>
  </si>
  <si>
    <t>NEXT GAMEPLAN</t>
  </si>
  <si>
    <t>FORENAME</t>
  </si>
  <si>
    <t>PLAYTHROUGH START DATE</t>
  </si>
  <si>
    <t>11:00</t>
  </si>
  <si>
    <t>C A S U A L</t>
  </si>
  <si>
    <t>N O R M A L</t>
  </si>
  <si>
    <t>I N T E N S E</t>
  </si>
  <si>
    <t>E X T R E M E</t>
  </si>
  <si>
    <t>CASUAL</t>
  </si>
  <si>
    <t>INTENSE</t>
  </si>
  <si>
    <t>EXTREME</t>
  </si>
  <si>
    <t>PS4</t>
  </si>
  <si>
    <t>PS5</t>
  </si>
  <si>
    <t>Wii U</t>
  </si>
  <si>
    <t>Wii</t>
  </si>
  <si>
    <t>PS3</t>
  </si>
  <si>
    <t>Xbox 360</t>
  </si>
  <si>
    <t>GameCube</t>
  </si>
  <si>
    <t>PS2</t>
  </si>
  <si>
    <t>Dreamcast</t>
  </si>
  <si>
    <t>SNES</t>
  </si>
  <si>
    <t>NES</t>
  </si>
  <si>
    <t>Sega Saturn</t>
  </si>
  <si>
    <t>Sega MS</t>
  </si>
  <si>
    <t>C U R R E N T   G A M I N G   P L A T F O R M S</t>
  </si>
  <si>
    <t xml:space="preserve">Systems / Consoles </t>
  </si>
  <si>
    <t>Sega MD</t>
  </si>
  <si>
    <t>Gaming Platforms List</t>
  </si>
  <si>
    <t>Gaming Genres List</t>
  </si>
  <si>
    <t>iPlayer</t>
  </si>
  <si>
    <t>TV/Film Platforms Array</t>
  </si>
  <si>
    <t>YouTube</t>
  </si>
  <si>
    <t>Disney</t>
  </si>
  <si>
    <t>HBO Max</t>
  </si>
  <si>
    <t>Discovery+</t>
  </si>
  <si>
    <t>Peacock</t>
  </si>
  <si>
    <t>Freevee</t>
  </si>
  <si>
    <t>HBO</t>
  </si>
  <si>
    <t>Discovery</t>
  </si>
  <si>
    <t>Lionsgate+</t>
  </si>
  <si>
    <t>Lionsgate</t>
  </si>
  <si>
    <t>Download</t>
  </si>
  <si>
    <t>TV Platforms List</t>
  </si>
  <si>
    <t>Film Platforms List</t>
  </si>
  <si>
    <t>Streaming Selection</t>
  </si>
  <si>
    <t>Amazon Prime Video</t>
  </si>
  <si>
    <t>via friend</t>
  </si>
  <si>
    <t>via family</t>
  </si>
  <si>
    <t>free</t>
  </si>
  <si>
    <t>free trial</t>
  </si>
  <si>
    <t>free offer</t>
  </si>
  <si>
    <t>Channel 4+</t>
  </si>
  <si>
    <t>Channel 4</t>
  </si>
  <si>
    <t>ITVX Premium</t>
  </si>
  <si>
    <t>ITVX</t>
  </si>
  <si>
    <t>My5</t>
  </si>
  <si>
    <t>Sky Stream</t>
  </si>
  <si>
    <t>Sky</t>
  </si>
  <si>
    <t>Tubi</t>
  </si>
  <si>
    <t>Hulu</t>
  </si>
  <si>
    <t>Starz</t>
  </si>
  <si>
    <t>Status</t>
  </si>
  <si>
    <t>Date</t>
  </si>
  <si>
    <t>Platform Selection</t>
  </si>
  <si>
    <t>Xbox S-X</t>
  </si>
  <si>
    <t>Xbox S-S</t>
  </si>
  <si>
    <t>ongoing</t>
  </si>
  <si>
    <t>dd-Mth-yy</t>
  </si>
  <si>
    <t>Unfinished</t>
  </si>
  <si>
    <t>Jan</t>
  </si>
  <si>
    <t>Feb</t>
  </si>
  <si>
    <t>Mar</t>
  </si>
  <si>
    <t>Apr</t>
  </si>
  <si>
    <t>May</t>
  </si>
  <si>
    <t>Jun</t>
  </si>
  <si>
    <t>Jul</t>
  </si>
  <si>
    <t>Aug</t>
  </si>
  <si>
    <t>Sep</t>
  </si>
  <si>
    <t>Oct</t>
  </si>
  <si>
    <t>Nov</t>
  </si>
  <si>
    <t>Dec</t>
  </si>
  <si>
    <t>DAILY XP</t>
  </si>
  <si>
    <t>REPEAT MISSIONS</t>
  </si>
  <si>
    <t>ACHIEVEMENTS</t>
  </si>
  <si>
    <t>ENHANCEMENTS</t>
  </si>
  <si>
    <t>BOOTY 1UPS</t>
  </si>
  <si>
    <t>PER ACHIEVEMENT COMPLETE</t>
  </si>
  <si>
    <t>PER OBJECTIVE FAILED</t>
  </si>
  <si>
    <t>PER CHALLENGE FAILED</t>
  </si>
  <si>
    <t>Channel</t>
  </si>
  <si>
    <t>N64</t>
  </si>
  <si>
    <t>Other TV / YouTube Channels List</t>
  </si>
  <si>
    <t>Shooter</t>
  </si>
  <si>
    <t>RPG</t>
  </si>
  <si>
    <t>Simulator</t>
  </si>
  <si>
    <t>Tactical</t>
  </si>
  <si>
    <t>Fighting</t>
  </si>
  <si>
    <t>FPS</t>
  </si>
  <si>
    <t>Survival</t>
  </si>
  <si>
    <t>Platformer</t>
  </si>
  <si>
    <t>Puzzle</t>
  </si>
  <si>
    <t>Racing</t>
  </si>
  <si>
    <t>MMO</t>
  </si>
  <si>
    <t>Arcade</t>
  </si>
  <si>
    <t>Film Genres List</t>
  </si>
  <si>
    <t>TV Genres List</t>
  </si>
  <si>
    <t>Reality</t>
  </si>
  <si>
    <t>Crime</t>
  </si>
  <si>
    <t>Mystery</t>
  </si>
  <si>
    <t>Fantasy</t>
  </si>
  <si>
    <t>Historical</t>
  </si>
  <si>
    <t>Romance</t>
  </si>
  <si>
    <t>Satire</t>
  </si>
  <si>
    <t>Drama</t>
  </si>
  <si>
    <t>Musical</t>
  </si>
  <si>
    <t>Animation</t>
  </si>
  <si>
    <t>Biopic</t>
  </si>
  <si>
    <t>Docu</t>
  </si>
  <si>
    <t>Bollywood</t>
  </si>
  <si>
    <t>Noir</t>
  </si>
  <si>
    <t>Sport</t>
  </si>
  <si>
    <t>Fiction</t>
  </si>
  <si>
    <t>Non-fiction</t>
  </si>
  <si>
    <t>Biography</t>
  </si>
  <si>
    <t>Education</t>
  </si>
  <si>
    <t>Literary</t>
  </si>
  <si>
    <t>Learning</t>
  </si>
  <si>
    <t>Technical</t>
  </si>
  <si>
    <t>Humour</t>
  </si>
  <si>
    <t>Fable</t>
  </si>
  <si>
    <t>Folklore</t>
  </si>
  <si>
    <t>TWO-THOUSANDS</t>
  </si>
  <si>
    <t>TWENTY-TENS</t>
  </si>
  <si>
    <t>TWENTY-TWENTIES</t>
  </si>
  <si>
    <t>TWENTY-THIRTIES</t>
  </si>
  <si>
    <t>TWENTY-FORTIES</t>
  </si>
  <si>
    <t>PER FULL BOOBY TRAP</t>
  </si>
  <si>
    <t>TOTAL REPEATING FAILED</t>
  </si>
  <si>
    <t>TOTAL SINGULAR FAILED</t>
  </si>
  <si>
    <t>PER SKILL MISSION FAILED</t>
  </si>
  <si>
    <t>LIFE HEART REWARDS</t>
  </si>
  <si>
    <t>LIFE HEART PENALTIES</t>
  </si>
  <si>
    <t xml:space="preserve">   TOTALS</t>
  </si>
  <si>
    <t>TOTAL LIVES LOST</t>
  </si>
  <si>
    <t>DATA FOR LIFE HEART REWARDS</t>
  </si>
  <si>
    <t>TOTAL SKILL COMPLETE</t>
  </si>
  <si>
    <t>DATA FOR LIFE HEART PENALTIES</t>
  </si>
  <si>
    <t>TOTAL SKILL FAILED</t>
  </si>
  <si>
    <t>PER SING/MTH MISSION FAILED</t>
  </si>
  <si>
    <t>PER DAY/WEEK MISSION FAILED</t>
  </si>
  <si>
    <t>MET</t>
  </si>
  <si>
    <t>PER VICTORY DISPLAY COMPLETE</t>
  </si>
  <si>
    <t>VICTORY DISPLAYS</t>
  </si>
  <si>
    <t>CURRENT DISPLAY</t>
  </si>
  <si>
    <t xml:space="preserve">COUNTS </t>
  </si>
  <si>
    <t xml:space="preserve">COMPLETE </t>
  </si>
  <si>
    <t xml:space="preserve">DETAILS + </t>
  </si>
  <si>
    <t>SINGLE MISSIONS</t>
  </si>
  <si>
    <t>achievements count at month start</t>
  </si>
  <si>
    <t>new achievements this month</t>
  </si>
  <si>
    <t>victory pages count</t>
  </si>
  <si>
    <t>pages count at month start</t>
  </si>
  <si>
    <t>new pages complete this month</t>
  </si>
  <si>
    <t>current achievements count</t>
  </si>
  <si>
    <t>DEATHS PENALTY</t>
  </si>
  <si>
    <t>DEATHS</t>
  </si>
  <si>
    <t>DEATH</t>
  </si>
  <si>
    <t>PER DEATH</t>
  </si>
  <si>
    <t>MAX LIVES</t>
  </si>
  <si>
    <t>DEATHS COUNT</t>
  </si>
  <si>
    <t>LIMIT</t>
  </si>
  <si>
    <t>RANDOMISED TARGET</t>
  </si>
  <si>
    <t>1=Even 0.5=Odd</t>
  </si>
  <si>
    <t>Mins/Hrs</t>
  </si>
  <si>
    <t>1=Full Trap/0.5=Half Trap</t>
  </si>
  <si>
    <t>Mins/Hrs [Hidden]</t>
  </si>
  <si>
    <t>M E D I A   L I M I T S</t>
  </si>
  <si>
    <t>LIMITS (as selected in RESPITE)</t>
  </si>
  <si>
    <t>Last half</t>
  </si>
  <si>
    <t>First half</t>
  </si>
  <si>
    <t>1st part</t>
  </si>
  <si>
    <t>2nd part</t>
  </si>
  <si>
    <t>Details</t>
  </si>
  <si>
    <t>3rd part</t>
  </si>
  <si>
    <t>4th part</t>
  </si>
  <si>
    <t>BOOBY TRAPS PENALTY</t>
  </si>
  <si>
    <t>Count</t>
  </si>
  <si>
    <t>REWARDS</t>
  </si>
  <si>
    <t>MONTH END DATE</t>
  </si>
  <si>
    <t>MISSION COMPLETE</t>
  </si>
  <si>
    <t>FIRST MONTH OF PLAYTHROUGH</t>
  </si>
  <si>
    <t>FOR FIRST ROW OF DATA SHEET ARRAYS</t>
  </si>
  <si>
    <t>PER POINT STATUS INCREASE</t>
  </si>
  <si>
    <t></t>
  </si>
  <si>
    <t>DAYS REMAINING THIS MONTH (AFTER TODAY)</t>
  </si>
  <si>
    <t>INPUT TODAY?</t>
  </si>
  <si>
    <t>VERY EASY</t>
  </si>
  <si>
    <t>HARD</t>
  </si>
  <si>
    <t>VERY HARD</t>
  </si>
  <si>
    <t>MIND SKILLS</t>
  </si>
  <si>
    <t>[1= Yes|0=No]</t>
  </si>
  <si>
    <t>BODY SKILLS</t>
  </si>
  <si>
    <t>1=YES|0=NO</t>
  </si>
  <si>
    <t>🌐</t>
  </si>
  <si>
    <t>HELP</t>
  </si>
  <si>
    <t>TARGETS</t>
  </si>
  <si>
    <t>Superpowered Day</t>
  </si>
  <si>
    <t>❖</t>
  </si>
  <si>
    <t>N O W   S H O W I N G</t>
  </si>
  <si>
    <t>F U R T H E R   S H O W I N G</t>
  </si>
  <si>
    <t>F A V O U R I T E   /   F R E Q U E N T   C H A N N E L S</t>
  </si>
  <si>
    <t>O T H E R   T V   /   V I D E O S</t>
  </si>
  <si>
    <t xml:space="preserve">M I S C . </t>
  </si>
  <si>
    <t>A D D I T I O N A L</t>
  </si>
  <si>
    <t>Superbody Day - Double XP Gained in Body Skills</t>
  </si>
  <si>
    <t>Supermind Day - Double XP Gained in Mind Skills</t>
  </si>
  <si>
    <t>Superfocus Day - Double XP Gained in One Skill of Choice</t>
  </si>
  <si>
    <t>SUPERMIND</t>
  </si>
  <si>
    <t>SUPERBODY</t>
  </si>
  <si>
    <t>SUPERPOWERED</t>
  </si>
  <si>
    <t>SUPERFOCUS</t>
  </si>
  <si>
    <t>Superpowered Day - Double XP Gained in All Skills</t>
  </si>
  <si>
    <t>Supermind Day</t>
  </si>
  <si>
    <t>Superbody Day</t>
  </si>
  <si>
    <t>Superfocus Day</t>
  </si>
  <si>
    <t>❉❖❉</t>
  </si>
  <si>
    <t>SUPERFOCUS SKILL TODAY</t>
  </si>
  <si>
    <t>SUPERDAYS</t>
  </si>
  <si>
    <t>Day</t>
  </si>
  <si>
    <t>Skill</t>
  </si>
  <si>
    <t>SUPERDAY TODAY TYPE</t>
  </si>
  <si>
    <t>col.</t>
  </si>
  <si>
    <t>AD</t>
  </si>
  <si>
    <t>AM</t>
  </si>
  <si>
    <t>AV</t>
  </si>
  <si>
    <t>BE</t>
  </si>
  <si>
    <t>BN</t>
  </si>
  <si>
    <t>SUPER ENHANCEMENT ACTIVE</t>
  </si>
  <si>
    <t>⚛❖⚛</t>
  </si>
  <si>
    <t>SUPERFOCUS MIND OR BODY?</t>
  </si>
  <si>
    <t>MIND XP TOTALS</t>
  </si>
  <si>
    <t>BODY XP TOTALS</t>
  </si>
  <si>
    <t>ENHANCEMENT</t>
  </si>
  <si>
    <t>MAP</t>
  </si>
  <si>
    <t>TIME</t>
  </si>
  <si>
    <t>&lt; LEVELS AT MONTH START</t>
  </si>
  <si>
    <t>&lt; LVL AT MONTH START</t>
  </si>
  <si>
    <t>MIND TOTAL FOR THE MONTH</t>
  </si>
  <si>
    <t>BODY TOTAL FOR THE MONTH</t>
  </si>
  <si>
    <t>⛺</t>
  </si>
  <si>
    <t>⛄</t>
  </si>
  <si>
    <t>🎪</t>
  </si>
  <si>
    <t>🏰</t>
  </si>
  <si>
    <t>✳</t>
  </si>
  <si>
    <t>⛪</t>
  </si>
  <si>
    <t>⚔</t>
  </si>
  <si>
    <t>🎄</t>
  </si>
  <si>
    <t>🎁</t>
  </si>
  <si>
    <t>number of lives</t>
  </si>
  <si>
    <t>Mind XP total</t>
  </si>
  <si>
    <t>Body XP total</t>
  </si>
  <si>
    <t>this month</t>
  </si>
  <si>
    <t>this playthrough</t>
  </si>
  <si>
    <t>Y|N</t>
  </si>
  <si>
    <t>highest this month</t>
  </si>
  <si>
    <t>highest this playthrough</t>
  </si>
  <si>
    <t>actual</t>
  </si>
  <si>
    <t>limit</t>
  </si>
  <si>
    <t>today</t>
  </si>
  <si>
    <t>cell refs</t>
  </si>
  <si>
    <t>Calculations for mountain symbols</t>
  </si>
  <si>
    <t>default</t>
  </si>
  <si>
    <t>♰</t>
  </si>
  <si>
    <t>🌲</t>
  </si>
  <si>
    <t>🔥</t>
  </si>
  <si>
    <t>🎂</t>
  </si>
  <si>
    <t>Christmas</t>
  </si>
  <si>
    <t>equal</t>
  </si>
  <si>
    <t>BIRTHDAY</t>
  </si>
  <si>
    <t>🕈</t>
  </si>
  <si>
    <t>TUTORIAL</t>
  </si>
  <si>
    <t>THEORY</t>
  </si>
  <si>
    <t>death</t>
  </si>
  <si>
    <t>Birthday</t>
  </si>
  <si>
    <t>below 414</t>
  </si>
  <si>
    <t>from 414</t>
  </si>
  <si>
    <t>equal death</t>
  </si>
  <si>
    <t>cell ref</t>
  </si>
  <si>
    <t>for testing</t>
  </si>
  <si>
    <t xml:space="preserve">HP &gt;= </t>
  </si>
  <si>
    <t>formula</t>
  </si>
  <si>
    <t>min</t>
  </si>
  <si>
    <t>max</t>
  </si>
  <si>
    <t>left side</t>
  </si>
  <si>
    <t>right side</t>
  </si>
  <si>
    <t>TEST</t>
  </si>
  <si>
    <t>🏦</t>
  </si>
  <si>
    <t>Start Button</t>
  </si>
  <si>
    <t>Stop Button</t>
  </si>
  <si>
    <t>⏪❖⏩</t>
  </si>
  <si>
    <t>⏏❖⏏</t>
  </si>
  <si>
    <t>Stop Button - Bonus 100 XP in Skill If Finish Something</t>
  </si>
  <si>
    <t>Start Button - Bonus 100 XP in Skill If Begin Something</t>
  </si>
  <si>
    <t>⬗❖⬖</t>
  </si>
  <si>
    <t>⌖❖⌖</t>
  </si>
  <si>
    <t>Activities</t>
  </si>
  <si>
    <t>Books</t>
  </si>
  <si>
    <t>Games</t>
  </si>
  <si>
    <t>Media</t>
  </si>
  <si>
    <t>Tools</t>
  </si>
  <si>
    <t>Useful</t>
  </si>
  <si>
    <t>OBTAINED</t>
  </si>
  <si>
    <t xml:space="preserve">    TODAY</t>
  </si>
  <si>
    <t>DEADLINE</t>
  </si>
  <si>
    <t xml:space="preserve"> GIFT AVAILABLE</t>
  </si>
  <si>
    <t>Birthday gift available: choose any item!</t>
  </si>
  <si>
    <t>Christmas gift available: choose any item!</t>
  </si>
  <si>
    <t>GIFT CLAIMED</t>
  </si>
  <si>
    <t>Birthday &amp; Christmas gifts available: choose items!</t>
  </si>
  <si>
    <t>⌂</t>
  </si>
  <si>
    <t>HOLIDAY</t>
  </si>
  <si>
    <t>DATE OF BIRTH</t>
  </si>
  <si>
    <t>CURRENCY SYMBOL</t>
  </si>
  <si>
    <t>CURRENT LEVEL</t>
  </si>
  <si>
    <t>HUD CHEST</t>
  </si>
  <si>
    <t>NUM</t>
  </si>
  <si>
    <t>SELECT CELL WITH "&gt; &gt; &gt; &gt;"</t>
  </si>
  <si>
    <t>GUIDE:</t>
  </si>
  <si>
    <t>UPDATE ANY DAYS/WEEKS SKIPPED FROM CONSISTENT ACTIONS, ENTER UPDATE DAY</t>
  </si>
  <si>
    <t>PLANS:</t>
  </si>
  <si>
    <t>PROGRES:</t>
  </si>
  <si>
    <t>UPDATE CHALLENGE AND OBJECTIVE TARGETS</t>
  </si>
  <si>
    <t>REWARD CHEST FUNDS TO SPEND NOW</t>
  </si>
  <si>
    <t>①</t>
  </si>
  <si>
    <t>②</t>
  </si>
  <si>
    <t>③</t>
  </si>
  <si>
    <t>④</t>
  </si>
  <si>
    <t>⑤</t>
  </si>
  <si>
    <t>⑥</t>
  </si>
  <si>
    <t>NEW PLAYTHROUGH TUTORIAL</t>
  </si>
  <si>
    <t>NONE</t>
  </si>
  <si>
    <t>MM</t>
  </si>
  <si>
    <t>YYYY</t>
  </si>
  <si>
    <t>First</t>
  </si>
  <si>
    <t>Last</t>
  </si>
  <si>
    <t>Middle</t>
  </si>
  <si>
    <t>REWARD MONTHS HUD</t>
  </si>
  <si>
    <t>⑦</t>
  </si>
  <si>
    <t>⑧</t>
  </si>
  <si>
    <t>⑨</t>
  </si>
  <si>
    <t>⑩</t>
  </si>
  <si>
    <t>Opera Ticket</t>
  </si>
  <si>
    <t>Stand-up Comedy Ticket</t>
  </si>
  <si>
    <t>Casual Jacket</t>
  </si>
  <si>
    <t>Clothes</t>
  </si>
  <si>
    <t>Gadgets</t>
  </si>
  <si>
    <t>Miscellaneous</t>
  </si>
  <si>
    <t>Treats</t>
  </si>
  <si>
    <t>Winter Coat</t>
  </si>
  <si>
    <t>Smart Jacket</t>
  </si>
  <si>
    <t>Any Charity Shop Item</t>
  </si>
  <si>
    <t>Music Album Digital Download</t>
  </si>
  <si>
    <t>Film Digital Download</t>
  </si>
  <si>
    <t>TV Series Full Season Digital Download</t>
  </si>
  <si>
    <t>Streaming Service One Month Subscription</t>
  </si>
  <si>
    <t>Streaming Service Two Month Subscription</t>
  </si>
  <si>
    <t>Yoga Equipment</t>
  </si>
  <si>
    <t>Gym Equipment</t>
  </si>
  <si>
    <t>Weight Training Equipment</t>
  </si>
  <si>
    <t>Running Equipment</t>
  </si>
  <si>
    <t>Yoga Gear</t>
  </si>
  <si>
    <t>Gym Gear</t>
  </si>
  <si>
    <t>Running Gear</t>
  </si>
  <si>
    <t>P E R S O N A L I S A T I O N</t>
  </si>
  <si>
    <t>Chosen Items</t>
  </si>
  <si>
    <t>Default Items</t>
  </si>
  <si>
    <t>Now TV</t>
  </si>
  <si>
    <t>Now Film</t>
  </si>
  <si>
    <t>Jewelery</t>
  </si>
  <si>
    <t>Photography Wall Art</t>
  </si>
  <si>
    <t>Painting Wall Art</t>
  </si>
  <si>
    <t>Piece of Furniture</t>
  </si>
  <si>
    <t>Scarf</t>
  </si>
  <si>
    <t>Makeup</t>
  </si>
  <si>
    <t>Sports Game Ticket</t>
  </si>
  <si>
    <t>Notepad</t>
  </si>
  <si>
    <t>Pen</t>
  </si>
  <si>
    <t>Houseplant</t>
  </si>
  <si>
    <t>🎭</t>
  </si>
  <si>
    <t>🍽</t>
  </si>
  <si>
    <t>🤝</t>
  </si>
  <si>
    <t>💑</t>
  </si>
  <si>
    <t>🎢</t>
  </si>
  <si>
    <t>🎦</t>
  </si>
  <si>
    <t>🗫</t>
  </si>
  <si>
    <t>🗪</t>
  </si>
  <si>
    <t>🌅</t>
  </si>
  <si>
    <t>🌍</t>
  </si>
  <si>
    <t>🎼</t>
  </si>
  <si>
    <t></t>
  </si>
  <si>
    <t>🖂</t>
  </si>
  <si>
    <t>📑</t>
  </si>
  <si>
    <t>🎊</t>
  </si>
  <si>
    <t>present</t>
  </si>
  <si>
    <t>Alive on This Earth</t>
  </si>
  <si>
    <t>Coffee</t>
  </si>
  <si>
    <t>Appointment</t>
  </si>
  <si>
    <t>🌳</t>
  </si>
  <si>
    <t>🎬</t>
  </si>
  <si>
    <t>Show</t>
  </si>
  <si>
    <t>🍸</t>
  </si>
  <si>
    <t>🚄</t>
  </si>
  <si>
    <t>🚌</t>
  </si>
  <si>
    <t>🚗</t>
  </si>
  <si>
    <t>🚻</t>
  </si>
  <si>
    <t>🌄</t>
  </si>
  <si>
    <t>◇</t>
  </si>
  <si>
    <t>💻</t>
  </si>
  <si>
    <t>📱</t>
  </si>
  <si>
    <t>🌎</t>
  </si>
  <si>
    <t>💬</t>
  </si>
  <si>
    <t>Meeting</t>
  </si>
  <si>
    <t>🗊</t>
  </si>
  <si>
    <t>🕵</t>
  </si>
  <si>
    <t>Info - Details</t>
  </si>
  <si>
    <t>Event</t>
  </si>
  <si>
    <t>📡</t>
  </si>
  <si>
    <t>Connect</t>
  </si>
  <si>
    <t>📖</t>
  </si>
  <si>
    <t>🚲</t>
  </si>
  <si>
    <t>Cycle</t>
  </si>
  <si>
    <t>🚶</t>
  </si>
  <si>
    <t>Explore</t>
  </si>
  <si>
    <t>🔬</t>
  </si>
  <si>
    <t>🔭</t>
  </si>
  <si>
    <t>🍾</t>
  </si>
  <si>
    <t>🎀</t>
  </si>
  <si>
    <t>Ticket for Any Event</t>
  </si>
  <si>
    <t>Fiction Book</t>
  </si>
  <si>
    <t>Non-fiction Book</t>
  </si>
  <si>
    <t>Art Book</t>
  </si>
  <si>
    <t>Photography Book</t>
  </si>
  <si>
    <t>Comic Book</t>
  </si>
  <si>
    <t>Educational Book</t>
  </si>
  <si>
    <t>Digital Book</t>
  </si>
  <si>
    <t>Book of Any Type</t>
  </si>
  <si>
    <t>Streaming Service Three Month Subscription</t>
  </si>
  <si>
    <t>TV Series Full Season Blu-ray</t>
  </si>
  <si>
    <t>Film Blu-ray</t>
  </si>
  <si>
    <t>Music Album CD</t>
  </si>
  <si>
    <t>Music Album Vinyl</t>
  </si>
  <si>
    <t>Physical Copy of Video Game of Choice</t>
  </si>
  <si>
    <t>Digital Download of Video Game of Choice</t>
  </si>
  <si>
    <t>Digital Download of Any Video Game on Sale</t>
  </si>
  <si>
    <t>One Year Subscription to Online Gaming of Choice</t>
  </si>
  <si>
    <t>Headphones</t>
  </si>
  <si>
    <t>Scooter</t>
  </si>
  <si>
    <t>Binocculars</t>
  </si>
  <si>
    <t>Any Gadget of Choice</t>
  </si>
  <si>
    <t>Phone App</t>
  </si>
  <si>
    <t>[ Item Details Max Length &gt; &gt; &gt; &gt; &gt; &gt; &gt; &gt; &gt; &gt; &gt; &gt; &gt; &gt; &gt; ]</t>
  </si>
  <si>
    <t>BOOTY ITEM ARRAY DEFAULTS</t>
  </si>
  <si>
    <t>Projector</t>
  </si>
  <si>
    <t>Drone</t>
  </si>
  <si>
    <t>Watch</t>
  </si>
  <si>
    <t>Night Vision Goggles</t>
  </si>
  <si>
    <t>Speaker</t>
  </si>
  <si>
    <t>Lights</t>
  </si>
  <si>
    <t>Lamp</t>
  </si>
  <si>
    <t>Set of Cups</t>
  </si>
  <si>
    <t>Set of Glasses</t>
  </si>
  <si>
    <t>Model Kit</t>
  </si>
  <si>
    <t>Rubix Cube</t>
  </si>
  <si>
    <t>Chess Set</t>
  </si>
  <si>
    <t>TV Series</t>
  </si>
  <si>
    <t>Streaming Service</t>
  </si>
  <si>
    <t>CD</t>
  </si>
  <si>
    <t>Vinyl</t>
  </si>
  <si>
    <t>Music</t>
  </si>
  <si>
    <t>Photography</t>
  </si>
  <si>
    <t>Furniture</t>
  </si>
  <si>
    <t>Glass</t>
  </si>
  <si>
    <t>Any Item of Homeware</t>
  </si>
  <si>
    <t>Coat</t>
  </si>
  <si>
    <t>Sale</t>
  </si>
  <si>
    <t>Cappuccino</t>
  </si>
  <si>
    <t>Cake</t>
  </si>
  <si>
    <t>Pint</t>
  </si>
  <si>
    <t>Ice Cream</t>
  </si>
  <si>
    <t>Cocktail</t>
  </si>
  <si>
    <t>App</t>
  </si>
  <si>
    <t>Model</t>
  </si>
  <si>
    <t>Chess</t>
  </si>
  <si>
    <t>Opera</t>
  </si>
  <si>
    <t>Sports</t>
  </si>
  <si>
    <t>Art Gallery</t>
  </si>
  <si>
    <t>Online Gaming</t>
  </si>
  <si>
    <t>Game on Sale</t>
  </si>
  <si>
    <t>Weight</t>
  </si>
  <si>
    <t>by</t>
  </si>
  <si>
    <t></t>
  </si>
  <si>
    <t>🖧</t>
  </si>
  <si>
    <t>🖪</t>
  </si>
  <si>
    <t>🗿</t>
  </si>
  <si>
    <t>🛴</t>
  </si>
  <si>
    <t>🏂</t>
  </si>
  <si>
    <t>♚</t>
  </si>
  <si>
    <t></t>
  </si>
  <si>
    <t>🖽</t>
  </si>
  <si>
    <t>🍨</t>
  </si>
  <si>
    <t>🍷</t>
  </si>
  <si>
    <t>PROCUREMENT ITEMS LIST</t>
  </si>
  <si>
    <t>🎧</t>
  </si>
  <si>
    <t>🎟</t>
  </si>
  <si>
    <t>🎛</t>
  </si>
  <si>
    <t>💄</t>
  </si>
  <si>
    <t>🎗</t>
  </si>
  <si>
    <t>🌹</t>
  </si>
  <si>
    <t>🛋</t>
  </si>
  <si>
    <t>🖭</t>
  </si>
  <si>
    <t></t>
  </si>
  <si>
    <t></t>
  </si>
  <si>
    <t>🍻</t>
  </si>
  <si>
    <t>🍺</t>
  </si>
  <si>
    <t>🍰</t>
  </si>
  <si>
    <t>📘</t>
  </si>
  <si>
    <t>🗠</t>
  </si>
  <si>
    <t>💡</t>
  </si>
  <si>
    <t>CURRENT REWARDS CHEST</t>
  </si>
  <si>
    <t>FINAL TOTAL</t>
  </si>
  <si>
    <t>date</t>
  </si>
  <si>
    <r>
      <rPr>
        <b/>
        <sz val="8"/>
        <color theme="0" tint="-0.14999847407452621"/>
        <rFont val="Calibri"/>
        <family val="2"/>
      </rPr>
      <t>v</t>
    </r>
    <r>
      <rPr>
        <b/>
        <sz val="8"/>
        <color theme="0" tint="-0.14999847407452621"/>
        <rFont val="Calibri"/>
        <family val="2"/>
        <scheme val="minor"/>
      </rPr>
      <t xml:space="preserve">    gift claimed</t>
    </r>
  </si>
  <si>
    <t>🎉</t>
  </si>
  <si>
    <t>Digital Video Game Dowload Funds of 5</t>
  </si>
  <si>
    <t>Digital Video Game Dowload Funds of 10</t>
  </si>
  <si>
    <t>Digital Video Game Dowload Funds of 20</t>
  </si>
  <si>
    <t xml:space="preserve">CURRENT MONTH </t>
  </si>
  <si>
    <t>Each level up requires equal amount of XP</t>
  </si>
  <si>
    <t># max day XP Mind</t>
  </si>
  <si>
    <t># max day XP Body</t>
  </si>
  <si>
    <t># objectives/challenges completed</t>
  </si>
  <si>
    <t># missions completed</t>
  </si>
  <si>
    <t>REWARD CHEST LOSS THIS MONTH</t>
  </si>
  <si>
    <t>MID-YEAR TOTAL</t>
  </si>
  <si>
    <t>END-YEAR TOTAL</t>
  </si>
  <si>
    <t>LOSSES</t>
  </si>
  <si>
    <t>REWARD CHESTS</t>
  </si>
  <si>
    <t>FEB TO DEC, SELECT CELL WITH "&gt; &gt; &gt; &gt;"</t>
  </si>
  <si>
    <t>SIMPLY CLICK BUTTON</t>
  </si>
  <si>
    <t>A</t>
  </si>
  <si>
    <t>B</t>
  </si>
  <si>
    <t>C</t>
  </si>
  <si>
    <t>Ref for Bounty</t>
  </si>
  <si>
    <t>REWARDS SENT TO TREASURY</t>
  </si>
  <si>
    <t>Any hot drink in a Café</t>
  </si>
  <si>
    <t>Breakfast in a Café</t>
  </si>
  <si>
    <t>Lunch in a Pub</t>
  </si>
  <si>
    <t>Dinner in a Restaurant</t>
  </si>
  <si>
    <t>Other Treat</t>
  </si>
  <si>
    <t>THIS IS GAMEPLAN</t>
  </si>
  <si>
    <t>GAMEPLAN ONE</t>
  </si>
  <si>
    <t>START DAY</t>
  </si>
  <si>
    <t>NUMBER ONE? [1/0]</t>
  </si>
  <si>
    <t>ACTIVE? [1/0]</t>
  </si>
  <si>
    <t>"The imperfect project you actually complete is worth more than the perfect project you never finish."
James Clear</t>
  </si>
  <si>
    <t>"The secret to waking up is to wake up way earlier than you have to. When you have 1-2 hours where you can just sit there calmly, drinking coffee, and not be rushed, you feel ten times better. Later on, you can work on being productive in the morning too, if you please."
Simon Sarris</t>
  </si>
  <si>
    <t>"What makes life worth living? No child asks itself that question. To children life is self-evident. Life goes without saying: whether it is good or bad makes no difference. This is because children don't see the world, don't observe the world, don't contemplate the world, but are so deeply immersed in the world that they don't distinguish between it and their own selves." 
Karl Ove Knausgard</t>
  </si>
  <si>
    <t>"Meditation is concentrating the front of the mind with a mundane task, so the rest of the mind can find peace."
Gene in 'Layer Cake'</t>
  </si>
  <si>
    <t>"I think most of us really want to offer the world something of quality, something that the world will consider good or important. And, that's really the enemy. Because it's not up to us whether what we do is any good. And if history has taught us anything, the world is an extremely unreliable critic."
Ethan Hawke</t>
  </si>
  <si>
    <t>"I believe that we are here on this star in space to try to help one another. Right? And first we have to survive, and then we have to thrive. And to thrive, to express ourselves, alright, well, here's the rub: we have to know ourselves. What do you love? And if you get close to what you love, who you are is revealed to you, and it expands."
Ethan Hawke</t>
  </si>
  <si>
    <t>"Considering the marvelous complexity of the universe, its... clockwork perfection, its balances of this against that, matter, energy, gravitation, time, dimension - I believe that our existence must be more than either of these philosophies [an afterlife v nothingness]. That what we are goes beyond Euclidean or other practical measuring systems, and that our existence is part of a reality beyond what we understand now as reality."
Picard in 'Star Trek: The Next Generation'</t>
  </si>
  <si>
    <t>"My dad and I love basketball. ... He was also my coach for many years. One thing that always stuck with me was him saying 'shoot to make it.' I think there's a lot of moments in basketball and in life where we are just 'throwing a shot up' and hoping it goes in. How I interpreted his mantra was to have intention. If you are going to take a shot, take a good one and take it to make it. I always come back to what he said when I'm evaluating decisions I'm making and actions I take. Am I shooting to make it?" 
Colorado Mac</t>
  </si>
  <si>
    <t xml:space="preserve">"Although negative self-images can be overcome, in the life of an individual they are extremely robust and powerfully self-reinforcing. ... If people believe firmly enough that they cannot do math, they will usually succeed in preventing themselves from doing whatever they recognize as math. The consequences of such self-sabotage is personal failure, and each failure reinforces the original belief. And such beliefs may be most insidious when held not only by individuals, but by our entire culture." 
Seymour Papert </t>
  </si>
  <si>
    <t>"Try to be surprised by something every day. It could be something you see, hear, or read about. ... What is its essence? Don't assume that you already know what these things are all about, or that even if you knew them, they wouldn't matter anyway. Experience this one thing for what it is, not what you think it is. Be open to what the world is telling you. Life is nothing more than a stream of experiences — the more widely and deeply you swim in it, the richer your life will be."
Mihaly Csikszentmihalyi</t>
  </si>
  <si>
    <t>"If you feel safe in the area that you're working in, you're not working in the right area. Always go a little further into the water than you feel you're capable of being, go a little bit out of your depth. And when you don't feel that your feet are quite touching the bottom, you're just about in the right place to do something exciting."
David Bowie</t>
  </si>
  <si>
    <t>"Never play to the gallery. ... Never work for other people in what you do. Always... always remember that the reason that you initially started working was that there was something inside yourself that you felt that if you could manifest it in some way, you would understand more about yourself and how you coexist within the rest of society. And I, I think it's terribly dangerous for an artist to fulfill other people's expectations. I think they produce, they generally produce their worst work when they do that." 
David Bowie</t>
  </si>
  <si>
    <t>"The pull of habit is so huge. And that's what makes kids so beautifully creative, is that they don't have any habits. And they don't care if they're any good or not. They're not building a sandcastle going, 'I think I'm going to be a really good sandcastle builder.' They just throw themselves at whatever project you put in front of them: dancing, doing a painting, you know, building something. Any opportunity they have, they try to use it to impress upon you their individuality. It's so beautiful."
Ethan Hawke</t>
  </si>
  <si>
    <t xml:space="preserve">"To express yourself, you have to know yourself. It's actually super easy. You just have to follow your love. There is no path. There's no path till you walk it. And you have to be willing to play the fool. So don't read the book that you should read, read the book you wanna read. Don't listen to the music that you used to like. Take some time to listen to some new music. Take some time to talk to somebody that you don't normally talk to. I guarantee, if you do that, you will feel foolish. That's the point. Play the fool."
Ethan Hawke </t>
  </si>
  <si>
    <t>"[Creativity] is the way we heal each other. In singing our song, in telling our story, in inviting you to say, 'Hey, listen to me, and I'll listen to you,' we're starting a dialogue, you know. And when you do that, this healing happens, and we come out of our corners, and we start to witness each other's common humanity, we start to assert it. And when we do that, really good things happen. So, if you wanna help your community, if you wanna help your family, if you wanna help your friends, you have to express yourself."
Ethan Hawke</t>
  </si>
  <si>
    <t>"There's a thing that worries me sometimes whenever you talk about creativity, because it can have this kind of feel that it's just nice, you know, or it's warm or it's something pleasant. It's not. It's vital."
Ethan Hawke</t>
  </si>
  <si>
    <t>"So you have to ask yourself, do you think human creativity matters? Well, hmm. Most people don't spend a lot of time thinking about poetry. Right? They have a life to live, and they're not really that concerned with Allen Ginsberg's poems or anybody's poems. Until their father dies, they go to a funeral, you lose a child, somebody breaks your heart, they don't love you anymore. And all of a sudden, you're desperate for making sense out of this life. ... And that's when art's not a luxury, it's actually sustenance." 
Ethan Hawke</t>
  </si>
  <si>
    <t>SELECT LOGS IN MAIN AREA AND MOVE TO PREVIOUSLY SECTION (FOR REFLECTION)</t>
  </si>
  <si>
    <t xml:space="preserve">Go to a concert or the theatre or cinema. </t>
  </si>
  <si>
    <t>Nature</t>
  </si>
  <si>
    <t xml:space="preserve">Go to a museum or visit a historical place or site. </t>
  </si>
  <si>
    <t>Do a nature trek or walk or visit a place of interest.</t>
  </si>
  <si>
    <t>Do a training course or lesson of something.</t>
  </si>
  <si>
    <t xml:space="preserve">Go to a dinner, drinks or a parting. </t>
  </si>
  <si>
    <t>Do a gaming session or board game or sports.</t>
  </si>
  <si>
    <t>Main Connections</t>
  </si>
  <si>
    <t>G U I D E D   T E M P L A T E S</t>
  </si>
  <si>
    <t>B L A N K   T E M P L A T E S</t>
  </si>
  <si>
    <t>F O L L O W I N G   O N</t>
  </si>
  <si>
    <t>F O L L O W I N G   U P</t>
  </si>
  <si>
    <t>Consistent Actions</t>
  </si>
  <si>
    <t>Continuous Actions</t>
  </si>
  <si>
    <t>Update Needed/ Action Ceased</t>
  </si>
  <si>
    <t>Not Yet Begun</t>
  </si>
  <si>
    <t>N E W   T E M P L A T E S</t>
  </si>
  <si>
    <t>Active Streaming</t>
  </si>
  <si>
    <t>Expiration</t>
  </si>
  <si>
    <t>No. days left</t>
  </si>
  <si>
    <t>⠶❖⠶</t>
  </si>
  <si>
    <t>⠸❖⠇</t>
  </si>
  <si>
    <t>Adventure Ideas</t>
  </si>
  <si>
    <t>Hit Month Total XP of [  ] in Mind Skills</t>
  </si>
  <si>
    <t>Hit Month Total XP of [  ] in Body Skills</t>
  </si>
  <si>
    <t>Hit Month Total XP of [  ]</t>
  </si>
  <si>
    <t>Hit Day Total XP of [  ] in Mind Skills</t>
  </si>
  <si>
    <t>Hit Day Total XP of [  ] in Body Skills</t>
  </si>
  <si>
    <t>Hit Day Average XP of [  ]</t>
  </si>
  <si>
    <t>Hit Max HP of [  ]</t>
  </si>
  <si>
    <t>[ Two &gt; Four &gt; ... &gt; Sixteen ]</t>
  </si>
  <si>
    <t>Obtained [  ] Life Heart/s</t>
  </si>
  <si>
    <t>[ One &gt; Two &gt; ... &gt; Fourteen ]</t>
  </si>
  <si>
    <t>CHALLENGES | OBJECTIVES</t>
  </si>
  <si>
    <t>XP | LIVES | HP</t>
  </si>
  <si>
    <t>LEVELS | MISSIONS | LOGS</t>
  </si>
  <si>
    <t>Completed [  ] Challenge/s in a Month</t>
  </si>
  <si>
    <t>[ One &gt; Two &gt; Three &gt; Four &gt; All Five ]</t>
  </si>
  <si>
    <t>[X] Challenge Completed</t>
  </si>
  <si>
    <t>Completed [  ] Objective/s in a Month</t>
  </si>
  <si>
    <t>[ One &gt; Two &gt; ... &gt; All Eighteen ]</t>
  </si>
  <si>
    <t>Achieved Gampelan Level [  ]</t>
  </si>
  <si>
    <t xml:space="preserve">[ 125 &gt; 150 &gt; 175 &gt; 200 &gt; 250 &gt; 300 &gt; 350 &gt; 400 &gt; 414 ] </t>
  </si>
  <si>
    <t>[ 1 &gt; 2 &gt; 3 &gt; 5 &gt; 10 &gt; 20 &gt; 30 &gt; 40 &gt; 50 &gt; 75 &gt; 100 ]</t>
  </si>
  <si>
    <t xml:space="preserve">Maxed Out Level in [X] Skill </t>
  </si>
  <si>
    <t>Reached Level [  ] in [X] Skill</t>
  </si>
  <si>
    <t>[ 1 &gt; 2 &gt; 3 &gt; 4 &gt; 5 &gt; 10 &gt; 15 &gt; 20 ]</t>
  </si>
  <si>
    <t xml:space="preserve">Maxed Out Level/s in [  ] Skills </t>
  </si>
  <si>
    <t>[ Two &gt; Three &gt; ... &gt; All Eighteen ]</t>
  </si>
  <si>
    <t xml:space="preserve">Max of [  ] Log/s Done in a Month </t>
  </si>
  <si>
    <t>Max of [  ] Mission/s Completed in a Month</t>
  </si>
  <si>
    <t>[ Hit Level 23 in Skill ]</t>
  </si>
  <si>
    <t>[ Specific Challenge Done ]</t>
  </si>
  <si>
    <t>Completed [  ] Days of [X] Challenge</t>
  </si>
  <si>
    <t>Completed a Year of [X] Challenge</t>
  </si>
  <si>
    <t>Finished [  ] Month of [X] Challenge</t>
  </si>
  <si>
    <t>Do [X] Action for [  ] Day/s</t>
  </si>
  <si>
    <t>Hit Max of [  ] Minutes of [X] Action</t>
  </si>
  <si>
    <t>Hit Max of [  ] Hours of [X] Action</t>
  </si>
  <si>
    <t>Do [X] Action for [  ] Week/s</t>
  </si>
  <si>
    <t>Finished [  ] Project/s for [X]</t>
  </si>
  <si>
    <t>Create [  ] of [X]</t>
  </si>
  <si>
    <t>[ Get Started ]</t>
  </si>
  <si>
    <t>Begin Working on Project [X]</t>
  </si>
  <si>
    <t>Do [  ] Minutes of [X] Skill in a Day</t>
  </si>
  <si>
    <t>Complete [  ] Objective/s on Hard Difficulty</t>
  </si>
  <si>
    <t>Complete a [  ] Month Run of [X] Objective</t>
  </si>
  <si>
    <t>[ One &gt; Two &gt; Etc. ]</t>
  </si>
  <si>
    <t>[ First &gt; Second &gt; Etc. ]</t>
  </si>
  <si>
    <t>[ Overall Aim 50, 100, 150, Etc. ]</t>
  </si>
  <si>
    <t>[ 50 &gt; 100 &gt; Etc. ]</t>
  </si>
  <si>
    <t>[ One &gt; Two &gt; … &gt; Ten &gt; … &gt; Twenty &gt; Etc. ]</t>
  </si>
  <si>
    <t>[ Five &gt; Ten &gt; … &gt; Twenty &gt; Etc. ]</t>
  </si>
  <si>
    <t>Be Adventurous</t>
  </si>
  <si>
    <t>Wild Card</t>
  </si>
  <si>
    <t>Be Relaxed</t>
  </si>
  <si>
    <t>Be Creative</t>
  </si>
  <si>
    <t>Get Educated</t>
  </si>
  <si>
    <t>Get Productive</t>
  </si>
  <si>
    <t>Get Active</t>
  </si>
  <si>
    <t>Go Outside</t>
  </si>
  <si>
    <t>W I S D O M</t>
  </si>
  <si>
    <t>Bonus 40 XP in a Skill of Choice - Do Any Action</t>
  </si>
  <si>
    <t>Bonus 60 XP in a Skill of Choice - Do Any Action</t>
  </si>
  <si>
    <t>Bonus 10 XP in Related Skill - Complete One Mission</t>
  </si>
  <si>
    <t>Bonus 20 XP in Related Skill - Complete One Mission</t>
  </si>
  <si>
    <t>Bonus 30 XP in Related Skill - Complete One Mission</t>
  </si>
  <si>
    <t>Bonus 40 XP in Related Skill - Complete One Mission</t>
  </si>
  <si>
    <t>Bonus 60 XP in Related Skill - Complete One Mission</t>
  </si>
  <si>
    <t>"Thinking about stuff is not doing stuff."
Campbell Walker</t>
  </si>
  <si>
    <t>"When you choose your friends today, you are choosing your habits tomorrow."
James Clear</t>
  </si>
  <si>
    <t>"It's easier to optimize a modest start than to begin with a perfect start. Starting is the hard part, so start small and get in the mix. You'll learn a lot and you'll realize you don't need to have it all figured out to begin."
James Clear</t>
  </si>
  <si>
    <t>"Family isn't always blood. It's the people in your life who want you in theirs; the ones who accept you for who you are. The ones who would do anything to see you smile and who love you no matter what." 
Maya Angelou</t>
  </si>
  <si>
    <t>"Artificial ego inflation is not actual self-acceptance. Self-acceptance doesn't mean let go of your values. It doesn't mean you are perfect. It means accept who you are not, accept that you have flaws, accept that you are not perfect, and that you never will be. Accept that there is lots of room to improve yourself. And most importantly, accept your real, genuine strengths. This is true self-acceptance."
Ryan A Bush</t>
  </si>
  <si>
    <t>"Values are like fingerprints. Nobody's are the same but you leave them all over everything you touch."
Elvis Presley</t>
  </si>
  <si>
    <t>"The harder we try with the conscious will to do something, the less we shall succeed. Proficiency and results come only to those who have learned the paradoxical art of doing and not doing, or combining relaxation with activity."
Aldous Huxley</t>
  </si>
  <si>
    <t>"There are known unknowns. That is to say, we know there are some things we do not know. But there are also unknown unknowns, the ones we don't know we don't know."
Donald Rumsfeld</t>
  </si>
  <si>
    <t>"The desire for security and the feeling of insecurity are the same thing. To hold your breath is to lose your breath."
Alan Watts</t>
  </si>
  <si>
    <t>"We don't think ourselves into new ways of living, we live ourselves into new ways of thinking."
Richard Rohr</t>
  </si>
  <si>
    <t xml:space="preserve">"If you're in doubt about something that's not in your life, try it. Things are so different in practice versus in theory. ... Err on the side of yes. Try it. If it was a mistake, at least you’ll know first-hand, instead of always wondering. If you're in doubt about something that's in your life already, get rid of it. Not just things, this goes for identities, habits, goals, relationships, technology, and anything else. ... Err on the side of no. Get rid of it. Start with a clean slate. If it was a mistake, you'll get it back with a renewed enthusiasm."
Derek Sivers </t>
  </si>
  <si>
    <t>"Unconditional love is unambiguously positive and necessary for a child’s development. Unconditional praise is another story. Children who are praised unconditionally don’t learn the meaning of virtue. They don’t learn that their praiseworthiness corresponds to their actions. Children who are praised for working hard do far better than those who are praised for being smart or pretty — traits that are largely fixed and don’t correlate to their actions."
Ryan A Bush</t>
  </si>
  <si>
    <t>"Happiness is about earning your own admiration. And the key word is earning. Your self-esteem is deeply connected to well-being. Don’t dismiss it. But don’t try to trick it either. You earn your high self-esteem through your actions. You must become 'justifiably proud' of who you are. ... You should love yourself for a reason. ... Show yourself what’s so great about you. Get up and do the things you do best every day. And put in the work to get better at them."
Ryan A Bush</t>
  </si>
  <si>
    <t>"Insufficient facts always invite danger.”
Spock in 'Star Trek'</t>
  </si>
  <si>
    <t>"I was at this casino minding my own business, and this guy came up to me and said, 'You're gonna have to move, you're blocking a fire exit.' As though if there was a fire, I wasn't gonna run. If you're flammible and have legs, you are never blocking a fire exit."
Mitch Hedberg</t>
  </si>
  <si>
    <t>SHORT INSPIRATION ARRAY</t>
  </si>
  <si>
    <t>LONG INSPIRATION ARRAY</t>
  </si>
  <si>
    <t>UNIQUE</t>
  </si>
  <si>
    <t>COPIED</t>
  </si>
  <si>
    <t>"Even before you do anything to help, your wholehearted presence already brings some relief, because when we suffer, we have great need for presence of the person we love. If we are suffering and the person we love ignores us, we suffer more. So what you can do—right away—is to manifest your true presence to your beloved and say the mantra with all your mindfulness: 'Dear one, I know you are suffering. That is why I am here for you.' And already your loved one will feel better."
Thich Nhat Hanh</t>
  </si>
  <si>
    <t>"Are you lean? 'Yeah!' Are you mean? 'Yeah!' What are you? 'Lean and mean!'... Absolute badasses!" 
Apone in 'Aliens'</t>
  </si>
  <si>
    <t>PLAYTHROUGH HAS</t>
  </si>
  <si>
    <t>START DATE? [1/0]</t>
  </si>
  <si>
    <t>UNKNOWN</t>
  </si>
  <si>
    <t>S T A R T   G A M E</t>
  </si>
  <si>
    <t>DD/MM/YYYY</t>
  </si>
  <si>
    <t>STATUS</t>
  </si>
  <si>
    <t>GAMEPLAN NUMBER</t>
  </si>
  <si>
    <t>MID-YEAR REWARD</t>
  </si>
  <si>
    <t>MONTH ACTIVE [1|0]</t>
  </si>
  <si>
    <t>END-OF-YEAR REWARD</t>
  </si>
  <si>
    <t>BOOST ACTIVE</t>
  </si>
  <si>
    <t>HP YESTERDAY</t>
  </si>
  <si>
    <t>LIFE HEART PENALTIES WITH EACH DIFFICULTY</t>
  </si>
  <si>
    <t>HP BOOST REQUIREMENT</t>
  </si>
  <si>
    <t>XP DAY AVERAGE MINIMUM</t>
  </si>
  <si>
    <t>6hrs</t>
  </si>
  <si>
    <t>8hrs</t>
  </si>
  <si>
    <t>10hrs</t>
  </si>
  <si>
    <t>12hrs</t>
  </si>
  <si>
    <t>👓</t>
  </si>
  <si>
    <t>🏷</t>
  </si>
  <si>
    <t>"No ego. We go"
Wim Hof</t>
  </si>
  <si>
    <t>"The simple things are also the most extraordinary things, and only the wise can see them."
Paulo Coelho, The Alchemist</t>
  </si>
  <si>
    <t>"Discovering you were wrong is an update, not a failure, and your worldview is a living document meant to be revised."
Julia Galef</t>
  </si>
  <si>
    <t>"He who has a 'why' to live for, can bear almost any 'how'."
Friedrich Nietzsche</t>
  </si>
  <si>
    <t>"Hope is not a strategy. Luck is not a factor. Fear is not an option."
James Cameron</t>
  </si>
  <si>
    <t>"How long are you going to wait before you demand the best for yourself and in no instance bypass the discriminations of reason?"
Epictetus</t>
  </si>
  <si>
    <t>"Act only according to that maxim by which you can at the same time will that it should become a universal law."
Immanuel Kant</t>
  </si>
  <si>
    <t>"I am human and I let nothing human be alien to me."
 Terentius Afer</t>
  </si>
  <si>
    <t>"In your actions, don’t procrastinate. In your conversations, don’t confuse. In your thoughts, don’t wander. In your soul, don’t be passive or aggressive. In your life, don’t be all about business.''
Marcus Aurelius</t>
  </si>
  <si>
    <t>"Our species can only survive if we have obstacles to overcome. You remove those obstacles. Without them to strengthen us, we will weaken and die."
Kirk in 'Star Trek'</t>
  </si>
  <si>
    <t>"Perfection of character: to live your last day, every day, without frenzy or sloth or pretense."
Marcus Aurelius</t>
  </si>
  <si>
    <t>"The only way to make sense out of change is to plunge into it, move with it, and join the dance."
Alan Watts</t>
  </si>
  <si>
    <t>"The sun rose this morning and by the grace of God so did I. I’m disappointed but not defeated. Many people aren’t built for this but I know what it means to persevere and see it through."
Steve Wilks</t>
  </si>
  <si>
    <t>"Whatever is rightly done, however humble, is noble."
Henry Royce</t>
  </si>
  <si>
    <t>"You are an aperture through which the universe is looking at and exploring itself."
Alan Watts</t>
  </si>
  <si>
    <t>"A good leader thinks in shades of grey but speaks in black and white."
Beau Lotto</t>
  </si>
  <si>
    <t>"If you concentrate on small, manageable steps you can cross unimaginable distances."
Shaun Hick</t>
  </si>
  <si>
    <t xml:space="preserve">"It is impossible to begin to learn that which one thinks one already knows."
Epictetus </t>
  </si>
  <si>
    <t>"Logic is the beginning of wisdom, not the end."
Spock in 'Star Trek VI: The Undiscovered Country'</t>
  </si>
  <si>
    <t>"Look for a situation in which your work will give you as much happiness as your spare time."
Pablo Picasso</t>
  </si>
  <si>
    <t>"May your choices reflect your hopes, not your fears."
Nelson Mandela</t>
  </si>
  <si>
    <t>"That which you most need will be found where you least want to look."
Carl Jung</t>
  </si>
  <si>
    <t>"We shall not cease from exploration, and the end of all our exploring will be to arrive where we started and know the place for the first time."
T.S. Eliot</t>
  </si>
  <si>
    <t>"All the world’s a stage, and all the men and women merely players; they have their exits and their entrances; and one man in his time plays many parts."
William Shakespeare</t>
  </si>
  <si>
    <t>"Ambition is tying your well-being to outcomes, self-indulgence is tying it to what happens to you, sanity is tying well-being to what you do."
Marcus Aurelius</t>
  </si>
  <si>
    <t>"Inspiration exists, but it has to find you working."
Pablo Picasso</t>
  </si>
  <si>
    <t>"It's the possibility of having a dream come true that makes life interesting."
Paulo Coelho, The Alchemist</t>
  </si>
  <si>
    <t>"The desire for more positive experience is itself a negative experience. And, paradoxically, the acceptance of one’s negative experience is itself a positive experience."
Mark Manson</t>
  </si>
  <si>
    <t>"To have faith is to trust yourself to the water. When you swim you don't grab hold of the water, because if you do you will sink and drown. Instead you relax, and float."
Alan Watts</t>
  </si>
  <si>
    <t>"We suffer more often in imagination than in reality." 
Seneca</t>
  </si>
  <si>
    <t>"There is a way out of every box, a solution to every puzzle; it’s just a matter of finding it."
Picard in 'Star Trek: The Next Generation'</t>
  </si>
  <si>
    <t>"Easy choices, hard life. Hard choices, easy life." 
Jerzy Gregorek</t>
  </si>
  <si>
    <t>"Every man I meet is my master in some point, and in that I learn from him."
Ralph Waldo Emerson</t>
  </si>
  <si>
    <t>"I begin to speak only when I’m certain what I’ll say isn’t better left unsaid."
Marcus Porcius Cato</t>
  </si>
  <si>
    <t>"There is only one thing that makes a dream impossible to achieve: the fear of failure."
Paulo Coelho, The Alchemist</t>
  </si>
  <si>
    <t>"All men should strive to learn before they die, what they are running from, and to, and why." 
James Thurber</t>
  </si>
  <si>
    <t>"Don’t assume that you’re the default. Make space for there to be other ways of being."
Lauren Fleshman</t>
  </si>
  <si>
    <t>"I do not think that things necessarily happen for the best, however we can learn to make the best of things that happen."
Tal Ben-Shahar</t>
  </si>
  <si>
    <t>"If you engage too much in outside validation, you lose the path to yourself, you get off-course."
Wim Hof</t>
  </si>
  <si>
    <t>"No matter what he does, every person on earth plays a central role in the history of the world. And normally he doesn't know it."
Paulo Coelho, The Alchemist</t>
  </si>
  <si>
    <t>"Sometimes I do what I want to do. The rest of the time, I do what I have to."
Cicero in ‘Gladiator’</t>
  </si>
  <si>
    <t>"The most fundamental bias is the bias that we’re not biased."
Lee Ross</t>
  </si>
  <si>
    <t>"With the first link, the chain is forged. The first speech censured, the first thought forbidden, the first freedom denied - chains us all irrevocably."
Picard in 'Star Trek: The Next Generation'</t>
  </si>
  <si>
    <t>"There can be no justice so long as laws are absolute. Even life itself is an exercise in exceptions."
Picard in ‘Star Trek: The Next Generaction’</t>
  </si>
  <si>
    <t>"As each day arises, welcome it as the very best day of all, and make it your own possession." 
Seneca</t>
  </si>
  <si>
    <t>"Everyone you meet is fighting a battle you know nothing about. Be kind. Always." 
Brad Meltzer</t>
  </si>
  <si>
    <t>"Flair is what makes the difference between artistry and mere competence."
Picard in 'Star Trek: The Next Generation'</t>
  </si>
  <si>
    <t>"If you want to build a ship, don't drum up the men to gather wood, divide the work and give orders. Instead, teach them to yearn for the vast and endless sea."
Antoine de Saint-Exupéry</t>
  </si>
  <si>
    <t>"One may say the eternal mystery of the world is its comprehensibility."
Albert Einstein</t>
  </si>
  <si>
    <t>"People are capable, at any time in their lives, of doing what they dream of."
Paulo Coelho, The Alchemist</t>
  </si>
  <si>
    <t>"If you are depressed, you are living in the past. If you are anxious, you are living in the future. If you are at peace, you are living in the present."
Lao Tzu</t>
  </si>
  <si>
    <t>"If you want to get more done in life, eat less food."
Robin Sharma</t>
  </si>
  <si>
    <t>"Our perceptions are an ongoing, ever-growing. ever-changing story, and our brain allows us to be not just passive listeners to that story, but also the storytellers as well."
Beau Lotto</t>
  </si>
  <si>
    <t>"Sometimes, Number One... you just have to... bow to the absurd."
Picard in ‘Star Trek: The Next Generaction’</t>
  </si>
  <si>
    <t>"We don’t stop playing because we grow old; we grow old because we stop playing."
George Bernard Shaw</t>
  </si>
  <si>
    <t>"Yesterday’s the past, tomorrow’s the future, but today is a gift. That’s why it’s called the present."
Bil Keane</t>
  </si>
  <si>
    <t>"Are we products of nature or nurture? It's the wrong question. It's not one or the other. Nor is it a combination of both. It's their constant interaction."
Beau Lotto</t>
  </si>
  <si>
    <t xml:space="preserve">"If there is no solution to the problem then don't waste time worrying about it. If there is a solution to the problem then don't waste time worrying about it."
Dalai Lama XIV </t>
  </si>
  <si>
    <t>"The surest way to become tense, awkward, and confused is to develop a mind that tries too hard - one that thinks too much."
Benjamin Hoff</t>
  </si>
  <si>
    <t>"To embark on the journey towards your goals and dreams requires bravery. To remain on that path requires courage. The bridge that merges the two is commitment."
Steve Maraboli</t>
  </si>
  <si>
    <t>"When we love, we always strive to become better than we are. When we strive to become better than we are, everything around us becomes better too."
Paulo Coelho, The Alchemist</t>
  </si>
  <si>
    <t>"You can be certain ... slaves will take revenge where they can, even if that means merely being much less than they could be."
Jordan Peterson</t>
  </si>
  <si>
    <t>"You'll stop caring what people think about you when you realize how seldom they do."
David Foster Wallace</t>
  </si>
  <si>
    <t>"If you aim at nothing, you become plagued by everything."
Jordan Peterson</t>
  </si>
  <si>
    <t>"The energies of wisdom, compassion, inclusiveness, fearlessness, patience and non-discrimination, never disparaging anyone, are all the qualities of awakened beings."
Thich Nhat Hanh</t>
  </si>
  <si>
    <t>"You have a choice, and if it’s your life, which it is at the end of the day, you should be aiming to craft something that you find rewarding and exciting. If you do that, everything else tends to fall into place."
Tim Ferriss</t>
  </si>
  <si>
    <t>"It is possible to make no mistakes and still lose. This is not a weakness, that is life."
Picard in ‘Star Trek: The Next Generaction’</t>
  </si>
  <si>
    <t>"Practice cutting your own luxuries and the things you yearn for down to size with a little contempt. Describe them with the bluntest language you can, and see how much their power over you diminishes."
Ryan Holiday</t>
  </si>
  <si>
    <t>"Progressing at a snail’s pace is still progress, and slow progress is better than no progress. Never be stagnant, and never give up."
Richelle E. Goodrich</t>
  </si>
  <si>
    <t>"Your mind will take the shape of what you frequently hold in thought."
Marcus Aurelius</t>
  </si>
  <si>
    <t>"All life is an experiment. The more experiments you make the better." 
Ralph Waldo Emerson</t>
  </si>
  <si>
    <t xml:space="preserve">"If any man despises me, that is his problem. My only concern is not doing or saying anything deserving of contempt."
Marcus Aurelius </t>
  </si>
  <si>
    <t>"Live now; make now always the most precious time. Now will never come again."
Picard in 'Star Trek: The Next Generation'</t>
  </si>
  <si>
    <t>"The first duty of any Starfleet officer is to the truth – whether it’s scientific truth, historical truth or personal truth."
Picard in ‘Star Trek: The Next Generation’</t>
  </si>
  <si>
    <t>"The most elementary and valuable statement in science, the beginning of wisdom, is ‘I do not know.’"
Data in ‘Star Trek: The Next Generaction’</t>
  </si>
  <si>
    <t>"There is no guarantee, no ultimate formula for success. It all comes down to intelligently and relentlessly seeking solutions that will increase your chance of prevailing. When you do that, the score will take care of itself."
Bill Walsh</t>
  </si>
  <si>
    <t>"We often fear what we do not understand. Our best defense is knowledge."
Tuvok in ‘Star Trek: Voyager’</t>
  </si>
  <si>
    <t>"After a few days you'll have a chain. Just keep at it and the chain will grow longer every day. You'll like seeing that chain, especially when you get a few weeks under your belt. Your only job is to not break the chain."
Jerry Seinfeld</t>
  </si>
  <si>
    <t>"Don’t speak negatively about yourself, even as a joke. Your body doesn’t know the difference. Words are energy and cast spells, that’s why it’s called spelling. Change the way you speak about yourself and you can change your life. What you’re not changing, you’re also choosing."
Bruce Lee</t>
  </si>
  <si>
    <t>"I’ll miss the sea. But a person needs new experiences. They jar something, deep inside, allowing him to grow. Without change something sleeps inside us, and seldom awakens. The sleeper must awaken."
Duke Leto, in ‘Dune’</t>
  </si>
  <si>
    <t>"If I could talk to myself twenty years ago, I would tell myself to focus on my strengths, and not on my weaknesses; on the things I could do and not the things I couldn’t do; to strive to excel and hone those skills to the point of excellence. That this was the best strategy to secure my future. I would say to myself that the only real obstacles you have are those you create for yourself."
Mariam Paré</t>
  </si>
  <si>
    <t>"If someone asks you how to write your name, would you bark out each letter? And if they get angry, would you then return the anger? Wouldn’t you rather gently spell out each letter for them? So then, remember in life that your duties are the sum of individual acts. Pay attention to each of these as you do your duty... just methodically complete your task." 
Marcus Aurelius</t>
  </si>
  <si>
    <t>"The mind is a superb instrument if used rightly. Used wrongly, however, it becomes very destructive. To put it more accurately, it is not so much that you use your mind wrongly — you usually don’t use it at all. It uses you. This is the disease. You believe that you are your mind. This is the delusion. The instrument has taken you over."
Eckhart Tolle</t>
  </si>
  <si>
    <t>"Today, make sure you take a walk. And in the future, when you get stressed or overwhelmed, take a walk. When you have a tough problem to solve or a decision to make, take a walk. When you want to be creative, take a walk. When you need to get some air, take a walk. When you have a phone call to make, take a walk. When you need some exercise, take a long walk. When you have a meeting or a friend over, take a walk together. Nourish yourself and your mind and solve your problems along the way."
 Ryan Holiday</t>
  </si>
  <si>
    <t>"When you have cultivated mindfulness, life becomes richer, more vivid, more satisfying, and you don’t take everything that happens so personally. ... You’re fully present, happier, and at ease, because you’re not so easily caught up in the stories and melodramas the mind likes to concoct. Your powers of attention are used more appropriately and effectively to examine the world. You become more objective and clear-headed, and develop an enhanced awareness of the whole."
Culadasa</t>
  </si>
  <si>
    <t>"When your sparring partner scratches or head-butts you, you don’t make a show of it, or protest, or view him with suspicion or as plotting against you. And yet you keep an eye on him, not as an enemy or with suspicion, but with a healthy avoidance. You should act this way with all things in life. We should give a pass to many things with our fellow trainees. For, as I’ve said, it’s possible to avoid without suspicion or hate."
Marcus Aurelius</t>
  </si>
  <si>
    <t>"It's like in the great stories, Mr. Frodo, the ones that really mattered. Full of darkness and danger they were, and sometimes you didn't want to know the end, because how could the end be happy? How could the world go back to the way it was when so much bad had happened? But in the end, it's only a passing thing, this shadow, even darkness must pass. A new day will come, and when the sun shines, it'll shine out the clearer."
Sam in 'The Two Towers'</t>
  </si>
  <si>
    <t>"Putting things off is the biggest waste of life: it snatches away each day as it comes, and denies us the present by promising the future. The greatest obstacle to living is expectancy, which hangs upon tomorrow, and loses today. You are arranging what lies in Fortune's control, and abandoning what lies in yours. What are you looking at? To what goal are you straining? The whole future lies in uncertainty: live immediately."
Seneca</t>
  </si>
  <si>
    <t>"Until one is committed, there is hesitancy, the chance to draw back. Concerning all acts of initiative (and creation), there is one elementary truth, the ignorance of which kills countless ideas and splendid plans: that the moment one definitely commits oneself, then providence moves too. All sorts of things occur to help one that would never otherwise have occurred ... all manner of unforeseen incidents and meetings and material assistance, which no man could have dreamed would have come his way."
W.H. Murray</t>
  </si>
  <si>
    <t>"Give yourself a gift: the present moment. People out for posthumous fame forget that the Generations To Come will be the same annoying people they know now. And just as mortal. What does it matter to you if they say x about you, or think y?"
Marcus Aurelius</t>
  </si>
  <si>
    <t>"I know of no better life purpose than to perish in attempting the great and impossible. The fact that something seems impossible shouldn't be a reason to not pursue it. That's exactly what makes it worth pursuing. Where would the courage and greatness be if success was certain and there was no risk? The only true failure is shrinking away from life's challenges."
Friedrich Nietzsche</t>
  </si>
  <si>
    <t>"I tell people, “be un-you.” What is the opposite of what you feel like doing right now? Or who is someone you really admire — what would they do in this moment? And I actually think that can get us closer to the versions of ourselves that we would like to be… Separating oneself from one’s impulse, taking a healthy step back and gaining some distance between what you feel like doing and what’s actually going to help you — you’ll make a better choice."
Dr. Samantha Boardman</t>
  </si>
  <si>
    <t>"If you imagine complex, challenging possibilities, your brain will adapt to them. Much like a tiger trapped in a zoo exhibits repetitive displacement behavior, if you cage your imagination within the bars of the dull and neurotic, which often portray one’s fears more than they do an empirical 'truth,' then your brain will adapt to these imagined meanings, too. Like the sad tiger pacing back and forth within its puny cage, your brain too will ruminate cynically upon destructive meanings, and in doing so make them more significant than they might need to be."
Beau Lotto</t>
  </si>
  <si>
    <t>"In the greats, you see a certain level of calmness. To me, being present is being extremely calm. When you stay calm and you have a nice routine, you don’t have to go find success. Success will come find you. It will land right on top of you. In acting, they call it ‘trying to catch a feather.’ If you go chase, it’ll fly away from you. But if you just sit there still, it’ll come to you."
Tony Gonzalez</t>
  </si>
  <si>
    <t>"Tell your heart that the fear of suffering is worse than the suffering itself. And that no heart has ever suffered when it goes in search of its dreams, because every second of the search is a second's encounter with God and with eternity."
Paulo Coelho, The Alchemist</t>
  </si>
  <si>
    <t>"There is a vitality, a life force, an energy, a quickening that is translated through you into action, and because there is only one of you in all of time, this expression is unique. And if you block it, it will never exist through any other medium and it will be lost. The world will not have it. It is not your business to determine how good it is nor how valuable nor how it compares with other expressions. It is your business to keep it yours clearly and directly, to keep the channel open."
Martha Graham</t>
  </si>
  <si>
    <t>"We are travelers on a cosmic journey, stardust, swirling and dancing in the eddies and whirlpools of infinity. Life is eternal. We have stopped for a moment to encounter each other, to meet, to love, to share. This is a precious moment. It is a little parenthesis in eternity."
Paulo Coelho, The Alchemist</t>
  </si>
  <si>
    <t>"Words are a terrible straitjacket. It's interesting how many prisoners of that straitjacket resent its being loosened or taken off. There's a side to the human personality that somehow senses that wherever the cosmic truth may lie, it doesn't lie in A, B, C, D. It lies somewhere in the mysterious, unknowable aspects of thought and life and experience. Man has always responded to it. Religion, mythology, allegories—it's always been one of the most responsive chords in man."
Stanley Kubrick</t>
  </si>
  <si>
    <t>"I never knew what a friend was until I met Geordi. He spoke to me as though I were human. He treated me no differently from anyone else. He accepted me for what I am. And that, I have learned, is friendship."
Data in 'Star Trek: The Next Generation'</t>
  </si>
  <si>
    <t>"Stop aspiring and start writing. If you’re writing, you’re a writer. ... Write like you’re clinging to the edge of a cliff, white knuckles, on your last breath, and you’ve got just one last thing to say, like you’re a bird flying over us and you can see everything. ... Take a deep breath and tell us your deepest, darkest secret, so we can wipe our brow and know that we’re not alone. Write like you have a message from the king. Or don’t. Who knows, maybe you’re one of the lucky ones who doesn’t have to."
Alan Watts</t>
  </si>
  <si>
    <t>"The art of living... is neither careless drifting on the one hand nor fearful clinging to the past on the other. It consists in being sensitive to each moment, in regarding it as utterly new and unique, in having the mind open and wholly receptive."
Alan Watts</t>
  </si>
  <si>
    <t>"To remain stable is to refrain from trying to separate yourself from a pain because you know that you cannot. Running away from fear is fear, fighting pain is pain, trying to be brave is being scared. If the mind is in pain, the mind is pain. The thinker has no other form than his thought. There is no escape."
Alan Watts</t>
  </si>
  <si>
    <t>"Tomorrow and plans for tomorrow can have no significance at all unless you are in full contact with the reality of the present, since it is in the present and only in the present that you live. There is no other reality than present reality, so that, even if one were to live for endless ages, to live for the future would be to miss the point everlastingly."
Alan Watts</t>
  </si>
  <si>
    <t>"We do not 'come into' this world; we come out of it, as leaves from a tree. As the ocean 'waves,' the universe 'peoples.' Every individual is an expression of the whole realm of nature, a unique action of the total universe."
Alan Watts</t>
  </si>
  <si>
    <t>"What we have forgotten is that thoughts and words are conventions, and that it is fatal to take conventions too seriously. A convention is a social convenience, as, for example, money ... but it is absurd to take money too seriously, to confuse it with real wealth ... In somewhat the same way, thoughts, ideas and words are 'coins' for real things."
Alan Watts</t>
  </si>
  <si>
    <t>"The solution is not to get stronger, it is to stop pushing a mountain. You need to accept that there's a possibility people may not love you, maybe if you do that you will stop tolerating their abusive behavior. When they're mistreating you, instead of acknowledging it you try to make them love you by giving more. You are setting up a problem for yourself you cannot win. Stop playing a rigged game where someone else determines if you win or lose. We put our feelings, lives and sense of self in the hands of others."
Dr Alok Kanojia</t>
  </si>
  <si>
    <t>DAY AVGS</t>
  </si>
  <si>
    <t>DAY MAXS</t>
  </si>
  <si>
    <t>D A Y   A V G S</t>
  </si>
  <si>
    <t>D A Y   M A X S</t>
  </si>
  <si>
    <t>&lt; not in merchant</t>
  </si>
  <si>
    <t>Do a journalling exercise.</t>
  </si>
  <si>
    <t>Podcast</t>
  </si>
  <si>
    <t>&lt; FORMULA REF</t>
  </si>
  <si>
    <t xml:space="preserve">    CALCULATION</t>
  </si>
  <si>
    <t>^ FOR TREASURY</t>
  </si>
  <si>
    <t>NEW TREASURY AMOUNT ^</t>
  </si>
  <si>
    <t>RESPITE:</t>
  </si>
  <si>
    <t>DELETE ANY COMPLETED GAMES, SERIES OR FILMS</t>
  </si>
  <si>
    <t>FOR GIFTS RECENTLY CLAIMED &amp; PAST 7 DAYS, DELETE 'CLAIMED' FROM MERCHANT</t>
  </si>
  <si>
    <t>MONEY:</t>
  </si>
  <si>
    <t>ADD ANY SPECIAL/HOLIDAY DAYS NEXT TO DAY NUMBERS / IF NEW YEAR, DELETE INFO FROM YEAR QUARTERS</t>
  </si>
  <si>
    <t></t>
  </si>
  <si>
    <t>END DATE</t>
  </si>
  <si>
    <t>"Example Book Title" by Author</t>
  </si>
  <si>
    <t>"Example Game Title" Video Game</t>
  </si>
  <si>
    <t>Example Event Title Ticket</t>
  </si>
  <si>
    <t>Example Clothing Item</t>
  </si>
  <si>
    <t>Example Media</t>
  </si>
  <si>
    <t>Example Tool</t>
  </si>
  <si>
    <t>Example Gadget</t>
  </si>
  <si>
    <t>Example Misc. Item</t>
  </si>
  <si>
    <t>Example Treat</t>
  </si>
  <si>
    <t>Example Useful Item</t>
  </si>
  <si>
    <t>Commitment</t>
  </si>
  <si>
    <t>13:00</t>
  </si>
  <si>
    <t>21:00</t>
  </si>
  <si>
    <t>TITLE / DESCRIPTION</t>
  </si>
  <si>
    <t>YOUTUBE PLAYTIMES</t>
  </si>
  <si>
    <t xml:space="preserve">YOUTUBE FURTHER PLAYTIMES </t>
  </si>
  <si>
    <t>SURNAME LEN</t>
  </si>
  <si>
    <t>FORNAME LEN</t>
  </si>
  <si>
    <t>FIRST MONTH MINUS ONE</t>
  </si>
  <si>
    <t>FOR SUB-1ST ROW OF DATA SHEET ARRAYS</t>
  </si>
  <si>
    <t>LOOT TABLE</t>
  </si>
  <si>
    <t>IN "LOOT TABLE" IF NEW MONTH IS</t>
  </si>
  <si>
    <t>COMPLETE EACH STEP 1 TO 8 IN ORDER BY CLICKING ON EACH BUTTON  [ BEFORE STARTING HIT 'RESET BUTTONS' SO THAT BUTTONS TURN BLACK TO INDICATE COMPLETION ]</t>
  </si>
  <si>
    <t>GP</t>
  </si>
  <si>
    <t xml:space="preserve">  ⭣</t>
  </si>
  <si>
    <t>⭢  ⭢</t>
  </si>
  <si>
    <t>⭣</t>
  </si>
  <si>
    <t>⮦</t>
  </si>
  <si>
    <t>⭠  ⭠</t>
  </si>
  <si>
    <t>⮠</t>
  </si>
  <si>
    <t xml:space="preserve">⭣ </t>
  </si>
  <si>
    <t>⮡  ⭢</t>
  </si>
  <si>
    <t>⮧</t>
  </si>
  <si>
    <t>NOTES ON THE DATA BELOW</t>
  </si>
  <si>
    <t>IF DESIRED, THE PLAYER CAN CHOOSE TO TWEAK ELEMENTS, SUCH AS:</t>
  </si>
  <si>
    <t>•   DIAGONAL LEVELLING VS HORIZONTAL LEVELLING</t>
  </si>
  <si>
    <t>•   CHANGING OR ADDING QUOTES IN ARRAY</t>
  </si>
  <si>
    <t>•   EDITING BOOTY ITEM DEFAULTS &amp;/OR ICONS</t>
  </si>
  <si>
    <t>•   EDITING NUMBERS WITHIN DIFFICULTY LEVELS</t>
  </si>
  <si>
    <t>WARNING: DELETING OR EDITING ANY OF THESE ELEMENTS WITHOUT CARE &amp; ATTENTION COULD BREAK SYSTEMS WITHIN THE GAMEPLAN</t>
  </si>
  <si>
    <r>
      <rPr>
        <b/>
        <sz val="50"/>
        <color rgb="FF0070C0"/>
        <rFont val="Agency FB"/>
        <family val="2"/>
      </rPr>
      <t>I</t>
    </r>
    <r>
      <rPr>
        <b/>
        <sz val="50"/>
        <color rgb="FF9900CC"/>
        <rFont val="Agency FB"/>
        <family val="2"/>
      </rPr>
      <t>D</t>
    </r>
    <r>
      <rPr>
        <b/>
        <sz val="50"/>
        <color rgb="FFFF00FF"/>
        <rFont val="Agency FB"/>
        <family val="2"/>
      </rPr>
      <t>E</t>
    </r>
    <r>
      <rPr>
        <b/>
        <sz val="50"/>
        <color rgb="FFFF0000"/>
        <rFont val="Agency FB"/>
        <family val="2"/>
      </rPr>
      <t>A</t>
    </r>
    <r>
      <rPr>
        <b/>
        <sz val="50"/>
        <color rgb="FFC00000"/>
        <rFont val="Agency FB"/>
        <family val="2"/>
      </rPr>
      <t>S</t>
    </r>
    <r>
      <rPr>
        <b/>
        <sz val="50"/>
        <color rgb="FFFF6600"/>
        <rFont val="Agency FB"/>
        <family val="2"/>
      </rPr>
      <t>A</t>
    </r>
    <r>
      <rPr>
        <b/>
        <sz val="50"/>
        <color rgb="FFFFC000"/>
        <rFont val="Agency FB"/>
        <family val="2"/>
      </rPr>
      <t>R</t>
    </r>
    <r>
      <rPr>
        <b/>
        <sz val="50"/>
        <color rgb="FF00B050"/>
        <rFont val="Agency FB"/>
        <family val="2"/>
      </rPr>
      <t>E</t>
    </r>
    <r>
      <rPr>
        <b/>
        <sz val="50"/>
        <color rgb="FF00B0F0"/>
        <rFont val="Agency FB"/>
        <family val="2"/>
      </rPr>
      <t>A</t>
    </r>
  </si>
  <si>
    <t>"I know nothing with any certainty, but the sight of the stars makes me dream."
Vincent Van Gogh</t>
  </si>
  <si>
    <t>"Only those who have overcome their fears will truly be free."
Aristotle</t>
  </si>
  <si>
    <t>"Skiing is my favorite sport, because it’s the only sport that is actually better to watch the worse the person is at it."
Demetri Martin</t>
  </si>
  <si>
    <t>"Graffiti’s the most passionate literature there is. It’s always like, ‘U2 Rocks!’ or ‘Bush sucks!’ I want to make indifferent graffiti: ‘Toy Story 2 was okay!’ or ‘This is a bridge!’"
Demetri Martin</t>
  </si>
  <si>
    <t>"It seems like there’s a fine line between having a pet and having a hostage from a different species. You go to somebody’s house: ‘Close the door, he’ll get out! Close the door, he’ll get out!’"
Demetri Martin</t>
  </si>
  <si>
    <t>"A treehouse is really insensitive. That’s like killing something and then making one of its friends hold it."
Demetri Martin</t>
  </si>
  <si>
    <t>"The worst time to have a heart attack is during a game of charades — especially if your teammates are bad."
Demetri Martin</t>
  </si>
  <si>
    <t>"I want to design a video game where you have to take care of all the people who’ve been shot in all the other games. 'Hey man, what are you playing? - Really Busy Hospital. It’s very difficult — this patient was shot in the head 57 times.'"
Demetri Martin</t>
  </si>
  <si>
    <t>"Swimming is a confusing sport, because sometimes you do it for fun, and other times you do it to not die."
Demetri Martin</t>
  </si>
  <si>
    <t>"I saw a guy at the mall, he had one arm. I was like, ‘Oh man, that’s gotta be rough. That sucks to have just one arm.’ Then I thought, ‘Until you get arrested’: ‘What, are you gonna put an uncomfortable bracelet on me? Thanks for the weapon, cop.’"
Demetri Martin</t>
  </si>
  <si>
    <t>"When I was in school the teachers told me practice makes perfect; then they told me nobody’s perfect so I stopped practicing."
Steven Wright</t>
  </si>
  <si>
    <t>"I wear a necklace, cause I wanna know when I'm upside down."
Mitch Hedberg</t>
  </si>
  <si>
    <t>"I recently took up ice sculpting. Last night I made an ice cube. This morning I made twelve, I was prolific." 
Mitch Hedberg</t>
  </si>
  <si>
    <t>"I once saw a forklift lift a crate of forks. And it was way too literal for me."
Mitch Hedberg</t>
  </si>
  <si>
    <t>"I saw a human pyramid once. It was very unnecessary."
Mitch Hedberg</t>
  </si>
  <si>
    <t>"Every book is a children's book if the kid can read."
Mitch Hedberg</t>
  </si>
  <si>
    <t>"The depressing thing about tennis is that no matter how good I get, I'll never be as good as a wall."
Mitch Hedberg</t>
  </si>
  <si>
    <t>"My belt holds my pants up, but the belt loops hold my belt up. I don't really know what's happening down there. Who is the real hero?"
Mitch Hedberg</t>
  </si>
  <si>
    <t>"Rice is great if you're really hungry and want to eat two thousand of something."
Mitch Hedberg</t>
  </si>
  <si>
    <t>"I'm sick of following my dreams. I'm just going to ask them where they're goin', and hook up with them later."
Mitch Hedberg</t>
  </si>
  <si>
    <t>"Is a hippopotamus a hippopotamus, or just a really cool Opotamus?" 
Mitch Hedberg</t>
  </si>
  <si>
    <t>"I wish my name was Brian because maybe sometimes people would misspell my name and call me Brain. That's like a free compliment and you don't even gotta be smart to notice it."
Mitch Hedberg</t>
  </si>
  <si>
    <t>"I would imagine that if you could understand Morse code, a tap dancer would drive you crazy."
Mitch Hedberg</t>
  </si>
  <si>
    <t>col width = 96.16</t>
  </si>
  <si>
    <t>col width = 136.43</t>
  </si>
  <si>
    <t>Polaroid Camera</t>
  </si>
  <si>
    <t>"Insanity is doing the same thing over and over again but expecting different results."
Unknown</t>
  </si>
  <si>
    <t>DELETE COMPLETED SINGULAR/ SKILL MISSIONS , DELETE DEADLINE MONTHS IF CURRENT ONE</t>
  </si>
  <si>
    <t>Explore new roads in my area.</t>
  </si>
  <si>
    <t>For Savings Account [10% of income]</t>
  </si>
  <si>
    <t>HIGHEST GAMEPLAN NUMBER</t>
  </si>
  <si>
    <t>no.</t>
  </si>
  <si>
    <t>WAKE UP TIME XP CALCULATOR</t>
  </si>
  <si>
    <t>Enter wake up time as hh.mm</t>
  </si>
  <si>
    <t xml:space="preserve">minimum  </t>
  </si>
  <si>
    <t xml:space="preserve">  XP per 30m</t>
  </si>
  <si>
    <t>FASTING TIME/XP CALCULATOR</t>
  </si>
  <si>
    <t>Hours completed so far</t>
  </si>
  <si>
    <t>Enter time as dd/mm tt:tt</t>
  </si>
  <si>
    <t xml:space="preserve">from </t>
  </si>
  <si>
    <t xml:space="preserve">to </t>
  </si>
  <si>
    <t xml:space="preserve">= </t>
  </si>
  <si>
    <t xml:space="preserve">  XP per 1hr</t>
  </si>
  <si>
    <t>FASTING XP CALCULATOR</t>
  </si>
  <si>
    <t>Enter hours completed as hh</t>
  </si>
  <si>
    <t>COLD EXPOSURE XP CALCULATOR</t>
  </si>
  <si>
    <t>Enter time in cold as mm.ss</t>
  </si>
  <si>
    <t xml:space="preserve">  XP per 30s</t>
  </si>
  <si>
    <t>Film night</t>
  </si>
  <si>
    <t>LIVES AT MONTH END</t>
  </si>
  <si>
    <t>17:00</t>
  </si>
  <si>
    <t>Gallery</t>
  </si>
  <si>
    <t>Exhibition</t>
  </si>
  <si>
    <t>"You're either a really good cliff diver or stuff on a rock."
Norm McDonald</t>
  </si>
  <si>
    <t>PER REPEAT MISSION COMPLETE</t>
  </si>
  <si>
    <t>PER SINGLE MISSION COMPLETE</t>
  </si>
  <si>
    <t>TOTAL SINGLE FAILED</t>
  </si>
  <si>
    <t>TOTAL REPEAT FAILED</t>
  </si>
  <si>
    <t>TOTAL REPEAT COMPLETE</t>
  </si>
  <si>
    <t>TOTAL SINGLE COMPLETE</t>
  </si>
  <si>
    <t xml:space="preserve">  o'clock</t>
  </si>
  <si>
    <t xml:space="preserve">before  </t>
  </si>
  <si>
    <t>09:00</t>
  </si>
  <si>
    <t>14:00</t>
  </si>
  <si>
    <t>19:00</t>
  </si>
  <si>
    <t>22:00</t>
  </si>
  <si>
    <t xml:space="preserve">SNACK </t>
  </si>
  <si>
    <t xml:space="preserve">LUNCH </t>
  </si>
  <si>
    <t xml:space="preserve">BFAST </t>
  </si>
  <si>
    <t>07:00</t>
  </si>
  <si>
    <t>15:30</t>
  </si>
  <si>
    <t>MND1</t>
  </si>
  <si>
    <t>MND2</t>
  </si>
  <si>
    <t>MND3</t>
  </si>
  <si>
    <t>MND4</t>
  </si>
  <si>
    <t>MND5</t>
  </si>
  <si>
    <t>MND6</t>
  </si>
  <si>
    <t>MND7</t>
  </si>
  <si>
    <t>MND8</t>
  </si>
  <si>
    <t>MND9</t>
  </si>
  <si>
    <t>description</t>
  </si>
  <si>
    <t>BDY1</t>
  </si>
  <si>
    <t>BDY2</t>
  </si>
  <si>
    <t>BDY3</t>
  </si>
  <si>
    <t>BDY4</t>
  </si>
  <si>
    <t>BDY5</t>
  </si>
  <si>
    <t>BDY6</t>
  </si>
  <si>
    <t>BDY7</t>
  </si>
  <si>
    <t>BDY8</t>
  </si>
  <si>
    <t>BDY9</t>
  </si>
  <si>
    <t>Friend</t>
  </si>
  <si>
    <t>Family</t>
  </si>
  <si>
    <t>Details of XP rule</t>
  </si>
  <si>
    <t>Go to a café.</t>
  </si>
  <si>
    <t>Fast walk around a park.</t>
  </si>
  <si>
    <t>Do some exercises.</t>
  </si>
  <si>
    <t>Fast walk around my area.</t>
  </si>
  <si>
    <t>Do a skill mission.</t>
  </si>
  <si>
    <t>Work on a project.</t>
  </si>
  <si>
    <t>Write something.</t>
  </si>
  <si>
    <t>Make something.</t>
  </si>
  <si>
    <t>Meditate.</t>
  </si>
  <si>
    <t>Play a video game.</t>
  </si>
  <si>
    <t>Listen to some music.</t>
  </si>
  <si>
    <t>Sit outside.</t>
  </si>
  <si>
    <t>Go out and explore east.</t>
  </si>
  <si>
    <t>Go out and explore west.</t>
  </si>
  <si>
    <t>Go out and explore north.</t>
  </si>
  <si>
    <t>Go out and explore south.</t>
  </si>
  <si>
    <t>dd/mth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</si>
</sst>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164" formatCode="&quot;£&quot;#,##0_);[Red]\(&quot;£&quot;#,##0\)"/>
    <numFmt numFmtId="165" formatCode="&quot;£&quot;#,##0.00_);[Red]\(&quot;£&quot;#,##0.00\)"/>
    <numFmt numFmtId="166" formatCode="_(* #,##0.00_);_(* \(#,##0.00\);_(* &quot;-&quot;??_);_(@_)"/>
    <numFmt numFmtId="167" formatCode="&quot;£&quot;#,##0"/>
    <numFmt numFmtId="168" formatCode="0.0"/>
    <numFmt numFmtId="169" formatCode="dd/mm/yy;@"/>
    <numFmt numFmtId="170" formatCode="&quot;£&quot;#,##0.00"/>
    <numFmt numFmtId="171" formatCode="_-* #,##0_-;\-* #,##0_-;_-* &quot;-&quot;??_-;_-@_-"/>
    <numFmt numFmtId="172" formatCode="dddd"/>
    <numFmt numFmtId="173" formatCode="dd/mm/yyyy;@"/>
    <numFmt numFmtId="174" formatCode="[$-F800]dddd\,\ mmmm\ dd\,\ yyyy"/>
    <numFmt numFmtId="175" formatCode="#,##0.0"/>
    <numFmt numFmtId="176" formatCode="0.000"/>
    <numFmt numFmtId="177" formatCode="&quot;GP&quot;0"/>
    <numFmt numFmtId="178" formatCode="d"/>
    <numFmt numFmtId="179" formatCode="00"/>
    <numFmt numFmtId="180" formatCode="00.00"/>
    <numFmt numFmtId="181" formatCode="ddd\ dd/mm\ hh:mm"/>
  </numFmts>
  <fonts count="721" x14ac:knownFonts="1">
    <font>
      <sz val="11"/>
      <color theme="1"/>
      <name val="Calibri"/>
      <family val="2"/>
      <scheme val="minor"/>
    </font>
    <font>
      <sz val="7"/>
      <color theme="1"/>
      <name val="Agency FB"/>
      <family val="2"/>
    </font>
    <font>
      <b/>
      <sz val="9"/>
      <color rgb="FF0070C0"/>
      <name val="Lucida Console"/>
      <family val="3"/>
    </font>
    <font>
      <b/>
      <sz val="9"/>
      <color rgb="FF9900CC"/>
      <name val="Lucida Console"/>
      <family val="3"/>
    </font>
    <font>
      <b/>
      <sz val="9"/>
      <color rgb="FFFF00FF"/>
      <name val="Lucida Console"/>
      <family val="3"/>
    </font>
    <font>
      <b/>
      <sz val="9"/>
      <color theme="0" tint="-0.14999847407452621"/>
      <name val="Agency FB"/>
      <family val="2"/>
    </font>
    <font>
      <sz val="6"/>
      <color theme="1"/>
      <name val="Agency FB"/>
      <family val="2"/>
    </font>
    <font>
      <sz val="6"/>
      <color theme="0"/>
      <name val="Agency FB"/>
      <family val="2"/>
    </font>
    <font>
      <b/>
      <sz val="9"/>
      <color rgb="FFFF0000"/>
      <name val="Lucida Console"/>
      <family val="3"/>
    </font>
    <font>
      <b/>
      <sz val="9"/>
      <color rgb="FFC00000"/>
      <name val="Lucida Console"/>
      <family val="3"/>
    </font>
    <font>
      <b/>
      <sz val="9"/>
      <color rgb="FFFF6600"/>
      <name val="Lucida Console"/>
      <family val="3"/>
    </font>
    <font>
      <b/>
      <sz val="9"/>
      <color rgb="FFFFC000"/>
      <name val="Lucida Console"/>
      <family val="3"/>
    </font>
    <font>
      <b/>
      <sz val="9"/>
      <color rgb="FF00B050"/>
      <name val="Lucida Console"/>
      <family val="3"/>
    </font>
    <font>
      <b/>
      <sz val="9"/>
      <color rgb="FF00B0F0"/>
      <name val="Lucida Console"/>
      <family val="3"/>
    </font>
    <font>
      <b/>
      <sz val="8"/>
      <color rgb="FF00B0F0"/>
      <name val="Lucida Console"/>
      <family val="3"/>
    </font>
    <font>
      <b/>
      <sz val="7"/>
      <color theme="0" tint="-0.14999847407452621"/>
      <name val="Agency FB"/>
      <family val="2"/>
    </font>
    <font>
      <b/>
      <sz val="7"/>
      <color theme="0" tint="-0.14999847407452621"/>
      <name val="Lucida Console"/>
      <family val="3"/>
    </font>
    <font>
      <b/>
      <sz val="9"/>
      <color theme="0"/>
      <name val="Agency FB"/>
      <family val="2"/>
    </font>
    <font>
      <sz val="7"/>
      <color theme="0"/>
      <name val="Agency FB"/>
      <family val="2"/>
    </font>
    <font>
      <b/>
      <sz val="15"/>
      <color theme="0"/>
      <name val="Agency FB"/>
      <family val="2"/>
    </font>
    <font>
      <b/>
      <sz val="45"/>
      <color theme="0" tint="-0.14999847407452621"/>
      <name val="Agency FB"/>
      <family val="2"/>
    </font>
    <font>
      <b/>
      <sz val="10"/>
      <color theme="1"/>
      <name val="Calibri"/>
      <family val="2"/>
      <scheme val="minor"/>
    </font>
    <font>
      <sz val="12"/>
      <color theme="1"/>
      <name val="Agency FB"/>
      <family val="2"/>
    </font>
    <font>
      <sz val="10"/>
      <color theme="1"/>
      <name val="Calibri"/>
      <family val="2"/>
      <scheme val="minor"/>
    </font>
    <font>
      <b/>
      <sz val="17"/>
      <color theme="1"/>
      <name val="Agency FB"/>
      <family val="2"/>
    </font>
    <font>
      <b/>
      <sz val="17"/>
      <color theme="0"/>
      <name val="Agency FB"/>
      <family val="2"/>
    </font>
    <font>
      <sz val="14"/>
      <color theme="0"/>
      <name val="Agency FB"/>
      <family val="2"/>
    </font>
    <font>
      <b/>
      <sz val="12"/>
      <color theme="1"/>
      <name val="Calibri"/>
      <family val="2"/>
      <scheme val="minor"/>
    </font>
    <font>
      <b/>
      <sz val="12"/>
      <color theme="0" tint="-0.499984740745262"/>
      <name val="Calibri"/>
      <family val="2"/>
      <scheme val="minor"/>
    </font>
    <font>
      <b/>
      <sz val="12"/>
      <color theme="0"/>
      <name val="Calibri"/>
      <family val="2"/>
      <scheme val="minor"/>
    </font>
    <font>
      <b/>
      <sz val="65"/>
      <color theme="1" tint="0.34998626667073579"/>
      <name val="Agency FB"/>
      <family val="2"/>
    </font>
    <font>
      <b/>
      <sz val="65"/>
      <color theme="1"/>
      <name val="Agency FB"/>
      <family val="2"/>
    </font>
    <font>
      <b/>
      <sz val="65"/>
      <color theme="0" tint="-0.14999847407452621"/>
      <name val="Agency FB"/>
      <family val="2"/>
    </font>
    <font>
      <b/>
      <sz val="65"/>
      <color theme="0" tint="-4.9989318521683403E-2"/>
      <name val="Agency FB"/>
      <family val="2"/>
    </font>
    <font>
      <sz val="11"/>
      <color theme="1"/>
      <name val="Calibri"/>
      <family val="2"/>
      <scheme val="minor"/>
    </font>
    <font>
      <sz val="6"/>
      <color theme="1"/>
      <name val="Calibri"/>
      <family val="2"/>
      <scheme val="minor"/>
    </font>
    <font>
      <sz val="7"/>
      <color theme="1"/>
      <name val="Calibri"/>
      <family val="2"/>
      <scheme val="minor"/>
    </font>
    <font>
      <b/>
      <sz val="14"/>
      <color theme="1"/>
      <name val="Calibri"/>
      <family val="2"/>
      <scheme val="minor"/>
    </font>
    <font>
      <b/>
      <sz val="14"/>
      <color theme="0" tint="-0.14999847407452621"/>
      <name val="Calibri"/>
      <family val="2"/>
      <scheme val="minor"/>
    </font>
    <font>
      <sz val="8"/>
      <name val="Calibri"/>
      <family val="2"/>
      <scheme val="minor"/>
    </font>
    <font>
      <sz val="10"/>
      <color theme="0" tint="-0.14999847407452621"/>
      <name val="Calibri"/>
      <family val="2"/>
      <scheme val="minor"/>
    </font>
    <font>
      <b/>
      <sz val="14"/>
      <color theme="0"/>
      <name val="Calibri"/>
      <family val="2"/>
      <scheme val="minor"/>
    </font>
    <font>
      <sz val="11"/>
      <color theme="0" tint="-0.14999847407452621"/>
      <name val="Agency FB"/>
      <family val="2"/>
    </font>
    <font>
      <sz val="9"/>
      <color theme="0" tint="-0.14999847407452621"/>
      <name val="Lucida Console"/>
      <family val="3"/>
    </font>
    <font>
      <sz val="9"/>
      <color theme="0"/>
      <name val="Agency FB"/>
      <family val="2"/>
    </font>
    <font>
      <b/>
      <sz val="12"/>
      <color theme="0" tint="-0.249977111117893"/>
      <name val="Wingdings"/>
      <charset val="2"/>
    </font>
    <font>
      <b/>
      <sz val="12"/>
      <color rgb="FF0070C0"/>
      <name val="Calibri"/>
      <family val="2"/>
      <scheme val="minor"/>
    </font>
    <font>
      <b/>
      <sz val="12"/>
      <color rgb="FF9900CC"/>
      <name val="Calibri"/>
      <family val="2"/>
      <scheme val="minor"/>
    </font>
    <font>
      <b/>
      <sz val="12"/>
      <color rgb="FFFF00FF"/>
      <name val="Calibri"/>
      <family val="2"/>
      <scheme val="minor"/>
    </font>
    <font>
      <b/>
      <sz val="12"/>
      <color rgb="FFFF0000"/>
      <name val="Calibri"/>
      <family val="2"/>
      <scheme val="minor"/>
    </font>
    <font>
      <b/>
      <sz val="12"/>
      <color rgb="FFC00000"/>
      <name val="Calibri"/>
      <family val="2"/>
      <scheme val="minor"/>
    </font>
    <font>
      <b/>
      <sz val="12"/>
      <color rgb="FFFF6600"/>
      <name val="Calibri"/>
      <family val="2"/>
      <scheme val="minor"/>
    </font>
    <font>
      <b/>
      <sz val="12"/>
      <color rgb="FFFFC000"/>
      <name val="Calibri"/>
      <family val="2"/>
      <scheme val="minor"/>
    </font>
    <font>
      <b/>
      <sz val="12"/>
      <color rgb="FF00B050"/>
      <name val="Calibri"/>
      <family val="2"/>
      <scheme val="minor"/>
    </font>
    <font>
      <b/>
      <sz val="12"/>
      <color rgb="FF00B0F0"/>
      <name val="Calibri"/>
      <family val="2"/>
      <scheme val="minor"/>
    </font>
    <font>
      <sz val="12"/>
      <color theme="1"/>
      <name val="Calibri"/>
      <family val="2"/>
      <scheme val="minor"/>
    </font>
    <font>
      <sz val="11"/>
      <color theme="0"/>
      <name val="Wingdings 3"/>
      <family val="1"/>
      <charset val="2"/>
    </font>
    <font>
      <b/>
      <sz val="10"/>
      <color theme="1"/>
      <name val="Agency FB"/>
      <family val="2"/>
    </font>
    <font>
      <b/>
      <sz val="10"/>
      <color theme="0"/>
      <name val="Lucida Console"/>
      <family val="3"/>
    </font>
    <font>
      <b/>
      <sz val="6"/>
      <color theme="0" tint="-0.14999847407452621"/>
      <name val="Agency FB"/>
      <family val="2"/>
    </font>
    <font>
      <b/>
      <sz val="10"/>
      <color theme="0"/>
      <name val="Calibri"/>
      <family val="2"/>
      <scheme val="minor"/>
    </font>
    <font>
      <b/>
      <sz val="70"/>
      <color theme="1"/>
      <name val="Agency FB"/>
      <family val="2"/>
    </font>
    <font>
      <b/>
      <sz val="12"/>
      <color theme="0" tint="-0.14999847407452621"/>
      <name val="Calibri"/>
      <family val="2"/>
      <scheme val="minor"/>
    </font>
    <font>
      <sz val="11"/>
      <color theme="1"/>
      <name val="Wingdings 3"/>
      <family val="1"/>
      <charset val="2"/>
    </font>
    <font>
      <b/>
      <sz val="11"/>
      <color theme="0"/>
      <name val="Calibri"/>
      <family val="2"/>
      <scheme val="minor"/>
    </font>
    <font>
      <b/>
      <sz val="7"/>
      <color theme="0"/>
      <name val="Calibri"/>
      <family val="2"/>
      <scheme val="minor"/>
    </font>
    <font>
      <sz val="7"/>
      <color theme="0"/>
      <name val="Calibri"/>
      <family val="2"/>
      <scheme val="minor"/>
    </font>
    <font>
      <b/>
      <sz val="9"/>
      <color theme="0"/>
      <name val="Calibri"/>
      <family val="2"/>
      <scheme val="minor"/>
    </font>
    <font>
      <sz val="9"/>
      <color theme="0" tint="-0.14999847407452621"/>
      <name val="Calibri"/>
      <family val="2"/>
      <scheme val="minor"/>
    </font>
    <font>
      <b/>
      <sz val="14"/>
      <color theme="0"/>
      <name val="Agency FB"/>
      <family val="2"/>
    </font>
    <font>
      <sz val="5"/>
      <color theme="1"/>
      <name val="Calibri"/>
      <family val="2"/>
      <scheme val="minor"/>
    </font>
    <font>
      <b/>
      <sz val="9"/>
      <color theme="0"/>
      <name val="Wingdings 3"/>
      <family val="1"/>
      <charset val="2"/>
    </font>
    <font>
      <sz val="9"/>
      <color theme="0"/>
      <name val="Wingdings 3"/>
      <family val="1"/>
      <charset val="2"/>
    </font>
    <font>
      <b/>
      <sz val="11"/>
      <color theme="1"/>
      <name val="Calibri"/>
      <family val="2"/>
      <scheme val="minor"/>
    </font>
    <font>
      <sz val="9"/>
      <color theme="1"/>
      <name val="Calibri"/>
      <family val="2"/>
      <scheme val="minor"/>
    </font>
    <font>
      <b/>
      <sz val="9"/>
      <color theme="1"/>
      <name val="Calibri"/>
      <family val="2"/>
      <scheme val="minor"/>
    </font>
    <font>
      <sz val="5"/>
      <color theme="1" tint="4.9989318521683403E-2"/>
      <name val="Agency FB"/>
      <family val="2"/>
    </font>
    <font>
      <b/>
      <sz val="7"/>
      <color theme="0"/>
      <name val="Lucida Console"/>
      <family val="3"/>
    </font>
    <font>
      <sz val="5"/>
      <color theme="1" tint="0.14999847407452621"/>
      <name val="Agency FB"/>
      <family val="2"/>
    </font>
    <font>
      <b/>
      <sz val="7"/>
      <color theme="0" tint="-0.499984740745262"/>
      <name val="Wingdings 2"/>
      <family val="1"/>
      <charset val="2"/>
    </font>
    <font>
      <sz val="11"/>
      <color theme="0"/>
      <name val="Agency FB"/>
      <family val="2"/>
    </font>
    <font>
      <sz val="9"/>
      <color theme="0"/>
      <name val="Lucida Console"/>
      <family val="3"/>
    </font>
    <font>
      <sz val="5"/>
      <color theme="1"/>
      <name val="Agency FB"/>
      <family val="2"/>
    </font>
    <font>
      <b/>
      <sz val="50"/>
      <color theme="0" tint="-0.14999847407452621"/>
      <name val="Agency FB"/>
      <family val="2"/>
    </font>
    <font>
      <sz val="5"/>
      <color theme="0" tint="-0.34998626667073579"/>
      <name val="Agency FB"/>
      <family val="2"/>
    </font>
    <font>
      <sz val="14"/>
      <color theme="0"/>
      <name val="Wingdings"/>
      <charset val="2"/>
    </font>
    <font>
      <b/>
      <sz val="16"/>
      <color theme="0" tint="-0.249977111117893"/>
      <name val="Wingdings"/>
      <charset val="2"/>
    </font>
    <font>
      <b/>
      <sz val="14"/>
      <color theme="2" tint="-0.89999084444715716"/>
      <name val="Wingdings"/>
      <charset val="2"/>
    </font>
    <font>
      <b/>
      <sz val="16"/>
      <color theme="2" tint="-0.89999084444715716"/>
      <name val="Wingdings"/>
      <charset val="2"/>
    </font>
    <font>
      <b/>
      <sz val="12"/>
      <color theme="0" tint="-4.9989318521683403E-2"/>
      <name val="Calibri"/>
      <family val="2"/>
      <scheme val="minor"/>
    </font>
    <font>
      <sz val="9"/>
      <color theme="0"/>
      <name val="Calibri"/>
      <family val="2"/>
      <scheme val="minor"/>
    </font>
    <font>
      <b/>
      <sz val="8"/>
      <color rgb="FFFF0000"/>
      <name val="Calibri"/>
      <family val="2"/>
      <scheme val="minor"/>
    </font>
    <font>
      <b/>
      <sz val="5"/>
      <color theme="0"/>
      <name val="Calibri"/>
      <family val="2"/>
      <scheme val="minor"/>
    </font>
    <font>
      <b/>
      <sz val="50"/>
      <color theme="1"/>
      <name val="Agency FB"/>
      <family val="2"/>
    </font>
    <font>
      <b/>
      <sz val="50"/>
      <color theme="2"/>
      <name val="Agency FB"/>
      <family val="2"/>
    </font>
    <font>
      <sz val="9"/>
      <color theme="0" tint="-0.34998626667073579"/>
      <name val="Agency FB"/>
      <family val="2"/>
    </font>
    <font>
      <b/>
      <sz val="22"/>
      <color rgb="FFFFC000"/>
      <name val="Calibri"/>
      <family val="2"/>
      <scheme val="minor"/>
    </font>
    <font>
      <b/>
      <sz val="9"/>
      <color theme="1"/>
      <name val="Lucida Console"/>
      <family val="3"/>
    </font>
    <font>
      <b/>
      <sz val="12"/>
      <color theme="1"/>
      <name val="Agency FB"/>
      <family val="2"/>
    </font>
    <font>
      <b/>
      <sz val="12"/>
      <color theme="0"/>
      <name val="Agency FB"/>
      <family val="2"/>
    </font>
    <font>
      <b/>
      <sz val="12"/>
      <color theme="0" tint="-0.249977111117893"/>
      <name val="Agency FB"/>
      <family val="2"/>
    </font>
    <font>
      <sz val="8"/>
      <color theme="1"/>
      <name val="Calibri"/>
      <family val="2"/>
      <scheme val="minor"/>
    </font>
    <font>
      <b/>
      <sz val="9"/>
      <color theme="0" tint="-0.14999847407452621"/>
      <name val="Calibri"/>
      <family val="2"/>
      <scheme val="minor"/>
    </font>
    <font>
      <sz val="5"/>
      <color theme="0"/>
      <name val="Calibri"/>
      <family val="2"/>
      <scheme val="minor"/>
    </font>
    <font>
      <sz val="7"/>
      <color theme="0" tint="-0.34998626667073579"/>
      <name val="Agency FB"/>
      <family val="2"/>
    </font>
    <font>
      <sz val="9"/>
      <color theme="1"/>
      <name val="Agency FB"/>
      <family val="2"/>
    </font>
    <font>
      <b/>
      <sz val="12"/>
      <color rgb="FFFF6600"/>
      <name val="Agency FB"/>
      <family val="2"/>
    </font>
    <font>
      <b/>
      <sz val="6"/>
      <color rgb="FFFF6600"/>
      <name val="Agency FB"/>
      <family val="2"/>
    </font>
    <font>
      <b/>
      <sz val="8"/>
      <color theme="1"/>
      <name val="Calibri"/>
      <family val="2"/>
      <scheme val="minor"/>
    </font>
    <font>
      <b/>
      <sz val="40"/>
      <color theme="1"/>
      <name val="Calibri"/>
      <family val="2"/>
      <scheme val="minor"/>
    </font>
    <font>
      <b/>
      <sz val="50"/>
      <color theme="0" tint="-0.34998626667073579"/>
      <name val="Agency FB"/>
      <family val="2"/>
    </font>
    <font>
      <b/>
      <sz val="18"/>
      <color theme="0" tint="-0.34998626667073579"/>
      <name val="Agency FB"/>
      <family val="2"/>
    </font>
    <font>
      <b/>
      <sz val="27"/>
      <color theme="0" tint="-0.34998626667073579"/>
      <name val="Calibri"/>
      <family val="2"/>
      <scheme val="minor"/>
    </font>
    <font>
      <sz val="7"/>
      <color theme="0" tint="-0.249977111117893"/>
      <name val="Agency FB"/>
      <family val="2"/>
    </font>
    <font>
      <sz val="7"/>
      <color theme="0" tint="-0.499984740745262"/>
      <name val="Agency FB"/>
      <family val="2"/>
    </font>
    <font>
      <b/>
      <sz val="6"/>
      <color theme="1"/>
      <name val="Calibri"/>
      <family val="2"/>
      <scheme val="minor"/>
    </font>
    <font>
      <sz val="6"/>
      <color theme="0" tint="-0.34998626667073579"/>
      <name val="Agency FB"/>
      <family val="2"/>
    </font>
    <font>
      <sz val="10"/>
      <color theme="0"/>
      <name val="Calibri"/>
      <family val="2"/>
      <scheme val="minor"/>
    </font>
    <font>
      <b/>
      <sz val="7"/>
      <color theme="0" tint="-0.499984740745262"/>
      <name val="Lucida Console"/>
      <family val="3"/>
    </font>
    <font>
      <b/>
      <sz val="6"/>
      <color theme="1"/>
      <name val="Agency FB"/>
      <family val="2"/>
    </font>
    <font>
      <sz val="6"/>
      <color theme="0" tint="-0.14999847407452621"/>
      <name val="Agency FB"/>
      <family val="2"/>
    </font>
    <font>
      <sz val="9"/>
      <color theme="0" tint="-0.249977111117893"/>
      <name val="Calibri"/>
      <family val="2"/>
      <scheme val="minor"/>
    </font>
    <font>
      <b/>
      <sz val="14"/>
      <color theme="0" tint="-0.14999847407452621"/>
      <name val="Wingdings 2"/>
      <family val="1"/>
      <charset val="2"/>
    </font>
    <font>
      <sz val="9"/>
      <color theme="0"/>
      <name val="Calibri Light"/>
      <family val="2"/>
      <scheme val="major"/>
    </font>
    <font>
      <b/>
      <sz val="9"/>
      <color theme="0" tint="-0.499984740745262"/>
      <name val="Calibri"/>
      <family val="2"/>
      <scheme val="minor"/>
    </font>
    <font>
      <b/>
      <sz val="9"/>
      <color theme="0"/>
      <name val="Calibri Light"/>
      <family val="2"/>
      <scheme val="major"/>
    </font>
    <font>
      <sz val="5"/>
      <color theme="0"/>
      <name val="Agency FB"/>
      <family val="2"/>
    </font>
    <font>
      <b/>
      <sz val="7"/>
      <color theme="1"/>
      <name val="Agency FB"/>
      <family val="2"/>
    </font>
    <font>
      <sz val="9"/>
      <color theme="0" tint="-0.34998626667073579"/>
      <name val="Calibri Light"/>
      <family val="2"/>
      <scheme val="major"/>
    </font>
    <font>
      <sz val="7"/>
      <color theme="0" tint="-0.14999847407452621"/>
      <name val="Agency FB"/>
      <family val="2"/>
    </font>
    <font>
      <sz val="8"/>
      <color theme="0" tint="-0.14999847407452621"/>
      <name val="Calibri"/>
      <family val="2"/>
      <scheme val="minor"/>
    </font>
    <font>
      <sz val="10"/>
      <color theme="0" tint="-0.249977111117893"/>
      <name val="Calibri"/>
      <family val="2"/>
      <scheme val="minor"/>
    </font>
    <font>
      <sz val="10"/>
      <color rgb="FFFF0000"/>
      <name val="Calibri"/>
      <family val="2"/>
      <scheme val="minor"/>
    </font>
    <font>
      <b/>
      <sz val="10"/>
      <color rgb="FFFF0000"/>
      <name val="Calibri"/>
      <family val="2"/>
      <scheme val="minor"/>
    </font>
    <font>
      <b/>
      <sz val="10"/>
      <color theme="0"/>
      <name val="Wingdings 2"/>
      <family val="1"/>
      <charset val="2"/>
    </font>
    <font>
      <b/>
      <sz val="27"/>
      <color theme="1"/>
      <name val="Calibri"/>
      <family val="2"/>
      <scheme val="minor"/>
    </font>
    <font>
      <sz val="6"/>
      <color theme="0" tint="-0.249977111117893"/>
      <name val="Agency FB"/>
      <family val="2"/>
    </font>
    <font>
      <b/>
      <sz val="6"/>
      <color theme="0" tint="-0.249977111117893"/>
      <name val="Agency FB"/>
      <family val="2"/>
    </font>
    <font>
      <b/>
      <sz val="10"/>
      <color theme="0" tint="-0.14999847407452621"/>
      <name val="Calibri"/>
      <family val="2"/>
      <scheme val="minor"/>
    </font>
    <font>
      <b/>
      <sz val="10"/>
      <color rgb="FF00B050"/>
      <name val="Calibri"/>
      <family val="2"/>
      <scheme val="minor"/>
    </font>
    <font>
      <b/>
      <sz val="10"/>
      <color rgb="FF00B0F0"/>
      <name val="Calibri"/>
      <family val="2"/>
      <scheme val="minor"/>
    </font>
    <font>
      <b/>
      <sz val="10"/>
      <color rgb="FF9900CC"/>
      <name val="Calibri"/>
      <family val="2"/>
      <scheme val="minor"/>
    </font>
    <font>
      <b/>
      <sz val="10"/>
      <color rgb="FFFF6600"/>
      <name val="Calibri"/>
      <family val="2"/>
      <scheme val="minor"/>
    </font>
    <font>
      <b/>
      <sz val="10"/>
      <color rgb="FFFF00FF"/>
      <name val="Calibri"/>
      <family val="2"/>
      <scheme val="minor"/>
    </font>
    <font>
      <b/>
      <sz val="10"/>
      <color rgb="FFFFC000"/>
      <name val="Calibri"/>
      <family val="2"/>
      <scheme val="minor"/>
    </font>
    <font>
      <b/>
      <sz val="10"/>
      <color theme="0" tint="-0.34998626667073579"/>
      <name val="Calibri"/>
      <family val="2"/>
      <scheme val="minor"/>
    </font>
    <font>
      <b/>
      <sz val="10"/>
      <color theme="0" tint="-0.249977111117893"/>
      <name val="Calibri"/>
      <family val="2"/>
      <scheme val="minor"/>
    </font>
    <font>
      <sz val="10"/>
      <color theme="1"/>
      <name val="Agency FB"/>
      <family val="2"/>
    </font>
    <font>
      <b/>
      <sz val="7"/>
      <color theme="0"/>
      <name val="Agency FB"/>
      <family val="2"/>
    </font>
    <font>
      <b/>
      <sz val="8"/>
      <color theme="0" tint="-0.249977111117893"/>
      <name val="Calibri"/>
      <family val="2"/>
      <scheme val="minor"/>
    </font>
    <font>
      <b/>
      <sz val="8"/>
      <color rgb="FF0070C0"/>
      <name val="Calibri"/>
      <family val="2"/>
      <scheme val="minor"/>
    </font>
    <font>
      <b/>
      <sz val="8"/>
      <color rgb="FF9900CC"/>
      <name val="Calibri"/>
      <family val="2"/>
      <scheme val="minor"/>
    </font>
    <font>
      <b/>
      <sz val="8"/>
      <color rgb="FFFF00FF"/>
      <name val="Calibri"/>
      <family val="2"/>
      <scheme val="minor"/>
    </font>
    <font>
      <b/>
      <sz val="8"/>
      <color rgb="FFC00000"/>
      <name val="Calibri"/>
      <family val="2"/>
      <scheme val="minor"/>
    </font>
    <font>
      <b/>
      <sz val="8"/>
      <color rgb="FFFF6600"/>
      <name val="Calibri"/>
      <family val="2"/>
      <scheme val="minor"/>
    </font>
    <font>
      <b/>
      <sz val="8"/>
      <color rgb="FFFFC000"/>
      <name val="Calibri"/>
      <family val="2"/>
      <scheme val="minor"/>
    </font>
    <font>
      <b/>
      <sz val="8"/>
      <color rgb="FF00B050"/>
      <name val="Calibri"/>
      <family val="2"/>
      <scheme val="minor"/>
    </font>
    <font>
      <b/>
      <sz val="8"/>
      <color rgb="FF00B0F0"/>
      <name val="Calibri"/>
      <family val="2"/>
      <scheme val="minor"/>
    </font>
    <font>
      <sz val="12"/>
      <color theme="1"/>
      <name val="Wingdings 3"/>
      <family val="1"/>
      <charset val="2"/>
    </font>
    <font>
      <b/>
      <sz val="10"/>
      <color rgb="FF0070C0"/>
      <name val="Calibri"/>
      <family val="2"/>
      <scheme val="minor"/>
    </font>
    <font>
      <b/>
      <sz val="10"/>
      <color rgb="FFC00000"/>
      <name val="Calibri"/>
      <family val="2"/>
      <scheme val="minor"/>
    </font>
    <font>
      <b/>
      <sz val="7"/>
      <color theme="1"/>
      <name val="Calibri"/>
      <family val="2"/>
      <scheme val="minor"/>
    </font>
    <font>
      <b/>
      <sz val="20"/>
      <color theme="1"/>
      <name val="Calibri"/>
      <family val="2"/>
      <scheme val="minor"/>
    </font>
    <font>
      <sz val="7"/>
      <color theme="2"/>
      <name val="Agency FB"/>
      <family val="2"/>
    </font>
    <font>
      <b/>
      <sz val="7"/>
      <color theme="0" tint="-0.14999847407452621"/>
      <name val="Calibri"/>
      <family val="2"/>
      <scheme val="minor"/>
    </font>
    <font>
      <sz val="7"/>
      <color theme="0" tint="-0.14999847407452621"/>
      <name val="Calibri"/>
      <family val="2"/>
      <scheme val="minor"/>
    </font>
    <font>
      <b/>
      <sz val="20"/>
      <color theme="0" tint="-0.34998626667073579"/>
      <name val="Calibri"/>
      <family val="2"/>
      <scheme val="minor"/>
    </font>
    <font>
      <sz val="20"/>
      <color theme="1"/>
      <name val="Calibri"/>
      <family val="2"/>
      <scheme val="minor"/>
    </font>
    <font>
      <b/>
      <sz val="15"/>
      <color theme="0"/>
      <name val="Calibri"/>
      <family val="2"/>
      <scheme val="minor"/>
    </font>
    <font>
      <sz val="10"/>
      <color theme="0" tint="-0.34998626667073579"/>
      <name val="Calibri"/>
      <family val="2"/>
      <scheme val="minor"/>
    </font>
    <font>
      <sz val="9"/>
      <color theme="0" tint="-0.34998626667073579"/>
      <name val="Calibri"/>
      <family val="2"/>
      <scheme val="minor"/>
    </font>
    <font>
      <b/>
      <sz val="9"/>
      <color theme="0"/>
      <name val="Wingdings 2"/>
      <family val="1"/>
      <charset val="2"/>
    </font>
    <font>
      <sz val="8"/>
      <color theme="0"/>
      <name val="Calibri"/>
      <family val="2"/>
      <scheme val="minor"/>
    </font>
    <font>
      <b/>
      <sz val="10"/>
      <color theme="0"/>
      <name val="Agency FB"/>
      <family val="2"/>
    </font>
    <font>
      <b/>
      <sz val="6"/>
      <color rgb="FF0070C0"/>
      <name val="Calibri"/>
      <family val="2"/>
      <scheme val="minor"/>
    </font>
    <font>
      <b/>
      <sz val="6"/>
      <color rgb="FF9900CC"/>
      <name val="Calibri"/>
      <family val="2"/>
      <scheme val="minor"/>
    </font>
    <font>
      <b/>
      <sz val="6"/>
      <color rgb="FFFF00FF"/>
      <name val="Calibri"/>
      <family val="2"/>
      <scheme val="minor"/>
    </font>
    <font>
      <b/>
      <sz val="6"/>
      <color rgb="FFFF0000"/>
      <name val="Calibri"/>
      <family val="2"/>
      <scheme val="minor"/>
    </font>
    <font>
      <b/>
      <sz val="6"/>
      <color rgb="FFC00000"/>
      <name val="Calibri"/>
      <family val="2"/>
      <scheme val="minor"/>
    </font>
    <font>
      <b/>
      <sz val="6"/>
      <color rgb="FFFF6600"/>
      <name val="Calibri"/>
      <family val="2"/>
      <scheme val="minor"/>
    </font>
    <font>
      <b/>
      <sz val="6"/>
      <color rgb="FFFFC000"/>
      <name val="Calibri"/>
      <family val="2"/>
      <scheme val="minor"/>
    </font>
    <font>
      <b/>
      <sz val="6"/>
      <color rgb="FF00B050"/>
      <name val="Calibri"/>
      <family val="2"/>
      <scheme val="minor"/>
    </font>
    <font>
      <b/>
      <sz val="6"/>
      <color rgb="FF00B0F0"/>
      <name val="Calibri"/>
      <family val="2"/>
      <scheme val="minor"/>
    </font>
    <font>
      <sz val="9"/>
      <color theme="0" tint="-0.14999847407452621"/>
      <name val="Agency FB"/>
      <family val="2"/>
    </font>
    <font>
      <sz val="11"/>
      <color theme="0"/>
      <name val="Calibri"/>
      <family val="2"/>
      <scheme val="minor"/>
    </font>
    <font>
      <sz val="9"/>
      <color theme="0" tint="-0.499984740745262"/>
      <name val="Calibri"/>
      <family val="2"/>
      <scheme val="minor"/>
    </font>
    <font>
      <b/>
      <sz val="12"/>
      <color theme="0" tint="-0.34998626667073579"/>
      <name val="Calibri"/>
      <family val="2"/>
      <scheme val="minor"/>
    </font>
    <font>
      <sz val="17"/>
      <color theme="0"/>
      <name val="Calibri"/>
      <family val="2"/>
      <scheme val="minor"/>
    </font>
    <font>
      <b/>
      <sz val="17"/>
      <color theme="0"/>
      <name val="Calibri"/>
      <family val="2"/>
      <scheme val="minor"/>
    </font>
    <font>
      <b/>
      <sz val="12"/>
      <color theme="1" tint="0.34998626667073579"/>
      <name val="Agency FB"/>
      <family val="2"/>
    </font>
    <font>
      <b/>
      <sz val="12"/>
      <color theme="0" tint="-0.499984740745262"/>
      <name val="Agency FB"/>
      <family val="2"/>
    </font>
    <font>
      <sz val="12"/>
      <color theme="0"/>
      <name val="Agency FB"/>
      <family val="2"/>
    </font>
    <font>
      <sz val="12"/>
      <color theme="0" tint="-0.249977111117893"/>
      <name val="Agency FB"/>
      <family val="2"/>
    </font>
    <font>
      <b/>
      <sz val="17"/>
      <color theme="1"/>
      <name val="Calibri"/>
      <family val="2"/>
      <scheme val="minor"/>
    </font>
    <font>
      <b/>
      <sz val="17"/>
      <color theme="0" tint="-0.34998626667073579"/>
      <name val="Calibri"/>
      <family val="2"/>
      <scheme val="minor"/>
    </font>
    <font>
      <b/>
      <sz val="27"/>
      <color theme="0"/>
      <name val="Calibri"/>
      <family val="2"/>
      <scheme val="minor"/>
    </font>
    <font>
      <sz val="12"/>
      <color theme="1" tint="0.34998626667073579"/>
      <name val="Agency FB"/>
      <family val="2"/>
    </font>
    <font>
      <sz val="22"/>
      <color rgb="FFFF0000"/>
      <name val="Wingdings"/>
      <charset val="2"/>
    </font>
    <font>
      <sz val="4"/>
      <color theme="1"/>
      <name val="Agency FB"/>
      <family val="2"/>
    </font>
    <font>
      <sz val="22"/>
      <color rgb="FF0070C0"/>
      <name val="Wingdings"/>
      <charset val="2"/>
    </font>
    <font>
      <sz val="22"/>
      <color rgb="FF00B0F0"/>
      <name val="Wingdings"/>
      <charset val="2"/>
    </font>
    <font>
      <sz val="22"/>
      <color rgb="FF00B050"/>
      <name val="Wingdings"/>
      <charset val="2"/>
    </font>
    <font>
      <sz val="22"/>
      <color rgb="FF92D050"/>
      <name val="Wingdings"/>
      <charset val="2"/>
    </font>
    <font>
      <sz val="22"/>
      <color rgb="FFEBE600"/>
      <name val="Wingdings"/>
      <charset val="2"/>
    </font>
    <font>
      <sz val="22"/>
      <color rgb="FFFFC000"/>
      <name val="Wingdings"/>
      <charset val="2"/>
    </font>
    <font>
      <sz val="22"/>
      <color rgb="FFFF6600"/>
      <name val="Wingdings"/>
      <charset val="2"/>
    </font>
    <font>
      <sz val="22"/>
      <color rgb="FF6600CC"/>
      <name val="Wingdings"/>
      <charset val="2"/>
    </font>
    <font>
      <sz val="22"/>
      <color rgb="FF9900CC"/>
      <name val="Wingdings"/>
      <charset val="2"/>
    </font>
    <font>
      <sz val="22"/>
      <color rgb="FFFF00FF"/>
      <name val="Wingdings"/>
      <charset val="2"/>
    </font>
    <font>
      <sz val="22"/>
      <color rgb="FFC00000"/>
      <name val="Wingdings"/>
      <charset val="2"/>
    </font>
    <font>
      <b/>
      <sz val="10"/>
      <color theme="1" tint="0.249977111117893"/>
      <name val="Calibri"/>
      <family val="2"/>
      <scheme val="minor"/>
    </font>
    <font>
      <b/>
      <sz val="12"/>
      <color rgb="FF9900CC"/>
      <name val="Wingdings 3"/>
      <family val="1"/>
      <charset val="2"/>
    </font>
    <font>
      <b/>
      <sz val="12"/>
      <color rgb="FFFF00FF"/>
      <name val="Wingdings 3"/>
      <family val="1"/>
      <charset val="2"/>
    </font>
    <font>
      <b/>
      <sz val="12"/>
      <color rgb="FFFF0000"/>
      <name val="Wingdings 3"/>
      <family val="1"/>
      <charset val="2"/>
    </font>
    <font>
      <b/>
      <sz val="50"/>
      <color theme="0"/>
      <name val="Agency FB"/>
      <family val="2"/>
    </font>
    <font>
      <sz val="8"/>
      <color theme="1"/>
      <name val="Agency FB"/>
      <family val="2"/>
    </font>
    <font>
      <b/>
      <sz val="14"/>
      <color theme="0"/>
      <name val="Wingdings"/>
      <charset val="2"/>
    </font>
    <font>
      <sz val="10"/>
      <color theme="0" tint="-0.34998626667073579"/>
      <name val="Agency FB"/>
      <family val="2"/>
    </font>
    <font>
      <sz val="12"/>
      <color rgb="FF0070C0"/>
      <name val="Calibri"/>
      <family val="2"/>
      <scheme val="minor"/>
    </font>
    <font>
      <sz val="12"/>
      <color rgb="FF00B0F0"/>
      <name val="Calibri"/>
      <family val="2"/>
      <scheme val="minor"/>
    </font>
    <font>
      <sz val="12"/>
      <color rgb="FF00B050"/>
      <name val="Calibri"/>
      <family val="2"/>
      <scheme val="minor"/>
    </font>
    <font>
      <sz val="12"/>
      <color rgb="FF9900CC"/>
      <name val="Calibri"/>
      <family val="2"/>
      <scheme val="minor"/>
    </font>
    <font>
      <sz val="12"/>
      <color rgb="FFFF00FF"/>
      <name val="Calibri"/>
      <family val="2"/>
      <scheme val="minor"/>
    </font>
    <font>
      <sz val="12"/>
      <color rgb="FFFF0000"/>
      <name val="Calibri"/>
      <family val="2"/>
      <scheme val="minor"/>
    </font>
    <font>
      <sz val="12"/>
      <color rgb="FFFF6600"/>
      <name val="Calibri"/>
      <family val="2"/>
      <scheme val="minor"/>
    </font>
    <font>
      <sz val="12"/>
      <color rgb="FFFFC000"/>
      <name val="Calibri"/>
      <family val="2"/>
      <scheme val="minor"/>
    </font>
    <font>
      <sz val="17"/>
      <color theme="0" tint="-0.14999847407452621"/>
      <name val="Calibri"/>
      <family val="2"/>
      <scheme val="minor"/>
    </font>
    <font>
      <sz val="22"/>
      <color theme="0"/>
      <name val="Wingdings"/>
      <charset val="2"/>
    </font>
    <font>
      <sz val="14"/>
      <color theme="0"/>
      <name val="Calibri"/>
      <family val="2"/>
      <scheme val="minor"/>
    </font>
    <font>
      <sz val="12"/>
      <color rgb="FFEBE600"/>
      <name val="Calibri"/>
      <family val="2"/>
      <scheme val="minor"/>
    </font>
    <font>
      <sz val="8"/>
      <color theme="0" tint="-0.249977111117893"/>
      <name val="Calibri"/>
      <family val="2"/>
      <scheme val="minor"/>
    </font>
    <font>
      <sz val="12"/>
      <color theme="0" tint="-0.249977111117893"/>
      <name val="Calibri"/>
      <family val="2"/>
      <scheme val="minor"/>
    </font>
    <font>
      <sz val="7"/>
      <color rgb="FFFF0000"/>
      <name val="Agency FB"/>
      <family val="2"/>
    </font>
    <font>
      <b/>
      <sz val="14"/>
      <color theme="0" tint="-0.499984740745262"/>
      <name val="Calibri"/>
      <family val="2"/>
      <scheme val="minor"/>
    </font>
    <font>
      <sz val="14"/>
      <color theme="1" tint="0.34998626667073579"/>
      <name val="Calibri"/>
      <family val="2"/>
      <scheme val="minor"/>
    </font>
    <font>
      <b/>
      <sz val="14"/>
      <color theme="1" tint="0.34998626667073579"/>
      <name val="Calibri"/>
      <family val="2"/>
      <scheme val="minor"/>
    </font>
    <font>
      <b/>
      <sz val="14"/>
      <color theme="0" tint="-0.34998626667073579"/>
      <name val="Calibri"/>
      <family val="2"/>
      <scheme val="minor"/>
    </font>
    <font>
      <sz val="22"/>
      <color rgb="FF292929"/>
      <name val="Wingdings"/>
      <charset val="2"/>
    </font>
    <font>
      <b/>
      <sz val="9"/>
      <color rgb="FF00B0F0"/>
      <name val="Calibri"/>
      <family val="2"/>
      <scheme val="minor"/>
    </font>
    <font>
      <b/>
      <sz val="9"/>
      <color rgb="FF00B050"/>
      <name val="Calibri"/>
      <family val="2"/>
      <scheme val="minor"/>
    </font>
    <font>
      <b/>
      <sz val="9"/>
      <color rgb="FFFFC000"/>
      <name val="Calibri"/>
      <family val="2"/>
      <scheme val="minor"/>
    </font>
    <font>
      <b/>
      <sz val="9"/>
      <color rgb="FFFF9933"/>
      <name val="Calibri"/>
      <family val="2"/>
      <scheme val="minor"/>
    </font>
    <font>
      <b/>
      <sz val="9"/>
      <color rgb="FFC00000"/>
      <name val="Calibri"/>
      <family val="2"/>
      <scheme val="minor"/>
    </font>
    <font>
      <b/>
      <sz val="9"/>
      <color rgb="FFFF0000"/>
      <name val="Calibri"/>
      <family val="2"/>
      <scheme val="minor"/>
    </font>
    <font>
      <sz val="9"/>
      <color rgb="FFFF0000"/>
      <name val="Calibri"/>
      <family val="2"/>
      <scheme val="minor"/>
    </font>
    <font>
      <b/>
      <sz val="9"/>
      <color rgb="FFFF00FF"/>
      <name val="Calibri"/>
      <family val="2"/>
      <scheme val="minor"/>
    </font>
    <font>
      <b/>
      <sz val="9"/>
      <color rgb="FF9900CC"/>
      <name val="Calibri"/>
      <family val="2"/>
      <scheme val="minor"/>
    </font>
    <font>
      <b/>
      <sz val="9"/>
      <color rgb="FF0070C0"/>
      <name val="Calibri"/>
      <family val="2"/>
      <scheme val="minor"/>
    </font>
    <font>
      <b/>
      <sz val="9"/>
      <color theme="0" tint="-0.249977111117893"/>
      <name val="Calibri"/>
      <family val="2"/>
      <scheme val="minor"/>
    </font>
    <font>
      <i/>
      <sz val="10"/>
      <color theme="0" tint="-0.249977111117893"/>
      <name val="Calibri"/>
      <family val="2"/>
      <scheme val="minor"/>
    </font>
    <font>
      <sz val="6"/>
      <color theme="0" tint="-0.249977111117893"/>
      <name val="Calibri"/>
      <family val="2"/>
      <scheme val="minor"/>
    </font>
    <font>
      <sz val="7"/>
      <color theme="0" tint="-4.9989318521683403E-2"/>
      <name val="Agency FB"/>
      <family val="2"/>
    </font>
    <font>
      <sz val="5"/>
      <color theme="0" tint="-0.249977111117893"/>
      <name val="Agency FB"/>
      <family val="2"/>
    </font>
    <font>
      <sz val="14"/>
      <color theme="0"/>
      <name val="Wingdings 2"/>
      <family val="1"/>
      <charset val="2"/>
    </font>
    <font>
      <sz val="14"/>
      <color theme="1" tint="0.249977111117893"/>
      <name val="Calibri"/>
      <family val="2"/>
      <scheme val="minor"/>
    </font>
    <font>
      <sz val="20"/>
      <color rgb="FF919191"/>
      <name val="Wingdings 2"/>
      <family val="1"/>
      <charset val="2"/>
    </font>
    <font>
      <sz val="20"/>
      <color rgb="FF919191"/>
      <name val="Agency FB"/>
      <family val="2"/>
    </font>
    <font>
      <b/>
      <sz val="20"/>
      <color rgb="FF919191"/>
      <name val="Agency FB"/>
      <family val="2"/>
    </font>
    <font>
      <i/>
      <sz val="9"/>
      <color theme="1"/>
      <name val="Calibri"/>
      <family val="2"/>
      <scheme val="minor"/>
    </font>
    <font>
      <sz val="9"/>
      <color theme="1" tint="0.249977111117893"/>
      <name val="Calibri"/>
      <family val="2"/>
      <scheme val="minor"/>
    </font>
    <font>
      <sz val="12"/>
      <color theme="0"/>
      <name val="Calibri"/>
      <family val="2"/>
      <scheme val="minor"/>
    </font>
    <font>
      <b/>
      <sz val="7"/>
      <color theme="1" tint="0.34998626667073579"/>
      <name val="Agency FB"/>
      <family val="2"/>
    </font>
    <font>
      <b/>
      <sz val="17"/>
      <color theme="1"/>
      <name val="Wingdings"/>
      <charset val="2"/>
    </font>
    <font>
      <b/>
      <sz val="12"/>
      <color theme="0" tint="-0.34998626667073579"/>
      <name val="Agency FB"/>
      <family val="2"/>
    </font>
    <font>
      <b/>
      <sz val="12"/>
      <color theme="0" tint="-0.14999847407452621"/>
      <name val="Agency FB"/>
      <family val="2"/>
    </font>
    <font>
      <sz val="8"/>
      <color theme="0"/>
      <name val="Agency FB"/>
      <family val="2"/>
    </font>
    <font>
      <b/>
      <sz val="6"/>
      <color theme="0" tint="-0.34998626667073579"/>
      <name val="Agency FB"/>
      <family val="2"/>
    </font>
    <font>
      <sz val="10"/>
      <color theme="0"/>
      <name val="Agency FB"/>
      <family val="2"/>
    </font>
    <font>
      <b/>
      <i/>
      <sz val="9"/>
      <color theme="1"/>
      <name val="Calibri"/>
      <family val="2"/>
      <scheme val="minor"/>
    </font>
    <font>
      <sz val="10"/>
      <color theme="1" tint="0.249977111117893"/>
      <name val="Agency FB"/>
      <family val="2"/>
    </font>
    <font>
      <b/>
      <sz val="50"/>
      <color theme="1" tint="4.9989318521683403E-2"/>
      <name val="Agency FB"/>
      <family val="2"/>
    </font>
    <font>
      <b/>
      <sz val="10"/>
      <color theme="1" tint="4.9989318521683403E-2"/>
      <name val="Agency FB"/>
      <family val="2"/>
    </font>
    <font>
      <sz val="7"/>
      <color theme="0"/>
      <name val="Wingdings 3"/>
      <family val="1"/>
      <charset val="2"/>
    </font>
    <font>
      <b/>
      <sz val="11"/>
      <color theme="0"/>
      <name val="Wingdings 3"/>
      <family val="1"/>
      <charset val="2"/>
    </font>
    <font>
      <b/>
      <sz val="9"/>
      <color theme="1"/>
      <name val="Agency FB"/>
      <family val="2"/>
    </font>
    <font>
      <b/>
      <sz val="10"/>
      <color theme="1" tint="0.14999847407452621"/>
      <name val="Agency FB"/>
      <family val="2"/>
    </font>
    <font>
      <sz val="8"/>
      <color theme="0" tint="-0.249977111117893"/>
      <name val="Agency FB"/>
      <family val="2"/>
    </font>
    <font>
      <sz val="8"/>
      <color theme="0" tint="-0.34998626667073579"/>
      <name val="Agency FB"/>
      <family val="2"/>
    </font>
    <font>
      <sz val="9"/>
      <color theme="1"/>
      <name val="Lucida Console"/>
      <family val="3"/>
    </font>
    <font>
      <b/>
      <sz val="10"/>
      <color theme="0"/>
      <name val="Wingdings 3"/>
      <family val="1"/>
      <charset val="2"/>
    </font>
    <font>
      <b/>
      <sz val="14"/>
      <color theme="1" tint="4.9989318521683403E-2"/>
      <name val="Calibri"/>
      <family val="2"/>
      <scheme val="minor"/>
    </font>
    <font>
      <sz val="8"/>
      <color theme="2" tint="-0.89999084444715716"/>
      <name val="Agency FB"/>
      <family val="2"/>
    </font>
    <font>
      <b/>
      <sz val="10"/>
      <color theme="2" tint="-0.89999084444715716"/>
      <name val="Agency FB"/>
      <family val="2"/>
    </font>
    <font>
      <b/>
      <sz val="17"/>
      <color rgb="FFFF0000"/>
      <name val="Agency FB"/>
      <family val="2"/>
    </font>
    <font>
      <b/>
      <sz val="12"/>
      <color theme="0" tint="-0.249977111117893"/>
      <name val="Wingdings 2"/>
      <family val="1"/>
      <charset val="2"/>
    </font>
    <font>
      <sz val="10"/>
      <color theme="0" tint="-0.499984740745262"/>
      <name val="Calibri"/>
      <family val="2"/>
      <scheme val="minor"/>
    </font>
    <font>
      <b/>
      <sz val="10"/>
      <color theme="0" tint="-0.249977111117893"/>
      <name val="Wingdings 2"/>
      <family val="1"/>
      <charset val="2"/>
    </font>
    <font>
      <sz val="5"/>
      <color theme="0" tint="-0.14999847407452621"/>
      <name val="Agency FB"/>
      <family val="2"/>
    </font>
    <font>
      <sz val="14"/>
      <color theme="0" tint="-0.249977111117893"/>
      <name val="Calibri"/>
      <family val="2"/>
      <scheme val="minor"/>
    </font>
    <font>
      <sz val="5"/>
      <color theme="1" tint="4.9989318521683403E-2"/>
      <name val="Calibri"/>
      <family val="2"/>
      <scheme val="minor"/>
    </font>
    <font>
      <sz val="200"/>
      <color theme="1"/>
      <name val="Webdings"/>
      <family val="1"/>
      <charset val="2"/>
    </font>
    <font>
      <sz val="40"/>
      <color theme="1"/>
      <name val="Webdings"/>
      <family val="1"/>
      <charset val="2"/>
    </font>
    <font>
      <sz val="40"/>
      <color theme="0" tint="-0.14999847407452621"/>
      <name val="Webdings"/>
      <family val="1"/>
      <charset val="2"/>
    </font>
    <font>
      <sz val="8"/>
      <color theme="2"/>
      <name val="Calibri"/>
      <family val="2"/>
      <scheme val="minor"/>
    </font>
    <font>
      <b/>
      <sz val="7"/>
      <color theme="0" tint="-0.249977111117893"/>
      <name val="Agency FB"/>
      <family val="2"/>
    </font>
    <font>
      <b/>
      <sz val="14"/>
      <color theme="1" tint="0.14999847407452621"/>
      <name val="Calibri"/>
      <family val="2"/>
      <scheme val="minor"/>
    </font>
    <font>
      <sz val="20"/>
      <color theme="1"/>
      <name val="Wingdings"/>
      <charset val="2"/>
    </font>
    <font>
      <sz val="12"/>
      <color theme="0" tint="-0.14999847407452621"/>
      <name val="Agency FB"/>
      <family val="2"/>
    </font>
    <font>
      <b/>
      <sz val="10"/>
      <color theme="0" tint="-0.14999847407452621"/>
      <name val="Agency FB"/>
      <family val="2"/>
    </font>
    <font>
      <sz val="10"/>
      <color theme="0" tint="-0.14999847407452621"/>
      <name val="Agency FB"/>
      <family val="2"/>
    </font>
    <font>
      <sz val="8"/>
      <color theme="0" tint="-0.14999847407452621"/>
      <name val="Agency FB"/>
      <family val="2"/>
    </font>
    <font>
      <sz val="150"/>
      <color theme="1"/>
      <name val="Webdings"/>
      <family val="1"/>
      <charset val="2"/>
    </font>
    <font>
      <sz val="70"/>
      <color theme="1"/>
      <name val="Webdings"/>
      <family val="1"/>
      <charset val="2"/>
    </font>
    <font>
      <b/>
      <sz val="27"/>
      <color theme="0" tint="-0.14999847407452621"/>
      <name val="Wingdings 3"/>
      <family val="1"/>
      <charset val="2"/>
    </font>
    <font>
      <b/>
      <sz val="8"/>
      <color theme="0"/>
      <name val="Calibri"/>
      <family val="2"/>
      <scheme val="minor"/>
    </font>
    <font>
      <b/>
      <sz val="8"/>
      <color theme="0" tint="-0.14999847407452621"/>
      <name val="Calibri"/>
      <family val="2"/>
      <scheme val="minor"/>
    </font>
    <font>
      <b/>
      <sz val="15"/>
      <color theme="1"/>
      <name val="Wingdings 3"/>
      <family val="1"/>
      <charset val="2"/>
    </font>
    <font>
      <b/>
      <sz val="10"/>
      <color theme="0" tint="-0.14999847407452621"/>
      <name val="Wingdings 2"/>
      <family val="1"/>
      <charset val="2"/>
    </font>
    <font>
      <sz val="8"/>
      <color theme="0" tint="-0.34998626667073579"/>
      <name val="Calibri"/>
      <family val="2"/>
      <scheme val="minor"/>
    </font>
    <font>
      <b/>
      <sz val="7"/>
      <color rgb="FF00B0F0"/>
      <name val="Calibri"/>
      <family val="2"/>
      <scheme val="minor"/>
    </font>
    <font>
      <b/>
      <sz val="7"/>
      <color rgb="FF9900CC"/>
      <name val="Calibri"/>
      <family val="2"/>
      <scheme val="minor"/>
    </font>
    <font>
      <b/>
      <sz val="7"/>
      <color rgb="FFFF0000"/>
      <name val="Calibri"/>
      <family val="2"/>
      <scheme val="minor"/>
    </font>
    <font>
      <b/>
      <sz val="7"/>
      <color rgb="FFFF6600"/>
      <name val="Calibri"/>
      <family val="2"/>
      <scheme val="minor"/>
    </font>
    <font>
      <b/>
      <sz val="7"/>
      <color rgb="FFFFC000"/>
      <name val="Calibri"/>
      <family val="2"/>
      <scheme val="minor"/>
    </font>
    <font>
      <sz val="12"/>
      <color theme="1" tint="0.34998626667073579"/>
      <name val="Calibri"/>
      <family val="2"/>
      <scheme val="minor"/>
    </font>
    <font>
      <b/>
      <sz val="15"/>
      <color theme="1"/>
      <name val="Wingdings"/>
      <charset val="2"/>
    </font>
    <font>
      <sz val="15"/>
      <color theme="1"/>
      <name val="Wingdings"/>
      <charset val="2"/>
    </font>
    <font>
      <i/>
      <sz val="10"/>
      <color theme="1"/>
      <name val="Calibri"/>
      <family val="2"/>
      <scheme val="minor"/>
    </font>
    <font>
      <sz val="17"/>
      <color theme="1"/>
      <name val="Wingdings"/>
      <charset val="2"/>
    </font>
    <font>
      <sz val="10"/>
      <color rgb="FF000000"/>
      <name val="Calibri"/>
      <family val="2"/>
      <scheme val="minor"/>
    </font>
    <font>
      <sz val="14"/>
      <color theme="0" tint="-0.14999847407452621"/>
      <name val="Calibri"/>
      <family val="2"/>
      <scheme val="minor"/>
    </font>
    <font>
      <b/>
      <sz val="14"/>
      <color theme="0" tint="-0.249977111117893"/>
      <name val="Calibri"/>
      <family val="2"/>
      <scheme val="minor"/>
    </font>
    <font>
      <b/>
      <sz val="9"/>
      <color theme="0"/>
      <name val="Lucida Console"/>
      <family val="3"/>
    </font>
    <font>
      <i/>
      <sz val="8"/>
      <color theme="0" tint="-0.249977111117893"/>
      <name val="Calibri"/>
      <family val="2"/>
      <scheme val="minor"/>
    </font>
    <font>
      <b/>
      <sz val="8"/>
      <color theme="0" tint="-0.14999847407452621"/>
      <name val="Agency FB"/>
      <family val="2"/>
    </font>
    <font>
      <b/>
      <sz val="10"/>
      <color rgb="FFFF0000"/>
      <name val="Agency FB"/>
      <family val="2"/>
    </font>
    <font>
      <b/>
      <sz val="11"/>
      <color theme="1" tint="4.9989318521683403E-2"/>
      <name val="Wingdings 3"/>
      <family val="1"/>
      <charset val="2"/>
    </font>
    <font>
      <b/>
      <sz val="14"/>
      <color rgb="FFFF0000"/>
      <name val="Calibri"/>
      <family val="2"/>
      <scheme val="minor"/>
    </font>
    <font>
      <sz val="12"/>
      <color theme="2"/>
      <name val="Agency FB"/>
      <family val="2"/>
    </font>
    <font>
      <b/>
      <sz val="12"/>
      <color theme="1" tint="0.249977111117893"/>
      <name val="Agency FB"/>
      <family val="2"/>
    </font>
    <font>
      <sz val="17"/>
      <color theme="0"/>
      <name val="Wingdings"/>
      <charset val="2"/>
    </font>
    <font>
      <i/>
      <sz val="10"/>
      <color theme="0"/>
      <name val="Calibri"/>
      <family val="2"/>
      <scheme val="minor"/>
    </font>
    <font>
      <sz val="20"/>
      <color theme="0" tint="-0.34998626667073579"/>
      <name val="Wingdings"/>
      <charset val="2"/>
    </font>
    <font>
      <i/>
      <sz val="8"/>
      <color theme="1"/>
      <name val="Calibri"/>
      <family val="2"/>
      <scheme val="minor"/>
    </font>
    <font>
      <sz val="25"/>
      <color theme="0" tint="-0.499984740745262"/>
      <name val="Agency FB"/>
      <family val="2"/>
    </font>
    <font>
      <sz val="14"/>
      <color theme="1"/>
      <name val="Wingdings"/>
      <charset val="2"/>
    </font>
    <font>
      <sz val="20"/>
      <color theme="0"/>
      <name val="Wingdings 2"/>
      <family val="1"/>
      <charset val="2"/>
    </font>
    <font>
      <sz val="20"/>
      <color theme="0"/>
      <name val="Wingdings"/>
      <charset val="2"/>
    </font>
    <font>
      <sz val="15"/>
      <color theme="0" tint="-0.249977111117893"/>
      <name val="Agency FB"/>
      <family val="2"/>
    </font>
    <font>
      <sz val="24"/>
      <color theme="0"/>
      <name val="Agency FB"/>
      <family val="2"/>
    </font>
    <font>
      <sz val="18"/>
      <color theme="0" tint="-0.249977111117893"/>
      <name val="Agency FB"/>
      <family val="2"/>
    </font>
    <font>
      <b/>
      <sz val="11"/>
      <color theme="0"/>
      <name val="Agency FB"/>
      <family val="2"/>
    </font>
    <font>
      <sz val="17"/>
      <color theme="1" tint="0.34998626667073579"/>
      <name val="Wingdings"/>
      <charset val="2"/>
    </font>
    <font>
      <b/>
      <sz val="10"/>
      <color theme="0" tint="-0.249977111117893"/>
      <name val="Agency FB"/>
      <family val="2"/>
    </font>
    <font>
      <b/>
      <sz val="8"/>
      <color theme="0" tint="-0.249977111117893"/>
      <name val="Agency FB"/>
      <family val="2"/>
    </font>
    <font>
      <b/>
      <sz val="14"/>
      <color theme="0" tint="-0.249977111117893"/>
      <name val="Wingdings"/>
      <charset val="2"/>
    </font>
    <font>
      <b/>
      <sz val="8"/>
      <color theme="0" tint="-0.34998626667073579"/>
      <name val="Calibri"/>
      <family val="2"/>
      <scheme val="minor"/>
    </font>
    <font>
      <sz val="8"/>
      <color rgb="FFFF0000"/>
      <name val="Calibri"/>
      <family val="2"/>
      <scheme val="minor"/>
    </font>
    <font>
      <b/>
      <sz val="7"/>
      <color rgb="FFFF0000"/>
      <name val="Agency FB"/>
      <family val="2"/>
    </font>
    <font>
      <sz val="7"/>
      <color theme="1" tint="0.14999847407452621"/>
      <name val="Agency FB"/>
      <family val="2"/>
    </font>
    <font>
      <b/>
      <sz val="22"/>
      <color theme="1"/>
      <name val="Calibri"/>
      <family val="2"/>
      <scheme val="minor"/>
    </font>
    <font>
      <sz val="21"/>
      <color theme="0"/>
      <name val="Agency FB"/>
      <family val="2"/>
    </font>
    <font>
      <b/>
      <sz val="20"/>
      <color theme="1"/>
      <name val="Wingdings"/>
      <charset val="2"/>
    </font>
    <font>
      <b/>
      <sz val="20"/>
      <color theme="0"/>
      <name val="Wingdings"/>
      <charset val="2"/>
    </font>
    <font>
      <sz val="25"/>
      <color theme="1"/>
      <name val="Agency FB"/>
      <family val="2"/>
    </font>
    <font>
      <sz val="24"/>
      <color theme="1"/>
      <name val="Wingdings"/>
      <charset val="2"/>
    </font>
    <font>
      <sz val="22"/>
      <color theme="1"/>
      <name val="Wingdings 2"/>
      <family val="1"/>
      <charset val="2"/>
    </font>
    <font>
      <b/>
      <sz val="19"/>
      <color theme="0"/>
      <name val="Wingdings 3"/>
      <family val="1"/>
      <charset val="2"/>
    </font>
    <font>
      <b/>
      <sz val="19"/>
      <color theme="0"/>
      <name val="Wingdings"/>
      <charset val="2"/>
    </font>
    <font>
      <b/>
      <sz val="17"/>
      <color theme="0" tint="-0.499984740745262"/>
      <name val="Agency FB"/>
      <family val="2"/>
    </font>
    <font>
      <b/>
      <sz val="20"/>
      <color theme="0" tint="-0.499984740745262"/>
      <name val="Wingdings"/>
      <charset val="2"/>
    </font>
    <font>
      <sz val="22"/>
      <color theme="1" tint="0.34998626667073579"/>
      <name val="Wingdings 2"/>
      <family val="1"/>
      <charset val="2"/>
    </font>
    <font>
      <b/>
      <sz val="17"/>
      <color theme="1" tint="0.34998626667073579"/>
      <name val="Agency FB"/>
      <family val="2"/>
    </font>
    <font>
      <sz val="7"/>
      <color theme="1" tint="0.34998626667073579"/>
      <name val="Agency FB"/>
      <family val="2"/>
    </font>
    <font>
      <b/>
      <sz val="20"/>
      <color theme="1" tint="0.34998626667073579"/>
      <name val="Wingdings"/>
      <charset val="2"/>
    </font>
    <font>
      <sz val="20"/>
      <color theme="1" tint="0.34998626667073579"/>
      <name val="Wingdings"/>
      <charset val="2"/>
    </font>
    <font>
      <b/>
      <sz val="10"/>
      <color theme="1" tint="0.34998626667073579"/>
      <name val="Agency FB"/>
      <family val="2"/>
    </font>
    <font>
      <sz val="10"/>
      <color theme="1" tint="0.34998626667073579"/>
      <name val="Agency FB"/>
      <family val="2"/>
    </font>
    <font>
      <sz val="23"/>
      <color theme="0" tint="-0.249977111117893"/>
      <name val="Agency FB"/>
      <family val="2"/>
    </font>
    <font>
      <sz val="30"/>
      <color rgb="FF919191"/>
      <name val="Wingdings 2"/>
      <family val="1"/>
      <charset val="2"/>
    </font>
    <font>
      <b/>
      <sz val="17"/>
      <color theme="2" tint="-0.89999084444715716"/>
      <name val="Agency FB"/>
      <family val="2"/>
    </font>
    <font>
      <sz val="7"/>
      <color theme="2" tint="-0.89999084444715716"/>
      <name val="Agency FB"/>
      <family val="2"/>
    </font>
    <font>
      <sz val="10"/>
      <color theme="2" tint="-0.89999084444715716"/>
      <name val="Agency FB"/>
      <family val="2"/>
    </font>
    <font>
      <b/>
      <sz val="9"/>
      <color theme="0" tint="-0.34998626667073579"/>
      <name val="Agency FB"/>
      <family val="2"/>
    </font>
    <font>
      <b/>
      <sz val="19"/>
      <color theme="1"/>
      <name val="Wingdings"/>
      <charset val="2"/>
    </font>
    <font>
      <sz val="17"/>
      <color theme="0"/>
      <name val="Agency FB"/>
      <family val="2"/>
    </font>
    <font>
      <sz val="17"/>
      <color theme="2" tint="-0.89999084444715716"/>
      <name val="Agency FB"/>
      <family val="2"/>
    </font>
    <font>
      <b/>
      <sz val="17"/>
      <color theme="0" tint="-0.34998626667073579"/>
      <name val="Agency FB"/>
      <family val="2"/>
    </font>
    <font>
      <b/>
      <sz val="13"/>
      <color theme="1"/>
      <name val="Wingdings 2"/>
      <family val="1"/>
      <charset val="2"/>
    </font>
    <font>
      <sz val="18"/>
      <color theme="1"/>
      <name val="Agency FB"/>
      <family val="2"/>
    </font>
    <font>
      <sz val="20"/>
      <color theme="0" tint="-0.499984740745262"/>
      <name val="Wingdings"/>
      <charset val="2"/>
    </font>
    <font>
      <sz val="17"/>
      <color theme="0" tint="-0.499984740745262"/>
      <name val="Wingdings"/>
      <charset val="2"/>
    </font>
    <font>
      <b/>
      <sz val="9"/>
      <color theme="0" tint="-0.499984740745262"/>
      <name val="Agency FB"/>
      <family val="2"/>
    </font>
    <font>
      <sz val="7"/>
      <color rgb="FFFF0000"/>
      <name val="Calibri"/>
      <family val="2"/>
      <scheme val="minor"/>
    </font>
    <font>
      <b/>
      <sz val="12"/>
      <color theme="0" tint="-0.249977111117893"/>
      <name val="Calibri"/>
      <family val="2"/>
      <scheme val="minor"/>
    </font>
    <font>
      <b/>
      <sz val="12"/>
      <color rgb="FFFF0000"/>
      <name val="Agency FB"/>
      <family val="2"/>
    </font>
    <font>
      <sz val="8"/>
      <color theme="0" tint="-0.499984740745262"/>
      <name val="Calibri"/>
      <family val="2"/>
      <scheme val="minor"/>
    </font>
    <font>
      <sz val="7"/>
      <color theme="1"/>
      <name val="Calibri"/>
      <family val="2"/>
    </font>
    <font>
      <sz val="8"/>
      <color theme="1" tint="0.249977111117893"/>
      <name val="Calibri"/>
      <family val="2"/>
      <scheme val="minor"/>
    </font>
    <font>
      <b/>
      <sz val="22"/>
      <color theme="0" tint="-0.34998626667073579"/>
      <name val="Calibri"/>
      <family val="2"/>
      <scheme val="minor"/>
    </font>
    <font>
      <b/>
      <sz val="22"/>
      <color theme="0"/>
      <name val="Calibri"/>
      <family val="2"/>
      <scheme val="minor"/>
    </font>
    <font>
      <sz val="8"/>
      <color theme="1" tint="0.249977111117893"/>
      <name val="Agency FB"/>
      <family val="2"/>
    </font>
    <font>
      <sz val="9"/>
      <color theme="1" tint="0.249977111117893"/>
      <name val="Agency FB"/>
      <family val="2"/>
    </font>
    <font>
      <sz val="8"/>
      <color rgb="FF00B050"/>
      <name val="Calibri"/>
      <family val="2"/>
      <scheme val="minor"/>
    </font>
    <font>
      <sz val="12"/>
      <color theme="0" tint="-0.14999847407452621"/>
      <name val="Calibri"/>
      <family val="2"/>
      <scheme val="minor"/>
    </font>
    <font>
      <sz val="8"/>
      <color rgb="FF00B0F0"/>
      <name val="Calibri"/>
      <family val="2"/>
      <scheme val="minor"/>
    </font>
    <font>
      <sz val="8"/>
      <color rgb="FFFFC000"/>
      <name val="Calibri"/>
      <family val="2"/>
      <scheme val="minor"/>
    </font>
    <font>
      <sz val="8"/>
      <color rgb="FFFF9933"/>
      <name val="Calibri"/>
      <family val="2"/>
      <scheme val="minor"/>
    </font>
    <font>
      <b/>
      <sz val="8"/>
      <color theme="1"/>
      <name val="Lucida Console"/>
      <family val="3"/>
    </font>
    <font>
      <sz val="8"/>
      <color rgb="FFC00000"/>
      <name val="Calibri"/>
      <family val="2"/>
      <scheme val="minor"/>
    </font>
    <font>
      <sz val="8"/>
      <color rgb="FFFF00FF"/>
      <name val="Calibri"/>
      <family val="2"/>
      <scheme val="minor"/>
    </font>
    <font>
      <sz val="8"/>
      <color rgb="FF9900CC"/>
      <name val="Calibri"/>
      <family val="2"/>
      <scheme val="minor"/>
    </font>
    <font>
      <sz val="8"/>
      <color rgb="FF0070C0"/>
      <name val="Calibri"/>
      <family val="2"/>
      <scheme val="minor"/>
    </font>
    <font>
      <b/>
      <sz val="10"/>
      <color theme="1" tint="0.34998626667073579"/>
      <name val="Calibri"/>
      <family val="2"/>
      <scheme val="minor"/>
    </font>
    <font>
      <b/>
      <sz val="14"/>
      <color theme="1" tint="0.499984740745262"/>
      <name val="Calibri"/>
      <family val="2"/>
      <scheme val="minor"/>
    </font>
    <font>
      <b/>
      <sz val="13"/>
      <color theme="0"/>
      <name val="Calibri"/>
      <family val="2"/>
      <scheme val="minor"/>
    </font>
    <font>
      <b/>
      <sz val="10"/>
      <color theme="0" tint="-0.499984740745262"/>
      <name val="Calibri"/>
      <family val="2"/>
      <scheme val="minor"/>
    </font>
    <font>
      <b/>
      <sz val="8"/>
      <color theme="1" tint="0.249977111117893"/>
      <name val="Calibri"/>
      <family val="2"/>
      <scheme val="minor"/>
    </font>
    <font>
      <sz val="17"/>
      <color theme="1"/>
      <name val="Webdings"/>
      <family val="1"/>
      <charset val="2"/>
    </font>
    <font>
      <sz val="17"/>
      <color theme="0"/>
      <name val="Webdings"/>
      <family val="1"/>
      <charset val="2"/>
    </font>
    <font>
      <b/>
      <sz val="10"/>
      <color theme="2" tint="-0.749992370372631"/>
      <name val="Agency FB"/>
      <family val="2"/>
    </font>
    <font>
      <b/>
      <sz val="7"/>
      <color theme="1" tint="0.499984740745262"/>
      <name val="Calibri"/>
      <family val="2"/>
      <scheme val="minor"/>
    </font>
    <font>
      <sz val="4"/>
      <color theme="0" tint="-0.34998626667073579"/>
      <name val="Agency FB"/>
      <family val="2"/>
    </font>
    <font>
      <b/>
      <sz val="11"/>
      <color theme="1" tint="0.34998626667073579"/>
      <name val="Agency FB"/>
      <family val="2"/>
    </font>
    <font>
      <sz val="6"/>
      <color theme="0" tint="-0.14999847407452621"/>
      <name val="Calibri"/>
      <family val="2"/>
      <scheme val="minor"/>
    </font>
    <font>
      <sz val="6"/>
      <color theme="0"/>
      <name val="Calibri"/>
      <family val="2"/>
      <scheme val="minor"/>
    </font>
    <font>
      <b/>
      <sz val="20"/>
      <color theme="1"/>
      <name val="Agency FB"/>
      <family val="2"/>
    </font>
    <font>
      <sz val="14"/>
      <color theme="0"/>
      <name val="Webdings"/>
      <family val="1"/>
      <charset val="2"/>
    </font>
    <font>
      <sz val="19"/>
      <color theme="0" tint="-0.14999847407452621"/>
      <name val="Wingdings 2"/>
      <family val="1"/>
      <charset val="2"/>
    </font>
    <font>
      <b/>
      <sz val="14"/>
      <color theme="2"/>
      <name val="Wingdings"/>
      <charset val="2"/>
    </font>
    <font>
      <b/>
      <sz val="16"/>
      <color theme="2"/>
      <name val="Wingdings"/>
      <charset val="2"/>
    </font>
    <font>
      <sz val="14"/>
      <color theme="0" tint="-0.14999847407452621"/>
      <name val="Agency FB"/>
      <family val="2"/>
    </font>
    <font>
      <sz val="23"/>
      <color theme="0" tint="-0.14999847407452621"/>
      <name val="Wingdings"/>
      <charset val="2"/>
    </font>
    <font>
      <b/>
      <sz val="10"/>
      <color theme="0"/>
      <name val="Calibri"/>
      <family val="2"/>
    </font>
    <font>
      <sz val="4"/>
      <color rgb="FFFF0000"/>
      <name val="Calibri"/>
      <family val="2"/>
      <scheme val="minor"/>
    </font>
    <font>
      <sz val="8"/>
      <color theme="1" tint="0.34998626667073579"/>
      <name val="Agency FB"/>
      <family val="2"/>
    </font>
    <font>
      <sz val="14"/>
      <color theme="0" tint="-0.499984740745262"/>
      <name val="Webdings"/>
      <family val="1"/>
      <charset val="2"/>
    </font>
    <font>
      <b/>
      <sz val="8"/>
      <color theme="0" tint="-0.499984740745262"/>
      <name val="Calibri"/>
      <family val="2"/>
      <scheme val="minor"/>
    </font>
    <font>
      <b/>
      <sz val="11"/>
      <color theme="0" tint="-0.249977111117893"/>
      <name val="Wingdings 2"/>
      <family val="1"/>
      <charset val="2"/>
    </font>
    <font>
      <b/>
      <sz val="14"/>
      <color theme="1" tint="0.249977111117893"/>
      <name val="Calibri"/>
      <family val="2"/>
      <scheme val="minor"/>
    </font>
    <font>
      <sz val="7"/>
      <color theme="1" tint="0.249977111117893"/>
      <name val="Agency FB"/>
      <family val="2"/>
    </font>
    <font>
      <sz val="5"/>
      <color rgb="FFFF0000"/>
      <name val="Calibri"/>
      <family val="2"/>
      <scheme val="minor"/>
    </font>
    <font>
      <b/>
      <sz val="8"/>
      <color rgb="FF9D9D9D"/>
      <name val="Calibri"/>
      <family val="2"/>
      <scheme val="minor"/>
    </font>
    <font>
      <sz val="7"/>
      <color theme="1" tint="4.9989318521683403E-2"/>
      <name val="Calibri"/>
      <family val="2"/>
      <scheme val="minor"/>
    </font>
    <font>
      <b/>
      <sz val="7"/>
      <color theme="1" tint="4.9989318521683403E-2"/>
      <name val="Agency FB"/>
      <family val="2"/>
    </font>
    <font>
      <sz val="7"/>
      <color theme="1" tint="4.9989318521683403E-2"/>
      <name val="Agency FB"/>
      <family val="2"/>
    </font>
    <font>
      <b/>
      <sz val="14"/>
      <color theme="1" tint="0.34998626667073579"/>
      <name val="Agency FB"/>
      <family val="2"/>
    </font>
    <font>
      <b/>
      <sz val="12"/>
      <color theme="1" tint="0.14999847407452621"/>
      <name val="Wingdings 2"/>
      <family val="1"/>
      <charset val="2"/>
    </font>
    <font>
      <b/>
      <sz val="12"/>
      <color theme="1" tint="4.9989318521683403E-2"/>
      <name val="Wingdings 2"/>
      <family val="1"/>
      <charset val="2"/>
    </font>
    <font>
      <b/>
      <sz val="11"/>
      <color theme="1" tint="4.9989318521683403E-2"/>
      <name val="Calibri"/>
      <family val="2"/>
      <scheme val="minor"/>
    </font>
    <font>
      <sz val="5"/>
      <color theme="1" tint="0.14999847407452621"/>
      <name val="Calibri"/>
      <family val="2"/>
      <scheme val="minor"/>
    </font>
    <font>
      <sz val="10"/>
      <color theme="1" tint="0.34998626667073579"/>
      <name val="Calibri"/>
      <family val="2"/>
      <scheme val="minor"/>
    </font>
    <font>
      <b/>
      <sz val="10"/>
      <color theme="1" tint="0.499984740745262"/>
      <name val="Agency FB"/>
      <family val="2"/>
    </font>
    <font>
      <sz val="9"/>
      <color rgb="FF0070C0"/>
      <name val="Calibri"/>
      <family val="2"/>
      <scheme val="minor"/>
    </font>
    <font>
      <sz val="9"/>
      <color rgb="FF9900CC"/>
      <name val="Calibri"/>
      <family val="2"/>
      <scheme val="minor"/>
    </font>
    <font>
      <sz val="9"/>
      <color rgb="FFFF00FF"/>
      <name val="Calibri"/>
      <family val="2"/>
      <scheme val="minor"/>
    </font>
    <font>
      <sz val="9"/>
      <color rgb="FFC00000"/>
      <name val="Calibri"/>
      <family val="2"/>
      <scheme val="minor"/>
    </font>
    <font>
      <sz val="9"/>
      <color rgb="FFFF9933"/>
      <name val="Calibri"/>
      <family val="2"/>
      <scheme val="minor"/>
    </font>
    <font>
      <sz val="9"/>
      <color rgb="FFFFC000"/>
      <name val="Calibri"/>
      <family val="2"/>
      <scheme val="minor"/>
    </font>
    <font>
      <sz val="9"/>
      <color rgb="FF00B050"/>
      <name val="Calibri"/>
      <family val="2"/>
      <scheme val="minor"/>
    </font>
    <font>
      <sz val="9"/>
      <color rgb="FF00B0F0"/>
      <name val="Calibri"/>
      <family val="2"/>
      <scheme val="minor"/>
    </font>
    <font>
      <sz val="6"/>
      <color rgb="FFFF0000"/>
      <name val="Calibri"/>
      <family val="2"/>
      <scheme val="minor"/>
    </font>
    <font>
      <b/>
      <sz val="7"/>
      <color theme="1" tint="0.499984740745262"/>
      <name val="Agency FB"/>
      <family val="2"/>
    </font>
    <font>
      <b/>
      <sz val="12"/>
      <color theme="1" tint="0.34998626667073579"/>
      <name val="Calibri"/>
      <family val="2"/>
      <scheme val="minor"/>
    </font>
    <font>
      <sz val="42"/>
      <color theme="1" tint="0.34998626667073579"/>
      <name val="Wingdings 2"/>
      <family val="1"/>
      <charset val="2"/>
    </font>
    <font>
      <sz val="38"/>
      <color theme="1" tint="0.34998626667073579"/>
      <name val="Agency FB"/>
      <family val="2"/>
    </font>
    <font>
      <b/>
      <sz val="10"/>
      <color theme="1" tint="0.249977111117893"/>
      <name val="Agency FB"/>
      <family val="2"/>
    </font>
    <font>
      <sz val="20"/>
      <color theme="0"/>
      <name val="Calibri"/>
      <family val="2"/>
      <scheme val="minor"/>
    </font>
    <font>
      <b/>
      <sz val="7"/>
      <color rgb="FFFF0000"/>
      <name val="Lucida Console"/>
      <family val="3"/>
    </font>
    <font>
      <b/>
      <sz val="10"/>
      <color theme="1" tint="0.14999847407452621"/>
      <name val="Calibri"/>
      <family val="2"/>
      <scheme val="minor"/>
    </font>
    <font>
      <sz val="10"/>
      <color theme="0" tint="-0.34998626667073579"/>
      <name val="Calibri"/>
      <family val="2"/>
    </font>
    <font>
      <sz val="27"/>
      <color theme="0" tint="-0.249977111117893"/>
      <name val="Calibri"/>
      <family val="2"/>
      <scheme val="minor"/>
    </font>
    <font>
      <sz val="27"/>
      <color theme="0"/>
      <name val="Calibri"/>
      <family val="2"/>
      <scheme val="minor"/>
    </font>
    <font>
      <b/>
      <sz val="10"/>
      <color theme="0" tint="-0.34998626667073579"/>
      <name val="Agency FB"/>
      <family val="2"/>
    </font>
    <font>
      <sz val="14"/>
      <color rgb="FFFF0000"/>
      <name val="Calibri"/>
      <family val="2"/>
      <scheme val="minor"/>
    </font>
    <font>
      <sz val="10"/>
      <color theme="1"/>
      <name val="Wingdings"/>
      <charset val="2"/>
    </font>
    <font>
      <b/>
      <sz val="12"/>
      <color theme="1" tint="0.14999847407452621"/>
      <name val="Wingdings 3"/>
      <family val="1"/>
      <charset val="2"/>
    </font>
    <font>
      <b/>
      <sz val="17"/>
      <color theme="0" tint="-0.499984740745262"/>
      <name val="Wingdings 2"/>
      <family val="1"/>
      <charset val="2"/>
    </font>
    <font>
      <sz val="10"/>
      <color theme="0"/>
      <name val="Wingdings"/>
      <charset val="2"/>
    </font>
    <font>
      <sz val="10"/>
      <color theme="0"/>
      <name val="Wingdings 2"/>
      <family val="1"/>
      <charset val="2"/>
    </font>
    <font>
      <b/>
      <sz val="22"/>
      <color theme="1" tint="0.34998626667073579"/>
      <name val="Calibri"/>
      <family val="2"/>
      <scheme val="minor"/>
    </font>
    <font>
      <b/>
      <sz val="18"/>
      <color theme="1" tint="0.34998626667073579"/>
      <name val="Wingdings 2"/>
      <family val="1"/>
      <charset val="2"/>
    </font>
    <font>
      <b/>
      <sz val="18"/>
      <color theme="1" tint="0.34998626667073579"/>
      <name val="Calibri"/>
      <family val="2"/>
      <scheme val="minor"/>
    </font>
    <font>
      <sz val="25"/>
      <color rgb="FF00B0F0"/>
      <name val="Wingdings"/>
      <charset val="2"/>
    </font>
    <font>
      <sz val="10"/>
      <color theme="1" tint="0.14999847407452621"/>
      <name val="Calibri"/>
      <family val="2"/>
      <scheme val="minor"/>
    </font>
    <font>
      <sz val="25"/>
      <color rgb="FF00B050"/>
      <name val="Wingdings 2"/>
      <family val="1"/>
      <charset val="2"/>
    </font>
    <font>
      <sz val="25"/>
      <color rgb="FF00B050"/>
      <name val="Wingdings"/>
      <charset val="2"/>
    </font>
    <font>
      <sz val="25"/>
      <color rgb="FFFFC000"/>
      <name val="Wingdings"/>
      <charset val="2"/>
    </font>
    <font>
      <sz val="25"/>
      <color rgb="FFFF6600"/>
      <name val="Wingdings"/>
      <charset val="2"/>
    </font>
    <font>
      <sz val="25"/>
      <color rgb="FFC00000"/>
      <name val="Wingdings 2"/>
      <family val="1"/>
      <charset val="2"/>
    </font>
    <font>
      <sz val="25"/>
      <color rgb="FFC00000"/>
      <name val="Wingdings"/>
      <charset val="2"/>
    </font>
    <font>
      <sz val="25"/>
      <color rgb="FFFF0000"/>
      <name val="Wingdings"/>
      <charset val="2"/>
    </font>
    <font>
      <sz val="25"/>
      <color rgb="FFFF00FF"/>
      <name val="Wingdings"/>
      <charset val="2"/>
    </font>
    <font>
      <sz val="25"/>
      <color rgb="FF9900CC"/>
      <name val="Wingdings 2"/>
      <family val="1"/>
      <charset val="2"/>
    </font>
    <font>
      <sz val="25"/>
      <color rgb="FF9900CC"/>
      <name val="Wingdings"/>
      <charset val="2"/>
    </font>
    <font>
      <sz val="25"/>
      <color rgb="FF0070C0"/>
      <name val="Wingdings"/>
      <charset val="2"/>
    </font>
    <font>
      <b/>
      <sz val="18"/>
      <color theme="0"/>
      <name val="Wingdings 2"/>
      <family val="1"/>
      <charset val="2"/>
    </font>
    <font>
      <b/>
      <sz val="6"/>
      <color theme="0" tint="-0.249977111117893"/>
      <name val="Calibri"/>
      <family val="2"/>
      <scheme val="minor"/>
    </font>
    <font>
      <b/>
      <sz val="22"/>
      <color theme="0" tint="-0.249977111117893"/>
      <name val="Calibri"/>
      <family val="2"/>
      <scheme val="minor"/>
    </font>
    <font>
      <b/>
      <sz val="18"/>
      <color theme="1"/>
      <name val="Wingdings 2"/>
      <family val="1"/>
      <charset val="2"/>
    </font>
    <font>
      <b/>
      <sz val="22"/>
      <color rgb="FF00B0F0"/>
      <name val="Calibri"/>
      <family val="2"/>
      <scheme val="minor"/>
    </font>
    <font>
      <b/>
      <sz val="22"/>
      <color rgb="FF00B050"/>
      <name val="Calibri"/>
      <family val="2"/>
      <scheme val="minor"/>
    </font>
    <font>
      <b/>
      <sz val="22"/>
      <color rgb="FFFF6600"/>
      <name val="Calibri"/>
      <family val="2"/>
      <scheme val="minor"/>
    </font>
    <font>
      <b/>
      <sz val="22"/>
      <color rgb="FFC00000"/>
      <name val="Calibri"/>
      <family val="2"/>
      <scheme val="minor"/>
    </font>
    <font>
      <b/>
      <sz val="22"/>
      <color rgb="FFFF0000"/>
      <name val="Calibri"/>
      <family val="2"/>
      <scheme val="minor"/>
    </font>
    <font>
      <b/>
      <sz val="22"/>
      <color rgb="FFFF00FF"/>
      <name val="Calibri"/>
      <family val="2"/>
      <scheme val="minor"/>
    </font>
    <font>
      <b/>
      <sz val="22"/>
      <color rgb="FF9900CC"/>
      <name val="Calibri"/>
      <family val="2"/>
      <scheme val="minor"/>
    </font>
    <font>
      <b/>
      <sz val="22"/>
      <color rgb="FF0070C0"/>
      <name val="Calibri"/>
      <family val="2"/>
      <scheme val="minor"/>
    </font>
    <font>
      <b/>
      <sz val="18"/>
      <color rgb="FF00B050"/>
      <name val="Wingdings 2"/>
      <family val="1"/>
      <charset val="2"/>
    </font>
    <font>
      <b/>
      <sz val="18"/>
      <color theme="0"/>
      <name val="Calibri"/>
      <family val="2"/>
      <scheme val="minor"/>
    </font>
    <font>
      <b/>
      <sz val="18"/>
      <color rgb="FF0070C0"/>
      <name val="Wingdings 2"/>
      <family val="1"/>
      <charset val="2"/>
    </font>
    <font>
      <b/>
      <sz val="18"/>
      <color rgb="FF9900CC"/>
      <name val="Wingdings 2"/>
      <family val="1"/>
      <charset val="2"/>
    </font>
    <font>
      <b/>
      <sz val="18"/>
      <color rgb="FFFF00FF"/>
      <name val="Wingdings 2"/>
      <family val="1"/>
      <charset val="2"/>
    </font>
    <font>
      <b/>
      <sz val="18"/>
      <color rgb="FF00B0F0"/>
      <name val="Wingdings 2"/>
      <family val="1"/>
      <charset val="2"/>
    </font>
    <font>
      <b/>
      <sz val="18"/>
      <color rgb="FFFFC000"/>
      <name val="Wingdings 2"/>
      <family val="1"/>
      <charset val="2"/>
    </font>
    <font>
      <b/>
      <sz val="18"/>
      <color rgb="FFFF0000"/>
      <name val="Wingdings 2"/>
      <family val="1"/>
      <charset val="2"/>
    </font>
    <font>
      <b/>
      <sz val="18"/>
      <color rgb="FFC00000"/>
      <name val="Wingdings 2"/>
      <family val="1"/>
      <charset val="2"/>
    </font>
    <font>
      <b/>
      <sz val="18"/>
      <color rgb="FFFF6600"/>
      <name val="Wingdings 2"/>
      <family val="1"/>
      <charset val="2"/>
    </font>
    <font>
      <i/>
      <sz val="9"/>
      <color theme="0"/>
      <name val="Calibri"/>
      <family val="2"/>
      <scheme val="minor"/>
    </font>
    <font>
      <i/>
      <sz val="8"/>
      <color theme="0"/>
      <name val="Calibri"/>
      <family val="2"/>
      <scheme val="minor"/>
    </font>
    <font>
      <i/>
      <sz val="8"/>
      <color theme="1" tint="0.34998626667073579"/>
      <name val="Calibri"/>
      <family val="2"/>
      <scheme val="minor"/>
    </font>
    <font>
      <b/>
      <i/>
      <sz val="10"/>
      <color theme="1"/>
      <name val="Calibri"/>
      <family val="2"/>
      <scheme val="minor"/>
    </font>
    <font>
      <b/>
      <sz val="8"/>
      <color theme="1" tint="0.34998626667073579"/>
      <name val="Calibri"/>
      <family val="2"/>
      <scheme val="minor"/>
    </font>
    <font>
      <b/>
      <sz val="17"/>
      <color theme="1" tint="0.34998626667073579"/>
      <name val="Wingdings 2"/>
      <family val="1"/>
      <charset val="2"/>
    </font>
    <font>
      <b/>
      <sz val="50"/>
      <color rgb="FFC00000"/>
      <name val="Agency FB"/>
      <family val="2"/>
    </font>
    <font>
      <b/>
      <sz val="50"/>
      <color rgb="FF00B0F0"/>
      <name val="Agency FB"/>
      <family val="2"/>
    </font>
    <font>
      <b/>
      <sz val="50"/>
      <color rgb="FF00B050"/>
      <name val="Agency FB"/>
      <family val="2"/>
    </font>
    <font>
      <b/>
      <sz val="50"/>
      <color rgb="FFFFC000"/>
      <name val="Agency FB"/>
      <family val="2"/>
    </font>
    <font>
      <b/>
      <sz val="50"/>
      <color rgb="FFFF6600"/>
      <name val="Agency FB"/>
      <family val="2"/>
    </font>
    <font>
      <b/>
      <sz val="50"/>
      <color rgb="FFFF0000"/>
      <name val="Agency FB"/>
      <family val="2"/>
    </font>
    <font>
      <b/>
      <sz val="50"/>
      <color rgb="FFFF00FF"/>
      <name val="Agency FB"/>
      <family val="2"/>
    </font>
    <font>
      <b/>
      <sz val="50"/>
      <color rgb="FF9900CC"/>
      <name val="Agency FB"/>
      <family val="2"/>
    </font>
    <font>
      <b/>
      <sz val="50"/>
      <color rgb="FF0070C0"/>
      <name val="Agency FB"/>
      <family val="2"/>
    </font>
    <font>
      <b/>
      <sz val="50"/>
      <color theme="1" tint="0.249977111117893"/>
      <name val="Agency FB"/>
      <family val="2"/>
    </font>
    <font>
      <sz val="6"/>
      <color theme="1" tint="0.249977111117893"/>
      <name val="Agency FB"/>
      <family val="2"/>
    </font>
    <font>
      <sz val="11"/>
      <color theme="0" tint="-0.14999847407452621"/>
      <name val="Wingdings 3"/>
      <family val="1"/>
      <charset val="2"/>
    </font>
    <font>
      <sz val="11"/>
      <color theme="0"/>
      <name val="Wingdings 2"/>
      <family val="1"/>
      <charset val="2"/>
    </font>
    <font>
      <sz val="2"/>
      <color theme="0"/>
      <name val="Calibri"/>
      <family val="2"/>
      <scheme val="minor"/>
    </font>
    <font>
      <b/>
      <sz val="17"/>
      <color theme="0"/>
      <name val="Wingdings 2"/>
      <family val="1"/>
      <charset val="2"/>
    </font>
    <font>
      <sz val="6"/>
      <color theme="0" tint="-0.34998626667073579"/>
      <name val="Lucida Console"/>
      <family val="3"/>
    </font>
    <font>
      <b/>
      <sz val="22"/>
      <color rgb="FF1C1C1C"/>
      <name val="Wingdings"/>
      <charset val="2"/>
    </font>
    <font>
      <b/>
      <sz val="17"/>
      <color rgb="FF1C1C1C"/>
      <name val="Agency FB"/>
      <family val="2"/>
    </font>
    <font>
      <b/>
      <sz val="10"/>
      <color rgb="FF1C1C1C"/>
      <name val="Agency FB"/>
      <family val="2"/>
    </font>
    <font>
      <b/>
      <sz val="20"/>
      <color rgb="FF1C1C1C"/>
      <name val="Wingdings"/>
      <charset val="2"/>
    </font>
    <font>
      <sz val="20"/>
      <color rgb="FF1C1C1C"/>
      <name val="Wingdings"/>
      <charset val="2"/>
    </font>
    <font>
      <sz val="22"/>
      <color rgb="FF1C1C1C"/>
      <name val="Wingdings"/>
      <charset val="2"/>
    </font>
    <font>
      <sz val="20"/>
      <color rgb="FF1C1C1C"/>
      <name val="Wingdings 2"/>
      <family val="1"/>
      <charset val="2"/>
    </font>
    <font>
      <sz val="23"/>
      <color rgb="FF1C1C1C"/>
      <name val="Agency FB"/>
      <family val="2"/>
    </font>
    <font>
      <sz val="21"/>
      <color rgb="FF1C1C1C"/>
      <name val="Agency FB"/>
      <family val="2"/>
    </font>
    <font>
      <sz val="22"/>
      <color rgb="FF1C1C1C"/>
      <name val="Wingdings 2"/>
      <family val="1"/>
      <charset val="2"/>
    </font>
    <font>
      <sz val="24"/>
      <color rgb="FF1C1C1C"/>
      <name val="Wingdings"/>
      <charset val="2"/>
    </font>
    <font>
      <sz val="26"/>
      <color rgb="FF1C1C1C"/>
      <name val="Wingdings"/>
      <charset val="2"/>
    </font>
    <font>
      <b/>
      <sz val="19"/>
      <color rgb="FF1C1C1C"/>
      <name val="Wingdings 3"/>
      <family val="1"/>
      <charset val="2"/>
    </font>
    <font>
      <sz val="23"/>
      <color rgb="FF1C1C1C"/>
      <name val="Wingdings 2"/>
      <family val="1"/>
      <charset val="2"/>
    </font>
    <font>
      <sz val="25"/>
      <color rgb="FF1C1C1C"/>
      <name val="Agency FB"/>
      <family val="2"/>
    </font>
    <font>
      <sz val="8"/>
      <color theme="1" tint="0.14999847407452621"/>
      <name val="Calibri"/>
      <family val="2"/>
      <scheme val="minor"/>
    </font>
    <font>
      <b/>
      <sz val="9"/>
      <color rgb="FF00B0F0"/>
      <name val="Agency FB"/>
      <family val="2"/>
    </font>
    <font>
      <b/>
      <sz val="9"/>
      <color rgb="FF00B050"/>
      <name val="Agency FB"/>
      <family val="2"/>
    </font>
    <font>
      <b/>
      <sz val="9"/>
      <color rgb="FFFFC000"/>
      <name val="Agency FB"/>
      <family val="2"/>
    </font>
    <font>
      <b/>
      <sz val="9"/>
      <color rgb="FFFF6600"/>
      <name val="Agency FB"/>
      <family val="2"/>
    </font>
    <font>
      <b/>
      <sz val="9"/>
      <color rgb="FFC00000"/>
      <name val="Agency FB"/>
      <family val="2"/>
    </font>
    <font>
      <b/>
      <sz val="9"/>
      <color rgb="FFFF00FF"/>
      <name val="Agency FB"/>
      <family val="2"/>
    </font>
    <font>
      <b/>
      <sz val="9"/>
      <color rgb="FF9900CC"/>
      <name val="Agency FB"/>
      <family val="2"/>
    </font>
    <font>
      <b/>
      <sz val="9"/>
      <color rgb="FF0070C0"/>
      <name val="Agency FB"/>
      <family val="2"/>
    </font>
    <font>
      <b/>
      <sz val="9"/>
      <color rgb="FFFF0000"/>
      <name val="Agency FB"/>
      <family val="2"/>
    </font>
    <font>
      <sz val="6"/>
      <color theme="2"/>
      <name val="Agency FB"/>
      <family val="2"/>
    </font>
    <font>
      <b/>
      <sz val="65"/>
      <color rgb="FFFF0000"/>
      <name val="Agency FB"/>
      <family val="2"/>
    </font>
    <font>
      <sz val="6"/>
      <color rgb="FFFF0000"/>
      <name val="Agency FB"/>
      <family val="2"/>
    </font>
    <font>
      <b/>
      <sz val="15"/>
      <color theme="1"/>
      <name val="Calibri"/>
      <family val="2"/>
      <scheme val="minor"/>
    </font>
    <font>
      <sz val="10"/>
      <color theme="0" tint="-0.249977111117893"/>
      <name val="Wingdings"/>
      <charset val="2"/>
    </font>
    <font>
      <sz val="8"/>
      <color theme="1"/>
      <name val="Wingdings"/>
      <charset val="2"/>
    </font>
    <font>
      <b/>
      <sz val="14"/>
      <color rgb="FFFFC000"/>
      <name val="Calibri"/>
      <family val="2"/>
      <scheme val="minor"/>
    </font>
    <font>
      <sz val="22"/>
      <color rgb="FFFFC000"/>
      <name val="Wingdings 3"/>
      <family val="1"/>
      <charset val="2"/>
    </font>
    <font>
      <b/>
      <sz val="18"/>
      <color theme="0" tint="-0.34998626667073579"/>
      <name val="Wingdings 2"/>
      <family val="1"/>
      <charset val="2"/>
    </font>
    <font>
      <sz val="20"/>
      <color theme="0"/>
      <name val="Segoe UI Symbol"/>
      <family val="2"/>
    </font>
    <font>
      <sz val="7"/>
      <color theme="1" tint="0.249977111117893"/>
      <name val="Calibri"/>
      <family val="2"/>
      <scheme val="minor"/>
    </font>
    <font>
      <sz val="12"/>
      <color theme="0" tint="-0.249977111117893"/>
      <name val="Calibri"/>
      <family val="2"/>
    </font>
    <font>
      <sz val="13"/>
      <color theme="0"/>
      <name val="Segoe UI Symbol"/>
      <family val="2"/>
    </font>
    <font>
      <sz val="13"/>
      <color theme="0"/>
      <name val="Webdings"/>
      <family val="1"/>
      <charset val="2"/>
    </font>
    <font>
      <sz val="4"/>
      <color theme="1"/>
      <name val="Calibri"/>
      <family val="2"/>
      <scheme val="minor"/>
    </font>
    <font>
      <sz val="7"/>
      <color theme="0" tint="-0.249977111117893"/>
      <name val="Calibri"/>
      <family val="2"/>
      <scheme val="minor"/>
    </font>
    <font>
      <b/>
      <sz val="7"/>
      <color theme="0" tint="-4.9989318521683403E-2"/>
      <name val="Agency FB"/>
      <family val="2"/>
    </font>
    <font>
      <b/>
      <sz val="11"/>
      <color theme="0" tint="-0.34998626667073579"/>
      <name val="Calibri"/>
      <family val="2"/>
      <scheme val="minor"/>
    </font>
    <font>
      <sz val="20"/>
      <color theme="1"/>
      <name val="Segoe UI Symbol"/>
      <family val="2"/>
    </font>
    <font>
      <b/>
      <sz val="8"/>
      <color theme="0"/>
      <name val="Agency FB"/>
      <family val="2"/>
    </font>
    <font>
      <b/>
      <sz val="7"/>
      <color theme="0" tint="-0.34998626667073579"/>
      <name val="Agency FB"/>
      <family val="2"/>
    </font>
    <font>
      <sz val="7"/>
      <color theme="0" tint="-0.34998626667073579"/>
      <name val="Calibri"/>
      <family val="2"/>
      <scheme val="minor"/>
    </font>
    <font>
      <b/>
      <sz val="8"/>
      <color theme="0" tint="-0.14999847407452621"/>
      <name val="Calibri"/>
      <family val="2"/>
    </font>
    <font>
      <sz val="6"/>
      <color theme="0" tint="-0.34998626667073579"/>
      <name val="Calibri"/>
      <family val="2"/>
      <scheme val="minor"/>
    </font>
    <font>
      <sz val="17"/>
      <color theme="0"/>
      <name val="Segoe UI Symbol"/>
      <family val="2"/>
    </font>
    <font>
      <sz val="17"/>
      <color theme="1"/>
      <name val="Segoe UI Symbol"/>
      <family val="2"/>
    </font>
    <font>
      <sz val="10"/>
      <color theme="0" tint="-0.249977111117893"/>
      <name val="Agency FB"/>
      <family val="2"/>
    </font>
    <font>
      <b/>
      <sz val="11"/>
      <color rgb="FFFF0000"/>
      <name val="Wingdings 3"/>
      <family val="1"/>
      <charset val="2"/>
    </font>
    <font>
      <sz val="15"/>
      <color theme="0"/>
      <name val="Agency FB"/>
      <family val="2"/>
    </font>
    <font>
      <sz val="15"/>
      <color theme="2" tint="-0.89999084444715716"/>
      <name val="Agency FB"/>
      <family val="2"/>
    </font>
    <font>
      <sz val="20"/>
      <color theme="0" tint="-0.249977111117893"/>
      <name val="Segoe UI Symbol"/>
      <family val="2"/>
    </font>
    <font>
      <u/>
      <sz val="9"/>
      <color theme="1"/>
      <name val="Calibri"/>
      <family val="2"/>
      <scheme val="minor"/>
    </font>
    <font>
      <b/>
      <sz val="50"/>
      <color theme="0" tint="-0.249977111117893"/>
      <name val="Agency FB"/>
      <family val="2"/>
    </font>
    <font>
      <sz val="11"/>
      <color theme="0" tint="-0.249977111117893"/>
      <name val="Wingdings 3"/>
      <family val="1"/>
      <charset val="2"/>
    </font>
    <font>
      <sz val="11"/>
      <color theme="0" tint="-0.249977111117893"/>
      <name val="Wingdings 2"/>
      <family val="1"/>
      <charset val="2"/>
    </font>
    <font>
      <sz val="4"/>
      <color theme="0"/>
      <name val="Calibri"/>
      <family val="2"/>
      <scheme val="minor"/>
    </font>
    <font>
      <sz val="8"/>
      <color theme="0"/>
      <name val="Wingdings"/>
      <charset val="2"/>
    </font>
    <font>
      <sz val="25"/>
      <color theme="0"/>
      <name val="Segoe UI Symbol"/>
      <family val="2"/>
    </font>
    <font>
      <sz val="25"/>
      <color theme="1" tint="0.14999847407452621"/>
      <name val="Segoe UI Symbol"/>
      <family val="2"/>
    </font>
    <font>
      <sz val="25"/>
      <color rgb="FFFF6600"/>
      <name val="Segoe UI Symbol"/>
      <family val="2"/>
    </font>
    <font>
      <sz val="15"/>
      <color theme="0" tint="-0.249977111117893"/>
      <name val="Calibri"/>
      <family val="2"/>
      <scheme val="minor"/>
    </font>
    <font>
      <sz val="4"/>
      <color theme="0" tint="-0.249977111117893"/>
      <name val="Calibri"/>
      <family val="2"/>
      <scheme val="minor"/>
    </font>
    <font>
      <sz val="2"/>
      <color theme="1"/>
      <name val="Calibri"/>
      <family val="2"/>
      <scheme val="minor"/>
    </font>
    <font>
      <sz val="11"/>
      <color theme="0" tint="-0.14999847407452621"/>
      <name val="Calibri"/>
      <family val="2"/>
      <scheme val="minor"/>
    </font>
    <font>
      <sz val="11"/>
      <color theme="1"/>
      <name val="Agency FB"/>
      <family val="2"/>
    </font>
    <font>
      <sz val="8"/>
      <color theme="0" tint="-4.9989318521683403E-2"/>
      <name val="Calibri"/>
      <family val="2"/>
      <scheme val="minor"/>
    </font>
    <font>
      <sz val="5"/>
      <color theme="0" tint="-0.14999847407452621"/>
      <name val="Calibri"/>
      <family val="2"/>
      <scheme val="minor"/>
    </font>
    <font>
      <sz val="6"/>
      <color theme="2"/>
      <name val="Calibri"/>
      <family val="2"/>
      <scheme val="minor"/>
    </font>
    <font>
      <sz val="11"/>
      <color theme="1" tint="0.34998626667073579"/>
      <name val="Calibri"/>
      <family val="2"/>
      <scheme val="minor"/>
    </font>
    <font>
      <sz val="25"/>
      <color theme="1" tint="4.9989318521683403E-2"/>
      <name val="Segoe UI Symbol"/>
      <family val="2"/>
    </font>
    <font>
      <sz val="6"/>
      <color theme="1" tint="4.9989318521683403E-2"/>
      <name val="Calibri"/>
      <family val="2"/>
      <scheme val="minor"/>
    </font>
    <font>
      <b/>
      <sz val="6"/>
      <color theme="1" tint="4.9989318521683403E-2"/>
      <name val="Calibri"/>
      <family val="2"/>
      <scheme val="minor"/>
    </font>
    <font>
      <sz val="10"/>
      <color theme="1" tint="4.9989318521683403E-2"/>
      <name val="Wingdings"/>
      <charset val="2"/>
    </font>
    <font>
      <sz val="10"/>
      <color theme="1" tint="4.9989318521683403E-2"/>
      <name val="Wingdings 2"/>
      <family val="1"/>
      <charset val="2"/>
    </font>
    <font>
      <sz val="5"/>
      <color theme="0" tint="-0.34998626667073579"/>
      <name val="Calibri"/>
      <family val="2"/>
      <scheme val="minor"/>
    </font>
    <font>
      <sz val="8"/>
      <color theme="1" tint="4.9989318521683403E-2"/>
      <name val="Calibri"/>
      <family val="2"/>
      <scheme val="minor"/>
    </font>
    <font>
      <sz val="25"/>
      <color theme="1"/>
      <name val="Segoe UI Symbol"/>
      <family val="2"/>
    </font>
    <font>
      <sz val="40"/>
      <color theme="1"/>
      <name val="Segoe UI Symbol"/>
      <family val="2"/>
    </font>
    <font>
      <i/>
      <sz val="9"/>
      <color theme="0" tint="-0.249977111117893"/>
      <name val="Calibri"/>
      <family val="2"/>
      <scheme val="minor"/>
    </font>
    <font>
      <sz val="14"/>
      <color theme="0"/>
      <name val="Wingdings"/>
      <family val="1"/>
      <charset val="2"/>
    </font>
    <font>
      <sz val="12"/>
      <color theme="0"/>
      <name val="Segoe UI Symbol"/>
      <family val="2"/>
    </font>
    <font>
      <sz val="14"/>
      <color theme="0" tint="-0.249977111117893"/>
      <name val="Webdings"/>
      <family val="1"/>
      <charset val="2"/>
    </font>
    <font>
      <sz val="15"/>
      <color theme="0" tint="-0.499984740745262"/>
      <name val="Segoe UI Symbol"/>
      <family val="2"/>
    </font>
    <font>
      <sz val="17"/>
      <color theme="0" tint="-0.499984740745262"/>
      <name val="Segoe UI Symbol"/>
      <family val="2"/>
    </font>
    <font>
      <sz val="12"/>
      <color theme="0" tint="-0.249977111117893"/>
      <name val="Segoe UI Symbol"/>
      <family val="2"/>
    </font>
    <font>
      <b/>
      <sz val="7"/>
      <color theme="1"/>
      <name val="Lucida Console"/>
      <family val="3"/>
    </font>
    <font>
      <sz val="6"/>
      <color theme="0" tint="-0.499984740745262"/>
      <name val="Agency FB"/>
      <family val="2"/>
    </font>
    <font>
      <sz val="14"/>
      <color rgb="FF00B0F0"/>
      <name val="Wingdings"/>
      <charset val="2"/>
    </font>
    <font>
      <sz val="14"/>
      <color rgb="FF00B050"/>
      <name val="Wingdings"/>
      <charset val="2"/>
    </font>
    <font>
      <sz val="14"/>
      <color rgb="FFFFC000"/>
      <name val="Wingdings"/>
      <charset val="2"/>
    </font>
    <font>
      <sz val="14"/>
      <color rgb="FFFF6600"/>
      <name val="Wingdings"/>
      <charset val="2"/>
    </font>
    <font>
      <sz val="14"/>
      <color rgb="FFC00000"/>
      <name val="Wingdings"/>
      <charset val="2"/>
    </font>
    <font>
      <sz val="14"/>
      <color rgb="FFFF0000"/>
      <name val="Wingdings"/>
      <charset val="2"/>
    </font>
    <font>
      <sz val="14"/>
      <color rgb="FFFF00FF"/>
      <name val="Wingdings"/>
      <charset val="2"/>
    </font>
    <font>
      <sz val="14"/>
      <color rgb="FF9900CC"/>
      <name val="Wingdings"/>
      <charset val="2"/>
    </font>
    <font>
      <sz val="14"/>
      <color rgb="FF0070C0"/>
      <name val="Wingdings"/>
      <charset val="2"/>
    </font>
    <font>
      <sz val="14"/>
      <color theme="0" tint="-0.14999847407452621"/>
      <name val="Wingdings"/>
      <charset val="2"/>
    </font>
    <font>
      <b/>
      <sz val="11"/>
      <color theme="0" tint="-0.249977111117893"/>
      <name val="Calibri"/>
      <family val="2"/>
      <scheme val="minor"/>
    </font>
    <font>
      <sz val="10"/>
      <color theme="1"/>
      <name val="Segoe UI Symbol"/>
      <family val="2"/>
    </font>
    <font>
      <sz val="15"/>
      <color theme="1"/>
      <name val="Segoe UI Symbol"/>
      <family val="2"/>
    </font>
    <font>
      <sz val="18"/>
      <color theme="1"/>
      <name val="Segoe UI Symbol"/>
      <family val="2"/>
    </font>
    <font>
      <sz val="20"/>
      <color theme="1" tint="0.249977111117893"/>
      <name val="Segoe UI Symbol"/>
      <family val="2"/>
    </font>
    <font>
      <sz val="17"/>
      <color theme="1"/>
      <name val="Agency FB"/>
      <family val="2"/>
    </font>
    <font>
      <sz val="11"/>
      <color theme="0" tint="-0.249977111117893"/>
      <name val="Segoe UI Symbol"/>
      <family val="2"/>
    </font>
    <font>
      <sz val="15"/>
      <color theme="1" tint="0.249977111117893"/>
      <name val="Segoe UI Symbol"/>
      <family val="2"/>
    </font>
    <font>
      <sz val="15"/>
      <color theme="0" tint="-0.34998626667073579"/>
      <name val="Segoe UI Symbol"/>
      <family val="2"/>
    </font>
    <font>
      <sz val="10"/>
      <color theme="0" tint="-4.9989318521683403E-2"/>
      <name val="Calibri"/>
      <family val="2"/>
      <scheme val="minor"/>
    </font>
    <font>
      <sz val="24"/>
      <color theme="1" tint="0.249977111117893"/>
      <name val="Segoe UI Symbol"/>
      <family val="2"/>
    </font>
    <font>
      <sz val="20"/>
      <color theme="0" tint="-0.499984740745262"/>
      <name val="Segoe UI Symbol"/>
      <family val="2"/>
    </font>
    <font>
      <sz val="24"/>
      <color theme="0" tint="-0.499984740745262"/>
      <name val="Segoe UI Symbol"/>
      <family val="2"/>
    </font>
    <font>
      <sz val="15"/>
      <color theme="0" tint="-0.249977111117893"/>
      <name val="Segoe UI Symbol"/>
      <family val="2"/>
    </font>
    <font>
      <b/>
      <sz val="15"/>
      <color theme="0" tint="-0.249977111117893"/>
      <name val="Segoe UI Symbol"/>
      <family val="2"/>
    </font>
    <font>
      <sz val="25"/>
      <color theme="0" tint="-0.249977111117893"/>
      <name val="Segoe UI Symbol"/>
      <family val="2"/>
    </font>
    <font>
      <sz val="24"/>
      <color theme="0" tint="-0.249977111117893"/>
      <name val="Segoe UI Symbol"/>
      <family val="2"/>
    </font>
    <font>
      <sz val="20"/>
      <color theme="1" tint="4.9989318521683403E-2"/>
      <name val="Segoe UI Symbol"/>
      <family val="2"/>
    </font>
    <font>
      <sz val="27"/>
      <color theme="0" tint="-0.34998626667073579"/>
      <name val="Segoe UI Symbol"/>
      <family val="2"/>
    </font>
    <font>
      <sz val="10"/>
      <color theme="0" tint="-0.249977111117893"/>
      <name val="Segoe UI Symbol"/>
      <family val="2"/>
    </font>
    <font>
      <sz val="25"/>
      <color theme="0" tint="-0.14999847407452621"/>
      <name val="Segoe UI Symbol"/>
      <family val="2"/>
    </font>
    <font>
      <sz val="14"/>
      <color theme="1"/>
      <name val="Segoe UI Symbol"/>
      <family val="2"/>
    </font>
    <font>
      <sz val="9"/>
      <color theme="1" tint="4.9989318521683403E-2"/>
      <name val="Calibri"/>
      <family val="2"/>
      <scheme val="minor"/>
    </font>
    <font>
      <b/>
      <sz val="8"/>
      <color theme="1" tint="4.9989318521683403E-2"/>
      <name val="Calibri"/>
      <family val="2"/>
      <scheme val="minor"/>
    </font>
    <font>
      <b/>
      <sz val="8"/>
      <color theme="1"/>
      <name val="Agency FB"/>
      <family val="2"/>
    </font>
    <font>
      <sz val="16"/>
      <color theme="1"/>
      <name val="Segoe UI Symbol"/>
      <family val="2"/>
    </font>
    <font>
      <sz val="16"/>
      <color rgb="FF0070C0"/>
      <name val="Segoe UI Symbol"/>
      <family val="2"/>
    </font>
    <font>
      <sz val="16"/>
      <color rgb="FF00B0F0"/>
      <name val="Segoe UI Symbol"/>
      <family val="2"/>
    </font>
    <font>
      <sz val="16"/>
      <color rgb="FF00B050"/>
      <name val="Segoe UI Symbol"/>
      <family val="2"/>
    </font>
    <font>
      <sz val="16"/>
      <color rgb="FFFF6600"/>
      <name val="Segoe UI Symbol"/>
      <family val="2"/>
    </font>
    <font>
      <sz val="16"/>
      <color rgb="FFFF0000"/>
      <name val="Segoe UI Symbol"/>
      <family val="2"/>
    </font>
    <font>
      <sz val="16"/>
      <color rgb="FFFF00FF"/>
      <name val="Segoe UI Symbol"/>
      <family val="2"/>
    </font>
    <font>
      <sz val="16"/>
      <color rgb="FF9900CC"/>
      <name val="Segoe UI Symbol"/>
      <family val="2"/>
    </font>
    <font>
      <sz val="16"/>
      <color rgb="FFC00000"/>
      <name val="Segoe UI Symbol"/>
      <family val="2"/>
    </font>
    <font>
      <sz val="16"/>
      <color rgb="FF6600CC"/>
      <name val="Segoe UI Symbol"/>
      <family val="2"/>
    </font>
    <font>
      <sz val="16"/>
      <color rgb="FFEAB200"/>
      <name val="Segoe UI Symbol"/>
      <family val="2"/>
    </font>
    <font>
      <b/>
      <sz val="16"/>
      <color theme="0" tint="-0.34998626667073579"/>
      <name val="Calibri"/>
      <family val="2"/>
      <scheme val="minor"/>
    </font>
    <font>
      <sz val="16"/>
      <color theme="1"/>
      <name val="Agency FB"/>
      <family val="2"/>
    </font>
    <font>
      <sz val="13"/>
      <color theme="0" tint="-0.249977111117893"/>
      <name val="Wingdings 2"/>
      <family val="1"/>
      <charset val="2"/>
    </font>
    <font>
      <sz val="7"/>
      <color theme="1"/>
      <name val="Segoe UI Symbol"/>
      <family val="2"/>
    </font>
    <font>
      <sz val="12"/>
      <color rgb="FFFF0000"/>
      <name val="Agency FB"/>
      <family val="2"/>
    </font>
    <font>
      <sz val="1"/>
      <color theme="0"/>
      <name val="Agency FB"/>
      <family val="2"/>
    </font>
    <font>
      <b/>
      <sz val="8"/>
      <color rgb="FFFF0000"/>
      <name val="Agency FB"/>
      <family val="2"/>
    </font>
    <font>
      <sz val="1"/>
      <color theme="0"/>
      <name val="Calibri"/>
      <family val="2"/>
      <scheme val="minor"/>
    </font>
    <font>
      <b/>
      <sz val="22"/>
      <color theme="0" tint="-0.14999847407452621"/>
      <name val="Calibri"/>
      <family val="2"/>
      <scheme val="minor"/>
    </font>
    <font>
      <b/>
      <sz val="8"/>
      <color theme="1" tint="0.14999847407452621"/>
      <name val="Calibri"/>
      <family val="2"/>
      <scheme val="minor"/>
    </font>
    <font>
      <b/>
      <sz val="11"/>
      <color theme="1" tint="0.249977111117893"/>
      <name val="Calibri"/>
      <family val="2"/>
      <scheme val="minor"/>
    </font>
    <font>
      <sz val="25.5"/>
      <color theme="1" tint="0.249977111117893"/>
      <name val="Wingdings"/>
      <charset val="2"/>
    </font>
    <font>
      <sz val="6"/>
      <color rgb="FF00B0F0"/>
      <name val="Calibri"/>
      <family val="2"/>
      <scheme val="minor"/>
    </font>
    <font>
      <sz val="6"/>
      <color rgb="FF00B050"/>
      <name val="Calibri"/>
      <family val="2"/>
      <scheme val="minor"/>
    </font>
    <font>
      <sz val="6"/>
      <color rgb="FFFFC000"/>
      <name val="Calibri"/>
      <family val="2"/>
      <scheme val="minor"/>
    </font>
    <font>
      <sz val="6"/>
      <color rgb="FFFF6600"/>
      <name val="Calibri"/>
      <family val="2"/>
      <scheme val="minor"/>
    </font>
    <font>
      <sz val="6"/>
      <color rgb="FFC00000"/>
      <name val="Calibri"/>
      <family val="2"/>
      <scheme val="minor"/>
    </font>
    <font>
      <sz val="6"/>
      <color rgb="FFFF00FF"/>
      <name val="Calibri"/>
      <family val="2"/>
      <scheme val="minor"/>
    </font>
    <font>
      <sz val="6"/>
      <color rgb="FF9900CC"/>
      <name val="Calibri"/>
      <family val="2"/>
      <scheme val="minor"/>
    </font>
    <font>
      <sz val="6"/>
      <color rgb="FF0070C0"/>
      <name val="Calibri"/>
      <family val="2"/>
      <scheme val="minor"/>
    </font>
    <font>
      <sz val="6"/>
      <color theme="0" tint="-0.499984740745262"/>
      <name val="Calibri"/>
      <family val="2"/>
      <scheme val="minor"/>
    </font>
    <font>
      <sz val="6"/>
      <color theme="1" tint="0.249977111117893"/>
      <name val="Calibri"/>
      <family val="2"/>
      <scheme val="minor"/>
    </font>
    <font>
      <b/>
      <sz val="5"/>
      <color theme="1"/>
      <name val="Calibri"/>
      <family val="2"/>
      <scheme val="minor"/>
    </font>
    <font>
      <sz val="9"/>
      <color theme="1" tint="0.34998626667073579"/>
      <name val="Calibri"/>
      <family val="2"/>
      <scheme val="minor"/>
    </font>
    <font>
      <sz val="8"/>
      <color theme="1"/>
      <name val="Calibri"/>
      <family val="2"/>
    </font>
    <font>
      <b/>
      <sz val="9"/>
      <color theme="0" tint="-0.34998626667073579"/>
      <name val="Calibri Light"/>
      <family val="2"/>
      <scheme val="major"/>
    </font>
    <font>
      <sz val="28"/>
      <color rgb="FF919191"/>
      <name val="Segoe UI Symbol"/>
      <family val="2"/>
    </font>
    <font>
      <sz val="5"/>
      <color theme="1" tint="0.249977111117893"/>
      <name val="Agency FB"/>
      <family val="2"/>
    </font>
    <font>
      <sz val="12"/>
      <color theme="0" tint="-0.499984740745262"/>
      <name val="Agency FB"/>
      <family val="2"/>
    </font>
    <font>
      <b/>
      <sz val="9"/>
      <color theme="0" tint="-0.34998626667073579"/>
      <name val="Calibri"/>
      <family val="2"/>
      <scheme val="minor"/>
    </font>
    <font>
      <sz val="12"/>
      <color theme="1"/>
      <name val="Segoe UI Symbol"/>
      <family val="2"/>
    </font>
    <font>
      <sz val="8"/>
      <color theme="1" tint="0.34998626667073579"/>
      <name val="Segoe UI Symbol"/>
      <family val="2"/>
    </font>
    <font>
      <sz val="10"/>
      <color theme="2"/>
      <name val="Calibri"/>
      <family val="2"/>
      <scheme val="minor"/>
    </font>
    <font>
      <b/>
      <sz val="65"/>
      <color theme="2"/>
      <name val="Agency FB"/>
      <family val="2"/>
    </font>
    <font>
      <b/>
      <sz val="14"/>
      <color theme="2"/>
      <name val="Calibri"/>
      <family val="2"/>
      <scheme val="minor"/>
    </font>
    <font>
      <b/>
      <sz val="7"/>
      <color theme="2"/>
      <name val="Agency FB"/>
      <family val="2"/>
    </font>
    <font>
      <b/>
      <sz val="16"/>
      <color theme="1"/>
      <name val="Calibri"/>
      <family val="2"/>
      <scheme val="minor"/>
    </font>
    <font>
      <sz val="16"/>
      <color theme="1"/>
      <name val="Calibri"/>
      <family val="2"/>
      <scheme val="minor"/>
    </font>
    <font>
      <b/>
      <sz val="14"/>
      <color theme="0" tint="-0.249977111117893"/>
      <name val="Calibri"/>
      <family val="2"/>
    </font>
    <font>
      <b/>
      <sz val="14"/>
      <color theme="0"/>
      <name val="Calibri"/>
      <family val="2"/>
    </font>
    <font>
      <b/>
      <sz val="14"/>
      <color theme="1"/>
      <name val="Segoe UI Symbol"/>
      <family val="2"/>
    </font>
    <font>
      <b/>
      <sz val="14"/>
      <color theme="0" tint="-0.14999847407452621"/>
      <name val="Segoe UI Symbol"/>
      <family val="2"/>
    </font>
    <font>
      <sz val="16"/>
      <color theme="0" tint="-0.14999847407452621"/>
      <name val="Segoe UI Symbol"/>
      <family val="2"/>
    </font>
    <font>
      <b/>
      <sz val="14"/>
      <color theme="0" tint="-0.14999847407452621"/>
      <name val="Calibri"/>
      <family val="2"/>
    </font>
    <font>
      <sz val="25.5"/>
      <color theme="0" tint="-0.499984740745262"/>
      <name val="Wingdings"/>
      <charset val="2"/>
    </font>
    <font>
      <sz val="25.5"/>
      <color rgb="FF9D9D9D"/>
      <name val="Wingdings"/>
      <charset val="2"/>
    </font>
    <font>
      <sz val="2"/>
      <color theme="0"/>
      <name val="Agency FB"/>
      <family val="2"/>
    </font>
    <font>
      <b/>
      <sz val="7"/>
      <color theme="0" tint="-0.499984740745262"/>
      <name val="Agency FB"/>
      <family val="2"/>
    </font>
    <font>
      <b/>
      <sz val="12"/>
      <color theme="1" tint="0.14999847407452621"/>
      <name val="Agency FB"/>
      <family val="2"/>
    </font>
    <font>
      <sz val="18"/>
      <color theme="0" tint="-0.249977111117893"/>
      <name val="Calibri"/>
      <family val="2"/>
      <scheme val="minor"/>
    </font>
    <font>
      <sz val="23"/>
      <color theme="0" tint="-0.249977111117893"/>
      <name val="Calibri"/>
      <family val="2"/>
      <scheme val="minor"/>
    </font>
    <font>
      <sz val="25"/>
      <color theme="0" tint="-0.14999847407452621"/>
      <name val="Calibri"/>
      <family val="2"/>
      <scheme val="minor"/>
    </font>
    <font>
      <sz val="23"/>
      <color theme="0" tint="-0.14999847407452621"/>
      <name val="Calibri"/>
      <family val="2"/>
      <scheme val="minor"/>
    </font>
  </fonts>
  <fills count="29">
    <fill>
      <patternFill patternType="none"/>
    </fill>
    <fill>
      <patternFill patternType="gray125"/>
    </fill>
    <fill>
      <patternFill patternType="solid">
        <fgColor rgb="FFC00000"/>
        <bgColor indexed="64"/>
      </patternFill>
    </fill>
    <fill>
      <patternFill patternType="solid">
        <fgColor theme="1"/>
        <bgColor indexed="64"/>
      </patternFill>
    </fill>
    <fill>
      <patternFill patternType="solid">
        <fgColor theme="0" tint="-0.34998626667073579"/>
        <bgColor indexed="64"/>
      </patternFill>
    </fill>
    <fill>
      <patternFill patternType="solid">
        <fgColor rgb="FF0070C0"/>
        <bgColor indexed="64"/>
      </patternFill>
    </fill>
    <fill>
      <patternFill patternType="solid">
        <fgColor rgb="FF9900CC"/>
        <bgColor indexed="64"/>
      </patternFill>
    </fill>
    <fill>
      <patternFill patternType="solid">
        <fgColor rgb="FFFF00FF"/>
        <bgColor indexed="64"/>
      </patternFill>
    </fill>
    <fill>
      <patternFill patternType="solid">
        <fgColor rgb="FFFF0000"/>
        <bgColor indexed="64"/>
      </patternFill>
    </fill>
    <fill>
      <patternFill patternType="solid">
        <fgColor rgb="FFFF6600"/>
        <bgColor indexed="64"/>
      </patternFill>
    </fill>
    <fill>
      <patternFill patternType="solid">
        <fgColor rgb="FFFFC000"/>
        <bgColor indexed="64"/>
      </patternFill>
    </fill>
    <fill>
      <patternFill patternType="solid">
        <fgColor rgb="FF00B050"/>
        <bgColor indexed="64"/>
      </patternFill>
    </fill>
    <fill>
      <patternFill patternType="solid">
        <fgColor rgb="FF00B0F0"/>
        <bgColor indexed="64"/>
      </patternFill>
    </fill>
    <fill>
      <patternFill patternType="solid">
        <fgColor theme="2" tint="-0.89999084444715716"/>
        <bgColor indexed="64"/>
      </patternFill>
    </fill>
    <fill>
      <patternFill patternType="solid">
        <fgColor theme="0" tint="-0.249977111117893"/>
        <bgColor indexed="64"/>
      </patternFill>
    </fill>
    <fill>
      <patternFill patternType="solid">
        <fgColor theme="1"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theme="1" tint="4.9989318521683403E-2"/>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theme="2"/>
        <bgColor indexed="64"/>
      </patternFill>
    </fill>
    <fill>
      <patternFill patternType="solid">
        <fgColor theme="1" tint="0.34998626667073579"/>
        <bgColor indexed="64"/>
      </patternFill>
    </fill>
    <fill>
      <patternFill patternType="solid">
        <fgColor rgb="FF6600CC"/>
        <bgColor indexed="64"/>
      </patternFill>
    </fill>
    <fill>
      <patternFill patternType="solid">
        <fgColor rgb="FF92D050"/>
        <bgColor indexed="64"/>
      </patternFill>
    </fill>
    <fill>
      <patternFill patternType="solid">
        <fgColor rgb="FFEBE600"/>
        <bgColor indexed="64"/>
      </patternFill>
    </fill>
    <fill>
      <patternFill patternType="solid">
        <fgColor theme="2" tint="-0.749992370372631"/>
        <bgColor indexed="64"/>
      </patternFill>
    </fill>
  </fills>
  <borders count="497">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diagonal/>
    </border>
    <border>
      <left style="thin">
        <color theme="0" tint="-0.14996795556505021"/>
      </left>
      <right style="thin">
        <color theme="0" tint="-0.14996795556505021"/>
      </right>
      <top style="thin">
        <color theme="0" tint="-0.14996795556505021"/>
      </top>
      <bottom style="thin">
        <color theme="0" tint="-0.14993743705557422"/>
      </bottom>
      <diagonal/>
    </border>
    <border>
      <left style="thin">
        <color theme="0" tint="-0.14993743705557422"/>
      </left>
      <right style="thin">
        <color theme="0" tint="-0.14996795556505021"/>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3743705557422"/>
      </top>
      <bottom style="thin">
        <color theme="0" tint="-0.14993743705557422"/>
      </bottom>
      <diagonal/>
    </border>
    <border>
      <left/>
      <right/>
      <top style="thin">
        <color theme="0" tint="-0.14993743705557422"/>
      </top>
      <bottom style="thin">
        <color theme="0" tint="-0.14996795556505021"/>
      </bottom>
      <diagonal/>
    </border>
    <border>
      <left style="thin">
        <color theme="0" tint="-0.14993743705557422"/>
      </left>
      <right style="thin">
        <color theme="0" tint="-0.14996795556505021"/>
      </right>
      <top style="thin">
        <color theme="0" tint="-0.14996795556505021"/>
      </top>
      <bottom/>
      <diagonal/>
    </border>
    <border>
      <left style="thin">
        <color theme="0" tint="-0.14993743705557422"/>
      </left>
      <right style="thin">
        <color theme="0" tint="-0.14996795556505021"/>
      </right>
      <top/>
      <bottom/>
      <diagonal/>
    </border>
    <border>
      <left style="thin">
        <color theme="0" tint="-0.14993743705557422"/>
      </left>
      <right style="thin">
        <color theme="0" tint="-0.14996795556505021"/>
      </right>
      <top/>
      <bottom style="thin">
        <color theme="0" tint="-0.14993743705557422"/>
      </bottom>
      <diagonal/>
    </border>
    <border>
      <left style="thin">
        <color theme="0" tint="-0.14996795556505021"/>
      </left>
      <right style="thin">
        <color theme="0" tint="-0.14996795556505021"/>
      </right>
      <top/>
      <bottom style="thin">
        <color theme="0" tint="-0.14993743705557422"/>
      </bottom>
      <diagonal/>
    </border>
    <border>
      <left/>
      <right/>
      <top style="thick">
        <color theme="1"/>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theme="1"/>
      </left>
      <right style="thick">
        <color theme="1"/>
      </right>
      <top style="thick">
        <color theme="1"/>
      </top>
      <bottom style="thick">
        <color theme="1"/>
      </bottom>
      <diagonal/>
    </border>
    <border>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medium">
        <color indexed="64"/>
      </left>
      <right style="thin">
        <color theme="0" tint="-0.14996795556505021"/>
      </right>
      <top style="medium">
        <color indexed="64"/>
      </top>
      <bottom style="thin">
        <color theme="0" tint="-0.14996795556505021"/>
      </bottom>
      <diagonal/>
    </border>
    <border>
      <left style="thin">
        <color theme="0" tint="-0.14996795556505021"/>
      </left>
      <right style="thin">
        <color theme="0" tint="-0.14996795556505021"/>
      </right>
      <top style="medium">
        <color indexed="64"/>
      </top>
      <bottom style="thin">
        <color theme="0" tint="-0.14996795556505021"/>
      </bottom>
      <diagonal/>
    </border>
    <border>
      <left style="thin">
        <color theme="0" tint="-0.14996795556505021"/>
      </left>
      <right style="medium">
        <color indexed="64"/>
      </right>
      <top style="medium">
        <color indexed="64"/>
      </top>
      <bottom style="thin">
        <color theme="0" tint="-0.14996795556505021"/>
      </bottom>
      <diagonal/>
    </border>
    <border>
      <left style="medium">
        <color indexed="64"/>
      </left>
      <right style="thin">
        <color theme="0" tint="-0.14996795556505021"/>
      </right>
      <top style="thin">
        <color theme="0" tint="-0.14996795556505021"/>
      </top>
      <bottom style="medium">
        <color indexed="64"/>
      </bottom>
      <diagonal/>
    </border>
    <border>
      <left style="thin">
        <color theme="0" tint="-0.14996795556505021"/>
      </left>
      <right style="thin">
        <color theme="0" tint="-0.14996795556505021"/>
      </right>
      <top style="thin">
        <color theme="0" tint="-0.14996795556505021"/>
      </top>
      <bottom style="medium">
        <color indexed="64"/>
      </bottom>
      <diagonal/>
    </border>
    <border>
      <left style="thin">
        <color theme="0" tint="-0.14996795556505021"/>
      </left>
      <right style="medium">
        <color indexed="64"/>
      </right>
      <top style="thin">
        <color theme="0" tint="-0.14996795556505021"/>
      </top>
      <bottom style="medium">
        <color indexed="64"/>
      </bottom>
      <diagonal/>
    </border>
    <border>
      <left style="medium">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indexed="64"/>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top/>
      <bottom style="thin">
        <color theme="0" tint="-0.14996795556505021"/>
      </bottom>
      <diagonal/>
    </border>
    <border>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style="medium">
        <color indexed="64"/>
      </left>
      <right style="thin">
        <color theme="0" tint="-0.14996795556505021"/>
      </right>
      <top style="thin">
        <color theme="0" tint="-0.14996795556505021"/>
      </top>
      <bottom/>
      <diagonal/>
    </border>
    <border>
      <left style="thin">
        <color theme="0" tint="-0.14996795556505021"/>
      </left>
      <right style="medium">
        <color indexed="64"/>
      </right>
      <top style="thin">
        <color theme="0" tint="-0.14996795556505021"/>
      </top>
      <bottom/>
      <diagonal/>
    </border>
    <border>
      <left style="thin">
        <color theme="1"/>
      </left>
      <right style="thin">
        <color theme="1"/>
      </right>
      <top style="thin">
        <color theme="1"/>
      </top>
      <bottom style="thin">
        <color theme="1"/>
      </bottom>
      <diagonal/>
    </border>
    <border>
      <left style="thin">
        <color theme="0" tint="-0.14996795556505021"/>
      </left>
      <right/>
      <top/>
      <bottom/>
      <diagonal/>
    </border>
    <border>
      <left style="thick">
        <color theme="0" tint="-0.14996795556505021"/>
      </left>
      <right style="thick">
        <color theme="0" tint="-0.14996795556505021"/>
      </right>
      <top style="thick">
        <color theme="0" tint="-0.14996795556505021"/>
      </top>
      <bottom style="thick">
        <color theme="0" tint="-0.14996795556505021"/>
      </bottom>
      <diagonal/>
    </border>
    <border>
      <left style="thick">
        <color theme="0" tint="-0.14996795556505021"/>
      </left>
      <right/>
      <top style="thick">
        <color theme="0" tint="-0.14996795556505021"/>
      </top>
      <bottom/>
      <diagonal/>
    </border>
    <border>
      <left/>
      <right/>
      <top style="thick">
        <color theme="0" tint="-0.14996795556505021"/>
      </top>
      <bottom/>
      <diagonal/>
    </border>
    <border>
      <left/>
      <right style="thick">
        <color theme="0" tint="-0.14996795556505021"/>
      </right>
      <top style="thick">
        <color theme="0" tint="-0.14996795556505021"/>
      </top>
      <bottom/>
      <diagonal/>
    </border>
    <border>
      <left style="thick">
        <color theme="0" tint="-0.14996795556505021"/>
      </left>
      <right/>
      <top/>
      <bottom style="thick">
        <color theme="0" tint="-0.14996795556505021"/>
      </bottom>
      <diagonal/>
    </border>
    <border>
      <left/>
      <right/>
      <top/>
      <bottom style="thick">
        <color theme="0" tint="-0.14996795556505021"/>
      </bottom>
      <diagonal/>
    </border>
    <border>
      <left/>
      <right style="thick">
        <color theme="0" tint="-0.14996795556505021"/>
      </right>
      <top/>
      <bottom style="thick">
        <color theme="0" tint="-0.14996795556505021"/>
      </bottom>
      <diagonal/>
    </border>
    <border>
      <left style="thick">
        <color theme="0" tint="-0.14996795556505021"/>
      </left>
      <right/>
      <top style="thick">
        <color theme="0" tint="-0.14996795556505021"/>
      </top>
      <bottom style="thick">
        <color theme="0" tint="-0.14996795556505021"/>
      </bottom>
      <diagonal/>
    </border>
    <border>
      <left/>
      <right/>
      <top style="thick">
        <color theme="0" tint="-0.14996795556505021"/>
      </top>
      <bottom style="thick">
        <color theme="0" tint="-0.14996795556505021"/>
      </bottom>
      <diagonal/>
    </border>
    <border>
      <left/>
      <right style="thick">
        <color theme="0" tint="-0.14996795556505021"/>
      </right>
      <top style="thick">
        <color theme="0" tint="-0.14996795556505021"/>
      </top>
      <bottom style="thick">
        <color theme="0" tint="-0.14996795556505021"/>
      </bottom>
      <diagonal/>
    </border>
    <border>
      <left/>
      <right style="thick">
        <color theme="0" tint="-0.14993743705557422"/>
      </right>
      <top/>
      <bottom style="thick">
        <color theme="0" tint="-0.14996795556505021"/>
      </bottom>
      <diagonal/>
    </border>
    <border>
      <left/>
      <right/>
      <top style="thin">
        <color theme="0" tint="-0.14996795556505021"/>
      </top>
      <bottom/>
      <diagonal/>
    </border>
    <border>
      <left/>
      <right/>
      <top/>
      <bottom style="thin">
        <color theme="0" tint="-0.14996795556505021"/>
      </bottom>
      <diagonal/>
    </border>
    <border>
      <left/>
      <right/>
      <top/>
      <bottom style="thick">
        <color theme="0" tint="-0.14993743705557422"/>
      </bottom>
      <diagonal/>
    </border>
    <border>
      <left/>
      <right style="thick">
        <color theme="0" tint="-0.14993743705557422"/>
      </right>
      <top/>
      <bottom style="thick">
        <color theme="0" tint="-0.14993743705557422"/>
      </bottom>
      <diagonal/>
    </border>
    <border>
      <left style="thick">
        <color theme="1" tint="0.499984740745262"/>
      </left>
      <right/>
      <top style="thick">
        <color theme="1" tint="0.499984740745262"/>
      </top>
      <bottom/>
      <diagonal/>
    </border>
    <border>
      <left/>
      <right/>
      <top style="thick">
        <color theme="1" tint="0.499984740745262"/>
      </top>
      <bottom/>
      <diagonal/>
    </border>
    <border>
      <left/>
      <right style="thick">
        <color theme="1" tint="0.499984740745262"/>
      </right>
      <top style="thick">
        <color theme="1" tint="0.499984740745262"/>
      </top>
      <bottom/>
      <diagonal/>
    </border>
    <border>
      <left style="thick">
        <color theme="1" tint="0.499984740745262"/>
      </left>
      <right/>
      <top/>
      <bottom/>
      <diagonal/>
    </border>
    <border>
      <left/>
      <right style="thick">
        <color theme="1" tint="0.499984740745262"/>
      </right>
      <top/>
      <bottom/>
      <diagonal/>
    </border>
    <border>
      <left style="thick">
        <color theme="1" tint="0.499984740745262"/>
      </left>
      <right/>
      <top/>
      <bottom style="thick">
        <color theme="1" tint="0.499984740745262"/>
      </bottom>
      <diagonal/>
    </border>
    <border>
      <left/>
      <right/>
      <top/>
      <bottom style="thick">
        <color theme="1" tint="0.499984740745262"/>
      </bottom>
      <diagonal/>
    </border>
    <border>
      <left/>
      <right style="thick">
        <color theme="1" tint="0.499984740745262"/>
      </right>
      <top/>
      <bottom style="thick">
        <color theme="1" tint="0.499984740745262"/>
      </bottom>
      <diagonal/>
    </border>
    <border>
      <left style="thick">
        <color theme="1" tint="4.9989318521683403E-2"/>
      </left>
      <right/>
      <top style="thick">
        <color theme="1" tint="4.9989318521683403E-2"/>
      </top>
      <bottom/>
      <diagonal/>
    </border>
    <border>
      <left/>
      <right/>
      <top style="thick">
        <color theme="1" tint="4.9989318521683403E-2"/>
      </top>
      <bottom/>
      <diagonal/>
    </border>
    <border>
      <left/>
      <right style="thick">
        <color theme="1" tint="4.9989318521683403E-2"/>
      </right>
      <top style="thick">
        <color theme="1" tint="4.9989318521683403E-2"/>
      </top>
      <bottom/>
      <diagonal/>
    </border>
    <border>
      <left style="thick">
        <color theme="1" tint="4.9989318521683403E-2"/>
      </left>
      <right/>
      <top/>
      <bottom/>
      <diagonal/>
    </border>
    <border>
      <left/>
      <right style="thick">
        <color theme="1" tint="4.9989318521683403E-2"/>
      </right>
      <top/>
      <bottom/>
      <diagonal/>
    </border>
    <border>
      <left style="thick">
        <color theme="1" tint="4.9989318521683403E-2"/>
      </left>
      <right/>
      <top/>
      <bottom style="thick">
        <color theme="1" tint="4.9989318521683403E-2"/>
      </bottom>
      <diagonal/>
    </border>
    <border>
      <left/>
      <right/>
      <top/>
      <bottom style="thick">
        <color theme="1" tint="4.9989318521683403E-2"/>
      </bottom>
      <diagonal/>
    </border>
    <border>
      <left/>
      <right style="thick">
        <color theme="1" tint="4.9989318521683403E-2"/>
      </right>
      <top/>
      <bottom style="thick">
        <color theme="1" tint="4.9989318521683403E-2"/>
      </bottom>
      <diagonal/>
    </border>
    <border>
      <left style="thick">
        <color theme="0" tint="-0.14993743705557422"/>
      </left>
      <right/>
      <top/>
      <bottom style="thick">
        <color theme="0" tint="-0.14996795556505021"/>
      </bottom>
      <diagonal/>
    </border>
    <border>
      <left/>
      <right style="thick">
        <color theme="0" tint="-0.14993743705557422"/>
      </right>
      <top style="thick">
        <color theme="0" tint="-0.14996795556505021"/>
      </top>
      <bottom style="thick">
        <color theme="0" tint="-0.14996795556505021"/>
      </bottom>
      <diagonal/>
    </border>
    <border>
      <left style="thick">
        <color theme="0" tint="-0.14993743705557422"/>
      </left>
      <right/>
      <top style="thick">
        <color theme="0" tint="-0.14996795556505021"/>
      </top>
      <bottom/>
      <diagonal/>
    </border>
    <border>
      <left/>
      <right/>
      <top style="thick">
        <color theme="0" tint="-0.14990691854609822"/>
      </top>
      <bottom/>
      <diagonal/>
    </border>
    <border>
      <left style="thin">
        <color theme="1" tint="0.14996795556505021"/>
      </left>
      <right style="thin">
        <color theme="1" tint="0.14996795556505021"/>
      </right>
      <top/>
      <bottom/>
      <diagonal/>
    </border>
    <border>
      <left style="thin">
        <color theme="1" tint="0.14996795556505021"/>
      </left>
      <right style="thick">
        <color theme="1" tint="4.9989318521683403E-2"/>
      </right>
      <top/>
      <bottom/>
      <diagonal/>
    </border>
    <border>
      <left style="thick">
        <color theme="0" tint="-0.14990691854609822"/>
      </left>
      <right style="thick">
        <color theme="0" tint="-0.14990691854609822"/>
      </right>
      <top style="thick">
        <color theme="0" tint="-0.14990691854609822"/>
      </top>
      <bottom style="thick">
        <color theme="0" tint="-0.14990691854609822"/>
      </bottom>
      <diagonal/>
    </border>
    <border>
      <left style="thick">
        <color theme="0" tint="-0.14990691854609822"/>
      </left>
      <right/>
      <top style="thick">
        <color theme="0" tint="-0.14990691854609822"/>
      </top>
      <bottom/>
      <diagonal/>
    </border>
    <border>
      <left/>
      <right/>
      <top/>
      <bottom style="thick">
        <color theme="0" tint="-0.14990691854609822"/>
      </bottom>
      <diagonal/>
    </border>
    <border>
      <left/>
      <right/>
      <top style="thick">
        <color theme="0" tint="-0.14996795556505021"/>
      </top>
      <bottom style="thick">
        <color theme="0" tint="-0.14993743705557422"/>
      </bottom>
      <diagonal/>
    </border>
    <border>
      <left/>
      <right style="thick">
        <color theme="0" tint="-0.14996795556505021"/>
      </right>
      <top/>
      <bottom/>
      <diagonal/>
    </border>
    <border>
      <left style="thick">
        <color theme="0" tint="-4.9989318521683403E-2"/>
      </left>
      <right/>
      <top style="thick">
        <color theme="0" tint="-4.9989318521683403E-2"/>
      </top>
      <bottom style="thick">
        <color theme="0" tint="-4.9989318521683403E-2"/>
      </bottom>
      <diagonal/>
    </border>
    <border>
      <left/>
      <right style="thick">
        <color theme="0" tint="-4.9989318521683403E-2"/>
      </right>
      <top style="thick">
        <color theme="0" tint="-4.9989318521683403E-2"/>
      </top>
      <bottom style="thick">
        <color theme="0" tint="-4.9989318521683403E-2"/>
      </bottom>
      <diagonal/>
    </border>
    <border>
      <left style="thick">
        <color theme="0" tint="-0.499984740745262"/>
      </left>
      <right/>
      <top/>
      <bottom/>
      <diagonal/>
    </border>
    <border>
      <left/>
      <right style="thick">
        <color theme="0" tint="-0.499984740745262"/>
      </right>
      <top/>
      <bottom/>
      <diagonal/>
    </border>
    <border>
      <left style="thick">
        <color theme="0" tint="-0.499984740745262"/>
      </left>
      <right/>
      <top/>
      <bottom style="thick">
        <color theme="0" tint="-0.499984740745262"/>
      </bottom>
      <diagonal/>
    </border>
    <border>
      <left/>
      <right/>
      <top style="thin">
        <color theme="0" tint="-0.14990691854609822"/>
      </top>
      <bottom style="thick">
        <color theme="0" tint="-0.499984740745262"/>
      </bottom>
      <diagonal/>
    </border>
    <border>
      <left/>
      <right style="thick">
        <color theme="0" tint="-0.499984740745262"/>
      </right>
      <top/>
      <bottom style="thick">
        <color theme="0" tint="-0.499984740745262"/>
      </bottom>
      <diagonal/>
    </border>
    <border>
      <left/>
      <right/>
      <top/>
      <bottom style="thin">
        <color theme="0" tint="-0.14990691854609822"/>
      </bottom>
      <diagonal/>
    </border>
    <border>
      <left style="thick">
        <color theme="0" tint="-0.499984740745262"/>
      </left>
      <right/>
      <top style="thick">
        <color theme="0" tint="-0.499984740745262"/>
      </top>
      <bottom/>
      <diagonal/>
    </border>
    <border>
      <left/>
      <right/>
      <top style="thick">
        <color theme="0" tint="-0.499984740745262"/>
      </top>
      <bottom/>
      <diagonal/>
    </border>
    <border>
      <left/>
      <right style="thick">
        <color theme="0" tint="-0.499984740745262"/>
      </right>
      <top style="thick">
        <color theme="0" tint="-0.499984740745262"/>
      </top>
      <bottom/>
      <diagonal/>
    </border>
    <border>
      <left/>
      <right/>
      <top/>
      <bottom style="thick">
        <color theme="0" tint="-0.499984740745262"/>
      </bottom>
      <diagonal/>
    </border>
    <border>
      <left style="thick">
        <color theme="0" tint="-0.499984740745262"/>
      </left>
      <right/>
      <top style="thick">
        <color theme="0" tint="-0.499984740745262"/>
      </top>
      <bottom style="thick">
        <color theme="0" tint="-0.499984740745262"/>
      </bottom>
      <diagonal/>
    </border>
    <border>
      <left/>
      <right/>
      <top style="thick">
        <color theme="0" tint="-0.499984740745262"/>
      </top>
      <bottom style="thick">
        <color theme="0" tint="-0.499984740745262"/>
      </bottom>
      <diagonal/>
    </border>
    <border>
      <left/>
      <right style="thick">
        <color theme="0" tint="-0.499984740745262"/>
      </right>
      <top style="thick">
        <color theme="0" tint="-0.499984740745262"/>
      </top>
      <bottom style="thick">
        <color theme="0" tint="-0.499984740745262"/>
      </bottom>
      <diagonal/>
    </border>
    <border>
      <left style="thick">
        <color theme="1"/>
      </left>
      <right style="thick">
        <color theme="1"/>
      </right>
      <top style="thick">
        <color theme="1"/>
      </top>
      <bottom/>
      <diagonal/>
    </border>
    <border>
      <left style="thick">
        <color theme="1"/>
      </left>
      <right style="thick">
        <color theme="1"/>
      </right>
      <top/>
      <bottom/>
      <diagonal/>
    </border>
    <border>
      <left style="thick">
        <color theme="1"/>
      </left>
      <right style="thick">
        <color theme="1"/>
      </right>
      <top/>
      <bottom style="thick">
        <color theme="1"/>
      </bottom>
      <diagonal/>
    </border>
    <border>
      <left style="thin">
        <color indexed="64"/>
      </left>
      <right style="thin">
        <color indexed="64"/>
      </right>
      <top style="thin">
        <color indexed="64"/>
      </top>
      <bottom style="thin">
        <color indexed="64"/>
      </bottom>
      <diagonal/>
    </border>
    <border>
      <left/>
      <right/>
      <top style="thick">
        <color theme="0" tint="-0.499984740745262"/>
      </top>
      <bottom style="thin">
        <color theme="0" tint="-0.14996795556505021"/>
      </bottom>
      <diagonal/>
    </border>
    <border>
      <left/>
      <right/>
      <top style="thin">
        <color theme="0" tint="-0.14996795556505021"/>
      </top>
      <bottom style="thick">
        <color theme="0" tint="-0.499984740745262"/>
      </bottom>
      <diagonal/>
    </border>
    <border>
      <left/>
      <right style="thin">
        <color theme="0" tint="-0.14996795556505021"/>
      </right>
      <top/>
      <bottom style="medium">
        <color indexed="64"/>
      </bottom>
      <diagonal/>
    </border>
    <border>
      <left/>
      <right style="thin">
        <color theme="0" tint="-0.14996795556505021"/>
      </right>
      <top/>
      <bottom/>
      <diagonal/>
    </border>
    <border>
      <left/>
      <right/>
      <top style="thin">
        <color theme="0" tint="-0.14996795556505021"/>
      </top>
      <bottom style="thin">
        <color theme="0" tint="-0.14996795556505021"/>
      </bottom>
      <diagonal/>
    </border>
    <border>
      <left style="thin">
        <color indexed="64"/>
      </left>
      <right style="thin">
        <color indexed="64"/>
      </right>
      <top/>
      <bottom style="thin">
        <color indexed="64"/>
      </bottom>
      <diagonal/>
    </border>
    <border>
      <left/>
      <right/>
      <top style="thin">
        <color theme="0" tint="-0.14996795556505021"/>
      </top>
      <bottom style="thick">
        <color theme="0" tint="-4.9989318521683403E-2"/>
      </bottom>
      <diagonal/>
    </border>
    <border>
      <left/>
      <right/>
      <top style="thick">
        <color theme="0" tint="-4.9989318521683403E-2"/>
      </top>
      <bottom style="thin">
        <color theme="0" tint="-0.14996795556505021"/>
      </bottom>
      <diagonal/>
    </border>
    <border>
      <left/>
      <right/>
      <top style="thin">
        <color theme="0" tint="-0.14990691854609822"/>
      </top>
      <bottom style="thin">
        <color theme="0" tint="-0.14990691854609822"/>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style="thin">
        <color theme="1"/>
      </right>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dashed">
        <color theme="1"/>
      </left>
      <right/>
      <top/>
      <bottom style="thin">
        <color theme="1"/>
      </bottom>
      <diagonal/>
    </border>
    <border>
      <left style="dashed">
        <color theme="1"/>
      </left>
      <right/>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top/>
      <bottom style="thin">
        <color indexed="64"/>
      </bottom>
      <diagonal/>
    </border>
    <border>
      <left style="medium">
        <color indexed="64"/>
      </left>
      <right style="thin">
        <color theme="0" tint="-0.14996795556505021"/>
      </right>
      <top style="medium">
        <color indexed="64"/>
      </top>
      <bottom/>
      <diagonal/>
    </border>
    <border>
      <left style="thin">
        <color theme="0" tint="-0.14996795556505021"/>
      </left>
      <right style="medium">
        <color indexed="64"/>
      </right>
      <top style="medium">
        <color indexed="64"/>
      </top>
      <bottom/>
      <diagonal/>
    </border>
    <border>
      <left style="medium">
        <color indexed="64"/>
      </left>
      <right style="thin">
        <color theme="0" tint="-0.14996795556505021"/>
      </right>
      <top/>
      <bottom/>
      <diagonal/>
    </border>
    <border>
      <left style="thin">
        <color theme="0" tint="-0.14996795556505021"/>
      </left>
      <right style="medium">
        <color indexed="64"/>
      </right>
      <top style="thin">
        <color theme="0" tint="-0.14993743705557422"/>
      </top>
      <bottom/>
      <diagonal/>
    </border>
    <border>
      <left style="thin">
        <color theme="0" tint="-0.14996795556505021"/>
      </left>
      <right style="medium">
        <color indexed="64"/>
      </right>
      <top/>
      <bottom/>
      <diagonal/>
    </border>
    <border>
      <left style="thin">
        <color theme="0" tint="-0.14996795556505021"/>
      </left>
      <right style="medium">
        <color indexed="64"/>
      </right>
      <top/>
      <bottom style="thin">
        <color theme="0" tint="-0.14993743705557422"/>
      </bottom>
      <diagonal/>
    </border>
    <border>
      <left style="medium">
        <color indexed="64"/>
      </left>
      <right style="thin">
        <color theme="0" tint="-0.14996795556505021"/>
      </right>
      <top/>
      <bottom style="medium">
        <color indexed="64"/>
      </bottom>
      <diagonal/>
    </border>
    <border>
      <left style="thin">
        <color theme="0" tint="-0.14996795556505021"/>
      </left>
      <right style="medium">
        <color indexed="64"/>
      </right>
      <top/>
      <bottom style="medium">
        <color indexed="64"/>
      </bottom>
      <diagonal/>
    </border>
    <border>
      <left style="medium">
        <color indexed="64"/>
      </left>
      <right style="thin">
        <color theme="0" tint="-0.14996795556505021"/>
      </right>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theme="0"/>
      </left>
      <right style="thin">
        <color theme="0"/>
      </right>
      <top style="thin">
        <color theme="0"/>
      </top>
      <bottom style="thin">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1"/>
      </left>
      <right/>
      <top/>
      <bottom style="thin">
        <color theme="0" tint="-0.14996795556505021"/>
      </bottom>
      <diagonal/>
    </border>
    <border>
      <left style="dashed">
        <color theme="1"/>
      </left>
      <right/>
      <top/>
      <bottom style="thin">
        <color theme="0" tint="-0.14996795556505021"/>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right/>
      <top style="thin">
        <color theme="1" tint="0.24994659260841701"/>
      </top>
      <bottom/>
      <diagonal/>
    </border>
    <border>
      <left/>
      <right/>
      <top/>
      <bottom style="thin">
        <color theme="1" tint="0.24994659260841701"/>
      </bottom>
      <diagonal/>
    </border>
    <border>
      <left style="thick">
        <color theme="1" tint="0.34998626667073579"/>
      </left>
      <right/>
      <top style="thick">
        <color theme="1" tint="0.34998626667073579"/>
      </top>
      <bottom/>
      <diagonal/>
    </border>
    <border>
      <left/>
      <right/>
      <top style="thick">
        <color theme="1" tint="0.34998626667073579"/>
      </top>
      <bottom/>
      <diagonal/>
    </border>
    <border>
      <left/>
      <right style="thick">
        <color theme="1" tint="0.34998626667073579"/>
      </right>
      <top style="thick">
        <color theme="1" tint="0.34998626667073579"/>
      </top>
      <bottom/>
      <diagonal/>
    </border>
    <border>
      <left style="thick">
        <color theme="1" tint="0.34998626667073579"/>
      </left>
      <right/>
      <top/>
      <bottom/>
      <diagonal/>
    </border>
    <border>
      <left/>
      <right style="thick">
        <color theme="1" tint="0.34998626667073579"/>
      </right>
      <top/>
      <bottom/>
      <diagonal/>
    </border>
    <border>
      <left style="thick">
        <color theme="1" tint="0.34998626667073579"/>
      </left>
      <right/>
      <top/>
      <bottom style="thick">
        <color theme="1" tint="0.34998626667073579"/>
      </bottom>
      <diagonal/>
    </border>
    <border>
      <left/>
      <right/>
      <top/>
      <bottom style="thick">
        <color theme="1" tint="0.34998626667073579"/>
      </bottom>
      <diagonal/>
    </border>
    <border>
      <left/>
      <right style="thick">
        <color theme="1" tint="0.34998626667073579"/>
      </right>
      <top/>
      <bottom style="thick">
        <color theme="1" tint="0.34998626667073579"/>
      </bottom>
      <diagonal/>
    </border>
    <border>
      <left style="thick">
        <color theme="0" tint="-0.14996795556505021"/>
      </left>
      <right/>
      <top/>
      <bottom/>
      <diagonal/>
    </border>
    <border>
      <left style="medium">
        <color theme="0" tint="-0.34998626667073579"/>
      </left>
      <right/>
      <top/>
      <bottom/>
      <diagonal/>
    </border>
    <border>
      <left/>
      <right style="medium">
        <color theme="0" tint="-0.34998626667073579"/>
      </right>
      <top/>
      <bottom/>
      <diagonal/>
    </border>
    <border>
      <left/>
      <right/>
      <top/>
      <bottom style="thin">
        <color theme="0" tint="-0.14993743705557422"/>
      </bottom>
      <diagonal/>
    </border>
    <border>
      <left/>
      <right/>
      <top style="thin">
        <color theme="0" tint="-4.9989318521683403E-2"/>
      </top>
      <bottom/>
      <diagonal/>
    </border>
    <border>
      <left style="thin">
        <color theme="0" tint="-0.14996795556505021"/>
      </left>
      <right style="thin">
        <color theme="0" tint="-0.14993743705557422"/>
      </right>
      <top style="thin">
        <color theme="0" tint="-0.14996795556505021"/>
      </top>
      <bottom/>
      <diagonal/>
    </border>
    <border>
      <left style="thin">
        <color theme="0" tint="-0.14996795556505021"/>
      </left>
      <right style="thin">
        <color theme="0" tint="-0.14993743705557422"/>
      </right>
      <top/>
      <bottom/>
      <diagonal/>
    </border>
    <border>
      <left style="thin">
        <color theme="0" tint="-0.14996795556505021"/>
      </left>
      <right style="thin">
        <color theme="0" tint="-0.14993743705557422"/>
      </right>
      <top/>
      <bottom style="thin">
        <color theme="0" tint="-0.14993743705557422"/>
      </bottom>
      <diagonal/>
    </border>
    <border>
      <left style="thin">
        <color theme="0" tint="-0.14996795556505021"/>
      </left>
      <right style="thin">
        <color theme="0" tint="-0.14993743705557422"/>
      </right>
      <top style="thin">
        <color theme="0" tint="-0.14993743705557422"/>
      </top>
      <bottom style="thin">
        <color theme="0" tint="-0.14993743705557422"/>
      </bottom>
      <diagonal/>
    </border>
    <border>
      <left style="thick">
        <color theme="0" tint="-0.24994659260841701"/>
      </left>
      <right/>
      <top style="thick">
        <color theme="0" tint="-0.24994659260841701"/>
      </top>
      <bottom/>
      <diagonal/>
    </border>
    <border>
      <left/>
      <right/>
      <top style="thick">
        <color theme="0" tint="-0.24994659260841701"/>
      </top>
      <bottom/>
      <diagonal/>
    </border>
    <border>
      <left/>
      <right style="thick">
        <color theme="0" tint="-0.24994659260841701"/>
      </right>
      <top style="thick">
        <color theme="0" tint="-0.24994659260841701"/>
      </top>
      <bottom/>
      <diagonal/>
    </border>
    <border>
      <left style="thick">
        <color theme="0" tint="-0.24994659260841701"/>
      </left>
      <right/>
      <top/>
      <bottom/>
      <diagonal/>
    </border>
    <border>
      <left/>
      <right style="thick">
        <color theme="0" tint="-0.24994659260841701"/>
      </right>
      <top/>
      <bottom/>
      <diagonal/>
    </border>
    <border>
      <left style="thick">
        <color theme="0" tint="-0.24994659260841701"/>
      </left>
      <right/>
      <top/>
      <bottom style="thick">
        <color theme="0" tint="-0.24994659260841701"/>
      </bottom>
      <diagonal/>
    </border>
    <border>
      <left/>
      <right/>
      <top/>
      <bottom style="thick">
        <color theme="0" tint="-0.24994659260841701"/>
      </bottom>
      <diagonal/>
    </border>
    <border>
      <left/>
      <right style="thick">
        <color theme="0" tint="-0.24994659260841701"/>
      </right>
      <top/>
      <bottom style="thick">
        <color theme="0" tint="-0.24994659260841701"/>
      </bottom>
      <diagonal/>
    </border>
    <border>
      <left/>
      <right style="thick">
        <color theme="0" tint="-0.14993743705557422"/>
      </right>
      <top/>
      <bottom style="thick">
        <color theme="0" tint="-0.14990691854609822"/>
      </bottom>
      <diagonal/>
    </border>
    <border>
      <left style="thick">
        <color theme="0"/>
      </left>
      <right/>
      <top style="thick">
        <color theme="0"/>
      </top>
      <bottom style="thick">
        <color theme="0" tint="-0.24994659260841701"/>
      </bottom>
      <diagonal/>
    </border>
    <border>
      <left/>
      <right/>
      <top style="thick">
        <color theme="0"/>
      </top>
      <bottom style="thick">
        <color theme="0" tint="-0.24994659260841701"/>
      </bottom>
      <diagonal/>
    </border>
    <border>
      <left/>
      <right style="thick">
        <color theme="0"/>
      </right>
      <top style="thick">
        <color theme="0"/>
      </top>
      <bottom style="thick">
        <color theme="0" tint="-0.24994659260841701"/>
      </bottom>
      <diagonal/>
    </border>
    <border>
      <left style="thick">
        <color theme="0"/>
      </left>
      <right/>
      <top style="thick">
        <color theme="0" tint="-0.24994659260841701"/>
      </top>
      <bottom style="thick">
        <color theme="0"/>
      </bottom>
      <diagonal/>
    </border>
    <border>
      <left/>
      <right/>
      <top style="thick">
        <color theme="0" tint="-0.24994659260841701"/>
      </top>
      <bottom style="thick">
        <color theme="0"/>
      </bottom>
      <diagonal/>
    </border>
    <border>
      <left/>
      <right style="thick">
        <color theme="0"/>
      </right>
      <top style="thick">
        <color theme="0" tint="-0.24994659260841701"/>
      </top>
      <bottom style="thick">
        <color theme="0"/>
      </bottom>
      <diagonal/>
    </border>
    <border>
      <left style="medium">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style="medium">
        <color indexed="64"/>
      </left>
      <right style="medium">
        <color indexed="64"/>
      </right>
      <top/>
      <bottom style="medium">
        <color indexed="64"/>
      </bottom>
      <diagonal/>
    </border>
    <border>
      <left/>
      <right/>
      <top/>
      <bottom style="dashed">
        <color auto="1"/>
      </bottom>
      <diagonal/>
    </border>
    <border>
      <left style="medium">
        <color indexed="64"/>
      </left>
      <right style="medium">
        <color indexed="64"/>
      </right>
      <top style="medium">
        <color indexed="64"/>
      </top>
      <bottom style="dashed">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right/>
      <top style="thin">
        <color theme="1" tint="0.14996795556505021"/>
      </top>
      <bottom/>
      <diagonal/>
    </border>
    <border>
      <left/>
      <right style="thin">
        <color theme="1" tint="0.14996795556505021"/>
      </right>
      <top style="thin">
        <color theme="1" tint="0.14996795556505021"/>
      </top>
      <bottom/>
      <diagonal/>
    </border>
    <border>
      <left style="thin">
        <color theme="1" tint="0.14996795556505021"/>
      </left>
      <right/>
      <top/>
      <bottom/>
      <diagonal/>
    </border>
    <border>
      <left style="thin">
        <color theme="1" tint="0.14996795556505021"/>
      </left>
      <right/>
      <top/>
      <bottom style="thin">
        <color theme="1" tint="0.14996795556505021"/>
      </bottom>
      <diagonal/>
    </border>
    <border>
      <left/>
      <right/>
      <top/>
      <bottom style="thin">
        <color theme="1" tint="0.14996795556505021"/>
      </bottom>
      <diagonal/>
    </border>
    <border>
      <left/>
      <right style="thin">
        <color theme="1" tint="0.14996795556505021"/>
      </right>
      <top style="thin">
        <color theme="1" tint="0.14996795556505021"/>
      </top>
      <bottom style="thin">
        <color theme="1" tint="0.14996795556505021"/>
      </bottom>
      <diagonal/>
    </border>
    <border>
      <left style="thin">
        <color theme="1" tint="0.14996795556505021"/>
      </left>
      <right style="hair">
        <color indexed="64"/>
      </right>
      <top style="thin">
        <color theme="1" tint="0.14996795556505021"/>
      </top>
      <bottom style="thin">
        <color theme="1" tint="0.14996795556505021"/>
      </bottom>
      <diagonal/>
    </border>
    <border>
      <left style="hair">
        <color indexed="64"/>
      </left>
      <right style="thin">
        <color theme="1" tint="0.14996795556505021"/>
      </right>
      <top style="thin">
        <color theme="1" tint="0.14996795556505021"/>
      </top>
      <bottom style="thin">
        <color theme="1" tint="0.14996795556505021"/>
      </bottom>
      <diagonal/>
    </border>
    <border>
      <left style="thin">
        <color theme="1" tint="4.9989318521683403E-2"/>
      </left>
      <right style="thin">
        <color theme="1" tint="4.9989318521683403E-2"/>
      </right>
      <top style="thin">
        <color theme="1" tint="4.9989318521683403E-2"/>
      </top>
      <bottom style="thin">
        <color theme="1" tint="4.9989318521683403E-2"/>
      </bottom>
      <diagonal/>
    </border>
    <border>
      <left/>
      <right style="thin">
        <color theme="0"/>
      </right>
      <top/>
      <bottom style="thin">
        <color theme="0"/>
      </bottom>
      <diagonal/>
    </border>
    <border>
      <left style="thin">
        <color theme="1" tint="4.9989318521683403E-2"/>
      </left>
      <right/>
      <top style="thin">
        <color theme="1" tint="4.9989318521683403E-2"/>
      </top>
      <bottom style="thin">
        <color theme="1" tint="4.9989318521683403E-2"/>
      </bottom>
      <diagonal/>
    </border>
    <border>
      <left/>
      <right style="thin">
        <color theme="1" tint="4.9989318521683403E-2"/>
      </right>
      <top style="thin">
        <color theme="1" tint="4.9989318521683403E-2"/>
      </top>
      <bottom style="thin">
        <color theme="1" tint="4.9989318521683403E-2"/>
      </bottom>
      <diagonal/>
    </border>
    <border>
      <left/>
      <right style="thin">
        <color theme="1" tint="4.9989318521683403E-2"/>
      </right>
      <top/>
      <bottom style="thin">
        <color theme="1" tint="4.9989318521683403E-2"/>
      </bottom>
      <diagonal/>
    </border>
    <border>
      <left style="thin">
        <color theme="1" tint="4.9989318521683403E-2"/>
      </left>
      <right/>
      <top style="thin">
        <color theme="1" tint="4.9989318521683403E-2"/>
      </top>
      <bottom/>
      <diagonal/>
    </border>
    <border>
      <left/>
      <right/>
      <top style="thin">
        <color theme="1" tint="4.9989318521683403E-2"/>
      </top>
      <bottom/>
      <diagonal/>
    </border>
    <border>
      <left/>
      <right style="thin">
        <color theme="1" tint="4.9989318521683403E-2"/>
      </right>
      <top style="thin">
        <color theme="1" tint="4.9989318521683403E-2"/>
      </top>
      <bottom/>
      <diagonal/>
    </border>
    <border>
      <left style="thin">
        <color theme="1" tint="4.9989318521683403E-2"/>
      </left>
      <right/>
      <top/>
      <bottom style="thin">
        <color theme="1" tint="4.9989318521683403E-2"/>
      </bottom>
      <diagonal/>
    </border>
    <border>
      <left/>
      <right/>
      <top/>
      <bottom style="thin">
        <color theme="1" tint="4.9989318521683403E-2"/>
      </bottom>
      <diagonal/>
    </border>
    <border>
      <left/>
      <right/>
      <top style="thin">
        <color theme="1" tint="4.9989318521683403E-2"/>
      </top>
      <bottom style="thin">
        <color theme="1" tint="4.9989318521683403E-2"/>
      </bottom>
      <diagonal/>
    </border>
    <border>
      <left/>
      <right style="thin">
        <color theme="1" tint="0.14993743705557422"/>
      </right>
      <top style="thin">
        <color theme="1" tint="0.14996795556505021"/>
      </top>
      <bottom/>
      <diagonal/>
    </border>
    <border>
      <left/>
      <right style="thin">
        <color theme="1" tint="0.14993743705557422"/>
      </right>
      <top/>
      <bottom/>
      <diagonal/>
    </border>
    <border>
      <left style="thin">
        <color theme="1" tint="4.9989318521683403E-2"/>
      </left>
      <right style="hair">
        <color indexed="64"/>
      </right>
      <top style="thin">
        <color theme="1" tint="4.9989318521683403E-2"/>
      </top>
      <bottom style="thin">
        <color theme="1" tint="4.9989318521683403E-2"/>
      </bottom>
      <diagonal/>
    </border>
    <border>
      <left style="thick">
        <color theme="0" tint="-0.14993743705557422"/>
      </left>
      <right style="thick">
        <color theme="0" tint="-0.14996795556505021"/>
      </right>
      <top/>
      <bottom style="thick">
        <color theme="0" tint="-0.14993743705557422"/>
      </bottom>
      <diagonal/>
    </border>
    <border>
      <left style="thick">
        <color theme="0" tint="-0.14996795556505021"/>
      </left>
      <right/>
      <top style="thick">
        <color theme="0" tint="-0.14996795556505021"/>
      </top>
      <bottom style="thick">
        <color theme="0" tint="-0.14990691854609822"/>
      </bottom>
      <diagonal/>
    </border>
    <border>
      <left/>
      <right/>
      <top style="thick">
        <color theme="0" tint="-0.14996795556505021"/>
      </top>
      <bottom style="thick">
        <color theme="0" tint="-0.14990691854609822"/>
      </bottom>
      <diagonal/>
    </border>
    <border>
      <left/>
      <right style="thick">
        <color theme="0" tint="-0.14993743705557422"/>
      </right>
      <top style="thick">
        <color theme="0" tint="-0.14996795556505021"/>
      </top>
      <bottom style="thick">
        <color theme="0" tint="-0.14990691854609822"/>
      </bottom>
      <diagonal/>
    </border>
    <border>
      <left style="thin">
        <color theme="2"/>
      </left>
      <right/>
      <top style="thin">
        <color theme="2"/>
      </top>
      <bottom/>
      <diagonal/>
    </border>
    <border>
      <left/>
      <right/>
      <top style="thin">
        <color theme="2"/>
      </top>
      <bottom/>
      <diagonal/>
    </border>
    <border>
      <left/>
      <right style="thin">
        <color theme="2"/>
      </right>
      <top style="thin">
        <color theme="2"/>
      </top>
      <bottom/>
      <diagonal/>
    </border>
    <border>
      <left style="thin">
        <color theme="2"/>
      </left>
      <right/>
      <top/>
      <bottom/>
      <diagonal/>
    </border>
    <border>
      <left/>
      <right style="thin">
        <color theme="2"/>
      </right>
      <top/>
      <bottom/>
      <diagonal/>
    </border>
    <border>
      <left style="thin">
        <color theme="2"/>
      </left>
      <right/>
      <top/>
      <bottom style="thin">
        <color theme="2"/>
      </bottom>
      <diagonal/>
    </border>
    <border>
      <left/>
      <right/>
      <top/>
      <bottom style="thin">
        <color theme="2"/>
      </bottom>
      <diagonal/>
    </border>
    <border>
      <left/>
      <right style="thin">
        <color theme="2"/>
      </right>
      <top/>
      <bottom style="thin">
        <color theme="2"/>
      </bottom>
      <diagonal/>
    </border>
    <border>
      <left style="hair">
        <color indexed="64"/>
      </left>
      <right style="thin">
        <color theme="1" tint="0.14996795556505021"/>
      </right>
      <top/>
      <bottom style="thin">
        <color theme="1" tint="0.14996795556505021"/>
      </bottom>
      <diagonal/>
    </border>
    <border>
      <left style="thin">
        <color theme="1" tint="0.14996795556505021"/>
      </left>
      <right style="hair">
        <color indexed="64"/>
      </right>
      <top/>
      <bottom style="thin">
        <color theme="1" tint="0.14996795556505021"/>
      </bottom>
      <diagonal/>
    </border>
    <border>
      <left/>
      <right style="thick">
        <color theme="0" tint="-0.14990691854609822"/>
      </right>
      <top style="thick">
        <color theme="0" tint="-0.14993743705557422"/>
      </top>
      <bottom style="thick">
        <color theme="0" tint="-0.14990691854609822"/>
      </bottom>
      <diagonal/>
    </border>
    <border>
      <left/>
      <right/>
      <top style="thick">
        <color theme="0" tint="-0.14993743705557422"/>
      </top>
      <bottom style="thick">
        <color theme="0" tint="-0.14990691854609822"/>
      </bottom>
      <diagonal/>
    </border>
    <border>
      <left style="thick">
        <color theme="0" tint="-0.14990691854609822"/>
      </left>
      <right/>
      <top style="thick">
        <color theme="0" tint="-0.14990691854609822"/>
      </top>
      <bottom style="thick">
        <color theme="0" tint="-0.14996795556505021"/>
      </bottom>
      <diagonal/>
    </border>
    <border>
      <left/>
      <right/>
      <top style="thick">
        <color theme="0" tint="-0.14990691854609822"/>
      </top>
      <bottom style="thick">
        <color theme="0" tint="-0.14996795556505021"/>
      </bottom>
      <diagonal/>
    </border>
    <border>
      <left/>
      <right/>
      <top style="thick">
        <color theme="0" tint="-0.14993743705557422"/>
      </top>
      <bottom style="thick">
        <color theme="0" tint="-0.14993743705557422"/>
      </bottom>
      <diagonal/>
    </border>
    <border>
      <left/>
      <right style="thick">
        <color theme="0" tint="-0.14993743705557422"/>
      </right>
      <top style="thick">
        <color theme="0" tint="-0.14993743705557422"/>
      </top>
      <bottom style="thick">
        <color theme="0" tint="-0.14993743705557422"/>
      </bottom>
      <diagonal/>
    </border>
    <border>
      <left/>
      <right/>
      <top style="thick">
        <color theme="0" tint="-0.1498764000366222"/>
      </top>
      <bottom/>
      <diagonal/>
    </border>
    <border>
      <left/>
      <right style="thick">
        <color theme="0" tint="-0.1498764000366222"/>
      </right>
      <top style="thick">
        <color theme="0" tint="-0.1498764000366222"/>
      </top>
      <bottom/>
      <diagonal/>
    </border>
    <border>
      <left style="thick">
        <color theme="0" tint="-0.1498764000366222"/>
      </left>
      <right/>
      <top/>
      <bottom style="thick">
        <color theme="0" tint="-0.1498764000366222"/>
      </bottom>
      <diagonal/>
    </border>
    <border>
      <left/>
      <right/>
      <top/>
      <bottom style="thick">
        <color theme="0" tint="-0.1498764000366222"/>
      </bottom>
      <diagonal/>
    </border>
    <border>
      <left/>
      <right style="thick">
        <color theme="0" tint="-0.1498764000366222"/>
      </right>
      <top/>
      <bottom style="thick">
        <color theme="0" tint="-0.1498764000366222"/>
      </bottom>
      <diagonal/>
    </border>
    <border>
      <left style="thick">
        <color theme="0" tint="-0.1498764000366222"/>
      </left>
      <right/>
      <top/>
      <bottom style="thick">
        <color theme="0" tint="-0.14990691854609822"/>
      </bottom>
      <diagonal/>
    </border>
    <border>
      <left/>
      <right style="thick">
        <color theme="0" tint="-0.1498764000366222"/>
      </right>
      <top/>
      <bottom style="thick">
        <color theme="0" tint="-0.14990691854609822"/>
      </bottom>
      <diagonal/>
    </border>
    <border>
      <left/>
      <right/>
      <top style="thin">
        <color theme="0" tint="-0.14993743705557422"/>
      </top>
      <bottom/>
      <diagonal/>
    </border>
    <border>
      <left style="thin">
        <color theme="0" tint="-0.14993743705557422"/>
      </left>
      <right/>
      <top style="thin">
        <color theme="0" tint="-0.14993743705557422"/>
      </top>
      <bottom/>
      <diagonal/>
    </border>
    <border>
      <left/>
      <right style="thin">
        <color theme="0" tint="-0.14993743705557422"/>
      </right>
      <top style="thin">
        <color theme="0" tint="-0.14993743705557422"/>
      </top>
      <bottom/>
      <diagonal/>
    </border>
    <border>
      <left style="thin">
        <color theme="0" tint="-0.14993743705557422"/>
      </left>
      <right/>
      <top/>
      <bottom style="thin">
        <color theme="0" tint="-0.14993743705557422"/>
      </bottom>
      <diagonal/>
    </border>
    <border>
      <left/>
      <right style="thin">
        <color theme="0" tint="-0.14993743705557422"/>
      </right>
      <top/>
      <bottom style="thin">
        <color theme="0" tint="-0.14993743705557422"/>
      </bottom>
      <diagonal/>
    </border>
    <border>
      <left/>
      <right/>
      <top style="thick">
        <color theme="0"/>
      </top>
      <bottom/>
      <diagonal/>
    </border>
    <border>
      <left/>
      <right/>
      <top/>
      <bottom style="thick">
        <color theme="0"/>
      </bottom>
      <diagonal/>
    </border>
    <border>
      <left style="thick">
        <color theme="0"/>
      </left>
      <right/>
      <top style="thick">
        <color theme="0"/>
      </top>
      <bottom/>
      <diagonal/>
    </border>
    <border>
      <left style="thick">
        <color theme="0"/>
      </left>
      <right/>
      <top/>
      <bottom style="thick">
        <color theme="0"/>
      </bottom>
      <diagonal/>
    </border>
    <border>
      <left style="thick">
        <color theme="0"/>
      </left>
      <right/>
      <top/>
      <bottom/>
      <diagonal/>
    </border>
    <border>
      <left/>
      <right style="thick">
        <color theme="0"/>
      </right>
      <top style="thick">
        <color theme="0"/>
      </top>
      <bottom/>
      <diagonal/>
    </border>
    <border>
      <left/>
      <right style="thick">
        <color theme="0"/>
      </right>
      <top/>
      <bottom/>
      <diagonal/>
    </border>
    <border>
      <left/>
      <right style="thick">
        <color theme="0"/>
      </right>
      <top/>
      <bottom style="thick">
        <color theme="0"/>
      </bottom>
      <diagonal/>
    </border>
    <border>
      <left style="thick">
        <color theme="0" tint="-0.14996795556505021"/>
      </left>
      <right/>
      <top style="thick">
        <color theme="0" tint="-0.14990691854609822"/>
      </top>
      <bottom style="thick">
        <color theme="0" tint="-0.14996795556505021"/>
      </bottom>
      <diagonal/>
    </border>
    <border>
      <left/>
      <right style="thick">
        <color theme="0" tint="-0.14996795556505021"/>
      </right>
      <top style="thick">
        <color theme="0" tint="-0.14990691854609822"/>
      </top>
      <bottom style="thick">
        <color theme="0" tint="-0.14996795556505021"/>
      </bottom>
      <diagonal/>
    </border>
    <border>
      <left/>
      <right style="thick">
        <color theme="0" tint="-0.1498764000366222"/>
      </right>
      <top style="thick">
        <color theme="0" tint="-0.14990691854609822"/>
      </top>
      <bottom style="thick">
        <color theme="0" tint="-0.14990691854609822"/>
      </bottom>
      <diagonal/>
    </border>
    <border>
      <left style="thin">
        <color theme="0"/>
      </left>
      <right/>
      <top/>
      <bottom/>
      <diagonal/>
    </border>
    <border>
      <left/>
      <right style="thin">
        <color theme="0"/>
      </right>
      <top/>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right style="thin">
        <color theme="1" tint="0.24994659260841701"/>
      </right>
      <top/>
      <bottom style="thin">
        <color theme="1" tint="0.24994659260841701"/>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style="thick">
        <color theme="0" tint="-0.1498764000366222"/>
      </right>
      <top/>
      <bottom style="thick">
        <color theme="0" tint="-0.14996795556505021"/>
      </bottom>
      <diagonal/>
    </border>
    <border>
      <left/>
      <right style="thin">
        <color theme="0" tint="-0.14996795556505021"/>
      </right>
      <top style="medium">
        <color indexed="64"/>
      </top>
      <bottom/>
      <diagonal/>
    </border>
    <border>
      <left style="thick">
        <color theme="0" tint="-0.14993743705557422"/>
      </left>
      <right/>
      <top style="thick">
        <color theme="0" tint="-0.1498764000366222"/>
      </top>
      <bottom style="thick">
        <color theme="0" tint="-0.14993743705557422"/>
      </bottom>
      <diagonal/>
    </border>
    <border>
      <left/>
      <right/>
      <top style="thick">
        <color theme="0" tint="-0.1498764000366222"/>
      </top>
      <bottom style="thick">
        <color theme="0" tint="-0.14993743705557422"/>
      </bottom>
      <diagonal/>
    </border>
    <border>
      <left/>
      <right style="thick">
        <color theme="0" tint="-0.14990691854609822"/>
      </right>
      <top style="thick">
        <color theme="0" tint="-0.14990691854609822"/>
      </top>
      <bottom style="thick">
        <color theme="0" tint="-0.14996795556505021"/>
      </bottom>
      <diagonal/>
    </border>
    <border>
      <left style="thick">
        <color theme="0" tint="-0.14996795556505021"/>
      </left>
      <right style="thick">
        <color theme="0" tint="-0.14990691854609822"/>
      </right>
      <top style="thick">
        <color theme="0" tint="-0.14996795556505021"/>
      </top>
      <bottom style="thick">
        <color theme="0" tint="-0.14996795556505021"/>
      </bottom>
      <diagonal/>
    </border>
    <border>
      <left/>
      <right style="thick">
        <color theme="0" tint="-0.14990691854609822"/>
      </right>
      <top/>
      <bottom style="thick">
        <color theme="0" tint="-0.14993743705557422"/>
      </bottom>
      <diagonal/>
    </border>
    <border>
      <left/>
      <right/>
      <top style="thick">
        <color theme="0" tint="-0.14990691854609822"/>
      </top>
      <bottom style="thick">
        <color theme="0" tint="-0.14990691854609822"/>
      </bottom>
      <diagonal/>
    </border>
    <border>
      <left/>
      <right style="thick">
        <color theme="0" tint="-0.14990691854609822"/>
      </right>
      <top style="thick">
        <color theme="0" tint="-0.14990691854609822"/>
      </top>
      <bottom style="thick">
        <color theme="0" tint="-0.14990691854609822"/>
      </bottom>
      <diagonal/>
    </border>
    <border>
      <left style="thick">
        <color theme="0" tint="-0.14990691854609822"/>
      </left>
      <right/>
      <top style="thick">
        <color theme="0" tint="-0.14996795556505021"/>
      </top>
      <bottom style="thick">
        <color theme="0" tint="-0.14996795556505021"/>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diagonal/>
    </border>
    <border>
      <left style="thin">
        <color theme="0" tint="-0.14990691854609822"/>
      </left>
      <right style="thin">
        <color theme="0" tint="-0.14990691854609822"/>
      </right>
      <top/>
      <bottom/>
      <diagonal/>
    </border>
    <border>
      <left style="thin">
        <color theme="0" tint="-0.14990691854609822"/>
      </left>
      <right style="thin">
        <color theme="0" tint="-0.14990691854609822"/>
      </right>
      <top/>
      <bottom style="thin">
        <color theme="0" tint="-0.14990691854609822"/>
      </bottom>
      <diagonal/>
    </border>
    <border>
      <left/>
      <right style="thick">
        <color theme="0" tint="-0.14990691854609822"/>
      </right>
      <top/>
      <bottom style="thick">
        <color theme="0" tint="-0.14990691854609822"/>
      </bottom>
      <diagonal/>
    </border>
    <border>
      <left style="thick">
        <color theme="0" tint="-0.14993743705557422"/>
      </left>
      <right/>
      <top style="thick">
        <color theme="0" tint="-0.14990691854609822"/>
      </top>
      <bottom style="thick">
        <color theme="0" tint="-0.14996795556505021"/>
      </bottom>
      <diagonal/>
    </border>
    <border>
      <left/>
      <right style="thick">
        <color theme="0" tint="-0.14990691854609822"/>
      </right>
      <top style="thick">
        <color theme="0" tint="-0.14996795556505021"/>
      </top>
      <bottom/>
      <diagonal/>
    </border>
    <border>
      <left/>
      <right style="thick">
        <color theme="0" tint="-0.14990691854609822"/>
      </right>
      <top/>
      <bottom style="thick">
        <color theme="0" tint="-0.14996795556505021"/>
      </bottom>
      <diagonal/>
    </border>
    <border>
      <left style="thick">
        <color theme="0" tint="-0.14993743705557422"/>
      </left>
      <right/>
      <top style="thick">
        <color theme="0" tint="-0.14990691854609822"/>
      </top>
      <bottom style="thick">
        <color theme="0" tint="-0.14993743705557422"/>
      </bottom>
      <diagonal/>
    </border>
    <border>
      <left/>
      <right/>
      <top style="thick">
        <color theme="0" tint="-0.14990691854609822"/>
      </top>
      <bottom style="thick">
        <color theme="0" tint="-0.14993743705557422"/>
      </bottom>
      <diagonal/>
    </border>
    <border>
      <left/>
      <right style="thick">
        <color theme="0" tint="-0.14990691854609822"/>
      </right>
      <top style="thick">
        <color theme="0" tint="-0.14990691854609822"/>
      </top>
      <bottom style="thick">
        <color theme="0" tint="-0.14993743705557422"/>
      </bottom>
      <diagonal/>
    </border>
    <border>
      <left style="medium">
        <color theme="0" tint="-0.14996795556505021"/>
      </left>
      <right/>
      <top/>
      <bottom style="medium">
        <color theme="0" tint="-0.14996795556505021"/>
      </bottom>
      <diagonal/>
    </border>
    <border>
      <left/>
      <right/>
      <top/>
      <bottom style="medium">
        <color theme="0" tint="-0.14996795556505021"/>
      </bottom>
      <diagonal/>
    </border>
    <border>
      <left/>
      <right style="medium">
        <color theme="0" tint="-0.14996795556505021"/>
      </right>
      <top/>
      <bottom style="medium">
        <color theme="0" tint="-0.14996795556505021"/>
      </bottom>
      <diagonal/>
    </border>
    <border>
      <left style="thin">
        <color theme="0" tint="-0.14993743705557422"/>
      </left>
      <right/>
      <top/>
      <bottom/>
      <diagonal/>
    </border>
    <border>
      <left/>
      <right style="thin">
        <color theme="0" tint="-0.14993743705557422"/>
      </right>
      <top/>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dotted">
        <color indexed="64"/>
      </left>
      <right/>
      <top style="thin">
        <color theme="1"/>
      </top>
      <bottom/>
      <diagonal/>
    </border>
    <border>
      <left style="thick">
        <color theme="0" tint="-0.24994659260841701"/>
      </left>
      <right style="thick">
        <color theme="0" tint="-0.14996795556505021"/>
      </right>
      <top style="thick">
        <color theme="0" tint="-0.24994659260841701"/>
      </top>
      <bottom style="thick">
        <color theme="0" tint="-0.14996795556505021"/>
      </bottom>
      <diagonal/>
    </border>
    <border>
      <left style="thick">
        <color theme="0" tint="-0.14996795556505021"/>
      </left>
      <right/>
      <top style="thick">
        <color theme="0" tint="-0.24994659260841701"/>
      </top>
      <bottom style="thick">
        <color theme="0" tint="-0.14996795556505021"/>
      </bottom>
      <diagonal/>
    </border>
    <border>
      <left/>
      <right/>
      <top style="thick">
        <color theme="0" tint="-0.24994659260841701"/>
      </top>
      <bottom style="thick">
        <color theme="0" tint="-0.14996795556505021"/>
      </bottom>
      <diagonal/>
    </border>
    <border>
      <left/>
      <right style="thick">
        <color theme="0" tint="-0.14996795556505021"/>
      </right>
      <top style="thick">
        <color theme="0" tint="-0.24994659260841701"/>
      </top>
      <bottom style="thick">
        <color theme="0" tint="-0.14996795556505021"/>
      </bottom>
      <diagonal/>
    </border>
    <border>
      <left style="thick">
        <color theme="0" tint="-0.14996795556505021"/>
      </left>
      <right style="thick">
        <color theme="0" tint="-0.14996795556505021"/>
      </right>
      <top style="thick">
        <color theme="0" tint="-0.24994659260841701"/>
      </top>
      <bottom style="thick">
        <color theme="0" tint="-0.14996795556505021"/>
      </bottom>
      <diagonal/>
    </border>
    <border>
      <left/>
      <right style="thick">
        <color theme="0" tint="-0.24994659260841701"/>
      </right>
      <top style="thick">
        <color theme="0" tint="-0.24994659260841701"/>
      </top>
      <bottom style="thick">
        <color theme="0" tint="-0.14996795556505021"/>
      </bottom>
      <diagonal/>
    </border>
    <border>
      <left style="thick">
        <color theme="0" tint="-0.24994659260841701"/>
      </left>
      <right style="thick">
        <color theme="0" tint="-0.14996795556505021"/>
      </right>
      <top style="thick">
        <color theme="0" tint="-0.14990691854609822"/>
      </top>
      <bottom style="thick">
        <color theme="0" tint="-0.14996795556505021"/>
      </bottom>
      <diagonal/>
    </border>
    <border>
      <left/>
      <right style="thick">
        <color theme="0" tint="-0.24994659260841701"/>
      </right>
      <top style="thick">
        <color theme="0" tint="-0.14990691854609822"/>
      </top>
      <bottom style="thick">
        <color theme="0" tint="-0.14996795556505021"/>
      </bottom>
      <diagonal/>
    </border>
    <border>
      <left style="thick">
        <color theme="0" tint="-0.24994659260841701"/>
      </left>
      <right style="thick">
        <color theme="0" tint="-0.14996795556505021"/>
      </right>
      <top/>
      <bottom style="thick">
        <color theme="0" tint="-0.14996795556505021"/>
      </bottom>
      <diagonal/>
    </border>
    <border>
      <left/>
      <right style="thick">
        <color theme="0" tint="-0.24994659260841701"/>
      </right>
      <top style="thick">
        <color theme="0" tint="-0.14996795556505021"/>
      </top>
      <bottom style="thick">
        <color theme="0" tint="-0.14996795556505021"/>
      </bottom>
      <diagonal/>
    </border>
    <border>
      <left style="thick">
        <color theme="0" tint="-0.14996795556505021"/>
      </left>
      <right style="thick">
        <color theme="0" tint="-0.24994659260841701"/>
      </right>
      <top style="thick">
        <color theme="0" tint="-0.14996795556505021"/>
      </top>
      <bottom style="thick">
        <color theme="0" tint="-0.14996795556505021"/>
      </bottom>
      <diagonal/>
    </border>
    <border>
      <left style="thick">
        <color theme="0" tint="-0.24994659260841701"/>
      </left>
      <right style="thick">
        <color theme="0" tint="-0.14996795556505021"/>
      </right>
      <top/>
      <bottom style="thick">
        <color theme="0" tint="-0.14993743705557422"/>
      </bottom>
      <diagonal/>
    </border>
    <border>
      <left/>
      <right style="thick">
        <color theme="0" tint="-0.24994659260841701"/>
      </right>
      <top/>
      <bottom style="thick">
        <color theme="0" tint="-0.14993743705557422"/>
      </bottom>
      <diagonal/>
    </border>
    <border>
      <left style="thick">
        <color theme="0" tint="-0.24994659260841701"/>
      </left>
      <right style="thick">
        <color theme="0" tint="-0.14996795556505021"/>
      </right>
      <top/>
      <bottom style="thick">
        <color theme="0" tint="-0.24994659260841701"/>
      </bottom>
      <diagonal/>
    </border>
    <border>
      <left/>
      <right style="thick">
        <color theme="0" tint="-0.14996795556505021"/>
      </right>
      <top/>
      <bottom style="thick">
        <color theme="0" tint="-0.24994659260841701"/>
      </bottom>
      <diagonal/>
    </border>
    <border>
      <left/>
      <right/>
      <top style="thick">
        <color theme="0" tint="-0.14996795556505021"/>
      </top>
      <bottom style="thick">
        <color theme="0" tint="-0.24994659260841701"/>
      </bottom>
      <diagonal/>
    </border>
    <border>
      <left style="thin">
        <color theme="0" tint="-0.14996795556505021"/>
      </left>
      <right/>
      <top style="thin">
        <color theme="0" tint="-0.14993743705557422"/>
      </top>
      <bottom/>
      <diagonal/>
    </border>
    <border>
      <left/>
      <right style="thin">
        <color theme="0" tint="-0.14996795556505021"/>
      </right>
      <top style="thin">
        <color theme="0" tint="-0.14993743705557422"/>
      </top>
      <bottom/>
      <diagonal/>
    </border>
    <border>
      <left style="thin">
        <color theme="0" tint="-0.14996795556505021"/>
      </left>
      <right/>
      <top/>
      <bottom style="thin">
        <color theme="0" tint="-0.14993743705557422"/>
      </bottom>
      <diagonal/>
    </border>
    <border>
      <left/>
      <right style="thin">
        <color theme="0" tint="-0.14996795556505021"/>
      </right>
      <top/>
      <bottom style="thin">
        <color theme="0" tint="-0.14993743705557422"/>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
      <left/>
      <right style="thin">
        <color theme="0" tint="-0.14996795556505021"/>
      </right>
      <top style="thin">
        <color theme="0" tint="-0.14993743705557422"/>
      </top>
      <bottom style="thin">
        <color theme="0" tint="-0.14993743705557422"/>
      </bottom>
      <diagonal/>
    </border>
    <border>
      <left style="medium">
        <color theme="0" tint="-0.14996795556505021"/>
      </left>
      <right/>
      <top style="medium">
        <color theme="0" tint="-0.14996795556505021"/>
      </top>
      <bottom/>
      <diagonal/>
    </border>
    <border>
      <left/>
      <right/>
      <top style="medium">
        <color theme="0" tint="-0.14996795556505021"/>
      </top>
      <bottom/>
      <diagonal/>
    </border>
    <border>
      <left/>
      <right style="medium">
        <color theme="0" tint="-0.14996795556505021"/>
      </right>
      <top style="medium">
        <color theme="0" tint="-0.14996795556505021"/>
      </top>
      <bottom/>
      <diagonal/>
    </border>
    <border>
      <left style="thin">
        <color theme="0"/>
      </left>
      <right style="thin">
        <color theme="0" tint="-4.9989318521683403E-2"/>
      </right>
      <top style="thin">
        <color theme="0" tint="-4.9989318521683403E-2"/>
      </top>
      <bottom style="thin">
        <color theme="0"/>
      </bottom>
      <diagonal/>
    </border>
    <border>
      <left style="thin">
        <color theme="0"/>
      </left>
      <right style="thin">
        <color theme="0" tint="-4.9989318521683403E-2"/>
      </right>
      <top style="thin">
        <color theme="0"/>
      </top>
      <bottom style="thin">
        <color theme="0"/>
      </bottom>
      <diagonal/>
    </border>
    <border>
      <left style="thick">
        <color theme="0" tint="-0.499984740745262"/>
      </left>
      <right style="thick">
        <color theme="0" tint="-0.499984740745262"/>
      </right>
      <top/>
      <bottom/>
      <diagonal/>
    </border>
    <border>
      <left/>
      <right style="thin">
        <color theme="0" tint="-4.9989318521683403E-2"/>
      </right>
      <top style="thin">
        <color theme="0" tint="-4.9989318521683403E-2"/>
      </top>
      <bottom/>
      <diagonal/>
    </border>
    <border>
      <left/>
      <right style="thin">
        <color theme="0" tint="-4.9989318521683403E-2"/>
      </right>
      <top/>
      <bottom/>
      <diagonal/>
    </border>
    <border>
      <left/>
      <right style="thin">
        <color theme="0" tint="-0.14993743705557422"/>
      </right>
      <top style="thin">
        <color theme="0" tint="-0.14996795556505021"/>
      </top>
      <bottom/>
      <diagonal/>
    </border>
    <border>
      <left style="thin">
        <color theme="0" tint="-0.14993743705557422"/>
      </left>
      <right style="thin">
        <color theme="0" tint="-0.14996795556505021"/>
      </right>
      <top style="thin">
        <color theme="0" tint="-0.14993743705557422"/>
      </top>
      <bottom style="thin">
        <color theme="0" tint="-0.14996795556505021"/>
      </bottom>
      <diagonal/>
    </border>
    <border>
      <left style="thin">
        <color theme="0" tint="-0.14996795556505021"/>
      </left>
      <right style="thin">
        <color theme="0" tint="-0.14996795556505021"/>
      </right>
      <top style="thin">
        <color theme="0" tint="-0.14993743705557422"/>
      </top>
      <bottom style="thin">
        <color theme="0" tint="-0.14996795556505021"/>
      </bottom>
      <diagonal/>
    </border>
    <border>
      <left style="thin">
        <color theme="0" tint="-0.14996795556505021"/>
      </left>
      <right style="thin">
        <color theme="0" tint="-0.14993743705557422"/>
      </right>
      <top style="thin">
        <color theme="0" tint="-0.14993743705557422"/>
      </top>
      <bottom style="thin">
        <color theme="0" tint="-0.14996795556505021"/>
      </bottom>
      <diagonal/>
    </border>
    <border>
      <left style="thin">
        <color theme="0" tint="-0.14993743705557422"/>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3743705557422"/>
      </right>
      <top style="thin">
        <color theme="0" tint="-0.14996795556505021"/>
      </top>
      <bottom style="thin">
        <color theme="0" tint="-0.14996795556505021"/>
      </bottom>
      <diagonal/>
    </border>
    <border>
      <left style="thin">
        <color theme="0" tint="-0.14996795556505021"/>
      </left>
      <right style="thin">
        <color theme="0" tint="-0.14993743705557422"/>
      </right>
      <top/>
      <bottom style="thin">
        <color theme="0" tint="-0.14996795556505021"/>
      </bottom>
      <diagonal/>
    </border>
    <border>
      <left style="thin">
        <color theme="0" tint="-0.14993743705557422"/>
      </left>
      <right style="thin">
        <color theme="0" tint="-0.14996795556505021"/>
      </right>
      <top/>
      <bottom style="thin">
        <color theme="0" tint="-0.14996795556505021"/>
      </bottom>
      <diagonal/>
    </border>
    <border>
      <left style="thin">
        <color theme="0" tint="-0.14996795556505021"/>
      </left>
      <right style="thin">
        <color theme="0" tint="-0.14993743705557422"/>
      </right>
      <top style="thin">
        <color theme="0" tint="-0.14993743705557422"/>
      </top>
      <bottom/>
      <diagonal/>
    </border>
    <border>
      <left style="thin">
        <color theme="1"/>
      </left>
      <right/>
      <top/>
      <bottom/>
      <diagonal/>
    </border>
    <border>
      <left style="thin">
        <color theme="0" tint="-0.14993743705557422"/>
      </left>
      <right style="medium">
        <color indexed="64"/>
      </right>
      <top style="medium">
        <color indexed="64"/>
      </top>
      <bottom style="thin">
        <color theme="0" tint="-0.14993743705557422"/>
      </bottom>
      <diagonal/>
    </border>
    <border>
      <left style="thin">
        <color theme="0" tint="-0.14993743705557422"/>
      </left>
      <right style="medium">
        <color indexed="64"/>
      </right>
      <top style="thin">
        <color theme="0" tint="-0.14993743705557422"/>
      </top>
      <bottom style="thin">
        <color theme="0" tint="-0.14993743705557422"/>
      </bottom>
      <diagonal/>
    </border>
    <border>
      <left style="thin">
        <color theme="0" tint="-0.14993743705557422"/>
      </left>
      <right style="medium">
        <color indexed="64"/>
      </right>
      <top style="thin">
        <color theme="0" tint="-0.14993743705557422"/>
      </top>
      <bottom style="medium">
        <color indexed="64"/>
      </bottom>
      <diagonal/>
    </border>
    <border>
      <left style="thin">
        <color theme="0" tint="-0.14993743705557422"/>
      </left>
      <right style="medium">
        <color indexed="64"/>
      </right>
      <top style="thin">
        <color theme="0" tint="-0.14993743705557422"/>
      </top>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diagonal/>
    </border>
    <border>
      <left style="thin">
        <color theme="0" tint="-0.14993743705557422"/>
      </left>
      <right style="medium">
        <color indexed="64"/>
      </right>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style="thin">
        <color theme="1" tint="0.24994659260841701"/>
      </left>
      <right/>
      <top/>
      <bottom style="thin">
        <color theme="1" tint="0.24994659260841701"/>
      </bottom>
      <diagonal/>
    </border>
    <border>
      <left/>
      <right/>
      <top style="thin">
        <color theme="0" tint="-0.14990691854609822"/>
      </top>
      <bottom style="thin">
        <color theme="0" tint="-0.14996795556505021"/>
      </bottom>
      <diagonal/>
    </border>
    <border>
      <left style="thin">
        <color theme="0" tint="-0.14996795556505021"/>
      </left>
      <right/>
      <top style="thin">
        <color theme="0" tint="-0.14996795556505021"/>
      </top>
      <bottom style="thick">
        <color theme="0" tint="-4.9989318521683403E-2"/>
      </bottom>
      <diagonal/>
    </border>
    <border>
      <left/>
      <right style="thin">
        <color theme="0" tint="-0.14996795556505021"/>
      </right>
      <top style="thin">
        <color theme="0" tint="-0.14996795556505021"/>
      </top>
      <bottom style="thick">
        <color theme="0" tint="-4.9989318521683403E-2"/>
      </bottom>
      <diagonal/>
    </border>
    <border>
      <left style="thin">
        <color theme="0" tint="-0.14996795556505021"/>
      </left>
      <right/>
      <top style="thick">
        <color theme="0" tint="-4.9989318521683403E-2"/>
      </top>
      <bottom style="thin">
        <color theme="0" tint="-0.14996795556505021"/>
      </bottom>
      <diagonal/>
    </border>
    <border>
      <left/>
      <right style="thin">
        <color theme="0" tint="-0.14996795556505021"/>
      </right>
      <top style="thick">
        <color theme="0" tint="-4.9989318521683403E-2"/>
      </top>
      <bottom style="thin">
        <color theme="0" tint="-0.14996795556505021"/>
      </bottom>
      <diagonal/>
    </border>
    <border>
      <left style="thin">
        <color theme="0" tint="-0.14993743705557422"/>
      </left>
      <right style="thin">
        <color theme="0" tint="-0.14996795556505021"/>
      </right>
      <top/>
      <bottom style="thin">
        <color theme="0" tint="-0.14990691854609822"/>
      </bottom>
      <diagonal/>
    </border>
    <border>
      <left style="thin">
        <color theme="0" tint="-0.14993743705557422"/>
      </left>
      <right/>
      <top style="thin">
        <color theme="0" tint="-0.14996795556505021"/>
      </top>
      <bottom style="thin">
        <color theme="0" tint="-0.14996795556505021"/>
      </bottom>
      <diagonal/>
    </border>
    <border>
      <left style="thin">
        <color theme="0" tint="-0.14990691854609822"/>
      </left>
      <right/>
      <top style="thin">
        <color theme="0" tint="-0.14993743705557422"/>
      </top>
      <bottom/>
      <diagonal/>
    </border>
    <border>
      <left style="thin">
        <color theme="0" tint="-0.14990691854609822"/>
      </left>
      <right/>
      <top/>
      <bottom style="thin">
        <color theme="0" tint="-0.14993743705557422"/>
      </bottom>
      <diagonal/>
    </border>
    <border>
      <left style="thin">
        <color theme="1" tint="0.24994659260841701"/>
      </left>
      <right/>
      <top style="thin">
        <color theme="1" tint="0.24994659260841701"/>
      </top>
      <bottom/>
      <diagonal/>
    </border>
    <border>
      <left/>
      <right style="thin">
        <color theme="1" tint="0.24994659260841701"/>
      </right>
      <top style="thin">
        <color theme="1" tint="0.24994659260841701"/>
      </top>
      <bottom/>
      <diagonal/>
    </border>
    <border>
      <left style="thick">
        <color theme="0" tint="-0.14990691854609822"/>
      </left>
      <right/>
      <top style="thick">
        <color theme="0" tint="-0.14996795556505021"/>
      </top>
      <bottom style="thick">
        <color theme="0" tint="-0.14990691854609822"/>
      </bottom>
      <diagonal/>
    </border>
    <border>
      <left/>
      <right/>
      <top/>
      <bottom style="dotted">
        <color indexed="64"/>
      </bottom>
      <diagonal/>
    </border>
    <border>
      <left style="thin">
        <color theme="0" tint="-0.14996795556505021"/>
      </left>
      <right/>
      <top style="thin">
        <color theme="0" tint="-0.14996795556505021"/>
      </top>
      <bottom style="dotted">
        <color indexed="64"/>
      </bottom>
      <diagonal/>
    </border>
    <border>
      <left/>
      <right style="thin">
        <color theme="0" tint="-0.14996795556505021"/>
      </right>
      <top style="thin">
        <color theme="0" tint="-0.14996795556505021"/>
      </top>
      <bottom style="dotted">
        <color indexed="64"/>
      </bottom>
      <diagonal/>
    </border>
    <border>
      <left style="thin">
        <color theme="0" tint="-0.14996795556505021"/>
      </left>
      <right/>
      <top/>
      <bottom style="dotted">
        <color indexed="64"/>
      </bottom>
      <diagonal/>
    </border>
    <border>
      <left/>
      <right style="thin">
        <color theme="0" tint="-0.14996795556505021"/>
      </right>
      <top/>
      <bottom style="dotted">
        <color indexed="64"/>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right style="thin">
        <color theme="1" tint="0.14996795556505021"/>
      </right>
      <top/>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style="thin">
        <color theme="1" tint="0.14996795556505021"/>
      </right>
      <top style="thin">
        <color theme="1" tint="0.14996795556505021"/>
      </top>
      <bottom style="thin">
        <color theme="1" tint="0.14993743705557422"/>
      </bottom>
      <diagonal/>
    </border>
    <border>
      <left style="thin">
        <color theme="1" tint="0.14996795556505021"/>
      </left>
      <right/>
      <top/>
      <bottom style="thin">
        <color theme="1" tint="0.14993743705557422"/>
      </bottom>
      <diagonal/>
    </border>
    <border>
      <left/>
      <right/>
      <top/>
      <bottom style="thin">
        <color theme="1" tint="0.14993743705557422"/>
      </bottom>
      <diagonal/>
    </border>
    <border>
      <left/>
      <right style="thin">
        <color theme="1" tint="0.14996795556505021"/>
      </right>
      <top/>
      <bottom style="thin">
        <color theme="1" tint="0.14993743705557422"/>
      </bottom>
      <diagonal/>
    </border>
    <border>
      <left style="thin">
        <color theme="0" tint="-0.14993743705557422"/>
      </left>
      <right/>
      <top style="thin">
        <color theme="0" tint="-0.14996795556505021"/>
      </top>
      <bottom/>
      <diagonal/>
    </border>
    <border>
      <left style="thin">
        <color rgb="FFEEEEEE"/>
      </left>
      <right style="thin">
        <color rgb="FFEEEEEE"/>
      </right>
      <top style="thin">
        <color rgb="FFEEEEEE"/>
      </top>
      <bottom style="thin">
        <color rgb="FFEEEEEE"/>
      </bottom>
      <diagonal/>
    </border>
    <border>
      <left style="thin">
        <color theme="2" tint="-0.89996032593768116"/>
      </left>
      <right style="thin">
        <color theme="2" tint="-0.89996032593768116"/>
      </right>
      <top style="thin">
        <color theme="2" tint="-0.89996032593768116"/>
      </top>
      <bottom style="thin">
        <color theme="2" tint="-0.89996032593768116"/>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left>
      <right style="thin">
        <color theme="0"/>
      </right>
      <top/>
      <bottom/>
      <diagonal/>
    </border>
    <border>
      <left style="thin">
        <color theme="0" tint="-4.9989318521683403E-2"/>
      </left>
      <right/>
      <top style="thin">
        <color theme="0" tint="-4.9989318521683403E-2"/>
      </top>
      <bottom/>
      <diagonal/>
    </border>
    <border>
      <left style="thin">
        <color theme="0" tint="-4.9989318521683403E-2"/>
      </left>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2"/>
      </left>
      <right style="thin">
        <color theme="2"/>
      </right>
      <top style="thin">
        <color theme="2"/>
      </top>
      <bottom style="thin">
        <color theme="2"/>
      </bottom>
      <diagonal/>
    </border>
    <border>
      <left style="medium">
        <color theme="0"/>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medium">
        <color theme="0"/>
      </left>
      <right style="medium">
        <color theme="0"/>
      </right>
      <top/>
      <bottom/>
      <diagonal/>
    </border>
    <border>
      <left style="medium">
        <color theme="0"/>
      </left>
      <right style="medium">
        <color theme="0"/>
      </right>
      <top/>
      <bottom style="medium">
        <color theme="0"/>
      </bottom>
      <diagonal/>
    </border>
    <border>
      <left/>
      <right/>
      <top style="thin">
        <color theme="1"/>
      </top>
      <bottom style="thick">
        <color theme="0" tint="-0.24994659260841701"/>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style="thin">
        <color theme="1" tint="0.34998626667073579"/>
      </right>
      <top/>
      <bottom/>
      <diagonal/>
    </border>
    <border>
      <left style="thin">
        <color theme="1" tint="0.34998626667073579"/>
      </left>
      <right style="thin">
        <color theme="1" tint="0.34998626667073579"/>
      </right>
      <top/>
      <bottom style="thin">
        <color theme="1" tint="0.34998626667073579"/>
      </bottom>
      <diagonal/>
    </border>
    <border>
      <left style="thick">
        <color theme="0" tint="-0.14993743705557422"/>
      </left>
      <right/>
      <top/>
      <bottom/>
      <diagonal/>
    </border>
    <border>
      <left style="thin">
        <color theme="0" tint="-0.14996795556505021"/>
      </left>
      <right/>
      <top style="thin">
        <color theme="0" tint="-0.14993743705557422"/>
      </top>
      <bottom style="thin">
        <color theme="0" tint="-0.14993743705557422"/>
      </bottom>
      <diagonal/>
    </border>
    <border>
      <left style="thin">
        <color theme="1" tint="0.14990691854609822"/>
      </left>
      <right style="thin">
        <color theme="1" tint="0.14990691854609822"/>
      </right>
      <top style="thin">
        <color theme="1" tint="0.14990691854609822"/>
      </top>
      <bottom style="thin">
        <color theme="1" tint="0.14990691854609822"/>
      </bottom>
      <diagonal/>
    </border>
    <border>
      <left style="thin">
        <color theme="1" tint="0.14990691854609822"/>
      </left>
      <right/>
      <top style="thin">
        <color theme="1" tint="0.14990691854609822"/>
      </top>
      <bottom style="thin">
        <color theme="1" tint="0.14990691854609822"/>
      </bottom>
      <diagonal/>
    </border>
    <border>
      <left/>
      <right style="thin">
        <color theme="1" tint="0.14990691854609822"/>
      </right>
      <top style="thin">
        <color theme="1" tint="0.14990691854609822"/>
      </top>
      <bottom style="thin">
        <color theme="1" tint="0.14990691854609822"/>
      </bottom>
      <diagonal/>
    </border>
    <border>
      <left/>
      <right style="thick">
        <color theme="0" tint="-0.14993743705557422"/>
      </right>
      <top/>
      <bottom/>
      <diagonal/>
    </border>
    <border>
      <left/>
      <right/>
      <top style="thin">
        <color theme="1" tint="0.14990691854609822"/>
      </top>
      <bottom style="thin">
        <color theme="1" tint="0.14990691854609822"/>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top/>
      <bottom/>
      <diagonal/>
    </border>
    <border>
      <left/>
      <right style="medium">
        <color theme="0"/>
      </right>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right/>
      <top style="thin">
        <color theme="0" tint="-0.14996795556505021"/>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1" tint="0.1498764000366222"/>
      </left>
      <right style="thin">
        <color theme="1" tint="0.1498764000366222"/>
      </right>
      <top style="thin">
        <color theme="1" tint="0.1498764000366222"/>
      </top>
      <bottom style="thin">
        <color theme="1" tint="0.1498764000366222"/>
      </bottom>
      <diagonal/>
    </border>
    <border>
      <left style="thin">
        <color theme="1" tint="0.14990691854609822"/>
      </left>
      <right style="thin">
        <color theme="1" tint="0.14990691854609822"/>
      </right>
      <top/>
      <bottom style="thin">
        <color theme="1" tint="0.14990691854609822"/>
      </bottom>
      <diagonal/>
    </border>
    <border>
      <left style="thick">
        <color theme="0" tint="-4.9989318521683403E-2"/>
      </left>
      <right/>
      <top style="thick">
        <color theme="0" tint="-4.9989318521683403E-2"/>
      </top>
      <bottom/>
      <diagonal/>
    </border>
    <border>
      <left/>
      <right/>
      <top style="thick">
        <color theme="0" tint="-4.9989318521683403E-2"/>
      </top>
      <bottom/>
      <diagonal/>
    </border>
    <border>
      <left/>
      <right style="thick">
        <color theme="0" tint="-4.9989318521683403E-2"/>
      </right>
      <top style="thick">
        <color theme="0" tint="-4.9989318521683403E-2"/>
      </top>
      <bottom/>
      <diagonal/>
    </border>
    <border>
      <left style="thick">
        <color theme="0" tint="-4.9989318521683403E-2"/>
      </left>
      <right/>
      <top/>
      <bottom/>
      <diagonal/>
    </border>
    <border>
      <left/>
      <right style="thick">
        <color theme="0" tint="-4.9989318521683403E-2"/>
      </right>
      <top/>
      <bottom/>
      <diagonal/>
    </border>
    <border>
      <left style="thick">
        <color theme="0" tint="-4.9989318521683403E-2"/>
      </left>
      <right/>
      <top/>
      <bottom style="thick">
        <color theme="0" tint="-4.9989318521683403E-2"/>
      </bottom>
      <diagonal/>
    </border>
    <border>
      <left/>
      <right/>
      <top/>
      <bottom style="thick">
        <color theme="0" tint="-4.9989318521683403E-2"/>
      </bottom>
      <diagonal/>
    </border>
    <border>
      <left/>
      <right style="thick">
        <color theme="0" tint="-4.9989318521683403E-2"/>
      </right>
      <top/>
      <bottom style="thick">
        <color theme="0" tint="-4.9989318521683403E-2"/>
      </bottom>
      <diagonal/>
    </border>
    <border>
      <left/>
      <right/>
      <top/>
      <bottom style="thick">
        <color auto="1"/>
      </bottom>
      <diagonal/>
    </border>
    <border>
      <left/>
      <right/>
      <top style="thin">
        <color theme="0"/>
      </top>
      <bottom style="thick">
        <color theme="1"/>
      </bottom>
      <diagonal/>
    </border>
    <border>
      <left style="thick">
        <color theme="0" tint="-0.14996795556505021"/>
      </left>
      <right style="thick">
        <color theme="0" tint="-0.14996795556505021"/>
      </right>
      <top style="thick">
        <color theme="0" tint="-0.14996795556505021"/>
      </top>
      <bottom/>
      <diagonal/>
    </border>
    <border>
      <left style="thin">
        <color theme="0" tint="-0.14993743705557422"/>
      </left>
      <right/>
      <top/>
      <bottom style="thin">
        <color theme="0" tint="-0.14990691854609822"/>
      </bottom>
      <diagonal/>
    </border>
    <border>
      <left/>
      <right style="thin">
        <color theme="0" tint="-0.14993743705557422"/>
      </right>
      <top/>
      <bottom style="thin">
        <color theme="0" tint="-0.14990691854609822"/>
      </bottom>
      <diagonal/>
    </border>
    <border>
      <left/>
      <right style="thin">
        <color theme="0" tint="-0.14990691854609822"/>
      </right>
      <top style="thin">
        <color theme="0" tint="-0.14993743705557422"/>
      </top>
      <bottom/>
      <diagonal/>
    </border>
    <border>
      <left style="thin">
        <color theme="0" tint="-0.14993743705557422"/>
      </left>
      <right/>
      <top style="thin">
        <color theme="0" tint="-0.14990691854609822"/>
      </top>
      <bottom/>
      <diagonal/>
    </border>
    <border>
      <left/>
      <right style="thin">
        <color theme="0" tint="-0.14993743705557422"/>
      </right>
      <top style="thin">
        <color theme="0" tint="-0.14990691854609822"/>
      </top>
      <bottom/>
      <diagonal/>
    </border>
    <border>
      <left/>
      <right style="thick">
        <color theme="0" tint="-0.14993743705557422"/>
      </right>
      <top style="thick">
        <color theme="0" tint="-0.14990691854609822"/>
      </top>
      <bottom style="thick">
        <color theme="0" tint="-0.1499679555650502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14996795556505021"/>
      </right>
      <top style="thin">
        <color theme="0" tint="-0.14996795556505021"/>
      </top>
      <bottom style="thin">
        <color theme="0" tint="-0.14996795556505021"/>
      </bottom>
      <diagonal/>
    </border>
    <border>
      <left style="thin">
        <color theme="1" tint="0.24994659260841701"/>
      </left>
      <right/>
      <top style="thin">
        <color theme="1" tint="0.24994659260841701"/>
      </top>
      <bottom style="thin">
        <color theme="1" tint="0.24994659260841701"/>
      </bottom>
      <diagonal/>
    </border>
    <border>
      <left/>
      <right/>
      <top style="thin">
        <color theme="1" tint="0.24994659260841701"/>
      </top>
      <bottom style="thin">
        <color theme="1" tint="0.24994659260841701"/>
      </bottom>
      <diagonal/>
    </border>
    <border>
      <left/>
      <right style="thin">
        <color theme="1" tint="0.24994659260841701"/>
      </right>
      <top style="thin">
        <color theme="1" tint="0.24994659260841701"/>
      </top>
      <bottom style="thin">
        <color theme="1" tint="0.24994659260841701"/>
      </bottom>
      <diagonal/>
    </border>
    <border>
      <left style="thin">
        <color theme="0" tint="-0.14993743705557422"/>
      </left>
      <right style="thin">
        <color theme="0" tint="-0.14993743705557422"/>
      </right>
      <top style="thin">
        <color theme="0" tint="-0.14993743705557422"/>
      </top>
      <bottom style="thin">
        <color theme="0" tint="-0.1499679555650502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left>
      <right style="thin">
        <color theme="0" tint="-0.24994659260841701"/>
      </right>
      <top style="thin">
        <color theme="0"/>
      </top>
      <bottom style="thin">
        <color theme="0"/>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ck">
        <color theme="0" tint="-0.14990691854609822"/>
      </left>
      <right/>
      <top style="thick">
        <color theme="0" tint="-0.1499679555650502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tint="-0.14996795556505021"/>
      </left>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0" tint="-0.14990691854609822"/>
      </left>
      <right/>
      <top style="thin">
        <color theme="0" tint="-0.14990691854609822"/>
      </top>
      <bottom style="thin">
        <color theme="0" tint="-0.14990691854609822"/>
      </bottom>
      <diagonal/>
    </border>
    <border>
      <left/>
      <right style="thin">
        <color theme="0" tint="-0.14996795556505021"/>
      </right>
      <top style="thin">
        <color theme="0" tint="-0.14990691854609822"/>
      </top>
      <bottom style="thin">
        <color theme="0" tint="-0.14990691854609822"/>
      </bottom>
      <diagonal/>
    </border>
    <border>
      <left style="thin">
        <color theme="0" tint="-0.14993743705557422"/>
      </left>
      <right/>
      <top style="thin">
        <color theme="0" tint="-0.14990691854609822"/>
      </top>
      <bottom style="thin">
        <color theme="0" tint="-0.14990691854609822"/>
      </bottom>
      <diagonal/>
    </border>
    <border>
      <left/>
      <right style="thin">
        <color theme="0" tint="-0.14990691854609822"/>
      </right>
      <top style="thin">
        <color theme="0" tint="-0.14990691854609822"/>
      </top>
      <bottom style="thin">
        <color theme="0" tint="-0.14990691854609822"/>
      </bottom>
      <diagonal/>
    </border>
    <border>
      <left style="thin">
        <color theme="0" tint="-0.14990691854609822"/>
      </left>
      <right/>
      <top/>
      <bottom/>
      <diagonal/>
    </border>
    <border>
      <left/>
      <right style="thin">
        <color theme="0" tint="-0.14990691854609822"/>
      </right>
      <top/>
      <bottom/>
      <diagonal/>
    </border>
    <border>
      <left style="thin">
        <color theme="0" tint="-0.14990691854609822"/>
      </left>
      <right/>
      <top style="thin">
        <color theme="0" tint="-0.14990691854609822"/>
      </top>
      <bottom/>
      <diagonal/>
    </border>
    <border>
      <left/>
      <right/>
      <top style="thin">
        <color theme="0" tint="-0.14990691854609822"/>
      </top>
      <bottom/>
      <diagonal/>
    </border>
    <border>
      <left/>
      <right style="thin">
        <color theme="0" tint="-0.14990691854609822"/>
      </right>
      <top style="thin">
        <color theme="0" tint="-0.14990691854609822"/>
      </top>
      <bottom/>
      <diagonal/>
    </border>
    <border>
      <left style="thin">
        <color theme="0" tint="-0.14990691854609822"/>
      </left>
      <right/>
      <top/>
      <bottom style="thin">
        <color theme="0" tint="-0.14990691854609822"/>
      </bottom>
      <diagonal/>
    </border>
    <border>
      <left/>
      <right style="thin">
        <color theme="0" tint="-0.14990691854609822"/>
      </right>
      <top/>
      <bottom style="thin">
        <color theme="0" tint="-0.14990691854609822"/>
      </bottom>
      <diagonal/>
    </border>
    <border>
      <left/>
      <right style="dotted">
        <color theme="0" tint="-0.14999847407452621"/>
      </right>
      <top style="dotted">
        <color theme="0" tint="-0.14999847407452621"/>
      </top>
      <bottom/>
      <diagonal/>
    </border>
    <border>
      <left/>
      <right style="dotted">
        <color theme="0" tint="-0.14999847407452621"/>
      </right>
      <top/>
      <bottom/>
      <diagonal/>
    </border>
    <border>
      <left/>
      <right/>
      <top style="dotted">
        <color theme="0" tint="-0.14999847407452621"/>
      </top>
      <bottom/>
      <diagonal/>
    </border>
    <border>
      <left style="thin">
        <color theme="0" tint="-0.14993743705557422"/>
      </left>
      <right style="thin">
        <color theme="0" tint="-0.14993743705557422"/>
      </right>
      <top style="thin">
        <color theme="0" tint="-0.14996795556505021"/>
      </top>
      <bottom style="thin">
        <color theme="0" tint="-0.14996795556505021"/>
      </bottom>
      <diagonal/>
    </border>
    <border>
      <left style="thin">
        <color theme="0" tint="-0.14993743705557422"/>
      </left>
      <right style="thin">
        <color theme="0" tint="-0.14993743705557422"/>
      </right>
      <top/>
      <bottom style="thin">
        <color theme="0" tint="-0.14996795556505021"/>
      </bottom>
      <diagonal/>
    </border>
    <border>
      <left style="thin">
        <color theme="0" tint="-0.14993743705557422"/>
      </left>
      <right style="thin">
        <color theme="0" tint="-0.14993743705557422"/>
      </right>
      <top style="thin">
        <color theme="0" tint="-0.14996795556505021"/>
      </top>
      <bottom/>
      <diagonal/>
    </border>
    <border>
      <left/>
      <right style="thick">
        <color theme="0" tint="-0.1498764000366222"/>
      </right>
      <top/>
      <bottom style="thick">
        <color theme="0" tint="-0.14993743705557422"/>
      </bottom>
      <diagonal/>
    </border>
    <border>
      <left style="thin">
        <color theme="0" tint="-0.14996795556505021"/>
      </left>
      <right/>
      <top style="thin">
        <color theme="0" tint="-0.14996795556505021"/>
      </top>
      <bottom style="thin">
        <color theme="0" tint="-0.14993743705557422"/>
      </bottom>
      <diagonal/>
    </border>
    <border>
      <left/>
      <right style="thin">
        <color theme="0" tint="-0.14996795556505021"/>
      </right>
      <top style="thin">
        <color theme="0" tint="-0.14996795556505021"/>
      </top>
      <bottom style="thin">
        <color theme="0" tint="-0.14993743705557422"/>
      </bottom>
      <diagonal/>
    </border>
    <border>
      <left style="thin">
        <color theme="0" tint="-0.14993743705557422"/>
      </left>
      <right/>
      <top style="thin">
        <color theme="0" tint="-0.14996795556505021"/>
      </top>
      <bottom style="thin">
        <color theme="0" tint="-0.14993743705557422"/>
      </bottom>
      <diagonal/>
    </border>
    <border>
      <left/>
      <right style="thin">
        <color theme="0" tint="-0.14993743705557422"/>
      </right>
      <top style="thin">
        <color theme="0" tint="-0.14996795556505021"/>
      </top>
      <bottom style="thin">
        <color theme="0" tint="-0.14993743705557422"/>
      </bottom>
      <diagonal/>
    </border>
    <border>
      <left style="thin">
        <color theme="0" tint="-0.14993743705557422"/>
      </left>
      <right/>
      <top style="thin">
        <color theme="0" tint="-0.14990691854609822"/>
      </top>
      <bottom style="thin">
        <color theme="0" tint="-0.14993743705557422"/>
      </bottom>
      <diagonal/>
    </border>
    <border>
      <left/>
      <right/>
      <top style="thin">
        <color theme="0" tint="-0.14990691854609822"/>
      </top>
      <bottom style="thin">
        <color theme="0" tint="-0.14993743705557422"/>
      </bottom>
      <diagonal/>
    </border>
    <border>
      <left/>
      <right style="thin">
        <color theme="0" tint="-0.14993743705557422"/>
      </right>
      <top style="thin">
        <color theme="0" tint="-0.14990691854609822"/>
      </top>
      <bottom style="thin">
        <color theme="0" tint="-0.14993743705557422"/>
      </bottom>
      <diagonal/>
    </border>
  </borders>
  <cellStyleXfs count="6">
    <xf numFmtId="0" fontId="0" fillId="0" borderId="0"/>
    <xf numFmtId="9" fontId="34" fillId="0" borderId="0" applyFont="0" applyFill="0" applyBorder="0" applyAlignment="0" applyProtection="0"/>
    <xf numFmtId="166" fontId="34" fillId="0" borderId="0" applyFont="0" applyFill="0" applyBorder="0" applyAlignment="0" applyProtection="0"/>
    <xf numFmtId="166" fontId="34" fillId="0" borderId="0" applyFont="0" applyFill="0" applyBorder="0" applyAlignment="0" applyProtection="0"/>
    <xf numFmtId="166" fontId="34" fillId="0" borderId="0" applyFont="0" applyFill="0" applyBorder="0" applyAlignment="0" applyProtection="0"/>
    <xf numFmtId="166" fontId="34" fillId="0" borderId="0" applyFont="0" applyFill="0" applyBorder="0" applyAlignment="0" applyProtection="0"/>
  </cellStyleXfs>
  <cellXfs count="5161">
    <xf numFmtId="0" fontId="0" fillId="0" borderId="0" xfId="0"/>
    <xf numFmtId="0" fontId="1" fillId="0" borderId="0" xfId="0" applyFont="1" applyAlignment="1">
      <alignment horizontal="center"/>
    </xf>
    <xf numFmtId="0" fontId="1" fillId="0" borderId="0" xfId="0" applyFont="1"/>
    <xf numFmtId="0" fontId="1" fillId="4" borderId="0" xfId="0" applyFont="1" applyFill="1" applyAlignment="1">
      <alignment horizontal="center"/>
    </xf>
    <xf numFmtId="0" fontId="56" fillId="4" borderId="0" xfId="0" applyFont="1" applyFill="1" applyAlignment="1">
      <alignment horizontal="center" vertical="center"/>
    </xf>
    <xf numFmtId="0" fontId="1" fillId="23" borderId="146" xfId="0" applyFont="1" applyFill="1" applyBorder="1" applyAlignment="1">
      <alignment horizontal="center"/>
    </xf>
    <xf numFmtId="0" fontId="230" fillId="0" borderId="0" xfId="0" applyFont="1" applyAlignment="1">
      <alignment horizontal="left" vertical="center"/>
    </xf>
    <xf numFmtId="0" fontId="1" fillId="0" borderId="0" xfId="0" applyFont="1" applyProtection="1">
      <protection locked="0"/>
    </xf>
    <xf numFmtId="0" fontId="23" fillId="0" borderId="0" xfId="0" applyFont="1" applyProtection="1">
      <protection locked="0"/>
    </xf>
    <xf numFmtId="0" fontId="130" fillId="0" borderId="0" xfId="0" applyFont="1" applyAlignment="1" applyProtection="1">
      <alignment horizontal="left"/>
      <protection locked="0"/>
    </xf>
    <xf numFmtId="0" fontId="23" fillId="0" borderId="0" xfId="0" applyFont="1" applyAlignment="1" applyProtection="1">
      <alignment horizontal="left"/>
      <protection locked="0"/>
    </xf>
    <xf numFmtId="0" fontId="41" fillId="0" borderId="0" xfId="0" applyFont="1" applyAlignment="1" applyProtection="1">
      <alignment horizontal="left"/>
      <protection locked="0"/>
    </xf>
    <xf numFmtId="0" fontId="117" fillId="0" borderId="0" xfId="0" applyFont="1" applyProtection="1">
      <protection locked="0"/>
    </xf>
    <xf numFmtId="0" fontId="130" fillId="0" borderId="0" xfId="0" applyFont="1" applyAlignment="1" applyProtection="1">
      <alignment horizontal="right"/>
      <protection locked="0"/>
    </xf>
    <xf numFmtId="0" fontId="146" fillId="0" borderId="0" xfId="0" applyFont="1" applyAlignment="1" applyProtection="1">
      <alignment horizontal="left"/>
      <protection locked="0"/>
    </xf>
    <xf numFmtId="0" fontId="60" fillId="4" borderId="0" xfId="0" applyFont="1" applyFill="1" applyAlignment="1" applyProtection="1">
      <alignment vertical="center"/>
      <protection locked="0"/>
    </xf>
    <xf numFmtId="0" fontId="417" fillId="4" borderId="0" xfId="0" applyFont="1" applyFill="1" applyAlignment="1">
      <alignment horizontal="center" vertical="center"/>
    </xf>
    <xf numFmtId="0" fontId="1" fillId="4" borderId="0" xfId="0" applyFont="1" applyFill="1" applyAlignment="1" applyProtection="1">
      <alignment horizontal="center"/>
      <protection hidden="1"/>
    </xf>
    <xf numFmtId="0" fontId="417" fillId="4" borderId="0" xfId="0" applyFont="1" applyFill="1" applyAlignment="1" applyProtection="1">
      <alignment horizontal="center" vertical="center"/>
      <protection hidden="1"/>
    </xf>
    <xf numFmtId="0" fontId="1" fillId="0" borderId="0" xfId="0" applyFont="1" applyAlignment="1" applyProtection="1">
      <alignment horizontal="center"/>
      <protection hidden="1"/>
    </xf>
    <xf numFmtId="0" fontId="23" fillId="18" borderId="0" xfId="0" applyFont="1" applyFill="1" applyAlignment="1" applyProtection="1">
      <alignment vertical="center"/>
      <protection hidden="1"/>
    </xf>
    <xf numFmtId="0" fontId="1" fillId="18" borderId="0" xfId="0" applyFont="1" applyFill="1" applyAlignment="1" applyProtection="1">
      <alignment horizontal="center"/>
      <protection hidden="1"/>
    </xf>
    <xf numFmtId="0" fontId="389" fillId="18" borderId="0" xfId="0" applyFont="1" applyFill="1" applyAlignment="1" applyProtection="1">
      <alignment vertical="top"/>
      <protection hidden="1"/>
    </xf>
    <xf numFmtId="0" fontId="23" fillId="0" borderId="0" xfId="0" applyFont="1" applyAlignment="1" applyProtection="1">
      <alignment vertical="center"/>
      <protection hidden="1"/>
    </xf>
    <xf numFmtId="0" fontId="21" fillId="0" borderId="0" xfId="0" quotePrefix="1" applyFont="1" applyAlignment="1" applyProtection="1">
      <alignment vertical="center"/>
      <protection hidden="1"/>
    </xf>
    <xf numFmtId="0" fontId="109" fillId="0" borderId="0" xfId="0" applyFont="1" applyAlignment="1" applyProtection="1">
      <alignment vertical="center"/>
      <protection hidden="1"/>
    </xf>
    <xf numFmtId="0" fontId="146" fillId="0" borderId="0" xfId="0" applyFont="1" applyAlignment="1" applyProtection="1">
      <alignment vertical="center"/>
      <protection hidden="1"/>
    </xf>
    <xf numFmtId="0" fontId="166" fillId="0" borderId="0" xfId="0" applyFont="1" applyProtection="1">
      <protection hidden="1"/>
    </xf>
    <xf numFmtId="0" fontId="1" fillId="0" borderId="0" xfId="0" applyFont="1" applyProtection="1">
      <protection hidden="1"/>
    </xf>
    <xf numFmtId="0" fontId="138" fillId="0" borderId="0" xfId="0" applyFont="1" applyAlignment="1" applyProtection="1">
      <alignment vertical="top"/>
      <protection hidden="1"/>
    </xf>
    <xf numFmtId="0" fontId="117" fillId="0" borderId="0" xfId="0" applyFont="1" applyAlignment="1" applyProtection="1">
      <alignment vertical="top"/>
      <protection hidden="1"/>
    </xf>
    <xf numFmtId="0" fontId="56" fillId="4" borderId="0" xfId="0" applyFont="1" applyFill="1" applyAlignment="1" applyProtection="1">
      <alignment horizontal="center" vertical="center"/>
      <protection hidden="1"/>
    </xf>
    <xf numFmtId="0" fontId="56" fillId="4" borderId="0" xfId="0" applyFont="1" applyFill="1" applyAlignment="1" applyProtection="1">
      <alignment vertical="center"/>
      <protection hidden="1"/>
    </xf>
    <xf numFmtId="0" fontId="63" fillId="0" borderId="0" xfId="0" applyFont="1" applyAlignment="1" applyProtection="1">
      <alignment horizontal="center" vertical="center"/>
      <protection hidden="1"/>
    </xf>
    <xf numFmtId="0" fontId="63" fillId="0" borderId="0" xfId="0" applyFont="1" applyAlignment="1" applyProtection="1">
      <alignment vertical="center"/>
      <protection hidden="1"/>
    </xf>
    <xf numFmtId="0" fontId="113" fillId="0" borderId="0" xfId="0" applyFont="1" applyAlignment="1" applyProtection="1">
      <alignment horizontal="center"/>
      <protection hidden="1"/>
    </xf>
    <xf numFmtId="0" fontId="130" fillId="0" borderId="0" xfId="0" applyFont="1" applyAlignment="1" applyProtection="1">
      <alignment horizontal="left" vertical="center"/>
      <protection hidden="1"/>
    </xf>
    <xf numFmtId="0" fontId="129" fillId="0" borderId="0" xfId="0" applyFont="1" applyAlignment="1" applyProtection="1">
      <alignment vertical="center"/>
      <protection hidden="1"/>
    </xf>
    <xf numFmtId="0" fontId="131" fillId="0" borderId="0" xfId="0" applyFont="1" applyAlignment="1" applyProtection="1">
      <alignment horizontal="left"/>
      <protection hidden="1"/>
    </xf>
    <xf numFmtId="0" fontId="130" fillId="0" borderId="0" xfId="0" applyFont="1" applyAlignment="1" applyProtection="1">
      <alignment horizontal="center" vertical="center"/>
      <protection hidden="1"/>
    </xf>
    <xf numFmtId="0" fontId="130" fillId="0" borderId="0" xfId="0" applyFont="1" applyAlignment="1" applyProtection="1">
      <alignment vertical="center"/>
      <protection hidden="1"/>
    </xf>
    <xf numFmtId="0" fontId="18" fillId="0" borderId="0" xfId="0" applyFont="1" applyAlignment="1" applyProtection="1">
      <alignment horizontal="center"/>
      <protection hidden="1"/>
    </xf>
    <xf numFmtId="0" fontId="74" fillId="0" borderId="0" xfId="0" applyFont="1" applyAlignment="1" applyProtection="1">
      <alignment horizontal="left"/>
      <protection hidden="1"/>
    </xf>
    <xf numFmtId="0" fontId="131" fillId="18" borderId="0" xfId="0" applyFont="1" applyFill="1" applyAlignment="1" applyProtection="1">
      <alignment vertical="center"/>
      <protection hidden="1"/>
    </xf>
    <xf numFmtId="0" fontId="129" fillId="0" borderId="0" xfId="0" applyFont="1" applyAlignment="1" applyProtection="1">
      <alignment horizontal="left" vertical="center"/>
      <protection hidden="1"/>
    </xf>
    <xf numFmtId="0" fontId="129" fillId="0" borderId="0" xfId="0" applyFont="1" applyAlignment="1" applyProtection="1">
      <alignment horizontal="left"/>
      <protection hidden="1"/>
    </xf>
    <xf numFmtId="0" fontId="129" fillId="0" borderId="0" xfId="0" applyFont="1" applyAlignment="1" applyProtection="1">
      <alignment horizontal="center"/>
      <protection hidden="1"/>
    </xf>
    <xf numFmtId="0" fontId="104" fillId="4" borderId="0" xfId="0" applyFont="1" applyFill="1" applyAlignment="1" applyProtection="1">
      <alignment horizontal="center"/>
      <protection hidden="1"/>
    </xf>
    <xf numFmtId="0" fontId="1" fillId="3" borderId="0" xfId="0" applyFont="1" applyFill="1" applyAlignment="1" applyProtection="1">
      <alignment horizontal="center"/>
      <protection hidden="1"/>
    </xf>
    <xf numFmtId="0" fontId="349" fillId="3" borderId="0" xfId="0" applyFont="1" applyFill="1" applyAlignment="1" applyProtection="1">
      <alignment horizontal="center"/>
      <protection hidden="1"/>
    </xf>
    <xf numFmtId="0" fontId="371" fillId="3" borderId="0" xfId="0" applyFont="1" applyFill="1" applyAlignment="1" applyProtection="1">
      <alignment horizontal="center"/>
      <protection hidden="1"/>
    </xf>
    <xf numFmtId="0" fontId="82" fillId="3" borderId="0" xfId="0" applyFont="1" applyFill="1" applyAlignment="1" applyProtection="1">
      <alignment horizontal="left" vertical="top"/>
      <protection hidden="1"/>
    </xf>
    <xf numFmtId="0" fontId="282" fillId="3" borderId="0" xfId="0" applyFont="1" applyFill="1" applyAlignment="1" applyProtection="1">
      <alignment horizontal="center"/>
      <protection hidden="1"/>
    </xf>
    <xf numFmtId="0" fontId="372" fillId="3" borderId="0" xfId="0" applyFont="1" applyFill="1" applyAlignment="1" applyProtection="1">
      <alignment horizontal="center"/>
      <protection hidden="1"/>
    </xf>
    <xf numFmtId="0" fontId="357" fillId="3" borderId="0" xfId="0" applyFont="1" applyFill="1" applyAlignment="1" applyProtection="1">
      <alignment vertical="center"/>
      <protection hidden="1"/>
    </xf>
    <xf numFmtId="0" fontId="336" fillId="3" borderId="0" xfId="0" applyFont="1" applyFill="1" applyAlignment="1" applyProtection="1">
      <alignment vertical="center"/>
      <protection hidden="1"/>
    </xf>
    <xf numFmtId="0" fontId="351" fillId="3" borderId="0" xfId="0" applyFont="1" applyFill="1" applyAlignment="1" applyProtection="1">
      <alignment vertical="center"/>
      <protection hidden="1"/>
    </xf>
    <xf numFmtId="0" fontId="353" fillId="3" borderId="0" xfId="0" applyFont="1" applyFill="1" applyAlignment="1" applyProtection="1">
      <alignment vertical="center"/>
      <protection hidden="1"/>
    </xf>
    <xf numFmtId="0" fontId="337" fillId="3" borderId="0" xfId="0" applyFont="1" applyFill="1" applyAlignment="1" applyProtection="1">
      <alignment vertical="center"/>
      <protection hidden="1"/>
    </xf>
    <xf numFmtId="0" fontId="370" fillId="3" borderId="0" xfId="0" applyFont="1" applyFill="1" applyAlignment="1" applyProtection="1">
      <alignment vertical="center"/>
      <protection hidden="1"/>
    </xf>
    <xf numFmtId="0" fontId="359" fillId="3" borderId="0" xfId="0" applyFont="1" applyFill="1" applyAlignment="1" applyProtection="1">
      <alignment vertical="center"/>
      <protection hidden="1"/>
    </xf>
    <xf numFmtId="0" fontId="360" fillId="3" borderId="0" xfId="0" applyFont="1" applyFill="1" applyAlignment="1" applyProtection="1">
      <alignment vertical="center"/>
      <protection hidden="1"/>
    </xf>
    <xf numFmtId="0" fontId="99" fillId="0" borderId="0" xfId="0" applyFont="1" applyProtection="1">
      <protection hidden="1"/>
    </xf>
    <xf numFmtId="0" fontId="357" fillId="0" borderId="0" xfId="0" applyFont="1" applyAlignment="1" applyProtection="1">
      <alignment vertical="center"/>
      <protection hidden="1"/>
    </xf>
    <xf numFmtId="0" fontId="25" fillId="0" borderId="0" xfId="0" applyFont="1" applyAlignment="1" applyProtection="1">
      <alignment vertical="center"/>
      <protection hidden="1"/>
    </xf>
    <xf numFmtId="0" fontId="173" fillId="0" borderId="0" xfId="0" applyFont="1" applyAlignment="1" applyProtection="1">
      <alignment vertical="center" wrapText="1"/>
      <protection hidden="1"/>
    </xf>
    <xf numFmtId="0" fontId="361" fillId="0" borderId="0" xfId="0" applyFont="1" applyAlignment="1" applyProtection="1">
      <alignment vertical="center"/>
      <protection hidden="1"/>
    </xf>
    <xf numFmtId="0" fontId="362" fillId="0" borderId="0" xfId="0" applyFont="1" applyAlignment="1" applyProtection="1">
      <alignment vertical="center"/>
      <protection hidden="1"/>
    </xf>
    <xf numFmtId="0" fontId="366" fillId="0" borderId="0" xfId="0" applyFont="1" applyAlignment="1" applyProtection="1">
      <alignment vertical="center"/>
      <protection hidden="1"/>
    </xf>
    <xf numFmtId="0" fontId="1" fillId="0" borderId="0" xfId="0" applyFont="1" applyAlignment="1" applyProtection="1">
      <alignment horizontal="right"/>
      <protection hidden="1"/>
    </xf>
    <xf numFmtId="0" fontId="57" fillId="0" borderId="0" xfId="0" applyFont="1" applyAlignment="1" applyProtection="1">
      <alignment horizontal="center"/>
      <protection hidden="1"/>
    </xf>
    <xf numFmtId="0" fontId="363" fillId="0" borderId="0" xfId="0" applyFont="1" applyAlignment="1" applyProtection="1">
      <alignment horizontal="right"/>
      <protection hidden="1"/>
    </xf>
    <xf numFmtId="0" fontId="367" fillId="0" borderId="0" xfId="0" applyFont="1" applyAlignment="1" applyProtection="1">
      <alignment horizontal="center"/>
      <protection hidden="1"/>
    </xf>
    <xf numFmtId="0" fontId="1" fillId="0" borderId="0" xfId="0" applyFont="1" applyAlignment="1" applyProtection="1">
      <alignment horizontal="left"/>
      <protection hidden="1"/>
    </xf>
    <xf numFmtId="0" fontId="173" fillId="0" borderId="0" xfId="0" applyFont="1" applyAlignment="1" applyProtection="1">
      <alignment vertical="center"/>
      <protection hidden="1"/>
    </xf>
    <xf numFmtId="0" fontId="337" fillId="0" borderId="0" xfId="0" applyFont="1" applyAlignment="1" applyProtection="1">
      <alignment vertical="center"/>
      <protection hidden="1"/>
    </xf>
    <xf numFmtId="0" fontId="353" fillId="0" borderId="0" xfId="0" applyFont="1" applyAlignment="1" applyProtection="1">
      <alignment vertical="center"/>
      <protection hidden="1"/>
    </xf>
    <xf numFmtId="0" fontId="364" fillId="0" borderId="0" xfId="0" applyFont="1" applyAlignment="1" applyProtection="1">
      <alignment vertical="center"/>
      <protection hidden="1"/>
    </xf>
    <xf numFmtId="0" fontId="365" fillId="0" borderId="0" xfId="0" applyFont="1" applyAlignment="1" applyProtection="1">
      <alignment vertical="center"/>
      <protection hidden="1"/>
    </xf>
    <xf numFmtId="0" fontId="117" fillId="3" borderId="0" xfId="0" applyFont="1" applyFill="1" applyAlignment="1" applyProtection="1">
      <alignment vertical="center"/>
      <protection hidden="1"/>
    </xf>
    <xf numFmtId="0" fontId="14" fillId="3" borderId="0" xfId="0" applyFont="1" applyFill="1" applyAlignment="1" applyProtection="1">
      <alignment vertical="center" textRotation="255" wrapText="1"/>
      <protection hidden="1"/>
    </xf>
    <xf numFmtId="0" fontId="16" fillId="4" borderId="0" xfId="0" applyFont="1" applyFill="1" applyAlignment="1" applyProtection="1">
      <alignment horizontal="center" vertical="center"/>
      <protection hidden="1"/>
    </xf>
    <xf numFmtId="0" fontId="20" fillId="4" borderId="0" xfId="0" applyFont="1" applyFill="1" applyAlignment="1" applyProtection="1">
      <alignment vertical="center"/>
      <protection hidden="1"/>
    </xf>
    <xf numFmtId="0" fontId="63" fillId="4" borderId="0" xfId="0" applyFont="1" applyFill="1" applyAlignment="1" applyProtection="1">
      <alignment vertical="center"/>
      <protection hidden="1"/>
    </xf>
    <xf numFmtId="0" fontId="14" fillId="4" borderId="0" xfId="0" applyFont="1" applyFill="1" applyAlignment="1" applyProtection="1">
      <alignment vertical="center" textRotation="255" wrapText="1"/>
      <protection hidden="1"/>
    </xf>
    <xf numFmtId="0" fontId="63" fillId="0" borderId="154" xfId="0" applyFont="1" applyBorder="1" applyAlignment="1" applyProtection="1">
      <alignment vertical="center"/>
      <protection hidden="1"/>
    </xf>
    <xf numFmtId="0" fontId="1" fillId="20" borderId="265" xfId="0" applyFont="1" applyFill="1" applyBorder="1" applyAlignment="1" applyProtection="1">
      <alignment horizontal="center"/>
      <protection hidden="1"/>
    </xf>
    <xf numFmtId="0" fontId="1" fillId="23" borderId="146" xfId="0" applyFont="1" applyFill="1" applyBorder="1" applyAlignment="1" applyProtection="1">
      <alignment horizontal="center"/>
      <protection hidden="1"/>
    </xf>
    <xf numFmtId="0" fontId="116" fillId="4" borderId="0" xfId="0" applyFont="1" applyFill="1" applyAlignment="1" applyProtection="1">
      <alignment horizontal="center" vertical="center" wrapText="1"/>
      <protection hidden="1"/>
    </xf>
    <xf numFmtId="0" fontId="82" fillId="4" borderId="0" xfId="0" applyFont="1" applyFill="1" applyAlignment="1" applyProtection="1">
      <alignment horizontal="center" vertical="center"/>
      <protection hidden="1"/>
    </xf>
    <xf numFmtId="0" fontId="104" fillId="4" borderId="0" xfId="0" applyFont="1" applyFill="1" applyAlignment="1" applyProtection="1">
      <alignment horizontal="left"/>
      <protection hidden="1"/>
    </xf>
    <xf numFmtId="0" fontId="232" fillId="4" borderId="0" xfId="0" applyFont="1" applyFill="1" applyAlignment="1" applyProtection="1">
      <alignment horizontal="center"/>
      <protection hidden="1"/>
    </xf>
    <xf numFmtId="0" fontId="6" fillId="4" borderId="0" xfId="0" applyFont="1" applyFill="1" applyAlignment="1" applyProtection="1">
      <alignment horizontal="center" vertical="center"/>
      <protection hidden="1"/>
    </xf>
    <xf numFmtId="0" fontId="17" fillId="4" borderId="0" xfId="0" quotePrefix="1" applyFont="1" applyFill="1" applyAlignment="1" applyProtection="1">
      <alignment horizontal="center" vertical="center"/>
      <protection hidden="1"/>
    </xf>
    <xf numFmtId="0" fontId="18" fillId="4" borderId="0" xfId="0" applyFont="1" applyFill="1" applyAlignment="1" applyProtection="1">
      <alignment horizontal="center"/>
      <protection hidden="1"/>
    </xf>
    <xf numFmtId="0" fontId="7" fillId="4" borderId="0" xfId="0" applyFont="1" applyFill="1" applyAlignment="1" applyProtection="1">
      <alignment horizontal="center" vertical="center"/>
      <protection hidden="1"/>
    </xf>
    <xf numFmtId="0" fontId="116" fillId="4" borderId="0" xfId="0" applyFont="1" applyFill="1" applyAlignment="1" applyProtection="1">
      <alignment horizontal="right" vertical="center"/>
      <protection hidden="1"/>
    </xf>
    <xf numFmtId="0" fontId="119" fillId="4" borderId="0" xfId="0" applyFont="1" applyFill="1" applyAlignment="1" applyProtection="1">
      <alignment horizontal="right" vertical="center"/>
      <protection hidden="1"/>
    </xf>
    <xf numFmtId="0" fontId="107" fillId="4" borderId="0" xfId="0" applyFont="1" applyFill="1" applyAlignment="1" applyProtection="1">
      <alignment horizontal="right" vertical="center"/>
      <protection hidden="1"/>
    </xf>
    <xf numFmtId="0" fontId="300" fillId="0" borderId="0" xfId="0" applyFont="1" applyAlignment="1" applyProtection="1">
      <alignment horizontal="center"/>
      <protection hidden="1"/>
    </xf>
    <xf numFmtId="1" fontId="129" fillId="0" borderId="0" xfId="0" applyNumberFormat="1" applyFont="1" applyAlignment="1" applyProtection="1">
      <alignment horizontal="center"/>
      <protection hidden="1"/>
    </xf>
    <xf numFmtId="0" fontId="1" fillId="0" borderId="0" xfId="0" applyFont="1" applyAlignment="1" applyProtection="1">
      <alignment horizontal="center" vertical="center"/>
      <protection hidden="1"/>
    </xf>
    <xf numFmtId="0" fontId="129" fillId="0" borderId="51" xfId="0" applyFont="1" applyBorder="1" applyAlignment="1" applyProtection="1">
      <alignment horizontal="center"/>
      <protection hidden="1"/>
    </xf>
    <xf numFmtId="0" fontId="119" fillId="4" borderId="0" xfId="0" applyFont="1" applyFill="1" applyAlignment="1" applyProtection="1">
      <alignment horizontal="center" vertical="center"/>
      <protection hidden="1"/>
    </xf>
    <xf numFmtId="0" fontId="266" fillId="4" borderId="0" xfId="0" applyFont="1" applyFill="1" applyAlignment="1" applyProtection="1">
      <alignment horizontal="right" vertical="center"/>
      <protection hidden="1"/>
    </xf>
    <xf numFmtId="0" fontId="6" fillId="4" borderId="0" xfId="0" applyFont="1" applyFill="1" applyAlignment="1" applyProtection="1">
      <alignment horizontal="right" vertical="center"/>
      <protection hidden="1"/>
    </xf>
    <xf numFmtId="0" fontId="111" fillId="0" borderId="0" xfId="0" applyFont="1" applyAlignment="1" applyProtection="1">
      <alignment vertical="center" textRotation="255"/>
      <protection hidden="1"/>
    </xf>
    <xf numFmtId="0" fontId="83" fillId="0" borderId="0" xfId="0" applyFont="1" applyAlignment="1" applyProtection="1">
      <alignment vertical="top" textRotation="255"/>
      <protection hidden="1"/>
    </xf>
    <xf numFmtId="0" fontId="19" fillId="0" borderId="0" xfId="0" applyFont="1" applyAlignment="1" applyProtection="1">
      <alignment vertical="top" wrapText="1"/>
      <protection hidden="1"/>
    </xf>
    <xf numFmtId="0" fontId="19" fillId="0" borderId="0" xfId="0" applyFont="1" applyAlignment="1" applyProtection="1">
      <alignment vertical="top"/>
      <protection hidden="1"/>
    </xf>
    <xf numFmtId="0" fontId="264" fillId="0" borderId="0" xfId="0" applyFont="1" applyAlignment="1" applyProtection="1">
      <alignment wrapText="1"/>
      <protection hidden="1"/>
    </xf>
    <xf numFmtId="0" fontId="264" fillId="0" borderId="0" xfId="0" applyFont="1" applyProtection="1">
      <protection hidden="1"/>
    </xf>
    <xf numFmtId="0" fontId="263" fillId="0" borderId="0" xfId="0" applyFont="1" applyAlignment="1" applyProtection="1">
      <alignment wrapText="1"/>
      <protection hidden="1"/>
    </xf>
    <xf numFmtId="0" fontId="263" fillId="0" borderId="0" xfId="0" applyFont="1" applyProtection="1">
      <protection hidden="1"/>
    </xf>
    <xf numFmtId="0" fontId="106" fillId="0" borderId="0" xfId="0" applyFont="1" applyAlignment="1" applyProtection="1">
      <alignment wrapText="1"/>
      <protection hidden="1"/>
    </xf>
    <xf numFmtId="0" fontId="106" fillId="0" borderId="0" xfId="0" applyFont="1" applyProtection="1">
      <protection hidden="1"/>
    </xf>
    <xf numFmtId="0" fontId="217" fillId="0" borderId="0" xfId="0" applyFont="1" applyProtection="1">
      <protection hidden="1"/>
    </xf>
    <xf numFmtId="0" fontId="217" fillId="0" borderId="0" xfId="0" applyFont="1" applyAlignment="1" applyProtection="1">
      <alignment wrapText="1"/>
      <protection hidden="1"/>
    </xf>
    <xf numFmtId="0" fontId="5" fillId="4" borderId="0" xfId="0" quotePrefix="1" applyFont="1" applyFill="1" applyAlignment="1" applyProtection="1">
      <alignment horizontal="right" vertical="center"/>
      <protection hidden="1"/>
    </xf>
    <xf numFmtId="0" fontId="127" fillId="4" borderId="0" xfId="0" applyFont="1" applyFill="1" applyAlignment="1" applyProtection="1">
      <alignment horizontal="right"/>
      <protection hidden="1"/>
    </xf>
    <xf numFmtId="0" fontId="1" fillId="4" borderId="0" xfId="0" applyFont="1" applyFill="1" applyProtection="1">
      <protection hidden="1"/>
    </xf>
    <xf numFmtId="0" fontId="6" fillId="4" borderId="0" xfId="0" applyFont="1" applyFill="1" applyAlignment="1" applyProtection="1">
      <alignment vertical="center"/>
      <protection hidden="1"/>
    </xf>
    <xf numFmtId="0" fontId="22" fillId="0" borderId="0" xfId="0" applyFont="1" applyAlignment="1" applyProtection="1">
      <alignment horizontal="left"/>
      <protection hidden="1"/>
    </xf>
    <xf numFmtId="0" fontId="190" fillId="18" borderId="167" xfId="0" applyFont="1" applyFill="1" applyBorder="1" applyAlignment="1" applyProtection="1">
      <alignment horizontal="center" vertical="center"/>
      <protection hidden="1"/>
    </xf>
    <xf numFmtId="0" fontId="189" fillId="18" borderId="167" xfId="0" applyFont="1" applyFill="1" applyBorder="1" applyProtection="1">
      <protection hidden="1"/>
    </xf>
    <xf numFmtId="0" fontId="23" fillId="4" borderId="0" xfId="0" applyFont="1" applyFill="1" applyAlignment="1" applyProtection="1">
      <alignment vertical="top" wrapText="1"/>
      <protection hidden="1"/>
    </xf>
    <xf numFmtId="0" fontId="191" fillId="4" borderId="0" xfId="0" applyFont="1" applyFill="1" applyAlignment="1" applyProtection="1">
      <alignment horizontal="center"/>
      <protection hidden="1"/>
    </xf>
    <xf numFmtId="0" fontId="100" fillId="16" borderId="0" xfId="0" applyFont="1" applyFill="1" applyProtection="1">
      <protection hidden="1"/>
    </xf>
    <xf numFmtId="0" fontId="100" fillId="16" borderId="0" xfId="0" applyFont="1" applyFill="1" applyAlignment="1" applyProtection="1">
      <alignment vertical="center"/>
      <protection hidden="1"/>
    </xf>
    <xf numFmtId="0" fontId="190" fillId="18" borderId="0" xfId="0" applyFont="1" applyFill="1" applyAlignment="1" applyProtection="1">
      <alignment horizontal="center" vertical="center"/>
      <protection hidden="1"/>
    </xf>
    <xf numFmtId="0" fontId="189" fillId="18" borderId="0" xfId="0" applyFont="1" applyFill="1" applyProtection="1">
      <protection hidden="1"/>
    </xf>
    <xf numFmtId="0" fontId="23" fillId="4" borderId="188" xfId="0" applyFont="1" applyFill="1" applyBorder="1" applyAlignment="1" applyProtection="1">
      <alignment vertical="top" wrapText="1"/>
      <protection hidden="1"/>
    </xf>
    <xf numFmtId="0" fontId="23" fillId="4" borderId="189" xfId="0" applyFont="1" applyFill="1" applyBorder="1" applyAlignment="1" applyProtection="1">
      <alignment vertical="top" wrapText="1"/>
      <protection hidden="1"/>
    </xf>
    <xf numFmtId="0" fontId="23" fillId="4" borderId="190" xfId="0" applyFont="1" applyFill="1" applyBorder="1" applyAlignment="1" applyProtection="1">
      <alignment vertical="top" wrapText="1"/>
      <protection hidden="1"/>
    </xf>
    <xf numFmtId="0" fontId="190" fillId="18" borderId="334" xfId="0" applyFont="1" applyFill="1" applyBorder="1" applyAlignment="1" applyProtection="1">
      <alignment horizontal="center" vertical="center"/>
      <protection hidden="1"/>
    </xf>
    <xf numFmtId="0" fontId="217" fillId="4" borderId="263" xfId="0" applyFont="1" applyFill="1" applyBorder="1" applyAlignment="1" applyProtection="1">
      <alignment vertical="center" wrapText="1"/>
      <protection hidden="1"/>
    </xf>
    <xf numFmtId="0" fontId="217" fillId="4" borderId="0" xfId="0" applyFont="1" applyFill="1" applyAlignment="1" applyProtection="1">
      <alignment vertical="center" wrapText="1"/>
      <protection hidden="1"/>
    </xf>
    <xf numFmtId="0" fontId="23" fillId="4" borderId="264" xfId="0" applyFont="1" applyFill="1" applyBorder="1" applyAlignment="1" applyProtection="1">
      <alignment vertical="top" wrapText="1"/>
      <protection hidden="1"/>
    </xf>
    <xf numFmtId="0" fontId="23" fillId="4" borderId="263" xfId="0" applyFont="1" applyFill="1" applyBorder="1" applyAlignment="1" applyProtection="1">
      <alignment vertical="top" wrapText="1"/>
      <protection hidden="1"/>
    </xf>
    <xf numFmtId="0" fontId="297" fillId="16" borderId="0" xfId="0" applyFont="1" applyFill="1" applyAlignment="1" applyProtection="1">
      <alignment horizontal="right" vertical="center"/>
      <protection hidden="1"/>
    </xf>
    <xf numFmtId="0" fontId="297" fillId="18" borderId="0" xfId="0" applyFont="1" applyFill="1" applyAlignment="1" applyProtection="1">
      <alignment horizontal="left" vertical="center"/>
      <protection hidden="1"/>
    </xf>
    <xf numFmtId="0" fontId="99" fillId="4" borderId="0" xfId="0" applyFont="1" applyFill="1" applyAlignment="1" applyProtection="1">
      <alignment horizontal="center" vertical="top" wrapText="1"/>
      <protection hidden="1"/>
    </xf>
    <xf numFmtId="0" fontId="328" fillId="16" borderId="0" xfId="0" applyFont="1" applyFill="1" applyAlignment="1" applyProtection="1">
      <alignment horizontal="right" vertical="center"/>
      <protection hidden="1"/>
    </xf>
    <xf numFmtId="0" fontId="328" fillId="18" borderId="0" xfId="0" applyFont="1" applyFill="1" applyAlignment="1" applyProtection="1">
      <alignment horizontal="left" vertical="center"/>
      <protection hidden="1"/>
    </xf>
    <xf numFmtId="0" fontId="23" fillId="4" borderId="191" xfId="0" applyFont="1" applyFill="1" applyBorder="1" applyAlignment="1" applyProtection="1">
      <alignment vertical="top" wrapText="1"/>
      <protection hidden="1"/>
    </xf>
    <xf numFmtId="0" fontId="23" fillId="4" borderId="192" xfId="0" applyFont="1" applyFill="1" applyBorder="1" applyAlignment="1" applyProtection="1">
      <alignment vertical="top" wrapText="1"/>
      <protection hidden="1"/>
    </xf>
    <xf numFmtId="0" fontId="99" fillId="4" borderId="192" xfId="0" applyFont="1" applyFill="1" applyBorder="1" applyAlignment="1" applyProtection="1">
      <alignment horizontal="center" vertical="top" wrapText="1"/>
      <protection hidden="1"/>
    </xf>
    <xf numFmtId="0" fontId="23" fillId="4" borderId="207" xfId="0" applyFont="1" applyFill="1" applyBorder="1" applyAlignment="1" applyProtection="1">
      <alignment vertical="top" wrapText="1"/>
      <protection hidden="1"/>
    </xf>
    <xf numFmtId="0" fontId="99" fillId="14" borderId="0" xfId="0" applyFont="1" applyFill="1" applyAlignment="1" applyProtection="1">
      <alignment horizontal="center" vertical="center"/>
      <protection hidden="1"/>
    </xf>
    <xf numFmtId="0" fontId="191" fillId="14" borderId="0" xfId="0" applyFont="1" applyFill="1" applyAlignment="1" applyProtection="1">
      <alignment horizontal="center" vertical="center"/>
      <protection hidden="1"/>
    </xf>
    <xf numFmtId="0" fontId="191" fillId="14" borderId="0" xfId="0" applyFont="1" applyFill="1" applyAlignment="1" applyProtection="1">
      <alignment horizontal="right" vertical="center"/>
      <protection hidden="1"/>
    </xf>
    <xf numFmtId="0" fontId="99" fillId="14" borderId="0" xfId="0" applyFont="1" applyFill="1" applyAlignment="1" applyProtection="1">
      <alignment vertical="top"/>
      <protection hidden="1"/>
    </xf>
    <xf numFmtId="0" fontId="31" fillId="4" borderId="0" xfId="0" applyFont="1" applyFill="1" applyAlignment="1" applyProtection="1">
      <alignment vertical="center"/>
      <protection hidden="1"/>
    </xf>
    <xf numFmtId="0" fontId="191" fillId="4" borderId="0" xfId="0" applyFont="1" applyFill="1" applyAlignment="1" applyProtection="1">
      <alignment horizontal="center" vertical="top"/>
      <protection hidden="1"/>
    </xf>
    <xf numFmtId="0" fontId="57" fillId="4" borderId="0" xfId="0" applyFont="1" applyFill="1" applyAlignment="1" applyProtection="1">
      <alignment vertical="center"/>
      <protection hidden="1"/>
    </xf>
    <xf numFmtId="0" fontId="232" fillId="0" borderId="0" xfId="0" applyFont="1" applyAlignment="1" applyProtection="1">
      <alignment horizontal="center"/>
      <protection hidden="1"/>
    </xf>
    <xf numFmtId="0" fontId="385" fillId="0" borderId="0" xfId="0" applyFont="1" applyProtection="1">
      <protection hidden="1"/>
    </xf>
    <xf numFmtId="14" fontId="385" fillId="0" borderId="0" xfId="0" applyNumberFormat="1" applyFont="1" applyProtection="1">
      <protection hidden="1"/>
    </xf>
    <xf numFmtId="9" fontId="385" fillId="0" borderId="0" xfId="0" applyNumberFormat="1" applyFont="1" applyProtection="1">
      <protection hidden="1"/>
    </xf>
    <xf numFmtId="0" fontId="1" fillId="0" borderId="224" xfId="0" applyFont="1" applyBorder="1" applyAlignment="1" applyProtection="1">
      <alignment horizontal="center"/>
      <protection hidden="1"/>
    </xf>
    <xf numFmtId="0" fontId="1" fillId="0" borderId="225" xfId="0" applyFont="1" applyBorder="1" applyAlignment="1" applyProtection="1">
      <alignment horizontal="center"/>
      <protection hidden="1"/>
    </xf>
    <xf numFmtId="0" fontId="189" fillId="0" borderId="226" xfId="0" applyFont="1" applyBorder="1" applyAlignment="1" applyProtection="1">
      <alignment horizontal="left" vertical="center"/>
      <protection hidden="1"/>
    </xf>
    <xf numFmtId="0" fontId="1" fillId="0" borderId="227" xfId="0" applyFont="1" applyBorder="1" applyAlignment="1" applyProtection="1">
      <alignment horizontal="center"/>
      <protection hidden="1"/>
    </xf>
    <xf numFmtId="0" fontId="196" fillId="0" borderId="228" xfId="0" applyFont="1" applyBorder="1" applyAlignment="1" applyProtection="1">
      <alignment vertical="center"/>
      <protection hidden="1"/>
    </xf>
    <xf numFmtId="14" fontId="196" fillId="0" borderId="227" xfId="0" applyNumberFormat="1" applyFont="1" applyBorder="1" applyAlignment="1" applyProtection="1">
      <alignment vertical="center"/>
      <protection hidden="1"/>
    </xf>
    <xf numFmtId="14" fontId="196" fillId="0" borderId="229" xfId="0" applyNumberFormat="1" applyFont="1" applyBorder="1" applyAlignment="1" applyProtection="1">
      <alignment vertical="center"/>
      <protection hidden="1"/>
    </xf>
    <xf numFmtId="0" fontId="196" fillId="0" borderId="230" xfId="0" applyFont="1" applyBorder="1" applyAlignment="1" applyProtection="1">
      <alignment vertical="center"/>
      <protection hidden="1"/>
    </xf>
    <xf numFmtId="14" fontId="196" fillId="0" borderId="230" xfId="0" applyNumberFormat="1" applyFont="1" applyBorder="1" applyAlignment="1" applyProtection="1">
      <alignment vertical="center"/>
      <protection hidden="1"/>
    </xf>
    <xf numFmtId="0" fontId="1" fillId="0" borderId="231" xfId="0" applyFont="1" applyBorder="1" applyAlignment="1" applyProtection="1">
      <alignment horizontal="center"/>
      <protection hidden="1"/>
    </xf>
    <xf numFmtId="0" fontId="196" fillId="0" borderId="0" xfId="0" applyFont="1" applyAlignment="1" applyProtection="1">
      <alignment vertical="center"/>
      <protection hidden="1"/>
    </xf>
    <xf numFmtId="0" fontId="60" fillId="19" borderId="0" xfId="0" applyFont="1" applyFill="1" applyAlignment="1" applyProtection="1">
      <alignment horizontal="left" vertical="center"/>
      <protection hidden="1"/>
    </xf>
    <xf numFmtId="0" fontId="60" fillId="19" borderId="202" xfId="0" applyFont="1" applyFill="1" applyBorder="1" applyAlignment="1" applyProtection="1">
      <alignment horizontal="left" vertical="center"/>
      <protection hidden="1"/>
    </xf>
    <xf numFmtId="0" fontId="103" fillId="19" borderId="202" xfId="0" applyFont="1" applyFill="1" applyBorder="1" applyAlignment="1" applyProtection="1">
      <alignment horizontal="left" vertical="center"/>
      <protection hidden="1"/>
    </xf>
    <xf numFmtId="0" fontId="279" fillId="19" borderId="203" xfId="0" applyFont="1" applyFill="1" applyBorder="1" applyAlignment="1" applyProtection="1">
      <alignment horizontal="center" vertical="center"/>
      <protection hidden="1"/>
    </xf>
    <xf numFmtId="0" fontId="173" fillId="19" borderId="203" xfId="0" applyFont="1" applyFill="1" applyBorder="1" applyAlignment="1" applyProtection="1">
      <alignment horizontal="center" vertical="center"/>
      <protection hidden="1"/>
    </xf>
    <xf numFmtId="0" fontId="173" fillId="19" borderId="205" xfId="0" applyFont="1" applyFill="1" applyBorder="1" applyAlignment="1" applyProtection="1">
      <alignment horizontal="center" vertical="center"/>
      <protection hidden="1"/>
    </xf>
    <xf numFmtId="0" fontId="173" fillId="19" borderId="204" xfId="0" applyFont="1" applyFill="1" applyBorder="1" applyAlignment="1" applyProtection="1">
      <alignment horizontal="center" vertical="center"/>
      <protection hidden="1"/>
    </xf>
    <xf numFmtId="0" fontId="173" fillId="19" borderId="205" xfId="0" applyFont="1" applyFill="1" applyBorder="1" applyAlignment="1" applyProtection="1">
      <alignment horizontal="left" vertical="center"/>
      <protection hidden="1"/>
    </xf>
    <xf numFmtId="0" fontId="173" fillId="19" borderId="204" xfId="0" applyFont="1" applyFill="1" applyBorder="1" applyAlignment="1" applyProtection="1">
      <alignment horizontal="left" vertical="center"/>
      <protection hidden="1"/>
    </xf>
    <xf numFmtId="2" fontId="287" fillId="0" borderId="0" xfId="0" applyNumberFormat="1" applyFont="1" applyAlignment="1" applyProtection="1">
      <alignment horizontal="center" vertical="center"/>
      <protection hidden="1"/>
    </xf>
    <xf numFmtId="0" fontId="273" fillId="19" borderId="203" xfId="0" applyFont="1" applyFill="1" applyBorder="1" applyAlignment="1" applyProtection="1">
      <alignment horizontal="center" vertical="center"/>
      <protection hidden="1"/>
    </xf>
    <xf numFmtId="0" fontId="273" fillId="19" borderId="205" xfId="0" applyFont="1" applyFill="1" applyBorder="1" applyAlignment="1" applyProtection="1">
      <alignment horizontal="center" vertical="center"/>
      <protection hidden="1"/>
    </xf>
    <xf numFmtId="0" fontId="273" fillId="19" borderId="204" xfId="0" applyFont="1" applyFill="1" applyBorder="1" applyAlignment="1" applyProtection="1">
      <alignment horizontal="center" vertical="center"/>
      <protection hidden="1"/>
    </xf>
    <xf numFmtId="0" fontId="57" fillId="0" borderId="0" xfId="0" applyFont="1" applyAlignment="1" applyProtection="1">
      <alignment horizontal="left"/>
      <protection hidden="1"/>
    </xf>
    <xf numFmtId="0" fontId="271" fillId="19" borderId="203" xfId="0" applyFont="1" applyFill="1" applyBorder="1" applyAlignment="1" applyProtection="1">
      <alignment horizontal="center" vertical="center"/>
      <protection hidden="1"/>
    </xf>
    <xf numFmtId="0" fontId="271" fillId="19" borderId="205" xfId="0" applyFont="1" applyFill="1" applyBorder="1" applyAlignment="1" applyProtection="1">
      <alignment horizontal="center" vertical="center"/>
      <protection hidden="1"/>
    </xf>
    <xf numFmtId="0" fontId="271" fillId="19" borderId="204" xfId="0" applyFont="1" applyFill="1" applyBorder="1" applyAlignment="1" applyProtection="1">
      <alignment horizontal="center" vertical="center"/>
      <protection hidden="1"/>
    </xf>
    <xf numFmtId="0" fontId="298" fillId="0" borderId="0" xfId="0" applyFont="1" applyAlignment="1" applyProtection="1">
      <alignment horizontal="left"/>
      <protection hidden="1"/>
    </xf>
    <xf numFmtId="0" fontId="298" fillId="0" borderId="39" xfId="0" applyFont="1" applyBorder="1" applyAlignment="1" applyProtection="1">
      <alignment horizontal="left"/>
      <protection hidden="1"/>
    </xf>
    <xf numFmtId="0" fontId="298" fillId="0" borderId="0" xfId="0" applyFont="1" applyAlignment="1" applyProtection="1">
      <alignment horizontal="right" indent="1"/>
      <protection hidden="1"/>
    </xf>
    <xf numFmtId="0" fontId="298" fillId="0" borderId="104" xfId="0" applyFont="1" applyBorder="1" applyAlignment="1" applyProtection="1">
      <alignment horizontal="left"/>
      <protection hidden="1"/>
    </xf>
    <xf numFmtId="0" fontId="298" fillId="0" borderId="0" xfId="0" applyFont="1" applyAlignment="1" applyProtection="1">
      <alignment horizontal="right" vertical="center" indent="1"/>
      <protection hidden="1"/>
    </xf>
    <xf numFmtId="0" fontId="298" fillId="0" borderId="1" xfId="0" applyFont="1" applyBorder="1" applyAlignment="1" applyProtection="1">
      <alignment horizontal="center" vertical="center"/>
      <protection hidden="1"/>
    </xf>
    <xf numFmtId="0" fontId="324" fillId="0" borderId="0" xfId="0" applyFont="1" applyAlignment="1" applyProtection="1">
      <alignment horizontal="center" vertical="top"/>
      <protection hidden="1"/>
    </xf>
    <xf numFmtId="0" fontId="300" fillId="0" borderId="0" xfId="0" applyFont="1" applyAlignment="1" applyProtection="1">
      <alignment horizontal="center" vertical="top"/>
      <protection hidden="1"/>
    </xf>
    <xf numFmtId="0" fontId="60" fillId="19" borderId="200" xfId="0" applyFont="1" applyFill="1" applyBorder="1" applyAlignment="1" applyProtection="1">
      <alignment horizontal="left" vertical="center"/>
      <protection hidden="1"/>
    </xf>
    <xf numFmtId="0" fontId="298" fillId="0" borderId="33" xfId="0" applyFont="1" applyBorder="1" applyAlignment="1" applyProtection="1">
      <alignment horizontal="left"/>
      <protection hidden="1"/>
    </xf>
    <xf numFmtId="0" fontId="298" fillId="0" borderId="52" xfId="0" applyFont="1" applyBorder="1" applyAlignment="1" applyProtection="1">
      <alignment horizontal="right" indent="1"/>
      <protection hidden="1"/>
    </xf>
    <xf numFmtId="0" fontId="300" fillId="0" borderId="52" xfId="0" applyFont="1" applyBorder="1" applyAlignment="1" applyProtection="1">
      <alignment horizontal="center" vertical="top"/>
      <protection hidden="1"/>
    </xf>
    <xf numFmtId="0" fontId="298" fillId="0" borderId="22" xfId="0" applyFont="1" applyBorder="1" applyAlignment="1" applyProtection="1">
      <alignment horizontal="left"/>
      <protection hidden="1"/>
    </xf>
    <xf numFmtId="173" fontId="297" fillId="18" borderId="0" xfId="0" applyNumberFormat="1" applyFont="1" applyFill="1" applyAlignment="1" applyProtection="1">
      <alignment vertical="center"/>
      <protection hidden="1"/>
    </xf>
    <xf numFmtId="0" fontId="269" fillId="19" borderId="196" xfId="0" applyFont="1" applyFill="1" applyBorder="1" applyAlignment="1" applyProtection="1">
      <alignment horizontal="right" vertical="center"/>
      <protection hidden="1"/>
    </xf>
    <xf numFmtId="173" fontId="298" fillId="18" borderId="0" xfId="0" applyNumberFormat="1" applyFont="1" applyFill="1" applyAlignment="1" applyProtection="1">
      <alignment vertical="center"/>
      <protection hidden="1"/>
    </xf>
    <xf numFmtId="0" fontId="147" fillId="0" borderId="0" xfId="0" applyFont="1" applyAlignment="1" applyProtection="1">
      <alignment horizontal="center"/>
      <protection hidden="1"/>
    </xf>
    <xf numFmtId="0" fontId="416" fillId="19" borderId="198" xfId="0" applyFont="1" applyFill="1" applyBorder="1" applyAlignment="1" applyProtection="1">
      <alignment vertical="top" textRotation="255"/>
      <protection hidden="1"/>
    </xf>
    <xf numFmtId="0" fontId="57" fillId="28" borderId="219" xfId="0" applyFont="1" applyFill="1" applyBorder="1" applyAlignment="1" applyProtection="1">
      <alignment horizontal="left" vertical="center"/>
      <protection hidden="1"/>
    </xf>
    <xf numFmtId="0" fontId="57" fillId="28" borderId="206" xfId="0" applyFont="1" applyFill="1" applyBorder="1" applyAlignment="1" applyProtection="1">
      <alignment horizontal="left" vertical="center"/>
      <protection hidden="1"/>
    </xf>
    <xf numFmtId="0" fontId="57" fillId="28" borderId="208" xfId="0" applyFont="1" applyFill="1" applyBorder="1" applyAlignment="1" applyProtection="1">
      <alignment horizontal="center" vertical="center"/>
      <protection hidden="1"/>
    </xf>
    <xf numFmtId="0" fontId="215" fillId="28" borderId="219" xfId="0" applyFont="1" applyFill="1" applyBorder="1" applyAlignment="1" applyProtection="1">
      <alignment horizontal="left" vertical="center"/>
      <protection hidden="1"/>
    </xf>
    <xf numFmtId="0" fontId="57" fillId="28" borderId="219" xfId="0" applyFont="1" applyFill="1" applyBorder="1" applyAlignment="1" applyProtection="1">
      <alignment horizontal="center" vertical="center"/>
      <protection hidden="1"/>
    </xf>
    <xf numFmtId="0" fontId="298" fillId="0" borderId="0" xfId="0" applyFont="1" applyAlignment="1" applyProtection="1">
      <alignment horizontal="center" vertical="center"/>
      <protection hidden="1"/>
    </xf>
    <xf numFmtId="0" fontId="299" fillId="0" borderId="0" xfId="0" applyFont="1" applyAlignment="1" applyProtection="1">
      <alignment horizontal="center" vertical="center"/>
      <protection hidden="1"/>
    </xf>
    <xf numFmtId="0" fontId="299" fillId="0" borderId="0" xfId="0" applyFont="1" applyAlignment="1" applyProtection="1">
      <alignment horizontal="left" vertical="center"/>
      <protection hidden="1"/>
    </xf>
    <xf numFmtId="173" fontId="196" fillId="18" borderId="0" xfId="0" applyNumberFormat="1" applyFont="1" applyFill="1" applyAlignment="1" applyProtection="1">
      <alignment vertical="center"/>
      <protection hidden="1"/>
    </xf>
    <xf numFmtId="0" fontId="57" fillId="28" borderId="219" xfId="0" applyFont="1" applyFill="1" applyBorder="1" applyAlignment="1" applyProtection="1">
      <alignment horizontal="right" vertical="center" indent="1"/>
      <protection hidden="1"/>
    </xf>
    <xf numFmtId="0" fontId="147" fillId="28" borderId="219" xfId="0" applyFont="1" applyFill="1" applyBorder="1" applyAlignment="1" applyProtection="1">
      <alignment vertical="center"/>
      <protection hidden="1"/>
    </xf>
    <xf numFmtId="0" fontId="57" fillId="28" borderId="219" xfId="0" applyFont="1" applyFill="1" applyBorder="1" applyAlignment="1" applyProtection="1">
      <alignment horizontal="center"/>
      <protection hidden="1"/>
    </xf>
    <xf numFmtId="0" fontId="298" fillId="0" borderId="0" xfId="0" applyFont="1" applyAlignment="1" applyProtection="1">
      <alignment horizontal="center"/>
      <protection hidden="1"/>
    </xf>
    <xf numFmtId="0" fontId="215" fillId="28" borderId="219" xfId="0" applyFont="1" applyFill="1" applyBorder="1" applyAlignment="1" applyProtection="1">
      <alignment horizontal="center" vertical="center"/>
      <protection hidden="1"/>
    </xf>
    <xf numFmtId="0" fontId="274" fillId="28" borderId="219" xfId="0" applyFont="1" applyFill="1" applyBorder="1" applyAlignment="1" applyProtection="1">
      <alignment horizontal="center" vertical="center"/>
      <protection hidden="1"/>
    </xf>
    <xf numFmtId="0" fontId="69" fillId="19" borderId="212" xfId="0" applyFont="1" applyFill="1" applyBorder="1" applyAlignment="1" applyProtection="1">
      <alignment vertical="center"/>
      <protection hidden="1"/>
    </xf>
    <xf numFmtId="0" fontId="214" fillId="19" borderId="0" xfId="0" applyFont="1" applyFill="1" applyAlignment="1" applyProtection="1">
      <alignment horizontal="center" vertical="center" textRotation="255"/>
      <protection hidden="1"/>
    </xf>
    <xf numFmtId="0" fontId="387" fillId="0" borderId="0" xfId="0" applyFont="1" applyAlignment="1" applyProtection="1">
      <alignment horizontal="center"/>
      <protection hidden="1"/>
    </xf>
    <xf numFmtId="0" fontId="15" fillId="4" borderId="0" xfId="0" applyFont="1" applyFill="1" applyAlignment="1" applyProtection="1">
      <alignment vertical="center"/>
      <protection hidden="1"/>
    </xf>
    <xf numFmtId="0" fontId="272" fillId="4" borderId="0" xfId="0" applyFont="1" applyFill="1" applyAlignment="1" applyProtection="1">
      <alignment vertical="center"/>
      <protection hidden="1"/>
    </xf>
    <xf numFmtId="0" fontId="113" fillId="0" borderId="0" xfId="0" applyFont="1" applyAlignment="1" applyProtection="1">
      <alignment horizontal="left" vertical="center"/>
      <protection hidden="1"/>
    </xf>
    <xf numFmtId="0" fontId="113" fillId="0" borderId="0" xfId="0" applyFont="1" applyAlignment="1" applyProtection="1">
      <alignment horizontal="left" vertical="center" indent="1"/>
      <protection hidden="1"/>
    </xf>
    <xf numFmtId="0" fontId="1" fillId="0" borderId="35" xfId="0" applyFont="1" applyBorder="1" applyAlignment="1" applyProtection="1">
      <alignment horizontal="center"/>
      <protection hidden="1"/>
    </xf>
    <xf numFmtId="0" fontId="1" fillId="0" borderId="51" xfId="0" applyFont="1" applyBorder="1" applyAlignment="1" applyProtection="1">
      <alignment horizontal="center"/>
      <protection hidden="1"/>
    </xf>
    <xf numFmtId="0" fontId="1" fillId="0" borderId="34" xfId="0" applyFont="1" applyBorder="1" applyAlignment="1" applyProtection="1">
      <alignment horizontal="center" vertical="center"/>
      <protection hidden="1"/>
    </xf>
    <xf numFmtId="0" fontId="1" fillId="0" borderId="335" xfId="0" applyFont="1" applyBorder="1" applyAlignment="1" applyProtection="1">
      <alignment horizontal="center"/>
      <protection hidden="1"/>
    </xf>
    <xf numFmtId="0" fontId="173" fillId="15" borderId="206" xfId="0" applyFont="1" applyFill="1" applyBorder="1" applyAlignment="1" applyProtection="1">
      <alignment horizontal="left" vertical="center"/>
      <protection hidden="1"/>
    </xf>
    <xf numFmtId="0" fontId="15" fillId="0" borderId="39" xfId="0" applyFont="1" applyBorder="1" applyAlignment="1" applyProtection="1">
      <alignment horizontal="right" vertical="center"/>
      <protection hidden="1"/>
    </xf>
    <xf numFmtId="0" fontId="15" fillId="0" borderId="0" xfId="0" applyFont="1" applyAlignment="1" applyProtection="1">
      <alignment horizontal="right" vertical="center"/>
      <protection hidden="1"/>
    </xf>
    <xf numFmtId="0" fontId="18" fillId="0" borderId="104" xfId="0" applyFont="1" applyBorder="1" applyAlignment="1" applyProtection="1">
      <alignment horizontal="center" vertical="center"/>
      <protection hidden="1"/>
    </xf>
    <xf numFmtId="0" fontId="366" fillId="20" borderId="206" xfId="0" applyFont="1" applyFill="1" applyBorder="1" applyAlignment="1" applyProtection="1">
      <alignment horizontal="center" vertical="center"/>
      <protection hidden="1"/>
    </xf>
    <xf numFmtId="0" fontId="366" fillId="20" borderId="208" xfId="0" applyFont="1" applyFill="1" applyBorder="1" applyAlignment="1" applyProtection="1">
      <alignment vertical="center"/>
      <protection hidden="1"/>
    </xf>
    <xf numFmtId="0" fontId="366" fillId="20" borderId="209" xfId="0" applyFont="1" applyFill="1" applyBorder="1" applyAlignment="1" applyProtection="1">
      <alignment vertical="center"/>
      <protection hidden="1"/>
    </xf>
    <xf numFmtId="0" fontId="366" fillId="20" borderId="216" xfId="0" applyFont="1" applyFill="1" applyBorder="1" applyAlignment="1" applyProtection="1">
      <alignment vertical="center"/>
      <protection hidden="1"/>
    </xf>
    <xf numFmtId="0" fontId="173" fillId="20" borderId="206" xfId="0" applyFont="1" applyFill="1" applyBorder="1" applyAlignment="1" applyProtection="1">
      <alignment horizontal="left" vertical="center"/>
      <protection hidden="1"/>
    </xf>
    <xf numFmtId="0" fontId="366" fillId="20" borderId="208" xfId="0" applyFont="1" applyFill="1" applyBorder="1" applyAlignment="1" applyProtection="1">
      <alignment horizontal="right" vertical="center"/>
      <protection hidden="1"/>
    </xf>
    <xf numFmtId="0" fontId="366" fillId="20" borderId="209" xfId="0" applyFont="1" applyFill="1" applyBorder="1" applyAlignment="1" applyProtection="1">
      <alignment horizontal="right" vertical="center"/>
      <protection hidden="1"/>
    </xf>
    <xf numFmtId="0" fontId="1" fillId="0" borderId="39" xfId="0" applyFont="1" applyBorder="1" applyAlignment="1" applyProtection="1">
      <alignment horizontal="center"/>
      <protection hidden="1"/>
    </xf>
    <xf numFmtId="0" fontId="366" fillId="20" borderId="206" xfId="0" applyFont="1" applyFill="1" applyBorder="1" applyAlignment="1" applyProtection="1">
      <alignment horizontal="left" vertical="center" indent="1"/>
      <protection hidden="1"/>
    </xf>
    <xf numFmtId="0" fontId="366" fillId="20" borderId="206" xfId="0" applyFont="1" applyFill="1" applyBorder="1" applyAlignment="1" applyProtection="1">
      <alignment horizontal="left" vertical="center"/>
      <protection hidden="1"/>
    </xf>
    <xf numFmtId="0" fontId="173" fillId="15" borderId="206" xfId="0" applyFont="1" applyFill="1" applyBorder="1" applyAlignment="1" applyProtection="1">
      <alignment horizontal="left" vertical="center" indent="1"/>
      <protection hidden="1"/>
    </xf>
    <xf numFmtId="0" fontId="366" fillId="20" borderId="208" xfId="0" applyFont="1" applyFill="1" applyBorder="1" applyAlignment="1" applyProtection="1">
      <alignment horizontal="center" vertical="center"/>
      <protection hidden="1"/>
    </xf>
    <xf numFmtId="0" fontId="18" fillId="0" borderId="39" xfId="0" applyFont="1" applyBorder="1" applyAlignment="1" applyProtection="1">
      <alignment horizontal="center" vertical="center"/>
      <protection hidden="1"/>
    </xf>
    <xf numFmtId="0" fontId="273" fillId="15" borderId="208" xfId="0" applyFont="1" applyFill="1" applyBorder="1" applyAlignment="1" applyProtection="1">
      <alignment horizontal="left" vertical="center"/>
      <protection hidden="1"/>
    </xf>
    <xf numFmtId="0" fontId="366" fillId="20" borderId="206" xfId="0" applyFont="1" applyFill="1" applyBorder="1" applyAlignment="1" applyProtection="1">
      <alignment horizontal="right" vertical="center" indent="1"/>
      <protection hidden="1"/>
    </xf>
    <xf numFmtId="0" fontId="57" fillId="15" borderId="206" xfId="0" applyFont="1" applyFill="1" applyBorder="1" applyAlignment="1" applyProtection="1">
      <alignment horizontal="left" vertical="center"/>
      <protection hidden="1"/>
    </xf>
    <xf numFmtId="0" fontId="1" fillId="0" borderId="33" xfId="0" applyFont="1" applyBorder="1" applyAlignment="1" applyProtection="1">
      <alignment horizontal="center"/>
      <protection hidden="1"/>
    </xf>
    <xf numFmtId="0" fontId="1" fillId="0" borderId="52" xfId="0" applyFont="1" applyBorder="1" applyAlignment="1" applyProtection="1">
      <alignment horizontal="center"/>
      <protection hidden="1"/>
    </xf>
    <xf numFmtId="0" fontId="1" fillId="0" borderId="22" xfId="0" applyFont="1" applyBorder="1" applyAlignment="1" applyProtection="1">
      <alignment horizontal="center"/>
      <protection hidden="1"/>
    </xf>
    <xf numFmtId="0" fontId="18" fillId="0" borderId="317" xfId="0" applyFont="1" applyBorder="1" applyAlignment="1" applyProtection="1">
      <alignment horizontal="center" vertical="center"/>
      <protection hidden="1"/>
    </xf>
    <xf numFmtId="0" fontId="18" fillId="0" borderId="0" xfId="0" applyFont="1" applyAlignment="1" applyProtection="1">
      <alignment horizontal="center" vertical="center"/>
      <protection hidden="1"/>
    </xf>
    <xf numFmtId="0" fontId="1" fillId="0" borderId="34" xfId="0" applyFont="1" applyBorder="1" applyAlignment="1" applyProtection="1">
      <alignment horizontal="center"/>
      <protection hidden="1"/>
    </xf>
    <xf numFmtId="0" fontId="41" fillId="23" borderId="146" xfId="0" applyFont="1" applyFill="1" applyBorder="1" applyProtection="1">
      <protection hidden="1"/>
    </xf>
    <xf numFmtId="0" fontId="30" fillId="23" borderId="146" xfId="0" applyFont="1" applyFill="1" applyBorder="1" applyAlignment="1" applyProtection="1">
      <alignment vertical="center" wrapText="1"/>
      <protection hidden="1"/>
    </xf>
    <xf numFmtId="0" fontId="32" fillId="23" borderId="146" xfId="0" applyFont="1" applyFill="1" applyBorder="1" applyAlignment="1" applyProtection="1">
      <alignment vertical="center" wrapText="1"/>
      <protection hidden="1"/>
    </xf>
    <xf numFmtId="20" fontId="33" fillId="23" borderId="146" xfId="0" applyNumberFormat="1" applyFont="1" applyFill="1" applyBorder="1" applyAlignment="1" applyProtection="1">
      <alignment vertical="center" wrapText="1"/>
      <protection hidden="1"/>
    </xf>
    <xf numFmtId="0" fontId="31" fillId="23" borderId="146" xfId="0" applyFont="1" applyFill="1" applyBorder="1" applyAlignment="1" applyProtection="1">
      <alignment vertical="center"/>
      <protection hidden="1"/>
    </xf>
    <xf numFmtId="0" fontId="129" fillId="0" borderId="0" xfId="0" applyFont="1" applyAlignment="1" applyProtection="1">
      <alignment horizontal="center" vertical="center"/>
      <protection hidden="1"/>
    </xf>
    <xf numFmtId="179" fontId="173" fillId="19" borderId="203" xfId="0" quotePrefix="1" applyNumberFormat="1" applyFont="1" applyFill="1" applyBorder="1" applyAlignment="1" applyProtection="1">
      <alignment horizontal="left" vertical="center"/>
      <protection hidden="1"/>
    </xf>
    <xf numFmtId="179" fontId="366" fillId="20" borderId="206" xfId="0" applyNumberFormat="1" applyFont="1" applyFill="1" applyBorder="1" applyAlignment="1" applyProtection="1">
      <alignment horizontal="left" vertical="center"/>
      <protection hidden="1"/>
    </xf>
    <xf numFmtId="179" fontId="215" fillId="15" borderId="206" xfId="0" applyNumberFormat="1" applyFont="1" applyFill="1" applyBorder="1" applyAlignment="1" applyProtection="1">
      <alignment horizontal="left" vertical="center"/>
      <protection hidden="1"/>
    </xf>
    <xf numFmtId="179" fontId="173" fillId="15" borderId="206" xfId="0" applyNumberFormat="1" applyFont="1" applyFill="1" applyBorder="1" applyAlignment="1" applyProtection="1">
      <alignment horizontal="left" vertical="center"/>
      <protection hidden="1"/>
    </xf>
    <xf numFmtId="179" fontId="173" fillId="15" borderId="206" xfId="0" applyNumberFormat="1" applyFont="1" applyFill="1" applyBorder="1" applyAlignment="1" applyProtection="1">
      <alignment horizontal="left" vertical="center" indent="1"/>
      <protection hidden="1"/>
    </xf>
    <xf numFmtId="180" fontId="1" fillId="0" borderId="0" xfId="0" applyNumberFormat="1" applyFont="1" applyAlignment="1" applyProtection="1">
      <alignment horizontal="center"/>
      <protection hidden="1"/>
    </xf>
    <xf numFmtId="179" fontId="425" fillId="20" borderId="206" xfId="0" quotePrefix="1" applyNumberFormat="1" applyFont="1" applyFill="1" applyBorder="1" applyAlignment="1" applyProtection="1">
      <alignment horizontal="left" vertical="center"/>
      <protection hidden="1"/>
    </xf>
    <xf numFmtId="179" fontId="366" fillId="15" borderId="206" xfId="0" applyNumberFormat="1" applyFont="1" applyFill="1" applyBorder="1" applyAlignment="1" applyProtection="1">
      <alignment horizontal="left" vertical="center"/>
      <protection hidden="1"/>
    </xf>
    <xf numFmtId="179" fontId="57" fillId="15" borderId="206" xfId="0" applyNumberFormat="1" applyFont="1" applyFill="1" applyBorder="1" applyAlignment="1" applyProtection="1">
      <alignment horizontal="left" vertical="center" indent="1"/>
      <protection hidden="1"/>
    </xf>
    <xf numFmtId="179" fontId="57" fillId="15" borderId="206" xfId="0" applyNumberFormat="1" applyFont="1" applyFill="1" applyBorder="1" applyAlignment="1" applyProtection="1">
      <alignment horizontal="left" vertical="center"/>
      <protection hidden="1"/>
    </xf>
    <xf numFmtId="179" fontId="425" fillId="20" borderId="206" xfId="0" applyNumberFormat="1" applyFont="1" applyFill="1" applyBorder="1" applyAlignment="1" applyProtection="1">
      <alignment horizontal="left" vertical="center"/>
      <protection hidden="1"/>
    </xf>
    <xf numFmtId="179" fontId="425" fillId="20" borderId="219" xfId="0" applyNumberFormat="1" applyFont="1" applyFill="1" applyBorder="1" applyAlignment="1" applyProtection="1">
      <alignment horizontal="left" vertical="center"/>
      <protection hidden="1"/>
    </xf>
    <xf numFmtId="179" fontId="425" fillId="28" borderId="219" xfId="0" applyNumberFormat="1" applyFont="1" applyFill="1" applyBorder="1" applyAlignment="1" applyProtection="1">
      <alignment horizontal="left" vertical="center"/>
      <protection hidden="1"/>
    </xf>
    <xf numFmtId="179" fontId="366" fillId="20" borderId="206" xfId="0" applyNumberFormat="1" applyFont="1" applyFill="1" applyBorder="1" applyAlignment="1" applyProtection="1">
      <alignment horizontal="right" vertical="center" indent="1"/>
      <protection hidden="1"/>
    </xf>
    <xf numFmtId="179" fontId="366" fillId="15" borderId="206" xfId="0" applyNumberFormat="1" applyFont="1" applyFill="1" applyBorder="1" applyAlignment="1" applyProtection="1">
      <alignment horizontal="left" vertical="center" indent="1"/>
      <protection hidden="1"/>
    </xf>
    <xf numFmtId="0" fontId="366" fillId="28" borderId="219" xfId="0" applyFont="1" applyFill="1" applyBorder="1" applyAlignment="1" applyProtection="1">
      <alignment horizontal="left" vertical="center"/>
      <protection hidden="1"/>
    </xf>
    <xf numFmtId="179" fontId="215" fillId="28" borderId="219" xfId="0" applyNumberFormat="1" applyFont="1" applyFill="1" applyBorder="1" applyAlignment="1" applyProtection="1">
      <alignment horizontal="left" vertical="center"/>
      <protection hidden="1"/>
    </xf>
    <xf numFmtId="9" fontId="35" fillId="18" borderId="126" xfId="1" applyFont="1" applyFill="1" applyBorder="1" applyAlignment="1" applyProtection="1">
      <alignment horizontal="left"/>
      <protection locked="0"/>
    </xf>
    <xf numFmtId="9" fontId="35" fillId="18" borderId="123" xfId="1" applyFont="1" applyFill="1" applyBorder="1" applyAlignment="1" applyProtection="1">
      <alignment horizontal="right"/>
      <protection locked="0"/>
    </xf>
    <xf numFmtId="1" fontId="161" fillId="18" borderId="125" xfId="1" applyNumberFormat="1" applyFont="1" applyFill="1" applyBorder="1" applyAlignment="1" applyProtection="1">
      <alignment horizontal="right" vertical="top"/>
      <protection locked="0"/>
    </xf>
    <xf numFmtId="9" fontId="35" fillId="18" borderId="36" xfId="1" applyFont="1" applyFill="1" applyBorder="1" applyAlignment="1" applyProtection="1">
      <alignment horizontal="right"/>
      <protection locked="0"/>
    </xf>
    <xf numFmtId="9" fontId="35" fillId="18" borderId="124" xfId="1" applyFont="1" applyFill="1" applyBorder="1" applyAlignment="1" applyProtection="1">
      <alignment horizontal="left"/>
      <protection locked="0"/>
    </xf>
    <xf numFmtId="1" fontId="161" fillId="18" borderId="128" xfId="1" applyNumberFormat="1" applyFont="1" applyFill="1" applyBorder="1" applyAlignment="1" applyProtection="1">
      <alignment horizontal="left" vertical="top"/>
      <protection locked="0"/>
    </xf>
    <xf numFmtId="1" fontId="161" fillId="18" borderId="130" xfId="1" applyNumberFormat="1" applyFont="1" applyFill="1" applyBorder="1" applyAlignment="1" applyProtection="1">
      <alignment horizontal="left" vertical="top"/>
      <protection locked="0"/>
    </xf>
    <xf numFmtId="1" fontId="161" fillId="18" borderId="129" xfId="1" applyNumberFormat="1" applyFont="1" applyFill="1" applyBorder="1" applyAlignment="1" applyProtection="1">
      <alignment horizontal="right" vertical="top"/>
      <protection locked="0"/>
    </xf>
    <xf numFmtId="9" fontId="35" fillId="18" borderId="127" xfId="1" applyFont="1" applyFill="1" applyBorder="1" applyAlignment="1" applyProtection="1">
      <alignment horizontal="left"/>
      <protection locked="0"/>
    </xf>
    <xf numFmtId="9" fontId="35" fillId="18" borderId="125" xfId="1" applyFont="1" applyFill="1" applyBorder="1" applyAlignment="1" applyProtection="1">
      <alignment horizontal="right"/>
      <protection locked="0"/>
    </xf>
    <xf numFmtId="9" fontId="35" fillId="0" borderId="343" xfId="1" applyFont="1" applyFill="1" applyBorder="1" applyAlignment="1" applyProtection="1">
      <alignment horizontal="left"/>
      <protection locked="0"/>
    </xf>
    <xf numFmtId="9" fontId="35" fillId="0" borderId="248" xfId="1" applyFont="1" applyFill="1" applyBorder="1" applyAlignment="1" applyProtection="1">
      <alignment horizontal="right"/>
      <protection locked="0"/>
    </xf>
    <xf numFmtId="1" fontId="161" fillId="0" borderId="170" xfId="1" applyNumberFormat="1" applyFont="1" applyFill="1" applyBorder="1" applyAlignment="1" applyProtection="1">
      <alignment horizontal="left" vertical="top"/>
      <protection locked="0"/>
    </xf>
    <xf numFmtId="1" fontId="161" fillId="0" borderId="293" xfId="1" applyNumberFormat="1" applyFont="1" applyFill="1" applyBorder="1" applyAlignment="1" applyProtection="1">
      <alignment horizontal="right" vertical="top"/>
      <protection locked="0"/>
    </xf>
    <xf numFmtId="1" fontId="161" fillId="0" borderId="360" xfId="1" applyNumberFormat="1" applyFont="1" applyFill="1" applyBorder="1" applyAlignment="1" applyProtection="1">
      <alignment horizontal="right" vertical="top"/>
      <protection locked="0"/>
    </xf>
    <xf numFmtId="0" fontId="35" fillId="0" borderId="0" xfId="0" applyFont="1" applyAlignment="1" applyProtection="1">
      <alignment horizontal="left"/>
      <protection hidden="1"/>
    </xf>
    <xf numFmtId="9" fontId="35" fillId="0" borderId="0" xfId="0" applyNumberFormat="1" applyFont="1" applyAlignment="1" applyProtection="1">
      <alignment horizontal="left"/>
      <protection hidden="1"/>
    </xf>
    <xf numFmtId="0" fontId="130" fillId="0" borderId="1" xfId="0" applyFont="1" applyBorder="1" applyAlignment="1" applyProtection="1">
      <alignment horizontal="center" vertical="center"/>
      <protection hidden="1"/>
    </xf>
    <xf numFmtId="0" fontId="130" fillId="0" borderId="0" xfId="0" applyFont="1" applyAlignment="1" applyProtection="1">
      <alignment horizontal="right" vertical="center"/>
      <protection hidden="1"/>
    </xf>
    <xf numFmtId="0" fontId="1" fillId="0" borderId="104" xfId="0" applyFont="1" applyBorder="1" applyAlignment="1" applyProtection="1">
      <alignment horizontal="center"/>
      <protection hidden="1"/>
    </xf>
    <xf numFmtId="0" fontId="146" fillId="0" borderId="0" xfId="0" applyFont="1" applyAlignment="1" applyProtection="1">
      <alignment horizontal="center" vertical="center"/>
      <protection hidden="1"/>
    </xf>
    <xf numFmtId="0" fontId="250" fillId="0" borderId="0" xfId="0" applyFont="1" applyAlignment="1" applyProtection="1">
      <alignment horizontal="left"/>
      <protection hidden="1"/>
    </xf>
    <xf numFmtId="9" fontId="250" fillId="0" borderId="0" xfId="0" applyNumberFormat="1" applyFont="1" applyAlignment="1" applyProtection="1">
      <alignment horizontal="left"/>
      <protection hidden="1"/>
    </xf>
    <xf numFmtId="0" fontId="250" fillId="0" borderId="0" xfId="0" applyFont="1" applyAlignment="1" applyProtection="1">
      <alignment horizontal="center" vertical="center"/>
      <protection hidden="1"/>
    </xf>
    <xf numFmtId="0" fontId="130" fillId="0" borderId="0" xfId="0" applyFont="1" applyAlignment="1" applyProtection="1">
      <alignment horizontal="right" vertical="center" indent="1"/>
      <protection hidden="1"/>
    </xf>
    <xf numFmtId="0" fontId="65" fillId="4" borderId="0" xfId="0" applyFont="1" applyFill="1" applyAlignment="1" applyProtection="1">
      <alignment vertical="center"/>
      <protection hidden="1"/>
    </xf>
    <xf numFmtId="0" fontId="230" fillId="0" borderId="1" xfId="0" applyFont="1" applyBorder="1" applyAlignment="1" applyProtection="1">
      <alignment horizontal="center" vertical="center"/>
      <protection hidden="1"/>
    </xf>
    <xf numFmtId="0" fontId="230" fillId="0" borderId="0" xfId="0" applyFont="1" applyAlignment="1" applyProtection="1">
      <alignment horizontal="right" vertical="center" indent="1"/>
      <protection hidden="1"/>
    </xf>
    <xf numFmtId="0" fontId="172" fillId="4" borderId="1" xfId="0" applyFont="1" applyFill="1" applyBorder="1" applyAlignment="1" applyProtection="1">
      <alignment horizontal="center" vertical="center"/>
      <protection hidden="1"/>
    </xf>
    <xf numFmtId="0" fontId="130" fillId="0" borderId="0" xfId="0" applyFont="1" applyAlignment="1" applyProtection="1">
      <alignment horizontal="left" vertical="center" indent="1"/>
      <protection hidden="1"/>
    </xf>
    <xf numFmtId="0" fontId="37" fillId="4" borderId="0" xfId="0" applyFont="1" applyFill="1" applyAlignment="1" applyProtection="1">
      <alignment vertical="center"/>
      <protection hidden="1"/>
    </xf>
    <xf numFmtId="0" fontId="104" fillId="4" borderId="0" xfId="0" applyFont="1" applyFill="1" applyAlignment="1" applyProtection="1">
      <alignment horizontal="center" vertical="center"/>
      <protection hidden="1"/>
    </xf>
    <xf numFmtId="0" fontId="230" fillId="0" borderId="0" xfId="0" applyFont="1" applyAlignment="1" applyProtection="1">
      <alignment horizontal="right" indent="1"/>
      <protection hidden="1"/>
    </xf>
    <xf numFmtId="0" fontId="130" fillId="0" borderId="51" xfId="0" quotePrefix="1" applyFont="1" applyBorder="1" applyAlignment="1" applyProtection="1">
      <alignment horizontal="left" vertical="center"/>
      <protection hidden="1"/>
    </xf>
    <xf numFmtId="0" fontId="130" fillId="0" borderId="0" xfId="0" applyFont="1" applyAlignment="1" applyProtection="1">
      <alignment horizontal="left" indent="1"/>
      <protection hidden="1"/>
    </xf>
    <xf numFmtId="0" fontId="130" fillId="0" borderId="0" xfId="0" applyFont="1" applyAlignment="1" applyProtection="1">
      <alignment vertical="center" wrapText="1"/>
      <protection hidden="1"/>
    </xf>
    <xf numFmtId="0" fontId="347" fillId="23" borderId="146" xfId="0" applyFont="1" applyFill="1" applyBorder="1" applyAlignment="1" applyProtection="1">
      <alignment horizontal="center" vertical="center" wrapText="1"/>
      <protection hidden="1"/>
    </xf>
    <xf numFmtId="0" fontId="129" fillId="0" borderId="279" xfId="0" applyFont="1" applyBorder="1" applyAlignment="1" applyProtection="1">
      <alignment horizontal="center"/>
      <protection hidden="1"/>
    </xf>
    <xf numFmtId="0" fontId="261" fillId="23" borderId="146" xfId="0" applyFont="1" applyFill="1" applyBorder="1" applyAlignment="1" applyProtection="1">
      <alignment horizontal="center" vertical="center" wrapText="1"/>
      <protection hidden="1"/>
    </xf>
    <xf numFmtId="0" fontId="1" fillId="0" borderId="3" xfId="0" applyFont="1" applyBorder="1" applyAlignment="1" applyProtection="1">
      <alignment horizontal="center"/>
      <protection hidden="1"/>
    </xf>
    <xf numFmtId="0" fontId="129" fillId="0" borderId="3" xfId="0" applyFont="1" applyBorder="1" applyAlignment="1" applyProtection="1">
      <alignment horizontal="center"/>
      <protection hidden="1"/>
    </xf>
    <xf numFmtId="0" fontId="130" fillId="0" borderId="0" xfId="0" applyFont="1" applyAlignment="1" applyProtection="1">
      <alignment vertical="top" wrapText="1"/>
      <protection hidden="1"/>
    </xf>
    <xf numFmtId="0" fontId="1" fillId="0" borderId="280" xfId="0" applyFont="1" applyBorder="1" applyAlignment="1" applyProtection="1">
      <alignment horizontal="center"/>
      <protection hidden="1"/>
    </xf>
    <xf numFmtId="0" fontId="129" fillId="0" borderId="280" xfId="0" applyFont="1" applyBorder="1" applyAlignment="1" applyProtection="1">
      <alignment horizontal="center"/>
      <protection hidden="1"/>
    </xf>
    <xf numFmtId="0" fontId="1" fillId="0" borderId="281" xfId="0" applyFont="1" applyBorder="1" applyAlignment="1" applyProtection="1">
      <alignment horizontal="center"/>
      <protection hidden="1"/>
    </xf>
    <xf numFmtId="0" fontId="1" fillId="0" borderId="0" xfId="0" applyFont="1" applyAlignment="1" applyProtection="1">
      <alignment horizontal="left" vertical="center"/>
      <protection hidden="1"/>
    </xf>
    <xf numFmtId="0" fontId="1" fillId="0" borderId="0" xfId="0" applyFont="1" applyAlignment="1" applyProtection="1">
      <alignment vertical="center"/>
      <protection hidden="1"/>
    </xf>
    <xf numFmtId="0" fontId="129" fillId="0" borderId="281" xfId="0" applyFont="1" applyBorder="1" applyAlignment="1" applyProtection="1">
      <alignment horizontal="center"/>
      <protection hidden="1"/>
    </xf>
    <xf numFmtId="0" fontId="1" fillId="0" borderId="282" xfId="0" applyFont="1" applyBorder="1" applyAlignment="1" applyProtection="1">
      <alignment horizontal="center"/>
      <protection hidden="1"/>
    </xf>
    <xf numFmtId="0" fontId="101" fillId="0" borderId="0" xfId="0" applyFont="1" applyAlignment="1" applyProtection="1">
      <alignment horizontal="left" vertical="center"/>
      <protection hidden="1"/>
    </xf>
    <xf numFmtId="0" fontId="1" fillId="18" borderId="100" xfId="0" quotePrefix="1" applyFont="1" applyFill="1" applyBorder="1" applyAlignment="1" applyProtection="1">
      <alignment horizontal="center" vertical="center"/>
      <protection hidden="1"/>
    </xf>
    <xf numFmtId="0" fontId="18" fillId="3" borderId="0" xfId="0" applyFont="1" applyFill="1" applyAlignment="1" applyProtection="1">
      <alignment horizontal="center" vertical="center"/>
      <protection hidden="1"/>
    </xf>
    <xf numFmtId="0" fontId="18" fillId="0" borderId="0" xfId="0" quotePrefix="1" applyFont="1" applyAlignment="1" applyProtection="1">
      <alignment horizontal="center" vertical="center"/>
      <protection hidden="1"/>
    </xf>
    <xf numFmtId="0" fontId="230" fillId="0" borderId="51" xfId="0" applyFont="1" applyBorder="1" applyAlignment="1" applyProtection="1">
      <alignment horizontal="center" vertical="center"/>
      <protection hidden="1"/>
    </xf>
    <xf numFmtId="0" fontId="101" fillId="0" borderId="0" xfId="0" applyFont="1" applyAlignment="1" applyProtection="1">
      <alignment vertical="center"/>
      <protection hidden="1"/>
    </xf>
    <xf numFmtId="0" fontId="101" fillId="0" borderId="0" xfId="0" applyFont="1" applyAlignment="1" applyProtection="1">
      <alignment horizontal="center" vertical="center"/>
      <protection hidden="1"/>
    </xf>
    <xf numFmtId="0" fontId="1" fillId="0" borderId="1" xfId="0" applyFont="1" applyBorder="1" applyAlignment="1" applyProtection="1">
      <alignment horizontal="center" vertical="center"/>
      <protection locked="0"/>
    </xf>
    <xf numFmtId="0" fontId="346" fillId="0" borderId="0" xfId="0" applyFont="1" applyAlignment="1" applyProtection="1">
      <alignment horizontal="center"/>
      <protection locked="0"/>
    </xf>
    <xf numFmtId="0" fontId="129" fillId="18" borderId="1" xfId="0" applyFont="1" applyFill="1" applyBorder="1" applyAlignment="1" applyProtection="1">
      <alignment horizontal="center" vertical="center"/>
      <protection locked="0"/>
    </xf>
    <xf numFmtId="0" fontId="75" fillId="0" borderId="0" xfId="0" applyFont="1" applyAlignment="1" applyProtection="1">
      <alignment horizontal="right" vertical="center"/>
      <protection locked="0"/>
    </xf>
    <xf numFmtId="0" fontId="16" fillId="0" borderId="1" xfId="0" applyFont="1" applyBorder="1" applyAlignment="1" applyProtection="1">
      <alignment horizontal="center" vertical="center"/>
      <protection hidden="1"/>
    </xf>
    <xf numFmtId="0" fontId="122" fillId="0" borderId="1" xfId="0" quotePrefix="1" applyFont="1" applyBorder="1" applyAlignment="1" applyProtection="1">
      <alignment horizontal="center" vertical="center"/>
      <protection hidden="1"/>
    </xf>
    <xf numFmtId="0" fontId="76" fillId="13" borderId="21" xfId="0" applyFont="1" applyFill="1" applyBorder="1" applyAlignment="1" applyProtection="1">
      <alignment horizontal="center" vertical="center"/>
      <protection hidden="1"/>
    </xf>
    <xf numFmtId="0" fontId="287" fillId="0" borderId="0" xfId="0" applyFont="1" applyAlignment="1" applyProtection="1">
      <alignment horizontal="center" vertical="center"/>
      <protection hidden="1"/>
    </xf>
    <xf numFmtId="168" fontId="287" fillId="0" borderId="0" xfId="0" applyNumberFormat="1" applyFont="1" applyAlignment="1" applyProtection="1">
      <alignment horizontal="center" vertical="center"/>
      <protection hidden="1"/>
    </xf>
    <xf numFmtId="0" fontId="82" fillId="0" borderId="0" xfId="0" applyFont="1" applyAlignment="1" applyProtection="1">
      <alignment horizontal="center" vertical="center"/>
      <protection hidden="1"/>
    </xf>
    <xf numFmtId="1" fontId="287" fillId="0" borderId="0" xfId="0" applyNumberFormat="1" applyFont="1" applyAlignment="1" applyProtection="1">
      <alignment horizontal="center" vertical="center"/>
      <protection hidden="1"/>
    </xf>
    <xf numFmtId="0" fontId="82" fillId="0" borderId="0" xfId="0" applyFont="1" applyAlignment="1" applyProtection="1">
      <alignment horizontal="center"/>
      <protection hidden="1"/>
    </xf>
    <xf numFmtId="0" fontId="24" fillId="4" borderId="12" xfId="0" applyFont="1" applyFill="1" applyBorder="1" applyAlignment="1" applyProtection="1">
      <alignment vertical="center"/>
      <protection hidden="1"/>
    </xf>
    <xf numFmtId="0" fontId="25" fillId="4" borderId="12" xfId="0" applyFont="1" applyFill="1" applyBorder="1" applyAlignment="1" applyProtection="1">
      <alignment vertical="center"/>
      <protection hidden="1"/>
    </xf>
    <xf numFmtId="0" fontId="25" fillId="4" borderId="61" xfId="0" applyFont="1" applyFill="1" applyBorder="1" applyAlignment="1" applyProtection="1">
      <alignment vertical="center"/>
      <protection hidden="1"/>
    </xf>
    <xf numFmtId="0" fontId="262" fillId="4" borderId="61" xfId="0" applyFont="1" applyFill="1" applyBorder="1" applyAlignment="1" applyProtection="1">
      <alignment vertical="center"/>
      <protection hidden="1"/>
    </xf>
    <xf numFmtId="0" fontId="24" fillId="4" borderId="61" xfId="0" applyFont="1" applyFill="1" applyBorder="1" applyAlignment="1" applyProtection="1">
      <alignment vertical="center"/>
      <protection hidden="1"/>
    </xf>
    <xf numFmtId="0" fontId="24" fillId="4" borderId="161" xfId="0" applyFont="1" applyFill="1" applyBorder="1" applyAlignment="1" applyProtection="1">
      <alignment vertical="center"/>
      <protection hidden="1"/>
    </xf>
    <xf numFmtId="0" fontId="25" fillId="4" borderId="61" xfId="0" applyFont="1" applyFill="1" applyBorder="1" applyAlignment="1" applyProtection="1">
      <alignment horizontal="center" vertical="center"/>
      <protection hidden="1"/>
    </xf>
    <xf numFmtId="0" fontId="283" fillId="4" borderId="61" xfId="0" applyFont="1" applyFill="1" applyBorder="1" applyAlignment="1" applyProtection="1">
      <alignment vertical="center"/>
      <protection hidden="1"/>
    </xf>
    <xf numFmtId="0" fontId="1" fillId="13" borderId="155" xfId="0" applyFont="1" applyFill="1" applyBorder="1" applyAlignment="1" applyProtection="1">
      <alignment horizontal="center"/>
      <protection hidden="1"/>
    </xf>
    <xf numFmtId="0" fontId="26" fillId="13" borderId="156" xfId="0" applyFont="1" applyFill="1" applyBorder="1" applyProtection="1">
      <protection hidden="1"/>
    </xf>
    <xf numFmtId="0" fontId="253" fillId="13" borderId="156" xfId="0" applyFont="1" applyFill="1" applyBorder="1" applyAlignment="1" applyProtection="1">
      <alignment horizontal="center" vertical="top"/>
      <protection hidden="1"/>
    </xf>
    <xf numFmtId="0" fontId="254" fillId="13" borderId="156" xfId="0" applyFont="1" applyFill="1" applyBorder="1" applyProtection="1">
      <protection hidden="1"/>
    </xf>
    <xf numFmtId="0" fontId="1" fillId="13" borderId="157" xfId="0" applyFont="1" applyFill="1" applyBorder="1" applyAlignment="1" applyProtection="1">
      <alignment horizontal="center"/>
      <protection hidden="1"/>
    </xf>
    <xf numFmtId="0" fontId="376" fillId="13" borderId="158" xfId="0" applyFont="1" applyFill="1" applyBorder="1" applyAlignment="1" applyProtection="1">
      <alignment horizontal="right" vertical="center" wrapText="1"/>
      <protection hidden="1"/>
    </xf>
    <xf numFmtId="0" fontId="375" fillId="13" borderId="159" xfId="0" applyFont="1" applyFill="1" applyBorder="1" applyAlignment="1" applyProtection="1">
      <alignment horizontal="left" vertical="center"/>
      <protection hidden="1"/>
    </xf>
    <xf numFmtId="0" fontId="376" fillId="13" borderId="158" xfId="0" applyFont="1" applyFill="1" applyBorder="1" applyAlignment="1" applyProtection="1">
      <alignment horizontal="right" vertical="center"/>
      <protection hidden="1"/>
    </xf>
    <xf numFmtId="0" fontId="232" fillId="13" borderId="160" xfId="0" applyFont="1" applyFill="1" applyBorder="1" applyAlignment="1" applyProtection="1">
      <alignment horizontal="center"/>
      <protection hidden="1"/>
    </xf>
    <xf numFmtId="0" fontId="183" fillId="13" borderId="161" xfId="0" applyFont="1" applyFill="1" applyBorder="1" applyAlignment="1" applyProtection="1">
      <alignment vertical="center"/>
      <protection hidden="1"/>
    </xf>
    <xf numFmtId="0" fontId="392" fillId="13" borderId="161" xfId="0" applyFont="1" applyFill="1" applyBorder="1" applyAlignment="1" applyProtection="1">
      <alignment vertical="center"/>
      <protection hidden="1"/>
    </xf>
    <xf numFmtId="0" fontId="1" fillId="13" borderId="162" xfId="0" applyFont="1" applyFill="1" applyBorder="1" applyAlignment="1" applyProtection="1">
      <alignment horizontal="center"/>
      <protection hidden="1"/>
    </xf>
    <xf numFmtId="0" fontId="104" fillId="4" borderId="61" xfId="0" applyFont="1" applyFill="1" applyBorder="1" applyAlignment="1" applyProtection="1">
      <alignment horizontal="center" vertical="top"/>
      <protection hidden="1"/>
    </xf>
    <xf numFmtId="0" fontId="27" fillId="15" borderId="55" xfId="0" applyFont="1" applyFill="1" applyBorder="1" applyAlignment="1" applyProtection="1">
      <alignment vertical="center" wrapText="1"/>
      <protection hidden="1"/>
    </xf>
    <xf numFmtId="0" fontId="1" fillId="15" borderId="56" xfId="0" applyFont="1" applyFill="1" applyBorder="1" applyProtection="1">
      <protection hidden="1"/>
    </xf>
    <xf numFmtId="0" fontId="1" fillId="15" borderId="57" xfId="0" applyFont="1" applyFill="1" applyBorder="1" applyProtection="1">
      <protection hidden="1"/>
    </xf>
    <xf numFmtId="0" fontId="27" fillId="15" borderId="58" xfId="0" applyFont="1" applyFill="1" applyBorder="1" applyAlignment="1" applyProtection="1">
      <alignment vertical="center"/>
      <protection hidden="1"/>
    </xf>
    <xf numFmtId="0" fontId="1" fillId="15" borderId="59" xfId="0" applyFont="1" applyFill="1" applyBorder="1" applyProtection="1">
      <protection hidden="1"/>
    </xf>
    <xf numFmtId="0" fontId="129" fillId="0" borderId="0" xfId="0" applyFont="1" applyAlignment="1" applyProtection="1">
      <alignment horizontal="right" vertical="center"/>
      <protection hidden="1"/>
    </xf>
    <xf numFmtId="0" fontId="287" fillId="0" borderId="0" xfId="0" applyFont="1" applyAlignment="1" applyProtection="1">
      <alignment horizontal="center"/>
      <protection hidden="1"/>
    </xf>
    <xf numFmtId="168" fontId="287" fillId="0" borderId="0" xfId="0" applyNumberFormat="1" applyFont="1" applyAlignment="1" applyProtection="1">
      <alignment horizontal="center"/>
      <protection hidden="1"/>
    </xf>
    <xf numFmtId="0" fontId="230" fillId="0" borderId="0" xfId="0" applyFont="1" applyAlignment="1" applyProtection="1">
      <alignment horizontal="left"/>
      <protection hidden="1"/>
    </xf>
    <xf numFmtId="0" fontId="230" fillId="0" borderId="0" xfId="0" applyFont="1" applyAlignment="1" applyProtection="1">
      <alignment horizontal="left" vertical="center"/>
      <protection hidden="1"/>
    </xf>
    <xf numFmtId="0" fontId="230" fillId="0" borderId="0" xfId="0" applyFont="1" applyAlignment="1" applyProtection="1">
      <alignment horizontal="center" vertical="center"/>
      <protection hidden="1"/>
    </xf>
    <xf numFmtId="0" fontId="129" fillId="0" borderId="0" xfId="0" applyFont="1" applyAlignment="1" applyProtection="1">
      <alignment horizontal="right"/>
      <protection hidden="1"/>
    </xf>
    <xf numFmtId="168" fontId="113" fillId="0" borderId="1" xfId="0" applyNumberFormat="1" applyFont="1" applyBorder="1" applyAlignment="1" applyProtection="1">
      <alignment horizontal="center" vertical="center"/>
      <protection hidden="1"/>
    </xf>
    <xf numFmtId="0" fontId="130" fillId="0" borderId="0" xfId="0" applyFont="1" applyAlignment="1" applyProtection="1">
      <alignment horizontal="center"/>
      <protection hidden="1"/>
    </xf>
    <xf numFmtId="0" fontId="113" fillId="0" borderId="1" xfId="0" applyFont="1" applyBorder="1" applyAlignment="1" applyProtection="1">
      <alignment horizontal="center" vertical="center"/>
      <protection hidden="1"/>
    </xf>
    <xf numFmtId="0" fontId="230" fillId="0" borderId="0" xfId="0" applyFont="1" applyAlignment="1" applyProtection="1">
      <alignment horizontal="left" vertical="center" indent="1"/>
      <protection hidden="1"/>
    </xf>
    <xf numFmtId="0" fontId="27" fillId="15" borderId="60" xfId="0" applyFont="1" applyFill="1" applyBorder="1" applyAlignment="1" applyProtection="1">
      <alignment vertical="center"/>
      <protection hidden="1"/>
    </xf>
    <xf numFmtId="0" fontId="1" fillId="15" borderId="61" xfId="0" applyFont="1" applyFill="1" applyBorder="1" applyProtection="1">
      <protection hidden="1"/>
    </xf>
    <xf numFmtId="0" fontId="1" fillId="15" borderId="62" xfId="0" applyFont="1" applyFill="1" applyBorder="1" applyProtection="1">
      <protection hidden="1"/>
    </xf>
    <xf numFmtId="0" fontId="101" fillId="0" borderId="0" xfId="0" applyFont="1" applyAlignment="1" applyProtection="1">
      <alignment horizontal="center"/>
      <protection hidden="1"/>
    </xf>
    <xf numFmtId="168" fontId="113" fillId="0" borderId="0" xfId="0" applyNumberFormat="1" applyFont="1" applyAlignment="1" applyProtection="1">
      <alignment horizontal="center"/>
      <protection hidden="1"/>
    </xf>
    <xf numFmtId="0" fontId="59" fillId="0" borderId="5" xfId="0" applyFont="1" applyBorder="1" applyAlignment="1" applyProtection="1">
      <alignment horizontal="center" vertical="center"/>
      <protection hidden="1"/>
    </xf>
    <xf numFmtId="0" fontId="126" fillId="12" borderId="6" xfId="0" applyFont="1" applyFill="1" applyBorder="1" applyAlignment="1" applyProtection="1">
      <alignment horizontal="center" vertical="center"/>
      <protection hidden="1"/>
    </xf>
    <xf numFmtId="0" fontId="126" fillId="11" borderId="6" xfId="0" applyFont="1" applyFill="1" applyBorder="1" applyAlignment="1" applyProtection="1">
      <alignment horizontal="center" vertical="center"/>
      <protection hidden="1"/>
    </xf>
    <xf numFmtId="0" fontId="126" fillId="10" borderId="6" xfId="0" applyFont="1" applyFill="1" applyBorder="1" applyAlignment="1" applyProtection="1">
      <alignment horizontal="center" vertical="center"/>
      <protection hidden="1"/>
    </xf>
    <xf numFmtId="0" fontId="126" fillId="9" borderId="6" xfId="0" applyFont="1" applyFill="1" applyBorder="1" applyAlignment="1" applyProtection="1">
      <alignment horizontal="center" vertical="center"/>
      <protection hidden="1"/>
    </xf>
    <xf numFmtId="0" fontId="126" fillId="2" borderId="6" xfId="0" applyFont="1" applyFill="1" applyBorder="1" applyAlignment="1" applyProtection="1">
      <alignment horizontal="center" vertical="center"/>
      <protection hidden="1"/>
    </xf>
    <xf numFmtId="0" fontId="126" fillId="8" borderId="6" xfId="0" applyFont="1" applyFill="1" applyBorder="1" applyAlignment="1" applyProtection="1">
      <alignment horizontal="center" vertical="center"/>
      <protection hidden="1"/>
    </xf>
    <xf numFmtId="0" fontId="126" fillId="7" borderId="6" xfId="0" applyFont="1" applyFill="1" applyBorder="1" applyAlignment="1" applyProtection="1">
      <alignment horizontal="center" vertical="center"/>
      <protection hidden="1"/>
    </xf>
    <xf numFmtId="0" fontId="126" fillId="6" borderId="6" xfId="0" applyFont="1" applyFill="1" applyBorder="1" applyAlignment="1" applyProtection="1">
      <alignment horizontal="center" vertical="center"/>
      <protection hidden="1"/>
    </xf>
    <xf numFmtId="0" fontId="126" fillId="5" borderId="6" xfId="0" applyFont="1" applyFill="1" applyBorder="1" applyAlignment="1" applyProtection="1">
      <alignment horizontal="center" vertical="center"/>
      <protection hidden="1"/>
    </xf>
    <xf numFmtId="0" fontId="59" fillId="0" borderId="171" xfId="0" applyFont="1" applyBorder="1" applyAlignment="1" applyProtection="1">
      <alignment horizontal="center" vertical="center"/>
      <protection hidden="1"/>
    </xf>
    <xf numFmtId="2" fontId="129" fillId="0" borderId="0" xfId="0" applyNumberFormat="1" applyFont="1" applyAlignment="1" applyProtection="1">
      <alignment horizontal="center" vertical="center"/>
      <protection hidden="1"/>
    </xf>
    <xf numFmtId="0" fontId="97" fillId="18" borderId="35" xfId="0" applyFont="1" applyFill="1" applyBorder="1" applyAlignment="1" applyProtection="1">
      <alignment vertical="center"/>
      <protection hidden="1"/>
    </xf>
    <xf numFmtId="0" fontId="97" fillId="0" borderId="51" xfId="0" applyFont="1" applyBorder="1" applyAlignment="1" applyProtection="1">
      <alignment vertical="center"/>
      <protection hidden="1"/>
    </xf>
    <xf numFmtId="0" fontId="97" fillId="0" borderId="34" xfId="0" applyFont="1" applyBorder="1" applyAlignment="1" applyProtection="1">
      <alignment vertical="center"/>
      <protection hidden="1"/>
    </xf>
    <xf numFmtId="0" fontId="27" fillId="0" borderId="35" xfId="0" applyFont="1" applyBorder="1" applyProtection="1">
      <protection hidden="1"/>
    </xf>
    <xf numFmtId="0" fontId="27" fillId="0" borderId="51" xfId="0" applyFont="1" applyBorder="1" applyProtection="1">
      <protection hidden="1"/>
    </xf>
    <xf numFmtId="0" fontId="27" fillId="0" borderId="34" xfId="0" applyFont="1" applyBorder="1" applyProtection="1">
      <protection hidden="1"/>
    </xf>
    <xf numFmtId="168" fontId="129" fillId="0" borderId="0" xfId="0" applyNumberFormat="1" applyFont="1" applyAlignment="1" applyProtection="1">
      <alignment horizontal="center" vertical="center"/>
      <protection hidden="1"/>
    </xf>
    <xf numFmtId="0" fontId="97" fillId="18" borderId="39" xfId="0" applyFont="1" applyFill="1" applyBorder="1" applyAlignment="1" applyProtection="1">
      <alignment vertical="center"/>
      <protection hidden="1"/>
    </xf>
    <xf numFmtId="0" fontId="97" fillId="0" borderId="104" xfId="0" applyFont="1" applyBorder="1" applyAlignment="1" applyProtection="1">
      <alignment vertical="center"/>
      <protection hidden="1"/>
    </xf>
    <xf numFmtId="0" fontId="27" fillId="0" borderId="39" xfId="0" applyFont="1" applyBorder="1" applyProtection="1">
      <protection hidden="1"/>
    </xf>
    <xf numFmtId="0" fontId="27" fillId="0" borderId="0" xfId="0" applyFont="1" applyProtection="1">
      <protection hidden="1"/>
    </xf>
    <xf numFmtId="0" fontId="27" fillId="0" borderId="104" xfId="0" applyFont="1" applyBorder="1" applyProtection="1">
      <protection hidden="1"/>
    </xf>
    <xf numFmtId="0" fontId="248" fillId="0" borderId="0" xfId="0" applyFont="1" applyAlignment="1" applyProtection="1">
      <alignment horizontal="right" vertical="center"/>
      <protection hidden="1"/>
    </xf>
    <xf numFmtId="0" fontId="230" fillId="0" borderId="0" xfId="0" applyFont="1" applyAlignment="1" applyProtection="1">
      <alignment horizontal="right" vertical="center"/>
      <protection hidden="1"/>
    </xf>
    <xf numFmtId="0" fontId="97" fillId="0" borderId="0" xfId="0" applyFont="1" applyAlignment="1" applyProtection="1">
      <alignment vertical="center"/>
      <protection hidden="1"/>
    </xf>
    <xf numFmtId="0" fontId="97" fillId="0" borderId="39" xfId="0" applyFont="1" applyBorder="1" applyAlignment="1" applyProtection="1">
      <alignment vertical="center"/>
      <protection hidden="1"/>
    </xf>
    <xf numFmtId="0" fontId="105" fillId="0" borderId="0" xfId="0" applyFont="1" applyAlignment="1" applyProtection="1">
      <alignment horizontal="center"/>
      <protection hidden="1"/>
    </xf>
    <xf numFmtId="0" fontId="183" fillId="0" borderId="0" xfId="0" applyFont="1" applyAlignment="1" applyProtection="1">
      <alignment horizontal="center" vertical="center" wrapText="1"/>
      <protection hidden="1"/>
    </xf>
    <xf numFmtId="0" fontId="232" fillId="0" borderId="0" xfId="0" applyFont="1" applyAlignment="1" applyProtection="1">
      <alignment horizontal="center" vertical="center"/>
      <protection hidden="1"/>
    </xf>
    <xf numFmtId="0" fontId="308" fillId="0" borderId="0" xfId="0" applyFont="1" applyAlignment="1" applyProtection="1">
      <alignment horizontal="center"/>
      <protection hidden="1"/>
    </xf>
    <xf numFmtId="0" fontId="308" fillId="0" borderId="0" xfId="0" applyFont="1" applyAlignment="1" applyProtection="1">
      <alignment horizontal="center" vertical="center" wrapText="1"/>
      <protection hidden="1"/>
    </xf>
    <xf numFmtId="0" fontId="108" fillId="0" borderId="0" xfId="0" applyFont="1" applyAlignment="1" applyProtection="1">
      <alignment vertical="center" wrapText="1"/>
      <protection hidden="1"/>
    </xf>
    <xf numFmtId="0" fontId="108" fillId="0" borderId="0" xfId="0" applyFont="1" applyAlignment="1" applyProtection="1">
      <alignment vertical="center"/>
      <protection hidden="1"/>
    </xf>
    <xf numFmtId="0" fontId="101" fillId="0" borderId="0" xfId="0" applyFont="1" applyAlignment="1" applyProtection="1">
      <alignment horizontal="center" vertical="top"/>
      <protection hidden="1"/>
    </xf>
    <xf numFmtId="0" fontId="346" fillId="0" borderId="0" xfId="0" applyFont="1" applyAlignment="1" applyProtection="1">
      <alignment horizontal="right"/>
      <protection hidden="1"/>
    </xf>
    <xf numFmtId="0" fontId="308" fillId="0" borderId="0" xfId="0" applyFont="1" applyAlignment="1" applyProtection="1">
      <alignment vertical="center" wrapText="1"/>
      <protection hidden="1"/>
    </xf>
    <xf numFmtId="0" fontId="308" fillId="0" borderId="0" xfId="0" applyFont="1" applyAlignment="1" applyProtection="1">
      <alignment vertical="center"/>
      <protection hidden="1"/>
    </xf>
    <xf numFmtId="0" fontId="130" fillId="0" borderId="0" xfId="0" applyFont="1" applyAlignment="1" applyProtection="1">
      <alignment horizontal="left"/>
      <protection hidden="1"/>
    </xf>
    <xf numFmtId="0" fontId="308" fillId="0" borderId="52" xfId="0" applyFont="1" applyBorder="1" applyAlignment="1" applyProtection="1">
      <alignment horizontal="center"/>
      <protection hidden="1"/>
    </xf>
    <xf numFmtId="0" fontId="308" fillId="0" borderId="52" xfId="0" applyFont="1" applyBorder="1" applyAlignment="1" applyProtection="1">
      <alignment horizontal="right"/>
      <protection hidden="1"/>
    </xf>
    <xf numFmtId="0" fontId="308" fillId="0" borderId="52" xfId="0" applyFont="1" applyBorder="1" applyAlignment="1" applyProtection="1">
      <alignment horizontal="left"/>
      <protection hidden="1"/>
    </xf>
    <xf numFmtId="0" fontId="163" fillId="0" borderId="39" xfId="0" applyFont="1" applyBorder="1" applyAlignment="1" applyProtection="1">
      <alignment horizontal="center"/>
      <protection hidden="1"/>
    </xf>
    <xf numFmtId="0" fontId="308" fillId="0" borderId="0" xfId="0" applyFont="1" applyAlignment="1" applyProtection="1">
      <alignment horizontal="center" vertical="center"/>
      <protection hidden="1"/>
    </xf>
    <xf numFmtId="0" fontId="308" fillId="0" borderId="0" xfId="0" applyFont="1" applyAlignment="1" applyProtection="1">
      <alignment horizontal="left" vertical="center"/>
      <protection hidden="1"/>
    </xf>
    <xf numFmtId="0" fontId="161" fillId="0" borderId="0" xfId="0" applyFont="1" applyAlignment="1" applyProtection="1">
      <alignment vertical="center" wrapText="1"/>
      <protection hidden="1"/>
    </xf>
    <xf numFmtId="0" fontId="161" fillId="0" borderId="0" xfId="0" applyFont="1" applyAlignment="1" applyProtection="1">
      <alignment vertical="center"/>
      <protection hidden="1"/>
    </xf>
    <xf numFmtId="1" fontId="163" fillId="0" borderId="39" xfId="0" applyNumberFormat="1" applyFont="1" applyBorder="1" applyAlignment="1" applyProtection="1">
      <alignment vertical="center"/>
      <protection hidden="1"/>
    </xf>
    <xf numFmtId="0" fontId="148" fillId="0" borderId="0" xfId="0" applyFont="1" applyAlignment="1" applyProtection="1">
      <alignment horizontal="right" vertical="center"/>
      <protection hidden="1"/>
    </xf>
    <xf numFmtId="0" fontId="15" fillId="0" borderId="0" xfId="0" applyFont="1" applyAlignment="1" applyProtection="1">
      <alignment vertical="center"/>
      <protection hidden="1"/>
    </xf>
    <xf numFmtId="0" fontId="113" fillId="0" borderId="0" xfId="0" applyFont="1" applyAlignment="1" applyProtection="1">
      <alignment horizontal="center" vertical="center"/>
      <protection hidden="1"/>
    </xf>
    <xf numFmtId="0" fontId="136" fillId="0" borderId="0" xfId="0" applyFont="1" applyAlignment="1" applyProtection="1">
      <alignment horizontal="right" vertical="center"/>
      <protection hidden="1"/>
    </xf>
    <xf numFmtId="0" fontId="75" fillId="0" borderId="0" xfId="0" applyFont="1" applyAlignment="1" applyProtection="1">
      <alignment vertical="center"/>
      <protection hidden="1"/>
    </xf>
    <xf numFmtId="0" fontId="15" fillId="0" borderId="0" xfId="0" applyFont="1" applyAlignment="1" applyProtection="1">
      <alignment horizontal="center" vertical="center" wrapText="1"/>
      <protection hidden="1"/>
    </xf>
    <xf numFmtId="0" fontId="15" fillId="0" borderId="0" xfId="0" applyFont="1" applyAlignment="1" applyProtection="1">
      <alignment vertical="center" wrapText="1"/>
      <protection hidden="1"/>
    </xf>
    <xf numFmtId="0" fontId="137" fillId="0" borderId="0" xfId="0" applyFont="1" applyAlignment="1" applyProtection="1">
      <alignment horizontal="right" vertical="center"/>
      <protection hidden="1"/>
    </xf>
    <xf numFmtId="0" fontId="138" fillId="0" borderId="0" xfId="0" applyFont="1" applyAlignment="1" applyProtection="1">
      <alignment vertical="center" wrapText="1"/>
      <protection hidden="1"/>
    </xf>
    <xf numFmtId="0" fontId="60" fillId="0" borderId="0" xfId="0" applyFont="1" applyAlignment="1" applyProtection="1">
      <alignment vertical="center" wrapText="1"/>
      <protection hidden="1"/>
    </xf>
    <xf numFmtId="0" fontId="74" fillId="0" borderId="0" xfId="0" applyFont="1" applyAlignment="1" applyProtection="1">
      <alignment vertical="center"/>
      <protection hidden="1"/>
    </xf>
    <xf numFmtId="0" fontId="129" fillId="0" borderId="52" xfId="0" applyFont="1" applyBorder="1" applyAlignment="1" applyProtection="1">
      <alignment horizontal="center" vertical="center"/>
      <protection hidden="1"/>
    </xf>
    <xf numFmtId="0" fontId="15" fillId="0" borderId="51" xfId="0" applyFont="1" applyBorder="1" applyAlignment="1" applyProtection="1">
      <alignment vertical="center"/>
      <protection hidden="1"/>
    </xf>
    <xf numFmtId="0" fontId="121" fillId="0" borderId="0" xfId="0" applyFont="1" applyAlignment="1" applyProtection="1">
      <alignment horizontal="right" vertical="center"/>
      <protection hidden="1"/>
    </xf>
    <xf numFmtId="0" fontId="121" fillId="0" borderId="0" xfId="0" applyFont="1" applyAlignment="1" applyProtection="1">
      <alignment vertical="center"/>
      <protection hidden="1"/>
    </xf>
    <xf numFmtId="0" fontId="121" fillId="0" borderId="0" xfId="0" quotePrefix="1" applyFont="1" applyAlignment="1" applyProtection="1">
      <alignment horizontal="center" vertical="center"/>
      <protection hidden="1"/>
    </xf>
    <xf numFmtId="0" fontId="248" fillId="0" borderId="0" xfId="0" applyFont="1" applyAlignment="1" applyProtection="1">
      <alignment vertical="center"/>
      <protection hidden="1"/>
    </xf>
    <xf numFmtId="0" fontId="157" fillId="0" borderId="89" xfId="0" applyFont="1" applyBorder="1" applyAlignment="1" applyProtection="1">
      <alignment horizontal="right"/>
      <protection locked="0"/>
    </xf>
    <xf numFmtId="0" fontId="105" fillId="0" borderId="89" xfId="0" applyFont="1" applyBorder="1" applyAlignment="1" applyProtection="1">
      <alignment horizontal="left"/>
      <protection locked="0"/>
    </xf>
    <xf numFmtId="0" fontId="23" fillId="0" borderId="101" xfId="0" quotePrefix="1" applyFont="1" applyBorder="1" applyAlignment="1" applyProtection="1">
      <alignment horizontal="left" wrapText="1"/>
      <protection locked="0"/>
    </xf>
    <xf numFmtId="0" fontId="150" fillId="0" borderId="89" xfId="0" applyFont="1" applyBorder="1" applyAlignment="1" applyProtection="1">
      <alignment horizontal="right"/>
      <protection locked="0"/>
    </xf>
    <xf numFmtId="0" fontId="156" fillId="0" borderId="89" xfId="0" applyFont="1" applyBorder="1" applyAlignment="1" applyProtection="1">
      <alignment horizontal="right"/>
      <protection locked="0"/>
    </xf>
    <xf numFmtId="0" fontId="151" fillId="0" borderId="89" xfId="0" applyFont="1" applyBorder="1" applyAlignment="1" applyProtection="1">
      <alignment horizontal="right"/>
      <protection locked="0"/>
    </xf>
    <xf numFmtId="0" fontId="155" fillId="0" borderId="89" xfId="0" applyFont="1" applyBorder="1" applyAlignment="1" applyProtection="1">
      <alignment horizontal="right"/>
      <protection locked="0"/>
    </xf>
    <xf numFmtId="0" fontId="152" fillId="0" borderId="89" xfId="0" applyFont="1" applyBorder="1" applyAlignment="1" applyProtection="1">
      <alignment horizontal="right"/>
      <protection locked="0"/>
    </xf>
    <xf numFmtId="0" fontId="154" fillId="0" borderId="89" xfId="0" applyFont="1" applyBorder="1" applyAlignment="1" applyProtection="1">
      <alignment horizontal="right"/>
      <protection locked="0"/>
    </xf>
    <xf numFmtId="0" fontId="91" fillId="0" borderId="89" xfId="0" applyFont="1" applyBorder="1" applyAlignment="1" applyProtection="1">
      <alignment horizontal="right"/>
      <protection locked="0"/>
    </xf>
    <xf numFmtId="0" fontId="153" fillId="0" borderId="89" xfId="0" applyFont="1" applyBorder="1" applyAlignment="1" applyProtection="1">
      <alignment horizontal="right"/>
      <protection locked="0"/>
    </xf>
    <xf numFmtId="0" fontId="80" fillId="19" borderId="38" xfId="0" quotePrefix="1" applyFont="1" applyFill="1" applyBorder="1" applyAlignment="1" applyProtection="1">
      <alignment horizontal="center" vertical="center"/>
      <protection hidden="1"/>
    </xf>
    <xf numFmtId="0" fontId="87" fillId="3" borderId="21" xfId="0" applyFont="1" applyFill="1" applyBorder="1" applyAlignment="1" applyProtection="1">
      <alignment horizontal="center" vertical="center"/>
      <protection hidden="1"/>
    </xf>
    <xf numFmtId="0" fontId="42" fillId="19" borderId="38" xfId="0" quotePrefix="1" applyFont="1" applyFill="1" applyBorder="1" applyAlignment="1" applyProtection="1">
      <alignment horizontal="center" vertical="center"/>
      <protection hidden="1"/>
    </xf>
    <xf numFmtId="0" fontId="76" fillId="19" borderId="38" xfId="0" applyFont="1" applyFill="1" applyBorder="1" applyAlignment="1" applyProtection="1">
      <alignment horizontal="center" vertical="center"/>
      <protection hidden="1"/>
    </xf>
    <xf numFmtId="0" fontId="77" fillId="19" borderId="38" xfId="0" applyFont="1" applyFill="1" applyBorder="1" applyAlignment="1" applyProtection="1">
      <alignment horizontal="center" vertical="center"/>
      <protection hidden="1"/>
    </xf>
    <xf numFmtId="0" fontId="171" fillId="19" borderId="38" xfId="0" quotePrefix="1" applyFont="1" applyFill="1" applyBorder="1" applyAlignment="1" applyProtection="1">
      <alignment horizontal="center" vertical="center"/>
      <protection hidden="1"/>
    </xf>
    <xf numFmtId="0" fontId="118" fillId="19" borderId="38" xfId="0" applyFont="1" applyFill="1" applyBorder="1" applyAlignment="1" applyProtection="1">
      <alignment horizontal="center" vertical="center"/>
      <protection hidden="1"/>
    </xf>
    <xf numFmtId="0" fontId="79" fillId="19" borderId="38" xfId="0" quotePrefix="1" applyFont="1" applyFill="1" applyBorder="1" applyAlignment="1" applyProtection="1">
      <alignment horizontal="center" vertical="center"/>
      <protection hidden="1"/>
    </xf>
    <xf numFmtId="0" fontId="88" fillId="3" borderId="98" xfId="0" applyFont="1" applyFill="1" applyBorder="1" applyAlignment="1" applyProtection="1">
      <alignment vertical="center" textRotation="255"/>
      <protection hidden="1"/>
    </xf>
    <xf numFmtId="0" fontId="75" fillId="0" borderId="0" xfId="0" applyFont="1" applyAlignment="1" applyProtection="1">
      <alignment horizontal="center"/>
      <protection hidden="1"/>
    </xf>
    <xf numFmtId="20" fontId="75" fillId="0" borderId="0" xfId="0" applyNumberFormat="1" applyFont="1" applyProtection="1">
      <protection hidden="1"/>
    </xf>
    <xf numFmtId="0" fontId="75" fillId="0" borderId="0" xfId="0" applyFont="1" applyProtection="1">
      <protection hidden="1"/>
    </xf>
    <xf numFmtId="0" fontId="69" fillId="0" borderId="0" xfId="0" applyFont="1" applyAlignment="1" applyProtection="1">
      <alignment vertical="center"/>
      <protection hidden="1"/>
    </xf>
    <xf numFmtId="0" fontId="149" fillId="0" borderId="0" xfId="0" applyFont="1" applyAlignment="1" applyProtection="1">
      <alignment horizontal="center" vertical="center"/>
      <protection hidden="1"/>
    </xf>
    <xf numFmtId="0" fontId="344" fillId="0" borderId="0" xfId="0" applyFont="1" applyAlignment="1" applyProtection="1">
      <alignment horizontal="center" vertical="center"/>
      <protection hidden="1"/>
    </xf>
    <xf numFmtId="0" fontId="276" fillId="0" borderId="0" xfId="0" applyFont="1" applyAlignment="1" applyProtection="1">
      <alignment horizontal="center"/>
      <protection hidden="1"/>
    </xf>
    <xf numFmtId="168" fontId="173" fillId="0" borderId="0" xfId="0" applyNumberFormat="1" applyFont="1" applyProtection="1">
      <protection hidden="1"/>
    </xf>
    <xf numFmtId="0" fontId="121" fillId="18" borderId="0" xfId="0" applyFont="1" applyFill="1" applyAlignment="1" applyProtection="1">
      <alignment vertical="center"/>
      <protection hidden="1"/>
    </xf>
    <xf numFmtId="0" fontId="1" fillId="0" borderId="0" xfId="0" applyFont="1" applyAlignment="1" applyProtection="1">
      <alignment horizontal="right" vertical="center"/>
      <protection hidden="1"/>
    </xf>
    <xf numFmtId="168" fontId="74" fillId="0" borderId="0" xfId="0" applyNumberFormat="1" applyFont="1" applyAlignment="1" applyProtection="1">
      <alignment vertical="center"/>
      <protection hidden="1"/>
    </xf>
    <xf numFmtId="0" fontId="74" fillId="0" borderId="0" xfId="0" applyFont="1" applyAlignment="1" applyProtection="1">
      <alignment horizontal="right" vertical="center"/>
      <protection hidden="1"/>
    </xf>
    <xf numFmtId="168" fontId="67" fillId="0" borderId="0" xfId="0" applyNumberFormat="1" applyFont="1" applyAlignment="1" applyProtection="1">
      <alignment vertical="center"/>
      <protection hidden="1"/>
    </xf>
    <xf numFmtId="0" fontId="248" fillId="18" borderId="0" xfId="0" applyFont="1" applyFill="1" applyAlignment="1" applyProtection="1">
      <alignment vertical="center"/>
      <protection hidden="1"/>
    </xf>
    <xf numFmtId="0" fontId="230" fillId="0" borderId="0" xfId="0" applyFont="1" applyAlignment="1" applyProtection="1">
      <alignment vertical="center"/>
      <protection hidden="1"/>
    </xf>
    <xf numFmtId="0" fontId="15" fillId="0" borderId="0" xfId="0" quotePrefix="1" applyFont="1" applyAlignment="1" applyProtection="1">
      <alignment horizontal="center"/>
      <protection hidden="1"/>
    </xf>
    <xf numFmtId="0" fontId="230" fillId="0" borderId="0" xfId="0" applyFont="1" applyAlignment="1" applyProtection="1">
      <alignment horizontal="center"/>
      <protection hidden="1"/>
    </xf>
    <xf numFmtId="0" fontId="28" fillId="18" borderId="84" xfId="0" applyFont="1" applyFill="1" applyBorder="1" applyAlignment="1" applyProtection="1">
      <alignment vertical="center"/>
      <protection hidden="1"/>
    </xf>
    <xf numFmtId="0" fontId="28" fillId="18" borderId="92" xfId="0" applyFont="1" applyFill="1" applyBorder="1" applyAlignment="1" applyProtection="1">
      <alignment vertical="center"/>
      <protection hidden="1"/>
    </xf>
    <xf numFmtId="0" fontId="129" fillId="0" borderId="0" xfId="0" quotePrefix="1" applyFont="1" applyAlignment="1" applyProtection="1">
      <alignment horizontal="center"/>
      <protection hidden="1"/>
    </xf>
    <xf numFmtId="0" fontId="1" fillId="0" borderId="0" xfId="0" applyFont="1" applyAlignment="1" applyProtection="1">
      <alignment horizontal="center" vertical="top"/>
      <protection hidden="1"/>
    </xf>
    <xf numFmtId="0" fontId="230" fillId="0" borderId="0" xfId="0" applyFont="1" applyAlignment="1" applyProtection="1">
      <alignment horizontal="center" vertical="top"/>
      <protection hidden="1"/>
    </xf>
    <xf numFmtId="0" fontId="1" fillId="0" borderId="84" xfId="0" applyFont="1" applyBorder="1" applyAlignment="1" applyProtection="1">
      <alignment horizontal="center"/>
      <protection hidden="1"/>
    </xf>
    <xf numFmtId="0" fontId="345" fillId="18" borderId="89" xfId="0" applyFont="1" applyFill="1" applyBorder="1" applyAlignment="1" applyProtection="1">
      <alignment horizontal="center" vertical="center"/>
      <protection hidden="1"/>
    </xf>
    <xf numFmtId="0" fontId="140" fillId="0" borderId="89" xfId="0" quotePrefix="1" applyFont="1" applyBorder="1" applyAlignment="1" applyProtection="1">
      <alignment horizontal="center"/>
      <protection hidden="1"/>
    </xf>
    <xf numFmtId="0" fontId="182" fillId="0" borderId="89" xfId="0" quotePrefix="1" applyFont="1" applyBorder="1" applyAlignment="1" applyProtection="1">
      <alignment horizontal="left"/>
      <protection hidden="1"/>
    </xf>
    <xf numFmtId="0" fontId="105" fillId="0" borderId="89" xfId="0" applyFont="1" applyBorder="1" applyAlignment="1" applyProtection="1">
      <alignment horizontal="right"/>
      <protection hidden="1"/>
    </xf>
    <xf numFmtId="0" fontId="29" fillId="0" borderId="85" xfId="0" applyFont="1" applyBorder="1" applyAlignment="1" applyProtection="1">
      <alignment horizontal="left" vertical="center"/>
      <protection hidden="1"/>
    </xf>
    <xf numFmtId="0" fontId="23" fillId="0" borderId="101" xfId="0" applyFont="1" applyBorder="1" applyAlignment="1" applyProtection="1">
      <alignment horizontal="right" wrapText="1"/>
      <protection hidden="1"/>
    </xf>
    <xf numFmtId="0" fontId="23" fillId="0" borderId="101" xfId="0" quotePrefix="1" applyFont="1" applyBorder="1" applyAlignment="1" applyProtection="1">
      <alignment horizontal="center" wrapText="1"/>
      <protection hidden="1"/>
    </xf>
    <xf numFmtId="0" fontId="186" fillId="4" borderId="332" xfId="0" applyFont="1" applyFill="1" applyBorder="1" applyAlignment="1" applyProtection="1">
      <alignment horizontal="left" vertical="center" wrapText="1"/>
      <protection hidden="1"/>
    </xf>
    <xf numFmtId="0" fontId="159" fillId="0" borderId="89" xfId="0" quotePrefix="1" applyFont="1" applyBorder="1" applyAlignment="1" applyProtection="1">
      <alignment horizontal="center"/>
      <protection hidden="1"/>
    </xf>
    <xf numFmtId="0" fontId="174" fillId="0" borderId="89" xfId="0" quotePrefix="1" applyFont="1" applyBorder="1" applyAlignment="1" applyProtection="1">
      <alignment horizontal="left"/>
      <protection hidden="1"/>
    </xf>
    <xf numFmtId="0" fontId="129" fillId="0" borderId="1" xfId="0" applyFont="1" applyBorder="1" applyAlignment="1" applyProtection="1">
      <alignment horizontal="center" vertical="center"/>
      <protection hidden="1"/>
    </xf>
    <xf numFmtId="0" fontId="163" fillId="0" borderId="0" xfId="0" applyFont="1" applyAlignment="1" applyProtection="1">
      <alignment horizontal="center"/>
      <protection hidden="1"/>
    </xf>
    <xf numFmtId="0" fontId="139" fillId="0" borderId="89" xfId="0" quotePrefix="1" applyFont="1" applyBorder="1" applyAlignment="1" applyProtection="1">
      <alignment horizontal="center"/>
      <protection hidden="1"/>
    </xf>
    <xf numFmtId="0" fontId="181" fillId="0" borderId="89" xfId="0" quotePrefix="1" applyFont="1" applyBorder="1" applyAlignment="1" applyProtection="1">
      <alignment horizontal="left"/>
      <protection hidden="1"/>
    </xf>
    <xf numFmtId="0" fontId="346" fillId="4" borderId="332" xfId="0" applyFont="1" applyFill="1" applyBorder="1" applyAlignment="1" applyProtection="1">
      <alignment horizontal="left" vertical="center" wrapText="1"/>
      <protection hidden="1"/>
    </xf>
    <xf numFmtId="0" fontId="141" fillId="0" borderId="89" xfId="0" quotePrefix="1" applyFont="1" applyBorder="1" applyAlignment="1" applyProtection="1">
      <alignment horizontal="center"/>
      <protection hidden="1"/>
    </xf>
    <xf numFmtId="0" fontId="175" fillId="0" borderId="89" xfId="0" quotePrefix="1" applyFont="1" applyBorder="1" applyAlignment="1" applyProtection="1">
      <alignment horizontal="left"/>
      <protection hidden="1"/>
    </xf>
    <xf numFmtId="0" fontId="144" fillId="0" borderId="89" xfId="0" quotePrefix="1" applyFont="1" applyBorder="1" applyAlignment="1" applyProtection="1">
      <alignment horizontal="center"/>
      <protection hidden="1"/>
    </xf>
    <xf numFmtId="0" fontId="180" fillId="0" borderId="89" xfId="0" quotePrefix="1" applyFont="1" applyBorder="1" applyAlignment="1" applyProtection="1">
      <alignment horizontal="left"/>
      <protection hidden="1"/>
    </xf>
    <xf numFmtId="0" fontId="143" fillId="0" borderId="89" xfId="0" quotePrefix="1" applyFont="1" applyBorder="1" applyAlignment="1" applyProtection="1">
      <alignment horizontal="center"/>
      <protection hidden="1"/>
    </xf>
    <xf numFmtId="0" fontId="176" fillId="0" borderId="89" xfId="0" quotePrefix="1" applyFont="1" applyBorder="1" applyAlignment="1" applyProtection="1">
      <alignment horizontal="left"/>
      <protection hidden="1"/>
    </xf>
    <xf numFmtId="0" fontId="142" fillId="0" borderId="89" xfId="0" quotePrefix="1" applyFont="1" applyBorder="1" applyAlignment="1" applyProtection="1">
      <alignment horizontal="center"/>
      <protection hidden="1"/>
    </xf>
    <xf numFmtId="0" fontId="179" fillId="0" borderId="89" xfId="0" quotePrefix="1" applyFont="1" applyBorder="1" applyAlignment="1" applyProtection="1">
      <alignment horizontal="left"/>
      <protection hidden="1"/>
    </xf>
    <xf numFmtId="0" fontId="133" fillId="0" borderId="89" xfId="0" quotePrefix="1" applyFont="1" applyBorder="1" applyAlignment="1" applyProtection="1">
      <alignment horizontal="center"/>
      <protection hidden="1"/>
    </xf>
    <xf numFmtId="0" fontId="177" fillId="0" borderId="89" xfId="0" quotePrefix="1" applyFont="1" applyBorder="1" applyAlignment="1" applyProtection="1">
      <alignment horizontal="left"/>
      <protection hidden="1"/>
    </xf>
    <xf numFmtId="0" fontId="160" fillId="0" borderId="89" xfId="0" quotePrefix="1" applyFont="1" applyBorder="1" applyAlignment="1" applyProtection="1">
      <alignment horizontal="center"/>
      <protection hidden="1"/>
    </xf>
    <xf numFmtId="0" fontId="178" fillId="0" borderId="89" xfId="0" quotePrefix="1" applyFont="1" applyBorder="1" applyAlignment="1" applyProtection="1">
      <alignment horizontal="left"/>
      <protection hidden="1"/>
    </xf>
    <xf numFmtId="0" fontId="1" fillId="0" borderId="86" xfId="0" applyFont="1" applyBorder="1" applyAlignment="1" applyProtection="1">
      <alignment horizontal="center"/>
      <protection hidden="1"/>
    </xf>
    <xf numFmtId="0" fontId="46" fillId="0" borderId="87" xfId="0" applyFont="1" applyBorder="1" applyAlignment="1" applyProtection="1">
      <alignment vertical="center"/>
      <protection hidden="1"/>
    </xf>
    <xf numFmtId="0" fontId="46" fillId="0" borderId="87" xfId="0" applyFont="1" applyBorder="1" applyAlignment="1" applyProtection="1">
      <alignment horizontal="right" vertical="center"/>
      <protection hidden="1"/>
    </xf>
    <xf numFmtId="0" fontId="45" fillId="18" borderId="87" xfId="0" applyFont="1" applyFill="1" applyBorder="1" applyAlignment="1" applyProtection="1">
      <alignment horizontal="center" vertical="center"/>
      <protection hidden="1"/>
    </xf>
    <xf numFmtId="0" fontId="46" fillId="0" borderId="88" xfId="0" applyFont="1" applyBorder="1" applyAlignment="1" applyProtection="1">
      <alignment vertical="center"/>
      <protection hidden="1"/>
    </xf>
    <xf numFmtId="0" fontId="7" fillId="12" borderId="38" xfId="0" applyFont="1" applyFill="1" applyBorder="1" applyAlignment="1" applyProtection="1">
      <alignment horizontal="center" vertical="center"/>
      <protection hidden="1"/>
    </xf>
    <xf numFmtId="0" fontId="7" fillId="11" borderId="38" xfId="0" applyFont="1" applyFill="1" applyBorder="1" applyAlignment="1" applyProtection="1">
      <alignment horizontal="center" vertical="center"/>
      <protection hidden="1"/>
    </xf>
    <xf numFmtId="0" fontId="7" fillId="10" borderId="38" xfId="0" applyFont="1" applyFill="1" applyBorder="1" applyAlignment="1" applyProtection="1">
      <alignment horizontal="center" vertical="center"/>
      <protection hidden="1"/>
    </xf>
    <xf numFmtId="0" fontId="7" fillId="9" borderId="38" xfId="0" applyFont="1" applyFill="1" applyBorder="1" applyAlignment="1" applyProtection="1">
      <alignment horizontal="center" vertical="center"/>
      <protection hidden="1"/>
    </xf>
    <xf numFmtId="0" fontId="7" fillId="2" borderId="38" xfId="0" applyFont="1" applyFill="1" applyBorder="1" applyAlignment="1" applyProtection="1">
      <alignment horizontal="center" vertical="center"/>
      <protection hidden="1"/>
    </xf>
    <xf numFmtId="0" fontId="7" fillId="8" borderId="38" xfId="0" applyFont="1" applyFill="1" applyBorder="1" applyAlignment="1" applyProtection="1">
      <alignment horizontal="center" vertical="center"/>
      <protection hidden="1"/>
    </xf>
    <xf numFmtId="0" fontId="7" fillId="7" borderId="38" xfId="0" applyFont="1" applyFill="1" applyBorder="1" applyAlignment="1" applyProtection="1">
      <alignment horizontal="center" vertical="center"/>
      <protection hidden="1"/>
    </xf>
    <xf numFmtId="0" fontId="7" fillId="6" borderId="38" xfId="0" applyFont="1" applyFill="1" applyBorder="1" applyAlignment="1" applyProtection="1">
      <alignment horizontal="center" vertical="center"/>
      <protection hidden="1"/>
    </xf>
    <xf numFmtId="0" fontId="7" fillId="5" borderId="38" xfId="0" applyFont="1" applyFill="1" applyBorder="1" applyAlignment="1" applyProtection="1">
      <alignment horizontal="center" vertical="center"/>
      <protection hidden="1"/>
    </xf>
    <xf numFmtId="0" fontId="68" fillId="0" borderId="51" xfId="0" applyFont="1" applyBorder="1" applyProtection="1">
      <protection hidden="1"/>
    </xf>
    <xf numFmtId="0" fontId="68" fillId="0" borderId="0" xfId="0" applyFont="1" applyProtection="1">
      <protection hidden="1"/>
    </xf>
    <xf numFmtId="0" fontId="1" fillId="0" borderId="104" xfId="0" applyFont="1" applyBorder="1" applyProtection="1">
      <protection hidden="1"/>
    </xf>
    <xf numFmtId="0" fontId="68" fillId="0" borderId="0" xfId="0" applyFont="1" applyAlignment="1" applyProtection="1">
      <alignment horizontal="left" indent="1"/>
      <protection hidden="1"/>
    </xf>
    <xf numFmtId="0" fontId="421" fillId="0" borderId="0" xfId="0" applyFont="1" applyAlignment="1" applyProtection="1">
      <alignment horizontal="center"/>
      <protection hidden="1"/>
    </xf>
    <xf numFmtId="0" fontId="320" fillId="0" borderId="0" xfId="0" applyFont="1" applyProtection="1">
      <protection hidden="1"/>
    </xf>
    <xf numFmtId="0" fontId="37" fillId="0" borderId="22" xfId="0" applyFont="1" applyBorder="1" applyAlignment="1" applyProtection="1">
      <alignment vertical="top"/>
      <protection hidden="1"/>
    </xf>
    <xf numFmtId="0" fontId="115" fillId="0" borderId="0" xfId="0" applyFont="1" applyAlignment="1" applyProtection="1">
      <alignment vertical="top" wrapText="1"/>
      <protection hidden="1"/>
    </xf>
    <xf numFmtId="0" fontId="62" fillId="0" borderId="35" xfId="0" applyFont="1" applyBorder="1" applyProtection="1">
      <protection hidden="1"/>
    </xf>
    <xf numFmtId="0" fontId="62" fillId="0" borderId="51" xfId="0" applyFont="1" applyBorder="1" applyProtection="1">
      <protection hidden="1"/>
    </xf>
    <xf numFmtId="0" fontId="62" fillId="0" borderId="34" xfId="0" applyFont="1" applyBorder="1" applyProtection="1">
      <protection hidden="1"/>
    </xf>
    <xf numFmtId="0" fontId="1" fillId="0" borderId="51" xfId="0" applyFont="1" applyBorder="1" applyProtection="1">
      <protection hidden="1"/>
    </xf>
    <xf numFmtId="0" fontId="28" fillId="18" borderId="35" xfId="0" applyFont="1" applyFill="1" applyBorder="1" applyAlignment="1" applyProtection="1">
      <alignment vertical="center"/>
      <protection hidden="1"/>
    </xf>
    <xf numFmtId="0" fontId="28" fillId="18" borderId="51" xfId="0" applyFont="1" applyFill="1" applyBorder="1" applyAlignment="1" applyProtection="1">
      <alignment vertical="center"/>
      <protection hidden="1"/>
    </xf>
    <xf numFmtId="0" fontId="28" fillId="18" borderId="34" xfId="0" applyFont="1" applyFill="1" applyBorder="1" applyAlignment="1" applyProtection="1">
      <alignment vertical="center"/>
      <protection hidden="1"/>
    </xf>
    <xf numFmtId="0" fontId="18" fillId="0" borderId="143" xfId="0" applyFont="1" applyBorder="1" applyAlignment="1" applyProtection="1">
      <alignment horizontal="center"/>
      <protection hidden="1"/>
    </xf>
    <xf numFmtId="0" fontId="114" fillId="3" borderId="143" xfId="0" applyFont="1" applyFill="1" applyBorder="1" applyAlignment="1" applyProtection="1">
      <alignment horizontal="center" vertical="center"/>
      <protection hidden="1"/>
    </xf>
    <xf numFmtId="0" fontId="18" fillId="17" borderId="143" xfId="0" applyFont="1" applyFill="1" applyBorder="1" applyAlignment="1" applyProtection="1">
      <alignment horizontal="center" vertical="center"/>
      <protection hidden="1"/>
    </xf>
    <xf numFmtId="0" fontId="419" fillId="18" borderId="89" xfId="0" applyFont="1" applyFill="1" applyBorder="1" applyAlignment="1" applyProtection="1">
      <alignment horizontal="center"/>
      <protection hidden="1"/>
    </xf>
    <xf numFmtId="0" fontId="29" fillId="0" borderId="104" xfId="0" applyFont="1" applyBorder="1" applyAlignment="1" applyProtection="1">
      <alignment horizontal="left" vertical="center"/>
      <protection hidden="1"/>
    </xf>
    <xf numFmtId="0" fontId="54" fillId="0" borderId="0" xfId="0" applyFont="1" applyAlignment="1" applyProtection="1">
      <alignment vertical="center"/>
      <protection hidden="1"/>
    </xf>
    <xf numFmtId="0" fontId="127" fillId="17" borderId="143" xfId="0" applyFont="1" applyFill="1" applyBorder="1" applyAlignment="1" applyProtection="1">
      <alignment horizontal="center" vertical="center"/>
      <protection hidden="1"/>
    </xf>
    <xf numFmtId="0" fontId="22" fillId="0" borderId="39" xfId="0" applyFont="1" applyBorder="1" applyAlignment="1" applyProtection="1">
      <alignment horizontal="center"/>
      <protection hidden="1"/>
    </xf>
    <xf numFmtId="0" fontId="62" fillId="0" borderId="89" xfId="0" applyFont="1" applyBorder="1" applyProtection="1">
      <protection hidden="1"/>
    </xf>
    <xf numFmtId="0" fontId="131" fillId="0" borderId="89" xfId="0" applyFont="1" applyBorder="1" applyAlignment="1" applyProtection="1">
      <alignment horizontal="right"/>
      <protection hidden="1"/>
    </xf>
    <xf numFmtId="0" fontId="131" fillId="0" borderId="89" xfId="0" quotePrefix="1" applyFont="1" applyBorder="1" applyAlignment="1" applyProtection="1">
      <alignment horizontal="center"/>
      <protection hidden="1"/>
    </xf>
    <xf numFmtId="0" fontId="249" fillId="0" borderId="89" xfId="0" applyFont="1" applyBorder="1" applyAlignment="1" applyProtection="1">
      <alignment horizontal="left"/>
      <protection hidden="1"/>
    </xf>
    <xf numFmtId="0" fontId="231" fillId="0" borderId="89" xfId="0" applyFont="1" applyBorder="1" applyProtection="1">
      <protection hidden="1"/>
    </xf>
    <xf numFmtId="0" fontId="230" fillId="0" borderId="89" xfId="0" applyFont="1" applyBorder="1" applyAlignment="1" applyProtection="1">
      <alignment horizontal="right"/>
      <protection hidden="1"/>
    </xf>
    <xf numFmtId="0" fontId="250" fillId="0" borderId="89" xfId="0" applyFont="1" applyBorder="1" applyProtection="1">
      <protection hidden="1"/>
    </xf>
    <xf numFmtId="0" fontId="230" fillId="0" borderId="89" xfId="0" applyFont="1" applyBorder="1" applyProtection="1">
      <protection hidden="1"/>
    </xf>
    <xf numFmtId="0" fontId="149" fillId="0" borderId="89" xfId="0" applyFont="1" applyBorder="1" applyProtection="1">
      <protection hidden="1"/>
    </xf>
    <xf numFmtId="0" fontId="22" fillId="0" borderId="104" xfId="0" applyFont="1" applyBorder="1" applyAlignment="1" applyProtection="1">
      <alignment horizontal="center"/>
      <protection hidden="1"/>
    </xf>
    <xf numFmtId="0" fontId="105" fillId="0" borderId="0" xfId="0" applyFont="1" applyAlignment="1" applyProtection="1">
      <alignment horizontal="left" vertical="center"/>
      <protection hidden="1"/>
    </xf>
    <xf numFmtId="0" fontId="57" fillId="0" borderId="0" xfId="0" applyFont="1" applyAlignment="1" applyProtection="1">
      <alignment vertical="center"/>
      <protection hidden="1"/>
    </xf>
    <xf numFmtId="0" fontId="105" fillId="0" borderId="0" xfId="0" applyFont="1" applyAlignment="1" applyProtection="1">
      <alignment horizontal="right" vertical="center"/>
      <protection hidden="1"/>
    </xf>
    <xf numFmtId="0" fontId="148" fillId="3" borderId="143" xfId="0" applyFont="1" applyFill="1" applyBorder="1" applyAlignment="1" applyProtection="1">
      <alignment horizontal="center" vertical="center"/>
      <protection hidden="1"/>
    </xf>
    <xf numFmtId="0" fontId="73" fillId="0" borderId="0" xfId="0" applyFont="1" applyAlignment="1" applyProtection="1">
      <alignment wrapText="1"/>
      <protection hidden="1"/>
    </xf>
    <xf numFmtId="0" fontId="54" fillId="0" borderId="0" xfId="0" applyFont="1" applyAlignment="1" applyProtection="1">
      <alignment horizontal="left" vertical="center"/>
      <protection hidden="1"/>
    </xf>
    <xf numFmtId="0" fontId="250" fillId="0" borderId="109" xfId="0" applyFont="1" applyBorder="1" applyProtection="1">
      <protection hidden="1"/>
    </xf>
    <xf numFmtId="0" fontId="230" fillId="0" borderId="109" xfId="0" applyFont="1" applyBorder="1" applyProtection="1">
      <protection hidden="1"/>
    </xf>
    <xf numFmtId="0" fontId="149" fillId="0" borderId="109" xfId="0" applyFont="1" applyBorder="1" applyProtection="1">
      <protection hidden="1"/>
    </xf>
    <xf numFmtId="0" fontId="105" fillId="0" borderId="89" xfId="0" applyFont="1" applyBorder="1" applyAlignment="1" applyProtection="1">
      <alignment horizontal="left" vertical="center"/>
      <protection hidden="1"/>
    </xf>
    <xf numFmtId="0" fontId="147" fillId="0" borderId="89" xfId="0" applyFont="1" applyBorder="1" applyAlignment="1" applyProtection="1">
      <alignment horizontal="right" vertical="center"/>
      <protection hidden="1"/>
    </xf>
    <xf numFmtId="0" fontId="147" fillId="0" borderId="89" xfId="0" applyFont="1" applyBorder="1" applyAlignment="1" applyProtection="1">
      <alignment horizontal="left" vertical="center"/>
      <protection hidden="1"/>
    </xf>
    <xf numFmtId="0" fontId="147" fillId="0" borderId="89" xfId="0" quotePrefix="1" applyFont="1" applyBorder="1" applyAlignment="1" applyProtection="1">
      <alignment horizontal="center" vertical="center"/>
      <protection hidden="1"/>
    </xf>
    <xf numFmtId="0" fontId="6" fillId="0" borderId="0" xfId="0" applyFont="1" applyAlignment="1" applyProtection="1">
      <alignment horizontal="center" vertical="center"/>
      <protection hidden="1"/>
    </xf>
    <xf numFmtId="0" fontId="0" fillId="0" borderId="0" xfId="0" applyAlignment="1" applyProtection="1">
      <alignment vertical="top" wrapText="1"/>
      <protection hidden="1"/>
    </xf>
    <xf numFmtId="0" fontId="250" fillId="0" borderId="109" xfId="0" applyFont="1" applyBorder="1" applyAlignment="1" applyProtection="1">
      <alignment horizontal="left"/>
      <protection hidden="1"/>
    </xf>
    <xf numFmtId="0" fontId="230" fillId="0" borderId="109" xfId="0" applyFont="1" applyBorder="1" applyAlignment="1" applyProtection="1">
      <alignment horizontal="left"/>
      <protection hidden="1"/>
    </xf>
    <xf numFmtId="0" fontId="149" fillId="0" borderId="109" xfId="0" applyFont="1" applyBorder="1" applyAlignment="1" applyProtection="1">
      <alignment horizontal="left"/>
      <protection hidden="1"/>
    </xf>
    <xf numFmtId="0" fontId="127" fillId="0" borderId="146" xfId="0" applyFont="1" applyBorder="1" applyAlignment="1" applyProtection="1">
      <alignment horizontal="center" vertical="center"/>
      <protection hidden="1"/>
    </xf>
    <xf numFmtId="0" fontId="22" fillId="0" borderId="33" xfId="0" applyFont="1" applyBorder="1" applyAlignment="1" applyProtection="1">
      <alignment horizontal="center"/>
      <protection hidden="1"/>
    </xf>
    <xf numFmtId="0" fontId="22" fillId="0" borderId="52" xfId="0" applyFont="1" applyBorder="1" applyAlignment="1" applyProtection="1">
      <alignment horizontal="center"/>
      <protection hidden="1"/>
    </xf>
    <xf numFmtId="0" fontId="158" fillId="0" borderId="52" xfId="0" applyFont="1" applyBorder="1" applyAlignment="1" applyProtection="1">
      <alignment vertical="center"/>
      <protection hidden="1"/>
    </xf>
    <xf numFmtId="0" fontId="22" fillId="0" borderId="22" xfId="0" applyFont="1" applyBorder="1" applyAlignment="1" applyProtection="1">
      <alignment horizontal="center"/>
      <protection hidden="1"/>
    </xf>
    <xf numFmtId="0" fontId="63" fillId="0" borderId="52" xfId="0" applyFont="1" applyBorder="1" applyAlignment="1" applyProtection="1">
      <alignment vertical="center"/>
      <protection hidden="1"/>
    </xf>
    <xf numFmtId="0" fontId="46" fillId="0" borderId="355" xfId="0" applyFont="1" applyBorder="1" applyAlignment="1" applyProtection="1">
      <alignment vertical="center"/>
      <protection hidden="1"/>
    </xf>
    <xf numFmtId="0" fontId="46" fillId="0" borderId="355" xfId="0" applyFont="1" applyBorder="1" applyAlignment="1" applyProtection="1">
      <alignment horizontal="right" vertical="center"/>
      <protection hidden="1"/>
    </xf>
    <xf numFmtId="0" fontId="45" fillId="18" borderId="355" xfId="0" applyFont="1" applyFill="1" applyBorder="1" applyAlignment="1" applyProtection="1">
      <alignment horizontal="center" vertical="center"/>
      <protection hidden="1"/>
    </xf>
    <xf numFmtId="0" fontId="46" fillId="0" borderId="22" xfId="0" applyFont="1" applyBorder="1" applyAlignment="1" applyProtection="1">
      <alignment vertical="center"/>
      <protection hidden="1"/>
    </xf>
    <xf numFmtId="0" fontId="170" fillId="0" borderId="0" xfId="0" quotePrefix="1" applyFont="1" applyAlignment="1" applyProtection="1">
      <alignment horizontal="right" vertical="center"/>
      <protection hidden="1"/>
    </xf>
    <xf numFmtId="0" fontId="170" fillId="0" borderId="0" xfId="0" applyFont="1" applyAlignment="1" applyProtection="1">
      <alignment horizontal="left" vertical="center"/>
      <protection hidden="1"/>
    </xf>
    <xf numFmtId="0" fontId="170" fillId="0" borderId="0" xfId="0" applyFont="1" applyAlignment="1" applyProtection="1">
      <alignment horizontal="center" vertical="center"/>
      <protection hidden="1"/>
    </xf>
    <xf numFmtId="0" fontId="23" fillId="19" borderId="0" xfId="0" applyFont="1" applyFill="1" applyAlignment="1" applyProtection="1">
      <alignment vertical="center"/>
      <protection hidden="1"/>
    </xf>
    <xf numFmtId="0" fontId="23" fillId="4" borderId="0" xfId="0" applyFont="1" applyFill="1" applyAlignment="1" applyProtection="1">
      <alignment vertical="center"/>
      <protection hidden="1"/>
    </xf>
    <xf numFmtId="0" fontId="41" fillId="18" borderId="91" xfId="0" applyFont="1" applyFill="1" applyBorder="1" applyProtection="1">
      <protection hidden="1"/>
    </xf>
    <xf numFmtId="0" fontId="1" fillId="18" borderId="91" xfId="0" applyFont="1" applyFill="1" applyBorder="1" applyAlignment="1" applyProtection="1">
      <alignment horizontal="center"/>
      <protection hidden="1"/>
    </xf>
    <xf numFmtId="0" fontId="1" fillId="18" borderId="92" xfId="0" applyFont="1" applyFill="1" applyBorder="1" applyAlignment="1" applyProtection="1">
      <alignment horizontal="center"/>
      <protection hidden="1"/>
    </xf>
    <xf numFmtId="0" fontId="23" fillId="18" borderId="85" xfId="0" applyFont="1" applyFill="1" applyBorder="1" applyAlignment="1" applyProtection="1">
      <alignment horizontal="left"/>
      <protection hidden="1"/>
    </xf>
    <xf numFmtId="0" fontId="1" fillId="20" borderId="155" xfId="0" applyFont="1" applyFill="1" applyBorder="1" applyAlignment="1" applyProtection="1">
      <alignment horizontal="center"/>
      <protection hidden="1"/>
    </xf>
    <xf numFmtId="0" fontId="235" fillId="20" borderId="156" xfId="0" applyFont="1" applyFill="1" applyBorder="1" applyProtection="1">
      <protection hidden="1"/>
    </xf>
    <xf numFmtId="0" fontId="1" fillId="20" borderId="157" xfId="0" applyFont="1" applyFill="1" applyBorder="1" applyAlignment="1" applyProtection="1">
      <alignment horizontal="center"/>
      <protection hidden="1"/>
    </xf>
    <xf numFmtId="0" fontId="23" fillId="0" borderId="0" xfId="0" applyFont="1" applyAlignment="1" applyProtection="1">
      <alignment horizontal="left"/>
      <protection hidden="1"/>
    </xf>
    <xf numFmtId="0" fontId="424" fillId="18" borderId="85" xfId="0" applyFont="1" applyFill="1" applyBorder="1" applyAlignment="1" applyProtection="1">
      <alignment horizontal="center"/>
      <protection hidden="1"/>
    </xf>
    <xf numFmtId="0" fontId="1" fillId="20" borderId="158" xfId="0" applyFont="1" applyFill="1" applyBorder="1" applyAlignment="1" applyProtection="1">
      <alignment horizontal="center"/>
      <protection hidden="1"/>
    </xf>
    <xf numFmtId="0" fontId="1" fillId="20" borderId="159" xfId="0" applyFont="1" applyFill="1" applyBorder="1" applyAlignment="1" applyProtection="1">
      <alignment horizontal="center"/>
      <protection hidden="1"/>
    </xf>
    <xf numFmtId="0" fontId="1" fillId="20" borderId="0" xfId="0" applyFont="1" applyFill="1" applyAlignment="1" applyProtection="1">
      <alignment horizontal="center"/>
      <protection hidden="1"/>
    </xf>
    <xf numFmtId="0" fontId="23" fillId="20" borderId="158" xfId="0" applyFont="1" applyFill="1" applyBorder="1" applyAlignment="1" applyProtection="1">
      <alignment horizontal="left"/>
      <protection hidden="1"/>
    </xf>
    <xf numFmtId="0" fontId="41" fillId="20" borderId="159" xfId="0" applyFont="1" applyFill="1" applyBorder="1" applyProtection="1">
      <protection hidden="1"/>
    </xf>
    <xf numFmtId="0" fontId="23" fillId="18" borderId="84" xfId="0" applyFont="1" applyFill="1" applyBorder="1" applyAlignment="1" applyProtection="1">
      <alignment horizontal="left"/>
      <protection hidden="1"/>
    </xf>
    <xf numFmtId="0" fontId="23" fillId="20" borderId="159" xfId="0" applyFont="1" applyFill="1" applyBorder="1" applyAlignment="1" applyProtection="1">
      <alignment horizontal="left"/>
      <protection hidden="1"/>
    </xf>
    <xf numFmtId="0" fontId="29" fillId="20" borderId="0" xfId="0" applyFont="1" applyFill="1" applyAlignment="1" applyProtection="1">
      <alignment vertical="center" wrapText="1"/>
      <protection hidden="1"/>
    </xf>
    <xf numFmtId="0" fontId="21" fillId="20" borderId="159" xfId="0" applyFont="1" applyFill="1" applyBorder="1" applyAlignment="1" applyProtection="1">
      <alignment horizontal="left"/>
      <protection hidden="1"/>
    </xf>
    <xf numFmtId="0" fontId="23" fillId="18" borderId="86" xfId="0" applyFont="1" applyFill="1" applyBorder="1" applyAlignment="1" applyProtection="1">
      <alignment horizontal="left"/>
      <protection hidden="1"/>
    </xf>
    <xf numFmtId="0" fontId="23" fillId="18" borderId="93" xfId="0" applyFont="1" applyFill="1" applyBorder="1" applyAlignment="1" applyProtection="1">
      <alignment horizontal="left"/>
      <protection hidden="1"/>
    </xf>
    <xf numFmtId="0" fontId="23" fillId="18" borderId="88" xfId="0" applyFont="1" applyFill="1" applyBorder="1" applyAlignment="1" applyProtection="1">
      <alignment horizontal="left"/>
      <protection hidden="1"/>
    </xf>
    <xf numFmtId="0" fontId="1" fillId="17" borderId="90" xfId="0" applyFont="1" applyFill="1" applyBorder="1" applyAlignment="1" applyProtection="1">
      <alignment horizontal="center"/>
      <protection hidden="1"/>
    </xf>
    <xf numFmtId="0" fontId="1" fillId="17" borderId="91" xfId="0" applyFont="1" applyFill="1" applyBorder="1" applyAlignment="1" applyProtection="1">
      <alignment horizontal="center"/>
      <protection hidden="1"/>
    </xf>
    <xf numFmtId="0" fontId="1" fillId="17" borderId="92" xfId="0" applyFont="1" applyFill="1" applyBorder="1" applyAlignment="1" applyProtection="1">
      <alignment horizontal="center"/>
      <protection hidden="1"/>
    </xf>
    <xf numFmtId="0" fontId="1" fillId="17" borderId="84" xfId="0" applyFont="1" applyFill="1" applyBorder="1" applyAlignment="1" applyProtection="1">
      <alignment horizontal="center"/>
      <protection hidden="1"/>
    </xf>
    <xf numFmtId="0" fontId="1" fillId="17" borderId="0" xfId="0" applyFont="1" applyFill="1" applyAlignment="1" applyProtection="1">
      <alignment horizontal="center"/>
      <protection hidden="1"/>
    </xf>
    <xf numFmtId="0" fontId="1" fillId="17" borderId="85" xfId="0" applyFont="1" applyFill="1" applyBorder="1" applyAlignment="1" applyProtection="1">
      <alignment horizontal="center"/>
      <protection hidden="1"/>
    </xf>
    <xf numFmtId="0" fontId="384" fillId="17" borderId="73" xfId="0" applyFont="1" applyFill="1" applyBorder="1" applyAlignment="1" applyProtection="1">
      <alignment horizontal="left" indent="1"/>
      <protection hidden="1"/>
    </xf>
    <xf numFmtId="1" fontId="67" fillId="17" borderId="48" xfId="1" applyNumberFormat="1" applyFont="1" applyFill="1" applyBorder="1" applyAlignment="1" applyProtection="1">
      <alignment horizontal="center"/>
      <protection hidden="1"/>
    </xf>
    <xf numFmtId="0" fontId="21" fillId="4" borderId="0" xfId="0" applyFont="1" applyFill="1" applyAlignment="1" applyProtection="1">
      <alignment vertical="center"/>
      <protection hidden="1"/>
    </xf>
    <xf numFmtId="0" fontId="36" fillId="17" borderId="40" xfId="0" applyFont="1" applyFill="1" applyBorder="1" applyAlignment="1" applyProtection="1">
      <alignment horizontal="center" vertical="center"/>
      <protection hidden="1"/>
    </xf>
    <xf numFmtId="0" fontId="36" fillId="14" borderId="40" xfId="0" applyFont="1" applyFill="1" applyBorder="1" applyAlignment="1" applyProtection="1">
      <alignment horizontal="center" vertical="center"/>
      <protection hidden="1"/>
    </xf>
    <xf numFmtId="2" fontId="1" fillId="0" borderId="0" xfId="0" applyNumberFormat="1" applyFont="1" applyAlignment="1" applyProtection="1">
      <alignment horizontal="center"/>
      <protection hidden="1"/>
    </xf>
    <xf numFmtId="0" fontId="66" fillId="4" borderId="0" xfId="0" applyFont="1" applyFill="1" applyAlignment="1" applyProtection="1">
      <alignment horizontal="center" vertical="center"/>
      <protection hidden="1"/>
    </xf>
    <xf numFmtId="0" fontId="36" fillId="4" borderId="0" xfId="0" applyFont="1" applyFill="1" applyAlignment="1" applyProtection="1">
      <alignment horizontal="center" vertical="center"/>
      <protection hidden="1"/>
    </xf>
    <xf numFmtId="0" fontId="1" fillId="20" borderId="160" xfId="0" applyFont="1" applyFill="1" applyBorder="1" applyAlignment="1" applyProtection="1">
      <alignment horizontal="center"/>
      <protection hidden="1"/>
    </xf>
    <xf numFmtId="0" fontId="1" fillId="20" borderId="161" xfId="0" applyFont="1" applyFill="1" applyBorder="1" applyAlignment="1" applyProtection="1">
      <alignment horizontal="center"/>
      <protection hidden="1"/>
    </xf>
    <xf numFmtId="0" fontId="1" fillId="20" borderId="162" xfId="0" applyFont="1" applyFill="1" applyBorder="1" applyAlignment="1" applyProtection="1">
      <alignment horizontal="center"/>
      <protection hidden="1"/>
    </xf>
    <xf numFmtId="0" fontId="1" fillId="17" borderId="86" xfId="0" applyFont="1" applyFill="1" applyBorder="1" applyAlignment="1" applyProtection="1">
      <alignment horizontal="center"/>
      <protection hidden="1"/>
    </xf>
    <xf numFmtId="0" fontId="1" fillId="17" borderId="93" xfId="0" applyFont="1" applyFill="1" applyBorder="1" applyAlignment="1" applyProtection="1">
      <alignment horizontal="center"/>
      <protection hidden="1"/>
    </xf>
    <xf numFmtId="0" fontId="1" fillId="17" borderId="88" xfId="0" applyFont="1" applyFill="1" applyBorder="1" applyAlignment="1" applyProtection="1">
      <alignment horizontal="center"/>
      <protection hidden="1"/>
    </xf>
    <xf numFmtId="0" fontId="1" fillId="20" borderId="90" xfId="0" applyFont="1" applyFill="1" applyBorder="1" applyAlignment="1" applyProtection="1">
      <alignment horizontal="center"/>
      <protection hidden="1"/>
    </xf>
    <xf numFmtId="0" fontId="1" fillId="20" borderId="91" xfId="0" applyFont="1" applyFill="1" applyBorder="1" applyAlignment="1" applyProtection="1">
      <alignment horizontal="center"/>
      <protection hidden="1"/>
    </xf>
    <xf numFmtId="0" fontId="1" fillId="20" borderId="92" xfId="0" applyFont="1" applyFill="1" applyBorder="1" applyAlignment="1" applyProtection="1">
      <alignment horizontal="center"/>
      <protection hidden="1"/>
    </xf>
    <xf numFmtId="0" fontId="23" fillId="17" borderId="298" xfId="0" applyFont="1" applyFill="1" applyBorder="1" applyAlignment="1" applyProtection="1">
      <alignment vertical="center"/>
      <protection hidden="1"/>
    </xf>
    <xf numFmtId="0" fontId="29" fillId="17" borderId="299" xfId="0" applyFont="1" applyFill="1" applyBorder="1" applyAlignment="1" applyProtection="1">
      <alignment horizontal="left" indent="1"/>
      <protection hidden="1"/>
    </xf>
    <xf numFmtId="0" fontId="184" fillId="17" borderId="300" xfId="0" applyFont="1" applyFill="1" applyBorder="1" applyAlignment="1" applyProtection="1">
      <alignment horizontal="left" indent="1"/>
      <protection hidden="1"/>
    </xf>
    <xf numFmtId="0" fontId="184" fillId="17" borderId="301" xfId="0" applyFont="1" applyFill="1" applyBorder="1" applyAlignment="1" applyProtection="1">
      <alignment horizontal="left" indent="1"/>
      <protection hidden="1"/>
    </xf>
    <xf numFmtId="0" fontId="184" fillId="17" borderId="302" xfId="0" applyFont="1" applyFill="1" applyBorder="1" applyAlignment="1" applyProtection="1">
      <alignment vertical="center"/>
      <protection hidden="1"/>
    </xf>
    <xf numFmtId="0" fontId="80" fillId="17" borderId="300" xfId="0" applyFont="1" applyFill="1" applyBorder="1" applyAlignment="1" applyProtection="1">
      <alignment horizontal="center"/>
      <protection hidden="1"/>
    </xf>
    <xf numFmtId="0" fontId="184" fillId="17" borderId="300" xfId="0" applyFont="1" applyFill="1" applyBorder="1" applyAlignment="1" applyProtection="1">
      <alignment vertical="center"/>
      <protection hidden="1"/>
    </xf>
    <xf numFmtId="0" fontId="184" fillId="17" borderId="299" xfId="0" applyFont="1" applyFill="1" applyBorder="1" applyAlignment="1" applyProtection="1">
      <alignment horizontal="left" indent="1"/>
      <protection hidden="1"/>
    </xf>
    <xf numFmtId="0" fontId="184" fillId="17" borderId="303" xfId="0" applyFont="1" applyFill="1" applyBorder="1" applyAlignment="1" applyProtection="1">
      <alignment horizontal="left" indent="1"/>
      <protection hidden="1"/>
    </xf>
    <xf numFmtId="0" fontId="1" fillId="20" borderId="84" xfId="0" applyFont="1" applyFill="1" applyBorder="1" applyAlignment="1" applyProtection="1">
      <alignment horizontal="center"/>
      <protection hidden="1"/>
    </xf>
    <xf numFmtId="0" fontId="117" fillId="20" borderId="0" xfId="0" applyFont="1" applyFill="1" applyAlignment="1" applyProtection="1">
      <alignment vertical="top" wrapText="1"/>
      <protection hidden="1"/>
    </xf>
    <xf numFmtId="0" fontId="117" fillId="20" borderId="0" xfId="0" applyFont="1" applyFill="1" applyAlignment="1" applyProtection="1">
      <alignment vertical="top"/>
      <protection hidden="1"/>
    </xf>
    <xf numFmtId="0" fontId="1" fillId="20" borderId="85" xfId="0" applyFont="1" applyFill="1" applyBorder="1" applyAlignment="1" applyProtection="1">
      <alignment horizontal="center"/>
      <protection hidden="1"/>
    </xf>
    <xf numFmtId="0" fontId="23" fillId="17" borderId="304" xfId="0" applyFont="1" applyFill="1" applyBorder="1" applyAlignment="1" applyProtection="1">
      <alignment vertical="center"/>
      <protection hidden="1"/>
    </xf>
    <xf numFmtId="0" fontId="184" fillId="17" borderId="305" xfId="0" applyFont="1" applyFill="1" applyBorder="1" applyAlignment="1" applyProtection="1">
      <alignment horizontal="left" indent="1"/>
      <protection hidden="1"/>
    </xf>
    <xf numFmtId="0" fontId="23" fillId="17" borderId="306" xfId="0" applyFont="1" applyFill="1" applyBorder="1" applyAlignment="1" applyProtection="1">
      <alignment vertical="center"/>
      <protection hidden="1"/>
    </xf>
    <xf numFmtId="0" fontId="36" fillId="17" borderId="308" xfId="0" applyFont="1" applyFill="1" applyBorder="1" applyAlignment="1" applyProtection="1">
      <alignment horizontal="center" vertical="center"/>
      <protection hidden="1"/>
    </xf>
    <xf numFmtId="0" fontId="23" fillId="17" borderId="309" xfId="0" applyFont="1" applyFill="1" applyBorder="1" applyAlignment="1" applyProtection="1">
      <alignment vertical="center"/>
      <protection hidden="1"/>
    </xf>
    <xf numFmtId="0" fontId="232" fillId="17" borderId="0" xfId="0" applyFont="1" applyFill="1" applyAlignment="1" applyProtection="1">
      <alignment horizontal="center"/>
      <protection hidden="1"/>
    </xf>
    <xf numFmtId="0" fontId="1" fillId="20" borderId="86" xfId="0" applyFont="1" applyFill="1" applyBorder="1" applyAlignment="1" applyProtection="1">
      <alignment horizontal="center"/>
      <protection hidden="1"/>
    </xf>
    <xf numFmtId="0" fontId="1" fillId="20" borderId="93" xfId="0" applyFont="1" applyFill="1" applyBorder="1" applyAlignment="1" applyProtection="1">
      <alignment horizontal="center"/>
      <protection hidden="1"/>
    </xf>
    <xf numFmtId="0" fontId="1" fillId="20" borderId="88" xfId="0" applyFont="1" applyFill="1" applyBorder="1" applyAlignment="1" applyProtection="1">
      <alignment horizontal="center"/>
      <protection hidden="1"/>
    </xf>
    <xf numFmtId="0" fontId="23" fillId="17" borderId="311" xfId="0" applyFont="1" applyFill="1" applyBorder="1" applyAlignment="1" applyProtection="1">
      <alignment vertical="center"/>
      <protection hidden="1"/>
    </xf>
    <xf numFmtId="0" fontId="23" fillId="17" borderId="179" xfId="0" applyFont="1" applyFill="1" applyBorder="1" applyAlignment="1" applyProtection="1">
      <alignment vertical="center"/>
      <protection hidden="1"/>
    </xf>
    <xf numFmtId="0" fontId="1" fillId="0" borderId="248" xfId="0" applyFont="1" applyBorder="1" applyAlignment="1" applyProtection="1">
      <alignment horizontal="center"/>
      <protection hidden="1"/>
    </xf>
    <xf numFmtId="0" fontId="1" fillId="0" borderId="247" xfId="0" applyFont="1" applyBorder="1" applyAlignment="1" applyProtection="1">
      <alignment horizontal="center"/>
      <protection hidden="1"/>
    </xf>
    <xf numFmtId="0" fontId="389" fillId="0" borderId="247" xfId="0" applyFont="1" applyBorder="1" applyAlignment="1" applyProtection="1">
      <alignment vertical="center"/>
      <protection hidden="1"/>
    </xf>
    <xf numFmtId="0" fontId="1" fillId="0" borderId="249" xfId="0" applyFont="1" applyBorder="1" applyAlignment="1" applyProtection="1">
      <alignment horizontal="center"/>
      <protection hidden="1"/>
    </xf>
    <xf numFmtId="0" fontId="21" fillId="0" borderId="0" xfId="0" applyFont="1" applyAlignment="1" applyProtection="1">
      <alignment vertical="center"/>
      <protection hidden="1"/>
    </xf>
    <xf numFmtId="0" fontId="135" fillId="0" borderId="293" xfId="0" applyFont="1" applyBorder="1" applyProtection="1">
      <protection hidden="1"/>
    </xf>
    <xf numFmtId="0" fontId="394" fillId="0" borderId="0" xfId="0" applyFont="1" applyAlignment="1" applyProtection="1">
      <alignment horizontal="right" vertical="center"/>
      <protection hidden="1"/>
    </xf>
    <xf numFmtId="0" fontId="1" fillId="0" borderId="294" xfId="0" applyFont="1" applyBorder="1" applyAlignment="1" applyProtection="1">
      <alignment horizontal="center"/>
      <protection hidden="1"/>
    </xf>
    <xf numFmtId="0" fontId="166" fillId="0" borderId="0" xfId="0" applyFont="1" applyAlignment="1" applyProtection="1">
      <alignment vertical="center" wrapText="1"/>
      <protection hidden="1"/>
    </xf>
    <xf numFmtId="0" fontId="23" fillId="0" borderId="293" xfId="0" applyFont="1" applyBorder="1" applyAlignment="1" applyProtection="1">
      <alignment vertical="center"/>
      <protection hidden="1"/>
    </xf>
    <xf numFmtId="0" fontId="117" fillId="3" borderId="0" xfId="0" applyFont="1" applyFill="1" applyAlignment="1" applyProtection="1">
      <alignment horizontal="left" vertical="center"/>
      <protection hidden="1"/>
    </xf>
    <xf numFmtId="0" fontId="60" fillId="3" borderId="0" xfId="0" quotePrefix="1" applyFont="1" applyFill="1" applyAlignment="1" applyProtection="1">
      <alignment horizontal="left" vertical="center"/>
      <protection hidden="1"/>
    </xf>
    <xf numFmtId="0" fontId="134" fillId="3" borderId="0" xfId="0" quotePrefix="1" applyFont="1" applyFill="1" applyAlignment="1" applyProtection="1">
      <alignment horizontal="left" vertical="center"/>
      <protection hidden="1"/>
    </xf>
    <xf numFmtId="0" fontId="347" fillId="0" borderId="0" xfId="0" applyFont="1" applyAlignment="1" applyProtection="1">
      <alignment horizontal="left" vertical="center"/>
      <protection hidden="1"/>
    </xf>
    <xf numFmtId="0" fontId="23" fillId="0" borderId="294" xfId="0" applyFont="1" applyBorder="1" applyAlignment="1" applyProtection="1">
      <alignment vertical="center"/>
      <protection hidden="1"/>
    </xf>
    <xf numFmtId="0" fontId="130" fillId="0" borderId="0" xfId="0" applyFont="1" applyAlignment="1" applyProtection="1">
      <alignment horizontal="right" indent="1"/>
      <protection hidden="1"/>
    </xf>
    <xf numFmtId="0" fontId="1" fillId="0" borderId="14" xfId="0" applyFont="1" applyBorder="1" applyAlignment="1" applyProtection="1">
      <alignment horizontal="center"/>
      <protection hidden="1"/>
    </xf>
    <xf numFmtId="0" fontId="1" fillId="0" borderId="13" xfId="0" applyFont="1" applyBorder="1" applyAlignment="1" applyProtection="1">
      <alignment horizontal="center"/>
      <protection hidden="1"/>
    </xf>
    <xf numFmtId="0" fontId="1" fillId="0" borderId="13" xfId="0" applyFont="1" applyBorder="1" applyProtection="1">
      <protection hidden="1"/>
    </xf>
    <xf numFmtId="0" fontId="1" fillId="0" borderId="15" xfId="0" applyFont="1" applyBorder="1" applyAlignment="1" applyProtection="1">
      <alignment horizontal="center"/>
      <protection hidden="1"/>
    </xf>
    <xf numFmtId="0" fontId="1" fillId="0" borderId="293" xfId="0" applyFont="1" applyBorder="1" applyAlignment="1" applyProtection="1">
      <alignment horizontal="center"/>
      <protection hidden="1"/>
    </xf>
    <xf numFmtId="0" fontId="40" fillId="0" borderId="0" xfId="0" applyFont="1" applyAlignment="1" applyProtection="1">
      <alignment horizontal="left" vertical="center"/>
      <protection hidden="1"/>
    </xf>
    <xf numFmtId="0" fontId="1" fillId="0" borderId="250" xfId="0" applyFont="1" applyBorder="1" applyAlignment="1" applyProtection="1">
      <alignment horizontal="center"/>
      <protection hidden="1"/>
    </xf>
    <xf numFmtId="0" fontId="1" fillId="0" borderId="166" xfId="0" applyFont="1" applyBorder="1" applyAlignment="1" applyProtection="1">
      <alignment horizontal="center"/>
      <protection hidden="1"/>
    </xf>
    <xf numFmtId="0" fontId="1" fillId="18" borderId="90" xfId="0" applyFont="1" applyFill="1" applyBorder="1" applyAlignment="1" applyProtection="1">
      <alignment horizontal="center"/>
      <protection hidden="1"/>
    </xf>
    <xf numFmtId="0" fontId="37" fillId="4" borderId="0" xfId="0" applyFont="1" applyFill="1" applyAlignment="1" applyProtection="1">
      <alignment horizontal="left"/>
      <protection hidden="1"/>
    </xf>
    <xf numFmtId="0" fontId="121" fillId="4" borderId="0" xfId="0" applyFont="1" applyFill="1" applyAlignment="1" applyProtection="1">
      <alignment vertical="center"/>
      <protection hidden="1"/>
    </xf>
    <xf numFmtId="0" fontId="1" fillId="18" borderId="84" xfId="0" applyFont="1" applyFill="1" applyBorder="1" applyAlignment="1" applyProtection="1">
      <alignment horizontal="center"/>
      <protection hidden="1"/>
    </xf>
    <xf numFmtId="0" fontId="38" fillId="18" borderId="0" xfId="0" applyFont="1" applyFill="1" applyAlignment="1" applyProtection="1">
      <alignment vertical="top"/>
      <protection hidden="1"/>
    </xf>
    <xf numFmtId="1" fontId="62" fillId="0" borderId="1" xfId="0" applyNumberFormat="1" applyFont="1" applyBorder="1" applyAlignment="1" applyProtection="1">
      <alignment horizontal="center" vertical="center"/>
      <protection hidden="1"/>
    </xf>
    <xf numFmtId="0" fontId="129" fillId="18" borderId="0" xfId="0" applyFont="1" applyFill="1" applyAlignment="1" applyProtection="1">
      <alignment horizontal="center"/>
      <protection hidden="1"/>
    </xf>
    <xf numFmtId="0" fontId="1" fillId="18" borderId="85" xfId="0" applyFont="1" applyFill="1" applyBorder="1" applyAlignment="1" applyProtection="1">
      <alignment horizontal="center"/>
      <protection hidden="1"/>
    </xf>
    <xf numFmtId="0" fontId="37" fillId="4" borderId="93" xfId="0" applyFont="1" applyFill="1" applyBorder="1" applyAlignment="1" applyProtection="1">
      <alignment vertical="center"/>
      <protection hidden="1"/>
    </xf>
    <xf numFmtId="0" fontId="29" fillId="17" borderId="90" xfId="0" applyFont="1" applyFill="1" applyBorder="1" applyAlignment="1" applyProtection="1">
      <alignment vertical="center" wrapText="1"/>
      <protection hidden="1"/>
    </xf>
    <xf numFmtId="0" fontId="29" fillId="17" borderId="91" xfId="0" applyFont="1" applyFill="1" applyBorder="1" applyAlignment="1" applyProtection="1">
      <alignment vertical="center" wrapText="1"/>
      <protection hidden="1"/>
    </xf>
    <xf numFmtId="0" fontId="29" fillId="17" borderId="92" xfId="0" applyFont="1" applyFill="1" applyBorder="1" applyAlignment="1" applyProtection="1">
      <alignment vertical="center" wrapText="1"/>
      <protection hidden="1"/>
    </xf>
    <xf numFmtId="0" fontId="29" fillId="17" borderId="84" xfId="0" applyFont="1" applyFill="1" applyBorder="1" applyAlignment="1" applyProtection="1">
      <alignment vertical="center" wrapText="1"/>
      <protection hidden="1"/>
    </xf>
    <xf numFmtId="0" fontId="27" fillId="17" borderId="0" xfId="0" applyFont="1" applyFill="1" applyAlignment="1" applyProtection="1">
      <alignment horizontal="left" vertical="center" wrapText="1"/>
      <protection hidden="1"/>
    </xf>
    <xf numFmtId="0" fontId="29" fillId="17" borderId="0" xfId="0" applyFont="1" applyFill="1" applyAlignment="1" applyProtection="1">
      <alignment vertical="center" wrapText="1"/>
      <protection hidden="1"/>
    </xf>
    <xf numFmtId="0" fontId="29" fillId="17" borderId="85" xfId="0" applyFont="1" applyFill="1" applyBorder="1" applyAlignment="1" applyProtection="1">
      <alignment vertical="center" wrapText="1"/>
      <protection hidden="1"/>
    </xf>
    <xf numFmtId="0" fontId="1" fillId="18" borderId="0" xfId="0" applyFont="1" applyFill="1" applyAlignment="1" applyProtection="1">
      <alignment horizontal="center" vertical="center"/>
      <protection hidden="1"/>
    </xf>
    <xf numFmtId="0" fontId="318" fillId="18" borderId="0" xfId="0" applyFont="1" applyFill="1" applyAlignment="1" applyProtection="1">
      <alignment horizontal="center" vertical="center"/>
      <protection hidden="1"/>
    </xf>
    <xf numFmtId="0" fontId="232" fillId="18" borderId="0" xfId="0" applyFont="1" applyFill="1" applyAlignment="1" applyProtection="1">
      <alignment horizontal="center"/>
      <protection hidden="1"/>
    </xf>
    <xf numFmtId="0" fontId="251" fillId="18" borderId="0" xfId="0" applyFont="1" applyFill="1" applyAlignment="1" applyProtection="1">
      <alignment horizontal="center" vertical="center"/>
      <protection hidden="1"/>
    </xf>
    <xf numFmtId="0" fontId="251" fillId="0" borderId="0" xfId="0" applyFont="1" applyAlignment="1" applyProtection="1">
      <alignment horizontal="center" vertical="center"/>
      <protection hidden="1"/>
    </xf>
    <xf numFmtId="0" fontId="227" fillId="0" borderId="0" xfId="0" applyFont="1" applyAlignment="1" applyProtection="1">
      <alignment horizontal="center" vertical="center"/>
      <protection hidden="1"/>
    </xf>
    <xf numFmtId="0" fontId="232" fillId="18" borderId="0" xfId="0" applyFont="1" applyFill="1" applyAlignment="1" applyProtection="1">
      <alignment horizontal="center" vertical="center"/>
      <protection hidden="1"/>
    </xf>
    <xf numFmtId="0" fontId="1" fillId="18" borderId="0" xfId="0" applyFont="1" applyFill="1" applyAlignment="1" applyProtection="1">
      <alignment vertical="center"/>
      <protection hidden="1"/>
    </xf>
    <xf numFmtId="0" fontId="232" fillId="18" borderId="85" xfId="0" applyFont="1" applyFill="1" applyBorder="1" applyAlignment="1" applyProtection="1">
      <alignment horizontal="center"/>
      <protection hidden="1"/>
    </xf>
    <xf numFmtId="0" fontId="252" fillId="0" borderId="0" xfId="0" applyFont="1" applyAlignment="1" applyProtection="1">
      <alignment horizontal="center" vertical="center"/>
      <protection hidden="1"/>
    </xf>
    <xf numFmtId="0" fontId="252" fillId="0" borderId="135" xfId="0" applyFont="1" applyBorder="1" applyAlignment="1" applyProtection="1">
      <alignment horizontal="center" vertical="center"/>
      <protection hidden="1"/>
    </xf>
    <xf numFmtId="0" fontId="29" fillId="17" borderId="86" xfId="0" applyFont="1" applyFill="1" applyBorder="1" applyAlignment="1" applyProtection="1">
      <alignment vertical="center" wrapText="1"/>
      <protection hidden="1"/>
    </xf>
    <xf numFmtId="0" fontId="29" fillId="17" borderId="93" xfId="0" applyFont="1" applyFill="1" applyBorder="1" applyAlignment="1" applyProtection="1">
      <alignment vertical="center" wrapText="1"/>
      <protection hidden="1"/>
    </xf>
    <xf numFmtId="0" fontId="29" fillId="17" borderId="88" xfId="0" applyFont="1" applyFill="1" applyBorder="1" applyAlignment="1" applyProtection="1">
      <alignment vertical="center" wrapText="1"/>
      <protection hidden="1"/>
    </xf>
    <xf numFmtId="0" fontId="230" fillId="4" borderId="91" xfId="0" applyFont="1" applyFill="1" applyBorder="1" applyProtection="1">
      <protection hidden="1"/>
    </xf>
    <xf numFmtId="0" fontId="230" fillId="4" borderId="161" xfId="0" applyFont="1" applyFill="1" applyBorder="1" applyAlignment="1" applyProtection="1">
      <alignment vertical="top"/>
      <protection hidden="1"/>
    </xf>
    <xf numFmtId="0" fontId="29" fillId="20" borderId="155" xfId="0" applyFont="1" applyFill="1" applyBorder="1" applyAlignment="1" applyProtection="1">
      <alignment vertical="center" wrapText="1"/>
      <protection hidden="1"/>
    </xf>
    <xf numFmtId="0" fontId="29" fillId="20" borderId="156" xfId="0" applyFont="1" applyFill="1" applyBorder="1" applyAlignment="1" applyProtection="1">
      <alignment vertical="center" wrapText="1"/>
      <protection hidden="1"/>
    </xf>
    <xf numFmtId="0" fontId="29" fillId="20" borderId="157" xfId="0" applyFont="1" applyFill="1" applyBorder="1" applyAlignment="1" applyProtection="1">
      <alignment vertical="center" wrapText="1"/>
      <protection hidden="1"/>
    </xf>
    <xf numFmtId="0" fontId="197" fillId="18" borderId="85" xfId="0" applyFont="1" applyFill="1" applyBorder="1" applyAlignment="1" applyProtection="1">
      <alignment horizontal="center" vertical="center"/>
      <protection hidden="1"/>
    </xf>
    <xf numFmtId="0" fontId="29" fillId="20" borderId="158" xfId="0" applyFont="1" applyFill="1" applyBorder="1" applyAlignment="1" applyProtection="1">
      <alignment vertical="center" wrapText="1"/>
      <protection hidden="1"/>
    </xf>
    <xf numFmtId="0" fontId="234" fillId="20" borderId="0" xfId="0" applyFont="1" applyFill="1" applyAlignment="1" applyProtection="1">
      <alignment horizontal="center"/>
      <protection hidden="1"/>
    </xf>
    <xf numFmtId="0" fontId="342" fillId="20" borderId="0" xfId="0" applyFont="1" applyFill="1" applyAlignment="1" applyProtection="1">
      <alignment horizontal="center" vertical="center"/>
      <protection hidden="1"/>
    </xf>
    <xf numFmtId="0" fontId="29" fillId="20" borderId="159" xfId="0" applyFont="1" applyFill="1" applyBorder="1" applyAlignment="1" applyProtection="1">
      <alignment vertical="center" wrapText="1"/>
      <protection hidden="1"/>
    </xf>
    <xf numFmtId="0" fontId="197" fillId="18" borderId="0" xfId="0" applyFont="1" applyFill="1" applyAlignment="1" applyProtection="1">
      <alignment horizontal="center" vertical="center"/>
      <protection hidden="1"/>
    </xf>
    <xf numFmtId="0" fontId="21" fillId="20" borderId="0" xfId="0" applyFont="1" applyFill="1" applyAlignment="1" applyProtection="1">
      <alignment horizontal="center" vertical="center"/>
      <protection hidden="1"/>
    </xf>
    <xf numFmtId="0" fontId="280" fillId="20" borderId="0" xfId="0" applyFont="1" applyFill="1" applyAlignment="1" applyProtection="1">
      <alignment vertical="center"/>
      <protection hidden="1"/>
    </xf>
    <xf numFmtId="0" fontId="252" fillId="0" borderId="122" xfId="0" applyFont="1" applyBorder="1" applyAlignment="1" applyProtection="1">
      <alignment horizontal="center" vertical="center"/>
      <protection hidden="1"/>
    </xf>
    <xf numFmtId="0" fontId="252" fillId="0" borderId="148" xfId="0" applyFont="1" applyBorder="1" applyAlignment="1" applyProtection="1">
      <alignment horizontal="center" vertical="center"/>
      <protection hidden="1"/>
    </xf>
    <xf numFmtId="0" fontId="131" fillId="0" borderId="0" xfId="0" applyFont="1" applyAlignment="1" applyProtection="1">
      <alignment vertical="center"/>
      <protection hidden="1"/>
    </xf>
    <xf numFmtId="0" fontId="1" fillId="18" borderId="86" xfId="0" applyFont="1" applyFill="1" applyBorder="1" applyAlignment="1" applyProtection="1">
      <alignment horizontal="center"/>
      <protection hidden="1"/>
    </xf>
    <xf numFmtId="0" fontId="1" fillId="18" borderId="93" xfId="0" applyFont="1" applyFill="1" applyBorder="1" applyAlignment="1" applyProtection="1">
      <alignment horizontal="center"/>
      <protection hidden="1"/>
    </xf>
    <xf numFmtId="164" fontId="37" fillId="18" borderId="93" xfId="0" applyNumberFormat="1" applyFont="1" applyFill="1" applyBorder="1" applyAlignment="1" applyProtection="1">
      <alignment horizontal="center" vertical="center"/>
      <protection hidden="1"/>
    </xf>
    <xf numFmtId="0" fontId="1" fillId="18" borderId="93" xfId="0" applyFont="1" applyFill="1" applyBorder="1" applyAlignment="1" applyProtection="1">
      <alignment vertical="center"/>
      <protection hidden="1"/>
    </xf>
    <xf numFmtId="0" fontId="1" fillId="18" borderId="88" xfId="0" applyFont="1" applyFill="1" applyBorder="1" applyAlignment="1" applyProtection="1">
      <alignment horizontal="center"/>
      <protection hidden="1"/>
    </xf>
    <xf numFmtId="0" fontId="288" fillId="4" borderId="158" xfId="0" applyFont="1" applyFill="1" applyBorder="1" applyAlignment="1" applyProtection="1">
      <alignment vertical="center"/>
      <protection hidden="1"/>
    </xf>
    <xf numFmtId="0" fontId="288" fillId="4" borderId="0" xfId="0" applyFont="1" applyFill="1" applyAlignment="1" applyProtection="1">
      <alignment vertical="center"/>
      <protection hidden="1"/>
    </xf>
    <xf numFmtId="167" fontId="236" fillId="4" borderId="91" xfId="0" quotePrefix="1" applyNumberFormat="1" applyFont="1" applyFill="1" applyBorder="1" applyAlignment="1" applyProtection="1">
      <alignment vertical="center"/>
      <protection hidden="1"/>
    </xf>
    <xf numFmtId="167" fontId="236" fillId="4" borderId="91" xfId="0" applyNumberFormat="1" applyFont="1" applyFill="1" applyBorder="1" applyAlignment="1" applyProtection="1">
      <alignment vertical="center"/>
      <protection hidden="1"/>
    </xf>
    <xf numFmtId="0" fontId="288" fillId="4" borderId="159" xfId="0" applyFont="1" applyFill="1" applyBorder="1" applyAlignment="1" applyProtection="1">
      <alignment vertical="center"/>
      <protection hidden="1"/>
    </xf>
    <xf numFmtId="167" fontId="236" fillId="4" borderId="161" xfId="0" applyNumberFormat="1" applyFont="1" applyFill="1" applyBorder="1" applyAlignment="1" applyProtection="1">
      <alignment vertical="center"/>
      <protection hidden="1"/>
    </xf>
    <xf numFmtId="0" fontId="29" fillId="20" borderId="160" xfId="0" applyFont="1" applyFill="1" applyBorder="1" applyAlignment="1" applyProtection="1">
      <alignment vertical="center" wrapText="1"/>
      <protection hidden="1"/>
    </xf>
    <xf numFmtId="0" fontId="29" fillId="20" borderId="161" xfId="0" applyFont="1" applyFill="1" applyBorder="1" applyAlignment="1" applyProtection="1">
      <alignment vertical="center" wrapText="1"/>
      <protection hidden="1"/>
    </xf>
    <xf numFmtId="0" fontId="29" fillId="20" borderId="162" xfId="0" applyFont="1" applyFill="1" applyBorder="1" applyAlignment="1" applyProtection="1">
      <alignment vertical="center" wrapText="1"/>
      <protection hidden="1"/>
    </xf>
    <xf numFmtId="0" fontId="18" fillId="0" borderId="51" xfId="0" applyFont="1" applyBorder="1" applyAlignment="1" applyProtection="1">
      <alignment horizontal="center"/>
      <protection hidden="1"/>
    </xf>
    <xf numFmtId="0" fontId="18" fillId="4" borderId="41" xfId="0" applyFont="1" applyFill="1" applyBorder="1" applyAlignment="1" applyProtection="1">
      <alignment horizontal="center"/>
      <protection hidden="1"/>
    </xf>
    <xf numFmtId="0" fontId="18" fillId="4" borderId="42" xfId="0" applyFont="1" applyFill="1" applyBorder="1" applyAlignment="1" applyProtection="1">
      <alignment horizontal="center"/>
      <protection hidden="1"/>
    </xf>
    <xf numFmtId="0" fontId="18" fillId="4" borderId="43" xfId="0" applyFont="1" applyFill="1" applyBorder="1" applyAlignment="1" applyProtection="1">
      <alignment horizontal="center"/>
      <protection hidden="1"/>
    </xf>
    <xf numFmtId="0" fontId="18" fillId="4" borderId="163" xfId="0" applyFont="1" applyFill="1" applyBorder="1" applyAlignment="1" applyProtection="1">
      <alignment horizontal="center"/>
      <protection hidden="1"/>
    </xf>
    <xf numFmtId="0" fontId="18" fillId="4" borderId="0" xfId="0" applyFont="1" applyFill="1" applyAlignment="1" applyProtection="1">
      <alignment vertical="center"/>
      <protection hidden="1"/>
    </xf>
    <xf numFmtId="0" fontId="18" fillId="4" borderId="81" xfId="0" applyFont="1" applyFill="1" applyBorder="1" applyAlignment="1" applyProtection="1">
      <alignment horizontal="center"/>
      <protection hidden="1"/>
    </xf>
    <xf numFmtId="0" fontId="209" fillId="4" borderId="0" xfId="0" applyFont="1" applyFill="1" applyAlignment="1" applyProtection="1">
      <alignment horizontal="center" vertical="center"/>
      <protection hidden="1"/>
    </xf>
    <xf numFmtId="0" fontId="74" fillId="0" borderId="0" xfId="0" applyFont="1" applyAlignment="1" applyProtection="1">
      <alignment horizontal="center"/>
      <protection hidden="1"/>
    </xf>
    <xf numFmtId="0" fontId="227" fillId="4" borderId="0" xfId="0" applyFont="1" applyFill="1" applyAlignment="1" applyProtection="1">
      <alignment horizontal="center" vertical="center"/>
      <protection hidden="1"/>
    </xf>
    <xf numFmtId="0" fontId="205" fillId="4" borderId="0" xfId="0" applyFont="1" applyFill="1" applyAlignment="1" applyProtection="1">
      <alignment horizontal="center" vertical="center"/>
      <protection hidden="1"/>
    </xf>
    <xf numFmtId="0" fontId="197" fillId="4" borderId="0" xfId="0" applyFont="1" applyFill="1" applyAlignment="1" applyProtection="1">
      <alignment horizontal="center" vertical="center"/>
      <protection hidden="1"/>
    </xf>
    <xf numFmtId="0" fontId="204" fillId="4" borderId="0" xfId="0" applyFont="1" applyFill="1" applyAlignment="1" applyProtection="1">
      <alignment horizontal="center" vertical="center"/>
      <protection hidden="1"/>
    </xf>
    <xf numFmtId="0" fontId="208" fillId="4" borderId="0" xfId="0" applyFont="1" applyFill="1" applyAlignment="1" applyProtection="1">
      <alignment horizontal="center" vertical="center"/>
      <protection hidden="1"/>
    </xf>
    <xf numFmtId="0" fontId="203" fillId="4" borderId="0" xfId="0" applyFont="1" applyFill="1" applyAlignment="1" applyProtection="1">
      <alignment horizontal="center" vertical="center"/>
      <protection hidden="1"/>
    </xf>
    <xf numFmtId="0" fontId="207" fillId="4" borderId="0" xfId="0" applyFont="1" applyFill="1" applyAlignment="1" applyProtection="1">
      <alignment horizontal="center" vertical="center"/>
      <protection hidden="1"/>
    </xf>
    <xf numFmtId="0" fontId="74" fillId="0" borderId="52" xfId="0" applyFont="1" applyBorder="1" applyAlignment="1" applyProtection="1">
      <alignment horizontal="center"/>
      <protection hidden="1"/>
    </xf>
    <xf numFmtId="0" fontId="202" fillId="4" borderId="0" xfId="0" applyFont="1" applyFill="1" applyAlignment="1" applyProtection="1">
      <alignment horizontal="center" vertical="center"/>
      <protection hidden="1"/>
    </xf>
    <xf numFmtId="0" fontId="206" fillId="4" borderId="0" xfId="0" applyFont="1" applyFill="1" applyAlignment="1" applyProtection="1">
      <alignment horizontal="center" vertical="center"/>
      <protection hidden="1"/>
    </xf>
    <xf numFmtId="0" fontId="201" fillId="4" borderId="0" xfId="0" applyFont="1" applyFill="1" applyAlignment="1" applyProtection="1">
      <alignment horizontal="center" vertical="center"/>
      <protection hidden="1"/>
    </xf>
    <xf numFmtId="0" fontId="199" fillId="4" borderId="0" xfId="0" applyFont="1" applyFill="1" applyAlignment="1" applyProtection="1">
      <alignment horizontal="center" vertical="center"/>
      <protection hidden="1"/>
    </xf>
    <xf numFmtId="0" fontId="200" fillId="4" borderId="0" xfId="0" applyFont="1" applyFill="1" applyAlignment="1" applyProtection="1">
      <alignment horizontal="center" vertical="center"/>
      <protection hidden="1"/>
    </xf>
    <xf numFmtId="0" fontId="117" fillId="4" borderId="0" xfId="0" applyFont="1" applyFill="1" applyAlignment="1" applyProtection="1">
      <alignment vertical="center"/>
      <protection hidden="1"/>
    </xf>
    <xf numFmtId="0" fontId="233" fillId="4" borderId="0" xfId="0" applyFont="1" applyFill="1" applyAlignment="1" applyProtection="1">
      <alignment vertical="center"/>
      <protection hidden="1"/>
    </xf>
    <xf numFmtId="0" fontId="237" fillId="4" borderId="0" xfId="0" applyFont="1" applyFill="1" applyAlignment="1" applyProtection="1">
      <alignment horizontal="center" vertical="center"/>
      <protection hidden="1"/>
    </xf>
    <xf numFmtId="0" fontId="18" fillId="4" borderId="44" xfId="0" applyFont="1" applyFill="1" applyBorder="1" applyAlignment="1" applyProtection="1">
      <alignment horizontal="center"/>
      <protection hidden="1"/>
    </xf>
    <xf numFmtId="0" fontId="18" fillId="4" borderId="45" xfId="0" applyFont="1" applyFill="1" applyBorder="1" applyAlignment="1" applyProtection="1">
      <alignment horizontal="center"/>
      <protection hidden="1"/>
    </xf>
    <xf numFmtId="0" fontId="18" fillId="4" borderId="46" xfId="0" applyFont="1" applyFill="1" applyBorder="1" applyAlignment="1" applyProtection="1">
      <alignment horizontal="center"/>
      <protection hidden="1"/>
    </xf>
    <xf numFmtId="0" fontId="129" fillId="0" borderId="0" xfId="0" applyFont="1" applyAlignment="1" applyProtection="1">
      <alignment horizontal="center" vertical="top"/>
      <protection hidden="1"/>
    </xf>
    <xf numFmtId="0" fontId="60" fillId="4" borderId="0" xfId="0" applyFont="1" applyFill="1" applyAlignment="1" applyProtection="1">
      <alignment horizontal="left" vertical="center"/>
      <protection hidden="1"/>
    </xf>
    <xf numFmtId="0" fontId="40" fillId="0" borderId="0" xfId="0" applyFont="1" applyAlignment="1" applyProtection="1">
      <alignment horizontal="left"/>
      <protection hidden="1"/>
    </xf>
    <xf numFmtId="0" fontId="23" fillId="24" borderId="0" xfId="0" applyFont="1" applyFill="1" applyAlignment="1" applyProtection="1">
      <alignment horizontal="left"/>
      <protection hidden="1"/>
    </xf>
    <xf numFmtId="0" fontId="1" fillId="22" borderId="0" xfId="0" applyFont="1" applyFill="1" applyAlignment="1" applyProtection="1">
      <alignment horizontal="center"/>
      <protection hidden="1"/>
    </xf>
    <xf numFmtId="0" fontId="1" fillId="14" borderId="0" xfId="0" applyFont="1" applyFill="1" applyAlignment="1" applyProtection="1">
      <alignment horizontal="center"/>
      <protection hidden="1"/>
    </xf>
    <xf numFmtId="0" fontId="74" fillId="17" borderId="84" xfId="0" applyFont="1" applyFill="1" applyBorder="1" applyAlignment="1" applyProtection="1">
      <alignment horizontal="center"/>
      <protection hidden="1"/>
    </xf>
    <xf numFmtId="0" fontId="303" fillId="17" borderId="0" xfId="0" applyFont="1" applyFill="1" applyAlignment="1" applyProtection="1">
      <alignment vertical="center"/>
      <protection hidden="1"/>
    </xf>
    <xf numFmtId="0" fontId="74" fillId="17" borderId="85" xfId="0" applyFont="1" applyFill="1" applyBorder="1" applyAlignment="1" applyProtection="1">
      <alignment horizontal="center"/>
      <protection hidden="1"/>
    </xf>
    <xf numFmtId="0" fontId="23" fillId="17" borderId="0" xfId="0" applyFont="1" applyFill="1" applyAlignment="1" applyProtection="1">
      <alignment horizontal="left"/>
      <protection hidden="1"/>
    </xf>
    <xf numFmtId="0" fontId="23" fillId="4" borderId="0" xfId="0" applyFont="1" applyFill="1" applyAlignment="1" applyProtection="1">
      <alignment horizontal="left"/>
      <protection hidden="1"/>
    </xf>
    <xf numFmtId="0" fontId="64" fillId="4" borderId="0" xfId="0" applyFont="1" applyFill="1" applyAlignment="1" applyProtection="1">
      <alignment horizontal="left" vertical="center"/>
      <protection hidden="1"/>
    </xf>
    <xf numFmtId="0" fontId="74" fillId="17" borderId="91" xfId="0" applyFont="1" applyFill="1" applyBorder="1" applyAlignment="1" applyProtection="1">
      <alignment horizontal="left"/>
      <protection hidden="1"/>
    </xf>
    <xf numFmtId="0" fontId="74" fillId="17" borderId="91" xfId="0" applyFont="1" applyFill="1" applyBorder="1" applyAlignment="1" applyProtection="1">
      <alignment horizontal="center"/>
      <protection hidden="1"/>
    </xf>
    <xf numFmtId="0" fontId="74" fillId="17" borderId="0" xfId="0" applyFont="1" applyFill="1" applyAlignment="1" applyProtection="1">
      <alignment horizontal="left"/>
      <protection hidden="1"/>
    </xf>
    <xf numFmtId="0" fontId="74" fillId="17" borderId="0" xfId="0" applyFont="1" applyFill="1" applyAlignment="1" applyProtection="1">
      <alignment horizontal="center"/>
      <protection hidden="1"/>
    </xf>
    <xf numFmtId="0" fontId="37" fillId="17" borderId="0" xfId="0" applyFont="1" applyFill="1" applyAlignment="1" applyProtection="1">
      <alignment vertical="center"/>
      <protection hidden="1"/>
    </xf>
    <xf numFmtId="0" fontId="121" fillId="17" borderId="0" xfId="0" applyFont="1" applyFill="1" applyAlignment="1" applyProtection="1">
      <alignment horizontal="center"/>
      <protection hidden="1"/>
    </xf>
    <xf numFmtId="0" fontId="101" fillId="17" borderId="0" xfId="0" applyFont="1" applyFill="1" applyAlignment="1" applyProtection="1">
      <alignment horizontal="center" vertical="top"/>
      <protection hidden="1"/>
    </xf>
    <xf numFmtId="0" fontId="74" fillId="17" borderId="86" xfId="0" applyFont="1" applyFill="1" applyBorder="1" applyAlignment="1" applyProtection="1">
      <alignment horizontal="center"/>
      <protection hidden="1"/>
    </xf>
    <xf numFmtId="0" fontId="74" fillId="17" borderId="93" xfId="0" applyFont="1" applyFill="1" applyBorder="1" applyAlignment="1" applyProtection="1">
      <alignment horizontal="center"/>
      <protection hidden="1"/>
    </xf>
    <xf numFmtId="0" fontId="74" fillId="17" borderId="88" xfId="0" applyFont="1" applyFill="1" applyBorder="1" applyAlignment="1" applyProtection="1">
      <alignment horizontal="center"/>
      <protection hidden="1"/>
    </xf>
    <xf numFmtId="0" fontId="60" fillId="24" borderId="0" xfId="0" applyFont="1" applyFill="1" applyAlignment="1" applyProtection="1">
      <alignment horizontal="left" vertical="center"/>
      <protection hidden="1"/>
    </xf>
    <xf numFmtId="0" fontId="60" fillId="0" borderId="0" xfId="0" applyFont="1" applyAlignment="1" applyProtection="1">
      <alignment horizontal="left" vertical="center"/>
      <protection hidden="1"/>
    </xf>
    <xf numFmtId="0" fontId="23" fillId="0" borderId="0" xfId="0" applyFont="1" applyProtection="1">
      <protection hidden="1"/>
    </xf>
    <xf numFmtId="0" fontId="271" fillId="0" borderId="0" xfId="0" applyFont="1" applyAlignment="1" applyProtection="1">
      <alignment horizontal="left" vertical="center"/>
      <protection hidden="1"/>
    </xf>
    <xf numFmtId="0" fontId="37" fillId="0" borderId="0" xfId="0" applyFont="1" applyAlignment="1" applyProtection="1">
      <alignment vertical="center"/>
      <protection hidden="1"/>
    </xf>
    <xf numFmtId="2" fontId="258" fillId="0" borderId="0" xfId="2" applyNumberFormat="1" applyFont="1" applyBorder="1" applyAlignment="1" applyProtection="1">
      <alignment horizontal="left" indent="1"/>
      <protection hidden="1"/>
    </xf>
    <xf numFmtId="0" fontId="60" fillId="0" borderId="0" xfId="0" applyFont="1" applyAlignment="1" applyProtection="1">
      <alignment horizontal="center" vertical="center"/>
      <protection hidden="1"/>
    </xf>
    <xf numFmtId="0" fontId="233" fillId="0" borderId="0" xfId="0" applyFont="1" applyProtection="1">
      <protection hidden="1"/>
    </xf>
    <xf numFmtId="0" fontId="23" fillId="0" borderId="0" xfId="0" applyFont="1" applyAlignment="1" applyProtection="1">
      <alignment horizontal="center"/>
      <protection hidden="1"/>
    </xf>
    <xf numFmtId="0" fontId="290" fillId="0" borderId="0" xfId="0" applyFont="1" applyAlignment="1" applyProtection="1">
      <alignment vertical="center"/>
      <protection hidden="1"/>
    </xf>
    <xf numFmtId="0" fontId="167" fillId="0" borderId="0" xfId="0" applyFont="1" applyAlignment="1" applyProtection="1">
      <alignment vertical="center"/>
      <protection hidden="1"/>
    </xf>
    <xf numFmtId="0" fontId="167" fillId="0" borderId="0" xfId="0" applyFont="1" applyProtection="1">
      <protection hidden="1"/>
    </xf>
    <xf numFmtId="0" fontId="41" fillId="0" borderId="0" xfId="0" applyFont="1" applyAlignment="1" applyProtection="1">
      <alignment vertical="center"/>
      <protection hidden="1"/>
    </xf>
    <xf numFmtId="0" fontId="21" fillId="0" borderId="0" xfId="0" applyFont="1" applyProtection="1">
      <protection hidden="1"/>
    </xf>
    <xf numFmtId="0" fontId="117" fillId="0" borderId="0" xfId="0" applyFont="1" applyProtection="1">
      <protection hidden="1"/>
    </xf>
    <xf numFmtId="0" fontId="95" fillId="4" borderId="0" xfId="0" applyFont="1" applyFill="1" applyAlignment="1" applyProtection="1">
      <alignment horizontal="center"/>
      <protection hidden="1"/>
    </xf>
    <xf numFmtId="0" fontId="69" fillId="4" borderId="0" xfId="0" applyFont="1" applyFill="1" applyAlignment="1" applyProtection="1">
      <alignment horizontal="center" vertical="center"/>
      <protection hidden="1"/>
    </xf>
    <xf numFmtId="0" fontId="84" fillId="4" borderId="0" xfId="0" applyFont="1" applyFill="1" applyAlignment="1" applyProtection="1">
      <alignment horizontal="center" vertical="center"/>
      <protection hidden="1"/>
    </xf>
    <xf numFmtId="0" fontId="25" fillId="4" borderId="0" xfId="0" applyFont="1" applyFill="1" applyAlignment="1" applyProtection="1">
      <alignment vertical="center"/>
      <protection hidden="1"/>
    </xf>
    <xf numFmtId="0" fontId="24" fillId="4" borderId="0" xfId="0" applyFont="1" applyFill="1" applyAlignment="1" applyProtection="1">
      <alignment vertical="center"/>
      <protection hidden="1"/>
    </xf>
    <xf numFmtId="0" fontId="24" fillId="4" borderId="0" xfId="0" quotePrefix="1" applyFont="1" applyFill="1" applyAlignment="1" applyProtection="1">
      <alignment vertical="center"/>
      <protection hidden="1"/>
    </xf>
    <xf numFmtId="0" fontId="262" fillId="4" borderId="0" xfId="0" applyFont="1" applyFill="1" applyAlignment="1" applyProtection="1">
      <alignment vertical="center"/>
      <protection hidden="1"/>
    </xf>
    <xf numFmtId="0" fontId="283" fillId="4" borderId="0" xfId="0" applyFont="1" applyFill="1" applyAlignment="1" applyProtection="1">
      <alignment vertical="center"/>
      <protection hidden="1"/>
    </xf>
    <xf numFmtId="0" fontId="318" fillId="4" borderId="0" xfId="0" applyFont="1" applyFill="1" applyAlignment="1" applyProtection="1">
      <alignment horizontal="center" vertical="center"/>
      <protection hidden="1"/>
    </xf>
    <xf numFmtId="0" fontId="373" fillId="4" borderId="0" xfId="0" applyFont="1" applyFill="1" applyAlignment="1" applyProtection="1">
      <alignment horizontal="right" vertical="center"/>
      <protection hidden="1"/>
    </xf>
    <xf numFmtId="0" fontId="380" fillId="4" borderId="0" xfId="0" applyFont="1" applyFill="1" applyAlignment="1" applyProtection="1">
      <alignment horizontal="center" vertical="center"/>
      <protection hidden="1"/>
    </xf>
    <xf numFmtId="0" fontId="335" fillId="4" borderId="0" xfId="0" applyFont="1" applyFill="1" applyAlignment="1" applyProtection="1">
      <alignment horizontal="center" vertical="center"/>
      <protection hidden="1"/>
    </xf>
    <xf numFmtId="0" fontId="378" fillId="4" borderId="0" xfId="0" applyFont="1" applyFill="1" applyAlignment="1" applyProtection="1">
      <alignment horizontal="left" vertical="top"/>
      <protection hidden="1"/>
    </xf>
    <xf numFmtId="0" fontId="341" fillId="4" borderId="0" xfId="0" applyFont="1" applyFill="1" applyAlignment="1" applyProtection="1">
      <alignment horizontal="right" vertical="center"/>
      <protection hidden="1"/>
    </xf>
    <xf numFmtId="0" fontId="69" fillId="4" borderId="0" xfId="0" applyFont="1" applyFill="1" applyAlignment="1" applyProtection="1">
      <alignment horizontal="left" vertical="center"/>
      <protection hidden="1"/>
    </xf>
    <xf numFmtId="0" fontId="377" fillId="4" borderId="0" xfId="0" applyFont="1" applyFill="1" applyAlignment="1" applyProtection="1">
      <alignment horizontal="left" vertical="center"/>
      <protection hidden="1"/>
    </xf>
    <xf numFmtId="0" fontId="352" fillId="4" borderId="0" xfId="0" applyFont="1" applyFill="1" applyAlignment="1" applyProtection="1">
      <alignment horizontal="center" vertical="center"/>
      <protection hidden="1"/>
    </xf>
    <xf numFmtId="0" fontId="377" fillId="4" borderId="0" xfId="0" applyFont="1" applyFill="1" applyAlignment="1" applyProtection="1">
      <alignment horizontal="right" vertical="center"/>
      <protection hidden="1"/>
    </xf>
    <xf numFmtId="0" fontId="373" fillId="4" borderId="0" xfId="0" applyFont="1" applyFill="1" applyAlignment="1" applyProtection="1">
      <alignment horizontal="left" vertical="center"/>
      <protection hidden="1"/>
    </xf>
    <xf numFmtId="0" fontId="24" fillId="4" borderId="0" xfId="0" applyFont="1" applyFill="1" applyAlignment="1" applyProtection="1">
      <alignment horizontal="left" vertical="center"/>
      <protection hidden="1"/>
    </xf>
    <xf numFmtId="0" fontId="374" fillId="4" borderId="0" xfId="0" applyFont="1" applyFill="1" applyAlignment="1" applyProtection="1">
      <alignment horizontal="center" vertical="center"/>
      <protection hidden="1"/>
    </xf>
    <xf numFmtId="0" fontId="377" fillId="4" borderId="0" xfId="0" applyFont="1" applyFill="1" applyAlignment="1" applyProtection="1">
      <alignment vertical="center"/>
      <protection hidden="1"/>
    </xf>
    <xf numFmtId="0" fontId="69" fillId="4" borderId="0" xfId="0" applyFont="1" applyFill="1" applyAlignment="1" applyProtection="1">
      <alignment horizontal="right" vertical="center"/>
      <protection hidden="1"/>
    </xf>
    <xf numFmtId="0" fontId="341" fillId="4" borderId="0" xfId="0" applyFont="1" applyFill="1" applyAlignment="1" applyProtection="1">
      <alignment horizontal="left" vertical="center"/>
      <protection hidden="1"/>
    </xf>
    <xf numFmtId="0" fontId="381" fillId="4" borderId="0" xfId="0" applyFont="1" applyFill="1" applyAlignment="1" applyProtection="1">
      <alignment horizontal="center" vertical="center"/>
      <protection hidden="1"/>
    </xf>
    <xf numFmtId="9" fontId="391" fillId="13" borderId="0" xfId="1" applyFont="1" applyFill="1" applyBorder="1" applyAlignment="1" applyProtection="1">
      <alignment vertical="center" wrapText="1"/>
      <protection hidden="1"/>
    </xf>
    <xf numFmtId="9" fontId="391" fillId="13" borderId="0" xfId="0" applyNumberFormat="1" applyFont="1" applyFill="1" applyAlignment="1" applyProtection="1">
      <alignment vertical="center" wrapText="1"/>
      <protection hidden="1"/>
    </xf>
    <xf numFmtId="0" fontId="90" fillId="13" borderId="0" xfId="0" applyFont="1" applyFill="1" applyAlignment="1" applyProtection="1">
      <alignment horizontal="center"/>
      <protection hidden="1"/>
    </xf>
    <xf numFmtId="9" fontId="215" fillId="13" borderId="0" xfId="0" applyNumberFormat="1" applyFont="1" applyFill="1" applyAlignment="1" applyProtection="1">
      <alignment vertical="center" wrapText="1"/>
      <protection hidden="1"/>
    </xf>
    <xf numFmtId="0" fontId="173" fillId="4" borderId="0" xfId="0" applyFont="1" applyFill="1" applyAlignment="1" applyProtection="1">
      <alignment vertical="center"/>
      <protection hidden="1"/>
    </xf>
    <xf numFmtId="0" fontId="173" fillId="4" borderId="0" xfId="0" applyFont="1" applyFill="1" applyAlignment="1" applyProtection="1">
      <alignment horizontal="center" vertical="center"/>
      <protection hidden="1"/>
    </xf>
    <xf numFmtId="0" fontId="340" fillId="4" borderId="0" xfId="0" applyFont="1" applyFill="1" applyAlignment="1" applyProtection="1">
      <alignment horizontal="center" vertical="center"/>
      <protection hidden="1"/>
    </xf>
    <xf numFmtId="0" fontId="332" fillId="4" borderId="0" xfId="0" applyFont="1" applyFill="1" applyAlignment="1" applyProtection="1">
      <alignment horizontal="center" vertical="center"/>
      <protection hidden="1"/>
    </xf>
    <xf numFmtId="0" fontId="255" fillId="4" borderId="0" xfId="0" applyFont="1" applyFill="1" applyAlignment="1" applyProtection="1">
      <alignment horizontal="center" vertical="center"/>
      <protection hidden="1"/>
    </xf>
    <xf numFmtId="0" fontId="256" fillId="4" borderId="0" xfId="0" applyFont="1" applyFill="1" applyAlignment="1" applyProtection="1">
      <alignment horizontal="center"/>
      <protection hidden="1"/>
    </xf>
    <xf numFmtId="0" fontId="256" fillId="4" borderId="0" xfId="0" applyFont="1" applyFill="1" applyAlignment="1" applyProtection="1">
      <alignment horizontal="center" vertical="center"/>
      <protection hidden="1"/>
    </xf>
    <xf numFmtId="0" fontId="257" fillId="4" borderId="0" xfId="0" applyFont="1" applyFill="1" applyAlignment="1" applyProtection="1">
      <alignment vertical="center"/>
      <protection hidden="1"/>
    </xf>
    <xf numFmtId="0" fontId="325" fillId="4" borderId="0" xfId="0" applyFont="1" applyFill="1" applyAlignment="1" applyProtection="1">
      <alignment vertical="center"/>
      <protection hidden="1"/>
    </xf>
    <xf numFmtId="0" fontId="1" fillId="15" borderId="0" xfId="0" applyFont="1" applyFill="1" applyProtection="1">
      <protection hidden="1"/>
    </xf>
    <xf numFmtId="0" fontId="29" fillId="15" borderId="0" xfId="0" applyFont="1" applyFill="1" applyAlignment="1" applyProtection="1">
      <alignment vertical="center" wrapText="1"/>
      <protection hidden="1"/>
    </xf>
    <xf numFmtId="0" fontId="28" fillId="4" borderId="0" xfId="0" applyFont="1" applyFill="1" applyAlignment="1" applyProtection="1">
      <alignment vertical="center" wrapText="1"/>
      <protection hidden="1"/>
    </xf>
    <xf numFmtId="0" fontId="186" fillId="4" borderId="0" xfId="0" applyFont="1" applyFill="1" applyAlignment="1" applyProtection="1">
      <alignment horizontal="center" vertical="center"/>
      <protection hidden="1"/>
    </xf>
    <xf numFmtId="0" fontId="44" fillId="4" borderId="0" xfId="0" applyFont="1" applyFill="1" applyAlignment="1" applyProtection="1">
      <alignment horizontal="center"/>
      <protection hidden="1"/>
    </xf>
    <xf numFmtId="0" fontId="85" fillId="4" borderId="0" xfId="0" applyFont="1" applyFill="1" applyAlignment="1" applyProtection="1">
      <alignment horizontal="center" vertical="center"/>
      <protection hidden="1"/>
    </xf>
    <xf numFmtId="0" fontId="216" fillId="4" borderId="0" xfId="0" applyFont="1" applyFill="1" applyAlignment="1" applyProtection="1">
      <alignment horizontal="center" vertical="center"/>
      <protection hidden="1"/>
    </xf>
    <xf numFmtId="0" fontId="277" fillId="4" borderId="0" xfId="0" quotePrefix="1" applyFont="1" applyFill="1" applyAlignment="1" applyProtection="1">
      <alignment vertical="center"/>
      <protection hidden="1"/>
    </xf>
    <xf numFmtId="49" fontId="277" fillId="4" borderId="0" xfId="0" quotePrefix="1" applyNumberFormat="1" applyFont="1" applyFill="1" applyAlignment="1" applyProtection="1">
      <alignment horizontal="center" vertical="center"/>
      <protection hidden="1"/>
    </xf>
    <xf numFmtId="0" fontId="230" fillId="4" borderId="0" xfId="0" quotePrefix="1" applyFont="1" applyFill="1" applyAlignment="1" applyProtection="1">
      <alignment vertical="center"/>
      <protection hidden="1"/>
    </xf>
    <xf numFmtId="0" fontId="230" fillId="4" borderId="0" xfId="0" quotePrefix="1" applyFont="1" applyFill="1" applyProtection="1">
      <protection hidden="1"/>
    </xf>
    <xf numFmtId="0" fontId="69" fillId="4" borderId="0" xfId="0" applyFont="1" applyFill="1" applyProtection="1">
      <protection hidden="1"/>
    </xf>
    <xf numFmtId="0" fontId="230" fillId="4" borderId="0" xfId="0" applyFont="1" applyFill="1" applyProtection="1">
      <protection hidden="1"/>
    </xf>
    <xf numFmtId="0" fontId="230" fillId="4" borderId="0" xfId="0" applyFont="1" applyFill="1" applyAlignment="1" applyProtection="1">
      <alignment vertical="center"/>
      <protection hidden="1"/>
    </xf>
    <xf numFmtId="0" fontId="308" fillId="4" borderId="0" xfId="0" quotePrefix="1" applyFont="1" applyFill="1" applyAlignment="1" applyProtection="1">
      <alignment horizontal="right"/>
      <protection hidden="1"/>
    </xf>
    <xf numFmtId="0" fontId="308" fillId="4" borderId="0" xfId="0" applyFont="1" applyFill="1" applyProtection="1">
      <protection hidden="1"/>
    </xf>
    <xf numFmtId="0" fontId="18" fillId="4" borderId="0" xfId="0" applyFont="1" applyFill="1" applyAlignment="1" applyProtection="1">
      <alignment horizontal="center" vertical="top"/>
      <protection hidden="1"/>
    </xf>
    <xf numFmtId="16" fontId="125" fillId="4" borderId="0" xfId="0" applyNumberFormat="1" applyFont="1" applyFill="1" applyProtection="1">
      <protection hidden="1"/>
    </xf>
    <xf numFmtId="0" fontId="334" fillId="4" borderId="0" xfId="0" applyFont="1" applyFill="1" applyAlignment="1" applyProtection="1">
      <alignment vertical="center"/>
      <protection hidden="1"/>
    </xf>
    <xf numFmtId="0" fontId="185" fillId="4" borderId="0" xfId="0" applyFont="1" applyFill="1" applyAlignment="1" applyProtection="1">
      <alignment horizontal="right"/>
      <protection hidden="1"/>
    </xf>
    <xf numFmtId="0" fontId="185" fillId="4" borderId="0" xfId="0" applyFont="1" applyFill="1" applyAlignment="1" applyProtection="1">
      <alignment vertical="center"/>
      <protection hidden="1"/>
    </xf>
    <xf numFmtId="0" fontId="248" fillId="4" borderId="0" xfId="0" applyFont="1" applyFill="1" applyAlignment="1" applyProtection="1">
      <alignment vertical="center"/>
      <protection hidden="1"/>
    </xf>
    <xf numFmtId="0" fontId="90" fillId="4" borderId="0" xfId="0" applyFont="1" applyFill="1" applyAlignment="1" applyProtection="1">
      <alignment vertical="center"/>
      <protection hidden="1"/>
    </xf>
    <xf numFmtId="0" fontId="185" fillId="4" borderId="0" xfId="0" applyFont="1" applyFill="1" applyAlignment="1" applyProtection="1">
      <alignment horizontal="center"/>
      <protection hidden="1"/>
    </xf>
    <xf numFmtId="0" fontId="379" fillId="4" borderId="0" xfId="0" applyFont="1" applyFill="1" applyAlignment="1" applyProtection="1">
      <alignment horizontal="right" vertical="center"/>
      <protection hidden="1"/>
    </xf>
    <xf numFmtId="0" fontId="368" fillId="4" borderId="0" xfId="0" applyFont="1" applyFill="1" applyAlignment="1" applyProtection="1">
      <alignment horizontal="center" vertical="center"/>
      <protection hidden="1"/>
    </xf>
    <xf numFmtId="0" fontId="339" fillId="4" borderId="0" xfId="0" applyFont="1" applyFill="1" applyAlignment="1" applyProtection="1">
      <alignment vertical="center"/>
      <protection hidden="1"/>
    </xf>
    <xf numFmtId="0" fontId="18" fillId="4" borderId="0" xfId="0" applyFont="1" applyFill="1" applyAlignment="1" applyProtection="1">
      <alignment horizontal="center" vertical="center"/>
      <protection hidden="1"/>
    </xf>
    <xf numFmtId="0" fontId="379" fillId="4" borderId="0" xfId="0" applyFont="1" applyFill="1" applyAlignment="1" applyProtection="1">
      <alignment horizontal="left" vertical="center"/>
      <protection hidden="1"/>
    </xf>
    <xf numFmtId="168" fontId="185" fillId="4" borderId="0" xfId="0" applyNumberFormat="1" applyFont="1" applyFill="1" applyAlignment="1" applyProtection="1">
      <alignment horizontal="left"/>
      <protection hidden="1"/>
    </xf>
    <xf numFmtId="168" fontId="123" fillId="4" borderId="0" xfId="0" applyNumberFormat="1" applyFont="1" applyFill="1" applyAlignment="1" applyProtection="1">
      <alignment vertical="center"/>
      <protection hidden="1"/>
    </xf>
    <xf numFmtId="0" fontId="5" fillId="4" borderId="0" xfId="0" applyFont="1" applyFill="1" applyAlignment="1" applyProtection="1">
      <alignment horizontal="center" vertical="center"/>
      <protection hidden="1"/>
    </xf>
    <xf numFmtId="0" fontId="5" fillId="4" borderId="0" xfId="0" quotePrefix="1" applyFont="1" applyFill="1" applyAlignment="1" applyProtection="1">
      <alignment horizontal="center" vertical="center"/>
      <protection hidden="1"/>
    </xf>
    <xf numFmtId="0" fontId="28" fillId="18" borderId="0" xfId="0" applyFont="1" applyFill="1" applyAlignment="1" applyProtection="1">
      <alignment vertical="center"/>
      <protection hidden="1"/>
    </xf>
    <xf numFmtId="0" fontId="90" fillId="4" borderId="0" xfId="0" applyFont="1" applyFill="1" applyAlignment="1" applyProtection="1">
      <alignment horizontal="right" vertical="top"/>
      <protection hidden="1"/>
    </xf>
    <xf numFmtId="0" fontId="90" fillId="4" borderId="0" xfId="0" applyFont="1" applyFill="1" applyAlignment="1" applyProtection="1">
      <alignment vertical="top"/>
      <protection hidden="1"/>
    </xf>
    <xf numFmtId="0" fontId="90" fillId="4" borderId="0" xfId="0" applyFont="1" applyFill="1" applyAlignment="1" applyProtection="1">
      <alignment horizontal="left" vertical="top"/>
      <protection hidden="1"/>
    </xf>
    <xf numFmtId="0" fontId="351" fillId="4" borderId="0" xfId="0" applyFont="1" applyFill="1" applyAlignment="1" applyProtection="1">
      <alignment vertical="center"/>
      <protection hidden="1"/>
    </xf>
    <xf numFmtId="0" fontId="336" fillId="4" borderId="0" xfId="0" applyFont="1" applyFill="1" applyAlignment="1" applyProtection="1">
      <alignment vertical="center"/>
      <protection hidden="1"/>
    </xf>
    <xf numFmtId="0" fontId="357" fillId="4" borderId="0" xfId="0" applyFont="1" applyFill="1" applyAlignment="1" applyProtection="1">
      <alignment vertical="center"/>
      <protection hidden="1"/>
    </xf>
    <xf numFmtId="0" fontId="227" fillId="4" borderId="0" xfId="0" applyFont="1" applyFill="1" applyAlignment="1" applyProtection="1">
      <alignment vertical="center"/>
      <protection hidden="1"/>
    </xf>
    <xf numFmtId="0" fontId="337" fillId="4" borderId="0" xfId="0" applyFont="1" applyFill="1" applyAlignment="1" applyProtection="1">
      <alignment vertical="center"/>
      <protection hidden="1"/>
    </xf>
    <xf numFmtId="0" fontId="358" fillId="4" borderId="0" xfId="0" applyFont="1" applyFill="1" applyAlignment="1" applyProtection="1">
      <alignment vertical="center"/>
      <protection hidden="1"/>
    </xf>
    <xf numFmtId="0" fontId="41" fillId="18" borderId="0" xfId="0" applyFont="1" applyFill="1" applyProtection="1">
      <protection hidden="1"/>
    </xf>
    <xf numFmtId="0" fontId="117" fillId="0" borderId="0" xfId="0" applyFont="1" applyAlignment="1" applyProtection="1">
      <alignment horizontal="left"/>
      <protection hidden="1"/>
    </xf>
    <xf numFmtId="0" fontId="168" fillId="18" borderId="0" xfId="0" applyFont="1" applyFill="1" applyAlignment="1" applyProtection="1">
      <alignment vertical="center"/>
      <protection hidden="1"/>
    </xf>
    <xf numFmtId="0" fontId="23" fillId="18" borderId="0" xfId="0" applyFont="1" applyFill="1" applyAlignment="1" applyProtection="1">
      <alignment horizontal="left"/>
      <protection hidden="1"/>
    </xf>
    <xf numFmtId="0" fontId="424" fillId="18" borderId="0" xfId="0" applyFont="1" applyFill="1" applyAlignment="1" applyProtection="1">
      <alignment horizontal="center"/>
      <protection hidden="1"/>
    </xf>
    <xf numFmtId="0" fontId="424" fillId="18" borderId="0" xfId="0" applyFont="1" applyFill="1" applyAlignment="1" applyProtection="1">
      <alignment horizontal="center" vertical="center"/>
      <protection hidden="1"/>
    </xf>
    <xf numFmtId="0" fontId="235" fillId="20" borderId="0" xfId="0" applyFont="1" applyFill="1" applyProtection="1">
      <protection hidden="1"/>
    </xf>
    <xf numFmtId="0" fontId="291" fillId="18" borderId="0" xfId="0" applyFont="1" applyFill="1" applyAlignment="1" applyProtection="1">
      <alignment vertical="center"/>
      <protection hidden="1"/>
    </xf>
    <xf numFmtId="0" fontId="292" fillId="18" borderId="0" xfId="0" applyFont="1" applyFill="1" applyAlignment="1" applyProtection="1">
      <alignment vertical="center"/>
      <protection hidden="1"/>
    </xf>
    <xf numFmtId="0" fontId="41" fillId="20" borderId="0" xfId="0" applyFont="1" applyFill="1" applyProtection="1">
      <protection hidden="1"/>
    </xf>
    <xf numFmtId="0" fontId="388" fillId="20" borderId="0" xfId="0" applyFont="1" applyFill="1" applyAlignment="1" applyProtection="1">
      <alignment horizontal="center" vertical="top"/>
      <protection hidden="1"/>
    </xf>
    <xf numFmtId="0" fontId="1" fillId="18" borderId="0" xfId="0" applyFont="1" applyFill="1" applyProtection="1">
      <protection hidden="1"/>
    </xf>
    <xf numFmtId="0" fontId="235" fillId="20" borderId="0" xfId="0" applyFont="1" applyFill="1" applyAlignment="1" applyProtection="1">
      <alignment horizontal="center"/>
      <protection hidden="1"/>
    </xf>
    <xf numFmtId="0" fontId="132" fillId="18" borderId="0" xfId="0" applyFont="1" applyFill="1" applyAlignment="1" applyProtection="1">
      <alignment horizontal="left"/>
      <protection hidden="1"/>
    </xf>
    <xf numFmtId="0" fontId="132" fillId="18" borderId="0" xfId="0" applyFont="1" applyFill="1" applyAlignment="1" applyProtection="1">
      <alignment vertical="center"/>
      <protection hidden="1"/>
    </xf>
    <xf numFmtId="0" fontId="117" fillId="18" borderId="0" xfId="0" applyFont="1" applyFill="1" applyAlignment="1" applyProtection="1">
      <alignment horizontal="right" vertical="top"/>
      <protection hidden="1"/>
    </xf>
    <xf numFmtId="0" fontId="23" fillId="18" borderId="0" xfId="0" applyFont="1" applyFill="1" applyAlignment="1" applyProtection="1">
      <alignment horizontal="right"/>
      <protection hidden="1"/>
    </xf>
    <xf numFmtId="0" fontId="210" fillId="20" borderId="0" xfId="0" applyFont="1" applyFill="1" applyAlignment="1" applyProtection="1">
      <alignment horizontal="center" vertical="top"/>
      <protection hidden="1"/>
    </xf>
    <xf numFmtId="0" fontId="1" fillId="19" borderId="0" xfId="0" applyFont="1" applyFill="1" applyAlignment="1" applyProtection="1">
      <alignment horizontal="center"/>
      <protection hidden="1"/>
    </xf>
    <xf numFmtId="0" fontId="227" fillId="19" borderId="0" xfId="0" applyFont="1" applyFill="1" applyAlignment="1" applyProtection="1">
      <alignment vertical="center"/>
      <protection hidden="1"/>
    </xf>
    <xf numFmtId="0" fontId="363" fillId="20" borderId="0" xfId="0" applyFont="1" applyFill="1" applyAlignment="1" applyProtection="1">
      <alignment horizontal="center"/>
      <protection hidden="1"/>
    </xf>
    <xf numFmtId="0" fontId="293" fillId="18" borderId="0" xfId="0" applyFont="1" applyFill="1" applyAlignment="1" applyProtection="1">
      <alignment horizontal="right" vertical="center"/>
      <protection hidden="1"/>
    </xf>
    <xf numFmtId="0" fontId="130" fillId="18" borderId="0" xfId="0" applyFont="1" applyFill="1" applyAlignment="1" applyProtection="1">
      <alignment horizontal="left" vertical="center"/>
      <protection hidden="1"/>
    </xf>
    <xf numFmtId="0" fontId="40" fillId="18" borderId="0" xfId="0" applyFont="1" applyFill="1" applyAlignment="1" applyProtection="1">
      <alignment horizontal="left"/>
      <protection hidden="1"/>
    </xf>
    <xf numFmtId="0" fontId="130" fillId="18" borderId="0" xfId="0" applyFont="1" applyFill="1" applyAlignment="1" applyProtection="1">
      <alignment horizontal="right" vertical="center"/>
      <protection hidden="1"/>
    </xf>
    <xf numFmtId="0" fontId="130" fillId="18" borderId="0" xfId="0" applyFont="1" applyFill="1" applyAlignment="1" applyProtection="1">
      <alignment horizontal="center" vertical="center"/>
      <protection hidden="1"/>
    </xf>
    <xf numFmtId="0" fontId="293" fillId="18" borderId="0" xfId="0" applyFont="1" applyFill="1" applyAlignment="1" applyProtection="1">
      <alignment horizontal="center" vertical="center"/>
      <protection hidden="1"/>
    </xf>
    <xf numFmtId="0" fontId="23" fillId="20" borderId="0" xfId="0" applyFont="1" applyFill="1" applyAlignment="1" applyProtection="1">
      <alignment horizontal="left"/>
      <protection hidden="1"/>
    </xf>
    <xf numFmtId="0" fontId="354" fillId="4" borderId="0" xfId="0" applyFont="1" applyFill="1" applyAlignment="1" applyProtection="1">
      <alignment vertical="center"/>
      <protection hidden="1"/>
    </xf>
    <xf numFmtId="0" fontId="355" fillId="4" borderId="0" xfId="0" applyFont="1" applyFill="1" applyAlignment="1" applyProtection="1">
      <alignment vertical="center"/>
      <protection hidden="1"/>
    </xf>
    <xf numFmtId="0" fontId="356" fillId="4" borderId="0" xfId="0" applyFont="1" applyFill="1" applyAlignment="1" applyProtection="1">
      <alignment vertical="center"/>
      <protection hidden="1"/>
    </xf>
    <xf numFmtId="0" fontId="296" fillId="4" borderId="0" xfId="0" applyFont="1" applyFill="1" applyAlignment="1" applyProtection="1">
      <alignment vertical="center"/>
      <protection hidden="1"/>
    </xf>
    <xf numFmtId="0" fontId="41" fillId="14" borderId="240" xfId="0" applyFont="1" applyFill="1" applyBorder="1" applyAlignment="1" applyProtection="1">
      <alignment vertical="center"/>
      <protection hidden="1"/>
    </xf>
    <xf numFmtId="0" fontId="41" fillId="14" borderId="243" xfId="0" applyFont="1" applyFill="1" applyBorder="1" applyAlignment="1" applyProtection="1">
      <alignment vertical="center"/>
      <protection hidden="1"/>
    </xf>
    <xf numFmtId="0" fontId="29" fillId="17" borderId="71" xfId="0" applyFont="1" applyFill="1" applyBorder="1" applyAlignment="1" applyProtection="1">
      <alignment horizontal="left" indent="1"/>
      <protection hidden="1"/>
    </xf>
    <xf numFmtId="0" fontId="184" fillId="17" borderId="45" xfId="0" applyFont="1" applyFill="1" applyBorder="1" applyAlignment="1" applyProtection="1">
      <alignment horizontal="left" indent="1"/>
      <protection hidden="1"/>
    </xf>
    <xf numFmtId="0" fontId="184" fillId="17" borderId="46" xfId="0" applyFont="1" applyFill="1" applyBorder="1" applyAlignment="1" applyProtection="1">
      <alignment horizontal="left" indent="1"/>
      <protection hidden="1"/>
    </xf>
    <xf numFmtId="0" fontId="184" fillId="17" borderId="44" xfId="0" applyFont="1" applyFill="1" applyBorder="1" applyProtection="1">
      <protection hidden="1"/>
    </xf>
    <xf numFmtId="0" fontId="184" fillId="17" borderId="45" xfId="0" applyFont="1" applyFill="1" applyBorder="1" applyProtection="1">
      <protection hidden="1"/>
    </xf>
    <xf numFmtId="0" fontId="184" fillId="17" borderId="269" xfId="0" applyFont="1" applyFill="1" applyBorder="1" applyProtection="1">
      <protection hidden="1"/>
    </xf>
    <xf numFmtId="0" fontId="161" fillId="4" borderId="0" xfId="0" applyFont="1" applyFill="1" applyProtection="1">
      <protection hidden="1"/>
    </xf>
    <xf numFmtId="0" fontId="184" fillId="17" borderId="46" xfId="0" applyFont="1" applyFill="1" applyBorder="1" applyProtection="1">
      <protection hidden="1"/>
    </xf>
    <xf numFmtId="0" fontId="184" fillId="17" borderId="47" xfId="0" applyFont="1" applyFill="1" applyBorder="1" applyProtection="1">
      <protection hidden="1"/>
    </xf>
    <xf numFmtId="0" fontId="184" fillId="17" borderId="48" xfId="0" applyFont="1" applyFill="1" applyBorder="1" applyProtection="1">
      <protection hidden="1"/>
    </xf>
    <xf numFmtId="0" fontId="184" fillId="17" borderId="72" xfId="0" applyFont="1" applyFill="1" applyBorder="1" applyProtection="1">
      <protection hidden="1"/>
    </xf>
    <xf numFmtId="0" fontId="184" fillId="17" borderId="271" xfId="0" applyFont="1" applyFill="1" applyBorder="1" applyProtection="1">
      <protection hidden="1"/>
    </xf>
    <xf numFmtId="0" fontId="184" fillId="17" borderId="272" xfId="0" applyFont="1" applyFill="1" applyBorder="1" applyProtection="1">
      <protection hidden="1"/>
    </xf>
    <xf numFmtId="0" fontId="184" fillId="17" borderId="238" xfId="0" applyFont="1" applyFill="1" applyBorder="1" applyProtection="1">
      <protection hidden="1"/>
    </xf>
    <xf numFmtId="0" fontId="90" fillId="17" borderId="238" xfId="0" applyFont="1" applyFill="1" applyBorder="1" applyProtection="1">
      <protection hidden="1"/>
    </xf>
    <xf numFmtId="0" fontId="90" fillId="17" borderId="239" xfId="0" applyFont="1" applyFill="1" applyBorder="1" applyProtection="1">
      <protection hidden="1"/>
    </xf>
    <xf numFmtId="0" fontId="65" fillId="17" borderId="49" xfId="0" quotePrefix="1" applyFont="1" applyFill="1" applyBorder="1" applyProtection="1">
      <protection hidden="1"/>
    </xf>
    <xf numFmtId="0" fontId="65" fillId="17" borderId="47" xfId="0" quotePrefix="1" applyFont="1" applyFill="1" applyBorder="1" applyProtection="1">
      <protection hidden="1"/>
    </xf>
    <xf numFmtId="0" fontId="161" fillId="4" borderId="0" xfId="0" applyFont="1" applyFill="1" applyAlignment="1" applyProtection="1">
      <alignment vertical="center"/>
      <protection hidden="1"/>
    </xf>
    <xf numFmtId="0" fontId="67" fillId="17" borderId="45" xfId="0" applyFont="1" applyFill="1" applyBorder="1" applyProtection="1">
      <protection hidden="1"/>
    </xf>
    <xf numFmtId="0" fontId="67" fillId="17" borderId="50" xfId="0" applyFont="1" applyFill="1" applyBorder="1" applyProtection="1">
      <protection hidden="1"/>
    </xf>
    <xf numFmtId="0" fontId="1" fillId="17" borderId="180" xfId="0" applyFont="1" applyFill="1" applyBorder="1" applyAlignment="1" applyProtection="1">
      <alignment horizontal="center"/>
      <protection hidden="1"/>
    </xf>
    <xf numFmtId="0" fontId="129" fillId="0" borderId="0" xfId="0" applyFont="1" applyAlignment="1" applyProtection="1">
      <alignment horizontal="left" vertical="top"/>
      <protection hidden="1"/>
    </xf>
    <xf numFmtId="0" fontId="36" fillId="4" borderId="0" xfId="0" applyFont="1" applyFill="1" applyAlignment="1" applyProtection="1">
      <alignment vertical="center"/>
      <protection hidden="1"/>
    </xf>
    <xf numFmtId="0" fontId="165" fillId="4" borderId="0" xfId="0" applyFont="1" applyFill="1" applyAlignment="1" applyProtection="1">
      <alignment horizontal="left" vertical="center"/>
      <protection hidden="1"/>
    </xf>
    <xf numFmtId="0" fontId="310" fillId="4" borderId="0" xfId="0" applyFont="1" applyFill="1" applyAlignment="1" applyProtection="1">
      <alignment horizontal="center" vertical="top"/>
      <protection hidden="1"/>
    </xf>
    <xf numFmtId="0" fontId="66" fillId="4" borderId="0" xfId="0" applyFont="1" applyFill="1" applyAlignment="1" applyProtection="1">
      <alignment horizontal="left" vertical="center"/>
      <protection hidden="1"/>
    </xf>
    <xf numFmtId="0" fontId="27" fillId="17" borderId="42" xfId="0" applyFont="1" applyFill="1" applyBorder="1" applyProtection="1">
      <protection hidden="1"/>
    </xf>
    <xf numFmtId="0" fontId="29" fillId="17" borderId="43" xfId="0" applyFont="1" applyFill="1" applyBorder="1" applyProtection="1">
      <protection hidden="1"/>
    </xf>
    <xf numFmtId="0" fontId="27" fillId="17" borderId="43" xfId="0" applyFont="1" applyFill="1" applyBorder="1" applyProtection="1">
      <protection hidden="1"/>
    </xf>
    <xf numFmtId="0" fontId="384" fillId="17" borderId="73" xfId="0" applyFont="1" applyFill="1" applyBorder="1" applyAlignment="1" applyProtection="1">
      <alignment horizontal="center"/>
      <protection hidden="1"/>
    </xf>
    <xf numFmtId="0" fontId="384" fillId="17" borderId="73" xfId="0" applyFont="1" applyFill="1" applyBorder="1" applyAlignment="1" applyProtection="1">
      <alignment horizontal="left"/>
      <protection hidden="1"/>
    </xf>
    <xf numFmtId="0" fontId="384" fillId="17" borderId="71" xfId="0" applyFont="1" applyFill="1" applyBorder="1" applyAlignment="1" applyProtection="1">
      <alignment horizontal="left" vertical="top" indent="1"/>
      <protection hidden="1"/>
    </xf>
    <xf numFmtId="0" fontId="27" fillId="17" borderId="45" xfId="0" applyFont="1" applyFill="1" applyBorder="1" applyProtection="1">
      <protection hidden="1"/>
    </xf>
    <xf numFmtId="0" fontId="29" fillId="17" borderId="46" xfId="0" applyFont="1" applyFill="1" applyBorder="1" applyProtection="1">
      <protection hidden="1"/>
    </xf>
    <xf numFmtId="0" fontId="27" fillId="17" borderId="46" xfId="0" applyFont="1" applyFill="1" applyBorder="1" applyProtection="1">
      <protection hidden="1"/>
    </xf>
    <xf numFmtId="0" fontId="129" fillId="0" borderId="4" xfId="0" applyFont="1" applyBorder="1" applyAlignment="1" applyProtection="1">
      <alignment horizontal="center" vertical="center"/>
      <protection hidden="1"/>
    </xf>
    <xf numFmtId="0" fontId="164" fillId="4" borderId="0" xfId="0" applyFont="1" applyFill="1" applyAlignment="1" applyProtection="1">
      <alignment vertical="center"/>
      <protection hidden="1"/>
    </xf>
    <xf numFmtId="0" fontId="309" fillId="4" borderId="0" xfId="0" applyFont="1" applyFill="1" applyAlignment="1" applyProtection="1">
      <alignment horizontal="center" vertical="top"/>
      <protection hidden="1"/>
    </xf>
    <xf numFmtId="0" fontId="164" fillId="17" borderId="245" xfId="0" applyFont="1" applyFill="1" applyBorder="1" applyAlignment="1" applyProtection="1">
      <alignment vertical="center"/>
      <protection hidden="1"/>
    </xf>
    <xf numFmtId="0" fontId="67" fillId="17" borderId="78" xfId="0" applyFont="1" applyFill="1" applyBorder="1" applyAlignment="1" applyProtection="1">
      <alignment horizontal="left" indent="1"/>
      <protection hidden="1"/>
    </xf>
    <xf numFmtId="0" fontId="90" fillId="17" borderId="74" xfId="0" applyFont="1" applyFill="1" applyBorder="1" applyAlignment="1" applyProtection="1">
      <alignment horizontal="left" indent="1"/>
      <protection hidden="1"/>
    </xf>
    <xf numFmtId="0" fontId="90" fillId="17" borderId="74" xfId="0" applyFont="1" applyFill="1" applyBorder="1" applyProtection="1">
      <protection hidden="1"/>
    </xf>
    <xf numFmtId="0" fontId="90" fillId="17" borderId="79" xfId="0" applyFont="1" applyFill="1" applyBorder="1" applyProtection="1">
      <protection hidden="1"/>
    </xf>
    <xf numFmtId="0" fontId="90" fillId="17" borderId="262" xfId="0" applyFont="1" applyFill="1" applyBorder="1" applyProtection="1">
      <protection hidden="1"/>
    </xf>
    <xf numFmtId="0" fontId="312" fillId="4" borderId="0" xfId="0" applyFont="1" applyFill="1" applyAlignment="1" applyProtection="1">
      <alignment horizontal="center" vertical="top"/>
      <protection hidden="1"/>
    </xf>
    <xf numFmtId="0" fontId="313" fillId="4" borderId="0" xfId="0" applyFont="1" applyFill="1" applyAlignment="1" applyProtection="1">
      <alignment horizontal="center" vertical="top"/>
      <protection hidden="1"/>
    </xf>
    <xf numFmtId="0" fontId="120" fillId="0" borderId="52" xfId="0" applyFont="1" applyBorder="1" applyAlignment="1" applyProtection="1">
      <alignment horizontal="center"/>
      <protection hidden="1"/>
    </xf>
    <xf numFmtId="0" fontId="120" fillId="0" borderId="52" xfId="0" applyFont="1" applyBorder="1" applyAlignment="1" applyProtection="1">
      <alignment horizontal="left"/>
      <protection hidden="1"/>
    </xf>
    <xf numFmtId="0" fontId="311" fillId="4" borderId="0" xfId="0" applyFont="1" applyFill="1" applyAlignment="1" applyProtection="1">
      <alignment vertical="center" textRotation="255" wrapText="1"/>
      <protection hidden="1"/>
    </xf>
    <xf numFmtId="0" fontId="36" fillId="24" borderId="0" xfId="0" applyFont="1" applyFill="1" applyAlignment="1" applyProtection="1">
      <alignment vertical="center"/>
      <protection hidden="1"/>
    </xf>
    <xf numFmtId="0" fontId="146" fillId="17" borderId="237" xfId="0" applyFont="1" applyFill="1" applyBorder="1" applyAlignment="1" applyProtection="1">
      <alignment horizontal="left" indent="1"/>
      <protection hidden="1"/>
    </xf>
    <xf numFmtId="0" fontId="230" fillId="17" borderId="235" xfId="0" applyFont="1" applyFill="1" applyBorder="1" applyAlignment="1" applyProtection="1">
      <alignment horizontal="left" indent="1"/>
      <protection hidden="1"/>
    </xf>
    <xf numFmtId="0" fontId="65" fillId="17" borderId="79" xfId="0" applyFont="1" applyFill="1" applyBorder="1" applyAlignment="1" applyProtection="1">
      <alignment horizontal="left" vertical="center"/>
      <protection hidden="1"/>
    </xf>
    <xf numFmtId="0" fontId="304" fillId="17" borderId="246" xfId="0" applyFont="1" applyFill="1" applyBorder="1" applyProtection="1">
      <protection hidden="1"/>
    </xf>
    <xf numFmtId="0" fontId="64" fillId="24" borderId="0" xfId="0" applyFont="1" applyFill="1" applyAlignment="1" applyProtection="1">
      <alignment horizontal="left" vertical="center"/>
      <protection hidden="1"/>
    </xf>
    <xf numFmtId="0" fontId="161" fillId="24" borderId="0" xfId="0" applyFont="1" applyFill="1" applyAlignment="1" applyProtection="1">
      <alignment vertical="center" textRotation="255" wrapText="1"/>
      <protection hidden="1"/>
    </xf>
    <xf numFmtId="0" fontId="64" fillId="22" borderId="0" xfId="0" applyFont="1" applyFill="1" applyAlignment="1" applyProtection="1">
      <alignment horizontal="left"/>
      <protection hidden="1"/>
    </xf>
    <xf numFmtId="0" fontId="66" fillId="4" borderId="0" xfId="0" applyFont="1" applyFill="1" applyAlignment="1" applyProtection="1">
      <alignment vertical="center"/>
      <protection hidden="1"/>
    </xf>
    <xf numFmtId="0" fontId="64" fillId="14" borderId="0" xfId="0" applyFont="1" applyFill="1" applyAlignment="1" applyProtection="1">
      <alignment horizontal="left"/>
      <protection hidden="1"/>
    </xf>
    <xf numFmtId="0" fontId="187" fillId="4" borderId="0" xfId="0" applyFont="1" applyFill="1" applyAlignment="1" applyProtection="1">
      <alignment wrapText="1"/>
      <protection hidden="1"/>
    </xf>
    <xf numFmtId="0" fontId="29" fillId="4" borderId="0" xfId="0" applyFont="1" applyFill="1" applyAlignment="1" applyProtection="1">
      <alignment horizontal="center" vertical="center"/>
      <protection hidden="1"/>
    </xf>
    <xf numFmtId="0" fontId="172" fillId="4" borderId="0" xfId="0" applyFont="1" applyFill="1" applyProtection="1">
      <protection hidden="1"/>
    </xf>
    <xf numFmtId="0" fontId="64" fillId="4" borderId="0" xfId="0" applyFont="1" applyFill="1" applyAlignment="1" applyProtection="1">
      <alignment horizontal="left"/>
      <protection hidden="1"/>
    </xf>
    <xf numFmtId="0" fontId="314" fillId="4" borderId="0" xfId="0" applyFont="1" applyFill="1" applyAlignment="1" applyProtection="1">
      <alignment vertical="center" wrapText="1"/>
      <protection hidden="1"/>
    </xf>
    <xf numFmtId="0" fontId="90" fillId="4" borderId="0" xfId="0" applyFont="1" applyFill="1" applyProtection="1">
      <protection hidden="1"/>
    </xf>
    <xf numFmtId="0" fontId="188" fillId="4" borderId="0" xfId="0" applyFont="1" applyFill="1" applyAlignment="1" applyProtection="1">
      <alignment vertical="top" wrapText="1"/>
      <protection hidden="1"/>
    </xf>
    <xf numFmtId="0" fontId="64" fillId="22" borderId="0" xfId="0" applyFont="1" applyFill="1" applyAlignment="1" applyProtection="1">
      <alignment horizontal="left" vertical="center"/>
      <protection hidden="1"/>
    </xf>
    <xf numFmtId="0" fontId="304" fillId="17" borderId="79" xfId="0" applyFont="1" applyFill="1" applyBorder="1" applyProtection="1">
      <protection hidden="1"/>
    </xf>
    <xf numFmtId="0" fontId="164" fillId="17" borderId="242" xfId="0" applyFont="1" applyFill="1" applyBorder="1" applyAlignment="1" applyProtection="1">
      <alignment vertical="center"/>
      <protection hidden="1"/>
    </xf>
    <xf numFmtId="0" fontId="304" fillId="17" borderId="243" xfId="0" applyFont="1" applyFill="1" applyBorder="1" applyProtection="1">
      <protection hidden="1"/>
    </xf>
    <xf numFmtId="0" fontId="304" fillId="17" borderId="243" xfId="0" applyFont="1" applyFill="1" applyBorder="1" applyAlignment="1" applyProtection="1">
      <alignment vertical="center"/>
      <protection hidden="1"/>
    </xf>
    <xf numFmtId="0" fontId="304" fillId="17" borderId="244" xfId="0" applyFont="1" applyFill="1" applyBorder="1" applyProtection="1">
      <protection hidden="1"/>
    </xf>
    <xf numFmtId="0" fontId="215" fillId="4" borderId="0" xfId="0" applyFont="1" applyFill="1" applyAlignment="1" applyProtection="1">
      <alignment horizontal="center"/>
      <protection hidden="1"/>
    </xf>
    <xf numFmtId="0" fontId="63" fillId="0" borderId="93" xfId="0" applyFont="1" applyBorder="1" applyAlignment="1" applyProtection="1">
      <alignment vertical="center"/>
      <protection hidden="1"/>
    </xf>
    <xf numFmtId="0" fontId="64" fillId="21" borderId="152" xfId="0" applyFont="1" applyFill="1" applyBorder="1" applyAlignment="1" applyProtection="1">
      <alignment horizontal="left" vertical="center"/>
      <protection hidden="1"/>
    </xf>
    <xf numFmtId="0" fontId="41" fillId="19" borderId="68" xfId="0" applyFont="1" applyFill="1" applyBorder="1" applyAlignment="1" applyProtection="1">
      <alignment vertical="center"/>
      <protection hidden="1"/>
    </xf>
    <xf numFmtId="0" fontId="41" fillId="19" borderId="66" xfId="0" applyFont="1" applyFill="1" applyBorder="1" applyAlignment="1" applyProtection="1">
      <alignment vertical="center"/>
      <protection hidden="1"/>
    </xf>
    <xf numFmtId="0" fontId="41" fillId="19" borderId="0" xfId="0" applyFont="1" applyFill="1" applyAlignment="1" applyProtection="1">
      <alignment vertical="center"/>
      <protection hidden="1"/>
    </xf>
    <xf numFmtId="0" fontId="41" fillId="19" borderId="67" xfId="0" applyFont="1" applyFill="1" applyBorder="1" applyAlignment="1" applyProtection="1">
      <alignment vertical="center"/>
      <protection hidden="1"/>
    </xf>
    <xf numFmtId="0" fontId="41" fillId="19" borderId="76" xfId="0" applyFont="1" applyFill="1" applyBorder="1" applyAlignment="1" applyProtection="1">
      <alignment vertical="center"/>
      <protection hidden="1"/>
    </xf>
    <xf numFmtId="0" fontId="41" fillId="19" borderId="0" xfId="0" applyFont="1" applyFill="1" applyAlignment="1" applyProtection="1">
      <alignment horizontal="left" vertical="center"/>
      <protection hidden="1"/>
    </xf>
    <xf numFmtId="0" fontId="64" fillId="19" borderId="0" xfId="0" applyFont="1" applyFill="1" applyAlignment="1" applyProtection="1">
      <alignment horizontal="left" vertical="center" indent="2"/>
      <protection hidden="1"/>
    </xf>
    <xf numFmtId="0" fontId="295" fillId="19" borderId="66" xfId="0" applyFont="1" applyFill="1" applyBorder="1" applyAlignment="1" applyProtection="1">
      <alignment horizontal="left" vertical="center"/>
      <protection hidden="1"/>
    </xf>
    <xf numFmtId="0" fontId="295" fillId="19" borderId="0" xfId="0" applyFont="1" applyFill="1" applyAlignment="1" applyProtection="1">
      <alignment horizontal="left" vertical="center"/>
      <protection hidden="1"/>
    </xf>
    <xf numFmtId="0" fontId="18" fillId="19" borderId="75" xfId="0" applyFont="1" applyFill="1" applyBorder="1" applyAlignment="1" applyProtection="1">
      <alignment horizontal="center" vertical="center"/>
      <protection hidden="1"/>
    </xf>
    <xf numFmtId="0" fontId="1" fillId="19" borderId="76" xfId="0" applyFont="1" applyFill="1" applyBorder="1" applyAlignment="1" applyProtection="1">
      <alignment horizontal="center"/>
      <protection hidden="1"/>
    </xf>
    <xf numFmtId="0" fontId="41" fillId="19" borderId="69" xfId="0" applyFont="1" applyFill="1" applyBorder="1" applyAlignment="1" applyProtection="1">
      <alignment vertical="center"/>
      <protection hidden="1"/>
    </xf>
    <xf numFmtId="0" fontId="41" fillId="19" borderId="70" xfId="0" applyFont="1" applyFill="1" applyBorder="1" applyAlignment="1" applyProtection="1">
      <alignment vertical="center"/>
      <protection hidden="1"/>
    </xf>
    <xf numFmtId="0" fontId="29" fillId="17" borderId="284" xfId="0" applyFont="1" applyFill="1" applyBorder="1" applyAlignment="1" applyProtection="1">
      <alignment horizontal="left" indent="1"/>
      <protection hidden="1"/>
    </xf>
    <xf numFmtId="0" fontId="184" fillId="17" borderId="237" xfId="0" applyFont="1" applyFill="1" applyBorder="1" applyAlignment="1" applyProtection="1">
      <alignment horizontal="left" indent="1"/>
      <protection hidden="1"/>
    </xf>
    <xf numFmtId="0" fontId="184" fillId="17" borderId="261" xfId="0" applyFont="1" applyFill="1" applyBorder="1" applyAlignment="1" applyProtection="1">
      <alignment horizontal="left" indent="1"/>
      <protection hidden="1"/>
    </xf>
    <xf numFmtId="0" fontId="184" fillId="17" borderId="260" xfId="0" applyFont="1" applyFill="1" applyBorder="1" applyProtection="1">
      <protection hidden="1"/>
    </xf>
    <xf numFmtId="0" fontId="184" fillId="17" borderId="237" xfId="0" applyFont="1" applyFill="1" applyBorder="1" applyProtection="1">
      <protection hidden="1"/>
    </xf>
    <xf numFmtId="0" fontId="184" fillId="17" borderId="273" xfId="0" applyFont="1" applyFill="1" applyBorder="1" applyProtection="1">
      <protection hidden="1"/>
    </xf>
    <xf numFmtId="0" fontId="184" fillId="17" borderId="261" xfId="0" applyFont="1" applyFill="1" applyBorder="1" applyProtection="1">
      <protection hidden="1"/>
    </xf>
    <xf numFmtId="0" fontId="184" fillId="17" borderId="287" xfId="0" applyFont="1" applyFill="1" applyBorder="1" applyProtection="1">
      <protection hidden="1"/>
    </xf>
    <xf numFmtId="0" fontId="184" fillId="17" borderId="288" xfId="0" applyFont="1" applyFill="1" applyBorder="1" applyProtection="1">
      <protection hidden="1"/>
    </xf>
    <xf numFmtId="0" fontId="90" fillId="17" borderId="288" xfId="0" applyFont="1" applyFill="1" applyBorder="1" applyProtection="1">
      <protection hidden="1"/>
    </xf>
    <xf numFmtId="0" fontId="90" fillId="17" borderId="289" xfId="0" applyFont="1" applyFill="1" applyBorder="1" applyProtection="1">
      <protection hidden="1"/>
    </xf>
    <xf numFmtId="0" fontId="1" fillId="17" borderId="283" xfId="0" applyFont="1" applyFill="1" applyBorder="1" applyAlignment="1" applyProtection="1">
      <alignment horizontal="center"/>
      <protection hidden="1"/>
    </xf>
    <xf numFmtId="0" fontId="129" fillId="0" borderId="0" xfId="0" applyFont="1" applyAlignment="1" applyProtection="1">
      <alignment horizontal="left" indent="1"/>
      <protection hidden="1"/>
    </xf>
    <xf numFmtId="0" fontId="60" fillId="17" borderId="40" xfId="0" quotePrefix="1" applyFont="1" applyFill="1" applyBorder="1" applyAlignment="1" applyProtection="1">
      <alignment horizontal="center"/>
      <protection locked="0"/>
    </xf>
    <xf numFmtId="0" fontId="65" fillId="17" borderId="40" xfId="0" quotePrefix="1" applyFont="1" applyFill="1" applyBorder="1" applyAlignment="1" applyProtection="1">
      <alignment horizontal="center"/>
      <protection locked="0"/>
    </xf>
    <xf numFmtId="0" fontId="36" fillId="14" borderId="40" xfId="0" applyFont="1" applyFill="1" applyBorder="1" applyAlignment="1" applyProtection="1">
      <alignment horizontal="center" vertical="center"/>
      <protection locked="0"/>
    </xf>
    <xf numFmtId="0" fontId="1" fillId="14" borderId="77" xfId="0" applyFont="1" applyFill="1" applyBorder="1" applyAlignment="1" applyProtection="1">
      <alignment horizontal="center" vertical="center"/>
      <protection locked="0"/>
    </xf>
    <xf numFmtId="0" fontId="65" fillId="17" borderId="79" xfId="0" applyFont="1" applyFill="1" applyBorder="1" applyAlignment="1" applyProtection="1">
      <alignment horizontal="left" vertical="center"/>
      <protection locked="0"/>
    </xf>
    <xf numFmtId="0" fontId="304" fillId="17" borderId="79" xfId="0" applyFont="1" applyFill="1" applyBorder="1" applyAlignment="1" applyProtection="1">
      <alignment vertical="center"/>
      <protection locked="0"/>
    </xf>
    <xf numFmtId="0" fontId="1" fillId="17" borderId="77" xfId="0" applyFont="1" applyFill="1" applyBorder="1" applyAlignment="1" applyProtection="1">
      <alignment horizontal="center" vertical="center"/>
      <protection locked="0"/>
    </xf>
    <xf numFmtId="0" fontId="60" fillId="17" borderId="274" xfId="0" quotePrefix="1" applyFont="1" applyFill="1" applyBorder="1" applyAlignment="1" applyProtection="1">
      <alignment horizontal="center"/>
      <protection locked="0"/>
    </xf>
    <xf numFmtId="0" fontId="112" fillId="20" borderId="155" xfId="0" applyFont="1" applyFill="1" applyBorder="1" applyAlignment="1" applyProtection="1">
      <alignment vertical="center" wrapText="1"/>
      <protection hidden="1"/>
    </xf>
    <xf numFmtId="0" fontId="112" fillId="20" borderId="156" xfId="0" applyFont="1" applyFill="1" applyBorder="1" applyAlignment="1" applyProtection="1">
      <alignment vertical="center" wrapText="1"/>
      <protection hidden="1"/>
    </xf>
    <xf numFmtId="0" fontId="112" fillId="20" borderId="157" xfId="0" applyFont="1" applyFill="1" applyBorder="1" applyAlignment="1" applyProtection="1">
      <alignment vertical="center" wrapText="1"/>
      <protection hidden="1"/>
    </xf>
    <xf numFmtId="0" fontId="112" fillId="20" borderId="158" xfId="0" applyFont="1" applyFill="1" applyBorder="1" applyAlignment="1" applyProtection="1">
      <alignment vertical="center" wrapText="1"/>
      <protection hidden="1"/>
    </xf>
    <xf numFmtId="0" fontId="112" fillId="20" borderId="159" xfId="0" applyFont="1" applyFill="1" applyBorder="1" applyAlignment="1" applyProtection="1">
      <alignment vertical="center" wrapText="1"/>
      <protection hidden="1"/>
    </xf>
    <xf numFmtId="0" fontId="55" fillId="0" borderId="0" xfId="0" applyFont="1" applyAlignment="1" applyProtection="1">
      <alignment horizontal="left"/>
      <protection hidden="1"/>
    </xf>
    <xf numFmtId="0" fontId="60" fillId="0" borderId="0" xfId="0" applyFont="1" applyAlignment="1" applyProtection="1">
      <alignment vertical="top" wrapText="1"/>
      <protection hidden="1"/>
    </xf>
    <xf numFmtId="0" fontId="112" fillId="20" borderId="160" xfId="0" applyFont="1" applyFill="1" applyBorder="1" applyAlignment="1" applyProtection="1">
      <alignment vertical="center" wrapText="1"/>
      <protection hidden="1"/>
    </xf>
    <xf numFmtId="0" fontId="112" fillId="20" borderId="161" xfId="0" applyFont="1" applyFill="1" applyBorder="1" applyAlignment="1" applyProtection="1">
      <alignment vertical="center" wrapText="1"/>
      <protection hidden="1"/>
    </xf>
    <xf numFmtId="0" fontId="112" fillId="20" borderId="162" xfId="0" applyFont="1" applyFill="1" applyBorder="1" applyAlignment="1" applyProtection="1">
      <alignment vertical="center" wrapText="1"/>
      <protection hidden="1"/>
    </xf>
    <xf numFmtId="0" fontId="23" fillId="24" borderId="0" xfId="0" applyFont="1" applyFill="1" applyAlignment="1" applyProtection="1">
      <alignment vertical="center"/>
      <protection hidden="1"/>
    </xf>
    <xf numFmtId="0" fontId="112" fillId="4" borderId="0" xfId="0" applyFont="1" applyFill="1" applyAlignment="1" applyProtection="1">
      <alignment vertical="center" wrapText="1"/>
      <protection hidden="1"/>
    </xf>
    <xf numFmtId="0" fontId="21" fillId="4" borderId="0" xfId="0" quotePrefix="1" applyFont="1" applyFill="1" applyAlignment="1" applyProtection="1">
      <alignment vertical="center"/>
      <protection hidden="1"/>
    </xf>
    <xf numFmtId="0" fontId="37" fillId="4" borderId="0" xfId="0" applyFont="1" applyFill="1" applyProtection="1">
      <protection hidden="1"/>
    </xf>
    <xf numFmtId="0" fontId="226" fillId="4" borderId="0" xfId="0" applyFont="1" applyFill="1" applyProtection="1">
      <protection hidden="1"/>
    </xf>
    <xf numFmtId="0" fontId="112" fillId="20" borderId="0" xfId="0" applyFont="1" applyFill="1" applyAlignment="1" applyProtection="1">
      <alignment vertical="center" wrapText="1"/>
      <protection hidden="1"/>
    </xf>
    <xf numFmtId="0" fontId="220" fillId="4" borderId="0" xfId="0" applyFont="1" applyFill="1" applyAlignment="1" applyProtection="1">
      <alignment vertical="center"/>
      <protection hidden="1"/>
    </xf>
    <xf numFmtId="0" fontId="219" fillId="4" borderId="0" xfId="0" applyFont="1" applyFill="1" applyAlignment="1" applyProtection="1">
      <alignment vertical="center"/>
      <protection hidden="1"/>
    </xf>
    <xf numFmtId="0" fontId="218" fillId="4" borderId="0" xfId="0" applyFont="1" applyFill="1" applyAlignment="1" applyProtection="1">
      <alignment vertical="center" wrapText="1"/>
      <protection hidden="1"/>
    </xf>
    <xf numFmtId="0" fontId="221" fillId="4" borderId="0" xfId="0" applyFont="1" applyFill="1" applyAlignment="1" applyProtection="1">
      <alignment vertical="center"/>
      <protection hidden="1"/>
    </xf>
    <xf numFmtId="0" fontId="222" fillId="4" borderId="0" xfId="0" applyFont="1" applyFill="1" applyAlignment="1" applyProtection="1">
      <alignment vertical="center"/>
      <protection hidden="1"/>
    </xf>
    <xf numFmtId="0" fontId="223" fillId="4" borderId="0" xfId="0" applyFont="1" applyFill="1" applyAlignment="1" applyProtection="1">
      <alignment vertical="center"/>
      <protection hidden="1"/>
    </xf>
    <xf numFmtId="0" fontId="224" fillId="4" borderId="0" xfId="0" applyFont="1" applyFill="1" applyAlignment="1" applyProtection="1">
      <alignment vertical="center"/>
      <protection hidden="1"/>
    </xf>
    <xf numFmtId="0" fontId="225" fillId="4" borderId="0" xfId="0" applyFont="1" applyFill="1" applyAlignment="1" applyProtection="1">
      <alignment vertical="center"/>
      <protection hidden="1"/>
    </xf>
    <xf numFmtId="0" fontId="229" fillId="4" borderId="0" xfId="0" applyFont="1" applyFill="1" applyAlignment="1" applyProtection="1">
      <alignment vertical="center"/>
      <protection hidden="1"/>
    </xf>
    <xf numFmtId="0" fontId="21" fillId="24" borderId="0" xfId="0" applyFont="1" applyFill="1" applyAlignment="1" applyProtection="1">
      <alignment vertical="center" textRotation="255" wrapText="1"/>
      <protection hidden="1"/>
    </xf>
    <xf numFmtId="4" fontId="101" fillId="0" borderId="0" xfId="2" applyNumberFormat="1" applyFont="1" applyBorder="1" applyAlignment="1" applyProtection="1">
      <protection hidden="1"/>
    </xf>
    <xf numFmtId="20" fontId="412" fillId="4" borderId="0" xfId="0" applyNumberFormat="1" applyFont="1" applyFill="1" applyAlignment="1" applyProtection="1">
      <alignment horizontal="center" vertical="center"/>
      <protection hidden="1"/>
    </xf>
    <xf numFmtId="0" fontId="117" fillId="4" borderId="0" xfId="0" applyFont="1" applyFill="1" applyProtection="1">
      <protection hidden="1"/>
    </xf>
    <xf numFmtId="0" fontId="41" fillId="4" borderId="0" xfId="0" applyFont="1" applyFill="1" applyProtection="1">
      <protection hidden="1"/>
    </xf>
    <xf numFmtId="0" fontId="285" fillId="4" borderId="0" xfId="0" applyFont="1" applyFill="1" applyProtection="1">
      <protection hidden="1"/>
    </xf>
    <xf numFmtId="0" fontId="60" fillId="4" borderId="0" xfId="0" applyFont="1" applyFill="1" applyProtection="1">
      <protection hidden="1"/>
    </xf>
    <xf numFmtId="0" fontId="406" fillId="4" borderId="0" xfId="0" applyFont="1" applyFill="1" applyAlignment="1" applyProtection="1">
      <alignment horizontal="center"/>
      <protection hidden="1"/>
    </xf>
    <xf numFmtId="0" fontId="406" fillId="4" borderId="0" xfId="0" applyFont="1" applyFill="1" applyAlignment="1" applyProtection="1">
      <alignment horizontal="right"/>
      <protection hidden="1"/>
    </xf>
    <xf numFmtId="0" fontId="406" fillId="4" borderId="0" xfId="0" applyFont="1" applyFill="1" applyProtection="1">
      <protection hidden="1"/>
    </xf>
    <xf numFmtId="0" fontId="406" fillId="4" borderId="0" xfId="0" applyFont="1" applyFill="1" applyAlignment="1" applyProtection="1">
      <alignment horizontal="left"/>
      <protection hidden="1"/>
    </xf>
    <xf numFmtId="0" fontId="60" fillId="4" borderId="0" xfId="0" applyFont="1" applyFill="1" applyAlignment="1" applyProtection="1">
      <alignment vertical="center"/>
      <protection hidden="1"/>
    </xf>
    <xf numFmtId="0" fontId="144" fillId="4" borderId="0" xfId="0" applyFont="1" applyFill="1" applyAlignment="1" applyProtection="1">
      <alignment vertical="center"/>
      <protection hidden="1"/>
    </xf>
    <xf numFmtId="0" fontId="60" fillId="4" borderId="0" xfId="0" applyFont="1" applyFill="1" applyAlignment="1" applyProtection="1">
      <alignment horizontal="center"/>
      <protection hidden="1"/>
    </xf>
    <xf numFmtId="0" fontId="60" fillId="4" borderId="0" xfId="0" applyFont="1" applyFill="1" applyAlignment="1" applyProtection="1">
      <alignment horizontal="left"/>
      <protection hidden="1"/>
    </xf>
    <xf numFmtId="0" fontId="101" fillId="4" borderId="0" xfId="0" applyFont="1" applyFill="1" applyAlignment="1" applyProtection="1">
      <alignment horizontal="left" vertical="center"/>
      <protection hidden="1"/>
    </xf>
    <xf numFmtId="0" fontId="29" fillId="9" borderId="0" xfId="0" applyFont="1" applyFill="1" applyAlignment="1" applyProtection="1">
      <alignment horizontal="center" vertical="center"/>
      <protection hidden="1"/>
    </xf>
    <xf numFmtId="0" fontId="271" fillId="19" borderId="203" xfId="0" applyFont="1" applyFill="1" applyBorder="1" applyAlignment="1" applyProtection="1">
      <alignment horizontal="left" vertical="center"/>
      <protection hidden="1"/>
    </xf>
    <xf numFmtId="0" fontId="271" fillId="19" borderId="204" xfId="0" applyFont="1" applyFill="1" applyBorder="1" applyAlignment="1" applyProtection="1">
      <alignment horizontal="left" vertical="center"/>
      <protection hidden="1"/>
    </xf>
    <xf numFmtId="0" fontId="67" fillId="4" borderId="0" xfId="0" applyFont="1" applyFill="1" applyAlignment="1" applyProtection="1">
      <alignment horizontal="right"/>
      <protection hidden="1"/>
    </xf>
    <xf numFmtId="0" fontId="67" fillId="4" borderId="0" xfId="0" applyFont="1" applyFill="1" applyAlignment="1" applyProtection="1">
      <alignment horizontal="left"/>
      <protection hidden="1"/>
    </xf>
    <xf numFmtId="0" fontId="395" fillId="0" borderId="104" xfId="0" applyFont="1" applyBorder="1" applyAlignment="1" applyProtection="1">
      <alignment vertical="center"/>
      <protection hidden="1"/>
    </xf>
    <xf numFmtId="0" fontId="393" fillId="0" borderId="104" xfId="0" applyFont="1" applyBorder="1" applyAlignment="1" applyProtection="1">
      <alignment vertical="center"/>
      <protection hidden="1"/>
    </xf>
    <xf numFmtId="0" fontId="396" fillId="0" borderId="104" xfId="0" applyFont="1" applyBorder="1" applyAlignment="1" applyProtection="1">
      <alignment vertical="center"/>
      <protection hidden="1"/>
    </xf>
    <xf numFmtId="0" fontId="398" fillId="0" borderId="104" xfId="0" applyFont="1" applyBorder="1" applyAlignment="1" applyProtection="1">
      <alignment vertical="center"/>
      <protection hidden="1"/>
    </xf>
    <xf numFmtId="0" fontId="399" fillId="0" borderId="104" xfId="0" applyFont="1" applyBorder="1" applyAlignment="1" applyProtection="1">
      <alignment vertical="center"/>
      <protection hidden="1"/>
    </xf>
    <xf numFmtId="0" fontId="347" fillId="0" borderId="104" xfId="0" applyFont="1" applyBorder="1" applyAlignment="1" applyProtection="1">
      <alignment vertical="center"/>
      <protection hidden="1"/>
    </xf>
    <xf numFmtId="0" fontId="400" fillId="0" borderId="104" xfId="0" applyFont="1" applyBorder="1" applyAlignment="1" applyProtection="1">
      <alignment vertical="center"/>
      <protection hidden="1"/>
    </xf>
    <xf numFmtId="0" fontId="401" fillId="0" borderId="104" xfId="0" applyFont="1" applyBorder="1" applyAlignment="1" applyProtection="1">
      <alignment vertical="center"/>
      <protection hidden="1"/>
    </xf>
    <xf numFmtId="0" fontId="402" fillId="0" borderId="104" xfId="0" applyFont="1" applyBorder="1" applyAlignment="1" applyProtection="1">
      <alignment vertical="center"/>
      <protection hidden="1"/>
    </xf>
    <xf numFmtId="0" fontId="397" fillId="0" borderId="104" xfId="0" applyFont="1" applyBorder="1" applyAlignment="1" applyProtection="1">
      <alignment vertical="center"/>
      <protection hidden="1"/>
    </xf>
    <xf numFmtId="0" fontId="1" fillId="0" borderId="0" xfId="0" applyFont="1" applyAlignment="1" applyProtection="1">
      <alignment vertical="top" textRotation="255"/>
      <protection hidden="1"/>
    </xf>
    <xf numFmtId="0" fontId="127" fillId="14" borderId="1" xfId="0" applyFont="1" applyFill="1" applyBorder="1" applyAlignment="1" applyProtection="1">
      <alignment horizontal="center" vertical="center"/>
      <protection hidden="1"/>
    </xf>
    <xf numFmtId="0" fontId="148" fillId="14" borderId="1" xfId="0" applyFont="1" applyFill="1" applyBorder="1" applyAlignment="1" applyProtection="1">
      <alignment horizontal="center" vertical="center"/>
      <protection hidden="1"/>
    </xf>
    <xf numFmtId="0" fontId="294" fillId="0" borderId="0" xfId="0" applyFont="1" applyAlignment="1" applyProtection="1">
      <alignment horizontal="left" vertical="center" indent="1"/>
      <protection hidden="1"/>
    </xf>
    <xf numFmtId="1" fontId="127" fillId="14" borderId="1" xfId="0" applyNumberFormat="1" applyFont="1" applyFill="1" applyBorder="1" applyAlignment="1" applyProtection="1">
      <alignment horizontal="center" vertical="center"/>
      <protection hidden="1"/>
    </xf>
    <xf numFmtId="1" fontId="148" fillId="14" borderId="1" xfId="0" applyNumberFormat="1" applyFont="1" applyFill="1" applyBorder="1" applyAlignment="1" applyProtection="1">
      <alignment horizontal="center" vertical="center"/>
      <protection hidden="1"/>
    </xf>
    <xf numFmtId="0" fontId="294" fillId="0" borderId="3" xfId="0" applyFont="1" applyBorder="1" applyAlignment="1" applyProtection="1">
      <alignment horizontal="left" vertical="center" indent="1"/>
      <protection hidden="1"/>
    </xf>
    <xf numFmtId="0" fontId="71" fillId="18" borderId="82" xfId="0" applyFont="1" applyFill="1" applyBorder="1" applyAlignment="1" applyProtection="1">
      <alignment horizontal="center" vertical="center"/>
      <protection hidden="1"/>
    </xf>
    <xf numFmtId="0" fontId="72" fillId="18" borderId="83" xfId="0" applyFont="1" applyFill="1" applyBorder="1" applyAlignment="1" applyProtection="1">
      <alignment horizontal="center" vertical="center"/>
      <protection hidden="1"/>
    </xf>
    <xf numFmtId="0" fontId="1" fillId="0" borderId="16" xfId="0" applyFont="1" applyBorder="1" applyAlignment="1" applyProtection="1">
      <alignment horizontal="center"/>
      <protection hidden="1"/>
    </xf>
    <xf numFmtId="0" fontId="1" fillId="0" borderId="17" xfId="0" applyFont="1" applyBorder="1" applyAlignment="1" applyProtection="1">
      <alignment horizontal="center"/>
      <protection hidden="1"/>
    </xf>
    <xf numFmtId="1" fontId="300" fillId="4" borderId="0" xfId="0" applyNumberFormat="1" applyFont="1" applyFill="1" applyAlignment="1" applyProtection="1">
      <alignment horizontal="center" vertical="top"/>
      <protection hidden="1"/>
    </xf>
    <xf numFmtId="0" fontId="132" fillId="0" borderId="19" xfId="0" applyFont="1" applyBorder="1" applyAlignment="1" applyProtection="1">
      <alignment vertical="center"/>
      <protection hidden="1"/>
    </xf>
    <xf numFmtId="0" fontId="132" fillId="0" borderId="14" xfId="0" applyFont="1" applyBorder="1" applyAlignment="1" applyProtection="1">
      <alignment vertical="center"/>
      <protection hidden="1"/>
    </xf>
    <xf numFmtId="0" fontId="132" fillId="0" borderId="13" xfId="0" applyFont="1" applyBorder="1" applyAlignment="1" applyProtection="1">
      <alignment vertical="center"/>
      <protection hidden="1"/>
    </xf>
    <xf numFmtId="0" fontId="132" fillId="0" borderId="15" xfId="0" applyFont="1" applyBorder="1" applyAlignment="1" applyProtection="1">
      <alignment horizontal="left" vertical="center"/>
      <protection hidden="1"/>
    </xf>
    <xf numFmtId="0" fontId="129" fillId="0" borderId="105" xfId="0" applyFont="1" applyBorder="1" applyAlignment="1" applyProtection="1">
      <alignment horizontal="center" vertical="center"/>
      <protection hidden="1"/>
    </xf>
    <xf numFmtId="0" fontId="129" fillId="0" borderId="105" xfId="0" applyFont="1" applyBorder="1" applyAlignment="1" applyProtection="1">
      <alignment horizontal="left" vertical="center"/>
      <protection hidden="1"/>
    </xf>
    <xf numFmtId="0" fontId="62" fillId="0" borderId="105" xfId="0" applyFont="1" applyBorder="1" applyAlignment="1" applyProtection="1">
      <alignment horizontal="center" vertical="center"/>
      <protection hidden="1"/>
    </xf>
    <xf numFmtId="0" fontId="426" fillId="4" borderId="0" xfId="0" applyFont="1" applyFill="1" applyAlignment="1" applyProtection="1">
      <alignment horizontal="center" vertical="center"/>
      <protection hidden="1"/>
    </xf>
    <xf numFmtId="0" fontId="305" fillId="0" borderId="105" xfId="0" applyFont="1" applyBorder="1" applyAlignment="1" applyProtection="1">
      <alignment horizontal="left" vertical="center"/>
      <protection hidden="1"/>
    </xf>
    <xf numFmtId="0" fontId="131" fillId="0" borderId="109" xfId="0" applyFont="1" applyBorder="1" applyProtection="1">
      <protection hidden="1"/>
    </xf>
    <xf numFmtId="0" fontId="146" fillId="0" borderId="51" xfId="0" applyFont="1" applyBorder="1" applyAlignment="1" applyProtection="1">
      <alignment vertical="center"/>
      <protection hidden="1"/>
    </xf>
    <xf numFmtId="0" fontId="131" fillId="0" borderId="89" xfId="0" applyFont="1" applyBorder="1" applyProtection="1">
      <protection hidden="1"/>
    </xf>
    <xf numFmtId="0" fontId="15" fillId="0" borderId="51" xfId="0" applyFont="1" applyBorder="1" applyAlignment="1" applyProtection="1">
      <alignment horizontal="left"/>
      <protection hidden="1"/>
    </xf>
    <xf numFmtId="0" fontId="230" fillId="17" borderId="234" xfId="0" applyFont="1" applyFill="1" applyBorder="1" applyAlignment="1" applyProtection="1">
      <alignment horizontal="right"/>
      <protection hidden="1"/>
    </xf>
    <xf numFmtId="0" fontId="101" fillId="0" borderId="277" xfId="0" applyFont="1" applyBorder="1" applyAlignment="1" applyProtection="1">
      <alignment horizontal="left"/>
      <protection locked="0"/>
    </xf>
    <xf numFmtId="0" fontId="172" fillId="17" borderId="91" xfId="0" applyFont="1" applyFill="1" applyBorder="1" applyAlignment="1" applyProtection="1">
      <alignment wrapText="1"/>
      <protection hidden="1"/>
    </xf>
    <xf numFmtId="0" fontId="289" fillId="19" borderId="75" xfId="0" applyFont="1" applyFill="1" applyBorder="1" applyAlignment="1" applyProtection="1">
      <alignment horizontal="center" vertical="center"/>
      <protection hidden="1"/>
    </xf>
    <xf numFmtId="0" fontId="60" fillId="17" borderId="274" xfId="0" quotePrefix="1" applyFont="1" applyFill="1" applyBorder="1" applyAlignment="1" applyProtection="1">
      <alignment horizontal="center"/>
      <protection hidden="1"/>
    </xf>
    <xf numFmtId="0" fontId="6" fillId="0" borderId="52" xfId="0" applyFont="1" applyBorder="1" applyAlignment="1" applyProtection="1">
      <alignment horizontal="left"/>
      <protection hidden="1"/>
    </xf>
    <xf numFmtId="0" fontId="6" fillId="0" borderId="0" xfId="0" applyFont="1" applyAlignment="1" applyProtection="1">
      <alignment horizontal="left"/>
      <protection hidden="1"/>
    </xf>
    <xf numFmtId="0" fontId="6" fillId="0" borderId="0" xfId="0" applyFont="1" applyAlignment="1" applyProtection="1">
      <alignment horizontal="right"/>
      <protection hidden="1"/>
    </xf>
    <xf numFmtId="0" fontId="6" fillId="0" borderId="0" xfId="0" applyFont="1" applyAlignment="1" applyProtection="1">
      <alignment horizontal="center"/>
      <protection hidden="1"/>
    </xf>
    <xf numFmtId="0" fontId="429" fillId="19" borderId="68" xfId="0" applyFont="1" applyFill="1" applyBorder="1" applyAlignment="1" applyProtection="1">
      <alignment horizontal="right" vertical="center" indent="1"/>
      <protection hidden="1"/>
    </xf>
    <xf numFmtId="0" fontId="429" fillId="19" borderId="66" xfId="0" applyFont="1" applyFill="1" applyBorder="1" applyAlignment="1" applyProtection="1">
      <alignment horizontal="right" vertical="center" indent="1"/>
      <protection hidden="1"/>
    </xf>
    <xf numFmtId="0" fontId="429" fillId="19" borderId="0" xfId="0" applyFont="1" applyFill="1" applyAlignment="1" applyProtection="1">
      <alignment horizontal="right" vertical="center" indent="1"/>
      <protection hidden="1"/>
    </xf>
    <xf numFmtId="0" fontId="431" fillId="19" borderId="75" xfId="0" applyFont="1" applyFill="1" applyBorder="1" applyAlignment="1" applyProtection="1">
      <alignment vertical="center"/>
      <protection hidden="1"/>
    </xf>
    <xf numFmtId="0" fontId="305" fillId="4" borderId="0" xfId="0" applyFont="1" applyFill="1" applyAlignment="1" applyProtection="1">
      <alignment vertical="center"/>
      <protection hidden="1"/>
    </xf>
    <xf numFmtId="0" fontId="280" fillId="19" borderId="68" xfId="0" applyFont="1" applyFill="1" applyBorder="1" applyAlignment="1" applyProtection="1">
      <alignment vertical="center"/>
      <protection hidden="1"/>
    </xf>
    <xf numFmtId="0" fontId="433" fillId="19" borderId="68" xfId="0" applyFont="1" applyFill="1" applyBorder="1" applyAlignment="1" applyProtection="1">
      <alignment horizontal="right" vertical="center"/>
      <protection hidden="1"/>
    </xf>
    <xf numFmtId="0" fontId="280" fillId="19" borderId="68" xfId="0" applyFont="1" applyFill="1" applyBorder="1" applyAlignment="1" applyProtection="1">
      <alignment horizontal="right" vertical="center" indent="1"/>
      <protection hidden="1"/>
    </xf>
    <xf numFmtId="0" fontId="15" fillId="0" borderId="0" xfId="0" applyFont="1" applyAlignment="1" applyProtection="1">
      <alignment horizontal="left" vertical="center"/>
      <protection hidden="1"/>
    </xf>
    <xf numFmtId="0" fontId="436" fillId="13" borderId="0" xfId="0" applyFont="1" applyFill="1" applyAlignment="1" applyProtection="1">
      <alignment horizontal="center" vertical="center"/>
      <protection hidden="1"/>
    </xf>
    <xf numFmtId="0" fontId="1" fillId="0" borderId="11" xfId="0" applyFont="1" applyBorder="1" applyAlignment="1" applyProtection="1">
      <alignment horizontal="center"/>
      <protection hidden="1"/>
    </xf>
    <xf numFmtId="0" fontId="129" fillId="0" borderId="2" xfId="0" applyFont="1" applyBorder="1" applyAlignment="1" applyProtection="1">
      <alignment horizontal="center"/>
      <protection hidden="1"/>
    </xf>
    <xf numFmtId="0" fontId="1" fillId="0" borderId="23" xfId="0" applyFont="1" applyBorder="1" applyAlignment="1" applyProtection="1">
      <alignment horizontal="center"/>
      <protection hidden="1"/>
    </xf>
    <xf numFmtId="0" fontId="314" fillId="4" borderId="0" xfId="0" applyFont="1" applyFill="1" applyAlignment="1" applyProtection="1">
      <alignment horizontal="center" vertical="center"/>
      <protection hidden="1"/>
    </xf>
    <xf numFmtId="0" fontId="439" fillId="19" borderId="75" xfId="0" applyFont="1" applyFill="1" applyBorder="1" applyAlignment="1" applyProtection="1">
      <alignment horizontal="left" vertical="center" indent="2"/>
      <protection hidden="1"/>
    </xf>
    <xf numFmtId="0" fontId="280" fillId="19" borderId="75" xfId="0" applyFont="1" applyFill="1" applyBorder="1" applyAlignment="1" applyProtection="1">
      <alignment vertical="center"/>
      <protection hidden="1"/>
    </xf>
    <xf numFmtId="0" fontId="23" fillId="0" borderId="52" xfId="0" applyFont="1" applyBorder="1" applyAlignment="1" applyProtection="1">
      <alignment horizontal="left"/>
      <protection hidden="1"/>
    </xf>
    <xf numFmtId="0" fontId="23" fillId="0" borderId="35" xfId="0" applyFont="1" applyBorder="1" applyAlignment="1" applyProtection="1">
      <alignment horizontal="left"/>
      <protection hidden="1"/>
    </xf>
    <xf numFmtId="0" fontId="60" fillId="0" borderId="51" xfId="0" applyFont="1" applyBorder="1" applyAlignment="1" applyProtection="1">
      <alignment horizontal="center" vertical="center"/>
      <protection hidden="1"/>
    </xf>
    <xf numFmtId="0" fontId="271" fillId="0" borderId="51" xfId="0" applyFont="1" applyBorder="1" applyAlignment="1" applyProtection="1">
      <alignment horizontal="left" vertical="center"/>
      <protection hidden="1"/>
    </xf>
    <xf numFmtId="0" fontId="271" fillId="0" borderId="34" xfId="0" applyFont="1" applyBorder="1" applyAlignment="1" applyProtection="1">
      <alignment horizontal="left" vertical="center"/>
      <protection hidden="1"/>
    </xf>
    <xf numFmtId="0" fontId="23" fillId="0" borderId="39" xfId="0" applyFont="1" applyBorder="1" applyAlignment="1" applyProtection="1">
      <alignment horizontal="left"/>
      <protection hidden="1"/>
    </xf>
    <xf numFmtId="0" fontId="271" fillId="0" borderId="104" xfId="0" applyFont="1" applyBorder="1" applyAlignment="1" applyProtection="1">
      <alignment horizontal="left" vertical="center"/>
      <protection hidden="1"/>
    </xf>
    <xf numFmtId="0" fontId="23" fillId="0" borderId="104" xfId="0" applyFont="1" applyBorder="1" applyAlignment="1" applyProtection="1">
      <alignment horizontal="left"/>
      <protection hidden="1"/>
    </xf>
    <xf numFmtId="0" fontId="23" fillId="0" borderId="33" xfId="0" applyFont="1" applyBorder="1" applyAlignment="1" applyProtection="1">
      <alignment horizontal="left"/>
      <protection hidden="1"/>
    </xf>
    <xf numFmtId="0" fontId="23" fillId="0" borderId="22" xfId="0" applyFont="1" applyBorder="1" applyAlignment="1" applyProtection="1">
      <alignment horizontal="left"/>
      <protection hidden="1"/>
    </xf>
    <xf numFmtId="0" fontId="117" fillId="4" borderId="0" xfId="0" applyFont="1" applyFill="1" applyAlignment="1" applyProtection="1">
      <alignment horizontal="left" vertical="center" indent="1"/>
      <protection hidden="1"/>
    </xf>
    <xf numFmtId="0" fontId="117" fillId="4" borderId="0" xfId="0" applyFont="1" applyFill="1" applyAlignment="1" applyProtection="1">
      <alignment horizontal="right" vertical="center" indent="1"/>
      <protection hidden="1"/>
    </xf>
    <xf numFmtId="0" fontId="40" fillId="0" borderId="0" xfId="0" applyFont="1" applyAlignment="1" applyProtection="1">
      <alignment vertical="center"/>
      <protection hidden="1"/>
    </xf>
    <xf numFmtId="0" fontId="40" fillId="0" borderId="39" xfId="0" applyFont="1" applyBorder="1" applyAlignment="1" applyProtection="1">
      <alignment vertical="center"/>
      <protection hidden="1"/>
    </xf>
    <xf numFmtId="0" fontId="40" fillId="0" borderId="104" xfId="0" applyFont="1" applyBorder="1" applyAlignment="1" applyProtection="1">
      <alignment vertical="center"/>
      <protection hidden="1"/>
    </xf>
    <xf numFmtId="0" fontId="169" fillId="4" borderId="0" xfId="0" applyFont="1" applyFill="1" applyAlignment="1" applyProtection="1">
      <alignment horizontal="right" vertical="center"/>
      <protection hidden="1"/>
    </xf>
    <xf numFmtId="0" fontId="169" fillId="4" borderId="0" xfId="0" applyFont="1" applyFill="1" applyAlignment="1" applyProtection="1">
      <alignment horizontal="left" vertical="center"/>
      <protection hidden="1"/>
    </xf>
    <xf numFmtId="0" fontId="232" fillId="4" borderId="0" xfId="0" applyFont="1" applyFill="1" applyAlignment="1" applyProtection="1">
      <alignment horizontal="center" vertical="center"/>
      <protection hidden="1"/>
    </xf>
    <xf numFmtId="0" fontId="21" fillId="4" borderId="0" xfId="0" applyFont="1" applyFill="1" applyAlignment="1" applyProtection="1">
      <alignment horizontal="right" vertical="center"/>
      <protection hidden="1"/>
    </xf>
    <xf numFmtId="0" fontId="21" fillId="4" borderId="0" xfId="0" applyFont="1" applyFill="1" applyAlignment="1" applyProtection="1">
      <alignment horizontal="center" vertical="center"/>
      <protection hidden="1"/>
    </xf>
    <xf numFmtId="9" fontId="250" fillId="0" borderId="0" xfId="0" applyNumberFormat="1" applyFont="1" applyAlignment="1" applyProtection="1">
      <alignment horizontal="center" vertical="center" wrapText="1"/>
      <protection hidden="1"/>
    </xf>
    <xf numFmtId="0" fontId="74" fillId="0" borderId="0" xfId="0" applyFont="1" applyAlignment="1" applyProtection="1">
      <alignment vertical="center"/>
      <protection locked="0"/>
    </xf>
    <xf numFmtId="0" fontId="104" fillId="0" borderId="0" xfId="0" applyFont="1" applyAlignment="1" applyProtection="1">
      <alignment horizontal="center"/>
      <protection hidden="1"/>
    </xf>
    <xf numFmtId="0" fontId="23" fillId="0" borderId="0" xfId="0" applyFont="1" applyAlignment="1" applyProtection="1">
      <alignment vertical="top" wrapText="1"/>
      <protection hidden="1"/>
    </xf>
    <xf numFmtId="0" fontId="23" fillId="0" borderId="16" xfId="0" applyFont="1" applyBorder="1" applyAlignment="1" applyProtection="1">
      <alignment vertical="top" wrapText="1"/>
      <protection hidden="1"/>
    </xf>
    <xf numFmtId="0" fontId="23" fillId="0" borderId="17" xfId="0" applyFont="1" applyBorder="1" applyAlignment="1" applyProtection="1">
      <alignment vertical="top" wrapText="1"/>
      <protection hidden="1"/>
    </xf>
    <xf numFmtId="0" fontId="23" fillId="0" borderId="18" xfId="0" applyFont="1" applyBorder="1" applyAlignment="1" applyProtection="1">
      <alignment vertical="top" wrapText="1"/>
      <protection hidden="1"/>
    </xf>
    <xf numFmtId="0" fontId="23" fillId="0" borderId="19" xfId="0" applyFont="1" applyBorder="1" applyAlignment="1" applyProtection="1">
      <alignment vertical="top" wrapText="1"/>
      <protection hidden="1"/>
    </xf>
    <xf numFmtId="0" fontId="23" fillId="0" borderId="20" xfId="0" applyFont="1" applyBorder="1" applyAlignment="1" applyProtection="1">
      <alignment vertical="top" wrapText="1"/>
      <protection hidden="1"/>
    </xf>
    <xf numFmtId="0" fontId="430" fillId="0" borderId="0" xfId="0" applyFont="1" applyAlignment="1" applyProtection="1">
      <alignment horizontal="center"/>
      <protection hidden="1"/>
    </xf>
    <xf numFmtId="0" fontId="1" fillId="20" borderId="0" xfId="0" applyFont="1" applyFill="1" applyProtection="1">
      <protection hidden="1"/>
    </xf>
    <xf numFmtId="0" fontId="49" fillId="17" borderId="42" xfId="0" applyFont="1" applyFill="1" applyBorder="1" applyProtection="1">
      <protection hidden="1"/>
    </xf>
    <xf numFmtId="0" fontId="49" fillId="17" borderId="285" xfId="0" applyFont="1" applyFill="1" applyBorder="1" applyProtection="1">
      <protection hidden="1"/>
    </xf>
    <xf numFmtId="0" fontId="49" fillId="17" borderId="45" xfId="0" applyFont="1" applyFill="1" applyBorder="1" applyProtection="1">
      <protection hidden="1"/>
    </xf>
    <xf numFmtId="0" fontId="49" fillId="17" borderId="286" xfId="0" applyFont="1" applyFill="1" applyBorder="1" applyProtection="1">
      <protection hidden="1"/>
    </xf>
    <xf numFmtId="0" fontId="49" fillId="17" borderId="73" xfId="0" applyFont="1" applyFill="1" applyBorder="1" applyProtection="1">
      <protection hidden="1"/>
    </xf>
    <xf numFmtId="0" fontId="133" fillId="17" borderId="285" xfId="0" applyFont="1" applyFill="1" applyBorder="1" applyProtection="1">
      <protection hidden="1"/>
    </xf>
    <xf numFmtId="0" fontId="1" fillId="15" borderId="90" xfId="0" applyFont="1" applyFill="1" applyBorder="1" applyAlignment="1" applyProtection="1">
      <alignment horizontal="center"/>
      <protection hidden="1"/>
    </xf>
    <xf numFmtId="0" fontId="1" fillId="15" borderId="91" xfId="0" applyFont="1" applyFill="1" applyBorder="1" applyAlignment="1" applyProtection="1">
      <alignment horizontal="center"/>
      <protection hidden="1"/>
    </xf>
    <xf numFmtId="0" fontId="259" fillId="15" borderId="91" xfId="0" quotePrefix="1" applyFont="1" applyFill="1" applyBorder="1" applyAlignment="1" applyProtection="1">
      <alignment horizontal="right" vertical="center"/>
      <protection hidden="1"/>
    </xf>
    <xf numFmtId="0" fontId="259" fillId="15" borderId="91" xfId="0" applyFont="1" applyFill="1" applyBorder="1" applyAlignment="1" applyProtection="1">
      <alignment horizontal="left" vertical="center"/>
      <protection hidden="1"/>
    </xf>
    <xf numFmtId="0" fontId="1" fillId="15" borderId="92" xfId="0" applyFont="1" applyFill="1" applyBorder="1" applyAlignment="1" applyProtection="1">
      <alignment horizontal="center"/>
      <protection hidden="1"/>
    </xf>
    <xf numFmtId="0" fontId="1" fillId="15" borderId="84" xfId="0" applyFont="1" applyFill="1" applyBorder="1" applyAlignment="1" applyProtection="1">
      <alignment horizontal="center"/>
      <protection hidden="1"/>
    </xf>
    <xf numFmtId="0" fontId="1" fillId="15" borderId="85" xfId="0" applyFont="1" applyFill="1" applyBorder="1" applyAlignment="1" applyProtection="1">
      <alignment horizontal="center"/>
      <protection hidden="1"/>
    </xf>
    <xf numFmtId="0" fontId="124" fillId="15" borderId="84" xfId="0" applyFont="1" applyFill="1" applyBorder="1" applyAlignment="1" applyProtection="1">
      <alignment vertical="center"/>
      <protection hidden="1"/>
    </xf>
    <xf numFmtId="0" fontId="281" fillId="15" borderId="86" xfId="0" applyFont="1" applyFill="1" applyBorder="1" applyAlignment="1" applyProtection="1">
      <alignment horizontal="center" vertical="center"/>
      <protection hidden="1"/>
    </xf>
    <xf numFmtId="0" fontId="265" fillId="15" borderId="88" xfId="0" applyFont="1" applyFill="1" applyBorder="1" applyAlignment="1" applyProtection="1">
      <alignment horizontal="center"/>
      <protection hidden="1"/>
    </xf>
    <xf numFmtId="0" fontId="138" fillId="17" borderId="71" xfId="0" applyFont="1" applyFill="1" applyBorder="1" applyAlignment="1" applyProtection="1">
      <alignment vertical="top"/>
      <protection hidden="1"/>
    </xf>
    <xf numFmtId="1" fontId="430" fillId="15" borderId="0" xfId="0" applyNumberFormat="1" applyFont="1" applyFill="1" applyAlignment="1" applyProtection="1">
      <alignment horizontal="center" vertical="center"/>
      <protection hidden="1"/>
    </xf>
    <xf numFmtId="0" fontId="455" fillId="15" borderId="0" xfId="0" applyFont="1" applyFill="1" applyAlignment="1" applyProtection="1">
      <alignment horizontal="center"/>
      <protection hidden="1"/>
    </xf>
    <xf numFmtId="0" fontId="363" fillId="15" borderId="0" xfId="0" applyFont="1" applyFill="1" applyAlignment="1" applyProtection="1">
      <alignment horizontal="center"/>
      <protection hidden="1"/>
    </xf>
    <xf numFmtId="0" fontId="391" fillId="15" borderId="93" xfId="0" applyFont="1" applyFill="1" applyBorder="1" applyAlignment="1" applyProtection="1">
      <alignment horizontal="center"/>
      <protection hidden="1"/>
    </xf>
    <xf numFmtId="1" fontId="391" fillId="15" borderId="93" xfId="0" applyNumberFormat="1" applyFont="1" applyFill="1" applyBorder="1" applyAlignment="1" applyProtection="1">
      <alignment horizontal="center"/>
      <protection hidden="1"/>
    </xf>
    <xf numFmtId="0" fontId="44" fillId="18" borderId="83" xfId="0" applyFont="1" applyFill="1" applyBorder="1" applyAlignment="1" applyProtection="1">
      <alignment horizontal="center" vertical="center"/>
      <protection hidden="1"/>
    </xf>
    <xf numFmtId="0" fontId="44" fillId="18" borderId="82" xfId="0" applyFont="1" applyFill="1" applyBorder="1" applyAlignment="1" applyProtection="1">
      <alignment horizontal="center" vertical="center"/>
      <protection hidden="1"/>
    </xf>
    <xf numFmtId="0" fontId="117" fillId="0" borderId="367" xfId="0" applyFont="1" applyBorder="1" applyAlignment="1" applyProtection="1">
      <alignment vertical="center"/>
      <protection locked="0"/>
    </xf>
    <xf numFmtId="0" fontId="117" fillId="0" borderId="367" xfId="0" applyFont="1" applyBorder="1" applyProtection="1">
      <protection locked="0"/>
    </xf>
    <xf numFmtId="0" fontId="169" fillId="23" borderId="146" xfId="0" applyFont="1" applyFill="1" applyBorder="1" applyAlignment="1" applyProtection="1">
      <alignment horizontal="right" vertical="center"/>
      <protection hidden="1"/>
    </xf>
    <xf numFmtId="0" fontId="169" fillId="23" borderId="146" xfId="0" applyFont="1" applyFill="1" applyBorder="1" applyAlignment="1" applyProtection="1">
      <alignment horizontal="center" vertical="center"/>
      <protection hidden="1"/>
    </xf>
    <xf numFmtId="0" fontId="458" fillId="4" borderId="0" xfId="0" applyFont="1" applyFill="1" applyAlignment="1" applyProtection="1">
      <alignment horizontal="center" vertical="center"/>
      <protection hidden="1"/>
    </xf>
    <xf numFmtId="0" fontId="127" fillId="0" borderId="0" xfId="0" applyFont="1" applyAlignment="1" applyProtection="1">
      <alignment horizontal="center" vertical="center"/>
      <protection hidden="1"/>
    </xf>
    <xf numFmtId="0" fontId="459" fillId="20" borderId="0" xfId="0" applyFont="1" applyFill="1" applyAlignment="1" applyProtection="1">
      <alignment horizontal="center" vertical="center"/>
      <protection hidden="1"/>
    </xf>
    <xf numFmtId="0" fontId="117" fillId="0" borderId="134" xfId="0" applyFont="1" applyBorder="1" applyProtection="1">
      <protection locked="0"/>
    </xf>
    <xf numFmtId="0" fontId="117" fillId="0" borderId="135" xfId="0" applyFont="1" applyBorder="1" applyProtection="1">
      <protection locked="0"/>
    </xf>
    <xf numFmtId="0" fontId="117" fillId="0" borderId="137" xfId="0" applyFont="1" applyBorder="1" applyProtection="1">
      <protection locked="0"/>
    </xf>
    <xf numFmtId="0" fontId="117" fillId="0" borderId="0" xfId="0" applyFont="1" applyAlignment="1" applyProtection="1">
      <alignment vertical="center"/>
      <protection locked="0"/>
    </xf>
    <xf numFmtId="0" fontId="1" fillId="0" borderId="137" xfId="0" applyFont="1" applyBorder="1" applyProtection="1">
      <protection locked="0"/>
    </xf>
    <xf numFmtId="0" fontId="117" fillId="0" borderId="139" xfId="0" applyFont="1" applyBorder="1" applyProtection="1">
      <protection locked="0"/>
    </xf>
    <xf numFmtId="0" fontId="460" fillId="23" borderId="146" xfId="0" applyFont="1" applyFill="1" applyBorder="1" applyAlignment="1" applyProtection="1">
      <alignment horizontal="center"/>
      <protection hidden="1"/>
    </xf>
    <xf numFmtId="0" fontId="169" fillId="23" borderId="146" xfId="0" applyFont="1" applyFill="1" applyBorder="1" applyAlignment="1" applyProtection="1">
      <alignment horizontal="left" vertical="top"/>
      <protection hidden="1"/>
    </xf>
    <xf numFmtId="0" fontId="90" fillId="4" borderId="0" xfId="0" applyFont="1" applyFill="1" applyAlignment="1" applyProtection="1">
      <alignment horizontal="right" vertical="center"/>
      <protection hidden="1"/>
    </xf>
    <xf numFmtId="0" fontId="17" fillId="4" borderId="0" xfId="0" applyFont="1" applyFill="1" applyAlignment="1" applyProtection="1">
      <alignment horizontal="left" vertical="center" indent="1"/>
      <protection hidden="1"/>
    </xf>
    <xf numFmtId="0" fontId="17" fillId="4" borderId="0" xfId="0" applyFont="1" applyFill="1" applyAlignment="1" applyProtection="1">
      <alignment horizontal="right" vertical="center" indent="1"/>
      <protection hidden="1"/>
    </xf>
    <xf numFmtId="0" fontId="113" fillId="0" borderId="0" xfId="0" applyFont="1" applyAlignment="1" applyProtection="1">
      <alignment horizontal="left" vertical="top"/>
      <protection hidden="1"/>
    </xf>
    <xf numFmtId="168" fontId="84" fillId="4" borderId="61" xfId="0" applyNumberFormat="1" applyFont="1" applyFill="1" applyBorder="1" applyAlignment="1" applyProtection="1">
      <alignment horizontal="center" vertical="top"/>
      <protection hidden="1"/>
    </xf>
    <xf numFmtId="0" fontId="463" fillId="4" borderId="61" xfId="0" applyFont="1" applyFill="1" applyBorder="1" applyAlignment="1" applyProtection="1">
      <alignment vertical="center"/>
      <protection hidden="1"/>
    </xf>
    <xf numFmtId="0" fontId="463" fillId="4" borderId="0" xfId="0" applyFont="1" applyFill="1" applyAlignment="1" applyProtection="1">
      <alignment horizontal="center" vertical="center"/>
      <protection hidden="1"/>
    </xf>
    <xf numFmtId="0" fontId="463" fillId="4" borderId="0" xfId="0" applyFont="1" applyFill="1" applyAlignment="1" applyProtection="1">
      <alignment vertical="center"/>
      <protection hidden="1"/>
    </xf>
    <xf numFmtId="0" fontId="84" fillId="4" borderId="0" xfId="0" applyFont="1" applyFill="1" applyAlignment="1" applyProtection="1">
      <alignment horizontal="center"/>
      <protection hidden="1"/>
    </xf>
    <xf numFmtId="168" fontId="84" fillId="4" borderId="0" xfId="0" applyNumberFormat="1" applyFont="1" applyFill="1" applyAlignment="1" applyProtection="1">
      <alignment horizontal="center" vertical="top"/>
      <protection hidden="1"/>
    </xf>
    <xf numFmtId="0" fontId="223" fillId="17" borderId="0" xfId="0" applyFont="1" applyFill="1" applyAlignment="1" applyProtection="1">
      <alignment vertical="center" wrapText="1"/>
      <protection hidden="1"/>
    </xf>
    <xf numFmtId="0" fontId="464" fillId="17" borderId="0" xfId="0" applyFont="1" applyFill="1" applyProtection="1">
      <protection hidden="1"/>
    </xf>
    <xf numFmtId="0" fontId="130" fillId="17" borderId="0" xfId="0" applyFont="1" applyFill="1" applyAlignment="1" applyProtection="1">
      <alignment horizontal="center" vertical="center" wrapText="1"/>
      <protection hidden="1"/>
    </xf>
    <xf numFmtId="168" fontId="113" fillId="0" borderId="32" xfId="0" applyNumberFormat="1" applyFont="1" applyBorder="1" applyAlignment="1" applyProtection="1">
      <alignment horizontal="center" vertical="center"/>
      <protection hidden="1"/>
    </xf>
    <xf numFmtId="168" fontId="1" fillId="0" borderId="132" xfId="0" applyNumberFormat="1" applyFont="1" applyBorder="1" applyAlignment="1" applyProtection="1">
      <alignment horizontal="center" vertical="center"/>
      <protection hidden="1"/>
    </xf>
    <xf numFmtId="0" fontId="49" fillId="0" borderId="0" xfId="0" applyFont="1" applyAlignment="1" applyProtection="1">
      <alignment horizontal="left" vertical="center"/>
      <protection hidden="1"/>
    </xf>
    <xf numFmtId="0" fontId="426" fillId="20" borderId="0" xfId="0" applyFont="1" applyFill="1" applyAlignment="1" applyProtection="1">
      <alignment horizontal="center" vertical="center"/>
      <protection hidden="1"/>
    </xf>
    <xf numFmtId="0" fontId="63" fillId="17" borderId="0" xfId="0" applyFont="1" applyFill="1" applyAlignment="1" applyProtection="1">
      <alignment horizontal="center" vertical="center"/>
      <protection hidden="1"/>
    </xf>
    <xf numFmtId="0" fontId="63" fillId="17" borderId="0" xfId="0" applyFont="1" applyFill="1" applyAlignment="1" applyProtection="1">
      <alignment vertical="center"/>
      <protection hidden="1"/>
    </xf>
    <xf numFmtId="0" fontId="138" fillId="17" borderId="0" xfId="0" applyFont="1" applyFill="1" applyAlignment="1" applyProtection="1">
      <alignment horizontal="left" indent="2"/>
      <protection hidden="1"/>
    </xf>
    <xf numFmtId="0" fontId="129" fillId="17" borderId="0" xfId="0" applyFont="1" applyFill="1" applyAlignment="1" applyProtection="1">
      <alignment horizontal="center"/>
      <protection hidden="1"/>
    </xf>
    <xf numFmtId="0" fontId="117" fillId="17" borderId="0" xfId="0" applyFont="1" applyFill="1" applyAlignment="1" applyProtection="1">
      <alignment vertical="top"/>
      <protection hidden="1"/>
    </xf>
    <xf numFmtId="0" fontId="117" fillId="17" borderId="0" xfId="0" applyFont="1" applyFill="1" applyAlignment="1" applyProtection="1">
      <alignment horizontal="right" vertical="top" indent="1"/>
      <protection hidden="1"/>
    </xf>
    <xf numFmtId="0" fontId="117" fillId="17" borderId="0" xfId="0" applyFont="1" applyFill="1" applyAlignment="1" applyProtection="1">
      <alignment horizontal="left" vertical="top" indent="1"/>
      <protection hidden="1"/>
    </xf>
    <xf numFmtId="0" fontId="1" fillId="17" borderId="0" xfId="0" applyFont="1" applyFill="1" applyProtection="1">
      <protection hidden="1"/>
    </xf>
    <xf numFmtId="0" fontId="169" fillId="17" borderId="0" xfId="0" applyFont="1" applyFill="1" applyProtection="1">
      <protection hidden="1"/>
    </xf>
    <xf numFmtId="0" fontId="60" fillId="17" borderId="0" xfId="0" applyFont="1" applyFill="1" applyAlignment="1" applyProtection="1">
      <alignment horizontal="center" vertical="top"/>
      <protection hidden="1"/>
    </xf>
    <xf numFmtId="0" fontId="390" fillId="20" borderId="0" xfId="0" applyFont="1" applyFill="1" applyAlignment="1" applyProtection="1">
      <alignment vertical="center"/>
      <protection hidden="1"/>
    </xf>
    <xf numFmtId="0" fontId="112" fillId="20" borderId="0" xfId="0" applyFont="1" applyFill="1" applyAlignment="1" applyProtection="1">
      <alignment horizontal="right" vertical="center" wrapText="1" indent="1"/>
      <protection hidden="1"/>
    </xf>
    <xf numFmtId="0" fontId="229" fillId="0" borderId="0" xfId="0" applyFont="1" applyAlignment="1" applyProtection="1">
      <alignment vertical="center"/>
      <protection hidden="1"/>
    </xf>
    <xf numFmtId="0" fontId="172" fillId="20" borderId="0" xfId="0" applyFont="1" applyFill="1" applyAlignment="1" applyProtection="1">
      <alignment wrapText="1"/>
      <protection hidden="1"/>
    </xf>
    <xf numFmtId="0" fontId="172" fillId="20" borderId="0" xfId="0" applyFont="1" applyFill="1" applyAlignment="1" applyProtection="1">
      <alignment vertical="top" wrapText="1"/>
      <protection hidden="1"/>
    </xf>
    <xf numFmtId="0" fontId="172" fillId="20" borderId="0" xfId="0" applyFont="1" applyFill="1" applyAlignment="1" applyProtection="1">
      <alignment horizontal="right" vertical="top"/>
      <protection hidden="1"/>
    </xf>
    <xf numFmtId="0" fontId="172" fillId="20" borderId="0" xfId="0" applyFont="1" applyFill="1" applyAlignment="1" applyProtection="1">
      <alignment horizontal="left" vertical="top"/>
      <protection hidden="1"/>
    </xf>
    <xf numFmtId="174" fontId="117" fillId="20" borderId="0" xfId="0" applyNumberFormat="1" applyFont="1" applyFill="1" applyAlignment="1" applyProtection="1">
      <alignment wrapText="1"/>
      <protection hidden="1"/>
    </xf>
    <xf numFmtId="0" fontId="459" fillId="20" borderId="156" xfId="0" applyFont="1" applyFill="1" applyBorder="1" applyAlignment="1" applyProtection="1">
      <alignment horizontal="center" vertical="center" wrapText="1"/>
      <protection hidden="1"/>
    </xf>
    <xf numFmtId="0" fontId="117" fillId="20" borderId="161" xfId="0" applyFont="1" applyFill="1" applyBorder="1" applyAlignment="1" applyProtection="1">
      <alignment horizontal="center" vertical="top"/>
      <protection hidden="1"/>
    </xf>
    <xf numFmtId="0" fontId="390" fillId="4" borderId="0" xfId="0" applyFont="1" applyFill="1" applyAlignment="1" applyProtection="1">
      <alignment vertical="center"/>
      <protection hidden="1"/>
    </xf>
    <xf numFmtId="0" fontId="172" fillId="4" borderId="0" xfId="0" applyFont="1" applyFill="1" applyAlignment="1" applyProtection="1">
      <alignment vertical="center" wrapText="1"/>
      <protection hidden="1"/>
    </xf>
    <xf numFmtId="0" fontId="414" fillId="4" borderId="0" xfId="0" applyFont="1" applyFill="1" applyAlignment="1" applyProtection="1">
      <alignment vertical="center"/>
      <protection hidden="1"/>
    </xf>
    <xf numFmtId="0" fontId="112" fillId="4" borderId="0" xfId="0" applyFont="1" applyFill="1" applyAlignment="1" applyProtection="1">
      <alignment horizontal="right" vertical="center" wrapText="1" indent="1"/>
      <protection hidden="1"/>
    </xf>
    <xf numFmtId="0" fontId="466" fillId="20" borderId="155" xfId="0" applyFont="1" applyFill="1" applyBorder="1" applyAlignment="1" applyProtection="1">
      <alignment horizontal="center" vertical="center" wrapText="1"/>
      <protection hidden="1"/>
    </xf>
    <xf numFmtId="0" fontId="466" fillId="20" borderId="157" xfId="0" applyFont="1" applyFill="1" applyBorder="1" applyAlignment="1" applyProtection="1">
      <alignment horizontal="center" vertical="center" wrapText="1"/>
      <protection hidden="1"/>
    </xf>
    <xf numFmtId="0" fontId="426" fillId="20" borderId="0" xfId="0" applyFont="1" applyFill="1" applyAlignment="1" applyProtection="1">
      <alignment vertical="center"/>
      <protection hidden="1"/>
    </xf>
    <xf numFmtId="0" fontId="403" fillId="20" borderId="0" xfId="0" applyFont="1" applyFill="1" applyAlignment="1" applyProtection="1">
      <alignment horizontal="center" vertical="center"/>
      <protection hidden="1"/>
    </xf>
    <xf numFmtId="0" fontId="466" fillId="20" borderId="160" xfId="0" applyFont="1" applyFill="1" applyBorder="1" applyAlignment="1" applyProtection="1">
      <alignment horizontal="center" vertical="center" wrapText="1"/>
      <protection hidden="1"/>
    </xf>
    <xf numFmtId="0" fontId="466" fillId="20" borderId="162" xfId="0" applyFont="1" applyFill="1" applyBorder="1" applyAlignment="1" applyProtection="1">
      <alignment horizontal="center" vertical="center" wrapText="1"/>
      <protection hidden="1"/>
    </xf>
    <xf numFmtId="0" fontId="21" fillId="0" borderId="0" xfId="0" applyFont="1" applyAlignment="1" applyProtection="1">
      <alignment horizontal="left"/>
      <protection hidden="1"/>
    </xf>
    <xf numFmtId="0" fontId="474" fillId="20" borderId="0" xfId="0" applyFont="1" applyFill="1" applyAlignment="1" applyProtection="1">
      <alignment horizontal="center" vertical="center"/>
      <protection hidden="1"/>
    </xf>
    <xf numFmtId="0" fontId="470" fillId="4" borderId="0" xfId="0" applyFont="1" applyFill="1" applyAlignment="1" applyProtection="1">
      <alignment vertical="center" wrapText="1"/>
      <protection hidden="1"/>
    </xf>
    <xf numFmtId="0" fontId="426" fillId="4" borderId="0" xfId="0" applyFont="1" applyFill="1" applyAlignment="1" applyProtection="1">
      <alignment vertical="center"/>
      <protection hidden="1"/>
    </xf>
    <xf numFmtId="0" fontId="169" fillId="4" borderId="0" xfId="0" applyFont="1" applyFill="1" applyAlignment="1" applyProtection="1">
      <alignment horizontal="center" vertical="center"/>
      <protection hidden="1"/>
    </xf>
    <xf numFmtId="0" fontId="250" fillId="14" borderId="0" xfId="0" applyFont="1" applyFill="1" applyAlignment="1" applyProtection="1">
      <alignment horizontal="right"/>
      <protection hidden="1"/>
    </xf>
    <xf numFmtId="0" fontId="250" fillId="14" borderId="0" xfId="0" applyFont="1" applyFill="1" applyAlignment="1" applyProtection="1">
      <alignment horizontal="center"/>
      <protection hidden="1"/>
    </xf>
    <xf numFmtId="0" fontId="250" fillId="14" borderId="0" xfId="0" applyFont="1" applyFill="1" applyAlignment="1" applyProtection="1">
      <alignment horizontal="left"/>
      <protection hidden="1"/>
    </xf>
    <xf numFmtId="0" fontId="487" fillId="14" borderId="0" xfId="0" applyFont="1" applyFill="1" applyAlignment="1" applyProtection="1">
      <alignment horizontal="center"/>
      <protection hidden="1"/>
    </xf>
    <xf numFmtId="169" fontId="117" fillId="20" borderId="0" xfId="0" applyNumberFormat="1" applyFont="1" applyFill="1" applyAlignment="1" applyProtection="1">
      <alignment vertical="center" wrapText="1"/>
      <protection hidden="1"/>
    </xf>
    <xf numFmtId="169" fontId="60" fillId="20" borderId="0" xfId="0" applyNumberFormat="1" applyFont="1" applyFill="1" applyAlignment="1" applyProtection="1">
      <alignment horizontal="center"/>
      <protection hidden="1"/>
    </xf>
    <xf numFmtId="0" fontId="117" fillId="23" borderId="146" xfId="0" applyFont="1" applyFill="1" applyBorder="1" applyAlignment="1" applyProtection="1">
      <alignment vertical="top" wrapText="1"/>
      <protection hidden="1"/>
    </xf>
    <xf numFmtId="0" fontId="423" fillId="23" borderId="146" xfId="0" applyFont="1" applyFill="1" applyBorder="1" applyAlignment="1" applyProtection="1">
      <alignment horizontal="center" vertical="center"/>
      <protection hidden="1"/>
    </xf>
    <xf numFmtId="0" fontId="406" fillId="4" borderId="0" xfId="0" applyFont="1" applyFill="1" applyAlignment="1" applyProtection="1">
      <alignment vertical="center"/>
      <protection hidden="1"/>
    </xf>
    <xf numFmtId="0" fontId="406" fillId="4" borderId="0" xfId="0" applyFont="1" applyFill="1" applyAlignment="1" applyProtection="1">
      <alignment horizontal="right" vertical="center"/>
      <protection hidden="1"/>
    </xf>
    <xf numFmtId="0" fontId="41" fillId="0" borderId="0" xfId="0" applyFont="1" applyProtection="1">
      <protection hidden="1"/>
    </xf>
    <xf numFmtId="0" fontId="41" fillId="20" borderId="0" xfId="0" applyFont="1" applyFill="1" applyAlignment="1" applyProtection="1">
      <alignment horizontal="left" indent="1"/>
      <protection hidden="1"/>
    </xf>
    <xf numFmtId="0" fontId="23" fillId="20" borderId="0" xfId="0" applyFont="1" applyFill="1" applyAlignment="1" applyProtection="1">
      <alignment vertical="center"/>
      <protection hidden="1"/>
    </xf>
    <xf numFmtId="0" fontId="132" fillId="20" borderId="0" xfId="0" applyFont="1" applyFill="1" applyAlignment="1" applyProtection="1">
      <alignment vertical="center"/>
      <protection hidden="1"/>
    </xf>
    <xf numFmtId="0" fontId="133" fillId="20" borderId="0" xfId="0" quotePrefix="1" applyFont="1" applyFill="1" applyAlignment="1" applyProtection="1">
      <alignment vertical="center"/>
      <protection hidden="1"/>
    </xf>
    <xf numFmtId="0" fontId="132" fillId="20" borderId="0" xfId="0" applyFont="1" applyFill="1" applyAlignment="1" applyProtection="1">
      <alignment horizontal="center" vertical="top"/>
      <protection hidden="1"/>
    </xf>
    <xf numFmtId="0" fontId="74" fillId="20" borderId="156" xfId="0" applyFont="1" applyFill="1" applyBorder="1" applyAlignment="1" applyProtection="1">
      <alignment horizontal="left"/>
      <protection hidden="1"/>
    </xf>
    <xf numFmtId="0" fontId="1" fillId="20" borderId="156" xfId="0" applyFont="1" applyFill="1" applyBorder="1" applyAlignment="1" applyProtection="1">
      <alignment horizontal="center"/>
      <protection hidden="1"/>
    </xf>
    <xf numFmtId="0" fontId="74" fillId="20" borderId="158" xfId="0" applyFont="1" applyFill="1" applyBorder="1" applyAlignment="1" applyProtection="1">
      <alignment horizontal="center"/>
      <protection hidden="1"/>
    </xf>
    <xf numFmtId="0" fontId="218" fillId="20" borderId="0" xfId="0" applyFont="1" applyFill="1" applyAlignment="1" applyProtection="1">
      <alignment vertical="center" wrapText="1"/>
      <protection hidden="1"/>
    </xf>
    <xf numFmtId="0" fontId="74" fillId="20" borderId="0" xfId="0" applyFont="1" applyFill="1" applyAlignment="1" applyProtection="1">
      <alignment horizontal="center"/>
      <protection hidden="1"/>
    </xf>
    <xf numFmtId="0" fontId="236" fillId="20" borderId="0" xfId="0" applyFont="1" applyFill="1" applyAlignment="1" applyProtection="1">
      <alignment vertical="center"/>
      <protection hidden="1"/>
    </xf>
    <xf numFmtId="0" fontId="74" fillId="20" borderId="160" xfId="0" applyFont="1" applyFill="1" applyBorder="1" applyAlignment="1" applyProtection="1">
      <alignment horizontal="center"/>
      <protection hidden="1"/>
    </xf>
    <xf numFmtId="0" fontId="74" fillId="20" borderId="161" xfId="0" applyFont="1" applyFill="1" applyBorder="1" applyAlignment="1" applyProtection="1">
      <alignment horizontal="center"/>
      <protection hidden="1"/>
    </xf>
    <xf numFmtId="0" fontId="232" fillId="20" borderId="0" xfId="0" applyFont="1" applyFill="1" applyAlignment="1" applyProtection="1">
      <alignment horizontal="center"/>
      <protection hidden="1"/>
    </xf>
    <xf numFmtId="0" fontId="23" fillId="20" borderId="0" xfId="0" applyFont="1" applyFill="1" applyProtection="1">
      <protection hidden="1"/>
    </xf>
    <xf numFmtId="0" fontId="23" fillId="20" borderId="0" xfId="0" quotePrefix="1" applyFont="1" applyFill="1" applyProtection="1">
      <protection hidden="1"/>
    </xf>
    <xf numFmtId="0" fontId="74" fillId="20" borderId="162" xfId="0" applyFont="1" applyFill="1" applyBorder="1" applyAlignment="1" applyProtection="1">
      <alignment horizontal="center"/>
      <protection hidden="1"/>
    </xf>
    <xf numFmtId="0" fontId="41" fillId="20" borderId="0" xfId="0" applyFont="1" applyFill="1" applyAlignment="1" applyProtection="1">
      <alignment vertical="center"/>
      <protection hidden="1"/>
    </xf>
    <xf numFmtId="4" fontId="323" fillId="0" borderId="51" xfId="2" applyNumberFormat="1" applyFont="1" applyBorder="1" applyAlignment="1" applyProtection="1">
      <protection hidden="1"/>
    </xf>
    <xf numFmtId="4" fontId="323" fillId="0" borderId="51" xfId="2" applyNumberFormat="1" applyFont="1" applyBorder="1" applyAlignment="1" applyProtection="1">
      <alignment horizontal="right"/>
      <protection hidden="1"/>
    </xf>
    <xf numFmtId="0" fontId="323" fillId="0" borderId="52" xfId="0" applyFont="1" applyBorder="1" applyProtection="1">
      <protection hidden="1"/>
    </xf>
    <xf numFmtId="170" fontId="41" fillId="20" borderId="192" xfId="2" applyNumberFormat="1" applyFont="1" applyFill="1" applyBorder="1" applyAlignment="1" applyProtection="1">
      <protection hidden="1"/>
    </xf>
    <xf numFmtId="0" fontId="323" fillId="0" borderId="0" xfId="0" applyFont="1" applyAlignment="1" applyProtection="1">
      <alignment horizontal="left" vertical="center"/>
      <protection hidden="1"/>
    </xf>
    <xf numFmtId="0" fontId="323" fillId="0" borderId="0" xfId="0" applyFont="1" applyAlignment="1" applyProtection="1">
      <alignment vertical="center"/>
      <protection hidden="1"/>
    </xf>
    <xf numFmtId="0" fontId="323" fillId="0" borderId="0" xfId="0" applyFont="1" applyAlignment="1" applyProtection="1">
      <alignment horizontal="right" vertical="center"/>
      <protection hidden="1"/>
    </xf>
    <xf numFmtId="0" fontId="258" fillId="0" borderId="0" xfId="0" applyFont="1" applyAlignment="1" applyProtection="1">
      <alignment vertical="center"/>
      <protection hidden="1"/>
    </xf>
    <xf numFmtId="0" fontId="131" fillId="0" borderId="0" xfId="0" applyFont="1" applyProtection="1">
      <protection hidden="1"/>
    </xf>
    <xf numFmtId="0" fontId="112" fillId="0" borderId="0" xfId="0" applyFont="1" applyAlignment="1" applyProtection="1">
      <alignment vertical="center" wrapText="1"/>
      <protection hidden="1"/>
    </xf>
    <xf numFmtId="0" fontId="37" fillId="0" borderId="0" xfId="0" applyFont="1" applyProtection="1">
      <protection hidden="1"/>
    </xf>
    <xf numFmtId="0" fontId="64" fillId="0" borderId="0" xfId="0" applyFont="1" applyAlignment="1" applyProtection="1">
      <alignment horizontal="left" vertical="center"/>
      <protection hidden="1"/>
    </xf>
    <xf numFmtId="0" fontId="112" fillId="4" borderId="155" xfId="0" applyFont="1" applyFill="1" applyBorder="1" applyAlignment="1" applyProtection="1">
      <alignment vertical="center" wrapText="1"/>
      <protection hidden="1"/>
    </xf>
    <xf numFmtId="0" fontId="112" fillId="4" borderId="156" xfId="0" applyFont="1" applyFill="1" applyBorder="1" applyAlignment="1" applyProtection="1">
      <alignment vertical="center" wrapText="1"/>
      <protection hidden="1"/>
    </xf>
    <xf numFmtId="0" fontId="459" fillId="4" borderId="156" xfId="0" applyFont="1" applyFill="1" applyBorder="1" applyAlignment="1" applyProtection="1">
      <alignment horizontal="center" vertical="center" wrapText="1"/>
      <protection hidden="1"/>
    </xf>
    <xf numFmtId="0" fontId="112" fillId="4" borderId="157" xfId="0" applyFont="1" applyFill="1" applyBorder="1" applyAlignment="1" applyProtection="1">
      <alignment vertical="center" wrapText="1"/>
      <protection hidden="1"/>
    </xf>
    <xf numFmtId="0" fontId="112" fillId="4" borderId="158" xfId="0" applyFont="1" applyFill="1" applyBorder="1" applyAlignment="1" applyProtection="1">
      <alignment vertical="center" wrapText="1"/>
      <protection hidden="1"/>
    </xf>
    <xf numFmtId="0" fontId="112" fillId="4" borderId="159" xfId="0" applyFont="1" applyFill="1" applyBorder="1" applyAlignment="1" applyProtection="1">
      <alignment vertical="center" wrapText="1"/>
      <protection hidden="1"/>
    </xf>
    <xf numFmtId="170" fontId="41" fillId="4" borderId="192" xfId="2" applyNumberFormat="1" applyFont="1" applyFill="1" applyBorder="1" applyAlignment="1" applyProtection="1">
      <protection hidden="1"/>
    </xf>
    <xf numFmtId="0" fontId="1" fillId="4" borderId="155" xfId="0" applyFont="1" applyFill="1" applyBorder="1" applyAlignment="1" applyProtection="1">
      <alignment horizontal="center"/>
      <protection hidden="1"/>
    </xf>
    <xf numFmtId="0" fontId="74" fillId="4" borderId="156" xfId="0" applyFont="1" applyFill="1" applyBorder="1" applyAlignment="1" applyProtection="1">
      <alignment horizontal="left"/>
      <protection hidden="1"/>
    </xf>
    <xf numFmtId="0" fontId="1" fillId="4" borderId="156" xfId="0" applyFont="1" applyFill="1" applyBorder="1" applyAlignment="1" applyProtection="1">
      <alignment horizontal="center"/>
      <protection hidden="1"/>
    </xf>
    <xf numFmtId="0" fontId="1" fillId="4" borderId="158" xfId="0" applyFont="1" applyFill="1" applyBorder="1" applyAlignment="1" applyProtection="1">
      <alignment horizontal="center"/>
      <protection hidden="1"/>
    </xf>
    <xf numFmtId="0" fontId="74" fillId="4" borderId="158" xfId="0" applyFont="1" applyFill="1" applyBorder="1" applyAlignment="1" applyProtection="1">
      <alignment horizontal="center"/>
      <protection hidden="1"/>
    </xf>
    <xf numFmtId="0" fontId="41" fillId="4" borderId="0" xfId="0" applyFont="1" applyFill="1" applyAlignment="1" applyProtection="1">
      <alignment horizontal="left" indent="1"/>
      <protection hidden="1"/>
    </xf>
    <xf numFmtId="0" fontId="1" fillId="4" borderId="157" xfId="0" applyFont="1" applyFill="1" applyBorder="1" applyAlignment="1" applyProtection="1">
      <alignment horizontal="center"/>
      <protection hidden="1"/>
    </xf>
    <xf numFmtId="0" fontId="1" fillId="4" borderId="159" xfId="0" applyFont="1" applyFill="1" applyBorder="1" applyAlignment="1" applyProtection="1">
      <alignment horizontal="center"/>
      <protection hidden="1"/>
    </xf>
    <xf numFmtId="0" fontId="386" fillId="4" borderId="0" xfId="0" applyFont="1" applyFill="1" applyAlignment="1" applyProtection="1">
      <alignment horizontal="right"/>
      <protection hidden="1"/>
    </xf>
    <xf numFmtId="0" fontId="41" fillId="4" borderId="0" xfId="0" applyFont="1" applyFill="1" applyAlignment="1" applyProtection="1">
      <alignment vertical="center"/>
      <protection hidden="1"/>
    </xf>
    <xf numFmtId="0" fontId="23" fillId="4" borderId="0" xfId="0" applyFont="1" applyFill="1" applyProtection="1">
      <protection hidden="1"/>
    </xf>
    <xf numFmtId="0" fontId="23" fillId="4" borderId="0" xfId="0" quotePrefix="1" applyFont="1" applyFill="1" applyProtection="1">
      <protection hidden="1"/>
    </xf>
    <xf numFmtId="0" fontId="74" fillId="4" borderId="0" xfId="0" applyFont="1" applyFill="1" applyAlignment="1" applyProtection="1">
      <alignment horizontal="center"/>
      <protection hidden="1"/>
    </xf>
    <xf numFmtId="0" fontId="236" fillId="4" borderId="0" xfId="0" applyFont="1" applyFill="1" applyAlignment="1" applyProtection="1">
      <alignment vertical="center"/>
      <protection hidden="1"/>
    </xf>
    <xf numFmtId="0" fontId="132" fillId="4" borderId="0" xfId="0" applyFont="1" applyFill="1" applyAlignment="1" applyProtection="1">
      <alignment vertical="center"/>
      <protection hidden="1"/>
    </xf>
    <xf numFmtId="0" fontId="133" fillId="4" borderId="0" xfId="0" quotePrefix="1" applyFont="1" applyFill="1" applyAlignment="1" applyProtection="1">
      <alignment vertical="center"/>
      <protection hidden="1"/>
    </xf>
    <xf numFmtId="0" fontId="132" fillId="4" borderId="0" xfId="0" applyFont="1" applyFill="1" applyAlignment="1" applyProtection="1">
      <alignment horizontal="center" vertical="top"/>
      <protection hidden="1"/>
    </xf>
    <xf numFmtId="0" fontId="74" fillId="4" borderId="160" xfId="0" applyFont="1" applyFill="1" applyBorder="1" applyAlignment="1" applyProtection="1">
      <alignment horizontal="center"/>
      <protection hidden="1"/>
    </xf>
    <xf numFmtId="0" fontId="74" fillId="4" borderId="161" xfId="0" applyFont="1" applyFill="1" applyBorder="1" applyAlignment="1" applyProtection="1">
      <alignment horizontal="center"/>
      <protection hidden="1"/>
    </xf>
    <xf numFmtId="0" fontId="74" fillId="4" borderId="162" xfId="0" applyFont="1" applyFill="1" applyBorder="1" applyAlignment="1" applyProtection="1">
      <alignment horizontal="center"/>
      <protection hidden="1"/>
    </xf>
    <xf numFmtId="0" fontId="23" fillId="0" borderId="318" xfId="0" applyFont="1" applyBorder="1" applyProtection="1">
      <protection hidden="1"/>
    </xf>
    <xf numFmtId="0" fontId="23" fillId="0" borderId="319" xfId="0" applyFont="1" applyBorder="1" applyAlignment="1" applyProtection="1">
      <alignment horizontal="left"/>
      <protection hidden="1"/>
    </xf>
    <xf numFmtId="0" fontId="63" fillId="0" borderId="319" xfId="0" applyFont="1" applyBorder="1" applyAlignment="1" applyProtection="1">
      <alignment horizontal="center" vertical="center"/>
      <protection hidden="1"/>
    </xf>
    <xf numFmtId="0" fontId="1" fillId="0" borderId="319" xfId="0" applyFont="1" applyBorder="1" applyAlignment="1" applyProtection="1">
      <alignment horizontal="center"/>
      <protection hidden="1"/>
    </xf>
    <xf numFmtId="0" fontId="258" fillId="0" borderId="319" xfId="0" applyFont="1" applyBorder="1" applyAlignment="1" applyProtection="1">
      <alignment vertical="center"/>
      <protection hidden="1"/>
    </xf>
    <xf numFmtId="0" fontId="37" fillId="0" borderId="319" xfId="0" applyFont="1" applyBorder="1" applyAlignment="1" applyProtection="1">
      <alignment vertical="center"/>
      <protection hidden="1"/>
    </xf>
    <xf numFmtId="0" fontId="258" fillId="0" borderId="320" xfId="0" applyFont="1" applyBorder="1" applyAlignment="1" applyProtection="1">
      <alignment vertical="center"/>
      <protection hidden="1"/>
    </xf>
    <xf numFmtId="0" fontId="23" fillId="0" borderId="321" xfId="0" applyFont="1" applyBorder="1" applyProtection="1">
      <protection hidden="1"/>
    </xf>
    <xf numFmtId="0" fontId="258" fillId="0" borderId="322" xfId="0" applyFont="1" applyBorder="1" applyAlignment="1" applyProtection="1">
      <alignment vertical="center"/>
      <protection hidden="1"/>
    </xf>
    <xf numFmtId="0" fontId="173" fillId="0" borderId="321" xfId="0" applyFont="1" applyBorder="1" applyAlignment="1" applyProtection="1">
      <alignment horizontal="left" vertical="center"/>
      <protection hidden="1"/>
    </xf>
    <xf numFmtId="0" fontId="105" fillId="0" borderId="322" xfId="0" applyFont="1" applyBorder="1" applyAlignment="1" applyProtection="1">
      <alignment horizontal="center"/>
      <protection hidden="1"/>
    </xf>
    <xf numFmtId="0" fontId="173" fillId="0" borderId="323" xfId="0" applyFont="1" applyBorder="1" applyAlignment="1" applyProtection="1">
      <alignment horizontal="left" vertical="center"/>
      <protection hidden="1"/>
    </xf>
    <xf numFmtId="4" fontId="101" fillId="0" borderId="324" xfId="2" applyNumberFormat="1" applyFont="1" applyBorder="1" applyAlignment="1" applyProtection="1">
      <protection hidden="1"/>
    </xf>
    <xf numFmtId="4" fontId="23" fillId="0" borderId="324" xfId="2" applyNumberFormat="1" applyFont="1" applyBorder="1" applyAlignment="1" applyProtection="1">
      <protection hidden="1"/>
    </xf>
    <xf numFmtId="0" fontId="173" fillId="0" borderId="324" xfId="0" applyFont="1" applyBorder="1" applyAlignment="1" applyProtection="1">
      <alignment horizontal="left" vertical="center"/>
      <protection hidden="1"/>
    </xf>
    <xf numFmtId="0" fontId="23" fillId="0" borderId="324" xfId="0" applyFont="1" applyBorder="1" applyAlignment="1" applyProtection="1">
      <alignment horizontal="left"/>
      <protection hidden="1"/>
    </xf>
    <xf numFmtId="2" fontId="258" fillId="0" borderId="324" xfId="2" applyNumberFormat="1" applyFont="1" applyBorder="1" applyAlignment="1" applyProtection="1">
      <protection hidden="1"/>
    </xf>
    <xf numFmtId="0" fontId="1" fillId="0" borderId="324" xfId="0" applyFont="1" applyBorder="1" applyAlignment="1" applyProtection="1">
      <alignment horizontal="center"/>
      <protection hidden="1"/>
    </xf>
    <xf numFmtId="0" fontId="23" fillId="0" borderId="324" xfId="0" applyFont="1" applyBorder="1" applyProtection="1">
      <protection hidden="1"/>
    </xf>
    <xf numFmtId="2" fontId="258" fillId="0" borderId="324" xfId="2" applyNumberFormat="1" applyFont="1" applyBorder="1" applyAlignment="1" applyProtection="1">
      <alignment horizontal="left" indent="1"/>
      <protection hidden="1"/>
    </xf>
    <xf numFmtId="0" fontId="105" fillId="0" borderId="324" xfId="0" applyFont="1" applyBorder="1" applyAlignment="1" applyProtection="1">
      <alignment horizontal="center"/>
      <protection hidden="1"/>
    </xf>
    <xf numFmtId="0" fontId="105" fillId="0" borderId="325" xfId="0" applyFont="1" applyBorder="1" applyAlignment="1" applyProtection="1">
      <alignment horizontal="center"/>
      <protection hidden="1"/>
    </xf>
    <xf numFmtId="0" fontId="168" fillId="20" borderId="0" xfId="0" applyFont="1" applyFill="1" applyAlignment="1" applyProtection="1">
      <alignment horizontal="left" vertical="center" indent="1"/>
      <protection hidden="1"/>
    </xf>
    <xf numFmtId="2" fontId="258" fillId="0" borderId="0" xfId="2" applyNumberFormat="1" applyFont="1" applyBorder="1" applyAlignment="1" applyProtection="1">
      <alignment horizontal="left"/>
      <protection hidden="1"/>
    </xf>
    <xf numFmtId="2" fontId="511" fillId="0" borderId="0" xfId="2" applyNumberFormat="1" applyFont="1" applyBorder="1" applyAlignment="1" applyProtection="1">
      <alignment horizontal="left"/>
      <protection hidden="1"/>
    </xf>
    <xf numFmtId="2" fontId="333" fillId="0" borderId="0" xfId="2" applyNumberFormat="1" applyFont="1" applyBorder="1" applyAlignment="1" applyProtection="1">
      <alignment horizontal="left"/>
      <protection hidden="1"/>
    </xf>
    <xf numFmtId="0" fontId="512" fillId="20" borderId="0" xfId="0" applyFont="1" applyFill="1" applyAlignment="1" applyProtection="1">
      <alignment horizontal="right"/>
      <protection hidden="1"/>
    </xf>
    <xf numFmtId="0" fontId="41" fillId="20" borderId="0" xfId="0" applyFont="1" applyFill="1" applyAlignment="1" applyProtection="1">
      <alignment horizontal="left" vertical="center" indent="1"/>
      <protection hidden="1"/>
    </xf>
    <xf numFmtId="0" fontId="1" fillId="20" borderId="0" xfId="0" applyFont="1" applyFill="1" applyAlignment="1" applyProtection="1">
      <alignment horizontal="left" vertical="center" indent="1"/>
      <protection hidden="1"/>
    </xf>
    <xf numFmtId="0" fontId="427" fillId="4" borderId="0" xfId="0" applyFont="1" applyFill="1" applyAlignment="1" applyProtection="1">
      <alignment horizontal="right"/>
      <protection hidden="1"/>
    </xf>
    <xf numFmtId="0" fontId="303" fillId="0" borderId="0" xfId="0" applyFont="1" applyAlignment="1" applyProtection="1">
      <alignment vertical="center"/>
      <protection hidden="1"/>
    </xf>
    <xf numFmtId="0" fontId="306" fillId="0" borderId="85" xfId="0" applyFont="1" applyBorder="1" applyAlignment="1" applyProtection="1">
      <alignment vertical="center"/>
      <protection hidden="1"/>
    </xf>
    <xf numFmtId="16" fontId="41" fillId="4" borderId="0" xfId="0" applyNumberFormat="1" applyFont="1" applyFill="1" applyProtection="1">
      <protection hidden="1"/>
    </xf>
    <xf numFmtId="0" fontId="269" fillId="19" borderId="375" xfId="0" applyFont="1" applyFill="1" applyBorder="1" applyAlignment="1" applyProtection="1">
      <alignment horizontal="right" vertical="center"/>
      <protection hidden="1"/>
    </xf>
    <xf numFmtId="0" fontId="269" fillId="19" borderId="376" xfId="0" applyFont="1" applyFill="1" applyBorder="1" applyAlignment="1" applyProtection="1">
      <alignment horizontal="right" vertical="center"/>
      <protection hidden="1"/>
    </xf>
    <xf numFmtId="0" fontId="269" fillId="19" borderId="197" xfId="0" applyFont="1" applyFill="1" applyBorder="1" applyAlignment="1" applyProtection="1">
      <alignment vertical="center"/>
      <protection hidden="1"/>
    </xf>
    <xf numFmtId="0" fontId="269" fillId="19" borderId="198" xfId="0" applyFont="1" applyFill="1" applyBorder="1" applyAlignment="1" applyProtection="1">
      <alignment vertical="center"/>
      <protection hidden="1"/>
    </xf>
    <xf numFmtId="0" fontId="269" fillId="19" borderId="199" xfId="0" applyFont="1" applyFill="1" applyBorder="1" applyAlignment="1" applyProtection="1">
      <alignment vertical="center"/>
      <protection hidden="1"/>
    </xf>
    <xf numFmtId="0" fontId="269" fillId="19" borderId="200" xfId="0" applyFont="1" applyFill="1" applyBorder="1" applyAlignment="1" applyProtection="1">
      <alignment vertical="center"/>
      <protection hidden="1"/>
    </xf>
    <xf numFmtId="0" fontId="269" fillId="19" borderId="0" xfId="0" applyFont="1" applyFill="1" applyAlignment="1" applyProtection="1">
      <alignment vertical="center"/>
      <protection hidden="1"/>
    </xf>
    <xf numFmtId="0" fontId="269" fillId="19" borderId="374" xfId="0" applyFont="1" applyFill="1" applyBorder="1" applyAlignment="1" applyProtection="1">
      <alignment vertical="center"/>
      <protection hidden="1"/>
    </xf>
    <xf numFmtId="0" fontId="269" fillId="19" borderId="377" xfId="0" applyFont="1" applyFill="1" applyBorder="1" applyAlignment="1" applyProtection="1">
      <alignment vertical="center"/>
      <protection hidden="1"/>
    </xf>
    <xf numFmtId="0" fontId="269" fillId="19" borderId="378" xfId="0" applyFont="1" applyFill="1" applyBorder="1" applyAlignment="1" applyProtection="1">
      <alignment vertical="center"/>
      <protection hidden="1"/>
    </xf>
    <xf numFmtId="0" fontId="269" fillId="19" borderId="379" xfId="0" applyFont="1" applyFill="1" applyBorder="1" applyAlignment="1" applyProtection="1">
      <alignment vertical="center"/>
      <protection hidden="1"/>
    </xf>
    <xf numFmtId="0" fontId="269" fillId="18" borderId="35" xfId="0" applyFont="1" applyFill="1" applyBorder="1" applyAlignment="1" applyProtection="1">
      <alignment vertical="center"/>
      <protection hidden="1"/>
    </xf>
    <xf numFmtId="0" fontId="269" fillId="18" borderId="51" xfId="0" applyFont="1" applyFill="1" applyBorder="1" applyAlignment="1" applyProtection="1">
      <alignment vertical="center"/>
      <protection hidden="1"/>
    </xf>
    <xf numFmtId="0" fontId="269" fillId="18" borderId="34" xfId="0" applyFont="1" applyFill="1" applyBorder="1" applyAlignment="1" applyProtection="1">
      <alignment vertical="center"/>
      <protection hidden="1"/>
    </xf>
    <xf numFmtId="0" fontId="269" fillId="18" borderId="39" xfId="0" applyFont="1" applyFill="1" applyBorder="1" applyAlignment="1" applyProtection="1">
      <alignment vertical="center"/>
      <protection hidden="1"/>
    </xf>
    <xf numFmtId="0" fontId="269" fillId="18" borderId="0" xfId="0" applyFont="1" applyFill="1" applyAlignment="1" applyProtection="1">
      <alignment vertical="center"/>
      <protection hidden="1"/>
    </xf>
    <xf numFmtId="0" fontId="269" fillId="18" borderId="104" xfId="0" applyFont="1" applyFill="1" applyBorder="1" applyAlignment="1" applyProtection="1">
      <alignment vertical="center"/>
      <protection hidden="1"/>
    </xf>
    <xf numFmtId="0" fontId="269" fillId="18" borderId="33" xfId="0" applyFont="1" applyFill="1" applyBorder="1" applyAlignment="1" applyProtection="1">
      <alignment vertical="center"/>
      <protection hidden="1"/>
    </xf>
    <xf numFmtId="0" fontId="269" fillId="18" borderId="52" xfId="0" applyFont="1" applyFill="1" applyBorder="1" applyAlignment="1" applyProtection="1">
      <alignment vertical="center"/>
      <protection hidden="1"/>
    </xf>
    <xf numFmtId="0" fontId="269" fillId="18" borderId="22" xfId="0" applyFont="1" applyFill="1" applyBorder="1" applyAlignment="1" applyProtection="1">
      <alignment vertical="center"/>
      <protection hidden="1"/>
    </xf>
    <xf numFmtId="0" fontId="244" fillId="17" borderId="0" xfId="0" applyFont="1" applyFill="1" applyAlignment="1" applyProtection="1">
      <alignment horizontal="center"/>
      <protection hidden="1"/>
    </xf>
    <xf numFmtId="0" fontId="1" fillId="17" borderId="172" xfId="0" applyFont="1" applyFill="1" applyBorder="1" applyAlignment="1" applyProtection="1">
      <alignment horizontal="center"/>
      <protection hidden="1"/>
    </xf>
    <xf numFmtId="0" fontId="74" fillId="17" borderId="173" xfId="0" applyFont="1" applyFill="1" applyBorder="1" applyAlignment="1" applyProtection="1">
      <alignment horizontal="left"/>
      <protection hidden="1"/>
    </xf>
    <xf numFmtId="0" fontId="74" fillId="17" borderId="173" xfId="0" applyFont="1" applyFill="1" applyBorder="1" applyAlignment="1" applyProtection="1">
      <alignment horizontal="center"/>
      <protection hidden="1"/>
    </xf>
    <xf numFmtId="0" fontId="1" fillId="17" borderId="173" xfId="0" applyFont="1" applyFill="1" applyBorder="1" applyAlignment="1" applyProtection="1">
      <alignment horizontal="center"/>
      <protection hidden="1"/>
    </xf>
    <xf numFmtId="0" fontId="1" fillId="17" borderId="174" xfId="0" applyFont="1" applyFill="1" applyBorder="1" applyAlignment="1" applyProtection="1">
      <alignment horizontal="center"/>
      <protection hidden="1"/>
    </xf>
    <xf numFmtId="0" fontId="1" fillId="17" borderId="175" xfId="0" applyFont="1" applyFill="1" applyBorder="1" applyAlignment="1" applyProtection="1">
      <alignment horizontal="center"/>
      <protection hidden="1"/>
    </xf>
    <xf numFmtId="0" fontId="1" fillId="17" borderId="176" xfId="0" applyFont="1" applyFill="1" applyBorder="1" applyAlignment="1" applyProtection="1">
      <alignment horizontal="center"/>
      <protection hidden="1"/>
    </xf>
    <xf numFmtId="0" fontId="74" fillId="17" borderId="175" xfId="0" applyFont="1" applyFill="1" applyBorder="1" applyAlignment="1" applyProtection="1">
      <alignment horizontal="center"/>
      <protection hidden="1"/>
    </xf>
    <xf numFmtId="0" fontId="74" fillId="17" borderId="176" xfId="0" applyFont="1" applyFill="1" applyBorder="1" applyAlignment="1" applyProtection="1">
      <alignment horizontal="center"/>
      <protection hidden="1"/>
    </xf>
    <xf numFmtId="0" fontId="74" fillId="17" borderId="177" xfId="0" applyFont="1" applyFill="1" applyBorder="1" applyAlignment="1" applyProtection="1">
      <alignment horizontal="center"/>
      <protection hidden="1"/>
    </xf>
    <xf numFmtId="0" fontId="74" fillId="17" borderId="178" xfId="0" applyFont="1" applyFill="1" applyBorder="1" applyAlignment="1" applyProtection="1">
      <alignment horizontal="center"/>
      <protection hidden="1"/>
    </xf>
    <xf numFmtId="0" fontId="74" fillId="17" borderId="179" xfId="0" applyFont="1" applyFill="1" applyBorder="1" applyAlignment="1" applyProtection="1">
      <alignment horizontal="center"/>
      <protection hidden="1"/>
    </xf>
    <xf numFmtId="0" fontId="233" fillId="17" borderId="0" xfId="0" applyFont="1" applyFill="1" applyAlignment="1" applyProtection="1">
      <alignment horizontal="center" vertical="center"/>
      <protection hidden="1"/>
    </xf>
    <xf numFmtId="0" fontId="74" fillId="17" borderId="0" xfId="0" applyFont="1" applyFill="1" applyAlignment="1" applyProtection="1">
      <alignment horizontal="center" vertical="center"/>
      <protection hidden="1"/>
    </xf>
    <xf numFmtId="0" fontId="74" fillId="17" borderId="0" xfId="0" applyFont="1" applyFill="1" applyAlignment="1" applyProtection="1">
      <alignment horizontal="right"/>
      <protection hidden="1"/>
    </xf>
    <xf numFmtId="0" fontId="269" fillId="18" borderId="146" xfId="0" applyFont="1" applyFill="1" applyBorder="1" applyAlignment="1" applyProtection="1">
      <alignment horizontal="right" vertical="center"/>
      <protection hidden="1"/>
    </xf>
    <xf numFmtId="0" fontId="524" fillId="18" borderId="146" xfId="0" applyFont="1" applyFill="1" applyBorder="1" applyAlignment="1" applyProtection="1">
      <alignment horizontal="center" vertical="center"/>
      <protection hidden="1"/>
    </xf>
    <xf numFmtId="0" fontId="525" fillId="0" borderId="0" xfId="0" applyFont="1" applyAlignment="1" applyProtection="1">
      <alignment horizontal="center" vertical="center"/>
      <protection hidden="1"/>
    </xf>
    <xf numFmtId="0" fontId="269" fillId="18" borderId="0" xfId="0" applyFont="1" applyFill="1" applyAlignment="1" applyProtection="1">
      <alignment horizontal="right" vertical="center"/>
      <protection hidden="1"/>
    </xf>
    <xf numFmtId="0" fontId="38" fillId="18" borderId="0" xfId="0" applyFont="1" applyFill="1" applyAlignment="1" applyProtection="1">
      <alignment horizontal="center" vertical="center"/>
      <protection hidden="1"/>
    </xf>
    <xf numFmtId="0" fontId="298" fillId="18" borderId="0" xfId="0" applyFont="1" applyFill="1" applyAlignment="1" applyProtection="1">
      <alignment horizontal="center" vertical="center"/>
      <protection hidden="1"/>
    </xf>
    <xf numFmtId="0" fontId="299" fillId="18" borderId="0" xfId="0" applyFont="1" applyFill="1" applyAlignment="1" applyProtection="1">
      <alignment horizontal="center" vertical="center"/>
      <protection hidden="1"/>
    </xf>
    <xf numFmtId="167" fontId="133" fillId="17" borderId="0" xfId="0" applyNumberFormat="1" applyFont="1" applyFill="1" applyProtection="1">
      <protection hidden="1"/>
    </xf>
    <xf numFmtId="0" fontId="244" fillId="17" borderId="175" xfId="0" applyFont="1" applyFill="1" applyBorder="1" applyAlignment="1" applyProtection="1">
      <alignment horizontal="center"/>
      <protection hidden="1"/>
    </xf>
    <xf numFmtId="0" fontId="523" fillId="19" borderId="197" xfId="0" applyFont="1" applyFill="1" applyBorder="1" applyAlignment="1" applyProtection="1">
      <alignment vertical="center" textRotation="255"/>
      <protection hidden="1"/>
    </xf>
    <xf numFmtId="0" fontId="523" fillId="19" borderId="198" xfId="0" applyFont="1" applyFill="1" applyBorder="1" applyAlignment="1" applyProtection="1">
      <alignment vertical="center" textRotation="255"/>
      <protection hidden="1"/>
    </xf>
    <xf numFmtId="0" fontId="523" fillId="19" borderId="199" xfId="0" applyFont="1" applyFill="1" applyBorder="1" applyAlignment="1" applyProtection="1">
      <alignment vertical="center" textRotation="255"/>
      <protection hidden="1"/>
    </xf>
    <xf numFmtId="0" fontId="523" fillId="19" borderId="200" xfId="0" applyFont="1" applyFill="1" applyBorder="1" applyAlignment="1" applyProtection="1">
      <alignment vertical="center" textRotation="255"/>
      <protection hidden="1"/>
    </xf>
    <xf numFmtId="0" fontId="523" fillId="19" borderId="0" xfId="0" applyFont="1" applyFill="1" applyAlignment="1" applyProtection="1">
      <alignment vertical="center" textRotation="255"/>
      <protection hidden="1"/>
    </xf>
    <xf numFmtId="0" fontId="523" fillId="19" borderId="374" xfId="0" applyFont="1" applyFill="1" applyBorder="1" applyAlignment="1" applyProtection="1">
      <alignment vertical="center" textRotation="255"/>
      <protection hidden="1"/>
    </xf>
    <xf numFmtId="0" fontId="41" fillId="4" borderId="0" xfId="0" applyFont="1" applyFill="1" applyAlignment="1" applyProtection="1">
      <alignment horizontal="left"/>
      <protection hidden="1"/>
    </xf>
    <xf numFmtId="0" fontId="23" fillId="19" borderId="0" xfId="0" applyFont="1" applyFill="1" applyAlignment="1" applyProtection="1">
      <alignment horizontal="left"/>
      <protection hidden="1"/>
    </xf>
    <xf numFmtId="0" fontId="41" fillId="19" borderId="0" xfId="0" applyFont="1" applyFill="1" applyAlignment="1" applyProtection="1">
      <alignment horizontal="left"/>
      <protection hidden="1"/>
    </xf>
    <xf numFmtId="0" fontId="117" fillId="19" borderId="0" xfId="0" applyFont="1" applyFill="1" applyAlignment="1" applyProtection="1">
      <alignment horizontal="left"/>
      <protection hidden="1"/>
    </xf>
    <xf numFmtId="0" fontId="117" fillId="19" borderId="0" xfId="0" applyFont="1" applyFill="1" applyProtection="1">
      <protection hidden="1"/>
    </xf>
    <xf numFmtId="0" fontId="1" fillId="19" borderId="0" xfId="0" applyFont="1" applyFill="1" applyProtection="1">
      <protection hidden="1"/>
    </xf>
    <xf numFmtId="0" fontId="41" fillId="0" borderId="0" xfId="0" applyFont="1" applyAlignment="1" applyProtection="1">
      <alignment horizontal="left"/>
      <protection hidden="1"/>
    </xf>
    <xf numFmtId="1" fontId="131" fillId="0" borderId="0" xfId="0" applyNumberFormat="1" applyFont="1" applyAlignment="1" applyProtection="1">
      <alignment horizontal="left"/>
      <protection hidden="1"/>
    </xf>
    <xf numFmtId="0" fontId="69" fillId="0" borderId="0" xfId="0" applyFont="1" applyProtection="1">
      <protection hidden="1"/>
    </xf>
    <xf numFmtId="0" fontId="41" fillId="0" borderId="263" xfId="0" applyFont="1" applyBorder="1" applyProtection="1">
      <protection hidden="1"/>
    </xf>
    <xf numFmtId="0" fontId="41" fillId="0" borderId="264" xfId="0" applyFont="1" applyBorder="1" applyProtection="1">
      <protection hidden="1"/>
    </xf>
    <xf numFmtId="0" fontId="132" fillId="17" borderId="309" xfId="0" applyFont="1" applyFill="1" applyBorder="1" applyAlignment="1" applyProtection="1">
      <alignment vertical="center"/>
      <protection hidden="1"/>
    </xf>
    <xf numFmtId="0" fontId="132" fillId="17" borderId="220" xfId="0" applyFont="1" applyFill="1" applyBorder="1" applyAlignment="1" applyProtection="1">
      <alignment vertical="center"/>
      <protection hidden="1"/>
    </xf>
    <xf numFmtId="0" fontId="232" fillId="17" borderId="53" xfId="0" applyFont="1" applyFill="1" applyBorder="1" applyAlignment="1" applyProtection="1">
      <alignment horizontal="center"/>
      <protection hidden="1"/>
    </xf>
    <xf numFmtId="0" fontId="132" fillId="17" borderId="310" xfId="0" applyFont="1" applyFill="1" applyBorder="1" applyAlignment="1" applyProtection="1">
      <alignment vertical="center"/>
      <protection hidden="1"/>
    </xf>
    <xf numFmtId="0" fontId="132" fillId="17" borderId="311" xfId="0" applyFont="1" applyFill="1" applyBorder="1" applyAlignment="1" applyProtection="1">
      <alignment vertical="center"/>
      <protection hidden="1"/>
    </xf>
    <xf numFmtId="0" fontId="132" fillId="17" borderId="312" xfId="0" applyFont="1" applyFill="1" applyBorder="1" applyAlignment="1" applyProtection="1">
      <alignment vertical="center"/>
      <protection hidden="1"/>
    </xf>
    <xf numFmtId="0" fontId="232" fillId="17" borderId="178" xfId="0" applyFont="1" applyFill="1" applyBorder="1" applyAlignment="1" applyProtection="1">
      <alignment horizontal="center"/>
      <protection hidden="1"/>
    </xf>
    <xf numFmtId="0" fontId="383" fillId="17" borderId="178" xfId="0" applyFont="1" applyFill="1" applyBorder="1" applyAlignment="1" applyProtection="1">
      <alignment horizontal="center" vertical="center"/>
      <protection hidden="1"/>
    </xf>
    <xf numFmtId="0" fontId="132" fillId="17" borderId="179" xfId="0" applyFont="1" applyFill="1" applyBorder="1" applyAlignment="1" applyProtection="1">
      <alignment vertical="center"/>
      <protection hidden="1"/>
    </xf>
    <xf numFmtId="1" fontId="244" fillId="17" borderId="42" xfId="0" applyNumberFormat="1" applyFont="1" applyFill="1" applyBorder="1" applyProtection="1">
      <protection hidden="1"/>
    </xf>
    <xf numFmtId="1" fontId="244" fillId="17" borderId="80" xfId="0" applyNumberFormat="1" applyFont="1" applyFill="1" applyBorder="1" applyProtection="1">
      <protection hidden="1"/>
    </xf>
    <xf numFmtId="0" fontId="266" fillId="4" borderId="0" xfId="0" applyFont="1" applyFill="1" applyAlignment="1" applyProtection="1">
      <alignment horizontal="left"/>
      <protection hidden="1"/>
    </xf>
    <xf numFmtId="0" fontId="529" fillId="4" borderId="0" xfId="0" applyFont="1" applyFill="1" applyAlignment="1" applyProtection="1">
      <alignment horizontal="center"/>
      <protection hidden="1"/>
    </xf>
    <xf numFmtId="0" fontId="533" fillId="3" borderId="0" xfId="0" applyFont="1" applyFill="1" applyAlignment="1" applyProtection="1">
      <alignment vertical="center"/>
      <protection hidden="1"/>
    </xf>
    <xf numFmtId="0" fontId="534" fillId="3" borderId="0" xfId="0" applyFont="1" applyFill="1" applyAlignment="1" applyProtection="1">
      <alignment vertical="center"/>
      <protection hidden="1"/>
    </xf>
    <xf numFmtId="0" fontId="538" fillId="3" borderId="0" xfId="0" applyFont="1" applyFill="1" applyAlignment="1" applyProtection="1">
      <alignment vertical="center"/>
      <protection hidden="1"/>
    </xf>
    <xf numFmtId="0" fontId="540" fillId="3" borderId="0" xfId="0" applyFont="1" applyFill="1" applyAlignment="1" applyProtection="1">
      <alignment vertical="center"/>
      <protection hidden="1"/>
    </xf>
    <xf numFmtId="0" fontId="539" fillId="3" borderId="0" xfId="0" applyFont="1" applyFill="1" applyAlignment="1" applyProtection="1">
      <alignment vertical="center"/>
      <protection hidden="1"/>
    </xf>
    <xf numFmtId="0" fontId="132" fillId="20" borderId="0" xfId="0" applyFont="1" applyFill="1" applyAlignment="1" applyProtection="1">
      <alignment horizontal="center" vertical="center"/>
      <protection hidden="1"/>
    </xf>
    <xf numFmtId="0" fontId="349" fillId="20" borderId="0" xfId="0" applyFont="1" applyFill="1" applyAlignment="1" applyProtection="1">
      <alignment horizontal="center"/>
      <protection hidden="1"/>
    </xf>
    <xf numFmtId="0" fontId="308" fillId="23" borderId="146" xfId="0" quotePrefix="1" applyFont="1" applyFill="1" applyBorder="1" applyAlignment="1" applyProtection="1">
      <alignment horizontal="center" vertical="center" wrapText="1"/>
      <protection hidden="1"/>
    </xf>
    <xf numFmtId="0" fontId="308" fillId="23" borderId="146" xfId="0" applyFont="1" applyFill="1" applyBorder="1" applyAlignment="1" applyProtection="1">
      <alignment horizontal="center" vertical="center" wrapText="1"/>
      <protection hidden="1"/>
    </xf>
    <xf numFmtId="0" fontId="101" fillId="17" borderId="146" xfId="0" applyFont="1" applyFill="1" applyBorder="1" applyAlignment="1" applyProtection="1">
      <alignment horizontal="center" vertical="center"/>
      <protection locked="0"/>
    </xf>
    <xf numFmtId="0" fontId="172" fillId="0" borderId="146" xfId="0" applyFont="1" applyBorder="1" applyAlignment="1" applyProtection="1">
      <alignment horizontal="left" vertical="center"/>
      <protection hidden="1"/>
    </xf>
    <xf numFmtId="0" fontId="172" fillId="0" borderId="146" xfId="0" applyFont="1" applyBorder="1" applyAlignment="1" applyProtection="1">
      <alignment horizontal="center" vertical="center" wrapText="1"/>
      <protection hidden="1"/>
    </xf>
    <xf numFmtId="0" fontId="172" fillId="0" borderId="146" xfId="0" applyFont="1" applyBorder="1" applyAlignment="1" applyProtection="1">
      <alignment horizontal="right" vertical="center"/>
      <protection hidden="1"/>
    </xf>
    <xf numFmtId="1" fontId="104" fillId="4" borderId="0" xfId="0" applyNumberFormat="1" applyFont="1" applyFill="1" applyAlignment="1" applyProtection="1">
      <alignment horizontal="center"/>
      <protection hidden="1"/>
    </xf>
    <xf numFmtId="0" fontId="63" fillId="18" borderId="0" xfId="0" applyFont="1" applyFill="1" applyAlignment="1" applyProtection="1">
      <alignment vertical="center"/>
      <protection hidden="1"/>
    </xf>
    <xf numFmtId="0" fontId="1" fillId="18" borderId="39" xfId="0" applyFont="1" applyFill="1" applyBorder="1" applyAlignment="1" applyProtection="1">
      <alignment horizontal="center"/>
      <protection hidden="1"/>
    </xf>
    <xf numFmtId="0" fontId="1" fillId="18" borderId="316" xfId="0" applyFont="1" applyFill="1" applyBorder="1" applyAlignment="1" applyProtection="1">
      <alignment horizontal="center"/>
      <protection hidden="1"/>
    </xf>
    <xf numFmtId="168" fontId="170" fillId="0" borderId="0" xfId="0" applyNumberFormat="1" applyFont="1" applyAlignment="1" applyProtection="1">
      <alignment vertical="center"/>
      <protection hidden="1"/>
    </xf>
    <xf numFmtId="0" fontId="1" fillId="0" borderId="314" xfId="0" applyFont="1" applyBorder="1" applyAlignment="1" applyProtection="1">
      <alignment horizontal="center"/>
      <protection hidden="1"/>
    </xf>
    <xf numFmtId="0" fontId="23" fillId="0" borderId="247" xfId="0" applyFont="1" applyBorder="1" applyAlignment="1" applyProtection="1">
      <alignment horizontal="left"/>
      <protection locked="0"/>
    </xf>
    <xf numFmtId="0" fontId="1" fillId="0" borderId="247" xfId="0" applyFont="1" applyBorder="1" applyProtection="1">
      <protection locked="0"/>
    </xf>
    <xf numFmtId="0" fontId="117" fillId="0" borderId="247" xfId="0" applyFont="1" applyBorder="1" applyProtection="1">
      <protection locked="0"/>
    </xf>
    <xf numFmtId="0" fontId="68" fillId="0" borderId="247" xfId="0" applyFont="1" applyBorder="1" applyProtection="1">
      <protection hidden="1"/>
    </xf>
    <xf numFmtId="0" fontId="68" fillId="0" borderId="249" xfId="0" applyFont="1" applyBorder="1" applyProtection="1">
      <protection hidden="1"/>
    </xf>
    <xf numFmtId="0" fontId="1" fillId="0" borderId="294" xfId="0" applyFont="1" applyBorder="1" applyProtection="1">
      <protection hidden="1"/>
    </xf>
    <xf numFmtId="0" fontId="1" fillId="0" borderId="316" xfId="0" applyFont="1" applyBorder="1" applyAlignment="1" applyProtection="1">
      <alignment horizontal="center"/>
      <protection hidden="1"/>
    </xf>
    <xf numFmtId="0" fontId="23" fillId="0" borderId="166" xfId="0" applyFont="1" applyBorder="1" applyAlignment="1" applyProtection="1">
      <alignment horizontal="left"/>
      <protection locked="0"/>
    </xf>
    <xf numFmtId="0" fontId="1" fillId="0" borderId="166" xfId="0" applyFont="1" applyBorder="1" applyProtection="1">
      <protection locked="0"/>
    </xf>
    <xf numFmtId="0" fontId="117" fillId="0" borderId="166" xfId="0" applyFont="1" applyBorder="1" applyProtection="1">
      <protection locked="0"/>
    </xf>
    <xf numFmtId="0" fontId="37" fillId="0" borderId="251" xfId="0" applyFont="1" applyBorder="1" applyAlignment="1" applyProtection="1">
      <alignment vertical="top"/>
      <protection hidden="1"/>
    </xf>
    <xf numFmtId="0" fontId="49" fillId="17" borderId="71" xfId="0" applyFont="1" applyFill="1" applyBorder="1" applyAlignment="1" applyProtection="1">
      <alignment horizontal="left" indent="1"/>
      <protection hidden="1"/>
    </xf>
    <xf numFmtId="0" fontId="347" fillId="17" borderId="85" xfId="0" applyFont="1" applyFill="1" applyBorder="1" applyAlignment="1" applyProtection="1">
      <alignment horizontal="center"/>
      <protection hidden="1"/>
    </xf>
    <xf numFmtId="0" fontId="232" fillId="20" borderId="84" xfId="0" applyFont="1" applyFill="1" applyBorder="1" applyAlignment="1" applyProtection="1">
      <alignment horizontal="center"/>
      <protection hidden="1"/>
    </xf>
    <xf numFmtId="0" fontId="132" fillId="20" borderId="0" xfId="0" applyFont="1" applyFill="1" applyAlignment="1" applyProtection="1">
      <alignment vertical="top"/>
      <protection hidden="1"/>
    </xf>
    <xf numFmtId="0" fontId="232" fillId="20" borderId="85" xfId="0" applyFont="1" applyFill="1" applyBorder="1" applyAlignment="1" applyProtection="1">
      <alignment horizontal="center"/>
      <protection hidden="1"/>
    </xf>
    <xf numFmtId="0" fontId="232" fillId="20" borderId="86" xfId="0" applyFont="1" applyFill="1" applyBorder="1" applyAlignment="1" applyProtection="1">
      <alignment horizontal="center"/>
      <protection hidden="1"/>
    </xf>
    <xf numFmtId="0" fontId="232" fillId="20" borderId="93" xfId="0" applyFont="1" applyFill="1" applyBorder="1" applyAlignment="1" applyProtection="1">
      <alignment horizontal="center"/>
      <protection hidden="1"/>
    </xf>
    <xf numFmtId="0" fontId="232" fillId="20" borderId="88" xfId="0" applyFont="1" applyFill="1" applyBorder="1" applyAlignment="1" applyProtection="1">
      <alignment horizontal="center"/>
      <protection hidden="1"/>
    </xf>
    <xf numFmtId="0" fontId="132" fillId="17" borderId="220" xfId="0" applyFont="1" applyFill="1" applyBorder="1" applyAlignment="1" applyProtection="1">
      <alignment horizontal="center" vertical="center"/>
      <protection hidden="1"/>
    </xf>
    <xf numFmtId="0" fontId="130" fillId="17" borderId="307" xfId="1" applyNumberFormat="1" applyFont="1" applyFill="1" applyBorder="1" applyAlignment="1" applyProtection="1">
      <alignment horizontal="center"/>
      <protection hidden="1"/>
    </xf>
    <xf numFmtId="0" fontId="165" fillId="17" borderId="308" xfId="0" applyFont="1" applyFill="1" applyBorder="1" applyAlignment="1" applyProtection="1">
      <alignment horizontal="center" vertical="center"/>
      <protection hidden="1"/>
    </xf>
    <xf numFmtId="0" fontId="474" fillId="20" borderId="0" xfId="0" applyFont="1" applyFill="1" applyAlignment="1" applyProtection="1">
      <alignment vertical="top"/>
      <protection hidden="1"/>
    </xf>
    <xf numFmtId="0" fontId="545" fillId="20" borderId="0" xfId="0" applyFont="1" applyFill="1" applyAlignment="1" applyProtection="1">
      <alignment horizontal="right"/>
      <protection hidden="1"/>
    </xf>
    <xf numFmtId="0" fontId="545" fillId="20" borderId="0" xfId="0" applyFont="1" applyFill="1" applyAlignment="1" applyProtection="1">
      <alignment horizontal="center"/>
      <protection hidden="1"/>
    </xf>
    <xf numFmtId="0" fontId="545" fillId="20" borderId="0" xfId="0" applyFont="1" applyFill="1" applyAlignment="1" applyProtection="1">
      <alignment horizontal="left"/>
      <protection hidden="1"/>
    </xf>
    <xf numFmtId="0" fontId="130" fillId="17" borderId="308" xfId="0" applyFont="1" applyFill="1" applyBorder="1" applyAlignment="1" applyProtection="1">
      <alignment horizontal="center"/>
      <protection hidden="1"/>
    </xf>
    <xf numFmtId="0" fontId="130" fillId="17" borderId="310" xfId="0" applyFont="1" applyFill="1" applyBorder="1" applyAlignment="1" applyProtection="1">
      <alignment horizontal="center"/>
      <protection hidden="1"/>
    </xf>
    <xf numFmtId="0" fontId="300" fillId="17" borderId="53" xfId="0" applyFont="1" applyFill="1" applyBorder="1" applyAlignment="1" applyProtection="1">
      <alignment horizontal="center"/>
      <protection hidden="1"/>
    </xf>
    <xf numFmtId="0" fontId="130" fillId="17" borderId="0" xfId="0" applyFont="1" applyFill="1" applyAlignment="1" applyProtection="1">
      <alignment horizontal="right"/>
      <protection hidden="1"/>
    </xf>
    <xf numFmtId="0" fontId="130" fillId="17" borderId="85" xfId="0" applyFont="1" applyFill="1" applyBorder="1" applyAlignment="1" applyProtection="1">
      <alignment horizontal="center"/>
      <protection hidden="1"/>
    </xf>
    <xf numFmtId="0" fontId="235" fillId="20" borderId="153" xfId="0" applyFont="1" applyFill="1" applyBorder="1" applyAlignment="1" applyProtection="1">
      <alignment vertical="center"/>
      <protection hidden="1"/>
    </xf>
    <xf numFmtId="0" fontId="235" fillId="20" borderId="365" xfId="0" applyFont="1" applyFill="1" applyBorder="1" applyAlignment="1" applyProtection="1">
      <alignment vertical="center"/>
      <protection hidden="1"/>
    </xf>
    <xf numFmtId="0" fontId="235" fillId="20" borderId="154" xfId="0" applyFont="1" applyFill="1" applyBorder="1" applyAlignment="1" applyProtection="1">
      <alignment vertical="center"/>
      <protection hidden="1"/>
    </xf>
    <xf numFmtId="0" fontId="235" fillId="20" borderId="266" xfId="0" applyFont="1" applyFill="1" applyBorder="1" applyAlignment="1" applyProtection="1">
      <alignment vertical="center"/>
      <protection hidden="1"/>
    </xf>
    <xf numFmtId="0" fontId="441" fillId="20" borderId="364" xfId="0" applyFont="1" applyFill="1" applyBorder="1" applyAlignment="1" applyProtection="1">
      <alignment vertical="center"/>
      <protection hidden="1"/>
    </xf>
    <xf numFmtId="0" fontId="441" fillId="20" borderId="153" xfId="0" applyFont="1" applyFill="1" applyBorder="1" applyAlignment="1" applyProtection="1">
      <alignment vertical="center"/>
      <protection hidden="1"/>
    </xf>
    <xf numFmtId="0" fontId="441" fillId="20" borderId="354" xfId="0" applyFont="1" applyFill="1" applyBorder="1" applyAlignment="1" applyProtection="1">
      <alignment vertical="center"/>
      <protection hidden="1"/>
    </xf>
    <xf numFmtId="0" fontId="441" fillId="20" borderId="154" xfId="0" applyFont="1" applyFill="1" applyBorder="1" applyAlignment="1" applyProtection="1">
      <alignment vertical="center"/>
      <protection hidden="1"/>
    </xf>
    <xf numFmtId="0" fontId="347" fillId="20" borderId="0" xfId="0" applyFont="1" applyFill="1" applyAlignment="1" applyProtection="1">
      <alignment horizontal="center" vertical="center"/>
      <protection hidden="1"/>
    </xf>
    <xf numFmtId="0" fontId="1" fillId="20" borderId="0" xfId="0" applyFont="1" applyFill="1" applyAlignment="1" applyProtection="1">
      <alignment horizontal="center" vertical="center"/>
      <protection hidden="1"/>
    </xf>
    <xf numFmtId="0" fontId="545" fillId="20" borderId="0" xfId="0" applyFont="1" applyFill="1" applyAlignment="1" applyProtection="1">
      <alignment horizontal="center" vertical="center"/>
      <protection hidden="1"/>
    </xf>
    <xf numFmtId="0" fontId="1" fillId="18" borderId="0" xfId="0" applyFont="1" applyFill="1" applyAlignment="1">
      <alignment horizontal="center"/>
    </xf>
    <xf numFmtId="0" fontId="23" fillId="18" borderId="0" xfId="0" applyFont="1" applyFill="1" applyAlignment="1">
      <alignment horizontal="left"/>
    </xf>
    <xf numFmtId="0" fontId="63" fillId="18" borderId="0" xfId="0" applyFont="1" applyFill="1" applyAlignment="1">
      <alignment horizontal="center" vertical="center"/>
    </xf>
    <xf numFmtId="0" fontId="1" fillId="23" borderId="349" xfId="0" applyFont="1" applyFill="1" applyBorder="1" applyAlignment="1">
      <alignment horizontal="center"/>
    </xf>
    <xf numFmtId="0" fontId="1" fillId="23" borderId="295" xfId="0" applyFont="1" applyFill="1" applyBorder="1" applyAlignment="1">
      <alignment horizontal="center"/>
    </xf>
    <xf numFmtId="0" fontId="1" fillId="23" borderId="351" xfId="0" applyFont="1" applyFill="1" applyBorder="1" applyAlignment="1">
      <alignment horizontal="center"/>
    </xf>
    <xf numFmtId="0" fontId="294" fillId="0" borderId="1" xfId="0" applyFont="1" applyBorder="1" applyAlignment="1" applyProtection="1">
      <alignment horizontal="center" vertical="center"/>
      <protection hidden="1"/>
    </xf>
    <xf numFmtId="0" fontId="15" fillId="0" borderId="1" xfId="0" applyFont="1" applyBorder="1" applyAlignment="1" applyProtection="1">
      <alignment horizontal="center" vertical="center"/>
      <protection hidden="1"/>
    </xf>
    <xf numFmtId="168" fontId="136" fillId="0" borderId="1" xfId="0" applyNumberFormat="1" applyFont="1" applyBorder="1" applyAlignment="1" applyProtection="1">
      <alignment horizontal="center" vertical="center"/>
      <protection hidden="1"/>
    </xf>
    <xf numFmtId="0" fontId="130" fillId="0" borderId="0" xfId="0" applyFont="1" applyAlignment="1">
      <alignment horizontal="right" vertical="center"/>
    </xf>
    <xf numFmtId="0" fontId="308" fillId="0" borderId="0" xfId="0" applyFont="1" applyAlignment="1">
      <alignment horizontal="left" vertical="center"/>
    </xf>
    <xf numFmtId="0" fontId="1" fillId="23" borderId="188" xfId="0" applyFont="1" applyFill="1" applyBorder="1"/>
    <xf numFmtId="0" fontId="1" fillId="23" borderId="189" xfId="0" applyFont="1" applyFill="1" applyBorder="1"/>
    <xf numFmtId="0" fontId="1" fillId="23" borderId="190" xfId="0" applyFont="1" applyFill="1" applyBorder="1"/>
    <xf numFmtId="0" fontId="1" fillId="23" borderId="191" xfId="0" applyFont="1" applyFill="1" applyBorder="1"/>
    <xf numFmtId="0" fontId="1" fillId="23" borderId="192" xfId="0" applyFont="1" applyFill="1" applyBorder="1"/>
    <xf numFmtId="0" fontId="1" fillId="23" borderId="207" xfId="0" applyFont="1" applyFill="1" applyBorder="1"/>
    <xf numFmtId="0" fontId="113" fillId="0" borderId="0" xfId="0" applyFont="1" applyAlignment="1" applyProtection="1">
      <alignment horizontal="left"/>
      <protection hidden="1"/>
    </xf>
    <xf numFmtId="0" fontId="1" fillId="0" borderId="39" xfId="0" applyFont="1" applyBorder="1" applyAlignment="1" applyProtection="1">
      <alignment horizontal="left" vertical="center"/>
      <protection hidden="1"/>
    </xf>
    <xf numFmtId="0" fontId="1" fillId="0" borderId="314" xfId="0" applyFont="1" applyBorder="1" applyAlignment="1" applyProtection="1">
      <alignment horizontal="left" vertical="center"/>
      <protection hidden="1"/>
    </xf>
    <xf numFmtId="0" fontId="1" fillId="0" borderId="294" xfId="0" applyFont="1" applyBorder="1" applyAlignment="1" applyProtection="1">
      <alignment horizontal="left" vertical="center"/>
      <protection hidden="1"/>
    </xf>
    <xf numFmtId="0" fontId="18" fillId="0" borderId="0" xfId="0" applyFont="1" applyAlignment="1" applyProtection="1">
      <alignment horizontal="left" vertical="center"/>
      <protection hidden="1"/>
    </xf>
    <xf numFmtId="0" fontId="1" fillId="0" borderId="249" xfId="0" applyFont="1" applyBorder="1" applyAlignment="1" applyProtection="1">
      <alignment horizontal="left" vertical="center"/>
      <protection hidden="1"/>
    </xf>
    <xf numFmtId="0" fontId="1" fillId="0" borderId="316" xfId="0" applyFont="1" applyBorder="1" applyAlignment="1" applyProtection="1">
      <alignment horizontal="left" vertical="center"/>
      <protection hidden="1"/>
    </xf>
    <xf numFmtId="0" fontId="1" fillId="0" borderId="251" xfId="0" applyFont="1" applyBorder="1" applyAlignment="1" applyProtection="1">
      <alignment horizontal="left" vertical="center"/>
      <protection hidden="1"/>
    </xf>
    <xf numFmtId="0" fontId="129" fillId="0" borderId="168" xfId="0" applyFont="1" applyBorder="1" applyAlignment="1" applyProtection="1">
      <alignment horizontal="left" vertical="center"/>
      <protection hidden="1"/>
    </xf>
    <xf numFmtId="0" fontId="129" fillId="0" borderId="169" xfId="0" applyFont="1" applyBorder="1" applyAlignment="1" applyProtection="1">
      <alignment horizontal="left" vertical="center"/>
      <protection hidden="1"/>
    </xf>
    <xf numFmtId="0" fontId="129" fillId="0" borderId="341" xfId="0" applyFont="1" applyBorder="1" applyAlignment="1" applyProtection="1">
      <alignment horizontal="left" vertical="center"/>
      <protection hidden="1"/>
    </xf>
    <xf numFmtId="0" fontId="363" fillId="0" borderId="0" xfId="0" applyFont="1" applyProtection="1">
      <protection hidden="1"/>
    </xf>
    <xf numFmtId="0" fontId="1" fillId="0" borderId="52" xfId="0" applyFont="1" applyBorder="1" applyAlignment="1" applyProtection="1">
      <alignment horizontal="right"/>
      <protection hidden="1"/>
    </xf>
    <xf numFmtId="0" fontId="57" fillId="0" borderId="52" xfId="0" applyFont="1" applyBorder="1" applyAlignment="1" applyProtection="1">
      <alignment horizontal="center"/>
      <protection hidden="1"/>
    </xf>
    <xf numFmtId="0" fontId="362" fillId="0" borderId="52" xfId="0" applyFont="1" applyBorder="1" applyAlignment="1" applyProtection="1">
      <alignment vertical="center"/>
      <protection hidden="1"/>
    </xf>
    <xf numFmtId="0" fontId="353" fillId="0" borderId="52" xfId="0" applyFont="1" applyBorder="1" applyAlignment="1" applyProtection="1">
      <alignment vertical="center"/>
      <protection hidden="1"/>
    </xf>
    <xf numFmtId="0" fontId="25" fillId="0" borderId="52" xfId="0" applyFont="1" applyBorder="1" applyAlignment="1" applyProtection="1">
      <alignment vertical="center"/>
      <protection hidden="1"/>
    </xf>
    <xf numFmtId="0" fontId="173" fillId="0" borderId="52" xfId="0" applyFont="1" applyBorder="1" applyAlignment="1" applyProtection="1">
      <alignment vertical="center"/>
      <protection hidden="1"/>
    </xf>
    <xf numFmtId="0" fontId="364" fillId="0" borderId="52" xfId="0" applyFont="1" applyBorder="1" applyAlignment="1" applyProtection="1">
      <alignment vertical="center"/>
      <protection hidden="1"/>
    </xf>
    <xf numFmtId="0" fontId="366" fillId="0" borderId="52" xfId="0" applyFont="1" applyBorder="1" applyAlignment="1" applyProtection="1">
      <alignment vertical="center"/>
      <protection hidden="1"/>
    </xf>
    <xf numFmtId="0" fontId="18" fillId="18" borderId="0" xfId="0" applyFont="1" applyFill="1" applyAlignment="1" applyProtection="1">
      <alignment horizontal="center" vertical="center"/>
      <protection hidden="1"/>
    </xf>
    <xf numFmtId="0" fontId="1" fillId="0" borderId="0" xfId="0" applyFont="1" applyAlignment="1" applyProtection="1">
      <alignment wrapText="1"/>
      <protection hidden="1"/>
    </xf>
    <xf numFmtId="0" fontId="113" fillId="0" borderId="0" xfId="0" applyFont="1" applyAlignment="1" applyProtection="1">
      <alignment vertical="center"/>
      <protection hidden="1"/>
    </xf>
    <xf numFmtId="0" fontId="163" fillId="0" borderId="0" xfId="0" applyFont="1" applyAlignment="1" applyProtection="1">
      <alignment horizontal="center" vertical="center"/>
      <protection hidden="1"/>
    </xf>
    <xf numFmtId="0" fontId="555" fillId="0" borderId="0" xfId="0" applyFont="1" applyAlignment="1" applyProtection="1">
      <alignment vertical="center"/>
      <protection hidden="1"/>
    </xf>
    <xf numFmtId="0" fontId="555" fillId="0" borderId="0" xfId="0" applyFont="1" applyProtection="1">
      <protection hidden="1"/>
    </xf>
    <xf numFmtId="0" fontId="555" fillId="0" borderId="0" xfId="0" applyFont="1" applyAlignment="1" applyProtection="1">
      <alignment vertical="top"/>
      <protection hidden="1"/>
    </xf>
    <xf numFmtId="0" fontId="130" fillId="0" borderId="0" xfId="0" applyFont="1" applyAlignment="1" applyProtection="1">
      <alignment horizontal="right" vertical="top"/>
      <protection hidden="1"/>
    </xf>
    <xf numFmtId="0" fontId="308" fillId="0" borderId="1" xfId="0" applyFont="1" applyBorder="1" applyAlignment="1" applyProtection="1">
      <alignment horizontal="center" vertical="center"/>
      <protection hidden="1"/>
    </xf>
    <xf numFmtId="0" fontId="297" fillId="0" borderId="227" xfId="0" applyFont="1" applyBorder="1" applyAlignment="1" applyProtection="1">
      <alignment horizontal="right" vertical="center"/>
      <protection hidden="1"/>
    </xf>
    <xf numFmtId="0" fontId="297" fillId="0" borderId="227" xfId="0" applyFont="1" applyBorder="1" applyAlignment="1" applyProtection="1">
      <alignment vertical="center"/>
      <protection hidden="1"/>
    </xf>
    <xf numFmtId="14" fontId="297" fillId="0" borderId="0" xfId="0" applyNumberFormat="1" applyFont="1" applyAlignment="1" applyProtection="1">
      <alignment vertical="center"/>
      <protection hidden="1"/>
    </xf>
    <xf numFmtId="14" fontId="297" fillId="0" borderId="0" xfId="0" applyNumberFormat="1" applyFont="1" applyAlignment="1" applyProtection="1">
      <alignment horizontal="center" vertical="center"/>
      <protection hidden="1"/>
    </xf>
    <xf numFmtId="0" fontId="297" fillId="0" borderId="0" xfId="0" applyFont="1" applyAlignment="1" applyProtection="1">
      <alignment vertical="center"/>
      <protection hidden="1"/>
    </xf>
    <xf numFmtId="0" fontId="196" fillId="0" borderId="226" xfId="0" applyFont="1" applyBorder="1" applyAlignment="1" applyProtection="1">
      <alignment vertical="center"/>
      <protection hidden="1"/>
    </xf>
    <xf numFmtId="0" fontId="556" fillId="23" borderId="146" xfId="0" applyFont="1" applyFill="1" applyBorder="1" applyAlignment="1" applyProtection="1">
      <alignment vertical="center" wrapText="1"/>
      <protection hidden="1"/>
    </xf>
    <xf numFmtId="0" fontId="327" fillId="23" borderId="146" xfId="0" applyFont="1" applyFill="1" applyBorder="1" applyProtection="1">
      <protection hidden="1"/>
    </xf>
    <xf numFmtId="0" fontId="133" fillId="23" borderId="146" xfId="0" applyFont="1" applyFill="1" applyBorder="1" applyAlignment="1" applyProtection="1">
      <alignment horizontal="left" vertical="center"/>
      <protection hidden="1"/>
    </xf>
    <xf numFmtId="0" fontId="348" fillId="23" borderId="146" xfId="0" applyFont="1" applyFill="1" applyBorder="1" applyAlignment="1" applyProtection="1">
      <alignment horizontal="center" vertical="center" wrapText="1"/>
      <protection hidden="1"/>
    </xf>
    <xf numFmtId="0" fontId="232" fillId="23" borderId="146" xfId="0" applyFont="1" applyFill="1" applyBorder="1" applyAlignment="1" applyProtection="1">
      <alignment horizontal="center"/>
      <protection hidden="1"/>
    </xf>
    <xf numFmtId="0" fontId="347" fillId="23" borderId="146" xfId="0" applyFont="1" applyFill="1" applyBorder="1" applyAlignment="1" applyProtection="1">
      <alignment horizontal="right" vertical="center" wrapText="1"/>
      <protection hidden="1"/>
    </xf>
    <xf numFmtId="0" fontId="127" fillId="0" borderId="0" xfId="0" applyFont="1" applyAlignment="1" applyProtection="1">
      <alignment horizontal="center"/>
      <protection hidden="1"/>
    </xf>
    <xf numFmtId="0" fontId="23" fillId="0" borderId="90" xfId="0" applyFont="1" applyBorder="1" applyProtection="1">
      <protection hidden="1"/>
    </xf>
    <xf numFmtId="0" fontId="23" fillId="0" borderId="91" xfId="0" applyFont="1" applyBorder="1" applyAlignment="1" applyProtection="1">
      <alignment horizontal="left"/>
      <protection hidden="1"/>
    </xf>
    <xf numFmtId="0" fontId="63" fillId="0" borderId="91" xfId="0" applyFont="1" applyBorder="1" applyAlignment="1" applyProtection="1">
      <alignment horizontal="center" vertical="center"/>
      <protection hidden="1"/>
    </xf>
    <xf numFmtId="0" fontId="1" fillId="0" borderId="91" xfId="0" applyFont="1" applyBorder="1" applyAlignment="1" applyProtection="1">
      <alignment horizontal="center"/>
      <protection hidden="1"/>
    </xf>
    <xf numFmtId="0" fontId="258" fillId="0" borderId="91" xfId="0" applyFont="1" applyBorder="1" applyAlignment="1" applyProtection="1">
      <alignment vertical="center"/>
      <protection hidden="1"/>
    </xf>
    <xf numFmtId="0" fontId="37" fillId="0" borderId="91" xfId="0" applyFont="1" applyBorder="1" applyAlignment="1" applyProtection="1">
      <alignment vertical="center"/>
      <protection hidden="1"/>
    </xf>
    <xf numFmtId="0" fontId="258" fillId="0" borderId="92" xfId="0" applyFont="1" applyBorder="1" applyAlignment="1" applyProtection="1">
      <alignment vertical="center"/>
      <protection hidden="1"/>
    </xf>
    <xf numFmtId="0" fontId="23" fillId="0" borderId="84" xfId="0" applyFont="1" applyBorder="1" applyProtection="1">
      <protection hidden="1"/>
    </xf>
    <xf numFmtId="0" fontId="258" fillId="0" borderId="85" xfId="0" applyFont="1" applyBorder="1" applyAlignment="1" applyProtection="1">
      <alignment vertical="center"/>
      <protection hidden="1"/>
    </xf>
    <xf numFmtId="0" fontId="173" fillId="0" borderId="84" xfId="0" applyFont="1" applyBorder="1" applyAlignment="1" applyProtection="1">
      <alignment horizontal="left" vertical="center"/>
      <protection hidden="1"/>
    </xf>
    <xf numFmtId="0" fontId="105" fillId="0" borderId="85" xfId="0" applyFont="1" applyBorder="1" applyAlignment="1" applyProtection="1">
      <alignment horizontal="center"/>
      <protection hidden="1"/>
    </xf>
    <xf numFmtId="0" fontId="173" fillId="0" borderId="86" xfId="0" applyFont="1" applyBorder="1" applyAlignment="1" applyProtection="1">
      <alignment horizontal="left" vertical="center"/>
      <protection hidden="1"/>
    </xf>
    <xf numFmtId="4" fontId="101" fillId="0" borderId="93" xfId="2" applyNumberFormat="1" applyFont="1" applyBorder="1" applyAlignment="1" applyProtection="1">
      <protection hidden="1"/>
    </xf>
    <xf numFmtId="4" fontId="23" fillId="0" borderId="93" xfId="2" applyNumberFormat="1" applyFont="1" applyBorder="1" applyAlignment="1" applyProtection="1">
      <protection hidden="1"/>
    </xf>
    <xf numFmtId="0" fontId="173" fillId="0" borderId="93" xfId="0" applyFont="1" applyBorder="1" applyAlignment="1" applyProtection="1">
      <alignment horizontal="left" vertical="center"/>
      <protection hidden="1"/>
    </xf>
    <xf numFmtId="0" fontId="23" fillId="0" borderId="93" xfId="0" applyFont="1" applyBorder="1" applyAlignment="1" applyProtection="1">
      <alignment horizontal="left"/>
      <protection hidden="1"/>
    </xf>
    <xf numFmtId="2" fontId="258" fillId="0" borderId="93" xfId="2" applyNumberFormat="1" applyFont="1" applyBorder="1" applyAlignment="1" applyProtection="1">
      <protection hidden="1"/>
    </xf>
    <xf numFmtId="0" fontId="1" fillId="0" borderId="93" xfId="0" applyFont="1" applyBorder="1" applyAlignment="1" applyProtection="1">
      <alignment horizontal="center"/>
      <protection hidden="1"/>
    </xf>
    <xf numFmtId="0" fontId="23" fillId="0" borderId="93" xfId="0" applyFont="1" applyBorder="1" applyProtection="1">
      <protection hidden="1"/>
    </xf>
    <xf numFmtId="2" fontId="258" fillId="0" borderId="93" xfId="2" applyNumberFormat="1" applyFont="1" applyBorder="1" applyAlignment="1" applyProtection="1">
      <alignment horizontal="left" indent="1"/>
      <protection hidden="1"/>
    </xf>
    <xf numFmtId="0" fontId="105" fillId="0" borderId="93" xfId="0" applyFont="1" applyBorder="1" applyAlignment="1" applyProtection="1">
      <alignment horizontal="center"/>
      <protection hidden="1"/>
    </xf>
    <xf numFmtId="0" fontId="105" fillId="0" borderId="88" xfId="0" applyFont="1" applyBorder="1" applyAlignment="1" applyProtection="1">
      <alignment horizontal="center"/>
      <protection hidden="1"/>
    </xf>
    <xf numFmtId="0" fontId="230" fillId="4" borderId="0" xfId="0" quotePrefix="1" applyFont="1" applyFill="1" applyAlignment="1" applyProtection="1">
      <alignment vertical="center"/>
      <protection locked="0"/>
    </xf>
    <xf numFmtId="0" fontId="230" fillId="4" borderId="0" xfId="0" applyFont="1" applyFill="1" applyAlignment="1" applyProtection="1">
      <alignment vertical="center"/>
      <protection locked="0"/>
    </xf>
    <xf numFmtId="0" fontId="427" fillId="4" borderId="0" xfId="0" quotePrefix="1" applyFont="1" applyFill="1" applyAlignment="1" applyProtection="1">
      <alignment vertical="center"/>
      <protection locked="0"/>
    </xf>
    <xf numFmtId="0" fontId="427" fillId="4" borderId="0" xfId="0" applyFont="1" applyFill="1" applyAlignment="1" applyProtection="1">
      <alignment vertical="center"/>
      <protection locked="0"/>
    </xf>
    <xf numFmtId="0" fontId="133" fillId="23" borderId="146" xfId="0" applyFont="1" applyFill="1" applyBorder="1" applyAlignment="1" applyProtection="1">
      <alignment horizontal="right" vertical="center" indent="1"/>
      <protection hidden="1"/>
    </xf>
    <xf numFmtId="0" fontId="130" fillId="0" borderId="39" xfId="0" applyFont="1" applyBorder="1" applyAlignment="1" applyProtection="1">
      <alignment horizontal="left"/>
      <protection hidden="1"/>
    </xf>
    <xf numFmtId="0" fontId="130" fillId="0" borderId="33" xfId="0" applyFont="1" applyBorder="1" applyAlignment="1" applyProtection="1">
      <alignment horizontal="left"/>
      <protection hidden="1"/>
    </xf>
    <xf numFmtId="2" fontId="1" fillId="0" borderId="0" xfId="0" applyNumberFormat="1" applyFont="1" applyAlignment="1" applyProtection="1">
      <alignment horizontal="center" vertical="center"/>
      <protection hidden="1"/>
    </xf>
    <xf numFmtId="0" fontId="230" fillId="0" borderId="0" xfId="0" applyFont="1" applyAlignment="1" applyProtection="1">
      <alignment horizontal="right" vertical="top" indent="1"/>
      <protection hidden="1"/>
    </xf>
    <xf numFmtId="0" fontId="130" fillId="0" borderId="51" xfId="0" applyFont="1" applyBorder="1" applyAlignment="1" applyProtection="1">
      <alignment horizontal="center" vertical="center"/>
      <protection hidden="1"/>
    </xf>
    <xf numFmtId="0" fontId="1" fillId="0" borderId="167" xfId="0" applyFont="1" applyBorder="1" applyAlignment="1" applyProtection="1">
      <alignment horizontal="center"/>
      <protection hidden="1"/>
    </xf>
    <xf numFmtId="0" fontId="1" fillId="0" borderId="333" xfId="0" applyFont="1" applyBorder="1" applyAlignment="1" applyProtection="1">
      <alignment horizontal="center"/>
      <protection hidden="1"/>
    </xf>
    <xf numFmtId="0" fontId="1" fillId="0" borderId="334" xfId="0" applyFont="1" applyBorder="1" applyAlignment="1" applyProtection="1">
      <alignment horizontal="center"/>
      <protection hidden="1"/>
    </xf>
    <xf numFmtId="0" fontId="1" fillId="0" borderId="397" xfId="0" applyFont="1" applyBorder="1" applyAlignment="1" applyProtection="1">
      <alignment horizontal="center"/>
      <protection hidden="1"/>
    </xf>
    <xf numFmtId="0" fontId="230" fillId="16" borderId="0" xfId="0" applyFont="1" applyFill="1" applyAlignment="1" applyProtection="1">
      <alignment horizontal="center" vertical="center"/>
      <protection hidden="1"/>
    </xf>
    <xf numFmtId="0" fontId="192" fillId="0" borderId="0" xfId="0" applyFont="1" applyAlignment="1" applyProtection="1">
      <alignment horizontal="center" vertical="center"/>
      <protection hidden="1"/>
    </xf>
    <xf numFmtId="0" fontId="149" fillId="0" borderId="0" xfId="0" applyFont="1" applyAlignment="1" applyProtection="1">
      <alignment horizontal="center" vertical="top"/>
      <protection hidden="1"/>
    </xf>
    <xf numFmtId="0" fontId="130" fillId="0" borderId="39" xfId="0" quotePrefix="1" applyFont="1" applyBorder="1" applyAlignment="1" applyProtection="1">
      <alignment horizontal="center" vertical="center"/>
      <protection hidden="1"/>
    </xf>
    <xf numFmtId="0" fontId="130" fillId="0" borderId="104" xfId="0" applyFont="1" applyBorder="1" applyAlignment="1" applyProtection="1">
      <alignment horizontal="center" vertical="center"/>
      <protection hidden="1"/>
    </xf>
    <xf numFmtId="0" fontId="130" fillId="0" borderId="51" xfId="0" applyFont="1" applyBorder="1" applyAlignment="1" applyProtection="1">
      <alignment horizontal="left" vertical="center"/>
      <protection hidden="1"/>
    </xf>
    <xf numFmtId="0" fontId="130" fillId="0" borderId="166" xfId="0" applyFont="1" applyBorder="1" applyAlignment="1" applyProtection="1">
      <alignment horizontal="left" vertical="center"/>
      <protection hidden="1"/>
    </xf>
    <xf numFmtId="0" fontId="1" fillId="0" borderId="51" xfId="0" applyFont="1" applyBorder="1" applyAlignment="1" applyProtection="1">
      <alignment vertical="center"/>
      <protection hidden="1"/>
    </xf>
    <xf numFmtId="0" fontId="230" fillId="0" borderId="51" xfId="0" applyFont="1" applyBorder="1" applyAlignment="1" applyProtection="1">
      <alignment horizontal="right" vertical="center"/>
      <protection hidden="1"/>
    </xf>
    <xf numFmtId="0" fontId="308" fillId="0" borderId="51" xfId="0" applyFont="1" applyBorder="1" applyAlignment="1" applyProtection="1">
      <alignment horizontal="left" vertical="center"/>
      <protection hidden="1"/>
    </xf>
    <xf numFmtId="0" fontId="113" fillId="0" borderId="35" xfId="0" applyFont="1" applyBorder="1" applyAlignment="1" applyProtection="1">
      <alignment horizontal="center"/>
      <protection hidden="1"/>
    </xf>
    <xf numFmtId="0" fontId="113" fillId="0" borderId="51" xfId="0" applyFont="1" applyBorder="1" applyAlignment="1" applyProtection="1">
      <alignment vertical="center"/>
      <protection hidden="1"/>
    </xf>
    <xf numFmtId="0" fontId="113" fillId="0" borderId="51" xfId="0" applyFont="1" applyBorder="1" applyAlignment="1" applyProtection="1">
      <alignment horizontal="center"/>
      <protection hidden="1"/>
    </xf>
    <xf numFmtId="0" fontId="230" fillId="0" borderId="51" xfId="0" applyFont="1" applyBorder="1" applyAlignment="1" applyProtection="1">
      <alignment horizontal="left" vertical="center"/>
      <protection hidden="1"/>
    </xf>
    <xf numFmtId="0" fontId="113" fillId="0" borderId="34" xfId="0" applyFont="1" applyBorder="1" applyAlignment="1" applyProtection="1">
      <alignment horizontal="center"/>
      <protection hidden="1"/>
    </xf>
    <xf numFmtId="0" fontId="113" fillId="0" borderId="39" xfId="0" applyFont="1" applyBorder="1" applyAlignment="1" applyProtection="1">
      <alignment horizontal="center"/>
      <protection hidden="1"/>
    </xf>
    <xf numFmtId="0" fontId="113" fillId="0" borderId="104" xfId="0" applyFont="1" applyBorder="1" applyAlignment="1" applyProtection="1">
      <alignment horizontal="center"/>
      <protection hidden="1"/>
    </xf>
    <xf numFmtId="0" fontId="113" fillId="0" borderId="0" xfId="0" applyFont="1" applyProtection="1">
      <protection hidden="1"/>
    </xf>
    <xf numFmtId="0" fontId="113" fillId="0" borderId="33" xfId="0" applyFont="1" applyBorder="1" applyAlignment="1" applyProtection="1">
      <alignment horizontal="center"/>
      <protection hidden="1"/>
    </xf>
    <xf numFmtId="0" fontId="113" fillId="0" borderId="52" xfId="0" applyFont="1" applyBorder="1" applyAlignment="1" applyProtection="1">
      <alignment horizontal="center"/>
      <protection hidden="1"/>
    </xf>
    <xf numFmtId="0" fontId="113" fillId="0" borderId="22" xfId="0" applyFont="1" applyBorder="1" applyAlignment="1" applyProtection="1">
      <alignment horizontal="center"/>
      <protection hidden="1"/>
    </xf>
    <xf numFmtId="0" fontId="230" fillId="0" borderId="0" xfId="0" applyFont="1" applyProtection="1">
      <protection hidden="1"/>
    </xf>
    <xf numFmtId="0" fontId="130" fillId="0" borderId="0" xfId="0" applyFont="1" applyAlignment="1" applyProtection="1">
      <alignment horizontal="right" vertical="top" indent="1"/>
      <protection hidden="1"/>
    </xf>
    <xf numFmtId="0" fontId="130" fillId="0" borderId="398" xfId="0" applyFont="1" applyBorder="1" applyAlignment="1" applyProtection="1">
      <alignment horizontal="center" vertical="center"/>
      <protection hidden="1"/>
    </xf>
    <xf numFmtId="0" fontId="308" fillId="0" borderId="0" xfId="0" applyFont="1" applyAlignment="1" applyProtection="1">
      <alignment horizontal="right" vertical="center"/>
      <protection hidden="1"/>
    </xf>
    <xf numFmtId="0" fontId="130" fillId="0" borderId="0" xfId="0" applyFont="1" applyAlignment="1" applyProtection="1">
      <alignment horizontal="center" vertical="top"/>
      <protection hidden="1"/>
    </xf>
    <xf numFmtId="0" fontId="1" fillId="0" borderId="393" xfId="0" applyFont="1" applyBorder="1" applyProtection="1">
      <protection hidden="1"/>
    </xf>
    <xf numFmtId="0" fontId="1" fillId="0" borderId="167" xfId="0" applyFont="1" applyBorder="1" applyProtection="1">
      <protection hidden="1"/>
    </xf>
    <xf numFmtId="0" fontId="149" fillId="0" borderId="167" xfId="0" applyFont="1" applyBorder="1" applyAlignment="1" applyProtection="1">
      <alignment horizontal="center"/>
      <protection hidden="1"/>
    </xf>
    <xf numFmtId="0" fontId="1" fillId="0" borderId="394" xfId="0" applyFont="1" applyBorder="1" applyProtection="1">
      <protection hidden="1"/>
    </xf>
    <xf numFmtId="0" fontId="1" fillId="0" borderId="395" xfId="0" applyFont="1" applyBorder="1" applyProtection="1">
      <protection hidden="1"/>
    </xf>
    <xf numFmtId="0" fontId="1" fillId="0" borderId="396" xfId="0" applyFont="1" applyBorder="1" applyProtection="1">
      <protection hidden="1"/>
    </xf>
    <xf numFmtId="2" fontId="163" fillId="0" borderId="0" xfId="0" applyNumberFormat="1" applyFont="1" applyAlignment="1" applyProtection="1">
      <alignment horizontal="center" vertical="center"/>
      <protection hidden="1"/>
    </xf>
    <xf numFmtId="168" fontId="163" fillId="0" borderId="0" xfId="0" applyNumberFormat="1" applyFont="1" applyAlignment="1" applyProtection="1">
      <alignment horizontal="center" vertical="center"/>
      <protection hidden="1"/>
    </xf>
    <xf numFmtId="0" fontId="27" fillId="18" borderId="35" xfId="0" applyFont="1" applyFill="1" applyBorder="1" applyProtection="1">
      <protection hidden="1"/>
    </xf>
    <xf numFmtId="0" fontId="27" fillId="18" borderId="51" xfId="0" applyFont="1" applyFill="1" applyBorder="1" applyProtection="1">
      <protection hidden="1"/>
    </xf>
    <xf numFmtId="0" fontId="27" fillId="18" borderId="34" xfId="0" applyFont="1" applyFill="1" applyBorder="1" applyProtection="1">
      <protection hidden="1"/>
    </xf>
    <xf numFmtId="0" fontId="27" fillId="18" borderId="39" xfId="0" applyFont="1" applyFill="1" applyBorder="1" applyProtection="1">
      <protection hidden="1"/>
    </xf>
    <xf numFmtId="0" fontId="27" fillId="18" borderId="104" xfId="0" applyFont="1" applyFill="1" applyBorder="1" applyProtection="1">
      <protection hidden="1"/>
    </xf>
    <xf numFmtId="0" fontId="1" fillId="18" borderId="104" xfId="0" applyFont="1" applyFill="1" applyBorder="1" applyAlignment="1" applyProtection="1">
      <alignment horizontal="center"/>
      <protection hidden="1"/>
    </xf>
    <xf numFmtId="0" fontId="21" fillId="18" borderId="0" xfId="0" applyFont="1" applyFill="1" applyAlignment="1" applyProtection="1">
      <alignment vertical="center" wrapText="1"/>
      <protection hidden="1"/>
    </xf>
    <xf numFmtId="0" fontId="230" fillId="18" borderId="0" xfId="0" applyFont="1" applyFill="1" applyAlignment="1" applyProtection="1">
      <alignment horizontal="left"/>
      <protection hidden="1"/>
    </xf>
    <xf numFmtId="0" fontId="230" fillId="18" borderId="0" xfId="0" applyFont="1" applyFill="1" applyAlignment="1" applyProtection="1">
      <alignment horizontal="right"/>
      <protection hidden="1"/>
    </xf>
    <xf numFmtId="0" fontId="27" fillId="18" borderId="0" xfId="0" applyFont="1" applyFill="1" applyProtection="1">
      <protection hidden="1"/>
    </xf>
    <xf numFmtId="0" fontId="18" fillId="18" borderId="0" xfId="0" applyFont="1" applyFill="1" applyAlignment="1" applyProtection="1">
      <alignment horizontal="center"/>
      <protection hidden="1"/>
    </xf>
    <xf numFmtId="0" fontId="1" fillId="18" borderId="317" xfId="0" applyFont="1" applyFill="1" applyBorder="1" applyAlignment="1" applyProtection="1">
      <alignment horizontal="center"/>
      <protection hidden="1"/>
    </xf>
    <xf numFmtId="0" fontId="148" fillId="18" borderId="0" xfId="0" applyFont="1" applyFill="1" applyAlignment="1" applyProtection="1">
      <alignment horizontal="center" vertical="center"/>
      <protection hidden="1"/>
    </xf>
    <xf numFmtId="0" fontId="101" fillId="18" borderId="0" xfId="0" applyFont="1" applyFill="1" applyAlignment="1" applyProtection="1">
      <alignment vertical="top"/>
      <protection hidden="1"/>
    </xf>
    <xf numFmtId="0" fontId="23" fillId="18" borderId="0" xfId="0" applyFont="1" applyFill="1" applyAlignment="1" applyProtection="1">
      <alignment vertical="center" wrapText="1"/>
      <protection hidden="1"/>
    </xf>
    <xf numFmtId="0" fontId="23" fillId="18" borderId="0" xfId="0" applyFont="1" applyFill="1" applyProtection="1">
      <protection hidden="1"/>
    </xf>
    <xf numFmtId="0" fontId="21" fillId="18" borderId="52" xfId="0" applyFont="1" applyFill="1" applyBorder="1" applyAlignment="1" applyProtection="1">
      <alignment vertical="center"/>
      <protection hidden="1"/>
    </xf>
    <xf numFmtId="0" fontId="21" fillId="18" borderId="51" xfId="0" applyFont="1" applyFill="1" applyBorder="1" applyAlignment="1" applyProtection="1">
      <alignment vertical="center"/>
      <protection hidden="1"/>
    </xf>
    <xf numFmtId="0" fontId="23" fillId="18" borderId="166" xfId="0" applyFont="1" applyFill="1" applyBorder="1" applyAlignment="1" applyProtection="1">
      <alignment horizontal="left"/>
      <protection hidden="1"/>
    </xf>
    <xf numFmtId="0" fontId="1" fillId="18" borderId="166" xfId="0" applyFont="1" applyFill="1" applyBorder="1" applyProtection="1">
      <protection hidden="1"/>
    </xf>
    <xf numFmtId="0" fontId="164" fillId="18" borderId="0" xfId="0" applyFont="1" applyFill="1" applyAlignment="1" applyProtection="1">
      <alignment horizontal="left" vertical="center"/>
      <protection hidden="1"/>
    </xf>
    <xf numFmtId="1" fontId="129" fillId="0" borderId="0" xfId="0" applyNumberFormat="1" applyFont="1" applyAlignment="1" applyProtection="1">
      <alignment horizontal="right" vertical="center"/>
      <protection hidden="1"/>
    </xf>
    <xf numFmtId="168" fontId="113" fillId="0" borderId="0" xfId="0" applyNumberFormat="1" applyFont="1" applyAlignment="1" applyProtection="1">
      <alignment horizontal="center" vertical="center"/>
      <protection hidden="1"/>
    </xf>
    <xf numFmtId="0" fontId="557" fillId="18" borderId="0" xfId="0" applyFont="1" applyFill="1" applyAlignment="1" applyProtection="1">
      <alignment horizontal="center" vertical="center"/>
      <protection hidden="1"/>
    </xf>
    <xf numFmtId="0" fontId="133" fillId="0" borderId="16" xfId="0" applyFont="1" applyBorder="1" applyAlignment="1" applyProtection="1">
      <alignment horizontal="center" vertical="center"/>
      <protection hidden="1"/>
    </xf>
    <xf numFmtId="0" fontId="132" fillId="0" borderId="18" xfId="0" applyFont="1" applyBorder="1" applyAlignment="1" applyProtection="1">
      <alignment horizontal="left" vertical="center"/>
      <protection hidden="1"/>
    </xf>
    <xf numFmtId="0" fontId="232" fillId="0" borderId="19" xfId="0" applyFont="1" applyBorder="1" applyAlignment="1" applyProtection="1">
      <alignment horizontal="center"/>
      <protection hidden="1"/>
    </xf>
    <xf numFmtId="0" fontId="558" fillId="0" borderId="16" xfId="0" applyFont="1" applyBorder="1" applyAlignment="1" applyProtection="1">
      <alignment horizontal="right"/>
      <protection hidden="1"/>
    </xf>
    <xf numFmtId="0" fontId="384" fillId="0" borderId="105" xfId="0" applyFont="1" applyBorder="1" applyAlignment="1" applyProtection="1">
      <alignment horizontal="center" vertical="center"/>
      <protection hidden="1"/>
    </xf>
    <xf numFmtId="1" fontId="384" fillId="0" borderId="1" xfId="0" applyNumberFormat="1" applyFont="1" applyBorder="1" applyAlignment="1" applyProtection="1">
      <alignment horizontal="center" vertical="center"/>
      <protection hidden="1"/>
    </xf>
    <xf numFmtId="0" fontId="133" fillId="0" borderId="16" xfId="0" applyFont="1" applyBorder="1" applyAlignment="1" applyProtection="1">
      <alignment vertical="center"/>
      <protection hidden="1"/>
    </xf>
    <xf numFmtId="0" fontId="347" fillId="0" borderId="0" xfId="0" applyFont="1" applyAlignment="1" applyProtection="1">
      <alignment horizontal="left" indent="1"/>
      <protection hidden="1"/>
    </xf>
    <xf numFmtId="0" fontId="347" fillId="0" borderId="0" xfId="0" applyFont="1" applyAlignment="1" applyProtection="1">
      <alignment vertical="center"/>
      <protection hidden="1"/>
    </xf>
    <xf numFmtId="0" fontId="347" fillId="0" borderId="0" xfId="0" applyFont="1" applyProtection="1">
      <protection hidden="1"/>
    </xf>
    <xf numFmtId="0" fontId="347" fillId="0" borderId="0" xfId="0" applyFont="1" applyAlignment="1" applyProtection="1">
      <alignment horizontal="right" indent="1"/>
      <protection hidden="1"/>
    </xf>
    <xf numFmtId="0" fontId="132" fillId="0" borderId="294" xfId="0" applyFont="1" applyBorder="1" applyAlignment="1" applyProtection="1">
      <alignment vertical="center"/>
      <protection hidden="1"/>
    </xf>
    <xf numFmtId="0" fontId="232" fillId="0" borderId="0" xfId="0" applyFont="1" applyProtection="1">
      <protection hidden="1"/>
    </xf>
    <xf numFmtId="0" fontId="232" fillId="0" borderId="294" xfId="0" applyFont="1" applyBorder="1" applyAlignment="1" applyProtection="1">
      <alignment horizontal="center"/>
      <protection hidden="1"/>
    </xf>
    <xf numFmtId="0" fontId="133" fillId="0" borderId="294" xfId="0" applyFont="1" applyBorder="1" applyAlignment="1" applyProtection="1">
      <alignment vertical="center"/>
      <protection hidden="1"/>
    </xf>
    <xf numFmtId="0" fontId="132" fillId="0" borderId="294" xfId="0" applyFont="1" applyBorder="1" applyAlignment="1" applyProtection="1">
      <alignment horizontal="left" vertical="center"/>
      <protection hidden="1"/>
    </xf>
    <xf numFmtId="0" fontId="232" fillId="0" borderId="166" xfId="0" applyFont="1" applyBorder="1" applyAlignment="1" applyProtection="1">
      <alignment horizontal="center"/>
      <protection hidden="1"/>
    </xf>
    <xf numFmtId="0" fontId="132" fillId="0" borderId="251" xfId="0" applyFont="1" applyBorder="1" applyAlignment="1" applyProtection="1">
      <alignment vertical="center"/>
      <protection hidden="1"/>
    </xf>
    <xf numFmtId="0" fontId="558" fillId="0" borderId="17" xfId="0" applyFont="1" applyBorder="1" applyAlignment="1" applyProtection="1">
      <alignment horizontal="left"/>
      <protection locked="0" hidden="1"/>
    </xf>
    <xf numFmtId="0" fontId="60" fillId="0" borderId="17" xfId="0" applyFont="1" applyBorder="1" applyAlignment="1" applyProtection="1">
      <alignment horizontal="center" vertical="center"/>
      <protection hidden="1"/>
    </xf>
    <xf numFmtId="0" fontId="172" fillId="0" borderId="17" xfId="0" applyFont="1" applyBorder="1" applyAlignment="1" applyProtection="1">
      <alignment horizontal="center" vertical="center"/>
      <protection hidden="1"/>
    </xf>
    <xf numFmtId="0" fontId="29" fillId="0" borderId="0" xfId="0" applyFont="1" applyAlignment="1" applyProtection="1">
      <alignment horizontal="center" vertical="center"/>
      <protection hidden="1"/>
    </xf>
    <xf numFmtId="0" fontId="172" fillId="0" borderId="0" xfId="0" applyFont="1" applyAlignment="1" applyProtection="1">
      <alignment horizontal="center" vertical="center"/>
      <protection hidden="1"/>
    </xf>
    <xf numFmtId="0" fontId="18" fillId="0" borderId="293" xfId="0" applyFont="1" applyBorder="1" applyAlignment="1" applyProtection="1">
      <alignment horizontal="center" vertical="center"/>
      <protection hidden="1"/>
    </xf>
    <xf numFmtId="0" fontId="65" fillId="0" borderId="293" xfId="0" applyFont="1" applyBorder="1" applyAlignment="1" applyProtection="1">
      <alignment horizontal="center" vertical="center"/>
      <protection hidden="1"/>
    </xf>
    <xf numFmtId="0" fontId="148" fillId="0" borderId="20" xfId="0" applyFont="1" applyBorder="1" applyAlignment="1" applyProtection="1">
      <alignment horizontal="center" vertical="center"/>
      <protection hidden="1"/>
    </xf>
    <xf numFmtId="0" fontId="129" fillId="0" borderId="1" xfId="0" applyFont="1" applyBorder="1" applyAlignment="1" applyProtection="1">
      <alignment horizontal="center"/>
      <protection hidden="1"/>
    </xf>
    <xf numFmtId="1" fontId="129" fillId="0" borderId="1" xfId="0" applyNumberFormat="1" applyFont="1" applyBorder="1" applyAlignment="1" applyProtection="1">
      <alignment horizontal="center"/>
      <protection hidden="1"/>
    </xf>
    <xf numFmtId="0" fontId="18" fillId="18" borderId="166" xfId="0" applyFont="1" applyFill="1" applyBorder="1" applyAlignment="1" applyProtection="1">
      <alignment horizontal="center" vertical="center"/>
      <protection hidden="1"/>
    </xf>
    <xf numFmtId="167" fontId="133" fillId="17" borderId="0" xfId="0" applyNumberFormat="1" applyFont="1" applyFill="1" applyAlignment="1" applyProtection="1">
      <alignment vertical="center"/>
      <protection hidden="1"/>
    </xf>
    <xf numFmtId="0" fontId="138" fillId="17" borderId="40" xfId="0" quotePrefix="1" applyFont="1" applyFill="1" applyBorder="1" applyAlignment="1" applyProtection="1">
      <alignment horizontal="center"/>
      <protection hidden="1"/>
    </xf>
    <xf numFmtId="0" fontId="138" fillId="17" borderId="274" xfId="0" quotePrefix="1" applyFont="1" applyFill="1" applyBorder="1" applyAlignment="1" applyProtection="1">
      <alignment horizontal="center"/>
      <protection hidden="1"/>
    </xf>
    <xf numFmtId="0" fontId="388" fillId="13" borderId="161" xfId="0" applyFont="1" applyFill="1" applyBorder="1" applyAlignment="1" applyProtection="1">
      <alignment vertical="top"/>
      <protection hidden="1"/>
    </xf>
    <xf numFmtId="0" fontId="21" fillId="4" borderId="0" xfId="0" applyFont="1" applyFill="1" applyAlignment="1" applyProtection="1">
      <alignment horizontal="right" vertical="center" indent="1"/>
      <protection hidden="1"/>
    </xf>
    <xf numFmtId="0" fontId="21" fillId="4" borderId="0" xfId="0" applyFont="1" applyFill="1" applyAlignment="1" applyProtection="1">
      <alignment horizontal="left" vertical="center" indent="1"/>
      <protection hidden="1"/>
    </xf>
    <xf numFmtId="0" fontId="60" fillId="4" borderId="0" xfId="0" applyFont="1" applyFill="1" applyAlignment="1" applyProtection="1">
      <alignment horizontal="center" vertical="center"/>
      <protection hidden="1"/>
    </xf>
    <xf numFmtId="0" fontId="117" fillId="17" borderId="0" xfId="0" applyFont="1" applyFill="1" applyAlignment="1" applyProtection="1">
      <alignment horizontal="center" vertical="center"/>
      <protection hidden="1"/>
    </xf>
    <xf numFmtId="0" fontId="172" fillId="4" borderId="0" xfId="0" applyFont="1" applyFill="1" applyAlignment="1" applyProtection="1">
      <alignment wrapText="1"/>
      <protection hidden="1"/>
    </xf>
    <xf numFmtId="174" fontId="117" fillId="4" borderId="0" xfId="0" applyNumberFormat="1" applyFont="1" applyFill="1" applyAlignment="1" applyProtection="1">
      <alignment wrapText="1"/>
      <protection hidden="1"/>
    </xf>
    <xf numFmtId="0" fontId="172" fillId="4" borderId="0" xfId="0" applyFont="1" applyFill="1" applyAlignment="1" applyProtection="1">
      <alignment vertical="top" wrapText="1"/>
      <protection hidden="1"/>
    </xf>
    <xf numFmtId="169" fontId="131" fillId="4" borderId="0" xfId="0" applyNumberFormat="1" applyFont="1" applyFill="1" applyAlignment="1" applyProtection="1">
      <alignment vertical="center" wrapText="1"/>
      <protection hidden="1"/>
    </xf>
    <xf numFmtId="169" fontId="60" fillId="4" borderId="0" xfId="0" applyNumberFormat="1" applyFont="1" applyFill="1" applyAlignment="1" applyProtection="1">
      <alignment horizontal="center" vertical="center"/>
      <protection hidden="1"/>
    </xf>
    <xf numFmtId="0" fontId="172" fillId="4" borderId="0" xfId="0" applyFont="1" applyFill="1" applyAlignment="1" applyProtection="1">
      <alignment horizontal="right" vertical="top"/>
      <protection hidden="1"/>
    </xf>
    <xf numFmtId="0" fontId="172" fillId="4" borderId="0" xfId="0" applyFont="1" applyFill="1" applyAlignment="1" applyProtection="1">
      <alignment horizontal="left" vertical="top"/>
      <protection hidden="1"/>
    </xf>
    <xf numFmtId="0" fontId="470" fillId="17" borderId="0" xfId="0" applyFont="1" applyFill="1" applyAlignment="1" applyProtection="1">
      <alignment vertical="center" wrapText="1"/>
      <protection hidden="1"/>
    </xf>
    <xf numFmtId="0" fontId="112" fillId="17" borderId="0" xfId="0" applyFont="1" applyFill="1" applyAlignment="1" applyProtection="1">
      <alignment vertical="center" wrapText="1"/>
      <protection hidden="1"/>
    </xf>
    <xf numFmtId="0" fontId="390" fillId="17" borderId="0" xfId="0" applyFont="1" applyFill="1" applyAlignment="1" applyProtection="1">
      <alignment vertical="center"/>
      <protection hidden="1"/>
    </xf>
    <xf numFmtId="0" fontId="426" fillId="17" borderId="0" xfId="0" applyFont="1" applyFill="1" applyAlignment="1" applyProtection="1">
      <alignment horizontal="center" vertical="center"/>
      <protection hidden="1"/>
    </xf>
    <xf numFmtId="0" fontId="426" fillId="17" borderId="0" xfId="0" applyFont="1" applyFill="1" applyAlignment="1" applyProtection="1">
      <alignment vertical="center"/>
      <protection hidden="1"/>
    </xf>
    <xf numFmtId="0" fontId="112" fillId="17" borderId="0" xfId="0" applyFont="1" applyFill="1" applyAlignment="1" applyProtection="1">
      <alignment horizontal="right" vertical="center" wrapText="1" indent="1"/>
      <protection hidden="1"/>
    </xf>
    <xf numFmtId="0" fontId="472" fillId="17" borderId="0" xfId="0" applyFont="1" applyFill="1" applyAlignment="1" applyProtection="1">
      <alignment vertical="center" wrapText="1"/>
      <protection hidden="1"/>
    </xf>
    <xf numFmtId="0" fontId="172" fillId="17" borderId="0" xfId="0" applyFont="1" applyFill="1" applyAlignment="1" applyProtection="1">
      <alignment vertical="center" wrapText="1"/>
      <protection hidden="1"/>
    </xf>
    <xf numFmtId="0" fontId="414" fillId="17" borderId="0" xfId="0" applyFont="1" applyFill="1" applyAlignment="1" applyProtection="1">
      <alignment vertical="center"/>
      <protection hidden="1"/>
    </xf>
    <xf numFmtId="0" fontId="40" fillId="17" borderId="0" xfId="0" applyFont="1" applyFill="1" applyAlignment="1" applyProtection="1">
      <alignment horizontal="center" vertical="center"/>
      <protection hidden="1"/>
    </xf>
    <xf numFmtId="0" fontId="18" fillId="17" borderId="172" xfId="0" applyFont="1" applyFill="1" applyBorder="1" applyAlignment="1" applyProtection="1">
      <alignment horizontal="center"/>
      <protection hidden="1"/>
    </xf>
    <xf numFmtId="0" fontId="18" fillId="17" borderId="173" xfId="0" applyFont="1" applyFill="1" applyBorder="1" applyAlignment="1" applyProtection="1">
      <alignment horizontal="center"/>
      <protection hidden="1"/>
    </xf>
    <xf numFmtId="0" fontId="18" fillId="17" borderId="174" xfId="0" applyFont="1" applyFill="1" applyBorder="1" applyAlignment="1" applyProtection="1">
      <alignment horizontal="center"/>
      <protection hidden="1"/>
    </xf>
    <xf numFmtId="0" fontId="18" fillId="17" borderId="175" xfId="0" applyFont="1" applyFill="1" applyBorder="1" applyAlignment="1" applyProtection="1">
      <alignment horizontal="center"/>
      <protection hidden="1"/>
    </xf>
    <xf numFmtId="0" fontId="18" fillId="17" borderId="0" xfId="0" applyFont="1" applyFill="1" applyAlignment="1" applyProtection="1">
      <alignment horizontal="center"/>
      <protection hidden="1"/>
    </xf>
    <xf numFmtId="0" fontId="18" fillId="17" borderId="176" xfId="0" applyFont="1" applyFill="1" applyBorder="1" applyAlignment="1" applyProtection="1">
      <alignment horizontal="center"/>
      <protection hidden="1"/>
    </xf>
    <xf numFmtId="0" fontId="169" fillId="17" borderId="0" xfId="0" applyFont="1" applyFill="1" applyAlignment="1" applyProtection="1">
      <alignment horizontal="left" vertical="center"/>
      <protection hidden="1"/>
    </xf>
    <xf numFmtId="0" fontId="169" fillId="17" borderId="0" xfId="0" applyFont="1" applyFill="1" applyAlignment="1" applyProtection="1">
      <alignment horizontal="right" vertical="center"/>
      <protection hidden="1"/>
    </xf>
    <xf numFmtId="0" fontId="18" fillId="17" borderId="177" xfId="0" applyFont="1" applyFill="1" applyBorder="1" applyAlignment="1" applyProtection="1">
      <alignment horizontal="center"/>
      <protection hidden="1"/>
    </xf>
    <xf numFmtId="0" fontId="18" fillId="17" borderId="178" xfId="0" applyFont="1" applyFill="1" applyBorder="1" applyAlignment="1" applyProtection="1">
      <alignment horizontal="center"/>
      <protection hidden="1"/>
    </xf>
    <xf numFmtId="0" fontId="18" fillId="17" borderId="179" xfId="0" applyFont="1" applyFill="1" applyBorder="1" applyAlignment="1" applyProtection="1">
      <alignment horizontal="center"/>
      <protection hidden="1"/>
    </xf>
    <xf numFmtId="0" fontId="195" fillId="17" borderId="0" xfId="0" applyFont="1" applyFill="1" applyAlignment="1" applyProtection="1">
      <alignment vertical="center" wrapText="1"/>
      <protection hidden="1"/>
    </xf>
    <xf numFmtId="0" fontId="417" fillId="17" borderId="0" xfId="0" applyFont="1" applyFill="1" applyAlignment="1" applyProtection="1">
      <alignment horizontal="center" vertical="center"/>
      <protection hidden="1"/>
    </xf>
    <xf numFmtId="0" fontId="285" fillId="17" borderId="0" xfId="0" applyFont="1" applyFill="1" applyAlignment="1" applyProtection="1">
      <alignment horizontal="center" vertical="center"/>
      <protection hidden="1"/>
    </xf>
    <xf numFmtId="0" fontId="486" fillId="17" borderId="0" xfId="0" applyFont="1" applyFill="1" applyAlignment="1" applyProtection="1">
      <alignment vertical="center"/>
      <protection hidden="1"/>
    </xf>
    <xf numFmtId="0" fontId="417" fillId="17" borderId="0" xfId="0" applyFont="1" applyFill="1" applyAlignment="1" applyProtection="1">
      <alignment vertical="center"/>
      <protection hidden="1"/>
    </xf>
    <xf numFmtId="0" fontId="499" fillId="17" borderId="0" xfId="0" applyFont="1" applyFill="1" applyAlignment="1" applyProtection="1">
      <alignment vertical="center" wrapText="1"/>
      <protection hidden="1"/>
    </xf>
    <xf numFmtId="0" fontId="486" fillId="17" borderId="0" xfId="0" applyFont="1" applyFill="1" applyAlignment="1" applyProtection="1">
      <alignment vertical="center" wrapText="1"/>
      <protection hidden="1"/>
    </xf>
    <xf numFmtId="0" fontId="21" fillId="0" borderId="0" xfId="0" applyFont="1" applyAlignment="1" applyProtection="1">
      <alignment horizontal="center" vertical="center"/>
      <protection locked="0"/>
    </xf>
    <xf numFmtId="0" fontId="144" fillId="0" borderId="0" xfId="0" applyFont="1" applyAlignment="1" applyProtection="1">
      <alignment horizontal="left" vertical="center"/>
      <protection locked="0"/>
    </xf>
    <xf numFmtId="0" fontId="37" fillId="0" borderId="0" xfId="0" applyFont="1" applyAlignment="1" applyProtection="1">
      <alignment horizontal="left" indent="3"/>
      <protection hidden="1"/>
    </xf>
    <xf numFmtId="0" fontId="23" fillId="0" borderId="0" xfId="0" applyFont="1" applyAlignment="1" applyProtection="1">
      <alignment horizontal="left" vertical="center"/>
      <protection hidden="1"/>
    </xf>
    <xf numFmtId="0" fontId="465" fillId="0" borderId="0" xfId="0" applyFont="1" applyAlignment="1" applyProtection="1">
      <alignment horizontal="left" vertical="center"/>
      <protection hidden="1"/>
    </xf>
    <xf numFmtId="0" fontId="27" fillId="0" borderId="0" xfId="0" applyFont="1" applyAlignment="1" applyProtection="1">
      <alignment horizontal="left" vertical="center"/>
      <protection hidden="1"/>
    </xf>
    <xf numFmtId="0" fontId="23" fillId="0" borderId="0" xfId="0" applyFont="1" applyAlignment="1" applyProtection="1">
      <alignment horizontal="left" vertical="center" indent="2"/>
      <protection hidden="1"/>
    </xf>
    <xf numFmtId="0" fontId="384" fillId="0" borderId="35" xfId="0" applyFont="1" applyBorder="1" applyAlignment="1" applyProtection="1">
      <alignment horizontal="left"/>
      <protection hidden="1"/>
    </xf>
    <xf numFmtId="0" fontId="131" fillId="0" borderId="51" xfId="0" applyFont="1" applyBorder="1" applyAlignment="1" applyProtection="1">
      <alignment horizontal="center"/>
      <protection hidden="1"/>
    </xf>
    <xf numFmtId="0" fontId="131" fillId="0" borderId="51" xfId="0" applyFont="1" applyBorder="1" applyAlignment="1" applyProtection="1">
      <alignment horizontal="left"/>
      <protection hidden="1"/>
    </xf>
    <xf numFmtId="0" fontId="131" fillId="0" borderId="34" xfId="0" applyFont="1" applyBorder="1" applyAlignment="1" applyProtection="1">
      <alignment horizontal="left"/>
      <protection hidden="1"/>
    </xf>
    <xf numFmtId="0" fontId="559" fillId="0" borderId="0" xfId="0" applyFont="1" applyAlignment="1" applyProtection="1">
      <alignment horizontal="left"/>
      <protection hidden="1"/>
    </xf>
    <xf numFmtId="0" fontId="101" fillId="0" borderId="0" xfId="0" applyFont="1" applyAlignment="1" applyProtection="1">
      <alignment horizontal="left"/>
      <protection hidden="1"/>
    </xf>
    <xf numFmtId="0" fontId="465" fillId="0" borderId="0" xfId="0" applyFont="1" applyAlignment="1" applyProtection="1">
      <alignment horizontal="left"/>
      <protection hidden="1"/>
    </xf>
    <xf numFmtId="0" fontId="23" fillId="0" borderId="39" xfId="0" applyFont="1" applyBorder="1" applyAlignment="1" applyProtection="1">
      <alignment horizontal="left" vertical="center"/>
      <protection hidden="1"/>
    </xf>
    <xf numFmtId="0" fontId="23" fillId="0" borderId="104" xfId="0" applyFont="1" applyBorder="1" applyAlignment="1" applyProtection="1">
      <alignment horizontal="left" vertical="center"/>
      <protection hidden="1"/>
    </xf>
    <xf numFmtId="0" fontId="101" fillId="0" borderId="0" xfId="0" applyFont="1" applyAlignment="1" applyProtection="1">
      <alignment horizontal="left" vertical="top"/>
      <protection hidden="1"/>
    </xf>
    <xf numFmtId="0" fontId="101" fillId="0" borderId="39" xfId="0" applyFont="1" applyBorder="1" applyAlignment="1" applyProtection="1">
      <alignment horizontal="left" vertical="top"/>
      <protection hidden="1"/>
    </xf>
    <xf numFmtId="0" fontId="101" fillId="0" borderId="104" xfId="0" applyFont="1" applyBorder="1" applyAlignment="1" applyProtection="1">
      <alignment horizontal="left" vertical="top"/>
      <protection hidden="1"/>
    </xf>
    <xf numFmtId="0" fontId="108" fillId="0" borderId="0" xfId="0" applyFont="1" applyAlignment="1" applyProtection="1">
      <alignment horizontal="left" vertical="center"/>
      <protection hidden="1"/>
    </xf>
    <xf numFmtId="0" fontId="560" fillId="0" borderId="0" xfId="0" applyFont="1" applyAlignment="1" applyProtection="1">
      <alignment horizontal="left" vertical="top"/>
      <protection hidden="1"/>
    </xf>
    <xf numFmtId="0" fontId="108" fillId="0" borderId="0" xfId="0" applyFont="1" applyAlignment="1" applyProtection="1">
      <alignment horizontal="left"/>
      <protection hidden="1"/>
    </xf>
    <xf numFmtId="0" fontId="23" fillId="0" borderId="33" xfId="0" applyFont="1" applyBorder="1" applyAlignment="1" applyProtection="1">
      <alignment horizontal="left" vertical="center"/>
      <protection hidden="1"/>
    </xf>
    <xf numFmtId="0" fontId="23" fillId="0" borderId="52" xfId="0" applyFont="1" applyBorder="1" applyAlignment="1" applyProtection="1">
      <alignment horizontal="left" vertical="center"/>
      <protection hidden="1"/>
    </xf>
    <xf numFmtId="0" fontId="23" fillId="0" borderId="22" xfId="0" applyFont="1" applyBorder="1" applyAlignment="1" applyProtection="1">
      <alignment horizontal="left" vertical="center"/>
      <protection hidden="1"/>
    </xf>
    <xf numFmtId="0" fontId="108" fillId="0" borderId="0" xfId="0" applyFont="1" applyAlignment="1" applyProtection="1">
      <alignment horizontal="left" vertical="center" wrapText="1" indent="3"/>
      <protection hidden="1"/>
    </xf>
    <xf numFmtId="0" fontId="23" fillId="0" borderId="0" xfId="0" applyFont="1" applyAlignment="1" applyProtection="1">
      <alignment horizontal="left" vertical="center"/>
      <protection locked="0"/>
    </xf>
    <xf numFmtId="0" fontId="101" fillId="0" borderId="0" xfId="0" applyFont="1" applyAlignment="1" applyProtection="1">
      <alignment horizontal="left"/>
      <protection locked="0"/>
    </xf>
    <xf numFmtId="0" fontId="101" fillId="0" borderId="0" xfId="0" applyFont="1" applyAlignment="1" applyProtection="1">
      <alignment horizontal="left" vertical="center"/>
      <protection locked="0"/>
    </xf>
    <xf numFmtId="0" fontId="75" fillId="0" borderId="0" xfId="0" applyFont="1" applyAlignment="1" applyProtection="1">
      <alignment horizontal="center"/>
      <protection locked="0"/>
    </xf>
    <xf numFmtId="0" fontId="75" fillId="0" borderId="0" xfId="0" applyFont="1" applyAlignment="1" applyProtection="1">
      <alignment horizontal="center" vertical="center"/>
      <protection locked="0"/>
    </xf>
    <xf numFmtId="0" fontId="102" fillId="0" borderId="0" xfId="0" applyFont="1" applyAlignment="1" applyProtection="1">
      <alignment horizontal="center" vertical="center"/>
      <protection locked="0"/>
    </xf>
    <xf numFmtId="0" fontId="74" fillId="0" borderId="0" xfId="0" applyFont="1" applyAlignment="1" applyProtection="1">
      <alignment horizontal="center"/>
      <protection locked="0"/>
    </xf>
    <xf numFmtId="0" fontId="262" fillId="0" borderId="0" xfId="0" applyFont="1" applyAlignment="1" applyProtection="1">
      <alignment horizontal="center" vertical="center"/>
      <protection locked="0"/>
    </xf>
    <xf numFmtId="0" fontId="315" fillId="0" borderId="0" xfId="0" applyFont="1" applyAlignment="1" applyProtection="1">
      <alignment horizontal="center" vertical="center"/>
      <protection locked="0"/>
    </xf>
    <xf numFmtId="0" fontId="67" fillId="3" borderId="100" xfId="0" applyFont="1" applyFill="1" applyBorder="1" applyAlignment="1" applyProtection="1">
      <alignment horizontal="right"/>
      <protection locked="0"/>
    </xf>
    <xf numFmtId="0" fontId="90" fillId="3" borderId="100" xfId="0" applyFont="1" applyFill="1" applyBorder="1" applyProtection="1">
      <protection locked="0"/>
    </xf>
    <xf numFmtId="0" fontId="327" fillId="0" borderId="0" xfId="0" applyFont="1" applyAlignment="1" applyProtection="1">
      <alignment horizontal="center"/>
      <protection locked="0"/>
    </xf>
    <xf numFmtId="0" fontId="90" fillId="3" borderId="148" xfId="0" applyFont="1" applyFill="1" applyBorder="1" applyProtection="1">
      <protection locked="0"/>
    </xf>
    <xf numFmtId="0" fontId="74" fillId="18" borderId="100" xfId="0" applyFont="1" applyFill="1" applyBorder="1" applyProtection="1">
      <protection locked="0"/>
    </xf>
    <xf numFmtId="1" fontId="74" fillId="18" borderId="100" xfId="0" applyNumberFormat="1" applyFont="1" applyFill="1" applyBorder="1" applyProtection="1">
      <protection locked="0"/>
    </xf>
    <xf numFmtId="0" fontId="74" fillId="0" borderId="100" xfId="0" applyFont="1" applyBorder="1" applyAlignment="1" applyProtection="1">
      <alignment horizontal="center"/>
      <protection locked="0"/>
    </xf>
    <xf numFmtId="0" fontId="75" fillId="0" borderId="100" xfId="0" applyFont="1" applyBorder="1" applyAlignment="1" applyProtection="1">
      <alignment horizontal="right"/>
      <protection locked="0"/>
    </xf>
    <xf numFmtId="0" fontId="90" fillId="3" borderId="100" xfId="0" applyFont="1" applyFill="1" applyBorder="1" applyAlignment="1" applyProtection="1">
      <alignment horizontal="center"/>
      <protection locked="0"/>
    </xf>
    <xf numFmtId="0" fontId="90" fillId="3" borderId="100" xfId="0" applyFont="1" applyFill="1" applyBorder="1" applyAlignment="1" applyProtection="1">
      <alignment horizontal="right"/>
      <protection locked="0"/>
    </xf>
    <xf numFmtId="0" fontId="561" fillId="0" borderId="0" xfId="0" applyFont="1" applyAlignment="1" applyProtection="1">
      <alignment horizontal="left" vertical="center" indent="1"/>
      <protection locked="0"/>
    </xf>
    <xf numFmtId="0" fontId="90" fillId="3" borderId="100" xfId="0" applyFont="1" applyFill="1" applyBorder="1" applyAlignment="1" applyProtection="1">
      <alignment horizontal="left"/>
      <protection locked="0"/>
    </xf>
    <xf numFmtId="0" fontId="74" fillId="3" borderId="100" xfId="0" applyFont="1" applyFill="1" applyBorder="1" applyAlignment="1" applyProtection="1">
      <alignment horizontal="center"/>
      <protection locked="0"/>
    </xf>
    <xf numFmtId="0" fontId="90" fillId="15" borderId="121" xfId="0" applyFont="1" applyFill="1" applyBorder="1" applyAlignment="1" applyProtection="1">
      <alignment horizontal="left"/>
      <protection locked="0"/>
    </xf>
    <xf numFmtId="0" fontId="185" fillId="3" borderId="100" xfId="0" applyFont="1" applyFill="1" applyBorder="1" applyAlignment="1" applyProtection="1">
      <alignment horizontal="right"/>
      <protection locked="0"/>
    </xf>
    <xf numFmtId="0" fontId="185" fillId="3" borderId="100" xfId="0" applyFont="1" applyFill="1" applyBorder="1" applyAlignment="1" applyProtection="1">
      <alignment horizontal="left" indent="1"/>
      <protection locked="0"/>
    </xf>
    <xf numFmtId="0" fontId="561" fillId="0" borderId="0" xfId="0" applyFont="1" applyAlignment="1" applyProtection="1">
      <alignment horizontal="left" vertical="center"/>
      <protection locked="0"/>
    </xf>
    <xf numFmtId="0" fontId="317" fillId="0" borderId="0" xfId="0" applyFont="1" applyAlignment="1" applyProtection="1">
      <alignment horizontal="left" vertical="center"/>
      <protection locked="0"/>
    </xf>
    <xf numFmtId="0" fontId="75" fillId="0" borderId="0" xfId="0" applyFont="1" applyAlignment="1" applyProtection="1">
      <alignment horizontal="left"/>
      <protection locked="0"/>
    </xf>
    <xf numFmtId="1" fontId="90" fillId="21" borderId="100" xfId="0" applyNumberFormat="1" applyFont="1" applyFill="1" applyBorder="1" applyProtection="1">
      <protection locked="0"/>
    </xf>
    <xf numFmtId="1" fontId="74" fillId="18" borderId="100" xfId="0" applyNumberFormat="1" applyFont="1" applyFill="1" applyBorder="1" applyAlignment="1" applyProtection="1">
      <alignment horizontal="right"/>
      <protection locked="0"/>
    </xf>
    <xf numFmtId="0" fontId="37" fillId="0" borderId="0" xfId="0" applyFont="1" applyAlignment="1" applyProtection="1">
      <alignment horizontal="center" vertical="center"/>
      <protection locked="0"/>
    </xf>
    <xf numFmtId="0" fontId="74" fillId="18" borderId="100" xfId="0" quotePrefix="1" applyFont="1" applyFill="1" applyBorder="1" applyAlignment="1" applyProtection="1">
      <alignment horizontal="right"/>
      <protection locked="0"/>
    </xf>
    <xf numFmtId="0" fontId="74" fillId="0" borderId="0" xfId="0" applyFont="1" applyProtection="1">
      <protection locked="0"/>
    </xf>
    <xf numFmtId="17" fontId="74" fillId="18" borderId="100" xfId="0" applyNumberFormat="1" applyFont="1" applyFill="1" applyBorder="1" applyAlignment="1" applyProtection="1">
      <alignment horizontal="right"/>
      <protection locked="0"/>
    </xf>
    <xf numFmtId="1" fontId="74" fillId="18" borderId="106" xfId="0" applyNumberFormat="1" applyFont="1" applyFill="1" applyBorder="1" applyAlignment="1" applyProtection="1">
      <alignment horizontal="right"/>
      <protection locked="0"/>
    </xf>
    <xf numFmtId="0" fontId="68" fillId="0" borderId="0" xfId="0" applyFont="1" applyAlignment="1" applyProtection="1">
      <alignment horizontal="center"/>
      <protection locked="0"/>
    </xf>
    <xf numFmtId="17" fontId="90" fillId="3" borderId="100" xfId="0" applyNumberFormat="1" applyFont="1" applyFill="1" applyBorder="1" applyAlignment="1" applyProtection="1">
      <alignment horizontal="right"/>
      <protection locked="0"/>
    </xf>
    <xf numFmtId="0" fontId="74" fillId="0" borderId="100" xfId="0" applyFont="1" applyBorder="1" applyAlignment="1" applyProtection="1">
      <alignment horizontal="right"/>
      <protection locked="0"/>
    </xf>
    <xf numFmtId="0" fontId="90" fillId="21" borderId="100" xfId="0" applyFont="1" applyFill="1" applyBorder="1" applyAlignment="1" applyProtection="1">
      <alignment horizontal="right"/>
      <protection locked="0"/>
    </xf>
    <xf numFmtId="167" fontId="75" fillId="0" borderId="100" xfId="0" applyNumberFormat="1" applyFont="1" applyBorder="1" applyProtection="1">
      <protection locked="0"/>
    </xf>
    <xf numFmtId="0" fontId="90" fillId="21" borderId="100" xfId="0" applyFont="1" applyFill="1" applyBorder="1" applyAlignment="1" applyProtection="1">
      <alignment horizontal="right" vertical="center"/>
      <protection locked="0"/>
    </xf>
    <xf numFmtId="0" fontId="90" fillId="21" borderId="100" xfId="0" applyFont="1" applyFill="1" applyBorder="1" applyAlignment="1" applyProtection="1">
      <alignment horizontal="left"/>
      <protection locked="0"/>
    </xf>
    <xf numFmtId="0" fontId="74" fillId="21" borderId="100" xfId="0" applyFont="1" applyFill="1" applyBorder="1" applyAlignment="1" applyProtection="1">
      <alignment horizontal="left"/>
      <protection locked="0"/>
    </xf>
    <xf numFmtId="0" fontId="193" fillId="0" borderId="0" xfId="0" applyFont="1" applyAlignment="1" applyProtection="1">
      <alignment horizontal="center" vertical="center"/>
      <protection locked="0"/>
    </xf>
    <xf numFmtId="0" fontId="74" fillId="0" borderId="0" xfId="0" applyFont="1" applyAlignment="1" applyProtection="1">
      <alignment horizontal="right"/>
      <protection locked="0"/>
    </xf>
    <xf numFmtId="0" fontId="75" fillId="0" borderId="100" xfId="0" applyFont="1" applyBorder="1" applyAlignment="1" applyProtection="1">
      <alignment horizontal="left"/>
      <protection locked="0"/>
    </xf>
    <xf numFmtId="1" fontId="74" fillId="0" borderId="100" xfId="0" applyNumberFormat="1" applyFont="1" applyBorder="1" applyAlignment="1" applyProtection="1">
      <alignment horizontal="right"/>
      <protection locked="0"/>
    </xf>
    <xf numFmtId="0" fontId="74" fillId="0" borderId="0" xfId="0" applyFont="1" applyAlignment="1" applyProtection="1">
      <alignment horizontal="right" indent="1"/>
      <protection locked="0"/>
    </xf>
    <xf numFmtId="0" fontId="67" fillId="0" borderId="0" xfId="0" applyFont="1" applyAlignment="1" applyProtection="1">
      <alignment horizontal="right"/>
      <protection locked="0"/>
    </xf>
    <xf numFmtId="0" fontId="74" fillId="0" borderId="149" xfId="0" applyFont="1" applyBorder="1" applyAlignment="1" applyProtection="1">
      <alignment horizontal="right"/>
      <protection locked="0"/>
    </xf>
    <xf numFmtId="0" fontId="70" fillId="0" borderId="100" xfId="0" applyFont="1" applyBorder="1" applyAlignment="1" applyProtection="1">
      <alignment horizontal="left" vertical="center" wrapText="1"/>
      <protection locked="0"/>
    </xf>
    <xf numFmtId="0" fontId="103" fillId="15" borderId="100" xfId="0" applyFont="1" applyFill="1" applyBorder="1" applyAlignment="1" applyProtection="1">
      <alignment horizontal="left" vertical="center" wrapText="1"/>
      <protection locked="0"/>
    </xf>
    <xf numFmtId="0" fontId="90" fillId="3" borderId="110" xfId="0" applyFont="1" applyFill="1" applyBorder="1" applyAlignment="1" applyProtection="1">
      <alignment horizontal="left"/>
      <protection locked="0"/>
    </xf>
    <xf numFmtId="0" fontId="90" fillId="3" borderId="297" xfId="0" applyFont="1" applyFill="1" applyBorder="1" applyAlignment="1" applyProtection="1">
      <alignment horizontal="left"/>
      <protection locked="0"/>
    </xf>
    <xf numFmtId="0" fontId="35" fillId="14" borderId="100" xfId="0" applyFont="1" applyFill="1" applyBorder="1" applyAlignment="1" applyProtection="1">
      <alignment horizontal="left" vertical="center" wrapText="1"/>
      <protection locked="0"/>
    </xf>
    <xf numFmtId="0" fontId="319" fillId="0" borderId="1" xfId="0" applyFont="1" applyBorder="1" applyAlignment="1" applyProtection="1">
      <alignment vertical="center"/>
      <protection locked="0"/>
    </xf>
    <xf numFmtId="0" fontId="318" fillId="0" borderId="3" xfId="0" applyFont="1" applyBorder="1" applyAlignment="1" applyProtection="1">
      <alignment horizontal="center" vertical="center"/>
      <protection locked="0"/>
    </xf>
    <xf numFmtId="0" fontId="75" fillId="0" borderId="0" xfId="0" applyFont="1" applyAlignment="1" applyProtection="1">
      <alignment horizontal="right" indent="1"/>
      <protection locked="0"/>
    </xf>
    <xf numFmtId="0" fontId="74" fillId="0" borderId="0" xfId="0" applyFont="1" applyAlignment="1" applyProtection="1">
      <alignment horizontal="left"/>
      <protection locked="0"/>
    </xf>
    <xf numFmtId="14" fontId="74" fillId="18" borderId="100" xfId="0" applyNumberFormat="1" applyFont="1" applyFill="1" applyBorder="1" applyAlignment="1" applyProtection="1">
      <alignment horizontal="right"/>
      <protection locked="0"/>
    </xf>
    <xf numFmtId="0" fontId="121" fillId="0" borderId="0" xfId="0" applyFont="1" applyAlignment="1" applyProtection="1">
      <alignment horizontal="right"/>
      <protection locked="0"/>
    </xf>
    <xf numFmtId="49" fontId="70" fillId="0" borderId="150" xfId="0" applyNumberFormat="1" applyFont="1" applyBorder="1" applyAlignment="1" applyProtection="1">
      <alignment horizontal="left" vertical="center"/>
      <protection locked="0"/>
    </xf>
    <xf numFmtId="0" fontId="74" fillId="16" borderId="151" xfId="0" applyFont="1" applyFill="1" applyBorder="1" applyAlignment="1" applyProtection="1">
      <alignment horizontal="left"/>
      <protection locked="0"/>
    </xf>
    <xf numFmtId="0" fontId="74" fillId="17" borderId="151" xfId="0" applyFont="1" applyFill="1" applyBorder="1" applyAlignment="1" applyProtection="1">
      <alignment horizontal="left"/>
      <protection locked="0"/>
    </xf>
    <xf numFmtId="0" fontId="74" fillId="0" borderId="4" xfId="0" applyFont="1" applyBorder="1" applyAlignment="1" applyProtection="1">
      <alignment horizontal="left"/>
      <protection locked="0"/>
    </xf>
    <xf numFmtId="1" fontId="90" fillId="3" borderId="100" xfId="0" applyNumberFormat="1" applyFont="1" applyFill="1" applyBorder="1" applyProtection="1">
      <protection locked="0"/>
    </xf>
    <xf numFmtId="177" fontId="185" fillId="3" borderId="100" xfId="0" applyNumberFormat="1" applyFont="1" applyFill="1" applyBorder="1" applyProtection="1">
      <protection locked="0"/>
    </xf>
    <xf numFmtId="0" fontId="75" fillId="0" borderId="100" xfId="0" applyFont="1" applyBorder="1" applyProtection="1">
      <protection locked="0"/>
    </xf>
    <xf numFmtId="0" fontId="23" fillId="0" borderId="1" xfId="0" applyFont="1" applyBorder="1" applyAlignment="1" applyProtection="1">
      <alignment vertical="center"/>
      <protection locked="0"/>
    </xf>
    <xf numFmtId="0" fontId="74" fillId="0" borderId="100" xfId="0" applyFont="1" applyBorder="1" applyProtection="1">
      <protection locked="0"/>
    </xf>
    <xf numFmtId="0" fontId="74" fillId="17" borderId="118" xfId="0" applyFont="1" applyFill="1" applyBorder="1" applyAlignment="1" applyProtection="1">
      <alignment horizontal="center"/>
      <protection locked="0"/>
    </xf>
    <xf numFmtId="0" fontId="23" fillId="0" borderId="1" xfId="0" applyFont="1" applyBorder="1" applyAlignment="1" applyProtection="1">
      <alignment horizontal="left" vertical="center"/>
      <protection locked="0"/>
    </xf>
    <xf numFmtId="167" fontId="74" fillId="18" borderId="100" xfId="0" applyNumberFormat="1" applyFont="1" applyFill="1" applyBorder="1" applyProtection="1">
      <protection locked="0"/>
    </xf>
    <xf numFmtId="177" fontId="75" fillId="0" borderId="0" xfId="0" applyNumberFormat="1" applyFont="1" applyProtection="1">
      <protection locked="0"/>
    </xf>
    <xf numFmtId="0" fontId="170" fillId="0" borderId="0" xfId="0" applyFont="1" applyAlignment="1" applyProtection="1">
      <alignment horizontal="right"/>
      <protection locked="0"/>
    </xf>
    <xf numFmtId="1" fontId="74" fillId="18" borderId="137" xfId="0" applyNumberFormat="1" applyFont="1" applyFill="1" applyBorder="1" applyAlignment="1" applyProtection="1">
      <alignment horizontal="right"/>
      <protection locked="0"/>
    </xf>
    <xf numFmtId="1" fontId="230" fillId="18" borderId="145" xfId="0" applyNumberFormat="1" applyFont="1" applyFill="1" applyBorder="1" applyAlignment="1" applyProtection="1">
      <alignment horizontal="right" vertical="center"/>
      <protection locked="0"/>
    </xf>
    <xf numFmtId="0" fontId="75" fillId="18" borderId="187" xfId="0" applyFont="1" applyFill="1" applyBorder="1" applyAlignment="1" applyProtection="1">
      <alignment horizontal="center"/>
      <protection locked="0"/>
    </xf>
    <xf numFmtId="1" fontId="74" fillId="18" borderId="136" xfId="0" applyNumberFormat="1" applyFont="1" applyFill="1" applyBorder="1" applyAlignment="1" applyProtection="1">
      <alignment horizontal="right"/>
      <protection locked="0"/>
    </xf>
    <xf numFmtId="14" fontId="74" fillId="18" borderId="148" xfId="0" applyNumberFormat="1" applyFont="1" applyFill="1" applyBorder="1" applyAlignment="1" applyProtection="1">
      <alignment horizontal="right"/>
      <protection locked="0"/>
    </xf>
    <xf numFmtId="1" fontId="74" fillId="18" borderId="122" xfId="0" applyNumberFormat="1" applyFont="1" applyFill="1" applyBorder="1" applyAlignment="1" applyProtection="1">
      <alignment horizontal="right"/>
      <protection locked="0"/>
    </xf>
    <xf numFmtId="0" fontId="74" fillId="0" borderId="268" xfId="0" applyFont="1" applyBorder="1" applyAlignment="1" applyProtection="1">
      <alignment horizontal="center"/>
      <protection locked="0"/>
    </xf>
    <xf numFmtId="0" fontId="90" fillId="4" borderId="187" xfId="0" applyFont="1" applyFill="1" applyBorder="1" applyAlignment="1" applyProtection="1">
      <alignment horizontal="center"/>
      <protection locked="0"/>
    </xf>
    <xf numFmtId="1" fontId="74" fillId="18" borderId="267" xfId="0" applyNumberFormat="1" applyFont="1" applyFill="1" applyBorder="1" applyAlignment="1" applyProtection="1">
      <alignment horizontal="right"/>
      <protection locked="0"/>
    </xf>
    <xf numFmtId="1" fontId="101" fillId="18" borderId="100" xfId="0" applyNumberFormat="1" applyFont="1" applyFill="1" applyBorder="1" applyAlignment="1" applyProtection="1">
      <alignment horizontal="right"/>
      <protection locked="0"/>
    </xf>
    <xf numFmtId="0" fontId="101" fillId="3" borderId="187" xfId="0" applyFont="1" applyFill="1" applyBorder="1" applyAlignment="1" applyProtection="1">
      <alignment horizontal="center"/>
      <protection locked="0"/>
    </xf>
    <xf numFmtId="0" fontId="74" fillId="3" borderId="187" xfId="0" applyFont="1" applyFill="1" applyBorder="1" applyAlignment="1" applyProtection="1">
      <alignment horizontal="center"/>
      <protection locked="0"/>
    </xf>
    <xf numFmtId="0" fontId="244" fillId="0" borderId="0" xfId="0" applyFont="1" applyProtection="1">
      <protection locked="0"/>
    </xf>
    <xf numFmtId="0" fontId="35" fillId="0" borderId="100" xfId="0" applyFont="1" applyBorder="1" applyAlignment="1" applyProtection="1">
      <alignment horizontal="left" vertical="center" wrapText="1"/>
      <protection locked="0"/>
    </xf>
    <xf numFmtId="0" fontId="244" fillId="0" borderId="0" xfId="0" applyFont="1" applyAlignment="1" applyProtection="1">
      <alignment horizontal="center"/>
      <protection locked="0"/>
    </xf>
    <xf numFmtId="0" fontId="74" fillId="3" borderId="100" xfId="0" applyFont="1" applyFill="1" applyBorder="1" applyProtection="1">
      <protection locked="0"/>
    </xf>
    <xf numFmtId="0" fontId="74" fillId="0" borderId="133" xfId="0" applyFont="1" applyBorder="1" applyAlignment="1" applyProtection="1">
      <alignment horizontal="center"/>
      <protection locked="0"/>
    </xf>
    <xf numFmtId="0" fontId="74" fillId="0" borderId="134" xfId="0" applyFont="1" applyBorder="1" applyAlignment="1" applyProtection="1">
      <alignment horizontal="center"/>
      <protection locked="0"/>
    </xf>
    <xf numFmtId="0" fontId="74" fillId="0" borderId="135" xfId="0" applyFont="1" applyBorder="1" applyAlignment="1" applyProtection="1">
      <alignment horizontal="center"/>
      <protection locked="0"/>
    </xf>
    <xf numFmtId="0" fontId="74" fillId="18" borderId="187" xfId="0" applyFont="1" applyFill="1" applyBorder="1" applyAlignment="1" applyProtection="1">
      <alignment horizontal="center"/>
      <protection locked="0"/>
    </xf>
    <xf numFmtId="0" fontId="74" fillId="0" borderId="147" xfId="0" applyFont="1" applyBorder="1" applyAlignment="1" applyProtection="1">
      <alignment horizontal="right"/>
      <protection locked="0"/>
    </xf>
    <xf numFmtId="0" fontId="74" fillId="0" borderId="148" xfId="0" applyFont="1" applyBorder="1" applyAlignment="1" applyProtection="1">
      <alignment horizontal="right"/>
      <protection locked="0"/>
    </xf>
    <xf numFmtId="0" fontId="74" fillId="0" borderId="0" xfId="0" applyFont="1" applyAlignment="1" applyProtection="1">
      <alignment vertical="top" wrapText="1"/>
      <protection locked="0"/>
    </xf>
    <xf numFmtId="0" fontId="561" fillId="0" borderId="0" xfId="0" applyFont="1" applyAlignment="1" applyProtection="1">
      <alignment horizontal="right" vertical="center"/>
      <protection locked="0"/>
    </xf>
    <xf numFmtId="168" fontId="75" fillId="0" borderId="100" xfId="0" applyNumberFormat="1" applyFont="1" applyBorder="1" applyAlignment="1" applyProtection="1">
      <alignment horizontal="center"/>
      <protection locked="0"/>
    </xf>
    <xf numFmtId="0" fontId="74" fillId="0" borderId="136" xfId="0" applyFont="1" applyBorder="1" applyProtection="1">
      <protection locked="0"/>
    </xf>
    <xf numFmtId="0" fontId="74" fillId="0" borderId="137" xfId="0" applyFont="1" applyBorder="1" applyAlignment="1" applyProtection="1">
      <alignment horizontal="center"/>
      <protection locked="0"/>
    </xf>
    <xf numFmtId="0" fontId="102" fillId="0" borderId="0" xfId="0" applyFont="1" applyAlignment="1" applyProtection="1">
      <alignment horizontal="right"/>
      <protection locked="0"/>
    </xf>
    <xf numFmtId="0" fontId="68" fillId="0" borderId="0" xfId="0" applyFont="1" applyAlignment="1" applyProtection="1">
      <alignment horizontal="left"/>
      <protection locked="0"/>
    </xf>
    <xf numFmtId="0" fontId="101" fillId="0" borderId="0" xfId="0" applyFont="1" applyAlignment="1" applyProtection="1">
      <alignment horizontal="center"/>
      <protection locked="0"/>
    </xf>
    <xf numFmtId="0" fontId="108" fillId="0" borderId="0" xfId="0" applyFont="1" applyAlignment="1" applyProtection="1">
      <alignment horizontal="right" indent="1"/>
      <protection locked="0"/>
    </xf>
    <xf numFmtId="0" fontId="74" fillId="0" borderId="0" xfId="0" applyFont="1" applyAlignment="1" applyProtection="1">
      <alignment horizontal="left" indent="1"/>
      <protection locked="0"/>
    </xf>
    <xf numFmtId="0" fontId="74" fillId="0" borderId="122" xfId="0" applyFont="1" applyBorder="1" applyAlignment="1" applyProtection="1">
      <alignment horizontal="center"/>
      <protection locked="0"/>
    </xf>
    <xf numFmtId="49" fontId="70" fillId="0" borderId="100" xfId="0" applyNumberFormat="1" applyFont="1" applyBorder="1" applyAlignment="1" applyProtection="1">
      <alignment horizontal="left" vertical="center" wrapText="1"/>
      <protection locked="0"/>
    </xf>
    <xf numFmtId="0" fontId="74" fillId="0" borderId="0" xfId="0" applyFont="1" applyAlignment="1" applyProtection="1">
      <alignment horizontal="center" vertical="center"/>
      <protection locked="0"/>
    </xf>
    <xf numFmtId="0" fontId="75" fillId="0" borderId="137" xfId="0" applyFont="1" applyBorder="1" applyProtection="1">
      <protection locked="0"/>
    </xf>
    <xf numFmtId="0" fontId="90" fillId="3" borderId="147" xfId="0" applyFont="1" applyFill="1" applyBorder="1" applyProtection="1">
      <protection locked="0"/>
    </xf>
    <xf numFmtId="0" fontId="90" fillId="3" borderId="147" xfId="0" applyFont="1" applyFill="1" applyBorder="1" applyAlignment="1" applyProtection="1">
      <alignment horizontal="right"/>
      <protection locked="0"/>
    </xf>
    <xf numFmtId="0" fontId="29" fillId="3" borderId="100" xfId="0" applyFont="1" applyFill="1" applyBorder="1" applyAlignment="1" applyProtection="1">
      <alignment horizontal="center"/>
      <protection locked="0"/>
    </xf>
    <xf numFmtId="0" fontId="90" fillId="0" borderId="137" xfId="0" applyFont="1" applyBorder="1" applyAlignment="1" applyProtection="1">
      <alignment horizontal="left"/>
      <protection locked="0"/>
    </xf>
    <xf numFmtId="17" fontId="90" fillId="21" borderId="100" xfId="0" applyNumberFormat="1" applyFont="1" applyFill="1" applyBorder="1" applyAlignment="1" applyProtection="1">
      <alignment horizontal="right"/>
      <protection locked="0"/>
    </xf>
    <xf numFmtId="0" fontId="74" fillId="14" borderId="100" xfId="0" applyFont="1" applyFill="1" applyBorder="1" applyAlignment="1" applyProtection="1">
      <alignment horizontal="right"/>
      <protection locked="0"/>
    </xf>
    <xf numFmtId="177" fontId="90" fillId="21" borderId="100" xfId="0" applyNumberFormat="1" applyFont="1" applyFill="1" applyBorder="1" applyAlignment="1" applyProtection="1">
      <alignment horizontal="right"/>
      <protection locked="0"/>
    </xf>
    <xf numFmtId="0" fontId="73" fillId="0" borderId="100" xfId="0" applyFont="1" applyBorder="1" applyAlignment="1" applyProtection="1">
      <alignment horizontal="left"/>
      <protection locked="0"/>
    </xf>
    <xf numFmtId="0" fontId="73" fillId="0" borderId="100" xfId="0" applyFont="1" applyBorder="1" applyAlignment="1" applyProtection="1">
      <alignment horizontal="right"/>
      <protection locked="0"/>
    </xf>
    <xf numFmtId="0" fontId="101" fillId="0" borderId="100" xfId="0" applyFont="1" applyBorder="1" applyAlignment="1" applyProtection="1">
      <alignment horizontal="right"/>
      <protection locked="0"/>
    </xf>
    <xf numFmtId="0" fontId="75" fillId="0" borderId="0" xfId="0" applyFont="1" applyAlignment="1" applyProtection="1">
      <alignment horizontal="right"/>
      <protection locked="0"/>
    </xf>
    <xf numFmtId="0" fontId="101" fillId="0" borderId="0" xfId="0" applyFont="1" applyAlignment="1" applyProtection="1">
      <alignment horizontal="left" vertical="center" indent="1"/>
      <protection locked="0"/>
    </xf>
    <xf numFmtId="0" fontId="1" fillId="0" borderId="0" xfId="0" applyFont="1" applyAlignment="1" applyProtection="1">
      <alignment horizontal="center"/>
      <protection locked="0"/>
    </xf>
    <xf numFmtId="0" fontId="74" fillId="0" borderId="14" xfId="0" applyFont="1" applyBorder="1" applyAlignment="1" applyProtection="1">
      <alignment horizontal="left"/>
      <protection locked="0"/>
    </xf>
    <xf numFmtId="0" fontId="74" fillId="0" borderId="13" xfId="0" applyFont="1" applyBorder="1" applyAlignment="1" applyProtection="1">
      <alignment horizontal="center"/>
      <protection locked="0"/>
    </xf>
    <xf numFmtId="0" fontId="74" fillId="0" borderId="15" xfId="0" applyFont="1" applyBorder="1" applyAlignment="1" applyProtection="1">
      <alignment horizontal="center"/>
      <protection locked="0"/>
    </xf>
    <xf numFmtId="0" fontId="90" fillId="0" borderId="0" xfId="0" applyFont="1" applyAlignment="1" applyProtection="1">
      <alignment horizontal="right" indent="1"/>
      <protection locked="0"/>
    </xf>
    <xf numFmtId="0" fontId="74" fillId="0" borderId="16" xfId="0" applyFont="1" applyBorder="1" applyAlignment="1" applyProtection="1">
      <alignment horizontal="center"/>
      <protection locked="0"/>
    </xf>
    <xf numFmtId="0" fontId="74" fillId="0" borderId="17" xfId="0" applyFont="1" applyBorder="1" applyAlignment="1" applyProtection="1">
      <alignment horizontal="center"/>
      <protection locked="0"/>
    </xf>
    <xf numFmtId="0" fontId="75" fillId="0" borderId="187" xfId="0" applyFont="1" applyBorder="1" applyAlignment="1" applyProtection="1">
      <alignment horizontal="center"/>
      <protection locked="0"/>
    </xf>
    <xf numFmtId="0" fontId="75" fillId="0" borderId="0" xfId="0" applyFont="1" applyAlignment="1" applyProtection="1">
      <alignment horizontal="left" vertical="center" indent="1"/>
      <protection locked="0"/>
    </xf>
    <xf numFmtId="0" fontId="67" fillId="0" borderId="0" xfId="0" applyFont="1" applyProtection="1">
      <protection locked="0"/>
    </xf>
    <xf numFmtId="0" fontId="127" fillId="0" borderId="0" xfId="0" applyFont="1" applyAlignment="1" applyProtection="1">
      <alignment horizontal="center"/>
      <protection locked="0"/>
    </xf>
    <xf numFmtId="1" fontId="74" fillId="0" borderId="0" xfId="0" applyNumberFormat="1" applyFont="1" applyAlignment="1" applyProtection="1">
      <alignment horizontal="right"/>
      <protection locked="0"/>
    </xf>
    <xf numFmtId="0" fontId="90" fillId="0" borderId="0" xfId="0" applyFont="1" applyProtection="1">
      <protection locked="0"/>
    </xf>
    <xf numFmtId="0" fontId="74" fillId="0" borderId="0" xfId="0" applyFont="1" applyAlignment="1" applyProtection="1">
      <alignment horizontal="right" indent="2"/>
      <protection locked="0"/>
    </xf>
    <xf numFmtId="0" fontId="1" fillId="0" borderId="0" xfId="0" applyFont="1" applyAlignment="1" applyProtection="1">
      <alignment horizontal="left" indent="1"/>
      <protection locked="0"/>
    </xf>
    <xf numFmtId="0" fontId="75" fillId="0" borderId="0" xfId="0" quotePrefix="1" applyFont="1" applyAlignment="1" applyProtection="1">
      <alignment horizontal="right"/>
      <protection locked="0"/>
    </xf>
    <xf numFmtId="0" fontId="75" fillId="0" borderId="0" xfId="0" applyFont="1" applyAlignment="1" applyProtection="1">
      <alignment textRotation="255" wrapText="1"/>
      <protection locked="0"/>
    </xf>
    <xf numFmtId="49" fontId="70" fillId="0" borderId="114" xfId="0" applyNumberFormat="1" applyFont="1" applyBorder="1" applyAlignment="1" applyProtection="1">
      <alignment horizontal="left" vertical="center"/>
      <protection locked="0"/>
    </xf>
    <xf numFmtId="0" fontId="74" fillId="0" borderId="115" xfId="0" applyFont="1" applyBorder="1" applyAlignment="1" applyProtection="1">
      <alignment horizontal="center"/>
      <protection locked="0"/>
    </xf>
    <xf numFmtId="0" fontId="74" fillId="0" borderId="115" xfId="0" applyFont="1" applyBorder="1" applyAlignment="1" applyProtection="1">
      <alignment horizontal="left"/>
      <protection locked="0"/>
    </xf>
    <xf numFmtId="0" fontId="74" fillId="16" borderId="117" xfId="0" applyFont="1" applyFill="1" applyBorder="1" applyAlignment="1" applyProtection="1">
      <alignment horizontal="center"/>
      <protection locked="0"/>
    </xf>
    <xf numFmtId="0" fontId="74" fillId="17" borderId="117" xfId="0" applyFont="1" applyFill="1" applyBorder="1" applyAlignment="1" applyProtection="1">
      <alignment horizontal="center"/>
      <protection locked="0"/>
    </xf>
    <xf numFmtId="0" fontId="75" fillId="0" borderId="0" xfId="0" applyFont="1" applyAlignment="1" applyProtection="1">
      <alignment vertical="center" textRotation="255" wrapText="1"/>
      <protection locked="0"/>
    </xf>
    <xf numFmtId="0" fontId="103" fillId="3" borderId="100" xfId="0" applyFont="1" applyFill="1" applyBorder="1" applyAlignment="1" applyProtection="1">
      <alignment horizontal="left" vertical="center" wrapText="1"/>
      <protection locked="0"/>
    </xf>
    <xf numFmtId="0" fontId="121" fillId="0" borderId="0" xfId="0" applyFont="1" applyAlignment="1" applyProtection="1">
      <alignment horizontal="left" indent="2"/>
      <protection locked="0"/>
    </xf>
    <xf numFmtId="1" fontId="75" fillId="18" borderId="100" xfId="0" applyNumberFormat="1" applyFont="1" applyFill="1" applyBorder="1" applyAlignment="1" applyProtection="1">
      <alignment horizontal="right"/>
      <protection locked="0"/>
    </xf>
    <xf numFmtId="0" fontId="75" fillId="18" borderId="100" xfId="0" applyFont="1" applyFill="1" applyBorder="1" applyAlignment="1" applyProtection="1">
      <alignment horizontal="right"/>
      <protection locked="0"/>
    </xf>
    <xf numFmtId="0" fontId="74" fillId="0" borderId="18" xfId="0" applyFont="1" applyBorder="1" applyAlignment="1" applyProtection="1">
      <alignment horizontal="center"/>
      <protection locked="0"/>
    </xf>
    <xf numFmtId="0" fontId="74" fillId="0" borderId="19" xfId="0" applyFont="1" applyBorder="1" applyAlignment="1" applyProtection="1">
      <alignment horizontal="center"/>
      <protection locked="0"/>
    </xf>
    <xf numFmtId="0" fontId="74" fillId="0" borderId="20" xfId="0" applyFont="1" applyBorder="1" applyAlignment="1" applyProtection="1">
      <alignment horizontal="center"/>
      <protection locked="0"/>
    </xf>
    <xf numFmtId="0" fontId="1" fillId="0" borderId="133" xfId="0" applyFont="1" applyBorder="1" applyAlignment="1" applyProtection="1">
      <alignment horizontal="center"/>
      <protection locked="0"/>
    </xf>
    <xf numFmtId="0" fontId="1" fillId="0" borderId="134" xfId="0" applyFont="1" applyBorder="1" applyAlignment="1" applyProtection="1">
      <alignment horizontal="center"/>
      <protection locked="0"/>
    </xf>
    <xf numFmtId="0" fontId="1" fillId="0" borderId="136" xfId="0" applyFont="1" applyBorder="1" applyAlignment="1" applyProtection="1">
      <alignment horizontal="center"/>
      <protection locked="0"/>
    </xf>
    <xf numFmtId="0" fontId="457" fillId="0" borderId="0" xfId="0" applyFont="1" applyAlignment="1" applyProtection="1">
      <alignment vertical="center" wrapText="1"/>
      <protection locked="0"/>
    </xf>
    <xf numFmtId="0" fontId="316" fillId="0" borderId="0" xfId="0" applyFont="1" applyAlignment="1" applyProtection="1">
      <alignment horizontal="center" vertical="center"/>
      <protection locked="0"/>
    </xf>
    <xf numFmtId="0" fontId="68" fillId="3" borderId="100" xfId="0" applyFont="1" applyFill="1" applyBorder="1" applyProtection="1">
      <protection locked="0"/>
    </xf>
    <xf numFmtId="0" fontId="129" fillId="0" borderId="0" xfId="0" applyFont="1" applyAlignment="1" applyProtection="1">
      <alignment horizontal="right"/>
      <protection locked="0"/>
    </xf>
    <xf numFmtId="0" fontId="74" fillId="0" borderId="194" xfId="0" applyFont="1" applyBorder="1" applyAlignment="1" applyProtection="1">
      <alignment horizontal="center"/>
      <protection locked="0"/>
    </xf>
    <xf numFmtId="0" fontId="74" fillId="0" borderId="194" xfId="0" applyFont="1" applyBorder="1" applyAlignment="1" applyProtection="1">
      <alignment horizontal="right" indent="2"/>
      <protection locked="0"/>
    </xf>
    <xf numFmtId="0" fontId="74" fillId="3" borderId="195" xfId="0" applyFont="1" applyFill="1" applyBorder="1" applyAlignment="1" applyProtection="1">
      <alignment horizontal="center"/>
      <protection locked="0"/>
    </xf>
    <xf numFmtId="0" fontId="1" fillId="0" borderId="194" xfId="0" applyFont="1" applyBorder="1" applyAlignment="1" applyProtection="1">
      <alignment horizontal="left" indent="1"/>
      <protection locked="0"/>
    </xf>
    <xf numFmtId="177" fontId="74" fillId="0" borderId="100" xfId="0" applyNumberFormat="1" applyFont="1" applyBorder="1" applyAlignment="1" applyProtection="1">
      <alignment horizontal="center"/>
      <protection locked="0"/>
    </xf>
    <xf numFmtId="0" fontId="74" fillId="3" borderId="193" xfId="0" applyFont="1" applyFill="1" applyBorder="1" applyAlignment="1" applyProtection="1">
      <alignment horizontal="center"/>
      <protection locked="0"/>
    </xf>
    <xf numFmtId="0" fontId="318" fillId="0" borderId="0" xfId="0" applyFont="1" applyAlignment="1" applyProtection="1">
      <alignment horizontal="center" vertical="center"/>
      <protection locked="0"/>
    </xf>
    <xf numFmtId="0" fontId="1" fillId="0" borderId="137" xfId="0" applyFont="1" applyBorder="1" applyAlignment="1" applyProtection="1">
      <alignment horizontal="center"/>
      <protection locked="0"/>
    </xf>
    <xf numFmtId="0" fontId="1" fillId="0" borderId="0" xfId="0" applyFont="1" applyAlignment="1" applyProtection="1">
      <alignment horizontal="center" vertical="center"/>
      <protection locked="0"/>
    </xf>
    <xf numFmtId="0" fontId="318" fillId="0" borderId="248" xfId="0" applyFont="1" applyBorder="1" applyAlignment="1" applyProtection="1">
      <alignment horizontal="center" vertical="center"/>
      <protection locked="0"/>
    </xf>
    <xf numFmtId="0" fontId="21" fillId="0" borderId="247" xfId="0" applyFont="1" applyBorder="1" applyAlignment="1" applyProtection="1">
      <alignment horizontal="left" vertical="center"/>
      <protection locked="0"/>
    </xf>
    <xf numFmtId="0" fontId="262" fillId="0" borderId="362" xfId="0" applyFont="1" applyBorder="1" applyAlignment="1" applyProtection="1">
      <alignment horizontal="center" vertical="center"/>
      <protection locked="0"/>
    </xf>
    <xf numFmtId="0" fontId="21" fillId="0" borderId="249" xfId="0" applyFont="1" applyBorder="1" applyAlignment="1" applyProtection="1">
      <alignment horizontal="left" vertical="center"/>
      <protection locked="0"/>
    </xf>
    <xf numFmtId="0" fontId="318" fillId="0" borderId="250" xfId="0" applyFont="1" applyBorder="1" applyAlignment="1" applyProtection="1">
      <alignment horizontal="center" vertical="center"/>
      <protection locked="0"/>
    </xf>
    <xf numFmtId="0" fontId="23" fillId="0" borderId="166" xfId="0" applyFont="1" applyBorder="1" applyAlignment="1" applyProtection="1">
      <alignment horizontal="left" vertical="center"/>
      <protection locked="0"/>
    </xf>
    <xf numFmtId="0" fontId="318" fillId="0" borderId="363" xfId="0" applyFont="1" applyBorder="1" applyAlignment="1" applyProtection="1">
      <alignment horizontal="center" vertical="center"/>
      <protection locked="0"/>
    </xf>
    <xf numFmtId="0" fontId="23" fillId="0" borderId="251" xfId="0" applyFont="1" applyBorder="1" applyAlignment="1" applyProtection="1">
      <alignment horizontal="left" vertical="center"/>
      <protection locked="0"/>
    </xf>
    <xf numFmtId="0" fontId="74" fillId="14" borderId="148" xfId="0" applyFont="1" applyFill="1" applyBorder="1" applyAlignment="1" applyProtection="1">
      <alignment horizontal="right"/>
      <protection locked="0"/>
    </xf>
    <xf numFmtId="0" fontId="74" fillId="0" borderId="16" xfId="0" applyFont="1" applyBorder="1" applyAlignment="1" applyProtection="1">
      <alignment horizontal="right"/>
      <protection locked="0"/>
    </xf>
    <xf numFmtId="0" fontId="1" fillId="0" borderId="138" xfId="0" applyFont="1" applyBorder="1" applyAlignment="1" applyProtection="1">
      <alignment horizontal="center"/>
      <protection locked="0"/>
    </xf>
    <xf numFmtId="0" fontId="1" fillId="0" borderId="122" xfId="0" applyFont="1" applyBorder="1" applyAlignment="1" applyProtection="1">
      <alignment horizontal="center"/>
      <protection locked="0"/>
    </xf>
    <xf numFmtId="0" fontId="74" fillId="0" borderId="16" xfId="0" applyFont="1" applyBorder="1" applyAlignment="1" applyProtection="1">
      <alignment horizontal="right" indent="2"/>
      <protection locked="0"/>
    </xf>
    <xf numFmtId="1" fontId="185" fillId="21" borderId="100" xfId="0" applyNumberFormat="1" applyFont="1" applyFill="1" applyBorder="1" applyAlignment="1" applyProtection="1">
      <alignment horizontal="right"/>
      <protection locked="0"/>
    </xf>
    <xf numFmtId="1" fontId="185" fillId="21" borderId="100" xfId="0" applyNumberFormat="1" applyFont="1" applyFill="1" applyBorder="1" applyAlignment="1" applyProtection="1">
      <alignment horizontal="left"/>
      <protection locked="0"/>
    </xf>
    <xf numFmtId="1" fontId="90" fillId="3" borderId="100" xfId="0" applyNumberFormat="1" applyFont="1" applyFill="1" applyBorder="1" applyAlignment="1" applyProtection="1">
      <alignment horizontal="right"/>
      <protection locked="0"/>
    </xf>
    <xf numFmtId="1" fontId="74" fillId="21" borderId="100" xfId="0" applyNumberFormat="1" applyFont="1" applyFill="1" applyBorder="1" applyAlignment="1" applyProtection="1">
      <alignment horizontal="right"/>
      <protection locked="0"/>
    </xf>
    <xf numFmtId="1" fontId="74" fillId="18" borderId="100" xfId="0" applyNumberFormat="1" applyFont="1" applyFill="1" applyBorder="1" applyAlignment="1" applyProtection="1">
      <alignment horizontal="right" wrapText="1"/>
      <protection locked="0"/>
    </xf>
    <xf numFmtId="0" fontId="67" fillId="0" borderId="122" xfId="0" applyFont="1" applyBorder="1" applyProtection="1">
      <protection locked="0"/>
    </xf>
    <xf numFmtId="0" fontId="23" fillId="4" borderId="0" xfId="0" applyFont="1" applyFill="1" applyAlignment="1" applyProtection="1">
      <alignment horizontal="left" vertical="center"/>
      <protection hidden="1"/>
    </xf>
    <xf numFmtId="0" fontId="230" fillId="0" borderId="0" xfId="0" applyFont="1" applyAlignment="1" applyProtection="1">
      <alignment horizontal="left"/>
      <protection locked="0"/>
    </xf>
    <xf numFmtId="0" fontId="1" fillId="18" borderId="41" xfId="0" applyFont="1" applyFill="1" applyBorder="1" applyAlignment="1" applyProtection="1">
      <alignment horizontal="center"/>
      <protection hidden="1"/>
    </xf>
    <xf numFmtId="0" fontId="74" fillId="18" borderId="42" xfId="0" applyFont="1" applyFill="1" applyBorder="1" applyAlignment="1" applyProtection="1">
      <alignment horizontal="left"/>
      <protection hidden="1"/>
    </xf>
    <xf numFmtId="0" fontId="74" fillId="18" borderId="42" xfId="0" applyFont="1" applyFill="1" applyBorder="1" applyAlignment="1" applyProtection="1">
      <alignment horizontal="center"/>
      <protection hidden="1"/>
    </xf>
    <xf numFmtId="0" fontId="1" fillId="18" borderId="42" xfId="0" applyFont="1" applyFill="1" applyBorder="1" applyAlignment="1" applyProtection="1">
      <alignment horizontal="center"/>
      <protection hidden="1"/>
    </xf>
    <xf numFmtId="0" fontId="1" fillId="18" borderId="43" xfId="0" applyFont="1" applyFill="1" applyBorder="1" applyAlignment="1" applyProtection="1">
      <alignment horizontal="center"/>
      <protection hidden="1"/>
    </xf>
    <xf numFmtId="0" fontId="1" fillId="18" borderId="163" xfId="0" applyFont="1" applyFill="1" applyBorder="1" applyAlignment="1" applyProtection="1">
      <alignment horizontal="center"/>
      <protection hidden="1"/>
    </xf>
    <xf numFmtId="0" fontId="74" fillId="18" borderId="0" xfId="0" applyFont="1" applyFill="1" applyAlignment="1" applyProtection="1">
      <alignment horizontal="left"/>
      <protection hidden="1"/>
    </xf>
    <xf numFmtId="0" fontId="74" fillId="18" borderId="0" xfId="0" applyFont="1" applyFill="1" applyAlignment="1" applyProtection="1">
      <alignment horizontal="center"/>
      <protection hidden="1"/>
    </xf>
    <xf numFmtId="0" fontId="38" fillId="18" borderId="0" xfId="0" applyFont="1" applyFill="1" applyAlignment="1" applyProtection="1">
      <alignment vertical="center"/>
      <protection hidden="1"/>
    </xf>
    <xf numFmtId="0" fontId="1" fillId="18" borderId="81" xfId="0" applyFont="1" applyFill="1" applyBorder="1" applyAlignment="1" applyProtection="1">
      <alignment horizontal="center"/>
      <protection hidden="1"/>
    </xf>
    <xf numFmtId="0" fontId="74" fillId="18" borderId="163" xfId="0" applyFont="1" applyFill="1" applyBorder="1" applyAlignment="1" applyProtection="1">
      <alignment horizontal="center"/>
      <protection hidden="1"/>
    </xf>
    <xf numFmtId="0" fontId="74" fillId="18" borderId="81" xfId="0" applyFont="1" applyFill="1" applyBorder="1" applyAlignment="1" applyProtection="1">
      <alignment horizontal="center"/>
      <protection hidden="1"/>
    </xf>
    <xf numFmtId="167" fontId="21" fillId="18" borderId="0" xfId="0" applyNumberFormat="1" applyFont="1" applyFill="1" applyAlignment="1" applyProtection="1">
      <alignment horizontal="center" vertical="center"/>
      <protection hidden="1"/>
    </xf>
    <xf numFmtId="3" fontId="348" fillId="18" borderId="0" xfId="0" applyNumberFormat="1" applyFont="1" applyFill="1" applyAlignment="1" applyProtection="1">
      <alignment horizontal="center" vertical="center"/>
      <protection hidden="1"/>
    </xf>
    <xf numFmtId="167" fontId="133" fillId="18" borderId="0" xfId="0" applyNumberFormat="1" applyFont="1" applyFill="1" applyAlignment="1" applyProtection="1">
      <alignment horizontal="center" vertical="center"/>
      <protection hidden="1"/>
    </xf>
    <xf numFmtId="0" fontId="244" fillId="18" borderId="0" xfId="0" applyFont="1" applyFill="1" applyAlignment="1" applyProtection="1">
      <alignment horizontal="center"/>
      <protection hidden="1"/>
    </xf>
    <xf numFmtId="0" fontId="74" fillId="18" borderId="44" xfId="0" applyFont="1" applyFill="1" applyBorder="1" applyAlignment="1" applyProtection="1">
      <alignment horizontal="center"/>
      <protection hidden="1"/>
    </xf>
    <xf numFmtId="0" fontId="74" fillId="18" borderId="45" xfId="0" applyFont="1" applyFill="1" applyBorder="1" applyAlignment="1" applyProtection="1">
      <alignment horizontal="center"/>
      <protection hidden="1"/>
    </xf>
    <xf numFmtId="0" fontId="74" fillId="18" borderId="45" xfId="0" applyFont="1" applyFill="1" applyBorder="1" applyAlignment="1" applyProtection="1">
      <alignment horizontal="center"/>
      <protection locked="0"/>
    </xf>
    <xf numFmtId="0" fontId="74" fillId="18" borderId="46" xfId="0" applyFont="1" applyFill="1" applyBorder="1" applyAlignment="1" applyProtection="1">
      <alignment horizontal="center"/>
      <protection hidden="1"/>
    </xf>
    <xf numFmtId="0" fontId="90" fillId="18" borderId="0" xfId="0" applyFont="1" applyFill="1" applyAlignment="1" applyProtection="1">
      <alignment horizontal="center"/>
      <protection hidden="1"/>
    </xf>
    <xf numFmtId="0" fontId="1" fillId="0" borderId="52" xfId="0" applyFont="1" applyBorder="1" applyProtection="1">
      <protection hidden="1"/>
    </xf>
    <xf numFmtId="0" fontId="131" fillId="0" borderId="0" xfId="0" applyFont="1" applyAlignment="1" applyProtection="1">
      <alignment horizontal="left" vertical="center"/>
      <protection hidden="1"/>
    </xf>
    <xf numFmtId="0" fontId="18" fillId="18" borderId="41" xfId="0" applyFont="1" applyFill="1" applyBorder="1" applyAlignment="1" applyProtection="1">
      <alignment horizontal="center"/>
      <protection hidden="1"/>
    </xf>
    <xf numFmtId="0" fontId="18" fillId="18" borderId="42" xfId="0" applyFont="1" applyFill="1" applyBorder="1" applyAlignment="1" applyProtection="1">
      <alignment horizontal="center"/>
      <protection hidden="1"/>
    </xf>
    <xf numFmtId="0" fontId="18" fillId="18" borderId="43" xfId="0" applyFont="1" applyFill="1" applyBorder="1" applyAlignment="1" applyProtection="1">
      <alignment horizontal="center"/>
      <protection hidden="1"/>
    </xf>
    <xf numFmtId="0" fontId="18" fillId="18" borderId="163" xfId="0" applyFont="1" applyFill="1" applyBorder="1" applyAlignment="1" applyProtection="1">
      <alignment horizontal="center"/>
      <protection hidden="1"/>
    </xf>
    <xf numFmtId="0" fontId="488" fillId="18" borderId="0" xfId="0" applyFont="1" applyFill="1" applyAlignment="1" applyProtection="1">
      <alignment vertical="center" wrapText="1"/>
      <protection hidden="1"/>
    </xf>
    <xf numFmtId="0" fontId="18" fillId="18" borderId="81" xfId="0" applyFont="1" applyFill="1" applyBorder="1" applyAlignment="1" applyProtection="1">
      <alignment horizontal="center"/>
      <protection hidden="1"/>
    </xf>
    <xf numFmtId="0" fontId="112" fillId="18" borderId="0" xfId="0" applyFont="1" applyFill="1" applyAlignment="1" applyProtection="1">
      <alignment vertical="center" wrapText="1"/>
      <protection hidden="1"/>
    </xf>
    <xf numFmtId="0" fontId="63" fillId="18" borderId="0" xfId="0" applyFont="1" applyFill="1" applyAlignment="1" applyProtection="1">
      <alignment horizontal="center" vertical="center"/>
      <protection hidden="1"/>
    </xf>
    <xf numFmtId="0" fontId="169" fillId="18" borderId="0" xfId="0" applyFont="1" applyFill="1" applyAlignment="1" applyProtection="1">
      <alignment horizontal="left" vertical="center"/>
      <protection hidden="1"/>
    </xf>
    <xf numFmtId="0" fontId="169" fillId="18" borderId="0" xfId="0" applyFont="1" applyFill="1" applyAlignment="1" applyProtection="1">
      <alignment horizontal="right" vertical="center"/>
      <protection hidden="1"/>
    </xf>
    <xf numFmtId="0" fontId="18" fillId="18" borderId="44" xfId="0" applyFont="1" applyFill="1" applyBorder="1" applyAlignment="1" applyProtection="1">
      <alignment horizontal="center"/>
      <protection hidden="1"/>
    </xf>
    <xf numFmtId="0" fontId="18" fillId="18" borderId="45" xfId="0" applyFont="1" applyFill="1" applyBorder="1" applyAlignment="1" applyProtection="1">
      <alignment horizontal="center"/>
      <protection hidden="1"/>
    </xf>
    <xf numFmtId="0" fontId="18" fillId="18" borderId="46" xfId="0" applyFont="1" applyFill="1" applyBorder="1" applyAlignment="1" applyProtection="1">
      <alignment horizontal="center"/>
      <protection hidden="1"/>
    </xf>
    <xf numFmtId="0" fontId="101" fillId="18" borderId="0" xfId="0" applyFont="1" applyFill="1" applyAlignment="1" applyProtection="1">
      <alignment horizontal="center" vertical="top"/>
      <protection locked="0"/>
    </xf>
    <xf numFmtId="0" fontId="230" fillId="18" borderId="0" xfId="0" applyFont="1" applyFill="1" applyAlignment="1" applyProtection="1">
      <alignment vertical="center"/>
      <protection locked="0"/>
    </xf>
    <xf numFmtId="0" fontId="366" fillId="20" borderId="208" xfId="0" applyFont="1" applyFill="1" applyBorder="1" applyAlignment="1" applyProtection="1">
      <alignment horizontal="left" vertical="center"/>
      <protection hidden="1"/>
    </xf>
    <xf numFmtId="0" fontId="366" fillId="20" borderId="208" xfId="0" applyFont="1" applyFill="1" applyBorder="1" applyAlignment="1" applyProtection="1">
      <alignment horizontal="left" vertical="center" indent="1"/>
      <protection hidden="1"/>
    </xf>
    <xf numFmtId="0" fontId="366" fillId="20" borderId="209" xfId="0" applyFont="1" applyFill="1" applyBorder="1" applyAlignment="1" applyProtection="1">
      <alignment horizontal="left" vertical="center" indent="1"/>
      <protection hidden="1"/>
    </xf>
    <xf numFmtId="0" fontId="366" fillId="20" borderId="209" xfId="0" applyFont="1" applyFill="1" applyBorder="1" applyAlignment="1" applyProtection="1">
      <alignment horizontal="left" vertical="center"/>
      <protection hidden="1"/>
    </xf>
    <xf numFmtId="0" fontId="384" fillId="0" borderId="0" xfId="0" applyFont="1" applyAlignment="1" applyProtection="1">
      <alignment horizontal="center" vertical="center"/>
      <protection locked="0"/>
    </xf>
    <xf numFmtId="0" fontId="231" fillId="0" borderId="0" xfId="0" applyFont="1" applyAlignment="1" applyProtection="1">
      <alignment horizontal="center" vertical="center"/>
      <protection locked="0"/>
    </xf>
    <xf numFmtId="0" fontId="101" fillId="18" borderId="0" xfId="0" applyFont="1" applyFill="1" applyAlignment="1" applyProtection="1">
      <alignment horizontal="right" vertical="center"/>
      <protection hidden="1"/>
    </xf>
    <xf numFmtId="0" fontId="308" fillId="18" borderId="0" xfId="0" applyFont="1" applyFill="1" applyAlignment="1" applyProtection="1">
      <alignment horizontal="right" vertical="center"/>
      <protection hidden="1"/>
    </xf>
    <xf numFmtId="0" fontId="295" fillId="20" borderId="75" xfId="0" applyFont="1" applyFill="1" applyBorder="1" applyAlignment="1" applyProtection="1">
      <alignment vertical="center"/>
      <protection hidden="1"/>
    </xf>
    <xf numFmtId="0" fontId="18" fillId="20" borderId="75" xfId="0" applyFont="1" applyFill="1" applyBorder="1" applyAlignment="1" applyProtection="1">
      <alignment horizontal="center" vertical="center"/>
      <protection hidden="1"/>
    </xf>
    <xf numFmtId="0" fontId="440" fillId="20" borderId="75" xfId="0" applyFont="1" applyFill="1" applyBorder="1" applyAlignment="1" applyProtection="1">
      <alignment horizontal="center" vertical="center"/>
      <protection hidden="1"/>
    </xf>
    <xf numFmtId="0" fontId="232" fillId="4" borderId="0" xfId="0" applyFont="1" applyFill="1" applyAlignment="1" applyProtection="1">
      <alignment horizontal="left" vertical="center"/>
      <protection hidden="1"/>
    </xf>
    <xf numFmtId="170" fontId="569" fillId="0" borderId="0" xfId="0" applyNumberFormat="1" applyFont="1" applyAlignment="1" applyProtection="1">
      <alignment horizontal="center" vertical="center"/>
      <protection locked="0"/>
    </xf>
    <xf numFmtId="0" fontId="18" fillId="18" borderId="51" xfId="0" applyFont="1" applyFill="1" applyBorder="1" applyAlignment="1" applyProtection="1">
      <alignment horizontal="center" vertical="center"/>
      <protection hidden="1"/>
    </xf>
    <xf numFmtId="0" fontId="62" fillId="0" borderId="0" xfId="0" applyFont="1" applyAlignment="1" applyProtection="1">
      <alignment horizontal="center"/>
      <protection hidden="1"/>
    </xf>
    <xf numFmtId="0" fontId="230" fillId="18" borderId="0" xfId="0" applyFont="1" applyFill="1" applyAlignment="1" applyProtection="1">
      <alignment horizontal="center"/>
      <protection hidden="1"/>
    </xf>
    <xf numFmtId="0" fontId="571" fillId="18" borderId="0" xfId="0" applyFont="1" applyFill="1" applyAlignment="1" applyProtection="1">
      <alignment horizontal="center" vertical="center"/>
      <protection hidden="1"/>
    </xf>
    <xf numFmtId="1" fontId="571" fillId="18" borderId="0" xfId="0" applyNumberFormat="1" applyFont="1" applyFill="1" applyAlignment="1" applyProtection="1">
      <alignment horizontal="center" vertical="center"/>
      <protection hidden="1"/>
    </xf>
    <xf numFmtId="0" fontId="108" fillId="0" borderId="0" xfId="0" applyFont="1" applyAlignment="1" applyProtection="1">
      <alignment horizontal="left" indent="1"/>
      <protection locked="0"/>
    </xf>
    <xf numFmtId="0" fontId="230" fillId="0" borderId="0" xfId="0" applyFont="1" applyAlignment="1" applyProtection="1">
      <alignment horizontal="left" vertical="top"/>
      <protection locked="0"/>
    </xf>
    <xf numFmtId="0" fontId="331" fillId="21" borderId="1" xfId="0" applyFont="1" applyFill="1" applyBorder="1" applyAlignment="1" applyProtection="1">
      <alignment horizontal="left" vertical="center"/>
      <protection locked="0"/>
    </xf>
    <xf numFmtId="0" fontId="23" fillId="21" borderId="0" xfId="0" applyFont="1" applyFill="1" applyAlignment="1" applyProtection="1">
      <alignment horizontal="left" vertical="center"/>
      <protection locked="0"/>
    </xf>
    <xf numFmtId="0" fontId="117" fillId="21" borderId="1" xfId="0" applyFont="1" applyFill="1" applyBorder="1" applyAlignment="1" applyProtection="1">
      <alignment vertical="center"/>
      <protection locked="0"/>
    </xf>
    <xf numFmtId="0" fontId="248" fillId="0" borderId="0" xfId="0" applyFont="1" applyAlignment="1" applyProtection="1">
      <alignment horizontal="left"/>
      <protection locked="0"/>
    </xf>
    <xf numFmtId="0" fontId="121" fillId="0" borderId="0" xfId="0" applyFont="1" applyAlignment="1" applyProtection="1">
      <alignment horizontal="left"/>
      <protection locked="0"/>
    </xf>
    <xf numFmtId="172" fontId="173" fillId="19" borderId="215" xfId="0" applyNumberFormat="1" applyFont="1" applyFill="1" applyBorder="1" applyAlignment="1" applyProtection="1">
      <alignment vertical="center"/>
      <protection hidden="1"/>
    </xf>
    <xf numFmtId="0" fontId="173" fillId="19" borderId="215" xfId="0" applyFont="1" applyFill="1" applyBorder="1" applyAlignment="1" applyProtection="1">
      <alignment vertical="center"/>
      <protection hidden="1"/>
    </xf>
    <xf numFmtId="0" fontId="348" fillId="18" borderId="0" xfId="0" applyFont="1" applyFill="1" applyAlignment="1" applyProtection="1">
      <alignment horizontal="center" vertical="center"/>
      <protection hidden="1"/>
    </xf>
    <xf numFmtId="0" fontId="21" fillId="18" borderId="0" xfId="0" applyFont="1" applyFill="1" applyAlignment="1" applyProtection="1">
      <alignment vertical="center"/>
      <protection hidden="1"/>
    </xf>
    <xf numFmtId="0" fontId="21" fillId="18" borderId="51" xfId="0" applyFont="1" applyFill="1" applyBorder="1" applyAlignment="1" applyProtection="1">
      <alignment horizontal="center" vertical="center"/>
      <protection hidden="1"/>
    </xf>
    <xf numFmtId="0" fontId="21" fillId="18" borderId="34" xfId="0" applyFont="1" applyFill="1" applyBorder="1" applyAlignment="1" applyProtection="1">
      <alignment vertical="center"/>
      <protection hidden="1"/>
    </xf>
    <xf numFmtId="0" fontId="1" fillId="18" borderId="52" xfId="0" applyFont="1" applyFill="1" applyBorder="1" applyAlignment="1" applyProtection="1">
      <alignment horizontal="center"/>
      <protection hidden="1"/>
    </xf>
    <xf numFmtId="0" fontId="1" fillId="18" borderId="52" xfId="0" applyFont="1" applyFill="1" applyBorder="1" applyProtection="1">
      <protection hidden="1"/>
    </xf>
    <xf numFmtId="0" fontId="1" fillId="18" borderId="22" xfId="0" applyFont="1" applyFill="1" applyBorder="1" applyAlignment="1" applyProtection="1">
      <alignment horizontal="center"/>
      <protection hidden="1"/>
    </xf>
    <xf numFmtId="0" fontId="1" fillId="18" borderId="380" xfId="0" applyFont="1" applyFill="1" applyBorder="1" applyProtection="1">
      <protection hidden="1"/>
    </xf>
    <xf numFmtId="0" fontId="1" fillId="18" borderId="51" xfId="0" applyFont="1" applyFill="1" applyBorder="1" applyAlignment="1" applyProtection="1">
      <alignment horizontal="center"/>
      <protection hidden="1"/>
    </xf>
    <xf numFmtId="0" fontId="348" fillId="18" borderId="51" xfId="0" applyFont="1" applyFill="1" applyBorder="1" applyAlignment="1" applyProtection="1">
      <alignment vertical="center"/>
      <protection hidden="1"/>
    </xf>
    <xf numFmtId="1" fontId="164" fillId="18" borderId="51" xfId="0" applyNumberFormat="1" applyFont="1" applyFill="1" applyBorder="1" applyAlignment="1" applyProtection="1">
      <alignment horizontal="right" vertical="center"/>
      <protection hidden="1"/>
    </xf>
    <xf numFmtId="0" fontId="15" fillId="18" borderId="51" xfId="0" applyFont="1" applyFill="1" applyBorder="1" applyAlignment="1" applyProtection="1">
      <alignment horizontal="center" vertical="center"/>
      <protection hidden="1"/>
    </xf>
    <xf numFmtId="0" fontId="348" fillId="18" borderId="51" xfId="0" applyFont="1" applyFill="1" applyBorder="1" applyAlignment="1" applyProtection="1">
      <alignment horizontal="center" vertical="center"/>
      <protection hidden="1"/>
    </xf>
    <xf numFmtId="0" fontId="232" fillId="18" borderId="51" xfId="0" applyFont="1" applyFill="1" applyBorder="1" applyAlignment="1" applyProtection="1">
      <alignment horizontal="center"/>
      <protection hidden="1"/>
    </xf>
    <xf numFmtId="0" fontId="172" fillId="18" borderId="51" xfId="0" applyFont="1" applyFill="1" applyBorder="1" applyAlignment="1" applyProtection="1">
      <alignment horizontal="right" vertical="center"/>
      <protection hidden="1"/>
    </xf>
    <xf numFmtId="0" fontId="230" fillId="18" borderId="0" xfId="0" applyFont="1" applyFill="1" applyAlignment="1" applyProtection="1">
      <alignment horizontal="left" vertical="center"/>
      <protection hidden="1"/>
    </xf>
    <xf numFmtId="0" fontId="129" fillId="18" borderId="0" xfId="0" applyFont="1" applyFill="1" applyAlignment="1" applyProtection="1">
      <alignment horizontal="center" vertical="center"/>
      <protection hidden="1"/>
    </xf>
    <xf numFmtId="0" fontId="91" fillId="18" borderId="51" xfId="0" applyFont="1" applyFill="1" applyBorder="1" applyAlignment="1" applyProtection="1">
      <alignment horizontal="right" vertical="center"/>
      <protection hidden="1"/>
    </xf>
    <xf numFmtId="1" fontId="348" fillId="18" borderId="0" xfId="0" applyNumberFormat="1" applyFont="1" applyFill="1" applyAlignment="1" applyProtection="1">
      <alignment horizontal="right" vertical="center"/>
      <protection hidden="1"/>
    </xf>
    <xf numFmtId="1" fontId="348" fillId="18" borderId="0" xfId="0" applyNumberFormat="1" applyFont="1" applyFill="1" applyAlignment="1" applyProtection="1">
      <alignment horizontal="left" vertical="center"/>
      <protection hidden="1"/>
    </xf>
    <xf numFmtId="1" fontId="148" fillId="18" borderId="0" xfId="0" applyNumberFormat="1" applyFont="1" applyFill="1" applyAlignment="1" applyProtection="1">
      <alignment horizontal="right" vertical="center"/>
      <protection hidden="1"/>
    </xf>
    <xf numFmtId="1" fontId="148" fillId="18" borderId="0" xfId="0" applyNumberFormat="1" applyFont="1" applyFill="1" applyAlignment="1" applyProtection="1">
      <alignment horizontal="left" vertical="center"/>
      <protection hidden="1"/>
    </xf>
    <xf numFmtId="0" fontId="65" fillId="0" borderId="0" xfId="0" applyFont="1" applyAlignment="1" applyProtection="1">
      <alignment horizontal="right" vertical="center"/>
      <protection hidden="1"/>
    </xf>
    <xf numFmtId="0" fontId="127" fillId="18" borderId="0" xfId="0" applyFont="1" applyFill="1" applyAlignment="1" applyProtection="1">
      <alignment horizontal="center"/>
      <protection hidden="1"/>
    </xf>
    <xf numFmtId="0" fontId="348" fillId="18" borderId="0" xfId="0" applyFont="1" applyFill="1" applyAlignment="1" applyProtection="1">
      <alignment vertical="center"/>
      <protection hidden="1"/>
    </xf>
    <xf numFmtId="0" fontId="348" fillId="18" borderId="0" xfId="0" applyFont="1" applyFill="1" applyAlignment="1" applyProtection="1">
      <alignment horizontal="center"/>
      <protection hidden="1"/>
    </xf>
    <xf numFmtId="0" fontId="148" fillId="18" borderId="0" xfId="0" applyFont="1" applyFill="1" applyAlignment="1" applyProtection="1">
      <alignment horizontal="right" vertical="center"/>
      <protection hidden="1"/>
    </xf>
    <xf numFmtId="0" fontId="148" fillId="18" borderId="0" xfId="0" applyFont="1" applyFill="1" applyAlignment="1" applyProtection="1">
      <alignment horizontal="left" vertical="center"/>
      <protection hidden="1"/>
    </xf>
    <xf numFmtId="0" fontId="571" fillId="18" borderId="0" xfId="0" applyFont="1" applyFill="1" applyAlignment="1" applyProtection="1">
      <alignment horizontal="center"/>
      <protection hidden="1"/>
    </xf>
    <xf numFmtId="1" fontId="102" fillId="18" borderId="0" xfId="0" applyNumberFormat="1" applyFont="1" applyFill="1" applyAlignment="1" applyProtection="1">
      <alignment horizontal="right" vertical="center"/>
      <protection hidden="1"/>
    </xf>
    <xf numFmtId="1" fontId="67" fillId="0" borderId="0" xfId="0" applyNumberFormat="1" applyFont="1" applyAlignment="1" applyProtection="1">
      <alignment horizontal="right" vertical="center"/>
      <protection hidden="1"/>
    </xf>
    <xf numFmtId="0" fontId="230" fillId="18" borderId="0" xfId="0" applyFont="1" applyFill="1" applyAlignment="1" applyProtection="1">
      <alignment vertical="center"/>
      <protection hidden="1"/>
    </xf>
    <xf numFmtId="0" fontId="1" fillId="18" borderId="293" xfId="0" applyFont="1" applyFill="1" applyBorder="1" applyProtection="1">
      <protection hidden="1"/>
    </xf>
    <xf numFmtId="0" fontId="101" fillId="18" borderId="0" xfId="0" applyFont="1" applyFill="1" applyAlignment="1" applyProtection="1">
      <alignment horizontal="left" vertical="center"/>
      <protection hidden="1"/>
    </xf>
    <xf numFmtId="0" fontId="101" fillId="18" borderId="33" xfId="0" applyFont="1" applyFill="1" applyBorder="1" applyAlignment="1" applyProtection="1">
      <alignment horizontal="right" vertical="center"/>
      <protection hidden="1"/>
    </xf>
    <xf numFmtId="0" fontId="101" fillId="18" borderId="52" xfId="0" applyFont="1" applyFill="1" applyBorder="1" applyAlignment="1" applyProtection="1">
      <alignment horizontal="right" vertical="center"/>
      <protection hidden="1"/>
    </xf>
    <xf numFmtId="0" fontId="129" fillId="18" borderId="52" xfId="0" applyFont="1" applyFill="1" applyBorder="1" applyAlignment="1" applyProtection="1">
      <alignment horizontal="center" vertical="center"/>
      <protection hidden="1"/>
    </xf>
    <xf numFmtId="0" fontId="130" fillId="18" borderId="52" xfId="0" applyFont="1" applyFill="1" applyBorder="1" applyAlignment="1" applyProtection="1">
      <alignment horizontal="right" vertical="center"/>
      <protection hidden="1"/>
    </xf>
    <xf numFmtId="0" fontId="1" fillId="18" borderId="39" xfId="0" applyFont="1" applyFill="1" applyBorder="1" applyProtection="1">
      <protection hidden="1"/>
    </xf>
    <xf numFmtId="1" fontId="305" fillId="18" borderId="0" xfId="0" applyNumberFormat="1" applyFont="1" applyFill="1" applyAlignment="1" applyProtection="1">
      <alignment horizontal="left" vertical="center"/>
      <protection hidden="1"/>
    </xf>
    <xf numFmtId="0" fontId="170" fillId="0" borderId="4" xfId="0" applyFont="1" applyBorder="1" applyAlignment="1" applyProtection="1">
      <alignment horizontal="left" vertical="center"/>
      <protection locked="0"/>
    </xf>
    <xf numFmtId="0" fontId="318" fillId="0" borderId="39" xfId="0" applyFont="1" applyBorder="1" applyAlignment="1" applyProtection="1">
      <alignment horizontal="center" vertical="center"/>
      <protection locked="0"/>
    </xf>
    <xf numFmtId="0" fontId="132" fillId="0" borderId="0" xfId="0" applyFont="1" applyProtection="1">
      <protection locked="0"/>
    </xf>
    <xf numFmtId="0" fontId="132" fillId="0" borderId="0" xfId="0" applyFont="1" applyAlignment="1" applyProtection="1">
      <alignment horizontal="left"/>
      <protection locked="0"/>
    </xf>
    <xf numFmtId="0" fontId="73" fillId="18" borderId="52" xfId="0" applyFont="1" applyFill="1" applyBorder="1" applyAlignment="1" applyProtection="1">
      <alignment horizontal="center" vertical="center"/>
      <protection hidden="1"/>
    </xf>
    <xf numFmtId="0" fontId="73" fillId="18" borderId="0" xfId="0" applyFont="1" applyFill="1" applyAlignment="1" applyProtection="1">
      <alignment horizontal="center"/>
      <protection hidden="1"/>
    </xf>
    <xf numFmtId="0" fontId="101" fillId="18" borderId="0" xfId="0" applyFont="1" applyFill="1" applyAlignment="1" applyProtection="1">
      <alignment vertical="center"/>
      <protection hidden="1"/>
    </xf>
    <xf numFmtId="0" fontId="271" fillId="19" borderId="204" xfId="0" applyFont="1" applyFill="1" applyBorder="1" applyAlignment="1" applyProtection="1">
      <alignment horizontal="right" vertical="center"/>
      <protection hidden="1"/>
    </xf>
    <xf numFmtId="0" fontId="299" fillId="0" borderId="0" xfId="0" applyFont="1" applyAlignment="1" applyProtection="1">
      <alignment horizontal="right" vertical="center" indent="1"/>
      <protection hidden="1"/>
    </xf>
    <xf numFmtId="0" fontId="298" fillId="0" borderId="35" xfId="0" applyFont="1" applyBorder="1" applyProtection="1">
      <protection hidden="1"/>
    </xf>
    <xf numFmtId="0" fontId="298" fillId="0" borderId="51" xfId="0" applyFont="1" applyBorder="1" applyProtection="1">
      <protection hidden="1"/>
    </xf>
    <xf numFmtId="0" fontId="298" fillId="0" borderId="34" xfId="0" applyFont="1" applyBorder="1" applyProtection="1">
      <protection hidden="1"/>
    </xf>
    <xf numFmtId="0" fontId="298" fillId="0" borderId="35" xfId="0" applyFont="1" applyBorder="1" applyAlignment="1" applyProtection="1">
      <alignment horizontal="left" indent="1"/>
      <protection hidden="1"/>
    </xf>
    <xf numFmtId="0" fontId="298" fillId="0" borderId="51" xfId="0" applyFont="1" applyBorder="1" applyAlignment="1" applyProtection="1">
      <alignment horizontal="right"/>
      <protection hidden="1"/>
    </xf>
    <xf numFmtId="0" fontId="57" fillId="28" borderId="208" xfId="0" applyFont="1" applyFill="1" applyBorder="1" applyAlignment="1" applyProtection="1">
      <alignment horizontal="left" vertical="center"/>
      <protection hidden="1"/>
    </xf>
    <xf numFmtId="0" fontId="57" fillId="28" borderId="206" xfId="0" applyFont="1" applyFill="1" applyBorder="1" applyAlignment="1" applyProtection="1">
      <alignment vertical="center"/>
      <protection hidden="1"/>
    </xf>
    <xf numFmtId="0" fontId="271" fillId="19" borderId="196" xfId="0" applyFont="1" applyFill="1" applyBorder="1" applyAlignment="1" applyProtection="1">
      <alignment horizontal="right" vertical="center"/>
      <protection hidden="1"/>
    </xf>
    <xf numFmtId="0" fontId="271" fillId="19" borderId="196" xfId="0" applyFont="1" applyFill="1" applyBorder="1" applyAlignment="1" applyProtection="1">
      <alignment vertical="center"/>
      <protection hidden="1"/>
    </xf>
    <xf numFmtId="2" fontId="287" fillId="0" borderId="2" xfId="0" applyNumberFormat="1" applyFont="1" applyBorder="1" applyAlignment="1" applyProtection="1">
      <alignment horizontal="center" vertical="center"/>
      <protection hidden="1"/>
    </xf>
    <xf numFmtId="2" fontId="287" fillId="0" borderId="3" xfId="0" applyNumberFormat="1" applyFont="1" applyBorder="1" applyAlignment="1" applyProtection="1">
      <alignment horizontal="center" vertical="center"/>
      <protection hidden="1"/>
    </xf>
    <xf numFmtId="2" fontId="287" fillId="0" borderId="23" xfId="0" applyNumberFormat="1" applyFont="1" applyBorder="1" applyAlignment="1" applyProtection="1">
      <alignment horizontal="center" vertical="center"/>
      <protection hidden="1"/>
    </xf>
    <xf numFmtId="1" fontId="343" fillId="18" borderId="1" xfId="0" applyNumberFormat="1" applyFont="1" applyFill="1" applyBorder="1" applyAlignment="1" applyProtection="1">
      <alignment horizontal="right" vertical="center"/>
      <protection hidden="1"/>
    </xf>
    <xf numFmtId="0" fontId="343" fillId="18" borderId="1" xfId="0" applyFont="1" applyFill="1" applyBorder="1" applyAlignment="1" applyProtection="1">
      <alignment horizontal="left" vertical="center"/>
      <protection hidden="1"/>
    </xf>
    <xf numFmtId="0" fontId="101" fillId="18" borderId="0" xfId="0" applyFont="1" applyFill="1" applyAlignment="1" applyProtection="1">
      <alignment vertical="center"/>
      <protection locked="0"/>
    </xf>
    <xf numFmtId="0" fontId="233" fillId="4" borderId="0" xfId="0" applyFont="1" applyFill="1" applyAlignment="1" applyProtection="1">
      <alignment horizontal="center" vertical="center"/>
      <protection hidden="1"/>
    </xf>
    <xf numFmtId="0" fontId="117" fillId="4" borderId="0" xfId="0" applyFont="1" applyFill="1" applyAlignment="1" applyProtection="1">
      <alignment horizontal="center" vertical="center"/>
      <protection hidden="1"/>
    </xf>
    <xf numFmtId="0" fontId="37" fillId="18" borderId="14" xfId="0" quotePrefix="1" applyFont="1" applyFill="1" applyBorder="1" applyAlignment="1" applyProtection="1">
      <alignment vertical="center"/>
      <protection hidden="1"/>
    </xf>
    <xf numFmtId="0" fontId="37" fillId="18" borderId="13" xfId="0" quotePrefix="1" applyFont="1" applyFill="1" applyBorder="1" applyAlignment="1" applyProtection="1">
      <alignment vertical="center"/>
      <protection hidden="1"/>
    </xf>
    <xf numFmtId="0" fontId="37" fillId="18" borderId="15" xfId="0" quotePrefix="1" applyFont="1" applyFill="1" applyBorder="1" applyAlignment="1" applyProtection="1">
      <alignment vertical="center"/>
      <protection hidden="1"/>
    </xf>
    <xf numFmtId="0" fontId="37" fillId="18" borderId="16" xfId="0" quotePrefix="1" applyFont="1" applyFill="1" applyBorder="1" applyAlignment="1" applyProtection="1">
      <alignment vertical="center"/>
      <protection hidden="1"/>
    </xf>
    <xf numFmtId="0" fontId="37" fillId="18" borderId="17" xfId="0" quotePrefix="1" applyFont="1" applyFill="1" applyBorder="1" applyAlignment="1" applyProtection="1">
      <alignment vertical="center"/>
      <protection hidden="1"/>
    </xf>
    <xf numFmtId="0" fontId="37" fillId="18" borderId="18" xfId="0" quotePrefix="1" applyFont="1" applyFill="1" applyBorder="1" applyAlignment="1" applyProtection="1">
      <alignment vertical="center"/>
      <protection hidden="1"/>
    </xf>
    <xf numFmtId="0" fontId="37" fillId="18" borderId="19" xfId="0" quotePrefix="1" applyFont="1" applyFill="1" applyBorder="1" applyAlignment="1" applyProtection="1">
      <alignment vertical="center"/>
      <protection hidden="1"/>
    </xf>
    <xf numFmtId="9" fontId="103" fillId="18" borderId="19" xfId="0" quotePrefix="1" applyNumberFormat="1" applyFont="1" applyFill="1" applyBorder="1" applyAlignment="1" applyProtection="1">
      <alignment horizontal="center" vertical="center"/>
      <protection hidden="1"/>
    </xf>
    <xf numFmtId="0" fontId="37" fillId="18" borderId="20" xfId="0" quotePrefix="1" applyFont="1" applyFill="1" applyBorder="1" applyAlignment="1" applyProtection="1">
      <alignment vertical="center"/>
      <protection hidden="1"/>
    </xf>
    <xf numFmtId="178" fontId="29" fillId="18" borderId="319" xfId="0" quotePrefix="1" applyNumberFormat="1" applyFont="1" applyFill="1" applyBorder="1" applyAlignment="1" applyProtection="1">
      <alignment vertical="center"/>
      <protection hidden="1"/>
    </xf>
    <xf numFmtId="178" fontId="146" fillId="18" borderId="1" xfId="0" quotePrefix="1" applyNumberFormat="1" applyFont="1" applyFill="1" applyBorder="1" applyAlignment="1" applyProtection="1">
      <alignment horizontal="center" vertical="center"/>
      <protection locked="0"/>
    </xf>
    <xf numFmtId="178" fontId="36" fillId="18" borderId="128" xfId="1" applyNumberFormat="1" applyFont="1" applyFill="1" applyBorder="1" applyAlignment="1" applyProtection="1">
      <alignment horizontal="left" vertical="top"/>
      <protection locked="0"/>
    </xf>
    <xf numFmtId="178" fontId="36" fillId="18" borderId="127" xfId="1" applyNumberFormat="1" applyFont="1" applyFill="1" applyBorder="1" applyAlignment="1" applyProtection="1">
      <alignment horizontal="left" vertical="top"/>
      <protection locked="0"/>
    </xf>
    <xf numFmtId="1" fontId="35" fillId="18" borderId="128" xfId="1" applyNumberFormat="1" applyFont="1" applyFill="1" applyBorder="1" applyAlignment="1" applyProtection="1">
      <alignment horizontal="left" vertical="top"/>
      <protection locked="0"/>
    </xf>
    <xf numFmtId="1" fontId="35" fillId="18" borderId="130" xfId="1" applyNumberFormat="1" applyFont="1" applyFill="1" applyBorder="1" applyAlignment="1" applyProtection="1">
      <alignment horizontal="left" vertical="top"/>
      <protection locked="0"/>
    </xf>
    <xf numFmtId="0" fontId="55" fillId="18" borderId="122" xfId="0" applyFont="1" applyFill="1" applyBorder="1" applyProtection="1">
      <protection hidden="1"/>
    </xf>
    <xf numFmtId="0" fontId="1" fillId="18" borderId="0" xfId="0" applyFont="1" applyFill="1" applyAlignment="1" applyProtection="1">
      <alignment vertical="top"/>
      <protection hidden="1"/>
    </xf>
    <xf numFmtId="0" fontId="383" fillId="18" borderId="52" xfId="0" applyFont="1" applyFill="1" applyBorder="1" applyProtection="1">
      <protection hidden="1"/>
    </xf>
    <xf numFmtId="0" fontId="101" fillId="18" borderId="316" xfId="0" applyFont="1" applyFill="1" applyBorder="1" applyAlignment="1" applyProtection="1">
      <alignment horizontal="right" vertical="center"/>
      <protection hidden="1"/>
    </xf>
    <xf numFmtId="0" fontId="101" fillId="18" borderId="166" xfId="0" applyFont="1" applyFill="1" applyBorder="1" applyAlignment="1" applyProtection="1">
      <alignment horizontal="right" vertical="center"/>
      <protection hidden="1"/>
    </xf>
    <xf numFmtId="0" fontId="172" fillId="18" borderId="166" xfId="0" applyFont="1" applyFill="1" applyBorder="1" applyAlignment="1" applyProtection="1">
      <alignment horizontal="right" vertical="center"/>
      <protection hidden="1"/>
    </xf>
    <xf numFmtId="0" fontId="129" fillId="18" borderId="166" xfId="0" applyFont="1" applyFill="1" applyBorder="1" applyAlignment="1" applyProtection="1">
      <alignment horizontal="center" vertical="center"/>
      <protection hidden="1"/>
    </xf>
    <xf numFmtId="0" fontId="1" fillId="18" borderId="166" xfId="0" applyFont="1" applyFill="1" applyBorder="1" applyAlignment="1" applyProtection="1">
      <alignment horizontal="center"/>
      <protection hidden="1"/>
    </xf>
    <xf numFmtId="0" fontId="1" fillId="18" borderId="0" xfId="0" applyFont="1" applyFill="1" applyAlignment="1" applyProtection="1">
      <alignment horizontal="center" vertical="top"/>
      <protection hidden="1"/>
    </xf>
    <xf numFmtId="0" fontId="230" fillId="18" borderId="0" xfId="0" applyFont="1" applyFill="1" applyAlignment="1" applyProtection="1">
      <alignment horizontal="center" vertical="center"/>
      <protection hidden="1"/>
    </xf>
    <xf numFmtId="0" fontId="149" fillId="18" borderId="0" xfId="0" quotePrefix="1" applyFont="1" applyFill="1" applyAlignment="1" applyProtection="1">
      <alignment horizontal="left" vertical="center"/>
      <protection hidden="1"/>
    </xf>
    <xf numFmtId="0" fontId="21" fillId="18" borderId="0" xfId="0" applyFont="1" applyFill="1" applyAlignment="1" applyProtection="1">
      <alignment vertical="top" wrapText="1"/>
      <protection hidden="1"/>
    </xf>
    <xf numFmtId="0" fontId="1" fillId="0" borderId="39" xfId="0" applyFont="1" applyBorder="1" applyProtection="1">
      <protection hidden="1"/>
    </xf>
    <xf numFmtId="0" fontId="574" fillId="18" borderId="0" xfId="0" applyFont="1" applyFill="1" applyAlignment="1" applyProtection="1">
      <alignment horizontal="left" vertical="center"/>
      <protection hidden="1"/>
    </xf>
    <xf numFmtId="0" fontId="308" fillId="18" borderId="0" xfId="0" applyFont="1" applyFill="1" applyAlignment="1" applyProtection="1">
      <alignment horizontal="left" vertical="center"/>
      <protection hidden="1"/>
    </xf>
    <xf numFmtId="0" fontId="308" fillId="18" borderId="0" xfId="0" applyFont="1" applyFill="1" applyAlignment="1" applyProtection="1">
      <alignment vertical="center"/>
      <protection hidden="1"/>
    </xf>
    <xf numFmtId="0" fontId="18" fillId="18" borderId="52" xfId="0" applyFont="1" applyFill="1" applyBorder="1" applyAlignment="1" applyProtection="1">
      <alignment horizontal="center"/>
      <protection hidden="1"/>
    </xf>
    <xf numFmtId="1" fontId="18" fillId="18" borderId="0" xfId="0" applyNumberFormat="1" applyFont="1" applyFill="1" applyAlignment="1" applyProtection="1">
      <alignment horizontal="right" vertical="center"/>
      <protection hidden="1"/>
    </xf>
    <xf numFmtId="0" fontId="66" fillId="18" borderId="52" xfId="0" applyFont="1" applyFill="1" applyBorder="1" applyAlignment="1" applyProtection="1">
      <alignment horizontal="center" vertical="center"/>
      <protection hidden="1"/>
    </xf>
    <xf numFmtId="0" fontId="66" fillId="18" borderId="52" xfId="0" applyFont="1" applyFill="1" applyBorder="1" applyProtection="1">
      <protection hidden="1"/>
    </xf>
    <xf numFmtId="0" fontId="230" fillId="18" borderId="0" xfId="0" applyFont="1" applyFill="1" applyProtection="1">
      <protection hidden="1"/>
    </xf>
    <xf numFmtId="0" fontId="64" fillId="21" borderId="94" xfId="0" applyFont="1" applyFill="1" applyBorder="1" applyAlignment="1" applyProtection="1">
      <alignment vertical="center"/>
      <protection hidden="1"/>
    </xf>
    <xf numFmtId="0" fontId="64" fillId="21" borderId="95" xfId="0" applyFont="1" applyFill="1" applyBorder="1" applyAlignment="1" applyProtection="1">
      <alignment vertical="center"/>
      <protection hidden="1"/>
    </xf>
    <xf numFmtId="0" fontId="64" fillId="21" borderId="96" xfId="0" applyFont="1" applyFill="1" applyBorder="1" applyAlignment="1" applyProtection="1">
      <alignment vertical="center"/>
      <protection hidden="1"/>
    </xf>
    <xf numFmtId="0" fontId="314" fillId="4" borderId="0" xfId="0" applyFont="1" applyFill="1" applyAlignment="1" applyProtection="1">
      <alignment vertical="center"/>
      <protection hidden="1"/>
    </xf>
    <xf numFmtId="0" fontId="311" fillId="4" borderId="0" xfId="0" applyFont="1" applyFill="1" applyAlignment="1" applyProtection="1">
      <alignment horizontal="center" vertical="center"/>
      <protection hidden="1"/>
    </xf>
    <xf numFmtId="0" fontId="232" fillId="17" borderId="180" xfId="0" applyFont="1" applyFill="1" applyBorder="1" applyAlignment="1" applyProtection="1">
      <alignment horizontal="center"/>
      <protection hidden="1"/>
    </xf>
    <xf numFmtId="0" fontId="165" fillId="17" borderId="40" xfId="0" applyFont="1" applyFill="1" applyBorder="1" applyAlignment="1" applyProtection="1">
      <alignment horizontal="right" vertical="center"/>
      <protection hidden="1"/>
    </xf>
    <xf numFmtId="0" fontId="18" fillId="0" borderId="0" xfId="0" applyFont="1" applyAlignment="1" applyProtection="1">
      <alignment horizontal="right"/>
      <protection hidden="1"/>
    </xf>
    <xf numFmtId="0" fontId="576" fillId="4" borderId="0" xfId="0" applyFont="1" applyFill="1" applyAlignment="1" applyProtection="1">
      <alignment horizontal="right" vertical="center"/>
      <protection hidden="1"/>
    </xf>
    <xf numFmtId="0" fontId="575" fillId="4" borderId="0" xfId="0" applyFont="1" applyFill="1" applyAlignment="1" applyProtection="1">
      <alignment horizontal="right" vertical="center"/>
      <protection hidden="1"/>
    </xf>
    <xf numFmtId="0" fontId="149" fillId="0" borderId="39" xfId="0" applyFont="1" applyBorder="1" applyAlignment="1" applyProtection="1">
      <alignment horizontal="left" vertical="center"/>
      <protection hidden="1"/>
    </xf>
    <xf numFmtId="0" fontId="149" fillId="0" borderId="33" xfId="0" applyFont="1" applyBorder="1" applyAlignment="1" applyProtection="1">
      <alignment horizontal="left" vertical="center"/>
      <protection hidden="1"/>
    </xf>
    <xf numFmtId="0" fontId="1" fillId="0" borderId="372" xfId="0" applyFont="1" applyBorder="1" applyAlignment="1" applyProtection="1">
      <alignment horizontal="center"/>
      <protection hidden="1"/>
    </xf>
    <xf numFmtId="0" fontId="1" fillId="0" borderId="326" xfId="0" applyFont="1" applyBorder="1" applyAlignment="1" applyProtection="1">
      <alignment horizontal="center"/>
      <protection hidden="1"/>
    </xf>
    <xf numFmtId="0" fontId="305" fillId="0" borderId="414" xfId="0" applyFont="1" applyBorder="1" applyAlignment="1" applyProtection="1">
      <alignment horizontal="left" vertical="center"/>
      <protection hidden="1"/>
    </xf>
    <xf numFmtId="0" fontId="305" fillId="0" borderId="39" xfId="0" applyFont="1" applyBorder="1" applyAlignment="1" applyProtection="1">
      <alignment horizontal="left" vertical="center"/>
      <protection hidden="1"/>
    </xf>
    <xf numFmtId="0" fontId="230" fillId="0" borderId="35" xfId="0" applyFont="1" applyBorder="1" applyAlignment="1" applyProtection="1">
      <alignment vertical="center"/>
      <protection hidden="1"/>
    </xf>
    <xf numFmtId="0" fontId="230" fillId="0" borderId="39" xfId="0" applyFont="1" applyBorder="1" applyAlignment="1" applyProtection="1">
      <alignment vertical="center"/>
      <protection hidden="1"/>
    </xf>
    <xf numFmtId="0" fontId="230" fillId="0" borderId="33" xfId="0" applyFont="1" applyBorder="1" applyAlignment="1" applyProtection="1">
      <alignment vertical="center"/>
      <protection hidden="1"/>
    </xf>
    <xf numFmtId="0" fontId="305" fillId="0" borderId="316" xfId="0" applyFont="1" applyBorder="1" applyAlignment="1" applyProtection="1">
      <alignment horizontal="left" vertical="center"/>
      <protection hidden="1"/>
    </xf>
    <xf numFmtId="0" fontId="383" fillId="4" borderId="0" xfId="0" applyFont="1" applyFill="1" applyAlignment="1" applyProtection="1">
      <alignment horizontal="center" vertical="center"/>
      <protection hidden="1"/>
    </xf>
    <xf numFmtId="0" fontId="383" fillId="17" borderId="40" xfId="0" applyFont="1" applyFill="1" applyBorder="1" applyAlignment="1" applyProtection="1">
      <alignment horizontal="right" vertical="center"/>
      <protection hidden="1"/>
    </xf>
    <xf numFmtId="0" fontId="305" fillId="0" borderId="0" xfId="0" applyFont="1" applyAlignment="1" applyProtection="1">
      <alignment horizontal="right" vertical="center" indent="1"/>
      <protection hidden="1"/>
    </xf>
    <xf numFmtId="0" fontId="305" fillId="18" borderId="39" xfId="0" applyFont="1" applyFill="1" applyBorder="1" applyAlignment="1" applyProtection="1">
      <alignment horizontal="left" vertical="center"/>
      <protection hidden="1"/>
    </xf>
    <xf numFmtId="0" fontId="1" fillId="0" borderId="317" xfId="0" applyFont="1" applyBorder="1" applyAlignment="1" applyProtection="1">
      <alignment horizontal="center"/>
      <protection hidden="1"/>
    </xf>
    <xf numFmtId="0" fontId="304" fillId="17" borderId="414" xfId="0" applyFont="1" applyFill="1" applyBorder="1" applyAlignment="1" applyProtection="1">
      <alignment horizontal="left" vertical="center"/>
      <protection hidden="1"/>
    </xf>
    <xf numFmtId="0" fontId="18" fillId="17" borderId="372" xfId="0" applyFont="1" applyFill="1" applyBorder="1" applyAlignment="1" applyProtection="1">
      <alignment horizontal="center"/>
      <protection hidden="1"/>
    </xf>
    <xf numFmtId="0" fontId="18" fillId="17" borderId="326" xfId="0" applyFont="1" applyFill="1" applyBorder="1" applyAlignment="1" applyProtection="1">
      <alignment horizontal="center"/>
      <protection hidden="1"/>
    </xf>
    <xf numFmtId="0" fontId="577" fillId="0" borderId="414" xfId="0" applyFont="1" applyBorder="1" applyAlignment="1" applyProtection="1">
      <alignment horizontal="left" vertical="center"/>
      <protection hidden="1"/>
    </xf>
    <xf numFmtId="0" fontId="577" fillId="0" borderId="414" xfId="0" quotePrefix="1" applyFont="1" applyBorder="1" applyAlignment="1" applyProtection="1">
      <alignment horizontal="left" vertical="center"/>
      <protection hidden="1"/>
    </xf>
    <xf numFmtId="0" fontId="66" fillId="0" borderId="0" xfId="0" applyFont="1" applyAlignment="1" applyProtection="1">
      <alignment horizontal="center" vertical="center"/>
      <protection hidden="1"/>
    </xf>
    <xf numFmtId="0" fontId="66" fillId="0" borderId="0" xfId="0" applyFont="1" applyAlignment="1" applyProtection="1">
      <alignment horizontal="right" vertical="center"/>
      <protection hidden="1"/>
    </xf>
    <xf numFmtId="0" fontId="576" fillId="4" borderId="0" xfId="0" applyFont="1" applyFill="1" applyAlignment="1" applyProtection="1">
      <alignment horizontal="center" vertical="center"/>
      <protection hidden="1"/>
    </xf>
    <xf numFmtId="0" fontId="575" fillId="4" borderId="0" xfId="0" applyFont="1" applyFill="1" applyAlignment="1" applyProtection="1">
      <alignment horizontal="center" vertical="center"/>
      <protection hidden="1"/>
    </xf>
    <xf numFmtId="0" fontId="104" fillId="4" borderId="0" xfId="0" applyFont="1" applyFill="1" applyAlignment="1" applyProtection="1">
      <alignment horizontal="left" vertical="center"/>
      <protection hidden="1"/>
    </xf>
    <xf numFmtId="0" fontId="230" fillId="0" borderId="35" xfId="0" quotePrefix="1" applyFont="1" applyBorder="1" applyAlignment="1" applyProtection="1">
      <alignment vertical="center"/>
      <protection hidden="1"/>
    </xf>
    <xf numFmtId="0" fontId="15" fillId="17" borderId="180" xfId="0" applyFont="1" applyFill="1" applyBorder="1" applyAlignment="1" applyProtection="1">
      <alignment horizontal="right" vertical="center"/>
      <protection hidden="1"/>
    </xf>
    <xf numFmtId="0" fontId="383" fillId="0" borderId="104" xfId="0" applyFont="1" applyBorder="1" applyAlignment="1" applyProtection="1">
      <alignment horizontal="left" vertical="center"/>
      <protection hidden="1"/>
    </xf>
    <xf numFmtId="0" fontId="294" fillId="0" borderId="0" xfId="0" applyFont="1" applyAlignment="1" applyProtection="1">
      <alignment horizontal="center" vertical="center"/>
      <protection hidden="1"/>
    </xf>
    <xf numFmtId="0" fontId="308" fillId="18" borderId="0" xfId="0" applyFont="1" applyFill="1" applyAlignment="1" applyProtection="1">
      <alignment horizontal="center" vertical="top"/>
      <protection hidden="1"/>
    </xf>
    <xf numFmtId="0" fontId="308" fillId="18" borderId="0" xfId="0" applyFont="1" applyFill="1" applyAlignment="1" applyProtection="1">
      <alignment horizontal="center" vertical="top"/>
      <protection locked="0"/>
    </xf>
    <xf numFmtId="0" fontId="215" fillId="0" borderId="0" xfId="0" applyFont="1" applyAlignment="1" applyProtection="1">
      <alignment horizontal="center"/>
      <protection hidden="1"/>
    </xf>
    <xf numFmtId="0" fontId="308" fillId="0" borderId="0" xfId="0" applyFont="1" applyAlignment="1" applyProtection="1">
      <alignment horizontal="center" vertical="top"/>
      <protection hidden="1"/>
    </xf>
    <xf numFmtId="0" fontId="130" fillId="0" borderId="0" xfId="0" applyFont="1" applyAlignment="1" applyProtection="1">
      <alignment horizontal="right"/>
      <protection hidden="1"/>
    </xf>
    <xf numFmtId="0" fontId="578" fillId="0" borderId="0" xfId="0" applyFont="1" applyAlignment="1" applyProtection="1">
      <alignment horizontal="left" vertical="center"/>
      <protection hidden="1"/>
    </xf>
    <xf numFmtId="0" fontId="414" fillId="0" borderId="0" xfId="0" applyFont="1" applyAlignment="1" applyProtection="1">
      <alignment horizontal="left" vertical="center"/>
      <protection hidden="1"/>
    </xf>
    <xf numFmtId="0" fontId="120" fillId="0" borderId="0" xfId="0" applyFont="1" applyAlignment="1" applyProtection="1">
      <alignment horizontal="center"/>
      <protection hidden="1"/>
    </xf>
    <xf numFmtId="0" fontId="172" fillId="0" borderId="0" xfId="0" applyFont="1" applyAlignment="1" applyProtection="1">
      <alignment horizontal="center"/>
      <protection hidden="1"/>
    </xf>
    <xf numFmtId="0" fontId="579" fillId="21" borderId="1" xfId="0" applyFont="1" applyFill="1" applyBorder="1" applyAlignment="1" applyProtection="1">
      <alignment horizontal="center" vertical="center"/>
      <protection locked="0"/>
    </xf>
    <xf numFmtId="0" fontId="580" fillId="0" borderId="1" xfId="0" applyFont="1" applyBorder="1" applyAlignment="1" applyProtection="1">
      <alignment horizontal="center" vertical="center"/>
      <protection locked="0"/>
    </xf>
    <xf numFmtId="9" fontId="414" fillId="0" borderId="0" xfId="0" applyNumberFormat="1" applyFont="1" applyAlignment="1" applyProtection="1">
      <alignment horizontal="center" vertical="center" wrapText="1"/>
      <protection hidden="1"/>
    </xf>
    <xf numFmtId="1" fontId="415" fillId="0" borderId="0" xfId="0" applyNumberFormat="1" applyFont="1" applyAlignment="1" applyProtection="1">
      <alignment horizontal="right" vertical="center" wrapText="1"/>
      <protection hidden="1"/>
    </xf>
    <xf numFmtId="9" fontId="415" fillId="0" borderId="0" xfId="0" applyNumberFormat="1" applyFont="1" applyAlignment="1" applyProtection="1">
      <alignment horizontal="left" vertical="center" wrapText="1"/>
      <protection hidden="1"/>
    </xf>
    <xf numFmtId="0" fontId="308" fillId="0" borderId="0" xfId="0" applyFont="1" applyAlignment="1" applyProtection="1">
      <alignment horizontal="center" vertical="center"/>
      <protection locked="0"/>
    </xf>
    <xf numFmtId="0" fontId="101" fillId="0" borderId="0" xfId="0" applyFont="1" applyAlignment="1" applyProtection="1">
      <alignment vertical="center" wrapText="1"/>
      <protection hidden="1"/>
    </xf>
    <xf numFmtId="0" fontId="228" fillId="4" borderId="0" xfId="0" applyFont="1" applyFill="1" applyAlignment="1" applyProtection="1">
      <alignment vertical="top" wrapText="1"/>
      <protection hidden="1"/>
    </xf>
    <xf numFmtId="0" fontId="265" fillId="19" borderId="375" xfId="0" applyFont="1" applyFill="1" applyBorder="1" applyAlignment="1" applyProtection="1">
      <alignment horizontal="center" vertical="center"/>
      <protection hidden="1"/>
    </xf>
    <xf numFmtId="0" fontId="265" fillId="19" borderId="199" xfId="0" applyFont="1" applyFill="1" applyBorder="1" applyAlignment="1" applyProtection="1">
      <alignment horizontal="center" vertical="center"/>
      <protection hidden="1"/>
    </xf>
    <xf numFmtId="179" fontId="113" fillId="0" borderId="0" xfId="0" applyNumberFormat="1" applyFont="1" applyAlignment="1" applyProtection="1">
      <alignment horizontal="center" vertical="center"/>
      <protection hidden="1"/>
    </xf>
    <xf numFmtId="179" fontId="113" fillId="0" borderId="410" xfId="0" applyNumberFormat="1" applyFont="1" applyBorder="1" applyAlignment="1" applyProtection="1">
      <alignment horizontal="center" vertical="center"/>
      <protection hidden="1"/>
    </xf>
    <xf numFmtId="179" fontId="113" fillId="0" borderId="411" xfId="0" applyNumberFormat="1" applyFont="1" applyBorder="1" applyAlignment="1" applyProtection="1">
      <alignment horizontal="center" vertical="center"/>
      <protection hidden="1"/>
    </xf>
    <xf numFmtId="179" fontId="113" fillId="0" borderId="412" xfId="0" applyNumberFormat="1" applyFont="1" applyBorder="1" applyAlignment="1" applyProtection="1">
      <alignment horizontal="center" vertical="center"/>
      <protection hidden="1"/>
    </xf>
    <xf numFmtId="0" fontId="343" fillId="0" borderId="1" xfId="0" applyFont="1" applyBorder="1" applyAlignment="1" applyProtection="1">
      <alignment vertical="center"/>
      <protection hidden="1"/>
    </xf>
    <xf numFmtId="0" fontId="343" fillId="0" borderId="1" xfId="0" applyFont="1" applyBorder="1" applyAlignment="1" applyProtection="1">
      <alignment horizontal="right" vertical="center"/>
      <protection hidden="1"/>
    </xf>
    <xf numFmtId="0" fontId="343" fillId="0" borderId="1" xfId="0" applyFont="1" applyBorder="1" applyAlignment="1" applyProtection="1">
      <alignment vertical="top" wrapText="1"/>
      <protection hidden="1"/>
    </xf>
    <xf numFmtId="0" fontId="582" fillId="19" borderId="203" xfId="0" applyFont="1" applyFill="1" applyBorder="1" applyAlignment="1" applyProtection="1">
      <alignment horizontal="center" vertical="center"/>
      <protection hidden="1"/>
    </xf>
    <xf numFmtId="0" fontId="582" fillId="19" borderId="205" xfId="0" applyFont="1" applyFill="1" applyBorder="1" applyAlignment="1" applyProtection="1">
      <alignment horizontal="center" vertical="center"/>
      <protection hidden="1"/>
    </xf>
    <xf numFmtId="0" fontId="582" fillId="19" borderId="204" xfId="0" applyFont="1" applyFill="1" applyBorder="1" applyAlignment="1" applyProtection="1">
      <alignment horizontal="center" vertical="center"/>
      <protection hidden="1"/>
    </xf>
    <xf numFmtId="0" fontId="456" fillId="19" borderId="203" xfId="0" applyFont="1" applyFill="1" applyBorder="1" applyAlignment="1" applyProtection="1">
      <alignment horizontal="left" vertical="center"/>
      <protection hidden="1"/>
    </xf>
    <xf numFmtId="0" fontId="456" fillId="19" borderId="203" xfId="0" applyFont="1" applyFill="1" applyBorder="1" applyAlignment="1" applyProtection="1">
      <alignment horizontal="center" vertical="center"/>
      <protection hidden="1"/>
    </xf>
    <xf numFmtId="0" fontId="456" fillId="19" borderId="205" xfId="0" applyFont="1" applyFill="1" applyBorder="1" applyAlignment="1" applyProtection="1">
      <alignment horizontal="left" vertical="center"/>
      <protection hidden="1"/>
    </xf>
    <xf numFmtId="0" fontId="456" fillId="19" borderId="204" xfId="0" applyFont="1" applyFill="1" applyBorder="1" applyAlignment="1" applyProtection="1">
      <alignment horizontal="center" vertical="center"/>
      <protection hidden="1"/>
    </xf>
    <xf numFmtId="0" fontId="456" fillId="19" borderId="196" xfId="0" applyFont="1" applyFill="1" applyBorder="1" applyAlignment="1" applyProtection="1">
      <alignment horizontal="right" vertical="center"/>
      <protection hidden="1"/>
    </xf>
    <xf numFmtId="0" fontId="456" fillId="19" borderId="196" xfId="0" applyFont="1" applyFill="1" applyBorder="1" applyAlignment="1" applyProtection="1">
      <alignment vertical="center"/>
      <protection hidden="1"/>
    </xf>
    <xf numFmtId="0" fontId="456" fillId="19" borderId="204" xfId="0" applyFont="1" applyFill="1" applyBorder="1" applyAlignment="1" applyProtection="1">
      <alignment horizontal="left" vertical="center"/>
      <protection hidden="1"/>
    </xf>
    <xf numFmtId="0" fontId="456" fillId="19" borderId="205" xfId="0" applyFont="1" applyFill="1" applyBorder="1" applyAlignment="1" applyProtection="1">
      <alignment horizontal="center" vertical="center"/>
      <protection hidden="1"/>
    </xf>
    <xf numFmtId="0" fontId="271" fillId="19" borderId="205" xfId="0" applyFont="1" applyFill="1" applyBorder="1" applyAlignment="1" applyProtection="1">
      <alignment horizontal="left" vertical="center"/>
      <protection hidden="1"/>
    </xf>
    <xf numFmtId="0" fontId="76" fillId="19" borderId="205" xfId="0" applyFont="1" applyFill="1" applyBorder="1" applyAlignment="1" applyProtection="1">
      <alignment horizontal="left" vertical="center"/>
      <protection hidden="1"/>
    </xf>
    <xf numFmtId="0" fontId="435" fillId="19" borderId="203" xfId="0" applyFont="1" applyFill="1" applyBorder="1" applyAlignment="1" applyProtection="1">
      <alignment horizontal="center" vertical="center"/>
      <protection hidden="1"/>
    </xf>
    <xf numFmtId="0" fontId="435" fillId="19" borderId="204" xfId="0" applyFont="1" applyFill="1" applyBorder="1" applyAlignment="1" applyProtection="1">
      <alignment horizontal="center" vertical="center"/>
      <protection hidden="1"/>
    </xf>
    <xf numFmtId="0" fontId="326" fillId="19" borderId="232" xfId="0" applyFont="1" applyFill="1" applyBorder="1" applyAlignment="1" applyProtection="1">
      <alignment horizontal="center" vertical="center"/>
      <protection hidden="1"/>
    </xf>
    <xf numFmtId="0" fontId="326" fillId="19" borderId="233" xfId="0" applyFont="1" applyFill="1" applyBorder="1" applyAlignment="1" applyProtection="1">
      <alignment horizontal="center" vertical="center"/>
      <protection hidden="1"/>
    </xf>
    <xf numFmtId="0" fontId="265" fillId="19" borderId="374" xfId="0" applyFont="1" applyFill="1" applyBorder="1" applyAlignment="1" applyProtection="1">
      <alignment horizontal="center" vertical="center"/>
      <protection hidden="1"/>
    </xf>
    <xf numFmtId="0" fontId="173" fillId="19" borderId="415" xfId="0" applyFont="1" applyFill="1" applyBorder="1" applyAlignment="1" applyProtection="1">
      <alignment horizontal="left" vertical="center"/>
      <protection hidden="1"/>
    </xf>
    <xf numFmtId="0" fontId="265" fillId="19" borderId="415" xfId="0" applyFont="1" applyFill="1" applyBorder="1" applyAlignment="1" applyProtection="1">
      <alignment horizontal="center" vertical="center"/>
      <protection hidden="1"/>
    </xf>
    <xf numFmtId="0" fontId="275" fillId="19" borderId="415" xfId="0" applyFont="1" applyFill="1" applyBorder="1" applyAlignment="1" applyProtection="1">
      <alignment horizontal="right" vertical="center"/>
      <protection hidden="1"/>
    </xf>
    <xf numFmtId="0" fontId="173" fillId="19" borderId="415" xfId="0" applyFont="1" applyFill="1" applyBorder="1" applyAlignment="1" applyProtection="1">
      <alignment horizontal="right" vertical="center"/>
      <protection hidden="1"/>
    </xf>
    <xf numFmtId="0" fontId="267" fillId="19" borderId="415" xfId="0" applyFont="1" applyFill="1" applyBorder="1" applyAlignment="1" applyProtection="1">
      <alignment horizontal="left" vertical="center"/>
      <protection hidden="1"/>
    </xf>
    <xf numFmtId="0" fontId="456" fillId="19" borderId="415" xfId="0" applyFont="1" applyFill="1" applyBorder="1" applyAlignment="1" applyProtection="1">
      <alignment horizontal="left" vertical="center"/>
      <protection hidden="1"/>
    </xf>
    <xf numFmtId="0" fontId="456" fillId="19" borderId="415" xfId="0" applyFont="1" applyFill="1" applyBorder="1" applyAlignment="1" applyProtection="1">
      <alignment horizontal="right" vertical="center"/>
      <protection hidden="1"/>
    </xf>
    <xf numFmtId="0" fontId="267" fillId="19" borderId="415" xfId="0" applyFont="1" applyFill="1" applyBorder="1" applyAlignment="1" applyProtection="1">
      <alignment horizontal="right" vertical="center"/>
      <protection hidden="1"/>
    </xf>
    <xf numFmtId="0" fontId="269" fillId="19" borderId="415" xfId="0" applyFont="1" applyFill="1" applyBorder="1" applyAlignment="1" applyProtection="1">
      <alignment horizontal="left" vertical="center"/>
      <protection hidden="1"/>
    </xf>
    <xf numFmtId="0" fontId="456" fillId="19" borderId="415" xfId="0" applyFont="1" applyFill="1" applyBorder="1" applyAlignment="1" applyProtection="1">
      <alignment horizontal="center" vertical="center"/>
      <protection hidden="1"/>
    </xf>
    <xf numFmtId="0" fontId="410" fillId="19" borderId="415" xfId="0" applyFont="1" applyFill="1" applyBorder="1" applyAlignment="1" applyProtection="1">
      <alignment horizontal="center" vertical="center"/>
      <protection hidden="1"/>
    </xf>
    <xf numFmtId="0" fontId="269" fillId="19" borderId="415" xfId="0" applyFont="1" applyFill="1" applyBorder="1" applyAlignment="1" applyProtection="1">
      <alignment horizontal="right" vertical="center"/>
      <protection hidden="1"/>
    </xf>
    <xf numFmtId="0" fontId="101" fillId="0" borderId="1" xfId="0" applyFont="1" applyBorder="1" applyAlignment="1" applyProtection="1">
      <alignment horizontal="center" vertical="center"/>
      <protection hidden="1"/>
    </xf>
    <xf numFmtId="0" fontId="583" fillId="13" borderId="0" xfId="0" applyFont="1" applyFill="1" applyAlignment="1" applyProtection="1">
      <alignment horizontal="center" vertical="center"/>
      <protection hidden="1"/>
    </xf>
    <xf numFmtId="14" fontId="1" fillId="0" borderId="0" xfId="0" applyNumberFormat="1" applyFont="1" applyProtection="1">
      <protection hidden="1"/>
    </xf>
    <xf numFmtId="0" fontId="130" fillId="0" borderId="0" xfId="0" quotePrefix="1" applyFont="1" applyAlignment="1" applyProtection="1">
      <alignment horizontal="right"/>
      <protection hidden="1"/>
    </xf>
    <xf numFmtId="0" fontId="386" fillId="0" borderId="0" xfId="0" quotePrefix="1" applyFont="1" applyAlignment="1" applyProtection="1">
      <alignment horizontal="right" vertical="center"/>
      <protection hidden="1"/>
    </xf>
    <xf numFmtId="0" fontId="386" fillId="0" borderId="0" xfId="0" quotePrefix="1" applyFont="1" applyAlignment="1" applyProtection="1">
      <alignment horizontal="left" vertical="center"/>
      <protection hidden="1"/>
    </xf>
    <xf numFmtId="0" fontId="386" fillId="0" borderId="0" xfId="0" quotePrefix="1" applyFont="1" applyAlignment="1" applyProtection="1">
      <alignment horizontal="left" vertical="center" indent="1"/>
      <protection hidden="1"/>
    </xf>
    <xf numFmtId="0" fontId="1" fillId="0" borderId="133" xfId="0" applyFont="1" applyBorder="1" applyAlignment="1" applyProtection="1">
      <alignment horizontal="center"/>
      <protection hidden="1"/>
    </xf>
    <xf numFmtId="0" fontId="101" fillId="0" borderId="134" xfId="0" quotePrefix="1" applyFont="1" applyBorder="1" applyAlignment="1" applyProtection="1">
      <alignment horizontal="center"/>
      <protection hidden="1"/>
    </xf>
    <xf numFmtId="0" fontId="1" fillId="0" borderId="135" xfId="0" applyFont="1" applyBorder="1" applyAlignment="1" applyProtection="1">
      <alignment horizontal="center"/>
      <protection hidden="1"/>
    </xf>
    <xf numFmtId="0" fontId="1" fillId="0" borderId="138" xfId="0" applyFont="1" applyBorder="1" applyAlignment="1" applyProtection="1">
      <alignment horizontal="center"/>
      <protection hidden="1"/>
    </xf>
    <xf numFmtId="0" fontId="1" fillId="0" borderId="139" xfId="0" applyFont="1" applyBorder="1" applyAlignment="1" applyProtection="1">
      <alignment horizontal="center"/>
      <protection hidden="1"/>
    </xf>
    <xf numFmtId="178" fontId="108" fillId="0" borderId="122" xfId="0" applyNumberFormat="1" applyFont="1" applyBorder="1" applyAlignment="1" applyProtection="1">
      <alignment horizontal="center" vertical="top"/>
      <protection hidden="1"/>
    </xf>
    <xf numFmtId="0" fontId="584" fillId="13" borderId="0" xfId="0" applyFont="1" applyFill="1" applyAlignment="1" applyProtection="1">
      <alignment horizontal="center" vertical="center"/>
      <protection hidden="1"/>
    </xf>
    <xf numFmtId="0" fontId="21" fillId="4" borderId="0" xfId="0" applyFont="1" applyFill="1" applyAlignment="1" applyProtection="1">
      <alignment horizontal="left"/>
      <protection locked="0"/>
    </xf>
    <xf numFmtId="0" fontId="21" fillId="4" borderId="16" xfId="0" applyFont="1" applyFill="1" applyBorder="1" applyAlignment="1" applyProtection="1">
      <alignment horizontal="left"/>
      <protection locked="0"/>
    </xf>
    <xf numFmtId="0" fontId="386" fillId="4" borderId="16" xfId="0" quotePrefix="1" applyFont="1" applyFill="1" applyBorder="1" applyAlignment="1" applyProtection="1">
      <alignment horizontal="left" vertical="top"/>
      <protection hidden="1"/>
    </xf>
    <xf numFmtId="0" fontId="27" fillId="17" borderId="0" xfId="0" applyFont="1" applyFill="1" applyProtection="1">
      <protection hidden="1"/>
    </xf>
    <xf numFmtId="0" fontId="1" fillId="17" borderId="79" xfId="0" applyFont="1" applyFill="1" applyBorder="1" applyAlignment="1" applyProtection="1">
      <alignment horizontal="center"/>
      <protection hidden="1"/>
    </xf>
    <xf numFmtId="0" fontId="15" fillId="17" borderId="418" xfId="0" applyFont="1" applyFill="1" applyBorder="1" applyAlignment="1" applyProtection="1">
      <alignment horizontal="right" vertical="center"/>
      <protection hidden="1"/>
    </xf>
    <xf numFmtId="0" fontId="68" fillId="17" borderId="0" xfId="0" applyFont="1" applyFill="1" applyAlignment="1" applyProtection="1">
      <alignment horizontal="left" vertical="top" indent="1"/>
      <protection hidden="1"/>
    </xf>
    <xf numFmtId="0" fontId="90" fillId="17" borderId="0" xfId="0" applyFont="1" applyFill="1" applyAlignment="1" applyProtection="1">
      <alignment horizontal="center"/>
      <protection hidden="1"/>
    </xf>
    <xf numFmtId="0" fontId="68" fillId="17" borderId="0" xfId="0" applyFont="1" applyFill="1" applyAlignment="1" applyProtection="1">
      <alignment horizontal="right" vertical="center"/>
      <protection hidden="1"/>
    </xf>
    <xf numFmtId="0" fontId="129" fillId="17" borderId="0" xfId="0" applyFont="1" applyFill="1" applyAlignment="1" applyProtection="1">
      <alignment horizontal="right" vertical="center"/>
      <protection hidden="1"/>
    </xf>
    <xf numFmtId="0" fontId="129" fillId="17" borderId="0" xfId="0" applyFont="1" applyFill="1" applyAlignment="1" applyProtection="1">
      <alignment horizontal="center" vertical="center"/>
      <protection hidden="1"/>
    </xf>
    <xf numFmtId="0" fontId="68" fillId="17" borderId="0" xfId="0" applyFont="1" applyFill="1" applyAlignment="1" applyProtection="1">
      <alignment horizontal="center" vertical="center"/>
      <protection hidden="1"/>
    </xf>
    <xf numFmtId="0" fontId="244" fillId="17" borderId="0" xfId="0" applyFont="1" applyFill="1" applyAlignment="1" applyProtection="1">
      <alignment horizontal="center" vertical="center"/>
      <protection hidden="1"/>
    </xf>
    <xf numFmtId="0" fontId="90" fillId="17" borderId="0" xfId="0" applyFont="1" applyFill="1" applyAlignment="1" applyProtection="1">
      <alignment horizontal="center" vertical="center"/>
      <protection hidden="1"/>
    </xf>
    <xf numFmtId="0" fontId="127" fillId="17" borderId="0" xfId="0" applyFont="1" applyFill="1" applyAlignment="1" applyProtection="1">
      <alignment horizontal="center"/>
      <protection hidden="1"/>
    </xf>
    <xf numFmtId="0" fontId="67" fillId="17" borderId="0" xfId="0" applyFont="1" applyFill="1" applyAlignment="1" applyProtection="1">
      <alignment horizontal="center"/>
      <protection hidden="1"/>
    </xf>
    <xf numFmtId="0" fontId="90" fillId="17" borderId="0" xfId="0" applyFont="1" applyFill="1" applyAlignment="1" applyProtection="1">
      <alignment horizontal="right"/>
      <protection hidden="1"/>
    </xf>
    <xf numFmtId="0" fontId="90" fillId="17" borderId="0" xfId="0" applyFont="1" applyFill="1" applyAlignment="1" applyProtection="1">
      <alignment horizontal="right" vertical="top"/>
      <protection hidden="1"/>
    </xf>
    <xf numFmtId="0" fontId="49" fillId="17" borderId="0" xfId="0" applyFont="1" applyFill="1" applyProtection="1">
      <protection hidden="1"/>
    </xf>
    <xf numFmtId="0" fontId="570" fillId="17" borderId="0" xfId="0" applyFont="1" applyFill="1" applyAlignment="1" applyProtection="1">
      <alignment horizontal="center" vertical="center"/>
      <protection hidden="1"/>
    </xf>
    <xf numFmtId="0" fontId="129" fillId="0" borderId="52" xfId="0" applyFont="1" applyBorder="1" applyAlignment="1" applyProtection="1">
      <alignment horizontal="center" vertical="top"/>
      <protection hidden="1"/>
    </xf>
    <xf numFmtId="0" fontId="347" fillId="18" borderId="0" xfId="0" applyFont="1" applyFill="1" applyAlignment="1" applyProtection="1">
      <alignment horizontal="center" vertical="center"/>
      <protection hidden="1"/>
    </xf>
    <xf numFmtId="0" fontId="347" fillId="18" borderId="0" xfId="0" applyFont="1" applyFill="1" applyAlignment="1" applyProtection="1">
      <alignment horizontal="left" vertical="center"/>
      <protection hidden="1"/>
    </xf>
    <xf numFmtId="0" fontId="236" fillId="23" borderId="146" xfId="0" applyFont="1" applyFill="1" applyBorder="1" applyAlignment="1" applyProtection="1">
      <alignment horizontal="right" indent="1"/>
      <protection hidden="1"/>
    </xf>
    <xf numFmtId="0" fontId="104" fillId="23" borderId="146" xfId="0" applyFont="1" applyFill="1" applyBorder="1" applyAlignment="1" applyProtection="1">
      <alignment horizontal="right" indent="1"/>
      <protection hidden="1"/>
    </xf>
    <xf numFmtId="0" fontId="149" fillId="23" borderId="146" xfId="0" applyFont="1" applyFill="1" applyBorder="1" applyAlignment="1" applyProtection="1">
      <alignment vertical="center"/>
      <protection hidden="1"/>
    </xf>
    <xf numFmtId="0" fontId="431" fillId="20" borderId="75" xfId="0" applyFont="1" applyFill="1" applyBorder="1" applyAlignment="1" applyProtection="1">
      <alignment vertical="center"/>
      <protection hidden="1"/>
    </xf>
    <xf numFmtId="0" fontId="327" fillId="19" borderId="75" xfId="0" applyFont="1" applyFill="1" applyBorder="1" applyAlignment="1" applyProtection="1">
      <alignment vertical="center"/>
      <protection hidden="1"/>
    </xf>
    <xf numFmtId="0" fontId="327" fillId="20" borderId="75" xfId="0" applyFont="1" applyFill="1" applyBorder="1" applyAlignment="1" applyProtection="1">
      <alignment vertical="center"/>
      <protection hidden="1"/>
    </xf>
    <xf numFmtId="0" fontId="172" fillId="18" borderId="0" xfId="0" applyFont="1" applyFill="1" applyAlignment="1" applyProtection="1">
      <alignment horizontal="center" vertical="center"/>
      <protection hidden="1"/>
    </xf>
    <xf numFmtId="0" fontId="172" fillId="18" borderId="0" xfId="0" applyFont="1" applyFill="1" applyAlignment="1" applyProtection="1">
      <alignment horizontal="center" vertical="top"/>
      <protection hidden="1"/>
    </xf>
    <xf numFmtId="0" fontId="172" fillId="18" borderId="0" xfId="0" applyFont="1" applyFill="1" applyAlignment="1" applyProtection="1">
      <alignment vertical="top"/>
      <protection hidden="1"/>
    </xf>
    <xf numFmtId="0" fontId="442" fillId="15" borderId="206" xfId="0" applyFont="1" applyFill="1" applyBorder="1" applyAlignment="1" applyProtection="1">
      <alignment horizontal="left" vertical="center" indent="1"/>
      <protection hidden="1"/>
    </xf>
    <xf numFmtId="0" fontId="442" fillId="15" borderId="206" xfId="0" applyFont="1" applyFill="1" applyBorder="1" applyAlignment="1" applyProtection="1">
      <alignment horizontal="left" vertical="center"/>
      <protection hidden="1"/>
    </xf>
    <xf numFmtId="0" fontId="165" fillId="17" borderId="0" xfId="0" applyFont="1" applyFill="1" applyAlignment="1" applyProtection="1">
      <alignment horizontal="center" vertical="center"/>
      <protection hidden="1"/>
    </xf>
    <xf numFmtId="0" fontId="108" fillId="0" borderId="1" xfId="0" applyFont="1" applyBorder="1" applyAlignment="1" applyProtection="1">
      <alignment horizontal="center" vertical="center"/>
      <protection hidden="1"/>
    </xf>
    <xf numFmtId="0" fontId="67" fillId="17" borderId="0" xfId="0" applyFont="1" applyFill="1" applyAlignment="1" applyProtection="1">
      <alignment horizontal="right"/>
      <protection hidden="1"/>
    </xf>
    <xf numFmtId="0" fontId="265" fillId="19" borderId="416" xfId="0" applyFont="1" applyFill="1" applyBorder="1" applyAlignment="1" applyProtection="1">
      <alignment horizontal="center" vertical="center"/>
      <protection hidden="1"/>
    </xf>
    <xf numFmtId="0" fontId="173" fillId="19" borderId="417" xfId="0" applyFont="1" applyFill="1" applyBorder="1" applyAlignment="1" applyProtection="1">
      <alignment horizontal="left" vertical="center"/>
      <protection hidden="1"/>
    </xf>
    <xf numFmtId="0" fontId="265" fillId="19" borderId="431" xfId="0" applyFont="1" applyFill="1" applyBorder="1" applyAlignment="1" applyProtection="1">
      <alignment horizontal="center" vertical="center"/>
      <protection hidden="1"/>
    </xf>
    <xf numFmtId="0" fontId="173" fillId="19" borderId="431" xfId="0" applyFont="1" applyFill="1" applyBorder="1" applyAlignment="1" applyProtection="1">
      <alignment horizontal="left" vertical="center"/>
      <protection hidden="1"/>
    </xf>
    <xf numFmtId="0" fontId="410" fillId="19" borderId="430" xfId="0" applyFont="1" applyFill="1" applyBorder="1" applyAlignment="1" applyProtection="1">
      <alignment vertical="center"/>
      <protection hidden="1"/>
    </xf>
    <xf numFmtId="0" fontId="410" fillId="19" borderId="430" xfId="0" applyFont="1" applyFill="1" applyBorder="1" applyAlignment="1" applyProtection="1">
      <alignment horizontal="right" vertical="center"/>
      <protection hidden="1"/>
    </xf>
    <xf numFmtId="0" fontId="265" fillId="19" borderId="430" xfId="0" applyFont="1" applyFill="1" applyBorder="1" applyAlignment="1" applyProtection="1">
      <alignment horizontal="center" vertical="center"/>
      <protection hidden="1"/>
    </xf>
    <xf numFmtId="0" fontId="410" fillId="19" borderId="430" xfId="0" quotePrefix="1" applyFont="1" applyFill="1" applyBorder="1" applyAlignment="1" applyProtection="1">
      <alignment horizontal="right" vertical="center"/>
      <protection hidden="1"/>
    </xf>
    <xf numFmtId="0" fontId="173" fillId="19" borderId="430" xfId="0" applyFont="1" applyFill="1" applyBorder="1" applyAlignment="1" applyProtection="1">
      <alignment horizontal="left" vertical="center"/>
      <protection hidden="1"/>
    </xf>
    <xf numFmtId="0" fontId="468" fillId="12" borderId="146" xfId="0" applyFont="1" applyFill="1" applyBorder="1" applyAlignment="1" applyProtection="1">
      <alignment vertical="center" wrapText="1"/>
      <protection hidden="1"/>
    </xf>
    <xf numFmtId="0" fontId="469" fillId="11" borderId="146" xfId="0" applyFont="1" applyFill="1" applyBorder="1" applyAlignment="1" applyProtection="1">
      <alignment horizontal="center" vertical="center" wrapText="1"/>
      <protection hidden="1"/>
    </xf>
    <xf numFmtId="0" fontId="468" fillId="10" borderId="146" xfId="0" applyFont="1" applyFill="1" applyBorder="1" applyAlignment="1" applyProtection="1">
      <alignment vertical="center" wrapText="1"/>
      <protection hidden="1"/>
    </xf>
    <xf numFmtId="0" fontId="468" fillId="9" borderId="146" xfId="0" applyFont="1" applyFill="1" applyBorder="1" applyAlignment="1" applyProtection="1">
      <alignment vertical="center" wrapText="1"/>
      <protection hidden="1"/>
    </xf>
    <xf numFmtId="0" fontId="469" fillId="2" borderId="146" xfId="0" applyFont="1" applyFill="1" applyBorder="1" applyAlignment="1" applyProtection="1">
      <alignment horizontal="center" vertical="center" wrapText="1"/>
      <protection hidden="1"/>
    </xf>
    <xf numFmtId="0" fontId="468" fillId="8" borderId="146" xfId="0" applyFont="1" applyFill="1" applyBorder="1" applyAlignment="1" applyProtection="1">
      <alignment vertical="center" wrapText="1"/>
      <protection hidden="1"/>
    </xf>
    <xf numFmtId="0" fontId="468" fillId="7" borderId="146" xfId="0" applyFont="1" applyFill="1" applyBorder="1" applyAlignment="1" applyProtection="1">
      <alignment vertical="center" wrapText="1"/>
      <protection hidden="1"/>
    </xf>
    <xf numFmtId="0" fontId="469" fillId="6" borderId="146" xfId="0" applyFont="1" applyFill="1" applyBorder="1" applyAlignment="1" applyProtection="1">
      <alignment horizontal="center" vertical="center" wrapText="1"/>
      <protection hidden="1"/>
    </xf>
    <xf numFmtId="0" fontId="468" fillId="5" borderId="146" xfId="0" applyFont="1" applyFill="1" applyBorder="1" applyAlignment="1" applyProtection="1">
      <alignment vertical="center" wrapText="1"/>
      <protection hidden="1"/>
    </xf>
    <xf numFmtId="0" fontId="250" fillId="14" borderId="0" xfId="0" applyFont="1" applyFill="1" applyAlignment="1" applyProtection="1">
      <alignment horizontal="right" vertical="center"/>
      <protection hidden="1"/>
    </xf>
    <xf numFmtId="0" fontId="60" fillId="4" borderId="0" xfId="0" applyFont="1" applyFill="1" applyAlignment="1" applyProtection="1">
      <alignment horizontal="center" vertical="center" wrapText="1"/>
      <protection hidden="1"/>
    </xf>
    <xf numFmtId="0" fontId="117" fillId="18" borderId="0" xfId="0" applyFont="1" applyFill="1" applyProtection="1">
      <protection hidden="1"/>
    </xf>
    <xf numFmtId="0" fontId="101" fillId="0" borderId="100" xfId="0" applyFont="1" applyBorder="1" applyAlignment="1" applyProtection="1">
      <alignment horizontal="center" vertical="center"/>
      <protection hidden="1"/>
    </xf>
    <xf numFmtId="0" fontId="108" fillId="0" borderId="100" xfId="0" applyFont="1" applyBorder="1" applyAlignment="1" applyProtection="1">
      <alignment horizontal="center" vertical="center"/>
      <protection hidden="1"/>
    </xf>
    <xf numFmtId="0" fontId="23" fillId="0" borderId="0" xfId="0" applyFont="1" applyAlignment="1" applyProtection="1">
      <alignment vertical="center" wrapText="1"/>
      <protection hidden="1"/>
    </xf>
    <xf numFmtId="1" fontId="161" fillId="0" borderId="0" xfId="1" applyNumberFormat="1" applyFont="1" applyFill="1" applyBorder="1" applyAlignment="1" applyProtection="1">
      <alignment horizontal="left" vertical="top"/>
      <protection hidden="1"/>
    </xf>
    <xf numFmtId="9" fontId="35" fillId="0" borderId="0" xfId="1" applyFont="1" applyFill="1" applyBorder="1" applyAlignment="1" applyProtection="1">
      <alignment horizontal="left"/>
      <protection hidden="1"/>
    </xf>
    <xf numFmtId="0" fontId="101" fillId="0" borderId="0" xfId="0" quotePrefix="1" applyFont="1" applyAlignment="1" applyProtection="1">
      <alignment vertical="center"/>
      <protection hidden="1"/>
    </xf>
    <xf numFmtId="0" fontId="393" fillId="0" borderId="0" xfId="0" quotePrefix="1" applyFont="1" applyAlignment="1" applyProtection="1">
      <alignment vertical="center"/>
      <protection hidden="1"/>
    </xf>
    <xf numFmtId="0" fontId="393" fillId="0" borderId="0" xfId="0" applyFont="1" applyAlignment="1" applyProtection="1">
      <alignment vertical="center"/>
      <protection hidden="1"/>
    </xf>
    <xf numFmtId="0" fontId="172" fillId="0" borderId="0" xfId="0" quotePrefix="1" applyFont="1" applyAlignment="1" applyProtection="1">
      <alignment vertical="center"/>
      <protection hidden="1"/>
    </xf>
    <xf numFmtId="0" fontId="172" fillId="0" borderId="0" xfId="0" applyFont="1" applyAlignment="1" applyProtection="1">
      <alignment vertical="center"/>
      <protection hidden="1"/>
    </xf>
    <xf numFmtId="169" fontId="146" fillId="17" borderId="0" xfId="0" applyNumberFormat="1" applyFont="1" applyFill="1" applyAlignment="1" applyProtection="1">
      <alignment vertical="center" wrapText="1"/>
      <protection hidden="1"/>
    </xf>
    <xf numFmtId="0" fontId="308" fillId="0" borderId="0" xfId="0" quotePrefix="1" applyFont="1" applyAlignment="1" applyProtection="1">
      <alignment vertical="center"/>
      <protection hidden="1"/>
    </xf>
    <xf numFmtId="0" fontId="101" fillId="0" borderId="0" xfId="0" applyFont="1" applyAlignment="1" applyProtection="1">
      <alignment horizontal="right" vertical="center"/>
      <protection hidden="1"/>
    </xf>
    <xf numFmtId="168" fontId="1" fillId="0" borderId="0" xfId="0" applyNumberFormat="1" applyFont="1" applyAlignment="1" applyProtection="1">
      <alignment horizontal="center" vertical="center"/>
      <protection hidden="1"/>
    </xf>
    <xf numFmtId="0" fontId="60" fillId="0" borderId="0" xfId="0" applyFont="1" applyAlignment="1" applyProtection="1">
      <alignment horizontal="left"/>
      <protection hidden="1"/>
    </xf>
    <xf numFmtId="2" fontId="131" fillId="0" borderId="0" xfId="0" applyNumberFormat="1" applyFont="1" applyAlignment="1" applyProtection="1">
      <alignment horizontal="left" vertical="center"/>
      <protection hidden="1"/>
    </xf>
    <xf numFmtId="2" fontId="113" fillId="0" borderId="0" xfId="0" applyNumberFormat="1" applyFont="1" applyAlignment="1" applyProtection="1">
      <alignment horizontal="center" vertical="center"/>
      <protection hidden="1"/>
    </xf>
    <xf numFmtId="176" fontId="252" fillId="0" borderId="0" xfId="0" applyNumberFormat="1" applyFont="1" applyAlignment="1" applyProtection="1">
      <alignment horizontal="center" vertical="center"/>
      <protection hidden="1"/>
    </xf>
    <xf numFmtId="0" fontId="74" fillId="0" borderId="147" xfId="0" applyFont="1" applyBorder="1" applyAlignment="1" applyProtection="1">
      <alignment horizontal="left" indent="1"/>
      <protection locked="0"/>
    </xf>
    <xf numFmtId="0" fontId="74" fillId="0" borderId="149" xfId="0" applyFont="1" applyBorder="1" applyAlignment="1" applyProtection="1">
      <alignment horizontal="left" indent="1"/>
      <protection locked="0"/>
    </xf>
    <xf numFmtId="0" fontId="74" fillId="0" borderId="148" xfId="0" applyFont="1" applyBorder="1" applyAlignment="1" applyProtection="1">
      <alignment horizontal="left" indent="1"/>
      <protection locked="0"/>
    </xf>
    <xf numFmtId="0" fontId="74" fillId="0" borderId="136" xfId="0" applyFont="1" applyBorder="1" applyAlignment="1" applyProtection="1">
      <alignment horizontal="left" vertical="center" indent="1"/>
      <protection locked="0"/>
    </xf>
    <xf numFmtId="0" fontId="74" fillId="0" borderId="0" xfId="0" applyFont="1" applyAlignment="1" applyProtection="1">
      <alignment horizontal="left" vertical="center" indent="1"/>
      <protection locked="0"/>
    </xf>
    <xf numFmtId="0" fontId="74" fillId="0" borderId="137" xfId="0" applyFont="1" applyBorder="1" applyAlignment="1" applyProtection="1">
      <alignment horizontal="left" vertical="center" indent="1"/>
      <protection locked="0"/>
    </xf>
    <xf numFmtId="0" fontId="586" fillId="0" borderId="136" xfId="0" applyFont="1" applyBorder="1" applyAlignment="1" applyProtection="1">
      <alignment horizontal="left" vertical="center" indent="1"/>
      <protection locked="0"/>
    </xf>
    <xf numFmtId="0" fontId="586" fillId="0" borderId="0" xfId="0" applyFont="1" applyAlignment="1" applyProtection="1">
      <alignment horizontal="left" vertical="center" indent="1"/>
      <protection locked="0"/>
    </xf>
    <xf numFmtId="0" fontId="586" fillId="0" borderId="137" xfId="0" applyFont="1" applyBorder="1" applyAlignment="1" applyProtection="1">
      <alignment horizontal="left" vertical="center" indent="1"/>
      <protection locked="0"/>
    </xf>
    <xf numFmtId="0" fontId="74" fillId="0" borderId="138" xfId="0" applyFont="1" applyBorder="1" applyAlignment="1" applyProtection="1">
      <alignment horizontal="left" vertical="center" indent="1"/>
      <protection locked="0"/>
    </xf>
    <xf numFmtId="0" fontId="74" fillId="0" borderId="122" xfId="0" applyFont="1" applyBorder="1" applyAlignment="1" applyProtection="1">
      <alignment horizontal="left" vertical="center" indent="1"/>
      <protection locked="0"/>
    </xf>
    <xf numFmtId="0" fontId="74" fillId="0" borderId="139" xfId="0" applyFont="1" applyBorder="1" applyAlignment="1" applyProtection="1">
      <alignment horizontal="left" vertical="center" indent="1"/>
      <protection locked="0"/>
    </xf>
    <xf numFmtId="0" fontId="586" fillId="0" borderId="138" xfId="0" applyFont="1" applyBorder="1" applyAlignment="1" applyProtection="1">
      <alignment horizontal="left" vertical="center" indent="1"/>
      <protection locked="0"/>
    </xf>
    <xf numFmtId="0" fontId="586" fillId="0" borderId="122" xfId="0" applyFont="1" applyBorder="1" applyAlignment="1" applyProtection="1">
      <alignment horizontal="left" vertical="center" indent="1"/>
      <protection locked="0"/>
    </xf>
    <xf numFmtId="0" fontId="588" fillId="0" borderId="0" xfId="0" applyFont="1" applyAlignment="1" applyProtection="1">
      <alignment horizontal="center" vertical="center"/>
      <protection hidden="1"/>
    </xf>
    <xf numFmtId="0" fontId="104" fillId="17" borderId="0" xfId="0" applyFont="1" applyFill="1" applyAlignment="1" applyProtection="1">
      <alignment horizontal="center" vertical="center"/>
      <protection hidden="1"/>
    </xf>
    <xf numFmtId="1" fontId="101" fillId="18" borderId="0" xfId="0" applyNumberFormat="1" applyFont="1" applyFill="1" applyAlignment="1" applyProtection="1">
      <alignment horizontal="right"/>
      <protection locked="0"/>
    </xf>
    <xf numFmtId="1" fontId="308" fillId="18" borderId="0" xfId="0" applyNumberFormat="1" applyFont="1" applyFill="1" applyAlignment="1" applyProtection="1">
      <alignment horizontal="right"/>
      <protection locked="0"/>
    </xf>
    <xf numFmtId="0" fontId="308" fillId="0" borderId="119" xfId="0" applyFont="1" applyBorder="1" applyAlignment="1" applyProtection="1">
      <alignment horizontal="right"/>
      <protection locked="0"/>
    </xf>
    <xf numFmtId="0" fontId="308" fillId="0" borderId="121" xfId="0" applyFont="1" applyBorder="1" applyAlignment="1" applyProtection="1">
      <alignment horizontal="left" indent="1"/>
      <protection locked="0"/>
    </xf>
    <xf numFmtId="0" fontId="308" fillId="0" borderId="110" xfId="0" applyFont="1" applyBorder="1" applyAlignment="1" applyProtection="1">
      <alignment horizontal="right"/>
      <protection locked="0"/>
    </xf>
    <xf numFmtId="0" fontId="308" fillId="0" borderId="112" xfId="0" applyFont="1" applyBorder="1" applyAlignment="1" applyProtection="1">
      <alignment horizontal="left" indent="1"/>
      <protection locked="0"/>
    </xf>
    <xf numFmtId="0" fontId="308" fillId="0" borderId="344" xfId="0" applyFont="1" applyBorder="1" applyAlignment="1" applyProtection="1">
      <alignment horizontal="right"/>
      <protection locked="0"/>
    </xf>
    <xf numFmtId="0" fontId="308" fillId="0" borderId="113" xfId="0" applyFont="1" applyBorder="1" applyAlignment="1" applyProtection="1">
      <alignment horizontal="left" indent="1"/>
      <protection locked="0"/>
    </xf>
    <xf numFmtId="0" fontId="308" fillId="0" borderId="114" xfId="0" applyFont="1" applyBorder="1" applyAlignment="1" applyProtection="1">
      <alignment horizontal="right"/>
      <protection locked="0"/>
    </xf>
    <xf numFmtId="0" fontId="308" fillId="0" borderId="116" xfId="0" applyFont="1" applyBorder="1" applyAlignment="1" applyProtection="1">
      <alignment horizontal="left" indent="1"/>
      <protection locked="0"/>
    </xf>
    <xf numFmtId="0" fontId="78" fillId="13" borderId="38" xfId="0" applyFont="1" applyFill="1" applyBorder="1" applyAlignment="1">
      <alignment horizontal="center" vertical="center"/>
    </xf>
    <xf numFmtId="0" fontId="232" fillId="18" borderId="90" xfId="0" applyFont="1" applyFill="1" applyBorder="1" applyAlignment="1" applyProtection="1">
      <alignment horizontal="center"/>
      <protection hidden="1"/>
    </xf>
    <xf numFmtId="0" fontId="232" fillId="18" borderId="91" xfId="0" applyFont="1" applyFill="1" applyBorder="1" applyAlignment="1" applyProtection="1">
      <alignment horizontal="center"/>
      <protection hidden="1"/>
    </xf>
    <xf numFmtId="0" fontId="327" fillId="18" borderId="91" xfId="0" applyFont="1" applyFill="1" applyBorder="1" applyProtection="1">
      <protection hidden="1"/>
    </xf>
    <xf numFmtId="0" fontId="132" fillId="18" borderId="84" xfId="0" applyFont="1" applyFill="1" applyBorder="1" applyAlignment="1" applyProtection="1">
      <alignment horizontal="left"/>
      <protection hidden="1"/>
    </xf>
    <xf numFmtId="0" fontId="132" fillId="0" borderId="0" xfId="0" applyFont="1" applyAlignment="1" applyProtection="1">
      <alignment horizontal="left"/>
      <protection hidden="1"/>
    </xf>
    <xf numFmtId="0" fontId="132" fillId="18" borderId="0" xfId="0" applyFont="1" applyFill="1" applyAlignment="1" applyProtection="1">
      <alignment horizontal="left" vertical="top"/>
      <protection hidden="1"/>
    </xf>
    <xf numFmtId="0" fontId="1" fillId="4" borderId="0" xfId="0" applyFont="1" applyFill="1" applyAlignment="1" applyProtection="1">
      <alignment horizontal="center" vertical="center"/>
      <protection hidden="1"/>
    </xf>
    <xf numFmtId="0" fontId="117" fillId="18" borderId="0" xfId="0" applyFont="1" applyFill="1" applyAlignment="1" applyProtection="1">
      <alignment horizontal="left" vertical="top"/>
      <protection hidden="1"/>
    </xf>
    <xf numFmtId="0" fontId="590" fillId="18" borderId="84" xfId="0" applyFont="1" applyFill="1" applyBorder="1" applyAlignment="1" applyProtection="1">
      <alignment horizontal="center"/>
      <protection hidden="1"/>
    </xf>
    <xf numFmtId="0" fontId="590" fillId="18" borderId="0" xfId="0" applyFont="1" applyFill="1" applyAlignment="1" applyProtection="1">
      <alignment horizontal="center"/>
      <protection hidden="1"/>
    </xf>
    <xf numFmtId="0" fontId="66" fillId="18" borderId="84" xfId="0" applyFont="1" applyFill="1" applyBorder="1" applyAlignment="1" applyProtection="1">
      <alignment horizontal="center" vertical="top"/>
      <protection hidden="1"/>
    </xf>
    <xf numFmtId="0" fontId="66" fillId="18" borderId="0" xfId="0" applyFont="1" applyFill="1" applyAlignment="1" applyProtection="1">
      <alignment horizontal="center" vertical="top"/>
      <protection hidden="1"/>
    </xf>
    <xf numFmtId="0" fontId="66" fillId="18" borderId="0" xfId="0" applyFont="1" applyFill="1" applyAlignment="1" applyProtection="1">
      <alignment horizontal="right" vertical="center"/>
      <protection hidden="1"/>
    </xf>
    <xf numFmtId="0" fontId="65" fillId="18" borderId="0" xfId="0" applyFont="1" applyFill="1" applyAlignment="1" applyProtection="1">
      <alignment horizontal="center" vertical="center"/>
      <protection hidden="1"/>
    </xf>
    <xf numFmtId="1" fontId="18" fillId="0" borderId="0" xfId="0" applyNumberFormat="1" applyFont="1" applyAlignment="1" applyProtection="1">
      <alignment horizontal="center"/>
      <protection hidden="1"/>
    </xf>
    <xf numFmtId="0" fontId="235" fillId="20" borderId="0" xfId="0" applyFont="1" applyFill="1" applyAlignment="1" applyProtection="1">
      <alignment vertical="center"/>
      <protection hidden="1"/>
    </xf>
    <xf numFmtId="0" fontId="235" fillId="20" borderId="153" xfId="0" applyFont="1" applyFill="1" applyBorder="1" applyProtection="1">
      <protection hidden="1"/>
    </xf>
    <xf numFmtId="0" fontId="113" fillId="0" borderId="105" xfId="0" applyFont="1" applyBorder="1" applyAlignment="1" applyProtection="1">
      <alignment horizontal="center" vertical="center"/>
      <protection locked="0"/>
    </xf>
    <xf numFmtId="0" fontId="113" fillId="0" borderId="132" xfId="0" applyFont="1" applyBorder="1" applyAlignment="1" applyProtection="1">
      <alignment horizontal="center" vertical="center"/>
      <protection locked="0"/>
    </xf>
    <xf numFmtId="0" fontId="113" fillId="0" borderId="0" xfId="0" applyFont="1" applyAlignment="1" applyProtection="1">
      <alignment horizontal="center" vertical="center"/>
      <protection locked="0"/>
    </xf>
    <xf numFmtId="0" fontId="113" fillId="0" borderId="1" xfId="0" applyFont="1" applyBorder="1" applyAlignment="1" applyProtection="1">
      <alignment horizontal="center" vertical="center"/>
      <protection locked="0"/>
    </xf>
    <xf numFmtId="0" fontId="1" fillId="0" borderId="34" xfId="0" applyFont="1" applyBorder="1" applyAlignment="1" applyProtection="1">
      <alignment horizontal="center"/>
      <protection locked="0"/>
    </xf>
    <xf numFmtId="0" fontId="129" fillId="0" borderId="0" xfId="0" applyFont="1" applyAlignment="1" applyProtection="1">
      <alignment horizontal="left"/>
      <protection locked="0"/>
    </xf>
    <xf numFmtId="1" fontId="129" fillId="0" borderId="0" xfId="0" applyNumberFormat="1" applyFont="1" applyAlignment="1" applyProtection="1">
      <alignment horizontal="center" vertical="center"/>
      <protection locked="0"/>
    </xf>
    <xf numFmtId="1" fontId="129" fillId="0" borderId="0" xfId="0" applyNumberFormat="1" applyFont="1" applyAlignment="1" applyProtection="1">
      <alignment vertical="center"/>
      <protection locked="0"/>
    </xf>
    <xf numFmtId="0" fontId="252" fillId="0" borderId="0" xfId="0" applyFont="1" applyAlignment="1" applyProtection="1">
      <alignment horizontal="center" vertical="center"/>
      <protection locked="0"/>
    </xf>
    <xf numFmtId="0" fontId="252" fillId="0" borderId="144" xfId="0" applyFont="1" applyBorder="1" applyAlignment="1" applyProtection="1">
      <alignment horizontal="center" vertical="center"/>
      <protection locked="0"/>
    </xf>
    <xf numFmtId="0" fontId="252" fillId="0" borderId="133" xfId="0" applyFont="1" applyBorder="1" applyAlignment="1" applyProtection="1">
      <alignment horizontal="center" vertical="center"/>
      <protection locked="0"/>
    </xf>
    <xf numFmtId="0" fontId="252" fillId="0" borderId="135" xfId="0" applyFont="1" applyBorder="1" applyAlignment="1" applyProtection="1">
      <alignment horizontal="center" vertical="center"/>
      <protection locked="0"/>
    </xf>
    <xf numFmtId="0" fontId="252" fillId="0" borderId="147" xfId="0" applyFont="1" applyBorder="1" applyAlignment="1" applyProtection="1">
      <alignment horizontal="center" vertical="center"/>
      <protection locked="0"/>
    </xf>
    <xf numFmtId="0" fontId="252" fillId="0" borderId="122" xfId="0" applyFont="1" applyBorder="1" applyAlignment="1" applyProtection="1">
      <alignment horizontal="center" vertical="center"/>
      <protection locked="0"/>
    </xf>
    <xf numFmtId="0" fontId="252" fillId="0" borderId="100" xfId="0" applyFont="1" applyBorder="1" applyAlignment="1" applyProtection="1">
      <alignment horizontal="center" vertical="center"/>
      <protection locked="0"/>
    </xf>
    <xf numFmtId="0" fontId="252" fillId="0" borderId="148" xfId="0" applyFont="1" applyBorder="1" applyAlignment="1" applyProtection="1">
      <alignment horizontal="center" vertical="center"/>
      <protection locked="0"/>
    </xf>
    <xf numFmtId="0" fontId="131" fillId="0" borderId="0" xfId="0" applyFont="1" applyAlignment="1" applyProtection="1">
      <alignment vertical="center"/>
      <protection locked="0"/>
    </xf>
    <xf numFmtId="0" fontId="146" fillId="0" borderId="0" xfId="0" quotePrefix="1" applyFont="1" applyAlignment="1" applyProtection="1">
      <alignment vertical="center"/>
      <protection locked="0"/>
    </xf>
    <xf numFmtId="0" fontId="131" fillId="0" borderId="0" xfId="0" applyFont="1" applyAlignment="1" applyProtection="1">
      <alignment horizontal="center" vertical="top"/>
      <protection locked="0"/>
    </xf>
    <xf numFmtId="0" fontId="113" fillId="0" borderId="0" xfId="0" applyFont="1" applyAlignment="1" applyProtection="1">
      <alignment horizontal="center"/>
      <protection locked="0"/>
    </xf>
    <xf numFmtId="0" fontId="305" fillId="0" borderId="0" xfId="0" applyFont="1" applyAlignment="1" applyProtection="1">
      <alignment wrapText="1"/>
      <protection locked="0"/>
    </xf>
    <xf numFmtId="0" fontId="127" fillId="0" borderId="0" xfId="0" applyFont="1" applyAlignment="1" applyProtection="1">
      <alignment horizontal="center" vertical="center"/>
      <protection locked="0"/>
    </xf>
    <xf numFmtId="0" fontId="294" fillId="0" borderId="0" xfId="0" applyFont="1" applyAlignment="1" applyProtection="1">
      <alignment horizontal="center" vertical="center"/>
      <protection locked="0"/>
    </xf>
    <xf numFmtId="0" fontId="130" fillId="0" borderId="0" xfId="0" applyFont="1" applyAlignment="1" applyProtection="1">
      <alignment vertical="center"/>
      <protection locked="0"/>
    </xf>
    <xf numFmtId="1" fontId="120" fillId="0" borderId="0" xfId="0" applyNumberFormat="1" applyFont="1" applyAlignment="1" applyProtection="1">
      <alignment horizontal="center" vertical="center"/>
      <protection locked="0"/>
    </xf>
    <xf numFmtId="0" fontId="129" fillId="0" borderId="0" xfId="0" applyFont="1" applyAlignment="1" applyProtection="1">
      <alignment horizontal="center"/>
      <protection locked="0"/>
    </xf>
    <xf numFmtId="168" fontId="120" fillId="0" borderId="0" xfId="0" applyNumberFormat="1" applyFont="1" applyAlignment="1" applyProtection="1">
      <alignment horizontal="center" vertical="center"/>
      <protection locked="0"/>
    </xf>
    <xf numFmtId="0" fontId="149" fillId="0" borderId="0" xfId="0" applyFont="1" applyAlignment="1" applyProtection="1">
      <alignment vertical="center"/>
      <protection locked="0"/>
    </xf>
    <xf numFmtId="0" fontId="348" fillId="0" borderId="0" xfId="0" applyFont="1" applyAlignment="1" applyProtection="1">
      <alignment horizontal="center" vertical="center"/>
      <protection locked="0"/>
    </xf>
    <xf numFmtId="0" fontId="557" fillId="0" borderId="0" xfId="0" applyFont="1" applyAlignment="1" applyProtection="1">
      <alignment horizontal="center" vertical="center"/>
      <protection locked="0"/>
    </xf>
    <xf numFmtId="0" fontId="252" fillId="0" borderId="134" xfId="0" applyFont="1" applyBorder="1" applyAlignment="1" applyProtection="1">
      <alignment horizontal="center" vertical="center"/>
      <protection locked="0"/>
    </xf>
    <xf numFmtId="0" fontId="252" fillId="0" borderId="136" xfId="0" applyFont="1" applyBorder="1" applyAlignment="1" applyProtection="1">
      <alignment horizontal="center" vertical="center"/>
      <protection locked="0"/>
    </xf>
    <xf numFmtId="0" fontId="252" fillId="0" borderId="137" xfId="0" applyFont="1" applyBorder="1" applyAlignment="1" applyProtection="1">
      <alignment horizontal="center" vertical="center"/>
      <protection locked="0"/>
    </xf>
    <xf numFmtId="0" fontId="252" fillId="0" borderId="138" xfId="0" applyFont="1" applyBorder="1" applyAlignment="1" applyProtection="1">
      <alignment horizontal="center" vertical="center"/>
      <protection locked="0"/>
    </xf>
    <xf numFmtId="0" fontId="252" fillId="0" borderId="139" xfId="0" applyFont="1" applyBorder="1" applyAlignment="1" applyProtection="1">
      <alignment horizontal="center" vertical="center"/>
      <protection locked="0"/>
    </xf>
    <xf numFmtId="0" fontId="320" fillId="0" borderId="0" xfId="0" applyFont="1" applyAlignment="1" applyProtection="1">
      <alignment vertical="center"/>
      <protection hidden="1"/>
    </xf>
    <xf numFmtId="0" fontId="265" fillId="4" borderId="42" xfId="0" applyFont="1" applyFill="1" applyBorder="1" applyAlignment="1" applyProtection="1">
      <alignment horizontal="center"/>
      <protection hidden="1"/>
    </xf>
    <xf numFmtId="0" fontId="591" fillId="4" borderId="42" xfId="0" applyFont="1" applyFill="1" applyBorder="1" applyAlignment="1" applyProtection="1">
      <alignment horizontal="center" vertical="center"/>
      <protection hidden="1"/>
    </xf>
    <xf numFmtId="0" fontId="300" fillId="4" borderId="42" xfId="0" applyFont="1" applyFill="1" applyBorder="1" applyProtection="1">
      <protection hidden="1"/>
    </xf>
    <xf numFmtId="0" fontId="300" fillId="4" borderId="42" xfId="0" applyFont="1" applyFill="1" applyBorder="1" applyAlignment="1" applyProtection="1">
      <alignment horizontal="center"/>
      <protection hidden="1"/>
    </xf>
    <xf numFmtId="0" fontId="117" fillId="0" borderId="0" xfId="0" applyFont="1" applyAlignment="1" applyProtection="1">
      <alignment vertical="center"/>
      <protection hidden="1"/>
    </xf>
    <xf numFmtId="167" fontId="236" fillId="4" borderId="0" xfId="0" applyNumberFormat="1" applyFont="1" applyFill="1" applyProtection="1">
      <protection hidden="1"/>
    </xf>
    <xf numFmtId="0" fontId="1" fillId="18" borderId="0" xfId="0" applyFont="1" applyFill="1" applyProtection="1">
      <protection locked="0"/>
    </xf>
    <xf numFmtId="0" fontId="468" fillId="14" borderId="146" xfId="0" applyFont="1" applyFill="1" applyBorder="1" applyAlignment="1" applyProtection="1">
      <alignment vertical="center" wrapText="1"/>
      <protection hidden="1"/>
    </xf>
    <xf numFmtId="0" fontId="469" fillId="14" borderId="146" xfId="0" applyFont="1" applyFill="1" applyBorder="1" applyAlignment="1" applyProtection="1">
      <alignment horizontal="center" vertical="center" wrapText="1"/>
      <protection hidden="1"/>
    </xf>
    <xf numFmtId="0" fontId="145" fillId="17" borderId="0" xfId="0" applyFont="1" applyFill="1" applyAlignment="1" applyProtection="1">
      <alignment vertical="center"/>
      <protection hidden="1"/>
    </xf>
    <xf numFmtId="0" fontId="23" fillId="17" borderId="0" xfId="0" applyFont="1" applyFill="1" applyAlignment="1" applyProtection="1">
      <alignment horizontal="left"/>
      <protection locked="0"/>
    </xf>
    <xf numFmtId="0" fontId="1" fillId="17" borderId="0" xfId="0" applyFont="1" applyFill="1" applyProtection="1">
      <protection locked="0"/>
    </xf>
    <xf numFmtId="0" fontId="23" fillId="17" borderId="0" xfId="0" applyFont="1" applyFill="1" applyAlignment="1" applyProtection="1">
      <alignment horizontal="left" indent="2"/>
      <protection locked="0"/>
    </xf>
    <xf numFmtId="0" fontId="1" fillId="17" borderId="0" xfId="0" applyFont="1" applyFill="1" applyAlignment="1" applyProtection="1">
      <alignment horizontal="left" indent="2"/>
      <protection locked="0"/>
    </xf>
    <xf numFmtId="0" fontId="21" fillId="17" borderId="0" xfId="0" applyFont="1" applyFill="1" applyAlignment="1" applyProtection="1">
      <alignment horizontal="left" indent="2"/>
      <protection locked="0"/>
    </xf>
    <xf numFmtId="0" fontId="127" fillId="17" borderId="0" xfId="0" applyFont="1" applyFill="1" applyAlignment="1" applyProtection="1">
      <alignment horizontal="left" indent="2"/>
      <protection locked="0"/>
    </xf>
    <xf numFmtId="0" fontId="168" fillId="17" borderId="0" xfId="0" applyFont="1" applyFill="1" applyAlignment="1" applyProtection="1">
      <alignment vertical="center"/>
      <protection hidden="1"/>
    </xf>
    <xf numFmtId="0" fontId="74" fillId="0" borderId="136" xfId="0" applyFont="1" applyBorder="1" applyAlignment="1" applyProtection="1">
      <alignment horizontal="center"/>
      <protection locked="0"/>
    </xf>
    <xf numFmtId="0" fontId="74" fillId="0" borderId="138" xfId="0" applyFont="1" applyBorder="1" applyAlignment="1" applyProtection="1">
      <alignment horizontal="center"/>
      <protection locked="0"/>
    </xf>
    <xf numFmtId="0" fontId="74" fillId="0" borderId="139" xfId="0" applyFont="1" applyBorder="1" applyAlignment="1" applyProtection="1">
      <alignment horizontal="center"/>
      <protection locked="0"/>
    </xf>
    <xf numFmtId="0" fontId="74" fillId="0" borderId="149" xfId="0" applyFont="1" applyBorder="1" applyAlignment="1" applyProtection="1">
      <alignment horizontal="center"/>
      <protection locked="0"/>
    </xf>
    <xf numFmtId="0" fontId="74" fillId="16" borderId="149" xfId="0" applyFont="1" applyFill="1" applyBorder="1" applyAlignment="1" applyProtection="1">
      <alignment horizontal="left"/>
      <protection locked="0"/>
    </xf>
    <xf numFmtId="0" fontId="74" fillId="17" borderId="149" xfId="0" applyFont="1" applyFill="1" applyBorder="1" applyAlignment="1" applyProtection="1">
      <alignment horizontal="left"/>
      <protection locked="0"/>
    </xf>
    <xf numFmtId="0" fontId="74" fillId="14" borderId="149" xfId="0" applyFont="1" applyFill="1" applyBorder="1" applyAlignment="1" applyProtection="1">
      <alignment horizontal="left"/>
      <protection locked="0"/>
    </xf>
    <xf numFmtId="0" fontId="74" fillId="4" borderId="149" xfId="0" applyFont="1" applyFill="1" applyBorder="1" applyAlignment="1" applyProtection="1">
      <alignment horizontal="left"/>
      <protection locked="0"/>
    </xf>
    <xf numFmtId="0" fontId="74" fillId="0" borderId="149" xfId="0" applyFont="1" applyBorder="1" applyProtection="1">
      <protection locked="0"/>
    </xf>
    <xf numFmtId="0" fontId="74" fillId="18" borderId="0" xfId="0" applyFont="1" applyFill="1" applyAlignment="1" applyProtection="1">
      <alignment horizontal="left"/>
      <protection locked="0"/>
    </xf>
    <xf numFmtId="0" fontId="74" fillId="18" borderId="137" xfId="0" applyFont="1" applyFill="1" applyBorder="1" applyAlignment="1" applyProtection="1">
      <alignment horizontal="right"/>
      <protection locked="0"/>
    </xf>
    <xf numFmtId="0" fontId="74" fillId="18" borderId="136" xfId="0" applyFont="1" applyFill="1" applyBorder="1" applyAlignment="1" applyProtection="1">
      <alignment horizontal="center"/>
      <protection locked="0"/>
    </xf>
    <xf numFmtId="0" fontId="74" fillId="18" borderId="137" xfId="0" applyFont="1" applyFill="1" applyBorder="1" applyAlignment="1" applyProtection="1">
      <alignment horizontal="center"/>
      <protection locked="0"/>
    </xf>
    <xf numFmtId="0" fontId="74" fillId="18" borderId="192" xfId="0" applyFont="1" applyFill="1" applyBorder="1" applyAlignment="1" applyProtection="1">
      <alignment horizontal="left"/>
      <protection locked="0"/>
    </xf>
    <xf numFmtId="0" fontId="74" fillId="18" borderId="350" xfId="0" applyFont="1" applyFill="1" applyBorder="1" applyAlignment="1" applyProtection="1">
      <alignment horizontal="left"/>
      <protection locked="0"/>
    </xf>
    <xf numFmtId="0" fontId="121" fillId="0" borderId="0" xfId="0" applyFont="1" applyAlignment="1" applyProtection="1">
      <alignment horizontal="center"/>
      <protection locked="0"/>
    </xf>
    <xf numFmtId="0" fontId="121" fillId="0" borderId="0" xfId="0" applyFont="1" applyProtection="1">
      <protection locked="0"/>
    </xf>
    <xf numFmtId="0" fontId="168" fillId="17" borderId="0" xfId="0" applyFont="1" applyFill="1" applyAlignment="1" applyProtection="1">
      <alignment horizontal="right" vertical="center" indent="2"/>
      <protection hidden="1"/>
    </xf>
    <xf numFmtId="0" fontId="145" fillId="17" borderId="0" xfId="0" applyFont="1" applyFill="1" applyAlignment="1" applyProtection="1">
      <alignment horizontal="right" vertical="center" indent="2"/>
      <protection hidden="1"/>
    </xf>
    <xf numFmtId="14" fontId="60" fillId="17" borderId="0" xfId="0" applyNumberFormat="1" applyFont="1" applyFill="1" applyAlignment="1" applyProtection="1">
      <alignment vertical="center"/>
      <protection locked="0"/>
    </xf>
    <xf numFmtId="0" fontId="60" fillId="17" borderId="0" xfId="0" applyFont="1" applyFill="1" applyAlignment="1" applyProtection="1">
      <alignment vertical="center"/>
      <protection locked="0"/>
    </xf>
    <xf numFmtId="0" fontId="575" fillId="17" borderId="0" xfId="0" applyFont="1" applyFill="1" applyAlignment="1" applyProtection="1">
      <alignment horizontal="right"/>
      <protection hidden="1"/>
    </xf>
    <xf numFmtId="0" fontId="127" fillId="17" borderId="0" xfId="0" applyFont="1" applyFill="1" applyAlignment="1" applyProtection="1">
      <alignment horizontal="right"/>
      <protection hidden="1"/>
    </xf>
    <xf numFmtId="0" fontId="231" fillId="0" borderId="1" xfId="0" applyFont="1" applyBorder="1" applyAlignment="1" applyProtection="1">
      <alignment horizontal="center" vertical="center"/>
      <protection locked="0"/>
    </xf>
    <xf numFmtId="165" fontId="231" fillId="0" borderId="1" xfId="0" applyNumberFormat="1" applyFont="1" applyBorder="1" applyAlignment="1" applyProtection="1">
      <alignment horizontal="center" vertical="center"/>
      <protection locked="0"/>
    </xf>
    <xf numFmtId="0" fontId="566" fillId="0" borderId="1" xfId="0" applyFont="1" applyBorder="1" applyAlignment="1" applyProtection="1">
      <alignment horizontal="center" vertical="center"/>
      <protection locked="0"/>
    </xf>
    <xf numFmtId="0" fontId="146" fillId="0" borderId="0" xfId="0" quotePrefix="1" applyFont="1" applyAlignment="1" applyProtection="1">
      <alignment horizontal="left" vertical="center"/>
      <protection locked="0"/>
    </xf>
    <xf numFmtId="0" fontId="230" fillId="0" borderId="0" xfId="0" applyFont="1" applyAlignment="1" applyProtection="1">
      <alignment horizontal="left" vertical="center"/>
      <protection locked="0"/>
    </xf>
    <xf numFmtId="0" fontId="131" fillId="0" borderId="0" xfId="0" applyFont="1" applyAlignment="1" applyProtection="1">
      <alignment horizontal="left" vertical="center"/>
      <protection locked="0"/>
    </xf>
    <xf numFmtId="0" fontId="130" fillId="0" borderId="0" xfId="0" applyFont="1" applyAlignment="1" applyProtection="1">
      <alignment horizontal="left" vertical="center"/>
      <protection locked="0"/>
    </xf>
    <xf numFmtId="0" fontId="129" fillId="0" borderId="0" xfId="0" applyFont="1" applyAlignment="1" applyProtection="1">
      <alignment vertical="center"/>
      <protection locked="0"/>
    </xf>
    <xf numFmtId="0" fontId="149" fillId="0" borderId="0" xfId="0" applyFont="1" applyAlignment="1" applyProtection="1">
      <alignment horizontal="left" vertical="center"/>
      <protection locked="0"/>
    </xf>
    <xf numFmtId="1" fontId="570" fillId="18" borderId="429" xfId="0" applyNumberFormat="1" applyFont="1" applyFill="1" applyBorder="1" applyAlignment="1" applyProtection="1">
      <alignment horizontal="center" vertical="center"/>
      <protection locked="0"/>
    </xf>
    <xf numFmtId="1" fontId="596" fillId="18" borderId="429" xfId="0" applyNumberFormat="1" applyFont="1" applyFill="1" applyBorder="1" applyAlignment="1" applyProtection="1">
      <alignment horizontal="center" vertical="center"/>
      <protection locked="0"/>
    </xf>
    <xf numFmtId="14" fontId="597" fillId="18" borderId="100" xfId="0" applyNumberFormat="1" applyFont="1" applyFill="1" applyBorder="1" applyAlignment="1" applyProtection="1">
      <alignment horizontal="center" vertical="center"/>
      <protection locked="0"/>
    </xf>
    <xf numFmtId="2" fontId="570" fillId="18" borderId="429" xfId="0" applyNumberFormat="1" applyFont="1" applyFill="1" applyBorder="1" applyAlignment="1" applyProtection="1">
      <alignment horizontal="center" vertical="center"/>
      <protection locked="0"/>
    </xf>
    <xf numFmtId="0" fontId="0" fillId="0" borderId="440" xfId="0" applyBorder="1" applyAlignment="1" applyProtection="1">
      <alignment horizontal="center"/>
      <protection locked="0"/>
    </xf>
    <xf numFmtId="0" fontId="73" fillId="0" borderId="440" xfId="0" applyFont="1" applyBorder="1" applyAlignment="1" applyProtection="1">
      <alignment horizontal="right"/>
      <protection locked="0"/>
    </xf>
    <xf numFmtId="0" fontId="73" fillId="16" borderId="440" xfId="0" applyFont="1" applyFill="1" applyBorder="1" applyAlignment="1" applyProtection="1">
      <alignment horizontal="left"/>
      <protection locked="0"/>
    </xf>
    <xf numFmtId="0" fontId="73" fillId="17" borderId="440" xfId="0" applyFont="1" applyFill="1" applyBorder="1" applyAlignment="1" applyProtection="1">
      <alignment horizontal="left"/>
      <protection locked="0"/>
    </xf>
    <xf numFmtId="0" fontId="73" fillId="14" borderId="440" xfId="0" quotePrefix="1" applyFont="1" applyFill="1" applyBorder="1" applyAlignment="1" applyProtection="1">
      <alignment horizontal="left"/>
      <protection locked="0"/>
    </xf>
    <xf numFmtId="0" fontId="73" fillId="4" borderId="440" xfId="0" applyFont="1" applyFill="1" applyBorder="1" applyAlignment="1" applyProtection="1">
      <alignment horizontal="left"/>
      <protection locked="0"/>
    </xf>
    <xf numFmtId="0" fontId="73" fillId="0" borderId="137" xfId="0" applyFont="1" applyBorder="1" applyAlignment="1" applyProtection="1">
      <alignment horizontal="right"/>
      <protection locked="0"/>
    </xf>
    <xf numFmtId="0" fontId="0" fillId="0" borderId="136" xfId="0" applyBorder="1" applyAlignment="1" applyProtection="1">
      <alignment horizontal="center"/>
      <protection locked="0"/>
    </xf>
    <xf numFmtId="0" fontId="64" fillId="3" borderId="441" xfId="0" applyFont="1" applyFill="1" applyBorder="1" applyAlignment="1" applyProtection="1">
      <alignment horizontal="left"/>
      <protection locked="0"/>
    </xf>
    <xf numFmtId="0" fontId="130" fillId="0" borderId="0" xfId="0" applyFont="1" applyProtection="1">
      <protection hidden="1"/>
    </xf>
    <xf numFmtId="0" fontId="248" fillId="17" borderId="0" xfId="0" applyFont="1" applyFill="1" applyAlignment="1" applyProtection="1">
      <alignment horizontal="left" vertical="top" indent="1"/>
      <protection hidden="1"/>
    </xf>
    <xf numFmtId="0" fontId="127" fillId="17" borderId="0" xfId="0" applyFont="1" applyFill="1" applyAlignment="1" applyProtection="1">
      <alignment horizontal="left" vertical="center"/>
      <protection hidden="1"/>
    </xf>
    <xf numFmtId="0" fontId="67" fillId="17" borderId="0" xfId="0" applyFont="1" applyFill="1" applyAlignment="1" applyProtection="1">
      <alignment horizontal="left" vertical="center"/>
      <protection hidden="1"/>
    </xf>
    <xf numFmtId="0" fontId="127" fillId="17" borderId="0" xfId="0" applyFont="1" applyFill="1" applyAlignment="1" applyProtection="1">
      <alignment horizontal="left"/>
      <protection hidden="1"/>
    </xf>
    <xf numFmtId="0" fontId="65" fillId="17" borderId="40" xfId="0" quotePrefix="1" applyFont="1" applyFill="1" applyBorder="1" applyAlignment="1" applyProtection="1">
      <alignment horizontal="center"/>
      <protection hidden="1"/>
    </xf>
    <xf numFmtId="0" fontId="598" fillId="0" borderId="35" xfId="0" applyFont="1" applyBorder="1" applyAlignment="1" applyProtection="1">
      <alignment horizontal="left"/>
      <protection hidden="1"/>
    </xf>
    <xf numFmtId="0" fontId="599" fillId="0" borderId="51" xfId="0" applyFont="1" applyBorder="1" applyAlignment="1" applyProtection="1">
      <alignment horizontal="center"/>
      <protection hidden="1"/>
    </xf>
    <xf numFmtId="0" fontId="599" fillId="0" borderId="34" xfId="0" applyFont="1" applyBorder="1" applyAlignment="1" applyProtection="1">
      <alignment horizontal="center"/>
      <protection hidden="1"/>
    </xf>
    <xf numFmtId="0" fontId="598" fillId="0" borderId="39" xfId="0" applyFont="1" applyBorder="1" applyAlignment="1" applyProtection="1">
      <alignment horizontal="left"/>
      <protection hidden="1"/>
    </xf>
    <xf numFmtId="0" fontId="599" fillId="0" borderId="0" xfId="0" applyFont="1" applyAlignment="1" applyProtection="1">
      <alignment horizontal="center"/>
      <protection hidden="1"/>
    </xf>
    <xf numFmtId="0" fontId="599" fillId="0" borderId="104" xfId="0" applyFont="1" applyBorder="1" applyAlignment="1" applyProtection="1">
      <alignment horizontal="center"/>
      <protection hidden="1"/>
    </xf>
    <xf numFmtId="0" fontId="598" fillId="0" borderId="33" xfId="0" applyFont="1" applyBorder="1" applyAlignment="1" applyProtection="1">
      <alignment horizontal="left"/>
      <protection hidden="1"/>
    </xf>
    <xf numFmtId="0" fontId="599" fillId="0" borderId="52" xfId="0" applyFont="1" applyBorder="1" applyAlignment="1" applyProtection="1">
      <alignment horizontal="center"/>
      <protection hidden="1"/>
    </xf>
    <xf numFmtId="0" fontId="599" fillId="0" borderId="22" xfId="0" applyFont="1" applyBorder="1" applyAlignment="1" applyProtection="1">
      <alignment horizontal="center"/>
      <protection hidden="1"/>
    </xf>
    <xf numFmtId="0" fontId="130" fillId="0" borderId="35" xfId="0" applyFont="1" applyBorder="1" applyProtection="1">
      <protection hidden="1"/>
    </xf>
    <xf numFmtId="0" fontId="130" fillId="0" borderId="51" xfId="0" applyFont="1" applyBorder="1" applyProtection="1">
      <protection hidden="1"/>
    </xf>
    <xf numFmtId="0" fontId="130" fillId="0" borderId="34" xfId="0" applyFont="1" applyBorder="1" applyProtection="1">
      <protection hidden="1"/>
    </xf>
    <xf numFmtId="0" fontId="598" fillId="0" borderId="35" xfId="0" applyFont="1" applyBorder="1" applyProtection="1">
      <protection hidden="1"/>
    </xf>
    <xf numFmtId="0" fontId="598" fillId="0" borderId="51" xfId="0" applyFont="1" applyBorder="1" applyProtection="1">
      <protection hidden="1"/>
    </xf>
    <xf numFmtId="0" fontId="598" fillId="0" borderId="34" xfId="0" applyFont="1" applyBorder="1" applyProtection="1">
      <protection hidden="1"/>
    </xf>
    <xf numFmtId="0" fontId="598" fillId="0" borderId="39" xfId="0" applyFont="1" applyBorder="1" applyProtection="1">
      <protection hidden="1"/>
    </xf>
    <xf numFmtId="0" fontId="598" fillId="0" borderId="0" xfId="0" applyFont="1" applyProtection="1">
      <protection hidden="1"/>
    </xf>
    <xf numFmtId="0" fontId="598" fillId="0" borderId="104" xfId="0" applyFont="1" applyBorder="1" applyProtection="1">
      <protection hidden="1"/>
    </xf>
    <xf numFmtId="0" fontId="130" fillId="0" borderId="0" xfId="0" applyFont="1" applyAlignment="1" applyProtection="1">
      <alignment horizontal="left" vertical="top"/>
      <protection hidden="1"/>
    </xf>
    <xf numFmtId="0" fontId="600" fillId="0" borderId="0" xfId="0" applyFont="1" applyAlignment="1" applyProtection="1">
      <alignment horizontal="left" vertical="top"/>
      <protection hidden="1"/>
    </xf>
    <xf numFmtId="0" fontId="598" fillId="0" borderId="316" xfId="0" applyFont="1" applyBorder="1" applyProtection="1">
      <protection hidden="1"/>
    </xf>
    <xf numFmtId="0" fontId="598" fillId="0" borderId="166" xfId="0" applyFont="1" applyBorder="1" applyProtection="1">
      <protection hidden="1"/>
    </xf>
    <xf numFmtId="0" fontId="598" fillId="0" borderId="317" xfId="0" applyFont="1" applyBorder="1" applyProtection="1">
      <protection hidden="1"/>
    </xf>
    <xf numFmtId="0" fontId="130" fillId="0" borderId="316" xfId="0" applyFont="1" applyBorder="1" applyAlignment="1" applyProtection="1">
      <alignment horizontal="left"/>
      <protection hidden="1"/>
    </xf>
    <xf numFmtId="0" fontId="130" fillId="0" borderId="315" xfId="0" applyFont="1" applyBorder="1" applyAlignment="1" applyProtection="1">
      <alignment horizontal="right"/>
      <protection hidden="1"/>
    </xf>
    <xf numFmtId="0" fontId="130" fillId="0" borderId="104" xfId="0" applyFont="1" applyBorder="1" applyAlignment="1" applyProtection="1">
      <alignment horizontal="right"/>
      <protection hidden="1"/>
    </xf>
    <xf numFmtId="0" fontId="130" fillId="0" borderId="317" xfId="0" applyFont="1" applyBorder="1" applyAlignment="1" applyProtection="1">
      <alignment horizontal="right"/>
      <protection hidden="1"/>
    </xf>
    <xf numFmtId="2" fontId="601" fillId="0" borderId="248" xfId="0" applyNumberFormat="1" applyFont="1" applyBorder="1" applyAlignment="1" applyProtection="1">
      <alignment horizontal="left"/>
      <protection hidden="1"/>
    </xf>
    <xf numFmtId="2" fontId="601" fillId="0" borderId="293" xfId="0" applyNumberFormat="1" applyFont="1" applyBorder="1" applyAlignment="1" applyProtection="1">
      <alignment horizontal="left"/>
      <protection hidden="1"/>
    </xf>
    <xf numFmtId="0" fontId="602" fillId="0" borderId="0" xfId="0" applyFont="1" applyAlignment="1" applyProtection="1">
      <alignment horizontal="left"/>
      <protection hidden="1"/>
    </xf>
    <xf numFmtId="0" fontId="555" fillId="0" borderId="0" xfId="0" applyFont="1" applyAlignment="1" applyProtection="1">
      <alignment horizontal="center"/>
      <protection hidden="1"/>
    </xf>
    <xf numFmtId="0" fontId="250" fillId="0" borderId="0" xfId="0" applyFont="1" applyAlignment="1" applyProtection="1">
      <alignment horizontal="right"/>
      <protection hidden="1"/>
    </xf>
    <xf numFmtId="2" fontId="601" fillId="0" borderId="443" xfId="0" applyNumberFormat="1" applyFont="1" applyBorder="1" applyAlignment="1" applyProtection="1">
      <alignment horizontal="left"/>
      <protection hidden="1"/>
    </xf>
    <xf numFmtId="0" fontId="1" fillId="0" borderId="444" xfId="0" applyFont="1" applyBorder="1" applyAlignment="1" applyProtection="1">
      <alignment horizontal="center"/>
      <protection hidden="1"/>
    </xf>
    <xf numFmtId="0" fontId="598" fillId="0" borderId="33" xfId="0" applyFont="1" applyBorder="1" applyProtection="1">
      <protection hidden="1"/>
    </xf>
    <xf numFmtId="0" fontId="598" fillId="0" borderId="22" xfId="0" applyFont="1" applyBorder="1" applyProtection="1">
      <protection hidden="1"/>
    </xf>
    <xf numFmtId="0" fontId="64" fillId="21" borderId="96" xfId="0" applyFont="1" applyFill="1" applyBorder="1" applyAlignment="1" applyProtection="1">
      <alignment horizontal="left" vertical="center"/>
      <protection hidden="1"/>
    </xf>
    <xf numFmtId="0" fontId="424" fillId="21" borderId="152" xfId="0" applyFont="1" applyFill="1" applyBorder="1" applyAlignment="1" applyProtection="1">
      <alignment horizontal="right"/>
      <protection hidden="1"/>
    </xf>
    <xf numFmtId="0" fontId="1" fillId="0" borderId="445" xfId="0" applyFont="1" applyBorder="1" applyAlignment="1" applyProtection="1">
      <alignment horizontal="center"/>
      <protection hidden="1"/>
    </xf>
    <xf numFmtId="0" fontId="250" fillId="0" borderId="0" xfId="0" quotePrefix="1" applyFont="1" applyAlignment="1" applyProtection="1">
      <alignment horizontal="left"/>
      <protection hidden="1"/>
    </xf>
    <xf numFmtId="49" fontId="65" fillId="17" borderId="40" xfId="0" quotePrefix="1" applyNumberFormat="1" applyFont="1" applyFill="1" applyBorder="1" applyAlignment="1" applyProtection="1">
      <alignment horizontal="center"/>
      <protection locked="0"/>
    </xf>
    <xf numFmtId="2" fontId="601" fillId="0" borderId="446" xfId="0" applyNumberFormat="1" applyFont="1" applyBorder="1" applyAlignment="1" applyProtection="1">
      <alignment horizontal="left"/>
      <protection hidden="1"/>
    </xf>
    <xf numFmtId="0" fontId="1" fillId="0" borderId="447" xfId="0" applyFont="1" applyBorder="1" applyAlignment="1" applyProtection="1">
      <alignment horizontal="center"/>
      <protection hidden="1"/>
    </xf>
    <xf numFmtId="0" fontId="248" fillId="0" borderId="0" xfId="0" applyFont="1" applyAlignment="1" applyProtection="1">
      <alignment horizontal="left"/>
      <protection hidden="1"/>
    </xf>
    <xf numFmtId="0" fontId="603" fillId="20" borderId="0" xfId="0" applyFont="1" applyFill="1" applyAlignment="1" applyProtection="1">
      <alignment horizontal="center" vertical="center"/>
      <protection locked="0"/>
    </xf>
    <xf numFmtId="0" fontId="23" fillId="18" borderId="51" xfId="0" applyFont="1" applyFill="1" applyBorder="1" applyProtection="1">
      <protection hidden="1"/>
    </xf>
    <xf numFmtId="0" fontId="169" fillId="18" borderId="51" xfId="0" applyFont="1" applyFill="1" applyBorder="1" applyProtection="1">
      <protection hidden="1"/>
    </xf>
    <xf numFmtId="0" fontId="146" fillId="18" borderId="0" xfId="0" applyFont="1" applyFill="1" applyAlignment="1" applyProtection="1">
      <alignment horizontal="right" vertical="center"/>
      <protection hidden="1"/>
    </xf>
    <xf numFmtId="0" fontId="170" fillId="0" borderId="149" xfId="0" applyFont="1" applyBorder="1" applyAlignment="1" applyProtection="1">
      <alignment horizontal="right"/>
      <protection locked="0"/>
    </xf>
    <xf numFmtId="0" fontId="130" fillId="0" borderId="35" xfId="0" applyFont="1" applyBorder="1" applyAlignment="1" applyProtection="1">
      <alignment horizontal="left"/>
      <protection hidden="1"/>
    </xf>
    <xf numFmtId="0" fontId="18" fillId="19" borderId="155" xfId="0" applyFont="1" applyFill="1" applyBorder="1" applyAlignment="1" applyProtection="1">
      <alignment horizontal="center"/>
      <protection hidden="1"/>
    </xf>
    <xf numFmtId="0" fontId="18" fillId="19" borderId="156" xfId="0" applyFont="1" applyFill="1" applyBorder="1" applyAlignment="1" applyProtection="1">
      <alignment horizontal="center"/>
      <protection hidden="1"/>
    </xf>
    <xf numFmtId="0" fontId="227" fillId="19" borderId="156" xfId="0" applyFont="1" applyFill="1" applyBorder="1" applyAlignment="1" applyProtection="1">
      <alignment horizontal="center" vertical="center"/>
      <protection hidden="1"/>
    </xf>
    <xf numFmtId="167" fontId="295" fillId="19" borderId="156" xfId="0" applyNumberFormat="1" applyFont="1" applyFill="1" applyBorder="1" applyAlignment="1" applyProtection="1">
      <alignment vertical="center"/>
      <protection hidden="1"/>
    </xf>
    <xf numFmtId="0" fontId="18" fillId="19" borderId="156" xfId="0" applyFont="1" applyFill="1" applyBorder="1" applyAlignment="1" applyProtection="1">
      <alignment vertical="center"/>
      <protection hidden="1"/>
    </xf>
    <xf numFmtId="0" fontId="18" fillId="19" borderId="157" xfId="0" applyFont="1" applyFill="1" applyBorder="1" applyAlignment="1" applyProtection="1">
      <alignment horizontal="center"/>
      <protection hidden="1"/>
    </xf>
    <xf numFmtId="0" fontId="18" fillId="19" borderId="158" xfId="0" applyFont="1" applyFill="1" applyBorder="1" applyAlignment="1" applyProtection="1">
      <alignment horizontal="center"/>
      <protection hidden="1"/>
    </xf>
    <xf numFmtId="0" fontId="18" fillId="19" borderId="0" xfId="0" applyFont="1" applyFill="1" applyAlignment="1" applyProtection="1">
      <alignment horizontal="center"/>
      <protection hidden="1"/>
    </xf>
    <xf numFmtId="164" fontId="41" fillId="19" borderId="0" xfId="0" applyNumberFormat="1" applyFont="1" applyFill="1" applyAlignment="1" applyProtection="1">
      <alignment vertical="center"/>
      <protection hidden="1"/>
    </xf>
    <xf numFmtId="0" fontId="330" fillId="19" borderId="0" xfId="0" applyFont="1" applyFill="1" applyAlignment="1" applyProtection="1">
      <alignment horizontal="center" vertical="center"/>
      <protection hidden="1"/>
    </xf>
    <xf numFmtId="0" fontId="18" fillId="19" borderId="0" xfId="0" applyFont="1" applyFill="1" applyAlignment="1" applyProtection="1">
      <alignment vertical="center"/>
      <protection hidden="1"/>
    </xf>
    <xf numFmtId="0" fontId="18" fillId="19" borderId="159" xfId="0" applyFont="1" applyFill="1" applyBorder="1" applyAlignment="1" applyProtection="1">
      <alignment horizontal="center"/>
      <protection hidden="1"/>
    </xf>
    <xf numFmtId="0" fontId="227" fillId="19" borderId="0" xfId="0" applyFont="1" applyFill="1" applyAlignment="1" applyProtection="1">
      <alignment horizontal="center" vertical="center"/>
      <protection hidden="1"/>
    </xf>
    <xf numFmtId="0" fontId="592" fillId="19" borderId="0" xfId="0" applyFont="1" applyFill="1" applyAlignment="1" applyProtection="1">
      <alignment vertical="center"/>
      <protection hidden="1"/>
    </xf>
    <xf numFmtId="0" fontId="117" fillId="19" borderId="0" xfId="0" applyFont="1" applyFill="1" applyAlignment="1" applyProtection="1">
      <alignment vertical="center"/>
      <protection hidden="1"/>
    </xf>
    <xf numFmtId="0" fontId="18" fillId="19" borderId="160" xfId="0" applyFont="1" applyFill="1" applyBorder="1" applyAlignment="1" applyProtection="1">
      <alignment horizontal="center"/>
      <protection hidden="1"/>
    </xf>
    <xf numFmtId="0" fontId="18" fillId="19" borderId="161" xfId="0" applyFont="1" applyFill="1" applyBorder="1" applyAlignment="1" applyProtection="1">
      <alignment horizontal="center"/>
      <protection hidden="1"/>
    </xf>
    <xf numFmtId="0" fontId="18" fillId="19" borderId="162" xfId="0" applyFont="1" applyFill="1" applyBorder="1" applyAlignment="1" applyProtection="1">
      <alignment horizontal="center"/>
      <protection hidden="1"/>
    </xf>
    <xf numFmtId="0" fontId="117" fillId="19" borderId="155" xfId="0" applyFont="1" applyFill="1" applyBorder="1" applyAlignment="1" applyProtection="1">
      <alignment horizontal="left"/>
      <protection hidden="1"/>
    </xf>
    <xf numFmtId="0" fontId="117" fillId="19" borderId="156" xfId="0" applyFont="1" applyFill="1" applyBorder="1" applyAlignment="1" applyProtection="1">
      <alignment horizontal="left"/>
      <protection hidden="1"/>
    </xf>
    <xf numFmtId="0" fontId="508" fillId="19" borderId="156" xfId="0" applyFont="1" applyFill="1" applyBorder="1" applyAlignment="1" applyProtection="1">
      <alignment vertical="center"/>
      <protection hidden="1"/>
    </xf>
    <xf numFmtId="0" fontId="41" fillId="19" borderId="156" xfId="0" applyFont="1" applyFill="1" applyBorder="1" applyAlignment="1" applyProtection="1">
      <alignment vertical="center"/>
      <protection hidden="1"/>
    </xf>
    <xf numFmtId="0" fontId="508" fillId="19" borderId="157" xfId="0" applyFont="1" applyFill="1" applyBorder="1" applyAlignment="1" applyProtection="1">
      <alignment vertical="center"/>
      <protection hidden="1"/>
    </xf>
    <xf numFmtId="0" fontId="117" fillId="19" borderId="158" xfId="0" applyFont="1" applyFill="1" applyBorder="1" applyAlignment="1" applyProtection="1">
      <alignment horizontal="left"/>
      <protection hidden="1"/>
    </xf>
    <xf numFmtId="0" fontId="508" fillId="19" borderId="0" xfId="0" applyFont="1" applyFill="1" applyAlignment="1" applyProtection="1">
      <alignment vertical="center"/>
      <protection hidden="1"/>
    </xf>
    <xf numFmtId="0" fontId="508" fillId="19" borderId="159" xfId="0" applyFont="1" applyFill="1" applyBorder="1" applyAlignment="1" applyProtection="1">
      <alignment vertical="center"/>
      <protection hidden="1"/>
    </xf>
    <xf numFmtId="0" fontId="510" fillId="19" borderId="0" xfId="0" applyFont="1" applyFill="1" applyAlignment="1" applyProtection="1">
      <alignment vertical="center"/>
      <protection hidden="1"/>
    </xf>
    <xf numFmtId="0" fontId="510" fillId="19" borderId="0" xfId="0" applyFont="1" applyFill="1" applyAlignment="1" applyProtection="1">
      <alignment horizontal="left" vertical="center"/>
      <protection hidden="1"/>
    </xf>
    <xf numFmtId="0" fontId="509" fillId="19" borderId="0" xfId="0" applyFont="1" applyFill="1" applyAlignment="1" applyProtection="1">
      <alignment horizontal="left" vertical="center"/>
      <protection hidden="1"/>
    </xf>
    <xf numFmtId="0" fontId="509" fillId="19" borderId="0" xfId="0" applyFont="1" applyFill="1" applyAlignment="1" applyProtection="1">
      <alignment vertical="center"/>
      <protection hidden="1"/>
    </xf>
    <xf numFmtId="0" fontId="510" fillId="19" borderId="0" xfId="0" applyFont="1" applyFill="1" applyAlignment="1" applyProtection="1">
      <alignment horizontal="right" vertical="center"/>
      <protection hidden="1"/>
    </xf>
    <xf numFmtId="2" fontId="508" fillId="19" borderId="0" xfId="2" applyNumberFormat="1" applyFont="1" applyFill="1" applyBorder="1" applyAlignment="1" applyProtection="1">
      <alignment horizontal="left" indent="1"/>
      <protection hidden="1"/>
    </xf>
    <xf numFmtId="0" fontId="44" fillId="19" borderId="159" xfId="0" applyFont="1" applyFill="1" applyBorder="1" applyAlignment="1" applyProtection="1">
      <alignment horizontal="center"/>
      <protection hidden="1"/>
    </xf>
    <xf numFmtId="0" fontId="117" fillId="19" borderId="160" xfId="0" applyFont="1" applyFill="1" applyBorder="1" applyAlignment="1" applyProtection="1">
      <alignment horizontal="left"/>
      <protection hidden="1"/>
    </xf>
    <xf numFmtId="0" fontId="44" fillId="19" borderId="162" xfId="0" applyFont="1" applyFill="1" applyBorder="1" applyAlignment="1" applyProtection="1">
      <alignment horizontal="center"/>
      <protection hidden="1"/>
    </xf>
    <xf numFmtId="0" fontId="451" fillId="19" borderId="0" xfId="0" applyFont="1" applyFill="1" applyAlignment="1" applyProtection="1">
      <alignment horizontal="right"/>
      <protection hidden="1"/>
    </xf>
    <xf numFmtId="0" fontId="451" fillId="19" borderId="0" xfId="0" applyFont="1" applyFill="1" applyAlignment="1" applyProtection="1">
      <alignment horizontal="left"/>
      <protection hidden="1"/>
    </xf>
    <xf numFmtId="0" fontId="451" fillId="19" borderId="0" xfId="0" applyFont="1" applyFill="1" applyAlignment="1" applyProtection="1">
      <alignment horizontal="center" vertical="center"/>
      <protection hidden="1"/>
    </xf>
    <xf numFmtId="0" fontId="605" fillId="19" borderId="0" xfId="0" applyFont="1" applyFill="1" applyAlignment="1" applyProtection="1">
      <alignment horizontal="center"/>
      <protection hidden="1"/>
    </xf>
    <xf numFmtId="0" fontId="607" fillId="20" borderId="206" xfId="0" applyFont="1" applyFill="1" applyBorder="1" applyAlignment="1" applyProtection="1">
      <alignment vertical="center" wrapText="1"/>
      <protection hidden="1"/>
    </xf>
    <xf numFmtId="0" fontId="608" fillId="20" borderId="206" xfId="0" applyFont="1" applyFill="1" applyBorder="1" applyAlignment="1" applyProtection="1">
      <alignment horizontal="center" vertical="center" wrapText="1"/>
      <protection hidden="1"/>
    </xf>
    <xf numFmtId="0" fontId="346" fillId="4" borderId="0" xfId="0" applyFont="1" applyFill="1" applyAlignment="1" applyProtection="1">
      <alignment horizontal="center"/>
      <protection hidden="1"/>
    </xf>
    <xf numFmtId="0" fontId="263" fillId="4" borderId="0" xfId="0" applyFont="1" applyFill="1" applyProtection="1">
      <protection hidden="1"/>
    </xf>
    <xf numFmtId="0" fontId="609" fillId="4" borderId="0" xfId="0" applyFont="1" applyFill="1" applyAlignment="1" applyProtection="1">
      <alignment horizontal="center"/>
      <protection hidden="1"/>
    </xf>
    <xf numFmtId="0" fontId="169" fillId="4" borderId="0" xfId="0" applyFont="1" applyFill="1" applyAlignment="1" applyProtection="1">
      <alignment vertical="top" wrapText="1"/>
      <protection hidden="1"/>
    </xf>
    <xf numFmtId="170" fontId="91" fillId="0" borderId="0" xfId="0" applyNumberFormat="1" applyFont="1" applyAlignment="1" applyProtection="1">
      <alignment horizontal="center" vertical="center"/>
      <protection locked="0"/>
    </xf>
    <xf numFmtId="0" fontId="121" fillId="0" borderId="137" xfId="0" applyFont="1" applyBorder="1" applyAlignment="1" applyProtection="1">
      <alignment horizontal="center"/>
      <protection locked="0"/>
    </xf>
    <xf numFmtId="0" fontId="121" fillId="0" borderId="136" xfId="0" applyFont="1" applyBorder="1" applyAlignment="1" applyProtection="1">
      <alignment horizontal="center"/>
      <protection locked="0"/>
    </xf>
    <xf numFmtId="0" fontId="75" fillId="0" borderId="115" xfId="0" applyFont="1" applyBorder="1" applyAlignment="1" applyProtection="1">
      <alignment horizontal="left"/>
      <protection locked="0"/>
    </xf>
    <xf numFmtId="0" fontId="67" fillId="3" borderId="350" xfId="0" applyFont="1" applyFill="1" applyBorder="1" applyAlignment="1" applyProtection="1">
      <alignment horizontal="left"/>
      <protection locked="0"/>
    </xf>
    <xf numFmtId="0" fontId="75" fillId="18" borderId="350" xfId="0" applyFont="1" applyFill="1" applyBorder="1" applyAlignment="1" applyProtection="1">
      <alignment horizontal="left"/>
      <protection locked="0"/>
    </xf>
    <xf numFmtId="0" fontId="185" fillId="0" borderId="115" xfId="0" applyFont="1" applyBorder="1" applyAlignment="1" applyProtection="1">
      <alignment horizontal="center"/>
      <protection locked="0"/>
    </xf>
    <xf numFmtId="0" fontId="185" fillId="0" borderId="115" xfId="0" applyFont="1" applyBorder="1" applyAlignment="1" applyProtection="1">
      <alignment horizontal="left"/>
      <protection locked="0"/>
    </xf>
    <xf numFmtId="0" fontId="185" fillId="0" borderId="137" xfId="0" applyFont="1" applyBorder="1" applyAlignment="1" applyProtection="1">
      <alignment horizontal="center"/>
      <protection locked="0"/>
    </xf>
    <xf numFmtId="0" fontId="185" fillId="0" borderId="136" xfId="0" applyFont="1" applyBorder="1" applyAlignment="1" applyProtection="1">
      <alignment horizontal="center"/>
      <protection locked="0"/>
    </xf>
    <xf numFmtId="0" fontId="124" fillId="0" borderId="115" xfId="0" applyFont="1" applyBorder="1" applyAlignment="1" applyProtection="1">
      <alignment horizontal="left"/>
      <protection locked="0"/>
    </xf>
    <xf numFmtId="0" fontId="346" fillId="0" borderId="0" xfId="0" applyFont="1" applyAlignment="1" applyProtection="1">
      <alignment horizontal="left" vertical="center"/>
      <protection hidden="1"/>
    </xf>
    <xf numFmtId="168" fontId="114" fillId="0" borderId="449" xfId="0" applyNumberFormat="1" applyFont="1" applyBorder="1" applyAlignment="1" applyProtection="1">
      <alignment horizontal="center" vertical="center"/>
      <protection hidden="1"/>
    </xf>
    <xf numFmtId="1" fontId="113" fillId="0" borderId="1" xfId="0" applyNumberFormat="1" applyFont="1" applyBorder="1" applyAlignment="1" applyProtection="1">
      <alignment horizontal="center" vertical="center"/>
      <protection hidden="1"/>
    </xf>
    <xf numFmtId="0" fontId="172" fillId="3" borderId="1" xfId="0" applyFont="1" applyFill="1" applyBorder="1" applyAlignment="1" applyProtection="1">
      <alignment horizontal="center" vertical="center"/>
      <protection hidden="1"/>
    </xf>
    <xf numFmtId="0" fontId="101" fillId="0" borderId="0" xfId="0" applyFont="1" applyAlignment="1" applyProtection="1">
      <alignment horizontal="left" vertical="center" indent="1"/>
      <protection hidden="1"/>
    </xf>
    <xf numFmtId="0" fontId="308" fillId="0" borderId="0" xfId="0" applyFont="1" applyAlignment="1" applyProtection="1">
      <alignment horizontal="left" vertical="center" indent="1"/>
      <protection hidden="1"/>
    </xf>
    <xf numFmtId="0" fontId="347" fillId="18" borderId="0" xfId="0" applyFont="1" applyFill="1" applyAlignment="1" applyProtection="1">
      <alignment vertical="center"/>
      <protection locked="0"/>
    </xf>
    <xf numFmtId="0" fontId="101" fillId="0" borderId="0" xfId="0" applyFont="1" applyProtection="1">
      <protection hidden="1"/>
    </xf>
    <xf numFmtId="0" fontId="101" fillId="0" borderId="0" xfId="0" applyFont="1" applyAlignment="1" applyProtection="1">
      <alignment horizontal="right" vertical="center" indent="1"/>
      <protection hidden="1"/>
    </xf>
    <xf numFmtId="0" fontId="606" fillId="19" borderId="0" xfId="0" applyFont="1" applyFill="1" applyAlignment="1" applyProtection="1">
      <alignment horizontal="center"/>
      <protection hidden="1"/>
    </xf>
    <xf numFmtId="0" fontId="610" fillId="0" borderId="1" xfId="0" applyFont="1" applyBorder="1" applyAlignment="1" applyProtection="1">
      <alignment horizontal="center" vertical="center"/>
      <protection hidden="1"/>
    </xf>
    <xf numFmtId="0" fontId="610" fillId="0" borderId="0" xfId="0" applyFont="1" applyAlignment="1" applyProtection="1">
      <alignment horizontal="right"/>
      <protection hidden="1"/>
    </xf>
    <xf numFmtId="0" fontId="610" fillId="0" borderId="0" xfId="0" applyFont="1" applyAlignment="1" applyProtection="1">
      <alignment horizontal="right" vertical="top"/>
      <protection hidden="1"/>
    </xf>
    <xf numFmtId="0" fontId="230" fillId="0" borderId="51" xfId="0" applyFont="1" applyBorder="1" applyAlignment="1" applyProtection="1">
      <alignment vertical="center" wrapText="1"/>
      <protection hidden="1"/>
    </xf>
    <xf numFmtId="0" fontId="346" fillId="0" borderId="51" xfId="0" applyFont="1" applyBorder="1" applyAlignment="1" applyProtection="1">
      <alignment horizontal="right"/>
      <protection hidden="1"/>
    </xf>
    <xf numFmtId="0" fontId="308" fillId="0" borderId="51" xfId="0" applyFont="1" applyBorder="1" applyAlignment="1" applyProtection="1">
      <alignment horizontal="center"/>
      <protection hidden="1"/>
    </xf>
    <xf numFmtId="0" fontId="346" fillId="0" borderId="51" xfId="0" applyFont="1" applyBorder="1" applyAlignment="1" applyProtection="1">
      <alignment horizontal="left"/>
      <protection hidden="1"/>
    </xf>
    <xf numFmtId="0" fontId="308" fillId="0" borderId="51" xfId="0" quotePrefix="1" applyFont="1" applyBorder="1" applyAlignment="1" applyProtection="1">
      <alignment horizontal="center"/>
      <protection hidden="1"/>
    </xf>
    <xf numFmtId="0" fontId="427" fillId="0" borderId="51" xfId="0" applyFont="1" applyBorder="1" applyAlignment="1" applyProtection="1">
      <alignment horizontal="left"/>
      <protection hidden="1"/>
    </xf>
    <xf numFmtId="0" fontId="308" fillId="0" borderId="0" xfId="0" applyFont="1" applyAlignment="1" applyProtection="1">
      <alignment horizontal="right" vertical="top"/>
      <protection hidden="1"/>
    </xf>
    <xf numFmtId="0" fontId="308" fillId="0" borderId="0" xfId="0" applyFont="1" applyAlignment="1" applyProtection="1">
      <alignment horizontal="left" vertical="top"/>
      <protection hidden="1"/>
    </xf>
    <xf numFmtId="0" fontId="308" fillId="0" borderId="0" xfId="0" quotePrefix="1" applyFont="1" applyAlignment="1" applyProtection="1">
      <alignment horizontal="center" vertical="center"/>
      <protection hidden="1"/>
    </xf>
    <xf numFmtId="0" fontId="348" fillId="0" borderId="104" xfId="0" applyFont="1" applyBorder="1" applyAlignment="1" applyProtection="1">
      <alignment horizontal="center" vertical="center"/>
      <protection hidden="1"/>
    </xf>
    <xf numFmtId="0" fontId="427" fillId="0" borderId="0" xfId="0" applyFont="1" applyAlignment="1" applyProtection="1">
      <alignment horizontal="right" vertical="center" indent="1"/>
      <protection hidden="1"/>
    </xf>
    <xf numFmtId="0" fontId="1" fillId="0" borderId="33" xfId="0" applyFont="1" applyBorder="1" applyProtection="1">
      <protection hidden="1"/>
    </xf>
    <xf numFmtId="0" fontId="346" fillId="0" borderId="0" xfId="0" applyFont="1" applyAlignment="1" applyProtection="1">
      <alignment horizontal="right" vertical="top"/>
      <protection hidden="1"/>
    </xf>
    <xf numFmtId="0" fontId="252" fillId="0" borderId="0" xfId="0" applyFont="1" applyAlignment="1" applyProtection="1">
      <alignment horizontal="center" vertical="top"/>
      <protection hidden="1"/>
    </xf>
    <xf numFmtId="168" fontId="129" fillId="0" borderId="450" xfId="0" applyNumberFormat="1" applyFont="1" applyBorder="1" applyAlignment="1" applyProtection="1">
      <alignment horizontal="center" vertical="center"/>
      <protection hidden="1"/>
    </xf>
    <xf numFmtId="0" fontId="382" fillId="4" borderId="0" xfId="0" applyFont="1" applyFill="1" applyAlignment="1" applyProtection="1">
      <alignment horizontal="right" vertical="center"/>
      <protection hidden="1"/>
    </xf>
    <xf numFmtId="0" fontId="382" fillId="4" borderId="0" xfId="0" applyFont="1" applyFill="1" applyAlignment="1" applyProtection="1">
      <alignment horizontal="left" vertical="center"/>
      <protection hidden="1"/>
    </xf>
    <xf numFmtId="0" fontId="371" fillId="3" borderId="0" xfId="0" applyFont="1" applyFill="1" applyAlignment="1" applyProtection="1">
      <alignment horizontal="right"/>
      <protection hidden="1"/>
    </xf>
    <xf numFmtId="0" fontId="169" fillId="0" borderId="0" xfId="0" applyFont="1" applyAlignment="1" applyProtection="1">
      <alignment horizontal="left"/>
      <protection hidden="1"/>
    </xf>
    <xf numFmtId="0" fontId="169" fillId="0" borderId="35" xfId="0" applyFont="1" applyBorder="1" applyAlignment="1" applyProtection="1">
      <alignment horizontal="left"/>
      <protection hidden="1"/>
    </xf>
    <xf numFmtId="0" fontId="169" fillId="0" borderId="51" xfId="0" applyFont="1" applyBorder="1" applyAlignment="1" applyProtection="1">
      <alignment horizontal="left"/>
      <protection hidden="1"/>
    </xf>
    <xf numFmtId="0" fontId="169" fillId="0" borderId="34" xfId="0" applyFont="1" applyBorder="1" applyAlignment="1" applyProtection="1">
      <alignment horizontal="left"/>
      <protection hidden="1"/>
    </xf>
    <xf numFmtId="0" fontId="169" fillId="0" borderId="39" xfId="0" applyFont="1" applyBorder="1" applyAlignment="1" applyProtection="1">
      <alignment horizontal="left"/>
      <protection hidden="1"/>
    </xf>
    <xf numFmtId="0" fontId="169" fillId="0" borderId="0" xfId="0" applyFont="1" applyAlignment="1" applyProtection="1">
      <alignment horizontal="right" vertical="center"/>
      <protection hidden="1"/>
    </xf>
    <xf numFmtId="0" fontId="169" fillId="0" borderId="0" xfId="0" applyFont="1" applyAlignment="1" applyProtection="1">
      <alignment horizontal="left" vertical="center"/>
      <protection hidden="1"/>
    </xf>
    <xf numFmtId="0" fontId="169" fillId="0" borderId="104" xfId="0" applyFont="1" applyBorder="1" applyAlignment="1" applyProtection="1">
      <alignment horizontal="left"/>
      <protection hidden="1"/>
    </xf>
    <xf numFmtId="0" fontId="169" fillId="0" borderId="33" xfId="0" applyFont="1" applyBorder="1" applyAlignment="1" applyProtection="1">
      <alignment horizontal="left"/>
      <protection hidden="1"/>
    </xf>
    <xf numFmtId="0" fontId="169" fillId="0" borderId="52" xfId="0" applyFont="1" applyBorder="1" applyAlignment="1" applyProtection="1">
      <alignment horizontal="left"/>
      <protection hidden="1"/>
    </xf>
    <xf numFmtId="0" fontId="169" fillId="0" borderId="52" xfId="0" applyFont="1" applyBorder="1" applyAlignment="1" applyProtection="1">
      <alignment horizontal="left" vertical="center"/>
      <protection hidden="1"/>
    </xf>
    <xf numFmtId="0" fontId="169" fillId="0" borderId="22" xfId="0" applyFont="1" applyBorder="1" applyAlignment="1" applyProtection="1">
      <alignment horizontal="left"/>
      <protection hidden="1"/>
    </xf>
    <xf numFmtId="0" fontId="172" fillId="21" borderId="1" xfId="0" applyFont="1" applyFill="1" applyBorder="1" applyAlignment="1" applyProtection="1">
      <alignment horizontal="center" vertical="center"/>
      <protection hidden="1"/>
    </xf>
    <xf numFmtId="0" fontId="406" fillId="0" borderId="0" xfId="0" applyFont="1" applyAlignment="1" applyProtection="1">
      <alignment horizontal="center" vertical="center"/>
      <protection hidden="1"/>
    </xf>
    <xf numFmtId="0" fontId="250" fillId="0" borderId="1" xfId="0" applyFont="1" applyBorder="1" applyAlignment="1" applyProtection="1">
      <alignment horizontal="center" vertical="center"/>
      <protection hidden="1"/>
    </xf>
    <xf numFmtId="0" fontId="578" fillId="0" borderId="0" xfId="0" applyFont="1" applyAlignment="1" applyProtection="1">
      <alignment horizontal="center" vertical="center"/>
      <protection hidden="1"/>
    </xf>
    <xf numFmtId="0" fontId="35" fillId="0" borderId="0" xfId="0" applyFont="1" applyAlignment="1" applyProtection="1">
      <alignment horizontal="left" vertical="center"/>
      <protection hidden="1"/>
    </xf>
    <xf numFmtId="0" fontId="512" fillId="19" borderId="0" xfId="0" applyFont="1" applyFill="1" applyAlignment="1" applyProtection="1">
      <alignment vertical="center"/>
      <protection hidden="1"/>
    </xf>
    <xf numFmtId="0" fontId="41" fillId="19" borderId="0" xfId="0" applyFont="1" applyFill="1" applyAlignment="1" applyProtection="1">
      <alignment horizontal="center" vertical="center"/>
      <protection hidden="1"/>
    </xf>
    <xf numFmtId="0" fontId="512" fillId="19" borderId="0" xfId="0" applyFont="1" applyFill="1" applyAlignment="1" applyProtection="1">
      <alignment horizontal="center" vertical="top"/>
      <protection hidden="1"/>
    </xf>
    <xf numFmtId="0" fontId="304" fillId="19" borderId="0" xfId="0" applyFont="1" applyFill="1" applyAlignment="1" applyProtection="1">
      <alignment horizontal="center" vertical="top"/>
      <protection hidden="1"/>
    </xf>
    <xf numFmtId="0" fontId="29" fillId="19" borderId="0" xfId="0" applyFont="1" applyFill="1" applyAlignment="1" applyProtection="1">
      <alignment horizontal="center" vertical="center"/>
      <protection hidden="1"/>
    </xf>
    <xf numFmtId="0" fontId="29" fillId="19" borderId="0" xfId="0" applyFont="1" applyFill="1" applyAlignment="1" applyProtection="1">
      <alignment horizontal="center"/>
      <protection hidden="1"/>
    </xf>
    <xf numFmtId="0" fontId="295" fillId="19" borderId="0" xfId="0" applyFont="1" applyFill="1" applyAlignment="1" applyProtection="1">
      <alignment vertical="center"/>
      <protection hidden="1"/>
    </xf>
    <xf numFmtId="0" fontId="327" fillId="19" borderId="69" xfId="0" applyFont="1" applyFill="1" applyBorder="1" applyAlignment="1" applyProtection="1">
      <alignment vertical="center"/>
      <protection hidden="1"/>
    </xf>
    <xf numFmtId="0" fontId="406" fillId="0" borderId="0" xfId="0" applyFont="1" applyAlignment="1" applyProtection="1">
      <alignment horizontal="right" vertical="center"/>
      <protection hidden="1"/>
    </xf>
    <xf numFmtId="0" fontId="285" fillId="0" borderId="0" xfId="0" applyFont="1" applyAlignment="1" applyProtection="1">
      <alignment horizontal="right" vertical="center" indent="1"/>
      <protection hidden="1"/>
    </xf>
    <xf numFmtId="0" fontId="610" fillId="19" borderId="69" xfId="0" applyFont="1" applyFill="1" applyBorder="1" applyAlignment="1" applyProtection="1">
      <alignment horizontal="left" vertical="center"/>
      <protection hidden="1"/>
    </xf>
    <xf numFmtId="0" fontId="280" fillId="19" borderId="69" xfId="0" applyFont="1" applyFill="1" applyBorder="1" applyAlignment="1" applyProtection="1">
      <alignment vertical="center"/>
      <protection hidden="1"/>
    </xf>
    <xf numFmtId="0" fontId="327" fillId="19" borderId="68" xfId="0" applyFont="1" applyFill="1" applyBorder="1" applyAlignment="1" applyProtection="1">
      <alignment vertical="center"/>
      <protection hidden="1"/>
    </xf>
    <xf numFmtId="0" fontId="327" fillId="19" borderId="70" xfId="0" applyFont="1" applyFill="1" applyBorder="1" applyAlignment="1" applyProtection="1">
      <alignment vertical="center"/>
      <protection hidden="1"/>
    </xf>
    <xf numFmtId="0" fontId="610" fillId="19" borderId="69" xfId="0" applyFont="1" applyFill="1" applyBorder="1" applyAlignment="1" applyProtection="1">
      <alignment horizontal="center" vertical="center"/>
      <protection hidden="1"/>
    </xf>
    <xf numFmtId="0" fontId="383" fillId="17" borderId="45" xfId="0" applyFont="1" applyFill="1" applyBorder="1" applyProtection="1">
      <protection hidden="1"/>
    </xf>
    <xf numFmtId="0" fontId="248" fillId="0" borderId="35" xfId="0" applyFont="1" applyBorder="1" applyAlignment="1" applyProtection="1">
      <alignment horizontal="left"/>
      <protection hidden="1"/>
    </xf>
    <xf numFmtId="0" fontId="248" fillId="0" borderId="39" xfId="0" applyFont="1" applyBorder="1" applyAlignment="1" applyProtection="1">
      <alignment horizontal="left"/>
      <protection hidden="1"/>
    </xf>
    <xf numFmtId="0" fontId="248" fillId="0" borderId="33" xfId="0" applyFont="1" applyBorder="1" applyAlignment="1" applyProtection="1">
      <alignment horizontal="left"/>
      <protection hidden="1"/>
    </xf>
    <xf numFmtId="1" fontId="308" fillId="0" borderId="112" xfId="0" applyNumberFormat="1" applyFont="1" applyBorder="1" applyAlignment="1" applyProtection="1">
      <alignment horizontal="left" indent="1"/>
      <protection locked="0"/>
    </xf>
    <xf numFmtId="1" fontId="308" fillId="0" borderId="113" xfId="0" applyNumberFormat="1" applyFont="1" applyBorder="1" applyAlignment="1" applyProtection="1">
      <alignment horizontal="left" indent="1"/>
      <protection locked="0"/>
    </xf>
    <xf numFmtId="1" fontId="308" fillId="0" borderId="116" xfId="0" applyNumberFormat="1" applyFont="1" applyBorder="1" applyAlignment="1" applyProtection="1">
      <alignment horizontal="left" indent="1"/>
      <protection locked="0"/>
    </xf>
    <xf numFmtId="0" fontId="131" fillId="0" borderId="0" xfId="0" applyFont="1" applyAlignment="1" applyProtection="1">
      <alignment horizontal="center"/>
      <protection hidden="1"/>
    </xf>
    <xf numFmtId="17" fontId="1" fillId="0" borderId="0" xfId="0" applyNumberFormat="1" applyFont="1" applyProtection="1">
      <protection locked="0"/>
    </xf>
    <xf numFmtId="0" fontId="1" fillId="0" borderId="0" xfId="0" applyFont="1" applyAlignment="1" applyProtection="1">
      <alignment vertical="center"/>
      <protection locked="0"/>
    </xf>
    <xf numFmtId="17" fontId="1" fillId="0" borderId="0" xfId="0" applyNumberFormat="1" applyFont="1" applyAlignment="1" applyProtection="1">
      <alignment vertical="center"/>
      <protection locked="0"/>
    </xf>
    <xf numFmtId="1" fontId="74" fillId="0" borderId="0" xfId="0" applyNumberFormat="1" applyFont="1" applyProtection="1">
      <protection locked="0"/>
    </xf>
    <xf numFmtId="0" fontId="75" fillId="0" borderId="0" xfId="0" applyFont="1" applyProtection="1">
      <protection locked="0"/>
    </xf>
    <xf numFmtId="0" fontId="230" fillId="0" borderId="0" xfId="0" applyFont="1" applyProtection="1">
      <protection locked="0"/>
    </xf>
    <xf numFmtId="0" fontId="129" fillId="0" borderId="35" xfId="0" quotePrefix="1" applyFont="1" applyBorder="1" applyAlignment="1" applyProtection="1">
      <alignment horizontal="center" vertical="center"/>
      <protection hidden="1"/>
    </xf>
    <xf numFmtId="0" fontId="129" fillId="0" borderId="51" xfId="0" quotePrefix="1" applyFont="1" applyBorder="1" applyAlignment="1" applyProtection="1">
      <alignment horizontal="center" vertical="center"/>
      <protection hidden="1"/>
    </xf>
    <xf numFmtId="0" fontId="129" fillId="0" borderId="34" xfId="0" quotePrefix="1" applyFont="1" applyBorder="1" applyAlignment="1" applyProtection="1">
      <alignment horizontal="center" vertical="center"/>
      <protection hidden="1"/>
    </xf>
    <xf numFmtId="0" fontId="129" fillId="0" borderId="39" xfId="0" applyFont="1" applyBorder="1" applyAlignment="1" applyProtection="1">
      <alignment horizontal="center" vertical="center"/>
      <protection hidden="1"/>
    </xf>
    <xf numFmtId="0" fontId="129" fillId="0" borderId="104" xfId="0" applyFont="1" applyBorder="1" applyAlignment="1" applyProtection="1">
      <alignment horizontal="center" vertical="center"/>
      <protection hidden="1"/>
    </xf>
    <xf numFmtId="0" fontId="129" fillId="0" borderId="33" xfId="0" applyFont="1" applyBorder="1" applyAlignment="1" applyProtection="1">
      <alignment horizontal="center" vertical="center"/>
      <protection hidden="1"/>
    </xf>
    <xf numFmtId="0" fontId="129" fillId="0" borderId="22" xfId="0" applyFont="1" applyBorder="1" applyAlignment="1" applyProtection="1">
      <alignment horizontal="center" vertical="center"/>
      <protection hidden="1"/>
    </xf>
    <xf numFmtId="0" fontId="129" fillId="0" borderId="454" xfId="0" quotePrefix="1" applyFont="1" applyBorder="1" applyAlignment="1" applyProtection="1">
      <alignment horizontal="center" vertical="center"/>
      <protection hidden="1"/>
    </xf>
    <xf numFmtId="0" fontId="269" fillId="14" borderId="146" xfId="0" applyFont="1" applyFill="1" applyBorder="1" applyAlignment="1" applyProtection="1">
      <alignment horizontal="right" vertical="center"/>
      <protection hidden="1"/>
    </xf>
    <xf numFmtId="0" fontId="56" fillId="14" borderId="146" xfId="0" applyFont="1" applyFill="1" applyBorder="1" applyAlignment="1" applyProtection="1">
      <alignment horizontal="center" vertical="center"/>
      <protection hidden="1"/>
    </xf>
    <xf numFmtId="0" fontId="526" fillId="14" borderId="146" xfId="0" applyFont="1" applyFill="1" applyBorder="1" applyAlignment="1" applyProtection="1">
      <alignment horizontal="center" vertical="center"/>
      <protection hidden="1"/>
    </xf>
    <xf numFmtId="0" fontId="588" fillId="0" borderId="458" xfId="0" applyFont="1" applyBorder="1" applyAlignment="1" applyProtection="1">
      <alignment horizontal="center" vertical="center"/>
      <protection hidden="1"/>
    </xf>
    <xf numFmtId="0" fontId="581" fillId="18" borderId="460" xfId="0" applyFont="1" applyFill="1" applyBorder="1" applyAlignment="1" applyProtection="1">
      <alignment horizontal="right" vertical="center"/>
      <protection hidden="1"/>
    </xf>
    <xf numFmtId="0" fontId="589" fillId="0" borderId="0" xfId="0" applyFont="1" applyAlignment="1" applyProtection="1">
      <alignment horizontal="center" vertical="center"/>
      <protection hidden="1"/>
    </xf>
    <xf numFmtId="0" fontId="588" fillId="0" borderId="459" xfId="0" applyFont="1" applyBorder="1" applyAlignment="1" applyProtection="1">
      <alignment horizontal="center" vertical="center"/>
      <protection hidden="1"/>
    </xf>
    <xf numFmtId="0" fontId="587" fillId="18" borderId="458" xfId="0" applyFont="1" applyFill="1" applyBorder="1" applyAlignment="1" applyProtection="1">
      <alignment vertical="top" textRotation="255"/>
      <protection hidden="1"/>
    </xf>
    <xf numFmtId="0" fontId="587" fillId="18" borderId="459" xfId="0" applyFont="1" applyFill="1" applyBorder="1" applyAlignment="1" applyProtection="1">
      <alignment vertical="top" textRotation="255"/>
      <protection hidden="1"/>
    </xf>
    <xf numFmtId="0" fontId="587" fillId="18" borderId="0" xfId="0" applyFont="1" applyFill="1" applyAlignment="1" applyProtection="1">
      <alignment vertical="top" textRotation="255"/>
      <protection hidden="1"/>
    </xf>
    <xf numFmtId="0" fontId="587" fillId="18" borderId="461" xfId="0" applyFont="1" applyFill="1" applyBorder="1" applyAlignment="1" applyProtection="1">
      <alignment vertical="center" textRotation="255"/>
      <protection hidden="1"/>
    </xf>
    <xf numFmtId="0" fontId="587" fillId="18" borderId="462" xfId="0" applyFont="1" applyFill="1" applyBorder="1" applyAlignment="1" applyProtection="1">
      <alignment vertical="center" textRotation="255"/>
      <protection hidden="1"/>
    </xf>
    <xf numFmtId="0" fontId="587" fillId="18" borderId="463" xfId="0" applyFont="1" applyFill="1" applyBorder="1" applyAlignment="1" applyProtection="1">
      <alignment vertical="center" textRotation="255"/>
      <protection hidden="1"/>
    </xf>
    <xf numFmtId="0" fontId="269" fillId="18" borderId="455" xfId="0" applyFont="1" applyFill="1" applyBorder="1" applyAlignment="1" applyProtection="1">
      <alignment vertical="center"/>
      <protection hidden="1"/>
    </xf>
    <xf numFmtId="0" fontId="269" fillId="18" borderId="456" xfId="0" applyFont="1" applyFill="1" applyBorder="1" applyAlignment="1" applyProtection="1">
      <alignment vertical="center"/>
      <protection hidden="1"/>
    </xf>
    <xf numFmtId="0" fontId="269" fillId="18" borderId="457" xfId="0" applyFont="1" applyFill="1" applyBorder="1" applyAlignment="1" applyProtection="1">
      <alignment vertical="center"/>
      <protection hidden="1"/>
    </xf>
    <xf numFmtId="0" fontId="269" fillId="18" borderId="458" xfId="0" applyFont="1" applyFill="1" applyBorder="1" applyAlignment="1" applyProtection="1">
      <alignment vertical="center"/>
      <protection hidden="1"/>
    </xf>
    <xf numFmtId="0" fontId="269" fillId="18" borderId="459" xfId="0" applyFont="1" applyFill="1" applyBorder="1" applyAlignment="1" applyProtection="1">
      <alignment vertical="center"/>
      <protection hidden="1"/>
    </xf>
    <xf numFmtId="0" fontId="269" fillId="18" borderId="461" xfId="0" applyFont="1" applyFill="1" applyBorder="1" applyAlignment="1" applyProtection="1">
      <alignment vertical="center"/>
      <protection hidden="1"/>
    </xf>
    <xf numFmtId="0" fontId="269" fillId="18" borderId="462" xfId="0" applyFont="1" applyFill="1" applyBorder="1" applyAlignment="1" applyProtection="1">
      <alignment vertical="center"/>
      <protection hidden="1"/>
    </xf>
    <xf numFmtId="0" fontId="269" fillId="18" borderId="463" xfId="0" applyFont="1" applyFill="1" applyBorder="1" applyAlignment="1" applyProtection="1">
      <alignment vertical="center"/>
      <protection hidden="1"/>
    </xf>
    <xf numFmtId="0" fontId="343" fillId="18" borderId="0" xfId="0" applyFont="1" applyFill="1" applyAlignment="1" applyProtection="1">
      <alignment horizontal="center" vertical="center"/>
      <protection hidden="1"/>
    </xf>
    <xf numFmtId="0" fontId="269" fillId="14" borderId="146" xfId="0" applyFont="1" applyFill="1" applyBorder="1" applyAlignment="1" applyProtection="1">
      <alignment horizontal="center" vertical="center"/>
      <protection hidden="1"/>
    </xf>
    <xf numFmtId="0" fontId="581" fillId="18" borderId="0" xfId="0" applyFont="1" applyFill="1" applyAlignment="1" applyProtection="1">
      <alignment horizontal="center" vertical="center"/>
      <protection hidden="1"/>
    </xf>
    <xf numFmtId="0" fontId="581" fillId="14" borderId="146" xfId="0" applyFont="1" applyFill="1" applyBorder="1" applyAlignment="1" applyProtection="1">
      <alignment horizontal="right" vertical="center"/>
      <protection hidden="1"/>
    </xf>
    <xf numFmtId="0" fontId="269" fillId="16" borderId="0" xfId="0" applyFont="1" applyFill="1" applyAlignment="1" applyProtection="1">
      <alignment vertical="center"/>
      <protection hidden="1"/>
    </xf>
    <xf numFmtId="0" fontId="75" fillId="0" borderId="51" xfId="0" applyFont="1" applyBorder="1" applyAlignment="1" applyProtection="1">
      <alignment horizontal="left" vertical="center"/>
      <protection hidden="1"/>
    </xf>
    <xf numFmtId="0" fontId="102" fillId="0" borderId="0" xfId="0" applyFont="1" applyAlignment="1" applyProtection="1">
      <alignment horizontal="right" vertical="center"/>
      <protection hidden="1"/>
    </xf>
    <xf numFmtId="0" fontId="75" fillId="0" borderId="0" xfId="0" applyFont="1" applyAlignment="1" applyProtection="1">
      <alignment horizontal="left" vertical="center"/>
      <protection hidden="1"/>
    </xf>
    <xf numFmtId="0" fontId="101" fillId="0" borderId="39" xfId="0" applyFont="1" applyBorder="1" applyAlignment="1" applyProtection="1">
      <alignment horizontal="left" vertical="center"/>
      <protection hidden="1"/>
    </xf>
    <xf numFmtId="0" fontId="1" fillId="0" borderId="22" xfId="0" applyFont="1" applyBorder="1" applyProtection="1">
      <protection hidden="1"/>
    </xf>
    <xf numFmtId="0" fontId="23" fillId="0" borderId="35" xfId="0" applyFont="1" applyBorder="1" applyAlignment="1" applyProtection="1">
      <alignment horizontal="center"/>
      <protection hidden="1"/>
    </xf>
    <xf numFmtId="0" fontId="23" fillId="0" borderId="51" xfId="0" applyFont="1" applyBorder="1" applyAlignment="1" applyProtection="1">
      <alignment horizontal="center"/>
      <protection hidden="1"/>
    </xf>
    <xf numFmtId="0" fontId="133" fillId="0" borderId="51" xfId="0" applyFont="1" applyBorder="1" applyAlignment="1" applyProtection="1">
      <alignment horizontal="left" vertical="center"/>
      <protection hidden="1"/>
    </xf>
    <xf numFmtId="0" fontId="23" fillId="0" borderId="34" xfId="0" applyFont="1" applyBorder="1" applyAlignment="1" applyProtection="1">
      <alignment horizontal="center"/>
      <protection hidden="1"/>
    </xf>
    <xf numFmtId="0" fontId="23" fillId="0" borderId="39" xfId="0" applyFont="1" applyBorder="1" applyAlignment="1" applyProtection="1">
      <alignment horizontal="center"/>
      <protection hidden="1"/>
    </xf>
    <xf numFmtId="0" fontId="23" fillId="0" borderId="104" xfId="0" applyFont="1" applyBorder="1" applyAlignment="1" applyProtection="1">
      <alignment horizontal="center"/>
      <protection hidden="1"/>
    </xf>
    <xf numFmtId="0" fontId="133" fillId="0" borderId="0" xfId="0" applyFont="1" applyAlignment="1" applyProtection="1">
      <alignment horizontal="left" vertical="center"/>
      <protection hidden="1"/>
    </xf>
    <xf numFmtId="0" fontId="23" fillId="0" borderId="33" xfId="0" applyFont="1" applyBorder="1" applyAlignment="1" applyProtection="1">
      <alignment horizontal="center"/>
      <protection hidden="1"/>
    </xf>
    <xf numFmtId="0" fontId="23" fillId="0" borderId="52" xfId="0" applyFont="1" applyBorder="1" applyAlignment="1" applyProtection="1">
      <alignment horizontal="center"/>
      <protection hidden="1"/>
    </xf>
    <xf numFmtId="0" fontId="23" fillId="0" borderId="22" xfId="0" applyFont="1" applyBorder="1" applyAlignment="1" applyProtection="1">
      <alignment horizontal="center"/>
      <protection hidden="1"/>
    </xf>
    <xf numFmtId="0" fontId="146" fillId="0" borderId="0" xfId="0" quotePrefix="1" applyFont="1" applyAlignment="1" applyProtection="1">
      <alignment horizontal="left"/>
      <protection hidden="1"/>
    </xf>
    <xf numFmtId="0" fontId="23" fillId="0" borderId="0" xfId="0" applyFont="1" applyAlignment="1" applyProtection="1">
      <alignment horizontal="left" vertical="top"/>
      <protection hidden="1"/>
    </xf>
    <xf numFmtId="0" fontId="113" fillId="0" borderId="0" xfId="0" applyFont="1" applyAlignment="1" applyProtection="1">
      <alignment horizontal="right"/>
      <protection locked="0"/>
    </xf>
    <xf numFmtId="0" fontId="113" fillId="0" borderId="0" xfId="0" applyFont="1" applyAlignment="1" applyProtection="1">
      <alignment horizontal="left"/>
      <protection locked="0"/>
    </xf>
    <xf numFmtId="0" fontId="611" fillId="0" borderId="0" xfId="0" applyFont="1" applyAlignment="1" applyProtection="1">
      <alignment horizontal="center" vertical="center"/>
      <protection hidden="1"/>
    </xf>
    <xf numFmtId="0" fontId="613" fillId="0" borderId="0" xfId="0" applyFont="1" applyAlignment="1" applyProtection="1">
      <alignment horizontal="right" vertical="center"/>
      <protection locked="0"/>
    </xf>
    <xf numFmtId="0" fontId="323" fillId="0" borderId="0" xfId="0" applyFont="1" applyAlignment="1" applyProtection="1">
      <alignment horizontal="right" vertical="center"/>
      <protection locked="0"/>
    </xf>
    <xf numFmtId="0" fontId="614" fillId="4" borderId="0" xfId="0" applyFont="1" applyFill="1" applyAlignment="1">
      <alignment horizontal="center" vertical="center"/>
    </xf>
    <xf numFmtId="0" fontId="615" fillId="4" borderId="0" xfId="0" applyFont="1" applyFill="1" applyAlignment="1">
      <alignment horizontal="center" vertical="center"/>
    </xf>
    <xf numFmtId="0" fontId="616" fillId="0" borderId="0" xfId="0" applyFont="1" applyAlignment="1" applyProtection="1">
      <alignment horizontal="center"/>
      <protection hidden="1"/>
    </xf>
    <xf numFmtId="0" fontId="146" fillId="0" borderId="0" xfId="0" applyFont="1" applyAlignment="1" applyProtection="1">
      <alignment vertical="top"/>
      <protection hidden="1"/>
    </xf>
    <xf numFmtId="0" fontId="131" fillId="0" borderId="0" xfId="0" applyFont="1" applyAlignment="1" applyProtection="1">
      <alignment vertical="top"/>
      <protection hidden="1"/>
    </xf>
    <xf numFmtId="0" fontId="131" fillId="0" borderId="0" xfId="0" applyFont="1" applyAlignment="1" applyProtection="1">
      <alignment horizontal="left" vertical="top"/>
      <protection hidden="1"/>
    </xf>
    <xf numFmtId="0" fontId="131" fillId="0" borderId="0" xfId="0" applyFont="1" applyAlignment="1" applyProtection="1">
      <alignment horizontal="center" vertical="top"/>
      <protection hidden="1"/>
    </xf>
    <xf numFmtId="0" fontId="146" fillId="0" borderId="0" xfId="0" quotePrefix="1" applyFont="1" applyAlignment="1" applyProtection="1">
      <alignment horizontal="right" vertical="top"/>
      <protection hidden="1"/>
    </xf>
    <xf numFmtId="0" fontId="113" fillId="0" borderId="0" xfId="0" applyFont="1" applyAlignment="1" applyProtection="1">
      <alignment horizontal="right" vertical="center"/>
      <protection hidden="1"/>
    </xf>
    <xf numFmtId="0" fontId="230" fillId="0" borderId="0" xfId="0" applyFont="1" applyAlignment="1" applyProtection="1">
      <alignment horizontal="right"/>
      <protection hidden="1"/>
    </xf>
    <xf numFmtId="0" fontId="230" fillId="0" borderId="0" xfId="0" applyFont="1" applyAlignment="1" applyProtection="1">
      <alignment horizontal="right" vertical="top"/>
      <protection hidden="1"/>
    </xf>
    <xf numFmtId="0" fontId="230" fillId="0" borderId="0" xfId="0" applyFont="1" applyAlignment="1" applyProtection="1">
      <alignment horizontal="left" vertical="top"/>
      <protection hidden="1"/>
    </xf>
    <xf numFmtId="0" fontId="1" fillId="0" borderId="104" xfId="0" applyFont="1" applyBorder="1" applyAlignment="1" applyProtection="1">
      <alignment horizontal="center" vertical="top"/>
      <protection hidden="1"/>
    </xf>
    <xf numFmtId="0" fontId="230" fillId="0" borderId="51" xfId="0" applyFont="1" applyBorder="1" applyAlignment="1" applyProtection="1">
      <alignment vertical="center"/>
      <protection hidden="1"/>
    </xf>
    <xf numFmtId="0" fontId="146" fillId="0" borderId="0" xfId="0" applyFont="1" applyAlignment="1" applyProtection="1">
      <alignment horizontal="right" vertical="center"/>
      <protection hidden="1"/>
    </xf>
    <xf numFmtId="0" fontId="138" fillId="0" borderId="293" xfId="0" applyFont="1" applyBorder="1" applyAlignment="1" applyProtection="1">
      <alignment horizontal="center" vertical="center"/>
      <protection hidden="1"/>
    </xf>
    <xf numFmtId="0" fontId="1" fillId="0" borderId="293" xfId="0" applyFont="1" applyBorder="1" applyAlignment="1" applyProtection="1">
      <alignment horizontal="center" vertical="top"/>
      <protection hidden="1"/>
    </xf>
    <xf numFmtId="0" fontId="1" fillId="0" borderId="251" xfId="0" applyFont="1" applyBorder="1" applyAlignment="1" applyProtection="1">
      <alignment horizontal="center"/>
      <protection hidden="1"/>
    </xf>
    <xf numFmtId="0" fontId="232" fillId="0" borderId="52" xfId="0" applyFont="1" applyBorder="1" applyAlignment="1" applyProtection="1">
      <alignment horizontal="center" vertical="center"/>
      <protection hidden="1"/>
    </xf>
    <xf numFmtId="0" fontId="232" fillId="0" borderId="52" xfId="0" applyFont="1" applyBorder="1" applyAlignment="1" applyProtection="1">
      <alignment horizontal="center"/>
      <protection hidden="1"/>
    </xf>
    <xf numFmtId="0" fontId="232" fillId="0" borderId="33" xfId="0" applyFont="1" applyBorder="1" applyAlignment="1" applyProtection="1">
      <alignment horizontal="center"/>
      <protection hidden="1"/>
    </xf>
    <xf numFmtId="0" fontId="1" fillId="0" borderId="1" xfId="0" applyFont="1" applyBorder="1" applyAlignment="1" applyProtection="1">
      <alignment horizontal="center" vertical="center"/>
      <protection hidden="1"/>
    </xf>
    <xf numFmtId="0" fontId="230" fillId="0" borderId="0" xfId="0" applyFont="1" applyAlignment="1" applyProtection="1">
      <alignment horizontal="left" indent="1"/>
      <protection hidden="1"/>
    </xf>
    <xf numFmtId="0" fontId="230" fillId="0" borderId="0" xfId="0" applyFont="1" applyAlignment="1" applyProtection="1">
      <alignment horizontal="left" vertical="top" indent="1"/>
      <protection hidden="1"/>
    </xf>
    <xf numFmtId="0" fontId="131" fillId="18" borderId="0" xfId="0" applyFont="1" applyFill="1" applyAlignment="1" applyProtection="1">
      <alignment vertical="top"/>
      <protection hidden="1"/>
    </xf>
    <xf numFmtId="0" fontId="131" fillId="18" borderId="0" xfId="0" applyFont="1" applyFill="1" applyAlignment="1" applyProtection="1">
      <alignment horizontal="left" vertical="top"/>
      <protection hidden="1"/>
    </xf>
    <xf numFmtId="0" fontId="23" fillId="18" borderId="0" xfId="0" applyFont="1" applyFill="1" applyAlignment="1" applyProtection="1">
      <alignment vertical="top"/>
      <protection hidden="1"/>
    </xf>
    <xf numFmtId="0" fontId="117" fillId="18" borderId="0" xfId="0" applyFont="1" applyFill="1" applyAlignment="1" applyProtection="1">
      <alignment vertical="top"/>
      <protection hidden="1"/>
    </xf>
    <xf numFmtId="1" fontId="131" fillId="18" borderId="0" xfId="0" applyNumberFormat="1" applyFont="1" applyFill="1" applyAlignment="1" applyProtection="1">
      <alignment vertical="top"/>
      <protection hidden="1"/>
    </xf>
    <xf numFmtId="0" fontId="232" fillId="4" borderId="0" xfId="0" applyFont="1" applyFill="1" applyAlignment="1" applyProtection="1">
      <alignment horizontal="left"/>
      <protection hidden="1"/>
    </xf>
    <xf numFmtId="0" fontId="29" fillId="17" borderId="73" xfId="0" applyFont="1" applyFill="1" applyBorder="1" applyAlignment="1" applyProtection="1">
      <alignment horizontal="left" indent="1"/>
      <protection hidden="1"/>
    </xf>
    <xf numFmtId="0" fontId="29" fillId="17" borderId="42" xfId="0" applyFont="1" applyFill="1" applyBorder="1" applyProtection="1">
      <protection hidden="1"/>
    </xf>
    <xf numFmtId="0" fontId="90" fillId="17" borderId="42" xfId="0" applyFont="1" applyFill="1" applyBorder="1" applyProtection="1">
      <protection hidden="1"/>
    </xf>
    <xf numFmtId="0" fontId="90" fillId="17" borderId="42" xfId="0" applyFont="1" applyFill="1" applyBorder="1" applyAlignment="1" applyProtection="1">
      <alignment horizontal="right" indent="1"/>
      <protection hidden="1"/>
    </xf>
    <xf numFmtId="0" fontId="90" fillId="17" borderId="71" xfId="0" applyFont="1" applyFill="1" applyBorder="1" applyAlignment="1" applyProtection="1">
      <alignment horizontal="left" indent="1"/>
      <protection hidden="1"/>
    </xf>
    <xf numFmtId="0" fontId="90" fillId="17" borderId="40" xfId="0" quotePrefix="1" applyFont="1" applyFill="1" applyBorder="1" applyAlignment="1" applyProtection="1">
      <alignment horizontal="right"/>
      <protection hidden="1"/>
    </xf>
    <xf numFmtId="0" fontId="60" fillId="17" borderId="40" xfId="0" quotePrefix="1" applyFont="1" applyFill="1" applyBorder="1" applyAlignment="1" applyProtection="1">
      <alignment horizontal="center" vertical="center"/>
      <protection hidden="1"/>
    </xf>
    <xf numFmtId="0" fontId="90" fillId="17" borderId="71" xfId="0" applyFont="1" applyFill="1" applyBorder="1" applyAlignment="1" applyProtection="1">
      <alignment horizontal="left" vertical="top" indent="1"/>
      <protection hidden="1"/>
    </xf>
    <xf numFmtId="0" fontId="90" fillId="17" borderId="45" xfId="0" applyFont="1" applyFill="1" applyBorder="1" applyAlignment="1" applyProtection="1">
      <alignment vertical="top"/>
      <protection hidden="1"/>
    </xf>
    <xf numFmtId="0" fontId="90" fillId="17" borderId="45" xfId="0" applyFont="1" applyFill="1" applyBorder="1" applyAlignment="1" applyProtection="1">
      <alignment horizontal="left" vertical="top" indent="1"/>
      <protection hidden="1"/>
    </xf>
    <xf numFmtId="0" fontId="90" fillId="17" borderId="45" xfId="0" applyFont="1" applyFill="1" applyBorder="1" applyAlignment="1" applyProtection="1">
      <alignment horizontal="right" vertical="top" indent="1"/>
      <protection hidden="1"/>
    </xf>
    <xf numFmtId="0" fontId="172" fillId="17" borderId="45" xfId="0" applyFont="1" applyFill="1" applyBorder="1" applyAlignment="1" applyProtection="1">
      <alignment vertical="top"/>
      <protection hidden="1"/>
    </xf>
    <xf numFmtId="0" fontId="172" fillId="17" borderId="46" xfId="0" applyFont="1" applyFill="1" applyBorder="1" applyAlignment="1" applyProtection="1">
      <alignment vertical="top"/>
      <protection hidden="1"/>
    </xf>
    <xf numFmtId="0" fontId="66" fillId="17" borderId="49" xfId="0" applyFont="1" applyFill="1" applyBorder="1" applyAlignment="1" applyProtection="1">
      <alignment vertical="top"/>
      <protection hidden="1"/>
    </xf>
    <xf numFmtId="0" fontId="66" fillId="17" borderId="47" xfId="0" applyFont="1" applyFill="1" applyBorder="1" applyAlignment="1" applyProtection="1">
      <alignment vertical="top"/>
      <protection hidden="1"/>
    </xf>
    <xf numFmtId="0" fontId="90" fillId="17" borderId="40" xfId="0" quotePrefix="1" applyFont="1" applyFill="1" applyBorder="1" applyAlignment="1" applyProtection="1">
      <alignment horizontal="right" vertical="top"/>
      <protection hidden="1"/>
    </xf>
    <xf numFmtId="0" fontId="60" fillId="17" borderId="40" xfId="0" quotePrefix="1" applyFont="1" applyFill="1" applyBorder="1" applyAlignment="1" applyProtection="1">
      <alignment horizontal="center" vertical="top"/>
      <protection hidden="1"/>
    </xf>
    <xf numFmtId="0" fontId="60" fillId="17" borderId="40" xfId="0" quotePrefix="1" applyFont="1" applyFill="1" applyBorder="1" applyAlignment="1" applyProtection="1">
      <alignment horizontal="center"/>
      <protection hidden="1"/>
    </xf>
    <xf numFmtId="0" fontId="18" fillId="17" borderId="54" xfId="0" applyFont="1" applyFill="1" applyBorder="1" applyAlignment="1" applyProtection="1">
      <alignment horizontal="center"/>
      <protection hidden="1"/>
    </xf>
    <xf numFmtId="0" fontId="60" fillId="17" borderId="71" xfId="0" applyFont="1" applyFill="1" applyBorder="1" applyAlignment="1" applyProtection="1">
      <alignment horizontal="left"/>
      <protection hidden="1"/>
    </xf>
    <xf numFmtId="0" fontId="66" fillId="17" borderId="222" xfId="0" applyFont="1" applyFill="1" applyBorder="1" applyAlignment="1" applyProtection="1">
      <alignment vertical="center"/>
      <protection hidden="1"/>
    </xf>
    <xf numFmtId="0" fontId="66" fillId="17" borderId="223" xfId="0" applyFont="1" applyFill="1" applyBorder="1" applyAlignment="1" applyProtection="1">
      <alignment vertical="center"/>
      <protection hidden="1"/>
    </xf>
    <xf numFmtId="0" fontId="18" fillId="17" borderId="180" xfId="0" applyFont="1" applyFill="1" applyBorder="1" applyAlignment="1" applyProtection="1">
      <alignment horizontal="center"/>
      <protection hidden="1"/>
    </xf>
    <xf numFmtId="0" fontId="90" fillId="17" borderId="413" xfId="0" applyFont="1" applyFill="1" applyBorder="1" applyAlignment="1" applyProtection="1">
      <alignment horizontal="left" vertical="top"/>
      <protection hidden="1"/>
    </xf>
    <xf numFmtId="0" fontId="18" fillId="17" borderId="418" xfId="0" applyFont="1" applyFill="1" applyBorder="1" applyAlignment="1" applyProtection="1">
      <alignment horizontal="center"/>
      <protection hidden="1"/>
    </xf>
    <xf numFmtId="0" fontId="18" fillId="17" borderId="418" xfId="0" applyFont="1" applyFill="1" applyBorder="1" applyAlignment="1" applyProtection="1">
      <alignment horizontal="center" vertical="center"/>
      <protection hidden="1"/>
    </xf>
    <xf numFmtId="0" fontId="60" fillId="17" borderId="236" xfId="0" applyFont="1" applyFill="1" applyBorder="1" applyAlignment="1" applyProtection="1">
      <alignment horizontal="left" indent="1"/>
      <protection hidden="1"/>
    </xf>
    <xf numFmtId="0" fontId="60" fillId="17" borderId="237" xfId="0" applyFont="1" applyFill="1" applyBorder="1" applyAlignment="1" applyProtection="1">
      <alignment horizontal="left" indent="1"/>
      <protection hidden="1"/>
    </xf>
    <xf numFmtId="0" fontId="172" fillId="17" borderId="235" xfId="0" applyFont="1" applyFill="1" applyBorder="1" applyAlignment="1" applyProtection="1">
      <alignment horizontal="left" indent="1"/>
      <protection hidden="1"/>
    </xf>
    <xf numFmtId="0" fontId="172" fillId="17" borderId="234" xfId="0" applyFont="1" applyFill="1" applyBorder="1" applyAlignment="1" applyProtection="1">
      <alignment horizontal="right"/>
      <protection hidden="1"/>
    </xf>
    <xf numFmtId="0" fontId="172" fillId="17" borderId="235" xfId="0" applyFont="1" applyFill="1" applyBorder="1" applyAlignment="1" applyProtection="1">
      <alignment horizontal="left"/>
      <protection hidden="1"/>
    </xf>
    <xf numFmtId="0" fontId="18" fillId="17" borderId="275" xfId="0" applyFont="1" applyFill="1" applyBorder="1" applyAlignment="1" applyProtection="1">
      <alignment horizontal="center"/>
      <protection hidden="1"/>
    </xf>
    <xf numFmtId="0" fontId="18" fillId="17" borderId="283" xfId="0" applyFont="1" applyFill="1" applyBorder="1" applyAlignment="1" applyProtection="1">
      <alignment horizontal="center"/>
      <protection hidden="1"/>
    </xf>
    <xf numFmtId="0" fontId="117" fillId="17" borderId="274" xfId="0" quotePrefix="1" applyFont="1" applyFill="1" applyBorder="1" applyAlignment="1" applyProtection="1">
      <alignment horizontal="right" vertical="top" indent="1"/>
      <protection hidden="1"/>
    </xf>
    <xf numFmtId="0" fontId="90" fillId="17" borderId="43" xfId="0" applyFont="1" applyFill="1" applyBorder="1" applyAlignment="1" applyProtection="1">
      <alignment horizontal="right" indent="1"/>
      <protection hidden="1"/>
    </xf>
    <xf numFmtId="0" fontId="90" fillId="17" borderId="46" xfId="0" applyFont="1" applyFill="1" applyBorder="1" applyAlignment="1" applyProtection="1">
      <alignment horizontal="right" vertical="top" indent="1"/>
      <protection hidden="1"/>
    </xf>
    <xf numFmtId="0" fontId="66" fillId="17" borderId="40" xfId="0" applyFont="1" applyFill="1" applyBorder="1" applyAlignment="1" applyProtection="1">
      <alignment horizontal="center" vertical="center"/>
      <protection hidden="1"/>
    </xf>
    <xf numFmtId="0" fontId="66" fillId="14" borderId="40" xfId="0" applyFont="1" applyFill="1" applyBorder="1" applyAlignment="1" applyProtection="1">
      <alignment horizontal="center" vertical="center"/>
      <protection hidden="1"/>
    </xf>
    <xf numFmtId="0" fontId="67" fillId="17" borderId="464" xfId="0" applyFont="1" applyFill="1" applyBorder="1" applyAlignment="1" applyProtection="1">
      <alignment horizontal="left" indent="1"/>
      <protection hidden="1"/>
    </xf>
    <xf numFmtId="0" fontId="67" fillId="17" borderId="42" xfId="0" applyFont="1" applyFill="1" applyBorder="1" applyAlignment="1" applyProtection="1">
      <alignment horizontal="left" indent="1"/>
      <protection hidden="1"/>
    </xf>
    <xf numFmtId="0" fontId="67" fillId="17" borderId="464" xfId="0" applyFont="1" applyFill="1" applyBorder="1" applyProtection="1">
      <protection hidden="1"/>
    </xf>
    <xf numFmtId="0" fontId="67" fillId="17" borderId="42" xfId="0" applyFont="1" applyFill="1" applyBorder="1" applyProtection="1">
      <protection hidden="1"/>
    </xf>
    <xf numFmtId="0" fontId="133" fillId="17" borderId="178" xfId="0" applyFont="1" applyFill="1" applyBorder="1" applyProtection="1">
      <protection hidden="1"/>
    </xf>
    <xf numFmtId="0" fontId="464" fillId="17" borderId="0" xfId="0" applyFont="1" applyFill="1" applyAlignment="1" applyProtection="1">
      <alignment horizontal="center"/>
      <protection hidden="1"/>
    </xf>
    <xf numFmtId="1" fontId="21" fillId="0" borderId="0" xfId="0" applyNumberFormat="1" applyFont="1" applyAlignment="1" applyProtection="1">
      <alignment horizontal="center"/>
      <protection locked="0"/>
    </xf>
    <xf numFmtId="0" fontId="138" fillId="0" borderId="0" xfId="0" applyFont="1" applyProtection="1">
      <protection locked="0"/>
    </xf>
    <xf numFmtId="0" fontId="305" fillId="0" borderId="1" xfId="0" applyFont="1" applyBorder="1" applyAlignment="1" applyProtection="1">
      <alignment horizontal="center" vertical="center"/>
      <protection hidden="1"/>
    </xf>
    <xf numFmtId="1" fontId="145" fillId="17" borderId="0" xfId="0" applyNumberFormat="1" applyFont="1" applyFill="1" applyAlignment="1" applyProtection="1">
      <alignment horizontal="right" vertical="top"/>
      <protection hidden="1"/>
    </xf>
    <xf numFmtId="1" fontId="145" fillId="17" borderId="173" xfId="0" applyNumberFormat="1" applyFont="1" applyFill="1" applyBorder="1" applyAlignment="1" applyProtection="1">
      <alignment horizontal="right"/>
      <protection hidden="1"/>
    </xf>
    <xf numFmtId="0" fontId="21" fillId="17" borderId="178" xfId="0" applyFont="1" applyFill="1" applyBorder="1" applyProtection="1">
      <protection hidden="1"/>
    </xf>
    <xf numFmtId="0" fontId="305" fillId="0" borderId="0" xfId="0" applyFont="1" applyAlignment="1" applyProtection="1">
      <alignment horizontal="left" vertical="center"/>
      <protection locked="0"/>
    </xf>
    <xf numFmtId="0" fontId="145" fillId="0" borderId="0" xfId="0" applyFont="1" applyAlignment="1" applyProtection="1">
      <alignment horizontal="left"/>
      <protection locked="0"/>
    </xf>
    <xf numFmtId="0" fontId="104" fillId="0" borderId="0" xfId="0" applyFont="1" applyAlignment="1" applyProtection="1">
      <alignment horizontal="center"/>
      <protection locked="0"/>
    </xf>
    <xf numFmtId="1" fontId="145" fillId="0" borderId="0" xfId="0" applyNumberFormat="1" applyFont="1" applyAlignment="1" applyProtection="1">
      <alignment horizontal="center"/>
      <protection locked="0"/>
    </xf>
    <xf numFmtId="168" fontId="145" fillId="0" borderId="0" xfId="0" applyNumberFormat="1" applyFont="1" applyAlignment="1" applyProtection="1">
      <alignment horizontal="center"/>
      <protection locked="0"/>
    </xf>
    <xf numFmtId="49" fontId="145" fillId="17" borderId="0" xfId="0" applyNumberFormat="1" applyFont="1" applyFill="1" applyAlignment="1" applyProtection="1">
      <alignment horizontal="right" vertical="top"/>
      <protection hidden="1"/>
    </xf>
    <xf numFmtId="0" fontId="305" fillId="0" borderId="104" xfId="0" applyFont="1" applyBorder="1" applyAlignment="1" applyProtection="1">
      <alignment horizontal="center" vertical="center"/>
      <protection hidden="1"/>
    </xf>
    <xf numFmtId="0" fontId="601" fillId="0" borderId="1" xfId="0" applyFont="1" applyBorder="1" applyAlignment="1" applyProtection="1">
      <alignment horizontal="center" vertical="center"/>
      <protection hidden="1"/>
    </xf>
    <xf numFmtId="0" fontId="601" fillId="0" borderId="1" xfId="0" applyFont="1" applyBorder="1" applyAlignment="1" applyProtection="1">
      <alignment horizontal="left" vertical="center"/>
      <protection hidden="1"/>
    </xf>
    <xf numFmtId="0" fontId="305" fillId="0" borderId="0" xfId="0" applyFont="1" applyAlignment="1" applyProtection="1">
      <alignment horizontal="left"/>
      <protection locked="0"/>
    </xf>
    <xf numFmtId="1" fontId="305" fillId="0" borderId="0" xfId="0" applyNumberFormat="1" applyFont="1" applyAlignment="1" applyProtection="1">
      <alignment horizontal="center" vertical="top"/>
      <protection locked="0"/>
    </xf>
    <xf numFmtId="0" fontId="1" fillId="0" borderId="105" xfId="0" applyFont="1" applyBorder="1" applyAlignment="1" applyProtection="1">
      <alignment horizontal="center"/>
      <protection locked="0"/>
    </xf>
    <xf numFmtId="0" fontId="1" fillId="0" borderId="132" xfId="0" applyFont="1" applyBorder="1" applyAlignment="1" applyProtection="1">
      <alignment horizontal="center"/>
      <protection locked="0"/>
    </xf>
    <xf numFmtId="1" fontId="21" fillId="0" borderId="32" xfId="0" applyNumberFormat="1" applyFont="1" applyBorder="1" applyAlignment="1" applyProtection="1">
      <alignment horizontal="left" vertical="center"/>
      <protection locked="0"/>
    </xf>
    <xf numFmtId="0" fontId="194" fillId="0" borderId="0" xfId="0" applyFont="1" applyAlignment="1" applyProtection="1">
      <alignment vertical="top"/>
      <protection hidden="1"/>
    </xf>
    <xf numFmtId="0" fontId="193" fillId="0" borderId="0" xfId="0" applyFont="1" applyAlignment="1" applyProtection="1">
      <alignment vertical="top"/>
      <protection hidden="1"/>
    </xf>
    <xf numFmtId="0" fontId="198" fillId="0" borderId="0" xfId="0" applyFont="1" applyAlignment="1" applyProtection="1">
      <alignment horizontal="center" vertical="center"/>
      <protection hidden="1"/>
    </xf>
    <xf numFmtId="1" fontId="18" fillId="19" borderId="120" xfId="0" applyNumberFormat="1" applyFont="1" applyFill="1" applyBorder="1" applyAlignment="1" applyProtection="1">
      <alignment horizontal="left" vertical="center"/>
      <protection hidden="1"/>
    </xf>
    <xf numFmtId="1" fontId="18" fillId="19" borderId="120" xfId="0" applyNumberFormat="1" applyFont="1" applyFill="1" applyBorder="1" applyAlignment="1" applyProtection="1">
      <alignment horizontal="right" vertical="center"/>
      <protection hidden="1"/>
    </xf>
    <xf numFmtId="20" fontId="7" fillId="19" borderId="121" xfId="0" applyNumberFormat="1" applyFont="1" applyFill="1" applyBorder="1" applyAlignment="1" applyProtection="1">
      <alignment horizontal="center" vertical="center"/>
      <protection hidden="1"/>
    </xf>
    <xf numFmtId="0" fontId="7" fillId="19" borderId="119" xfId="0" applyFont="1" applyFill="1" applyBorder="1" applyAlignment="1" applyProtection="1">
      <alignment horizontal="center" vertical="center"/>
      <protection hidden="1"/>
    </xf>
    <xf numFmtId="0" fontId="621" fillId="19" borderId="120" xfId="0" applyFont="1" applyFill="1" applyBorder="1" applyAlignment="1" applyProtection="1">
      <alignment horizontal="center" vertical="center"/>
      <protection hidden="1"/>
    </xf>
    <xf numFmtId="1" fontId="621" fillId="19" borderId="120" xfId="0" applyNumberFormat="1" applyFont="1" applyFill="1" applyBorder="1" applyAlignment="1" applyProtection="1">
      <alignment horizontal="center" vertical="center"/>
      <protection hidden="1"/>
    </xf>
    <xf numFmtId="20" fontId="621" fillId="19" borderId="120" xfId="0" applyNumberFormat="1" applyFont="1" applyFill="1" applyBorder="1" applyAlignment="1" applyProtection="1">
      <alignment horizontal="center" vertical="center"/>
      <protection hidden="1"/>
    </xf>
    <xf numFmtId="0" fontId="16" fillId="0" borderId="23" xfId="0" applyFont="1" applyBorder="1" applyAlignment="1" applyProtection="1">
      <alignment horizontal="center" vertical="center"/>
      <protection hidden="1"/>
    </xf>
    <xf numFmtId="0" fontId="122" fillId="0" borderId="23" xfId="0" quotePrefix="1" applyFont="1" applyBorder="1" applyAlignment="1" applyProtection="1">
      <alignment horizontal="center" vertical="center"/>
      <protection hidden="1"/>
    </xf>
    <xf numFmtId="0" fontId="15" fillId="0" borderId="23" xfId="0" applyFont="1" applyBorder="1" applyAlignment="1" applyProtection="1">
      <alignment horizontal="center" vertical="center"/>
      <protection hidden="1"/>
    </xf>
    <xf numFmtId="1" fontId="146" fillId="0" borderId="32" xfId="0" applyNumberFormat="1" applyFont="1" applyBorder="1" applyAlignment="1" applyProtection="1">
      <alignment horizontal="left" vertical="center"/>
      <protection locked="0"/>
    </xf>
    <xf numFmtId="3" fontId="138" fillId="17" borderId="0" xfId="0" applyNumberFormat="1" applyFont="1" applyFill="1" applyAlignment="1" applyProtection="1">
      <alignment horizontal="center"/>
      <protection hidden="1"/>
    </xf>
    <xf numFmtId="175" fontId="138" fillId="17" borderId="0" xfId="0" applyNumberFormat="1" applyFont="1" applyFill="1" applyAlignment="1" applyProtection="1">
      <alignment horizontal="center"/>
      <protection hidden="1"/>
    </xf>
    <xf numFmtId="1" fontId="21" fillId="17" borderId="173" xfId="0" applyNumberFormat="1" applyFont="1" applyFill="1" applyBorder="1" applyAlignment="1" applyProtection="1">
      <alignment horizontal="center"/>
      <protection hidden="1"/>
    </xf>
    <xf numFmtId="1" fontId="138" fillId="17" borderId="173" xfId="0" applyNumberFormat="1" applyFont="1" applyFill="1" applyBorder="1" applyAlignment="1" applyProtection="1">
      <alignment horizontal="center"/>
      <protection hidden="1"/>
    </xf>
    <xf numFmtId="1" fontId="21" fillId="17" borderId="0" xfId="0" applyNumberFormat="1" applyFont="1" applyFill="1" applyAlignment="1" applyProtection="1">
      <alignment horizontal="center"/>
      <protection hidden="1"/>
    </xf>
    <xf numFmtId="0" fontId="622" fillId="12" borderId="6" xfId="0" applyFont="1" applyFill="1" applyBorder="1" applyAlignment="1" applyProtection="1">
      <alignment horizontal="center" vertical="center"/>
      <protection hidden="1"/>
    </xf>
    <xf numFmtId="0" fontId="623" fillId="11" borderId="6" xfId="0" applyFont="1" applyFill="1" applyBorder="1" applyAlignment="1" applyProtection="1">
      <alignment horizontal="center" vertical="center"/>
      <protection hidden="1"/>
    </xf>
    <xf numFmtId="0" fontId="624" fillId="10" borderId="6" xfId="0" applyFont="1" applyFill="1" applyBorder="1" applyAlignment="1" applyProtection="1">
      <alignment horizontal="center" vertical="center"/>
      <protection hidden="1"/>
    </xf>
    <xf numFmtId="0" fontId="625" fillId="9" borderId="6" xfId="0" applyFont="1" applyFill="1" applyBorder="1" applyAlignment="1" applyProtection="1">
      <alignment horizontal="center" vertical="center"/>
      <protection hidden="1"/>
    </xf>
    <xf numFmtId="0" fontId="626" fillId="2" borderId="6" xfId="0" applyFont="1" applyFill="1" applyBorder="1" applyAlignment="1" applyProtection="1">
      <alignment horizontal="center" vertical="center"/>
      <protection hidden="1"/>
    </xf>
    <xf numFmtId="0" fontId="627" fillId="8" borderId="6" xfId="0" applyFont="1" applyFill="1" applyBorder="1" applyAlignment="1" applyProtection="1">
      <alignment horizontal="center" vertical="center"/>
      <protection hidden="1"/>
    </xf>
    <xf numFmtId="0" fontId="628" fillId="7" borderId="6" xfId="0" applyFont="1" applyFill="1" applyBorder="1" applyAlignment="1" applyProtection="1">
      <alignment horizontal="center" vertical="center"/>
      <protection hidden="1"/>
    </xf>
    <xf numFmtId="0" fontId="629" fillId="6" borderId="6" xfId="0" applyFont="1" applyFill="1" applyBorder="1" applyAlignment="1" applyProtection="1">
      <alignment horizontal="center" vertical="center"/>
      <protection hidden="1"/>
    </xf>
    <xf numFmtId="0" fontId="630" fillId="5" borderId="6" xfId="0" applyFont="1" applyFill="1" applyBorder="1" applyAlignment="1" applyProtection="1">
      <alignment horizontal="center" vertical="center"/>
      <protection hidden="1"/>
    </xf>
    <xf numFmtId="1" fontId="138" fillId="17" borderId="0" xfId="0" applyNumberFormat="1" applyFont="1" applyFill="1" applyAlignment="1" applyProtection="1">
      <alignment horizontal="center" vertical="top"/>
      <protection hidden="1"/>
    </xf>
    <xf numFmtId="0" fontId="620" fillId="18" borderId="429" xfId="0" applyFont="1" applyFill="1" applyBorder="1" applyAlignment="1" applyProtection="1">
      <alignment horizontal="center" vertical="center"/>
      <protection hidden="1"/>
    </xf>
    <xf numFmtId="0" fontId="335" fillId="18" borderId="429" xfId="0" applyFont="1" applyFill="1" applyBorder="1" applyAlignment="1" applyProtection="1">
      <alignment horizontal="center" vertical="center"/>
      <protection hidden="1"/>
    </xf>
    <xf numFmtId="0" fontId="1" fillId="0" borderId="100" xfId="0" applyFont="1" applyBorder="1" applyAlignment="1" applyProtection="1">
      <alignment horizontal="center"/>
      <protection hidden="1"/>
    </xf>
    <xf numFmtId="0" fontId="146" fillId="18" borderId="0" xfId="0" quotePrefix="1" applyFont="1" applyFill="1" applyAlignment="1" applyProtection="1">
      <alignment horizontal="left" vertical="center"/>
      <protection hidden="1"/>
    </xf>
    <xf numFmtId="0" fontId="146" fillId="18" borderId="0" xfId="0" applyFont="1" applyFill="1" applyAlignment="1" applyProtection="1">
      <alignment vertical="center"/>
      <protection hidden="1"/>
    </xf>
    <xf numFmtId="0" fontId="131" fillId="18" borderId="0" xfId="0" applyFont="1" applyFill="1" applyAlignment="1" applyProtection="1">
      <alignment horizontal="left" vertical="center"/>
      <protection hidden="1"/>
    </xf>
    <xf numFmtId="0" fontId="131" fillId="18" borderId="0" xfId="0" applyFont="1" applyFill="1" applyAlignment="1" applyProtection="1">
      <alignment horizontal="center" vertical="center"/>
      <protection hidden="1"/>
    </xf>
    <xf numFmtId="1" fontId="131" fillId="18" borderId="0" xfId="0" applyNumberFormat="1" applyFont="1" applyFill="1" applyAlignment="1" applyProtection="1">
      <alignment vertical="center"/>
      <protection hidden="1"/>
    </xf>
    <xf numFmtId="0" fontId="146" fillId="18" borderId="0" xfId="0" quotePrefix="1" applyFont="1" applyFill="1" applyAlignment="1" applyProtection="1">
      <alignment horizontal="right" vertical="center"/>
      <protection hidden="1"/>
    </xf>
    <xf numFmtId="0" fontId="616" fillId="18" borderId="0" xfId="0" applyFont="1" applyFill="1" applyAlignment="1" applyProtection="1">
      <alignment horizontal="center" vertical="center"/>
      <protection hidden="1"/>
    </xf>
    <xf numFmtId="0" fontId="146" fillId="0" borderId="0" xfId="0" quotePrefix="1" applyFont="1" applyAlignment="1" applyProtection="1">
      <alignment horizontal="left" vertical="center"/>
      <protection hidden="1"/>
    </xf>
    <xf numFmtId="0" fontId="131" fillId="0" borderId="0" xfId="0" applyFont="1" applyAlignment="1" applyProtection="1">
      <alignment horizontal="center" vertical="center"/>
      <protection hidden="1"/>
    </xf>
    <xf numFmtId="0" fontId="146" fillId="0" borderId="0" xfId="0" applyFont="1" applyAlignment="1" applyProtection="1">
      <alignment horizontal="left" vertical="center"/>
      <protection hidden="1"/>
    </xf>
    <xf numFmtId="0" fontId="232" fillId="4" borderId="0" xfId="0" applyFont="1" applyFill="1" applyAlignment="1" applyProtection="1">
      <alignment horizontal="right"/>
      <protection hidden="1"/>
    </xf>
    <xf numFmtId="0" fontId="162" fillId="0" borderId="0" xfId="0" applyFont="1" applyAlignment="1" applyProtection="1">
      <alignment vertical="center"/>
      <protection hidden="1"/>
    </xf>
    <xf numFmtId="0" fontId="162" fillId="0" borderId="0" xfId="0" applyFont="1" applyAlignment="1" applyProtection="1">
      <alignment vertical="top"/>
      <protection hidden="1"/>
    </xf>
    <xf numFmtId="0" fontId="75" fillId="0" borderId="0" xfId="0" applyFont="1" applyAlignment="1" applyProtection="1">
      <alignment horizontal="right" vertical="center"/>
      <protection hidden="1"/>
    </xf>
    <xf numFmtId="0" fontId="92" fillId="0" borderId="32" xfId="0" applyFont="1" applyBorder="1" applyAlignment="1" applyProtection="1">
      <alignment vertical="center"/>
      <protection hidden="1"/>
    </xf>
    <xf numFmtId="0" fontId="92" fillId="0" borderId="105" xfId="0" applyFont="1" applyBorder="1" applyAlignment="1" applyProtection="1">
      <alignment vertical="center"/>
      <protection hidden="1"/>
    </xf>
    <xf numFmtId="0" fontId="92" fillId="0" borderId="132" xfId="0" applyFont="1" applyBorder="1" applyAlignment="1" applyProtection="1">
      <alignment vertical="center"/>
      <protection hidden="1"/>
    </xf>
    <xf numFmtId="0" fontId="28" fillId="18" borderId="51" xfId="0" applyFont="1" applyFill="1" applyBorder="1" applyAlignment="1" applyProtection="1">
      <alignment horizontal="center" vertical="center"/>
      <protection hidden="1"/>
    </xf>
    <xf numFmtId="0" fontId="108" fillId="18" borderId="0" xfId="0" applyFont="1" applyFill="1" applyAlignment="1" applyProtection="1">
      <alignment horizontal="left"/>
      <protection hidden="1"/>
    </xf>
    <xf numFmtId="0" fontId="108" fillId="18" borderId="0" xfId="0" applyFont="1" applyFill="1" applyAlignment="1" applyProtection="1">
      <alignment horizontal="right"/>
      <protection hidden="1"/>
    </xf>
    <xf numFmtId="1" fontId="170" fillId="0" borderId="0" xfId="0" applyNumberFormat="1" applyFont="1" applyAlignment="1" applyProtection="1">
      <alignment horizontal="right"/>
      <protection locked="0"/>
    </xf>
    <xf numFmtId="0" fontId="350" fillId="0" borderId="0" xfId="0" applyFont="1" applyAlignment="1" applyProtection="1">
      <alignment vertical="top"/>
      <protection hidden="1"/>
    </xf>
    <xf numFmtId="0" fontId="350" fillId="0" borderId="0" xfId="0" applyFont="1" applyAlignment="1" applyProtection="1">
      <alignment vertical="center"/>
      <protection hidden="1"/>
    </xf>
    <xf numFmtId="0" fontId="634" fillId="0" borderId="0" xfId="0" applyFont="1" applyAlignment="1" applyProtection="1">
      <alignment vertical="center"/>
      <protection hidden="1"/>
    </xf>
    <xf numFmtId="0" fontId="634" fillId="0" borderId="0" xfId="0" applyFont="1" applyAlignment="1" applyProtection="1">
      <alignment horizontal="center" vertical="center"/>
      <protection hidden="1"/>
    </xf>
    <xf numFmtId="0" fontId="573" fillId="0" borderId="0" xfId="0" applyFont="1" applyAlignment="1" applyProtection="1">
      <alignment vertical="top"/>
      <protection hidden="1"/>
    </xf>
    <xf numFmtId="0" fontId="108" fillId="0" borderId="0" xfId="0" applyFont="1" applyAlignment="1" applyProtection="1">
      <alignment horizontal="right"/>
      <protection hidden="1"/>
    </xf>
    <xf numFmtId="0" fontId="573" fillId="0" borderId="0" xfId="0" applyFont="1" applyAlignment="1" applyProtection="1">
      <alignment vertical="center"/>
      <protection hidden="1"/>
    </xf>
    <xf numFmtId="0" fontId="573" fillId="0" borderId="0" xfId="0" applyFont="1" applyProtection="1">
      <protection hidden="1"/>
    </xf>
    <xf numFmtId="0" fontId="389" fillId="0" borderId="0" xfId="0" applyFont="1" applyAlignment="1" applyProtection="1">
      <alignment vertical="top"/>
      <protection hidden="1"/>
    </xf>
    <xf numFmtId="0" fontId="350" fillId="18" borderId="0" xfId="0" applyFont="1" applyFill="1" applyAlignment="1" applyProtection="1">
      <alignment vertical="top" wrapText="1"/>
      <protection hidden="1"/>
    </xf>
    <xf numFmtId="0" fontId="350" fillId="18" borderId="0" xfId="0" applyFont="1" applyFill="1" applyAlignment="1" applyProtection="1">
      <alignment vertical="top"/>
      <protection hidden="1"/>
    </xf>
    <xf numFmtId="0" fontId="350" fillId="18" borderId="0" xfId="0" applyFont="1" applyFill="1" applyAlignment="1" applyProtection="1">
      <alignment vertical="center"/>
      <protection hidden="1"/>
    </xf>
    <xf numFmtId="0" fontId="633" fillId="0" borderId="100" xfId="0" applyFont="1" applyBorder="1" applyAlignment="1" applyProtection="1">
      <alignment horizontal="center" vertical="center"/>
      <protection locked="0"/>
    </xf>
    <xf numFmtId="0" fontId="101" fillId="0" borderId="1" xfId="0" applyFont="1" applyBorder="1" applyAlignment="1" applyProtection="1">
      <alignment horizontal="center" vertical="center"/>
      <protection locked="0"/>
    </xf>
    <xf numFmtId="0" fontId="108" fillId="0" borderId="0" xfId="0" applyFont="1" applyAlignment="1" applyProtection="1">
      <alignment horizontal="left" vertical="center" indent="1"/>
      <protection locked="0"/>
    </xf>
    <xf numFmtId="0" fontId="127" fillId="0" borderId="0" xfId="0" applyFont="1" applyProtection="1">
      <protection hidden="1"/>
    </xf>
    <xf numFmtId="0" fontId="580" fillId="0" borderId="0" xfId="0" applyFont="1" applyProtection="1">
      <protection hidden="1"/>
    </xf>
    <xf numFmtId="0" fontId="23" fillId="18" borderId="0" xfId="0" applyFont="1" applyFill="1" applyAlignment="1" applyProtection="1">
      <alignment horizontal="center"/>
      <protection hidden="1"/>
    </xf>
    <xf numFmtId="0" fontId="1" fillId="0" borderId="23" xfId="0" applyFont="1" applyBorder="1" applyAlignment="1" applyProtection="1">
      <alignment horizontal="center" vertical="center"/>
      <protection locked="0"/>
    </xf>
    <xf numFmtId="0" fontId="101" fillId="0" borderId="0" xfId="0" applyFont="1" applyAlignment="1" applyProtection="1">
      <alignment horizontal="right"/>
      <protection hidden="1"/>
    </xf>
    <xf numFmtId="0" fontId="641" fillId="0" borderId="0" xfId="0" applyFont="1" applyAlignment="1" applyProtection="1">
      <alignment horizontal="center"/>
      <protection hidden="1"/>
    </xf>
    <xf numFmtId="0" fontId="131" fillId="18" borderId="0" xfId="0" applyFont="1" applyFill="1" applyAlignment="1" applyProtection="1">
      <alignment horizontal="center"/>
      <protection hidden="1"/>
    </xf>
    <xf numFmtId="0" fontId="113" fillId="18" borderId="0" xfId="0" applyFont="1" applyFill="1" applyAlignment="1" applyProtection="1">
      <alignment horizontal="center" vertical="center"/>
      <protection hidden="1"/>
    </xf>
    <xf numFmtId="0" fontId="131" fillId="18" borderId="0" xfId="0" applyFont="1" applyFill="1" applyAlignment="1" applyProtection="1">
      <alignment horizontal="left" indent="2"/>
      <protection hidden="1"/>
    </xf>
    <xf numFmtId="0" fontId="131" fillId="18" borderId="0" xfId="0" applyFont="1" applyFill="1" applyProtection="1">
      <protection hidden="1"/>
    </xf>
    <xf numFmtId="0" fontId="131" fillId="18" borderId="0" xfId="0" applyFont="1" applyFill="1" applyAlignment="1" applyProtection="1">
      <alignment horizontal="right"/>
      <protection hidden="1"/>
    </xf>
    <xf numFmtId="1" fontId="131" fillId="18" borderId="0" xfId="0" applyNumberFormat="1" applyFont="1" applyFill="1" applyProtection="1">
      <protection hidden="1"/>
    </xf>
    <xf numFmtId="0" fontId="40" fillId="0" borderId="0" xfId="0" applyFont="1" applyAlignment="1" applyProtection="1">
      <alignment horizontal="center"/>
      <protection hidden="1"/>
    </xf>
    <xf numFmtId="0" fontId="146" fillId="0" borderId="0" xfId="0" quotePrefix="1" applyFont="1" applyAlignment="1" applyProtection="1">
      <alignment horizontal="center"/>
      <protection hidden="1"/>
    </xf>
    <xf numFmtId="0" fontId="146" fillId="0" borderId="0" xfId="0" quotePrefix="1" applyFont="1" applyAlignment="1" applyProtection="1">
      <alignment horizontal="right"/>
      <protection hidden="1"/>
    </xf>
    <xf numFmtId="0" fontId="101" fillId="0" borderId="0" xfId="0" applyFont="1" applyAlignment="1" applyProtection="1">
      <alignment horizontal="center" vertical="center"/>
      <protection locked="0"/>
    </xf>
    <xf numFmtId="0" fontId="108" fillId="0" borderId="0" xfId="0" applyFont="1" applyAlignment="1" applyProtection="1">
      <alignment horizontal="left" vertical="center"/>
      <protection locked="0"/>
    </xf>
    <xf numFmtId="0" fontId="350" fillId="0" borderId="14" xfId="0" applyFont="1" applyBorder="1" applyAlignment="1" applyProtection="1">
      <alignment vertical="center"/>
      <protection hidden="1"/>
    </xf>
    <xf numFmtId="0" fontId="350" fillId="0" borderId="13" xfId="0" applyFont="1" applyBorder="1" applyAlignment="1" applyProtection="1">
      <alignment vertical="center"/>
      <protection hidden="1"/>
    </xf>
    <xf numFmtId="0" fontId="637" fillId="0" borderId="13" xfId="0" applyFont="1" applyBorder="1" applyProtection="1">
      <protection locked="0"/>
    </xf>
    <xf numFmtId="0" fontId="108" fillId="0" borderId="13" xfId="0" applyFont="1" applyBorder="1" applyAlignment="1" applyProtection="1">
      <alignment horizontal="left"/>
      <protection hidden="1"/>
    </xf>
    <xf numFmtId="0" fontId="638" fillId="0" borderId="13" xfId="0" applyFont="1" applyBorder="1" applyAlignment="1" applyProtection="1">
      <alignment horizontal="center" vertical="center"/>
      <protection hidden="1"/>
    </xf>
    <xf numFmtId="0" fontId="350" fillId="0" borderId="15" xfId="0" applyFont="1" applyBorder="1" applyAlignment="1" applyProtection="1">
      <alignment vertical="center"/>
      <protection hidden="1"/>
    </xf>
    <xf numFmtId="0" fontId="350" fillId="0" borderId="16" xfId="0" applyFont="1" applyBorder="1" applyAlignment="1" applyProtection="1">
      <alignment vertical="center"/>
      <protection hidden="1"/>
    </xf>
    <xf numFmtId="0" fontId="350" fillId="0" borderId="17" xfId="0" applyFont="1" applyBorder="1" applyAlignment="1" applyProtection="1">
      <alignment vertical="center"/>
      <protection hidden="1"/>
    </xf>
    <xf numFmtId="0" fontId="350" fillId="0" borderId="16" xfId="0" applyFont="1" applyBorder="1" applyAlignment="1" applyProtection="1">
      <alignment vertical="top"/>
      <protection hidden="1"/>
    </xf>
    <xf numFmtId="0" fontId="638" fillId="0" borderId="0" xfId="0" applyFont="1" applyAlignment="1" applyProtection="1">
      <alignment horizontal="center" vertical="center"/>
      <protection hidden="1"/>
    </xf>
    <xf numFmtId="0" fontId="350" fillId="0" borderId="17" xfId="0" applyFont="1" applyBorder="1" applyAlignment="1" applyProtection="1">
      <alignment vertical="top"/>
      <protection hidden="1"/>
    </xf>
    <xf numFmtId="0" fontId="635" fillId="0" borderId="0" xfId="0" applyFont="1" applyAlignment="1" applyProtection="1">
      <alignment vertical="top"/>
      <protection hidden="1"/>
    </xf>
    <xf numFmtId="0" fontId="580" fillId="0" borderId="0" xfId="0" applyFont="1" applyAlignment="1" applyProtection="1">
      <alignment vertical="center"/>
      <protection hidden="1"/>
    </xf>
    <xf numFmtId="0" fontId="639" fillId="0" borderId="0" xfId="0" applyFont="1" applyAlignment="1" applyProtection="1">
      <alignment vertical="center"/>
      <protection hidden="1"/>
    </xf>
    <xf numFmtId="0" fontId="573" fillId="0" borderId="16" xfId="0" applyFont="1" applyBorder="1" applyAlignment="1" applyProtection="1">
      <alignment vertical="center"/>
      <protection hidden="1"/>
    </xf>
    <xf numFmtId="0" fontId="350" fillId="0" borderId="19" xfId="0" applyFont="1" applyBorder="1" applyAlignment="1" applyProtection="1">
      <alignment vertical="top"/>
      <protection hidden="1"/>
    </xf>
    <xf numFmtId="0" fontId="108" fillId="0" borderId="0" xfId="0" applyFont="1" applyAlignment="1" applyProtection="1">
      <alignment horizontal="right" vertical="center" indent="1"/>
      <protection locked="0"/>
    </xf>
    <xf numFmtId="0" fontId="108" fillId="0" borderId="0" xfId="0" applyFont="1" applyAlignment="1" applyProtection="1">
      <alignment horizontal="center" vertical="center"/>
      <protection locked="0"/>
    </xf>
    <xf numFmtId="0" fontId="101" fillId="0" borderId="0" xfId="0" applyFont="1" applyAlignment="1" applyProtection="1">
      <alignment horizontal="center" vertical="top"/>
      <protection locked="0"/>
    </xf>
    <xf numFmtId="1" fontId="108" fillId="0" borderId="0" xfId="0" applyNumberFormat="1" applyFont="1" applyAlignment="1" applyProtection="1">
      <alignment vertical="center"/>
      <protection locked="0"/>
    </xf>
    <xf numFmtId="0" fontId="108" fillId="0" borderId="0" xfId="0" applyFont="1" applyAlignment="1" applyProtection="1">
      <alignment vertical="center"/>
      <protection locked="0"/>
    </xf>
    <xf numFmtId="0" fontId="637" fillId="0" borderId="0" xfId="0" applyFont="1" applyProtection="1">
      <protection locked="0"/>
    </xf>
    <xf numFmtId="0" fontId="633" fillId="0" borderId="0" xfId="0" applyFont="1" applyAlignment="1" applyProtection="1">
      <alignment horizontal="center" vertical="center"/>
      <protection locked="0"/>
    </xf>
    <xf numFmtId="0" fontId="347" fillId="0" borderId="0" xfId="0" applyFont="1" applyAlignment="1" applyProtection="1">
      <alignment horizontal="center" vertical="center"/>
      <protection locked="0"/>
    </xf>
    <xf numFmtId="0" fontId="101" fillId="0" borderId="0" xfId="0" applyFont="1" applyAlignment="1" applyProtection="1">
      <alignment vertical="center"/>
      <protection locked="0"/>
    </xf>
    <xf numFmtId="0" fontId="347" fillId="0" borderId="0" xfId="0" applyFont="1" applyAlignment="1" applyProtection="1">
      <alignment vertical="center"/>
      <protection locked="0"/>
    </xf>
    <xf numFmtId="0" fontId="73" fillId="0" borderId="0" xfId="0" applyFont="1" applyAlignment="1" applyProtection="1">
      <alignment horizontal="left" vertical="center"/>
      <protection locked="0"/>
    </xf>
    <xf numFmtId="0" fontId="126" fillId="4" borderId="187" xfId="0" applyFont="1" applyFill="1" applyBorder="1" applyAlignment="1" applyProtection="1">
      <alignment horizontal="center" vertical="center"/>
      <protection hidden="1"/>
    </xf>
    <xf numFmtId="0" fontId="108" fillId="0" borderId="1" xfId="0" applyFont="1" applyBorder="1" applyAlignment="1" applyProtection="1">
      <alignment horizontal="center" vertical="center"/>
      <protection locked="0"/>
    </xf>
    <xf numFmtId="0" fontId="101" fillId="0" borderId="0" xfId="0" applyFont="1" applyAlignment="1" applyProtection="1">
      <alignment horizontal="right" vertical="center"/>
      <protection locked="0"/>
    </xf>
    <xf numFmtId="0" fontId="113" fillId="0" borderId="0" xfId="0" applyFont="1" applyAlignment="1" applyProtection="1">
      <alignment horizontal="center" vertical="top"/>
      <protection locked="0"/>
    </xf>
    <xf numFmtId="0" fontId="73" fillId="0" borderId="0" xfId="0" applyFont="1" applyAlignment="1" applyProtection="1">
      <alignment horizontal="left" vertical="top"/>
      <protection locked="0"/>
    </xf>
    <xf numFmtId="0" fontId="113" fillId="3" borderId="0" xfId="0" applyFont="1" applyFill="1" applyAlignment="1" applyProtection="1">
      <alignment horizontal="center" vertical="center"/>
      <protection locked="0"/>
    </xf>
    <xf numFmtId="0" fontId="113" fillId="3" borderId="350" xfId="0" applyFont="1" applyFill="1" applyBorder="1" applyAlignment="1" applyProtection="1">
      <alignment horizontal="center" vertical="center"/>
      <protection hidden="1"/>
    </xf>
    <xf numFmtId="0" fontId="350" fillId="3" borderId="0" xfId="0" applyFont="1" applyFill="1" applyAlignment="1" applyProtection="1">
      <alignment vertical="top"/>
      <protection hidden="1"/>
    </xf>
    <xf numFmtId="0" fontId="18" fillId="3" borderId="350" xfId="0" applyFont="1" applyFill="1" applyBorder="1" applyAlignment="1" applyProtection="1">
      <alignment horizontal="center" vertical="center"/>
      <protection hidden="1"/>
    </xf>
    <xf numFmtId="0" fontId="126" fillId="3" borderId="193" xfId="0" applyFont="1" applyFill="1" applyBorder="1" applyAlignment="1" applyProtection="1">
      <alignment horizontal="center" vertical="center"/>
      <protection hidden="1"/>
    </xf>
    <xf numFmtId="0" fontId="18" fillId="3" borderId="350" xfId="0" applyFont="1" applyFill="1" applyBorder="1" applyAlignment="1" applyProtection="1">
      <alignment horizontal="left" vertical="center"/>
      <protection hidden="1"/>
    </xf>
    <xf numFmtId="0" fontId="113" fillId="3" borderId="0" xfId="0" applyFont="1" applyFill="1" applyAlignment="1" applyProtection="1">
      <alignment horizontal="left" vertical="center"/>
      <protection locked="0"/>
    </xf>
    <xf numFmtId="0" fontId="113" fillId="3" borderId="0" xfId="0" applyFont="1" applyFill="1" applyAlignment="1" applyProtection="1">
      <alignment horizontal="right" vertical="center"/>
      <protection locked="0"/>
    </xf>
    <xf numFmtId="0" fontId="230" fillId="3" borderId="0" xfId="0" applyFont="1" applyFill="1" applyAlignment="1" applyProtection="1">
      <alignment horizontal="center" vertical="center"/>
      <protection locked="0"/>
    </xf>
    <xf numFmtId="0" fontId="18" fillId="3" borderId="350" xfId="0" applyFont="1" applyFill="1" applyBorder="1" applyAlignment="1" applyProtection="1">
      <alignment horizontal="right" vertical="center"/>
      <protection hidden="1"/>
    </xf>
    <xf numFmtId="0" fontId="363" fillId="3" borderId="189" xfId="0" applyFont="1" applyFill="1" applyBorder="1" applyAlignment="1" applyProtection="1">
      <alignment horizontal="center" vertical="top"/>
      <protection locked="0"/>
    </xf>
    <xf numFmtId="0" fontId="363" fillId="3" borderId="189" xfId="0" applyFont="1" applyFill="1" applyBorder="1" applyAlignment="1" applyProtection="1">
      <alignment horizontal="center"/>
      <protection hidden="1"/>
    </xf>
    <xf numFmtId="0" fontId="363" fillId="0" borderId="0" xfId="0" applyFont="1" applyAlignment="1" applyProtection="1">
      <alignment horizontal="center"/>
      <protection hidden="1"/>
    </xf>
    <xf numFmtId="0" fontId="363" fillId="3" borderId="0" xfId="0" applyFont="1" applyFill="1" applyAlignment="1" applyProtection="1">
      <alignment horizontal="center"/>
      <protection hidden="1"/>
    </xf>
    <xf numFmtId="0" fontId="363" fillId="3" borderId="0" xfId="0" applyFont="1" applyFill="1" applyAlignment="1" applyProtection="1">
      <alignment horizontal="center" vertical="top"/>
      <protection locked="0"/>
    </xf>
    <xf numFmtId="0" fontId="108" fillId="0" borderId="0" xfId="0" applyFont="1" applyAlignment="1" applyProtection="1">
      <alignment horizontal="left" vertical="top"/>
      <protection hidden="1"/>
    </xf>
    <xf numFmtId="0" fontId="108" fillId="0" borderId="0" xfId="0" applyFont="1" applyAlignment="1" applyProtection="1">
      <alignment horizontal="right" vertical="top"/>
      <protection hidden="1"/>
    </xf>
    <xf numFmtId="0" fontId="619" fillId="0" borderId="0" xfId="0" applyFont="1" applyAlignment="1" applyProtection="1">
      <alignment horizontal="center" vertical="center"/>
      <protection hidden="1"/>
    </xf>
    <xf numFmtId="0" fontId="27" fillId="18" borderId="0" xfId="0" applyFont="1" applyFill="1" applyAlignment="1" applyProtection="1">
      <alignment vertical="center" wrapText="1"/>
      <protection hidden="1"/>
    </xf>
    <xf numFmtId="1" fontId="347" fillId="0" borderId="0" xfId="0" applyNumberFormat="1" applyFont="1" applyAlignment="1" applyProtection="1">
      <alignment vertical="center"/>
      <protection locked="0"/>
    </xf>
    <xf numFmtId="0" fontId="55" fillId="18" borderId="0" xfId="0" applyFont="1" applyFill="1" applyAlignment="1" applyProtection="1">
      <alignment horizontal="center" vertical="center"/>
      <protection hidden="1"/>
    </xf>
    <xf numFmtId="0" fontId="645" fillId="18" borderId="0" xfId="0" applyFont="1" applyFill="1" applyAlignment="1" applyProtection="1">
      <alignment horizontal="center" vertical="center"/>
      <protection hidden="1"/>
    </xf>
    <xf numFmtId="0" fontId="595" fillId="18" borderId="0" xfId="0" applyFont="1" applyFill="1" applyAlignment="1" applyProtection="1">
      <alignment horizontal="center" vertical="center"/>
      <protection hidden="1"/>
    </xf>
    <xf numFmtId="0" fontId="646" fillId="18" borderId="0" xfId="0" applyFont="1" applyFill="1" applyAlignment="1" applyProtection="1">
      <alignment horizontal="center" vertical="center"/>
      <protection hidden="1"/>
    </xf>
    <xf numFmtId="0" fontId="585" fillId="0" borderId="0" xfId="0" applyFont="1" applyAlignment="1" applyProtection="1">
      <alignment vertical="center"/>
      <protection hidden="1"/>
    </xf>
    <xf numFmtId="0" fontId="244" fillId="17" borderId="0" xfId="0" applyFont="1" applyFill="1" applyAlignment="1" applyProtection="1">
      <alignment horizontal="right"/>
      <protection hidden="1"/>
    </xf>
    <xf numFmtId="167" fontId="145" fillId="17" borderId="0" xfId="0" applyNumberFormat="1" applyFont="1" applyFill="1" applyAlignment="1" applyProtection="1">
      <alignment horizontal="center" vertical="top"/>
      <protection hidden="1"/>
    </xf>
    <xf numFmtId="49" fontId="145" fillId="17" borderId="0" xfId="0" applyNumberFormat="1" applyFont="1" applyFill="1" applyAlignment="1" applyProtection="1">
      <alignment horizontal="center" vertical="top"/>
      <protection hidden="1"/>
    </xf>
    <xf numFmtId="0" fontId="131" fillId="0" borderId="0" xfId="0" quotePrefix="1" applyFont="1" applyAlignment="1" applyProtection="1">
      <alignment vertical="center"/>
      <protection hidden="1"/>
    </xf>
    <xf numFmtId="0" fontId="55" fillId="0" borderId="0" xfId="0" applyFont="1" applyAlignment="1" applyProtection="1">
      <alignment horizontal="center" vertical="center"/>
      <protection hidden="1"/>
    </xf>
    <xf numFmtId="0" fontId="595" fillId="0" borderId="0" xfId="0" applyFont="1" applyAlignment="1" applyProtection="1">
      <alignment horizontal="center" vertical="center"/>
      <protection hidden="1"/>
    </xf>
    <xf numFmtId="0" fontId="645" fillId="0" borderId="0" xfId="0" applyFont="1" applyAlignment="1" applyProtection="1">
      <alignment horizontal="center" vertical="center"/>
      <protection hidden="1"/>
    </xf>
    <xf numFmtId="0" fontId="338" fillId="0" borderId="0" xfId="0" applyFont="1" applyAlignment="1" applyProtection="1">
      <alignment horizontal="center" vertical="center"/>
      <protection hidden="1"/>
    </xf>
    <xf numFmtId="0" fontId="585" fillId="0" borderId="0" xfId="0" applyFont="1" applyAlignment="1" applyProtection="1">
      <alignment horizontal="center" vertical="center"/>
      <protection hidden="1"/>
    </xf>
    <xf numFmtId="0" fontId="647" fillId="0" borderId="0" xfId="0" applyFont="1" applyAlignment="1" applyProtection="1">
      <alignment horizontal="center" vertical="center"/>
      <protection hidden="1"/>
    </xf>
    <xf numFmtId="0" fontId="648" fillId="0" borderId="0" xfId="0" applyFont="1" applyAlignment="1" applyProtection="1">
      <alignment horizontal="center" vertical="center"/>
      <protection hidden="1"/>
    </xf>
    <xf numFmtId="0" fontId="646" fillId="0" borderId="0" xfId="0" applyFont="1" applyAlignment="1" applyProtection="1">
      <alignment horizontal="center" vertical="center"/>
      <protection hidden="1"/>
    </xf>
    <xf numFmtId="0" fontId="308" fillId="0" borderId="0" xfId="0" applyFont="1" applyAlignment="1" applyProtection="1">
      <alignment horizontal="left"/>
      <protection hidden="1"/>
    </xf>
    <xf numFmtId="0" fontId="651" fillId="0" borderId="100" xfId="0" applyFont="1" applyBorder="1" applyAlignment="1" applyProtection="1">
      <alignment horizontal="center" vertical="center"/>
      <protection locked="0"/>
    </xf>
    <xf numFmtId="0" fontId="611" fillId="0" borderId="0" xfId="0" applyFont="1" applyAlignment="1" applyProtection="1">
      <alignment vertical="center"/>
      <protection hidden="1"/>
    </xf>
    <xf numFmtId="0" fontId="611" fillId="18" borderId="0" xfId="0" applyFont="1" applyFill="1" applyAlignment="1" applyProtection="1">
      <alignment vertical="center"/>
      <protection hidden="1"/>
    </xf>
    <xf numFmtId="0" fontId="49" fillId="17" borderId="0" xfId="0" applyFont="1" applyFill="1" applyAlignment="1" applyProtection="1">
      <alignment vertical="center" wrapText="1"/>
      <protection hidden="1"/>
    </xf>
    <xf numFmtId="0" fontId="49" fillId="17" borderId="0" xfId="0" applyFont="1" applyFill="1" applyAlignment="1" applyProtection="1">
      <alignment horizontal="left" vertical="center" wrapText="1"/>
      <protection hidden="1"/>
    </xf>
    <xf numFmtId="0" fontId="108" fillId="17" borderId="0" xfId="0" applyFont="1" applyFill="1" applyAlignment="1" applyProtection="1">
      <alignment horizontal="center" vertical="center"/>
      <protection hidden="1"/>
    </xf>
    <xf numFmtId="0" fontId="23" fillId="0" borderId="1" xfId="0" applyFont="1" applyBorder="1" applyAlignment="1" applyProtection="1">
      <alignment horizontal="center" vertical="center"/>
      <protection hidden="1"/>
    </xf>
    <xf numFmtId="0" fontId="108" fillId="17" borderId="0" xfId="0" applyFont="1" applyFill="1" applyAlignment="1" applyProtection="1">
      <alignment vertical="center"/>
      <protection hidden="1"/>
    </xf>
    <xf numFmtId="14" fontId="308" fillId="0" borderId="0" xfId="0" applyNumberFormat="1" applyFont="1" applyAlignment="1" applyProtection="1">
      <alignment vertical="top"/>
      <protection hidden="1"/>
    </xf>
    <xf numFmtId="0" fontId="133" fillId="17" borderId="0" xfId="0" applyFont="1" applyFill="1" applyAlignment="1" applyProtection="1">
      <alignment horizontal="left" indent="2"/>
      <protection hidden="1"/>
    </xf>
    <xf numFmtId="0" fontId="49" fillId="17" borderId="0" xfId="0" quotePrefix="1" applyFont="1" applyFill="1" applyAlignment="1" applyProtection="1">
      <alignment vertical="center"/>
      <protection hidden="1"/>
    </xf>
    <xf numFmtId="0" fontId="132" fillId="17" borderId="0" xfId="0" applyFont="1" applyFill="1" applyAlignment="1" applyProtection="1">
      <alignment vertical="top"/>
      <protection hidden="1"/>
    </xf>
    <xf numFmtId="0" fontId="133" fillId="17" borderId="0" xfId="0" applyFont="1" applyFill="1" applyAlignment="1" applyProtection="1">
      <alignment horizontal="right" vertical="center" indent="2"/>
      <protection hidden="1"/>
    </xf>
    <xf numFmtId="0" fontId="304" fillId="17" borderId="0" xfId="0" applyFont="1" applyFill="1" applyAlignment="1" applyProtection="1">
      <alignment vertical="top"/>
      <protection locked="0"/>
    </xf>
    <xf numFmtId="0" fontId="130" fillId="0" borderId="84" xfId="0" applyFont="1" applyBorder="1" applyProtection="1">
      <protection hidden="1"/>
    </xf>
    <xf numFmtId="2" fontId="130" fillId="18" borderId="85" xfId="0" applyNumberFormat="1" applyFont="1" applyFill="1" applyBorder="1" applyProtection="1">
      <protection hidden="1"/>
    </xf>
    <xf numFmtId="2" fontId="103" fillId="18" borderId="0" xfId="0" applyNumberFormat="1" applyFont="1" applyFill="1" applyAlignment="1" applyProtection="1">
      <alignment horizontal="left"/>
      <protection hidden="1"/>
    </xf>
    <xf numFmtId="0" fontId="101" fillId="23" borderId="146" xfId="0" applyFont="1" applyFill="1" applyBorder="1" applyAlignment="1">
      <alignment horizontal="left" vertical="center"/>
    </xf>
    <xf numFmtId="0" fontId="101" fillId="23" borderId="351" xfId="0" applyFont="1" applyFill="1" applyBorder="1" applyAlignment="1">
      <alignment horizontal="left" vertical="center"/>
    </xf>
    <xf numFmtId="0" fontId="101" fillId="23" borderId="349" xfId="0" applyFont="1" applyFill="1" applyBorder="1" applyAlignment="1">
      <alignment horizontal="left" vertical="center"/>
    </xf>
    <xf numFmtId="0" fontId="101" fillId="23" borderId="295" xfId="0" applyFont="1" applyFill="1" applyBorder="1" applyAlignment="1">
      <alignment horizontal="left" vertical="center"/>
    </xf>
    <xf numFmtId="0" fontId="101" fillId="23" borderId="146" xfId="0" applyFont="1" applyFill="1" applyBorder="1" applyAlignment="1" applyProtection="1">
      <alignment horizontal="left" vertical="center"/>
      <protection hidden="1"/>
    </xf>
    <xf numFmtId="0" fontId="23" fillId="23" borderId="146" xfId="0" applyFont="1" applyFill="1" applyBorder="1" applyAlignment="1">
      <alignment horizontal="left" vertical="center"/>
    </xf>
    <xf numFmtId="0" fontId="60" fillId="17" borderId="0" xfId="0" applyFont="1" applyFill="1" applyAlignment="1" applyProtection="1">
      <alignment horizontal="left" vertical="center" indent="2"/>
      <protection hidden="1"/>
    </xf>
    <xf numFmtId="2" fontId="570" fillId="18" borderId="0" xfId="0" applyNumberFormat="1" applyFont="1" applyFill="1" applyAlignment="1" applyProtection="1">
      <alignment horizontal="center" vertical="center"/>
      <protection locked="0"/>
    </xf>
    <xf numFmtId="165" fontId="231" fillId="0" borderId="0" xfId="0" applyNumberFormat="1" applyFont="1" applyAlignment="1" applyProtection="1">
      <alignment horizontal="center" vertical="center"/>
      <protection locked="0"/>
    </xf>
    <xf numFmtId="0" fontId="566" fillId="0" borderId="0" xfId="0" applyFont="1" applyAlignment="1" applyProtection="1">
      <alignment horizontal="center" vertical="center"/>
      <protection locked="0"/>
    </xf>
    <xf numFmtId="0" fontId="130" fillId="0" borderId="0" xfId="0" applyFont="1" applyAlignment="1" applyProtection="1">
      <alignment horizontal="center" vertical="center"/>
      <protection locked="0"/>
    </xf>
    <xf numFmtId="0" fontId="651" fillId="0" borderId="0" xfId="0" applyFont="1" applyAlignment="1" applyProtection="1">
      <alignment horizontal="center" vertical="center"/>
      <protection locked="0"/>
    </xf>
    <xf numFmtId="0" fontId="104" fillId="17" borderId="0" xfId="0" applyFont="1" applyFill="1" applyAlignment="1" applyProtection="1">
      <alignment horizontal="left" indent="2"/>
      <protection hidden="1"/>
    </xf>
    <xf numFmtId="0" fontId="575" fillId="17" borderId="0" xfId="0" applyFont="1" applyFill="1" applyAlignment="1" applyProtection="1">
      <alignment horizontal="left" indent="2"/>
      <protection hidden="1"/>
    </xf>
    <xf numFmtId="0" fontId="127" fillId="17" borderId="0" xfId="0" applyFont="1" applyFill="1" applyAlignment="1" applyProtection="1">
      <alignment horizontal="left" indent="2"/>
      <protection hidden="1"/>
    </xf>
    <xf numFmtId="0" fontId="18" fillId="0" borderId="52" xfId="0" applyFont="1" applyBorder="1" applyAlignment="1" applyProtection="1">
      <alignment horizontal="center" vertical="center"/>
      <protection hidden="1"/>
    </xf>
    <xf numFmtId="0" fontId="148" fillId="0" borderId="52" xfId="0" applyFont="1" applyBorder="1" applyAlignment="1" applyProtection="1">
      <alignment horizontal="center" vertical="center"/>
      <protection hidden="1"/>
    </xf>
    <xf numFmtId="0" fontId="18" fillId="0" borderId="52" xfId="0" applyFont="1" applyBorder="1" applyAlignment="1" applyProtection="1">
      <alignment horizontal="center"/>
      <protection hidden="1"/>
    </xf>
    <xf numFmtId="0" fontId="654" fillId="0" borderId="100" xfId="0" applyFont="1" applyBorder="1" applyAlignment="1" applyProtection="1">
      <alignment horizontal="right"/>
      <protection locked="0"/>
    </xf>
    <xf numFmtId="167" fontId="654" fillId="0" borderId="100" xfId="0" applyNumberFormat="1" applyFont="1" applyBorder="1" applyProtection="1">
      <protection locked="0"/>
    </xf>
    <xf numFmtId="0" fontId="655" fillId="0" borderId="100" xfId="0" applyFont="1" applyBorder="1" applyAlignment="1" applyProtection="1">
      <alignment horizontal="right"/>
      <protection locked="0"/>
    </xf>
    <xf numFmtId="167" fontId="75" fillId="0" borderId="100" xfId="0" applyNumberFormat="1" applyFont="1" applyBorder="1" applyAlignment="1" applyProtection="1">
      <alignment horizontal="right"/>
      <protection locked="0"/>
    </xf>
    <xf numFmtId="0" fontId="132" fillId="0" borderId="0" xfId="0" applyFont="1" applyAlignment="1" applyProtection="1">
      <alignment horizontal="left" vertical="top"/>
      <protection hidden="1"/>
    </xf>
    <xf numFmtId="0" fontId="169" fillId="17" borderId="0" xfId="0" applyFont="1" applyFill="1" applyAlignment="1" applyProtection="1">
      <alignment vertical="center"/>
      <protection hidden="1"/>
    </xf>
    <xf numFmtId="0" fontId="145" fillId="17" borderId="0" xfId="0" applyFont="1" applyFill="1" applyAlignment="1" applyProtection="1">
      <alignment horizontal="right" vertical="top" indent="2"/>
      <protection hidden="1"/>
    </xf>
    <xf numFmtId="0" fontId="108" fillId="0" borderId="0" xfId="0" quotePrefix="1" applyFont="1" applyAlignment="1" applyProtection="1">
      <alignment horizontal="left" vertical="center"/>
      <protection locked="0"/>
    </xf>
    <xf numFmtId="0" fontId="108" fillId="0" borderId="0" xfId="0" applyFont="1" applyAlignment="1" applyProtection="1">
      <alignment horizontal="left" vertical="center" textRotation="255" wrapText="1"/>
      <protection locked="0"/>
    </xf>
    <xf numFmtId="0" fontId="108" fillId="0" borderId="0" xfId="0" applyFont="1" applyAlignment="1" applyProtection="1">
      <alignment horizontal="left" vertical="center" wrapText="1"/>
      <protection locked="0"/>
    </xf>
    <xf numFmtId="14" fontId="108" fillId="0" borderId="0" xfId="0" applyNumberFormat="1" applyFont="1" applyAlignment="1" applyProtection="1">
      <alignment horizontal="left" vertical="center"/>
      <protection locked="0"/>
    </xf>
    <xf numFmtId="0" fontId="146" fillId="17" borderId="0" xfId="0" applyFont="1" applyFill="1" applyAlignment="1" applyProtection="1">
      <alignment horizontal="center" vertical="top"/>
      <protection hidden="1"/>
    </xf>
    <xf numFmtId="0" fontId="658" fillId="17" borderId="0" xfId="0" applyFont="1" applyFill="1" applyAlignment="1" applyProtection="1">
      <alignment horizontal="center" vertical="center"/>
      <protection hidden="1"/>
    </xf>
    <xf numFmtId="0" fontId="658" fillId="0" borderId="0" xfId="0" applyFont="1" applyAlignment="1" applyProtection="1">
      <alignment horizontal="center" vertical="center"/>
      <protection hidden="1"/>
    </xf>
    <xf numFmtId="0" fontId="658" fillId="4" borderId="0" xfId="0" applyFont="1" applyFill="1" applyAlignment="1" applyProtection="1">
      <alignment horizontal="center" vertical="center"/>
      <protection hidden="1"/>
    </xf>
    <xf numFmtId="0" fontId="659" fillId="17" borderId="0" xfId="0" applyFont="1" applyFill="1" applyAlignment="1" applyProtection="1">
      <alignment horizontal="center" vertical="center"/>
      <protection hidden="1"/>
    </xf>
    <xf numFmtId="0" fontId="660" fillId="17" borderId="0" xfId="0" applyFont="1" applyFill="1" applyAlignment="1" applyProtection="1">
      <alignment horizontal="center" vertical="center"/>
      <protection hidden="1"/>
    </xf>
    <xf numFmtId="0" fontId="661" fillId="17" borderId="0" xfId="0" applyFont="1" applyFill="1" applyAlignment="1" applyProtection="1">
      <alignment horizontal="center" vertical="center"/>
      <protection hidden="1"/>
    </xf>
    <xf numFmtId="0" fontId="662" fillId="17" borderId="0" xfId="0" applyFont="1" applyFill="1" applyAlignment="1" applyProtection="1">
      <alignment horizontal="center" vertical="center"/>
      <protection hidden="1"/>
    </xf>
    <xf numFmtId="0" fontId="663" fillId="17" borderId="0" xfId="0" applyFont="1" applyFill="1" applyAlignment="1" applyProtection="1">
      <alignment horizontal="center" vertical="center"/>
      <protection hidden="1"/>
    </xf>
    <xf numFmtId="0" fontId="664" fillId="17" borderId="0" xfId="0" applyFont="1" applyFill="1" applyAlignment="1" applyProtection="1">
      <alignment horizontal="center" vertical="center"/>
      <protection hidden="1"/>
    </xf>
    <xf numFmtId="0" fontId="657" fillId="0" borderId="0" xfId="0" applyFont="1" applyAlignment="1" applyProtection="1">
      <alignment horizontal="center" vertical="center"/>
      <protection hidden="1"/>
    </xf>
    <xf numFmtId="167" fontId="75" fillId="18" borderId="100" xfId="0" applyNumberFormat="1" applyFont="1" applyFill="1" applyBorder="1" applyProtection="1">
      <protection locked="0"/>
    </xf>
    <xf numFmtId="0" fontId="665" fillId="17" borderId="0" xfId="0" applyFont="1" applyFill="1" applyAlignment="1" applyProtection="1">
      <alignment horizontal="center" vertical="center"/>
      <protection hidden="1"/>
    </xf>
    <xf numFmtId="0" fontId="666" fillId="17" borderId="0" xfId="0" applyFont="1" applyFill="1" applyAlignment="1" applyProtection="1">
      <alignment horizontal="center" vertical="center"/>
      <protection hidden="1"/>
    </xf>
    <xf numFmtId="0" fontId="667" fillId="17" borderId="0" xfId="0" applyFont="1" applyFill="1" applyAlignment="1" applyProtection="1">
      <alignment horizontal="center" vertical="center"/>
      <protection hidden="1"/>
    </xf>
    <xf numFmtId="0" fontId="668" fillId="17" borderId="0" xfId="0" applyFont="1" applyFill="1" applyAlignment="1" applyProtection="1">
      <alignment vertical="center"/>
      <protection hidden="1"/>
    </xf>
    <xf numFmtId="0" fontId="669" fillId="17" borderId="0" xfId="0" applyFont="1" applyFill="1" applyAlignment="1" applyProtection="1">
      <alignment horizontal="center"/>
      <protection hidden="1"/>
    </xf>
    <xf numFmtId="0" fontId="669" fillId="17" borderId="0" xfId="0" applyFont="1" applyFill="1" applyProtection="1">
      <protection hidden="1"/>
    </xf>
    <xf numFmtId="0" fontId="1" fillId="0" borderId="0" xfId="0" applyFont="1" applyAlignment="1" applyProtection="1">
      <alignment horizontal="left"/>
      <protection locked="0"/>
    </xf>
    <xf numFmtId="0" fontId="1" fillId="0" borderId="35" xfId="0" applyFont="1" applyBorder="1" applyAlignment="1" applyProtection="1">
      <alignment horizontal="center"/>
      <protection locked="0"/>
    </xf>
    <xf numFmtId="0" fontId="149" fillId="0" borderId="51" xfId="0" applyFont="1" applyBorder="1" applyAlignment="1" applyProtection="1">
      <alignment horizontal="left" vertical="center"/>
      <protection locked="0"/>
    </xf>
    <xf numFmtId="0" fontId="1" fillId="0" borderId="51" xfId="0" applyFont="1" applyBorder="1" applyAlignment="1" applyProtection="1">
      <alignment horizontal="center"/>
      <protection locked="0"/>
    </xf>
    <xf numFmtId="0" fontId="1" fillId="0" borderId="39" xfId="0" applyFont="1" applyBorder="1" applyAlignment="1" applyProtection="1">
      <alignment horizontal="center"/>
      <protection locked="0"/>
    </xf>
    <xf numFmtId="0" fontId="1" fillId="0" borderId="104" xfId="0" applyFont="1" applyBorder="1" applyAlignment="1" applyProtection="1">
      <alignment horizontal="center"/>
      <protection locked="0"/>
    </xf>
    <xf numFmtId="0" fontId="1" fillId="0" borderId="33" xfId="0" applyFont="1" applyBorder="1" applyAlignment="1" applyProtection="1">
      <alignment horizontal="center"/>
      <protection locked="0"/>
    </xf>
    <xf numFmtId="0" fontId="1" fillId="0" borderId="52" xfId="0" applyFont="1" applyBorder="1" applyAlignment="1" applyProtection="1">
      <alignment horizontal="center"/>
      <protection locked="0"/>
    </xf>
    <xf numFmtId="0" fontId="1" fillId="0" borderId="22" xfId="0" applyFont="1" applyBorder="1" applyAlignment="1" applyProtection="1">
      <alignment horizontal="center"/>
      <protection locked="0"/>
    </xf>
    <xf numFmtId="0" fontId="651" fillId="0" borderId="51" xfId="0" applyFont="1" applyBorder="1" applyAlignment="1" applyProtection="1">
      <alignment horizontal="center" vertical="center"/>
      <protection locked="0"/>
    </xf>
    <xf numFmtId="0" fontId="101" fillId="0" borderId="52" xfId="0" applyFont="1" applyBorder="1" applyAlignment="1" applyProtection="1">
      <alignment horizontal="right" vertical="center"/>
      <protection locked="0"/>
    </xf>
    <xf numFmtId="0" fontId="657" fillId="0" borderId="52" xfId="0" applyFont="1" applyBorder="1" applyAlignment="1" applyProtection="1">
      <alignment horizontal="center" vertical="center"/>
      <protection hidden="1"/>
    </xf>
    <xf numFmtId="0" fontId="149" fillId="0" borderId="51" xfId="0" applyFont="1" applyBorder="1" applyAlignment="1" applyProtection="1">
      <alignment horizontal="center" vertical="center"/>
      <protection locked="0"/>
    </xf>
    <xf numFmtId="0" fontId="27" fillId="0" borderId="0" xfId="0" applyFont="1" applyAlignment="1" applyProtection="1">
      <alignment horizontal="center" vertical="center"/>
      <protection locked="0"/>
    </xf>
    <xf numFmtId="0" fontId="27" fillId="0" borderId="0" xfId="0" applyFont="1" applyAlignment="1" applyProtection="1">
      <alignment horizontal="left" vertical="center"/>
      <protection locked="0"/>
    </xf>
    <xf numFmtId="0" fontId="670" fillId="0" borderId="0" xfId="0" applyFont="1" applyAlignment="1" applyProtection="1">
      <alignment horizontal="left" vertical="center"/>
      <protection hidden="1"/>
    </xf>
    <xf numFmtId="0" fontId="23" fillId="0" borderId="0" xfId="0" applyFont="1" applyAlignment="1" applyProtection="1">
      <alignment horizontal="center"/>
      <protection locked="0"/>
    </xf>
    <xf numFmtId="0" fontId="41" fillId="0" borderId="0" xfId="0" applyFont="1" applyAlignment="1" applyProtection="1">
      <alignment vertical="center"/>
      <protection locked="0"/>
    </xf>
    <xf numFmtId="0" fontId="146" fillId="0" borderId="0" xfId="0" applyFont="1" applyAlignment="1" applyProtection="1">
      <alignment vertical="center"/>
      <protection locked="0"/>
    </xf>
    <xf numFmtId="0" fontId="146" fillId="0" borderId="0" xfId="0" quotePrefix="1" applyFont="1" applyProtection="1">
      <protection hidden="1"/>
    </xf>
    <xf numFmtId="0" fontId="23" fillId="0" borderId="0" xfId="0" quotePrefix="1" applyFont="1" applyAlignment="1" applyProtection="1">
      <alignment horizontal="center"/>
      <protection hidden="1"/>
    </xf>
    <xf numFmtId="0" fontId="230" fillId="0" borderId="0" xfId="0" quotePrefix="1" applyFont="1" applyAlignment="1" applyProtection="1">
      <alignment horizontal="center" vertical="top"/>
      <protection hidden="1"/>
    </xf>
    <xf numFmtId="0" fontId="73" fillId="0" borderId="0" xfId="0" applyFont="1" applyAlignment="1" applyProtection="1">
      <alignment horizontal="center"/>
      <protection locked="0"/>
    </xf>
    <xf numFmtId="0" fontId="64" fillId="0" borderId="0" xfId="0" applyFont="1" applyAlignment="1" applyProtection="1">
      <alignment vertical="center"/>
      <protection hidden="1"/>
    </xf>
    <xf numFmtId="0" fontId="248" fillId="0" borderId="0" xfId="0" applyFont="1" applyAlignment="1" applyProtection="1">
      <alignment horizontal="center" vertical="top"/>
      <protection hidden="1"/>
    </xf>
    <xf numFmtId="0" fontId="67" fillId="0" borderId="0" xfId="0" applyFont="1" applyAlignment="1" applyProtection="1">
      <alignment vertical="center"/>
      <protection hidden="1"/>
    </xf>
    <xf numFmtId="0" fontId="41" fillId="0" borderId="432" xfId="0" applyFont="1" applyBorder="1" applyAlignment="1" applyProtection="1">
      <alignment vertical="center"/>
      <protection hidden="1"/>
    </xf>
    <xf numFmtId="0" fontId="41" fillId="0" borderId="433" xfId="0" applyFont="1" applyBorder="1" applyAlignment="1" applyProtection="1">
      <alignment vertical="center"/>
      <protection hidden="1"/>
    </xf>
    <xf numFmtId="0" fontId="41" fillId="0" borderId="434" xfId="0" applyFont="1" applyBorder="1" applyAlignment="1" applyProtection="1">
      <alignment vertical="center"/>
      <protection hidden="1"/>
    </xf>
    <xf numFmtId="0" fontId="41" fillId="0" borderId="435" xfId="0" applyFont="1" applyBorder="1" applyAlignment="1" applyProtection="1">
      <alignment vertical="center"/>
      <protection hidden="1"/>
    </xf>
    <xf numFmtId="0" fontId="41" fillId="0" borderId="436" xfId="0" applyFont="1" applyBorder="1" applyAlignment="1" applyProtection="1">
      <alignment vertical="center"/>
      <protection hidden="1"/>
    </xf>
    <xf numFmtId="0" fontId="41" fillId="0" borderId="437" xfId="0" applyFont="1" applyBorder="1" applyAlignment="1" applyProtection="1">
      <alignment vertical="center"/>
      <protection hidden="1"/>
    </xf>
    <xf numFmtId="0" fontId="1" fillId="0" borderId="438" xfId="0" applyFont="1" applyBorder="1" applyAlignment="1" applyProtection="1">
      <alignment horizontal="center"/>
      <protection hidden="1"/>
    </xf>
    <xf numFmtId="0" fontId="41" fillId="0" borderId="439" xfId="0" applyFont="1" applyBorder="1" applyAlignment="1" applyProtection="1">
      <alignment vertical="center"/>
      <protection hidden="1"/>
    </xf>
    <xf numFmtId="0" fontId="147" fillId="0" borderId="0" xfId="0" applyFont="1" applyAlignment="1" applyProtection="1">
      <alignment horizontal="center" vertical="center"/>
      <protection hidden="1"/>
    </xf>
    <xf numFmtId="0" fontId="68" fillId="0" borderId="0" xfId="0" applyFont="1" applyAlignment="1" applyProtection="1">
      <alignment horizontal="center" vertical="center"/>
      <protection locked="0"/>
    </xf>
    <xf numFmtId="0" fontId="108" fillId="0" borderId="0" xfId="0" applyFont="1" applyAlignment="1" applyProtection="1">
      <alignment horizontal="center" vertical="center" wrapText="1"/>
      <protection locked="0"/>
    </xf>
    <xf numFmtId="0" fontId="68" fillId="0" borderId="0" xfId="0" applyFont="1" applyAlignment="1" applyProtection="1">
      <alignment horizontal="left" vertical="center"/>
      <protection locked="0"/>
    </xf>
    <xf numFmtId="0" fontId="35" fillId="0" borderId="0" xfId="0" applyFont="1" applyAlignment="1" applyProtection="1">
      <alignment horizontal="left" vertical="center" wrapText="1"/>
      <protection locked="0"/>
    </xf>
    <xf numFmtId="0" fontId="451" fillId="0" borderId="0" xfId="0" applyFont="1" applyAlignment="1" applyProtection="1">
      <alignment horizontal="left" vertical="center" wrapText="1"/>
      <protection locked="0"/>
    </xf>
    <xf numFmtId="0" fontId="579" fillId="0" borderId="0" xfId="0" applyFont="1" applyAlignment="1" applyProtection="1">
      <alignment horizontal="center" vertical="center"/>
      <protection locked="0"/>
    </xf>
    <xf numFmtId="0" fontId="331" fillId="0" borderId="0" xfId="0" applyFont="1" applyAlignment="1" applyProtection="1">
      <alignment horizontal="left" vertical="center"/>
      <protection locked="0"/>
    </xf>
    <xf numFmtId="0" fontId="580" fillId="0" borderId="0" xfId="0" applyFont="1" applyAlignment="1" applyProtection="1">
      <alignment horizontal="center" vertical="center"/>
      <protection locked="0"/>
    </xf>
    <xf numFmtId="0" fontId="23" fillId="0" borderId="0" xfId="0" applyFont="1" applyAlignment="1" applyProtection="1">
      <alignment vertical="center"/>
      <protection locked="0"/>
    </xf>
    <xf numFmtId="0" fontId="21" fillId="0" borderId="0" xfId="0" applyFont="1" applyAlignment="1" applyProtection="1">
      <alignment vertical="center"/>
      <protection locked="0"/>
    </xf>
    <xf numFmtId="0" fontId="21" fillId="0" borderId="0" xfId="0" applyFont="1" applyAlignment="1" applyProtection="1">
      <alignment vertical="top" wrapText="1"/>
      <protection locked="0"/>
    </xf>
    <xf numFmtId="0" fontId="330" fillId="0" borderId="0" xfId="0" applyFont="1" applyAlignment="1" applyProtection="1">
      <alignment horizontal="center" vertical="center"/>
      <protection locked="0"/>
    </xf>
    <xf numFmtId="0" fontId="319" fillId="0" borderId="0" xfId="0" applyFont="1" applyAlignment="1" applyProtection="1">
      <alignment vertical="center"/>
      <protection locked="0"/>
    </xf>
    <xf numFmtId="0" fontId="580" fillId="0" borderId="23" xfId="0" applyFont="1" applyBorder="1" applyAlignment="1" applyProtection="1">
      <alignment horizontal="center" vertical="center"/>
      <protection locked="0"/>
    </xf>
    <xf numFmtId="0" fontId="671" fillId="4" borderId="0" xfId="0" applyFont="1" applyFill="1" applyAlignment="1" applyProtection="1">
      <alignment horizontal="center"/>
      <protection hidden="1"/>
    </xf>
    <xf numFmtId="0" fontId="21" fillId="18" borderId="122" xfId="0" quotePrefix="1" applyFont="1" applyFill="1" applyBorder="1" applyAlignment="1" applyProtection="1">
      <alignment horizontal="right"/>
      <protection hidden="1"/>
    </xf>
    <xf numFmtId="0" fontId="248" fillId="18" borderId="0" xfId="0" quotePrefix="1" applyFont="1" applyFill="1" applyAlignment="1" applyProtection="1">
      <alignment horizontal="center" vertical="top"/>
      <protection hidden="1"/>
    </xf>
    <xf numFmtId="9" fontId="21" fillId="0" borderId="122" xfId="0" applyNumberFormat="1" applyFont="1" applyBorder="1" applyProtection="1">
      <protection hidden="1"/>
    </xf>
    <xf numFmtId="0" fontId="672" fillId="4" borderId="0" xfId="0" applyFont="1" applyFill="1" applyAlignment="1">
      <alignment horizontal="center"/>
    </xf>
    <xf numFmtId="1" fontId="527" fillId="0" borderId="0" xfId="0" applyNumberFormat="1" applyFont="1" applyAlignment="1" applyProtection="1">
      <alignment horizontal="left"/>
      <protection hidden="1"/>
    </xf>
    <xf numFmtId="1" fontId="527" fillId="0" borderId="0" xfId="0" applyNumberFormat="1" applyFont="1" applyAlignment="1" applyProtection="1">
      <alignment horizontal="left" vertical="top"/>
      <protection hidden="1"/>
    </xf>
    <xf numFmtId="0" fontId="656" fillId="0" borderId="0" xfId="0" applyFont="1" applyAlignment="1" applyProtection="1">
      <alignment horizontal="left" vertical="center"/>
      <protection hidden="1"/>
    </xf>
    <xf numFmtId="0" fontId="18" fillId="0" borderId="0" xfId="0" applyFont="1" applyProtection="1">
      <protection hidden="1"/>
    </xf>
    <xf numFmtId="0" fontId="91" fillId="0" borderId="0" xfId="0" applyFont="1" applyAlignment="1" applyProtection="1">
      <alignment horizontal="left" vertical="center"/>
      <protection locked="0"/>
    </xf>
    <xf numFmtId="0" fontId="674" fillId="0" borderId="0" xfId="0" applyFont="1" applyAlignment="1" applyProtection="1">
      <alignment horizontal="left" vertical="center"/>
      <protection locked="0"/>
    </xf>
    <xf numFmtId="169" fontId="675" fillId="0" borderId="0" xfId="0" applyNumberFormat="1" applyFont="1" applyAlignment="1" applyProtection="1">
      <alignment horizontal="left" vertical="top" wrapText="1"/>
      <protection hidden="1"/>
    </xf>
    <xf numFmtId="169" fontId="124" fillId="0" borderId="134" xfId="0" applyNumberFormat="1" applyFont="1" applyBorder="1" applyAlignment="1" applyProtection="1">
      <alignment vertical="top"/>
      <protection hidden="1"/>
    </xf>
    <xf numFmtId="0" fontId="248" fillId="0" borderId="134" xfId="0" applyFont="1" applyBorder="1" applyAlignment="1" applyProtection="1">
      <alignment vertical="top"/>
      <protection hidden="1"/>
    </xf>
    <xf numFmtId="0" fontId="579" fillId="15" borderId="1" xfId="0" applyFont="1" applyFill="1" applyBorder="1" applyAlignment="1" applyProtection="1">
      <alignment horizontal="center" vertical="center"/>
      <protection locked="0"/>
    </xf>
    <xf numFmtId="0" fontId="331" fillId="15" borderId="1" xfId="0" applyFont="1" applyFill="1" applyBorder="1" applyAlignment="1" applyProtection="1">
      <alignment horizontal="left" vertical="center"/>
      <protection locked="0"/>
    </xf>
    <xf numFmtId="0" fontId="268" fillId="0" borderId="0" xfId="0" applyFont="1" applyAlignment="1" applyProtection="1">
      <alignment horizontal="left" vertical="top"/>
      <protection locked="0"/>
    </xf>
    <xf numFmtId="0" fontId="318" fillId="0" borderId="39" xfId="0" quotePrefix="1" applyFont="1" applyBorder="1" applyAlignment="1" applyProtection="1">
      <alignment horizontal="center" vertical="center"/>
      <protection locked="0"/>
    </xf>
    <xf numFmtId="0" fontId="27" fillId="0" borderId="4" xfId="0" applyFont="1" applyBorder="1" applyAlignment="1" applyProtection="1">
      <alignment horizontal="left"/>
      <protection locked="0"/>
    </xf>
    <xf numFmtId="0" fontId="318" fillId="0" borderId="0" xfId="0" quotePrefix="1" applyFont="1" applyAlignment="1" applyProtection="1">
      <alignment horizontal="center" vertical="center"/>
      <protection locked="0"/>
    </xf>
    <xf numFmtId="0" fontId="21" fillId="0" borderId="0" xfId="0" applyFont="1" applyAlignment="1" applyProtection="1">
      <alignment horizontal="left" vertical="center"/>
      <protection locked="0"/>
    </xf>
    <xf numFmtId="0" fontId="408" fillId="0" borderId="0" xfId="0" applyFont="1" applyAlignment="1" applyProtection="1">
      <alignment horizontal="center" vertical="center"/>
      <protection locked="0"/>
    </xf>
    <xf numFmtId="0" fontId="408" fillId="0" borderId="0" xfId="0" applyFont="1" applyAlignment="1" applyProtection="1">
      <alignment horizontal="left" vertical="center" indent="1"/>
      <protection locked="0"/>
    </xf>
    <xf numFmtId="0" fontId="409" fillId="0" borderId="0" xfId="0" applyFont="1" applyAlignment="1" applyProtection="1">
      <alignment horizontal="left" vertical="center" indent="1"/>
      <protection locked="0"/>
    </xf>
    <xf numFmtId="0" fontId="409" fillId="0" borderId="0" xfId="0" applyFont="1" applyAlignment="1" applyProtection="1">
      <alignment horizontal="center" vertical="center"/>
      <protection locked="0"/>
    </xf>
    <xf numFmtId="0" fontId="49" fillId="0" borderId="0" xfId="0" applyFont="1" applyAlignment="1" applyProtection="1">
      <alignment horizontal="left"/>
      <protection locked="0"/>
    </xf>
    <xf numFmtId="0" fontId="74" fillId="0" borderId="247" xfId="0" applyFont="1" applyBorder="1" applyAlignment="1" applyProtection="1">
      <alignment horizontal="left"/>
      <protection locked="0"/>
    </xf>
    <xf numFmtId="0" fontId="347" fillId="0" borderId="0" xfId="0" applyFont="1" applyAlignment="1" applyProtection="1">
      <alignment horizontal="left" vertical="center"/>
      <protection locked="0"/>
    </xf>
    <xf numFmtId="0" fontId="149" fillId="0" borderId="0" xfId="0" applyFont="1" applyAlignment="1" applyProtection="1">
      <alignment horizontal="left"/>
      <protection locked="0"/>
    </xf>
    <xf numFmtId="0" fontId="230" fillId="0" borderId="1" xfId="0" applyFont="1" applyBorder="1" applyAlignment="1" applyProtection="1">
      <alignment horizontal="left"/>
      <protection locked="0"/>
    </xf>
    <xf numFmtId="0" fontId="230" fillId="0" borderId="1" xfId="0" applyFont="1" applyBorder="1" applyAlignment="1" applyProtection="1">
      <alignment horizontal="center"/>
      <protection locked="0"/>
    </xf>
    <xf numFmtId="0" fontId="113" fillId="0" borderId="35" xfId="0" applyFont="1" applyBorder="1" applyAlignment="1" applyProtection="1">
      <alignment horizontal="left"/>
      <protection locked="0"/>
    </xf>
    <xf numFmtId="0" fontId="136" fillId="0" borderId="51" xfId="0" applyFont="1" applyBorder="1" applyAlignment="1" applyProtection="1">
      <alignment horizontal="center"/>
      <protection locked="0"/>
    </xf>
    <xf numFmtId="0" fontId="113" fillId="0" borderId="34" xfId="0" applyFont="1" applyBorder="1" applyAlignment="1" applyProtection="1">
      <alignment horizontal="center"/>
      <protection locked="0"/>
    </xf>
    <xf numFmtId="167" fontId="75" fillId="0" borderId="106" xfId="0" applyNumberFormat="1" applyFont="1" applyBorder="1" applyProtection="1">
      <protection locked="0"/>
    </xf>
    <xf numFmtId="0" fontId="304" fillId="3" borderId="147" xfId="0" applyFont="1" applyFill="1" applyBorder="1" applyAlignment="1" applyProtection="1">
      <alignment horizontal="right" vertical="center" wrapText="1"/>
      <protection locked="0"/>
    </xf>
    <xf numFmtId="1" fontId="29" fillId="3" borderId="100" xfId="0" applyNumberFormat="1" applyFont="1" applyFill="1" applyBorder="1" applyAlignment="1" applyProtection="1">
      <alignment horizontal="right" vertical="center"/>
      <protection locked="0"/>
    </xf>
    <xf numFmtId="0" fontId="101" fillId="0" borderId="0" xfId="0" applyFont="1" applyAlignment="1" applyProtection="1">
      <alignment horizontal="right"/>
      <protection locked="0"/>
    </xf>
    <xf numFmtId="0" fontId="305" fillId="0" borderId="13" xfId="0" applyFont="1" applyBorder="1" applyAlignment="1" applyProtection="1">
      <alignment horizontal="left" vertical="center" indent="1"/>
      <protection locked="0"/>
    </xf>
    <xf numFmtId="0" fontId="676" fillId="0" borderId="13" xfId="0" applyFont="1" applyBorder="1" applyAlignment="1" applyProtection="1">
      <alignment vertical="center"/>
      <protection hidden="1"/>
    </xf>
    <xf numFmtId="0" fontId="571" fillId="0" borderId="0" xfId="0" applyFont="1" applyAlignment="1" applyProtection="1">
      <alignment horizontal="center" vertical="center"/>
      <protection hidden="1"/>
    </xf>
    <xf numFmtId="0" fontId="75" fillId="0" borderId="106" xfId="0" applyFont="1" applyBorder="1" applyAlignment="1" applyProtection="1">
      <alignment horizontal="right"/>
      <protection locked="0"/>
    </xf>
    <xf numFmtId="0" fontId="230" fillId="0" borderId="0" xfId="0" applyFont="1" applyAlignment="1" applyProtection="1">
      <alignment horizontal="right" vertical="center"/>
      <protection locked="0"/>
    </xf>
    <xf numFmtId="0" fontId="570" fillId="0" borderId="32" xfId="0" applyFont="1" applyBorder="1" applyAlignment="1" applyProtection="1">
      <alignment horizontal="left" vertical="center"/>
      <protection locked="0"/>
    </xf>
    <xf numFmtId="0" fontId="575" fillId="0" borderId="1" xfId="0" applyFont="1" applyBorder="1" applyAlignment="1" applyProtection="1">
      <alignment horizontal="center" vertical="center"/>
      <protection locked="0"/>
    </xf>
    <xf numFmtId="167" fontId="170" fillId="0" borderId="0" xfId="0" applyNumberFormat="1" applyFont="1" applyAlignment="1" applyProtection="1">
      <alignment horizontal="right" indent="2"/>
      <protection locked="0"/>
    </xf>
    <xf numFmtId="167" fontId="170" fillId="0" borderId="106" xfId="0" applyNumberFormat="1" applyFont="1" applyBorder="1" applyAlignment="1" applyProtection="1">
      <alignment horizontal="right" indent="2"/>
      <protection locked="0"/>
    </xf>
    <xf numFmtId="167" fontId="170" fillId="0" borderId="122" xfId="0" applyNumberFormat="1" applyFont="1" applyBorder="1" applyAlignment="1" applyProtection="1">
      <alignment horizontal="right" indent="2"/>
      <protection locked="0"/>
    </xf>
    <xf numFmtId="0" fontId="145" fillId="4" borderId="0" xfId="0" applyFont="1" applyFill="1" applyAlignment="1" applyProtection="1">
      <alignment horizontal="center" vertical="center"/>
      <protection hidden="1"/>
    </xf>
    <xf numFmtId="0" fontId="146" fillId="0" borderId="51" xfId="0" applyFont="1" applyBorder="1" applyAlignment="1" applyProtection="1">
      <alignment horizontal="left"/>
      <protection hidden="1"/>
    </xf>
    <xf numFmtId="167" fontId="170" fillId="0" borderId="100" xfId="0" applyNumberFormat="1" applyFont="1" applyBorder="1" applyProtection="1">
      <protection locked="0"/>
    </xf>
    <xf numFmtId="167" fontId="170" fillId="0" borderId="100" xfId="0" applyNumberFormat="1" applyFont="1" applyBorder="1" applyAlignment="1" applyProtection="1">
      <alignment horizontal="right"/>
      <protection locked="0"/>
    </xf>
    <xf numFmtId="0" fontId="60" fillId="19" borderId="196" xfId="0" applyFont="1" applyFill="1" applyBorder="1" applyAlignment="1" applyProtection="1">
      <alignment horizontal="left" vertical="center"/>
      <protection locked="0"/>
    </xf>
    <xf numFmtId="0" fontId="60" fillId="19" borderId="375" xfId="0" applyFont="1" applyFill="1" applyBorder="1" applyAlignment="1" applyProtection="1">
      <alignment horizontal="left" vertical="center"/>
      <protection locked="0"/>
    </xf>
    <xf numFmtId="0" fontId="60" fillId="19" borderId="376" xfId="0" applyFont="1" applyFill="1" applyBorder="1" applyAlignment="1" applyProtection="1">
      <alignment horizontal="left" vertical="center"/>
      <protection locked="0"/>
    </xf>
    <xf numFmtId="0" fontId="21" fillId="18" borderId="132" xfId="0" applyFont="1" applyFill="1" applyBorder="1" applyAlignment="1" applyProtection="1">
      <alignment horizontal="left" vertical="center"/>
      <protection locked="0"/>
    </xf>
    <xf numFmtId="0" fontId="21" fillId="18" borderId="1" xfId="0" applyFont="1" applyFill="1" applyBorder="1" applyAlignment="1" applyProtection="1">
      <alignment horizontal="left" vertical="center"/>
      <protection locked="0"/>
    </xf>
    <xf numFmtId="0" fontId="1" fillId="18" borderId="0" xfId="0" applyFont="1" applyFill="1"/>
    <xf numFmtId="0" fontId="29" fillId="18" borderId="115" xfId="0" applyFont="1" applyFill="1" applyBorder="1" applyAlignment="1" applyProtection="1">
      <alignment horizontal="center"/>
      <protection locked="0"/>
    </xf>
    <xf numFmtId="0" fontId="588" fillId="0" borderId="0" xfId="0" applyFont="1" applyProtection="1">
      <protection hidden="1"/>
    </xf>
    <xf numFmtId="0" fontId="674" fillId="0" borderId="0" xfId="0" applyFont="1" applyAlignment="1" applyProtection="1">
      <alignment horizontal="left" vertical="center"/>
      <protection hidden="1"/>
    </xf>
    <xf numFmtId="0" fontId="108" fillId="0" borderId="0" xfId="0" applyFont="1" applyAlignment="1" applyProtection="1">
      <alignment horizontal="left" vertical="center" textRotation="255" wrapText="1"/>
      <protection hidden="1"/>
    </xf>
    <xf numFmtId="0" fontId="108" fillId="0" borderId="0" xfId="0" applyFont="1" applyAlignment="1" applyProtection="1">
      <alignment horizontal="left"/>
      <protection locked="0"/>
    </xf>
    <xf numFmtId="0" fontId="453" fillId="20" borderId="0" xfId="0" applyFont="1" applyFill="1" applyAlignment="1" applyProtection="1">
      <alignment horizontal="left" vertical="top" indent="1"/>
      <protection hidden="1"/>
    </xf>
    <xf numFmtId="0" fontId="453" fillId="20" borderId="0" xfId="0" applyFont="1" applyFill="1" applyAlignment="1" applyProtection="1">
      <alignment horizontal="right" vertical="top" indent="1"/>
      <protection hidden="1"/>
    </xf>
    <xf numFmtId="0" fontId="678" fillId="20" borderId="265" xfId="0" applyFont="1" applyFill="1" applyBorder="1" applyAlignment="1" applyProtection="1">
      <alignment horizontal="left" vertical="center" indent="1"/>
      <protection hidden="1"/>
    </xf>
    <xf numFmtId="1" fontId="457" fillId="4" borderId="0" xfId="0" applyNumberFormat="1" applyFont="1" applyFill="1" applyAlignment="1" applyProtection="1">
      <alignment vertical="center" wrapText="1"/>
      <protection hidden="1"/>
    </xf>
    <xf numFmtId="1" fontId="117" fillId="4" borderId="0" xfId="0" applyNumberFormat="1" applyFont="1" applyFill="1" applyAlignment="1" applyProtection="1">
      <alignment horizontal="left" vertical="center"/>
      <protection hidden="1"/>
    </xf>
    <xf numFmtId="0" fontId="130" fillId="0" borderId="247" xfId="0" applyFont="1" applyBorder="1" applyAlignment="1" applyProtection="1">
      <alignment horizontal="right"/>
      <protection hidden="1"/>
    </xf>
    <xf numFmtId="0" fontId="130" fillId="0" borderId="166" xfId="0" applyFont="1" applyBorder="1" applyAlignment="1" applyProtection="1">
      <alignment horizontal="right"/>
      <protection hidden="1"/>
    </xf>
    <xf numFmtId="0" fontId="130" fillId="0" borderId="34" xfId="0" applyFont="1" applyBorder="1" applyAlignment="1" applyProtection="1">
      <alignment horizontal="right"/>
      <protection hidden="1"/>
    </xf>
    <xf numFmtId="0" fontId="130" fillId="0" borderId="52" xfId="0" applyFont="1" applyBorder="1" applyProtection="1">
      <protection hidden="1"/>
    </xf>
    <xf numFmtId="0" fontId="130" fillId="0" borderId="22" xfId="0" applyFont="1" applyBorder="1" applyAlignment="1" applyProtection="1">
      <alignment horizontal="right"/>
      <protection hidden="1"/>
    </xf>
    <xf numFmtId="0" fontId="130" fillId="0" borderId="35" xfId="0" applyFont="1" applyBorder="1" applyAlignment="1" applyProtection="1">
      <alignment horizontal="center" vertical="center"/>
      <protection hidden="1"/>
    </xf>
    <xf numFmtId="0" fontId="130" fillId="0" borderId="39" xfId="0" applyFont="1" applyBorder="1" applyAlignment="1" applyProtection="1">
      <alignment horizontal="center" vertical="center"/>
      <protection hidden="1"/>
    </xf>
    <xf numFmtId="0" fontId="130" fillId="0" borderId="316" xfId="0" applyFont="1" applyBorder="1" applyAlignment="1" applyProtection="1">
      <alignment horizontal="center" vertical="center"/>
      <protection hidden="1"/>
    </xf>
    <xf numFmtId="0" fontId="130" fillId="0" borderId="478" xfId="0" applyFont="1" applyBorder="1" applyAlignment="1" applyProtection="1">
      <alignment horizontal="left" vertical="center"/>
      <protection hidden="1"/>
    </xf>
    <xf numFmtId="0" fontId="129" fillId="0" borderId="479" xfId="0" applyFont="1" applyBorder="1" applyAlignment="1" applyProtection="1">
      <alignment horizontal="center" vertical="center"/>
      <protection hidden="1"/>
    </xf>
    <xf numFmtId="0" fontId="130" fillId="0" borderId="480" xfId="0" applyFont="1" applyBorder="1" applyAlignment="1" applyProtection="1">
      <alignment horizontal="right" vertical="center"/>
      <protection hidden="1"/>
    </xf>
    <xf numFmtId="0" fontId="130" fillId="0" borderId="476" xfId="0" applyFont="1" applyBorder="1" applyAlignment="1" applyProtection="1">
      <alignment horizontal="left" vertical="center"/>
      <protection hidden="1"/>
    </xf>
    <xf numFmtId="0" fontId="130" fillId="0" borderId="477" xfId="0" applyFont="1" applyBorder="1" applyAlignment="1" applyProtection="1">
      <alignment horizontal="right" vertical="center"/>
      <protection hidden="1"/>
    </xf>
    <xf numFmtId="0" fontId="129" fillId="0" borderId="477" xfId="0" applyFont="1" applyBorder="1" applyAlignment="1" applyProtection="1">
      <alignment horizontal="center" vertical="center"/>
      <protection hidden="1"/>
    </xf>
    <xf numFmtId="0" fontId="130" fillId="0" borderId="481" xfId="0" applyFont="1" applyBorder="1" applyAlignment="1" applyProtection="1">
      <alignment horizontal="left" vertical="center"/>
      <protection hidden="1"/>
    </xf>
    <xf numFmtId="0" fontId="129" fillId="0" borderId="89" xfId="0" applyFont="1" applyBorder="1" applyAlignment="1" applyProtection="1">
      <alignment horizontal="center" vertical="center"/>
      <protection hidden="1"/>
    </xf>
    <xf numFmtId="0" fontId="130" fillId="0" borderId="482" xfId="0" applyFont="1" applyBorder="1" applyAlignment="1" applyProtection="1">
      <alignment horizontal="right" vertical="center"/>
      <protection hidden="1"/>
    </xf>
    <xf numFmtId="0" fontId="130" fillId="0" borderId="362" xfId="0" applyFont="1" applyBorder="1" applyAlignment="1" applyProtection="1">
      <alignment horizontal="right"/>
      <protection hidden="1"/>
    </xf>
    <xf numFmtId="0" fontId="130" fillId="0" borderId="476" xfId="0" applyFont="1" applyBorder="1" applyAlignment="1" applyProtection="1">
      <alignment horizontal="right"/>
      <protection hidden="1"/>
    </xf>
    <xf numFmtId="0" fontId="130" fillId="0" borderId="363" xfId="0" applyFont="1" applyBorder="1" applyAlignment="1" applyProtection="1">
      <alignment horizontal="right"/>
      <protection hidden="1"/>
    </xf>
    <xf numFmtId="0" fontId="130" fillId="0" borderId="248" xfId="0" applyFont="1" applyBorder="1" applyProtection="1">
      <protection hidden="1"/>
    </xf>
    <xf numFmtId="0" fontId="130" fillId="0" borderId="293" xfId="0" applyFont="1" applyBorder="1" applyAlignment="1" applyProtection="1">
      <alignment horizontal="left"/>
      <protection hidden="1"/>
    </xf>
    <xf numFmtId="0" fontId="130" fillId="0" borderId="250" xfId="0" applyFont="1" applyBorder="1" applyAlignment="1" applyProtection="1">
      <alignment horizontal="left"/>
      <protection hidden="1"/>
    </xf>
    <xf numFmtId="0" fontId="130" fillId="0" borderId="247" xfId="0" applyFont="1" applyBorder="1" applyProtection="1">
      <protection hidden="1"/>
    </xf>
    <xf numFmtId="0" fontId="130" fillId="0" borderId="249" xfId="0" applyFont="1" applyBorder="1" applyAlignment="1" applyProtection="1">
      <alignment horizontal="right"/>
      <protection hidden="1"/>
    </xf>
    <xf numFmtId="0" fontId="130" fillId="0" borderId="294" xfId="0" applyFont="1" applyBorder="1" applyAlignment="1" applyProtection="1">
      <alignment horizontal="right"/>
      <protection hidden="1"/>
    </xf>
    <xf numFmtId="0" fontId="599" fillId="0" borderId="166" xfId="0" applyFont="1" applyBorder="1" applyAlignment="1" applyProtection="1">
      <alignment horizontal="center"/>
      <protection hidden="1"/>
    </xf>
    <xf numFmtId="0" fontId="130" fillId="0" borderId="251" xfId="0" applyFont="1" applyBorder="1" applyAlignment="1" applyProtection="1">
      <alignment horizontal="right"/>
      <protection hidden="1"/>
    </xf>
    <xf numFmtId="0" fontId="308" fillId="4" borderId="0" xfId="0" applyFont="1" applyFill="1" applyAlignment="1" applyProtection="1">
      <alignment horizontal="center" vertical="center" wrapText="1"/>
      <protection hidden="1"/>
    </xf>
    <xf numFmtId="0" fontId="274" fillId="0" borderId="0" xfId="0" applyFont="1" applyProtection="1">
      <protection hidden="1"/>
    </xf>
    <xf numFmtId="0" fontId="1" fillId="0" borderId="483" xfId="0" applyFont="1" applyBorder="1" applyProtection="1">
      <protection hidden="1"/>
    </xf>
    <xf numFmtId="0" fontId="1" fillId="0" borderId="484" xfId="0" applyFont="1" applyBorder="1" applyProtection="1">
      <protection hidden="1"/>
    </xf>
    <xf numFmtId="0" fontId="232" fillId="0" borderId="484" xfId="0" applyFont="1" applyBorder="1" applyProtection="1">
      <protection hidden="1"/>
    </xf>
    <xf numFmtId="0" fontId="7" fillId="0" borderId="0" xfId="0" applyFont="1" applyAlignment="1" applyProtection="1">
      <alignment horizontal="left"/>
      <protection hidden="1"/>
    </xf>
    <xf numFmtId="14" fontId="673" fillId="0" borderId="0" xfId="0" quotePrefix="1" applyNumberFormat="1" applyFont="1" applyAlignment="1" applyProtection="1">
      <alignment horizontal="left"/>
      <protection hidden="1"/>
    </xf>
    <xf numFmtId="0" fontId="108" fillId="0" borderId="0" xfId="0" quotePrefix="1" applyFont="1" applyAlignment="1" applyProtection="1">
      <alignment horizontal="left" vertical="center"/>
      <protection hidden="1"/>
    </xf>
    <xf numFmtId="0" fontId="91" fillId="0" borderId="0" xfId="0" applyFont="1" applyAlignment="1" applyProtection="1">
      <alignment horizontal="left"/>
      <protection hidden="1"/>
    </xf>
    <xf numFmtId="0" fontId="91" fillId="0" borderId="0" xfId="0" applyFont="1" applyAlignment="1" applyProtection="1">
      <alignment horizontal="left" vertical="center"/>
      <protection hidden="1"/>
    </xf>
    <xf numFmtId="0" fontId="656" fillId="0" borderId="0" xfId="0" applyFont="1" applyAlignment="1" applyProtection="1">
      <alignment horizontal="left" vertical="center"/>
      <protection locked="0"/>
    </xf>
    <xf numFmtId="0" fontId="126" fillId="0" borderId="0" xfId="0" applyFont="1" applyProtection="1">
      <protection hidden="1"/>
    </xf>
    <xf numFmtId="0" fontId="1" fillId="0" borderId="484" xfId="0" applyFont="1" applyBorder="1" applyAlignment="1" applyProtection="1">
      <alignment horizontal="center"/>
      <protection hidden="1"/>
    </xf>
    <xf numFmtId="0" fontId="23" fillId="0" borderId="485" xfId="0" applyFont="1" applyBorder="1" applyAlignment="1" applyProtection="1">
      <alignment vertical="center"/>
      <protection hidden="1"/>
    </xf>
    <xf numFmtId="0" fontId="384" fillId="18" borderId="432" xfId="0" applyFont="1" applyFill="1" applyBorder="1" applyAlignment="1" applyProtection="1">
      <alignment vertical="center"/>
      <protection hidden="1"/>
    </xf>
    <xf numFmtId="0" fontId="384" fillId="18" borderId="433" xfId="0" applyFont="1" applyFill="1" applyBorder="1" applyAlignment="1" applyProtection="1">
      <alignment vertical="center"/>
      <protection hidden="1"/>
    </xf>
    <xf numFmtId="0" fontId="384" fillId="18" borderId="434" xfId="0" applyFont="1" applyFill="1" applyBorder="1" applyAlignment="1" applyProtection="1">
      <alignment vertical="center"/>
      <protection hidden="1"/>
    </xf>
    <xf numFmtId="0" fontId="384" fillId="18" borderId="435" xfId="0" applyFont="1" applyFill="1" applyBorder="1" applyAlignment="1" applyProtection="1">
      <alignment vertical="center"/>
      <protection hidden="1"/>
    </xf>
    <xf numFmtId="0" fontId="384" fillId="18" borderId="0" xfId="0" applyFont="1" applyFill="1" applyAlignment="1" applyProtection="1">
      <alignment vertical="center"/>
      <protection hidden="1"/>
    </xf>
    <xf numFmtId="0" fontId="384" fillId="18" borderId="436" xfId="0" applyFont="1" applyFill="1" applyBorder="1" applyAlignment="1" applyProtection="1">
      <alignment vertical="center"/>
      <protection hidden="1"/>
    </xf>
    <xf numFmtId="0" fontId="117" fillId="18" borderId="0" xfId="0" applyFont="1" applyFill="1" applyAlignment="1" applyProtection="1">
      <alignment horizontal="left"/>
      <protection hidden="1"/>
    </xf>
    <xf numFmtId="0" fontId="146" fillId="18" borderId="0" xfId="0" applyFont="1" applyFill="1" applyAlignment="1" applyProtection="1">
      <alignment horizontal="left"/>
      <protection hidden="1"/>
    </xf>
    <xf numFmtId="0" fontId="131" fillId="18" borderId="435" xfId="0" applyFont="1" applyFill="1" applyBorder="1" applyAlignment="1" applyProtection="1">
      <alignment wrapText="1"/>
      <protection hidden="1"/>
    </xf>
    <xf numFmtId="0" fontId="131" fillId="18" borderId="0" xfId="0" applyFont="1" applyFill="1" applyAlignment="1" applyProtection="1">
      <alignment wrapText="1"/>
      <protection hidden="1"/>
    </xf>
    <xf numFmtId="0" fontId="131" fillId="18" borderId="436" xfId="0" applyFont="1" applyFill="1" applyBorder="1" applyAlignment="1" applyProtection="1">
      <alignment wrapText="1"/>
      <protection hidden="1"/>
    </xf>
    <xf numFmtId="0" fontId="131" fillId="18" borderId="437" xfId="0" applyFont="1" applyFill="1" applyBorder="1" applyAlignment="1" applyProtection="1">
      <alignment vertical="top" wrapText="1"/>
      <protection hidden="1"/>
    </xf>
    <xf numFmtId="0" fontId="131" fillId="18" borderId="438" xfId="0" applyFont="1" applyFill="1" applyBorder="1" applyAlignment="1" applyProtection="1">
      <alignment vertical="top" wrapText="1"/>
      <protection hidden="1"/>
    </xf>
    <xf numFmtId="0" fontId="131" fillId="18" borderId="439" xfId="0" applyFont="1" applyFill="1" applyBorder="1" applyAlignment="1" applyProtection="1">
      <alignment vertical="top" wrapText="1"/>
      <protection hidden="1"/>
    </xf>
    <xf numFmtId="0" fontId="184" fillId="3" borderId="382" xfId="0" applyFont="1" applyFill="1" applyBorder="1" applyAlignment="1" applyProtection="1">
      <alignment horizontal="left" indent="1"/>
      <protection locked="0"/>
    </xf>
    <xf numFmtId="0" fontId="0" fillId="18" borderId="381" xfId="0" applyFill="1" applyBorder="1" applyAlignment="1" applyProtection="1">
      <alignment horizontal="left" indent="1"/>
      <protection locked="0"/>
    </xf>
    <xf numFmtId="0" fontId="349" fillId="20" borderId="0" xfId="0" applyFont="1" applyFill="1" applyAlignment="1" applyProtection="1">
      <alignment horizontal="left" vertical="center"/>
      <protection hidden="1"/>
    </xf>
    <xf numFmtId="0" fontId="680" fillId="17" borderId="100" xfId="0" applyFont="1" applyFill="1" applyBorder="1" applyAlignment="1" applyProtection="1">
      <alignment horizontal="left" vertical="center" wrapText="1"/>
      <protection locked="0"/>
    </xf>
    <xf numFmtId="0" fontId="681" fillId="17" borderId="100" xfId="0" applyFont="1" applyFill="1" applyBorder="1" applyAlignment="1" applyProtection="1">
      <alignment horizontal="left" vertical="center" wrapText="1"/>
      <protection locked="0"/>
    </xf>
    <xf numFmtId="0" fontId="682" fillId="17" borderId="100" xfId="0" applyFont="1" applyFill="1" applyBorder="1" applyAlignment="1" applyProtection="1">
      <alignment horizontal="left" vertical="center" wrapText="1"/>
      <protection locked="0"/>
    </xf>
    <xf numFmtId="0" fontId="683" fillId="17" borderId="100" xfId="0" applyFont="1" applyFill="1" applyBorder="1" applyAlignment="1" applyProtection="1">
      <alignment horizontal="left" vertical="center" wrapText="1"/>
      <protection locked="0"/>
    </xf>
    <xf numFmtId="0" fontId="684" fillId="17" borderId="100" xfId="0" applyFont="1" applyFill="1" applyBorder="1" applyAlignment="1" applyProtection="1">
      <alignment horizontal="left" vertical="center" wrapText="1"/>
      <protection locked="0"/>
    </xf>
    <xf numFmtId="0" fontId="451" fillId="17" borderId="100" xfId="0" applyFont="1" applyFill="1" applyBorder="1" applyAlignment="1" applyProtection="1">
      <alignment horizontal="left" vertical="center" wrapText="1"/>
      <protection locked="0"/>
    </xf>
    <xf numFmtId="0" fontId="685" fillId="17" borderId="100" xfId="0" applyFont="1" applyFill="1" applyBorder="1" applyAlignment="1" applyProtection="1">
      <alignment horizontal="left" vertical="center" wrapText="1"/>
      <protection locked="0"/>
    </xf>
    <xf numFmtId="0" fontId="686" fillId="17" borderId="100" xfId="0" applyFont="1" applyFill="1" applyBorder="1" applyAlignment="1" applyProtection="1">
      <alignment horizontal="left" vertical="center" wrapText="1"/>
      <protection locked="0"/>
    </xf>
    <xf numFmtId="0" fontId="687" fillId="17" borderId="100" xfId="0" applyFont="1" applyFill="1" applyBorder="1" applyAlignment="1" applyProtection="1">
      <alignment horizontal="left" vertical="center" wrapText="1"/>
      <protection locked="0"/>
    </xf>
    <xf numFmtId="0" fontId="415" fillId="17" borderId="100" xfId="0" applyFont="1" applyFill="1" applyBorder="1" applyAlignment="1" applyProtection="1">
      <alignment horizontal="left" vertical="center" wrapText="1"/>
      <protection locked="0"/>
    </xf>
    <xf numFmtId="0" fontId="35" fillId="17" borderId="100" xfId="0" applyFont="1" applyFill="1" applyBorder="1" applyAlignment="1" applyProtection="1">
      <alignment horizontal="left" vertical="center" wrapText="1"/>
      <protection locked="0"/>
    </xf>
    <xf numFmtId="0" fontId="415" fillId="3" borderId="100" xfId="0" applyFont="1" applyFill="1" applyBorder="1" applyAlignment="1" applyProtection="1">
      <alignment horizontal="left" vertical="center" wrapText="1"/>
      <protection locked="0"/>
    </xf>
    <xf numFmtId="0" fontId="415" fillId="11" borderId="100" xfId="0" applyFont="1" applyFill="1" applyBorder="1" applyAlignment="1" applyProtection="1">
      <alignment horizontal="left" vertical="center" wrapText="1"/>
      <protection locked="0"/>
    </xf>
    <xf numFmtId="0" fontId="415" fillId="8" borderId="100" xfId="0" applyFont="1" applyFill="1" applyBorder="1" applyAlignment="1" applyProtection="1">
      <alignment horizontal="left" vertical="center" wrapText="1"/>
      <protection locked="0"/>
    </xf>
    <xf numFmtId="0" fontId="688" fillId="3" borderId="100" xfId="0" applyFont="1" applyFill="1" applyBorder="1" applyAlignment="1" applyProtection="1">
      <alignment horizontal="left" vertical="center" wrapText="1"/>
      <protection locked="0"/>
    </xf>
    <xf numFmtId="0" fontId="689" fillId="3" borderId="100" xfId="0" applyFont="1" applyFill="1" applyBorder="1" applyAlignment="1" applyProtection="1">
      <alignment horizontal="left" vertical="center" wrapText="1"/>
      <protection locked="0"/>
    </xf>
    <xf numFmtId="0" fontId="250" fillId="3" borderId="100" xfId="0" applyFont="1" applyFill="1" applyBorder="1" applyAlignment="1" applyProtection="1">
      <alignment horizontal="left" vertical="center" wrapText="1"/>
      <protection locked="0"/>
    </xf>
    <xf numFmtId="0" fontId="415" fillId="20" borderId="100" xfId="0" applyFont="1" applyFill="1" applyBorder="1" applyAlignment="1" applyProtection="1">
      <alignment horizontal="left" vertical="center" wrapText="1"/>
      <protection locked="0"/>
    </xf>
    <xf numFmtId="0" fontId="415" fillId="24" borderId="100" xfId="0" applyFont="1" applyFill="1" applyBorder="1" applyAlignment="1" applyProtection="1">
      <alignment horizontal="left" vertical="center" wrapText="1"/>
      <protection locked="0"/>
    </xf>
    <xf numFmtId="0" fontId="415" fillId="21" borderId="100" xfId="0" applyFont="1" applyFill="1" applyBorder="1" applyAlignment="1" applyProtection="1">
      <alignment horizontal="left" vertical="center" wrapText="1"/>
      <protection locked="0"/>
    </xf>
    <xf numFmtId="0" fontId="688" fillId="14" borderId="100" xfId="0" applyFont="1" applyFill="1" applyBorder="1" applyAlignment="1" applyProtection="1">
      <alignment horizontal="left" vertical="center" wrapText="1"/>
      <protection locked="0"/>
    </xf>
    <xf numFmtId="0" fontId="68" fillId="0" borderId="0" xfId="0" applyFont="1" applyAlignment="1" applyProtection="1">
      <alignment vertical="center"/>
      <protection locked="0"/>
    </xf>
    <xf numFmtId="0" fontId="75" fillId="0" borderId="119" xfId="0" applyFont="1" applyBorder="1" applyAlignment="1" applyProtection="1">
      <alignment horizontal="left"/>
      <protection locked="0"/>
    </xf>
    <xf numFmtId="0" fontId="690" fillId="0" borderId="120" xfId="0" applyFont="1" applyBorder="1" applyAlignment="1" applyProtection="1">
      <alignment horizontal="left"/>
      <protection locked="0"/>
    </xf>
    <xf numFmtId="0" fontId="75" fillId="0" borderId="121" xfId="0" applyFont="1" applyBorder="1" applyAlignment="1" applyProtection="1">
      <alignment horizontal="left"/>
      <protection locked="0"/>
    </xf>
    <xf numFmtId="0" fontId="67" fillId="15" borderId="119" xfId="0" applyFont="1" applyFill="1" applyBorder="1" applyAlignment="1" applyProtection="1">
      <alignment horizontal="left"/>
      <protection locked="0"/>
    </xf>
    <xf numFmtId="0" fontId="67" fillId="15" borderId="120" xfId="0" applyFont="1" applyFill="1" applyBorder="1" applyAlignment="1" applyProtection="1">
      <alignment horizontal="left"/>
      <protection locked="0"/>
    </xf>
    <xf numFmtId="0" fontId="74" fillId="0" borderId="1" xfId="0" applyFont="1" applyBorder="1" applyProtection="1">
      <protection locked="0"/>
    </xf>
    <xf numFmtId="177" fontId="74" fillId="0" borderId="0" xfId="0" applyNumberFormat="1" applyFont="1" applyProtection="1">
      <protection locked="0"/>
    </xf>
    <xf numFmtId="177" fontId="74" fillId="0" borderId="0" xfId="0" applyNumberFormat="1" applyFont="1" applyAlignment="1" applyProtection="1">
      <alignment horizontal="right"/>
      <protection locked="0"/>
    </xf>
    <xf numFmtId="177" fontId="691" fillId="3" borderId="100" xfId="0" applyNumberFormat="1" applyFont="1" applyFill="1" applyBorder="1" applyAlignment="1" applyProtection="1">
      <alignment horizontal="right"/>
      <protection locked="0"/>
    </xf>
    <xf numFmtId="0" fontId="691" fillId="3" borderId="100" xfId="0" applyFont="1" applyFill="1" applyBorder="1" applyAlignment="1" applyProtection="1">
      <alignment horizontal="right"/>
      <protection locked="0"/>
    </xf>
    <xf numFmtId="17" fontId="691" fillId="3" borderId="100" xfId="0" applyNumberFormat="1" applyFont="1" applyFill="1" applyBorder="1" applyAlignment="1" applyProtection="1">
      <alignment horizontal="right"/>
      <protection locked="0"/>
    </xf>
    <xf numFmtId="0" fontId="691" fillId="3" borderId="100" xfId="0" applyFont="1" applyFill="1" applyBorder="1" applyProtection="1">
      <protection locked="0"/>
    </xf>
    <xf numFmtId="0" fontId="117" fillId="20" borderId="0" xfId="0" applyFont="1" applyFill="1" applyAlignment="1" applyProtection="1">
      <alignment vertical="center"/>
      <protection hidden="1"/>
    </xf>
    <xf numFmtId="0" fontId="692" fillId="0" borderId="0" xfId="0" applyFont="1" applyAlignment="1" applyProtection="1">
      <alignment horizontal="left"/>
      <protection locked="0"/>
    </xf>
    <xf numFmtId="1" fontId="130" fillId="17" borderId="0" xfId="0" applyNumberFormat="1" applyFont="1" applyFill="1" applyAlignment="1" applyProtection="1">
      <alignment horizontal="center" vertical="center"/>
      <protection hidden="1"/>
    </xf>
    <xf numFmtId="0" fontId="172" fillId="18" borderId="0" xfId="0" applyFont="1" applyFill="1" applyAlignment="1" applyProtection="1">
      <alignment horizontal="left" vertical="top"/>
      <protection hidden="1"/>
    </xf>
    <xf numFmtId="1" fontId="414" fillId="17" borderId="0" xfId="0" applyNumberFormat="1" applyFont="1" applyFill="1" applyAlignment="1" applyProtection="1">
      <alignment vertical="top"/>
      <protection hidden="1"/>
    </xf>
    <xf numFmtId="0" fontId="230" fillId="0" borderId="0" xfId="0" applyFont="1" applyAlignment="1" applyProtection="1">
      <alignment horizontal="center"/>
      <protection locked="0"/>
    </xf>
    <xf numFmtId="0" fontId="230" fillId="0" borderId="0" xfId="0" applyFont="1" applyAlignment="1" applyProtection="1">
      <alignment horizontal="center" vertical="top"/>
      <protection locked="0"/>
    </xf>
    <xf numFmtId="0" fontId="82" fillId="0" borderId="0" xfId="0" applyFont="1" applyAlignment="1" applyProtection="1">
      <alignment horizontal="right" vertical="center"/>
      <protection hidden="1"/>
    </xf>
    <xf numFmtId="0" fontId="82" fillId="0" borderId="52" xfId="0" applyFont="1" applyBorder="1" applyAlignment="1" applyProtection="1">
      <alignment horizontal="right" vertical="center"/>
      <protection hidden="1"/>
    </xf>
    <xf numFmtId="1" fontId="287" fillId="0" borderId="52" xfId="0" applyNumberFormat="1" applyFont="1" applyBorder="1" applyAlignment="1" applyProtection="1">
      <alignment horizontal="center" vertical="center"/>
      <protection hidden="1"/>
    </xf>
    <xf numFmtId="168" fontId="287" fillId="0" borderId="52" xfId="0" applyNumberFormat="1" applyFont="1" applyBorder="1" applyAlignment="1" applyProtection="1">
      <alignment horizontal="center" vertical="center"/>
      <protection hidden="1"/>
    </xf>
    <xf numFmtId="168" fontId="128" fillId="21" borderId="0" xfId="0" applyNumberFormat="1" applyFont="1" applyFill="1" applyAlignment="1" applyProtection="1">
      <alignment vertical="center"/>
      <protection hidden="1"/>
    </xf>
    <xf numFmtId="0" fontId="128" fillId="21" borderId="0" xfId="0" applyFont="1" applyFill="1" applyAlignment="1" applyProtection="1">
      <alignment horizontal="left" vertical="center"/>
      <protection hidden="1"/>
    </xf>
    <xf numFmtId="0" fontId="128" fillId="21" borderId="165" xfId="0" applyFont="1" applyFill="1" applyBorder="1" applyAlignment="1" applyProtection="1">
      <alignment horizontal="left" vertical="center"/>
      <protection hidden="1"/>
    </xf>
    <xf numFmtId="0" fontId="101" fillId="0" borderId="0" xfId="0" applyFont="1" applyAlignment="1" applyProtection="1">
      <alignment horizontal="left" vertical="top" indent="1"/>
      <protection locked="0"/>
    </xf>
    <xf numFmtId="0" fontId="18" fillId="18" borderId="0" xfId="0" applyFont="1" applyFill="1" applyAlignment="1">
      <alignment horizontal="center" vertical="top"/>
    </xf>
    <xf numFmtId="168" fontId="695" fillId="15" borderId="0" xfId="0" applyNumberFormat="1" applyFont="1" applyFill="1" applyAlignment="1" applyProtection="1">
      <alignment horizontal="center" vertical="top"/>
      <protection hidden="1"/>
    </xf>
    <xf numFmtId="0" fontId="74" fillId="0" borderId="0" xfId="0" applyFont="1" applyAlignment="1" applyProtection="1">
      <alignment horizontal="left" vertical="center"/>
      <protection locked="0"/>
    </xf>
    <xf numFmtId="0" fontId="74" fillId="0" borderId="122" xfId="0" applyFont="1" applyBorder="1" applyProtection="1">
      <protection locked="0"/>
    </xf>
    <xf numFmtId="0" fontId="170" fillId="0" borderId="122" xfId="0" applyFont="1" applyBorder="1" applyAlignment="1" applyProtection="1">
      <alignment horizontal="right"/>
      <protection locked="0"/>
    </xf>
    <xf numFmtId="0" fontId="74" fillId="16" borderId="122" xfId="0" applyFont="1" applyFill="1" applyBorder="1" applyAlignment="1" applyProtection="1">
      <alignment horizontal="left"/>
      <protection locked="0"/>
    </xf>
    <xf numFmtId="0" fontId="74" fillId="17" borderId="122" xfId="0" applyFont="1" applyFill="1" applyBorder="1" applyAlignment="1" applyProtection="1">
      <alignment horizontal="left"/>
      <protection locked="0"/>
    </xf>
    <xf numFmtId="0" fontId="74" fillId="14" borderId="122" xfId="0" applyFont="1" applyFill="1" applyBorder="1" applyAlignment="1" applyProtection="1">
      <alignment horizontal="left"/>
      <protection locked="0"/>
    </xf>
    <xf numFmtId="0" fontId="74" fillId="4" borderId="122" xfId="0" applyFont="1" applyFill="1" applyBorder="1" applyAlignment="1" applyProtection="1">
      <alignment horizontal="left"/>
      <protection locked="0"/>
    </xf>
    <xf numFmtId="0" fontId="70" fillId="18" borderId="100" xfId="0" applyFont="1" applyFill="1" applyBorder="1" applyAlignment="1" applyProtection="1">
      <alignment horizontal="left" vertical="center" wrapText="1"/>
      <protection locked="0"/>
    </xf>
    <xf numFmtId="0" fontId="101" fillId="0" borderId="35" xfId="0" applyFont="1" applyBorder="1" applyAlignment="1" applyProtection="1">
      <alignment horizontal="left" vertical="center"/>
      <protection hidden="1"/>
    </xf>
    <xf numFmtId="0" fontId="23" fillId="0" borderId="51" xfId="0" applyFont="1" applyBorder="1" applyAlignment="1" applyProtection="1">
      <alignment horizontal="left"/>
      <protection hidden="1"/>
    </xf>
    <xf numFmtId="0" fontId="23" fillId="0" borderId="34" xfId="0" applyFont="1" applyBorder="1" applyAlignment="1" applyProtection="1">
      <alignment horizontal="left"/>
      <protection hidden="1"/>
    </xf>
    <xf numFmtId="0" fontId="101" fillId="0" borderId="33" xfId="0" applyFont="1" applyBorder="1" applyAlignment="1" applyProtection="1">
      <alignment horizontal="left" vertical="center"/>
      <protection hidden="1"/>
    </xf>
    <xf numFmtId="0" fontId="230" fillId="0" borderId="39" xfId="0" applyFont="1" applyBorder="1" applyAlignment="1" applyProtection="1">
      <alignment horizontal="left" vertical="center"/>
      <protection hidden="1"/>
    </xf>
    <xf numFmtId="0" fontId="230" fillId="0" borderId="33" xfId="0" applyFont="1" applyBorder="1" applyAlignment="1" applyProtection="1">
      <alignment horizontal="left" vertical="center"/>
      <protection hidden="1"/>
    </xf>
    <xf numFmtId="0" fontId="101" fillId="17" borderId="110" xfId="0" applyFont="1" applyFill="1" applyBorder="1" applyAlignment="1" applyProtection="1">
      <alignment horizontal="left" vertical="center"/>
      <protection hidden="1"/>
    </xf>
    <xf numFmtId="0" fontId="23" fillId="17" borderId="111" xfId="0" applyFont="1" applyFill="1" applyBorder="1" applyAlignment="1" applyProtection="1">
      <alignment horizontal="left"/>
      <protection hidden="1"/>
    </xf>
    <xf numFmtId="0" fontId="23" fillId="17" borderId="112" xfId="0" applyFont="1" applyFill="1" applyBorder="1" applyAlignment="1" applyProtection="1">
      <alignment horizontal="left"/>
      <protection hidden="1"/>
    </xf>
    <xf numFmtId="0" fontId="101" fillId="17" borderId="344" xfId="0" applyFont="1" applyFill="1" applyBorder="1" applyAlignment="1" applyProtection="1">
      <alignment horizontal="left" vertical="center"/>
      <protection hidden="1"/>
    </xf>
    <xf numFmtId="0" fontId="23" fillId="17" borderId="113" xfId="0" applyFont="1" applyFill="1" applyBorder="1" applyAlignment="1" applyProtection="1">
      <alignment horizontal="left"/>
      <protection hidden="1"/>
    </xf>
    <xf numFmtId="0" fontId="101" fillId="17" borderId="114" xfId="0" applyFont="1" applyFill="1" applyBorder="1" applyAlignment="1" applyProtection="1">
      <alignment horizontal="left" vertical="center"/>
      <protection hidden="1"/>
    </xf>
    <xf numFmtId="0" fontId="23" fillId="17" borderId="115" xfId="0" applyFont="1" applyFill="1" applyBorder="1" applyAlignment="1" applyProtection="1">
      <alignment horizontal="left"/>
      <protection hidden="1"/>
    </xf>
    <xf numFmtId="0" fontId="23" fillId="17" borderId="116" xfId="0" applyFont="1" applyFill="1" applyBorder="1" applyAlignment="1" applyProtection="1">
      <alignment horizontal="left"/>
      <protection hidden="1"/>
    </xf>
    <xf numFmtId="0" fontId="74" fillId="0" borderId="0" xfId="0" applyFont="1" applyProtection="1">
      <protection hidden="1"/>
    </xf>
    <xf numFmtId="0" fontId="68" fillId="17" borderId="0" xfId="0" applyFont="1" applyFill="1" applyAlignment="1" applyProtection="1">
      <alignment horizontal="center"/>
      <protection hidden="1"/>
    </xf>
    <xf numFmtId="0" fontId="132" fillId="0" borderId="0" xfId="0" applyFont="1" applyAlignment="1" applyProtection="1">
      <alignment horizontal="left" vertical="center"/>
      <protection hidden="1"/>
    </xf>
    <xf numFmtId="0" fontId="40" fillId="0" borderId="0" xfId="0" applyFont="1" applyAlignment="1" applyProtection="1">
      <alignment horizontal="center" vertical="center"/>
      <protection hidden="1"/>
    </xf>
    <xf numFmtId="0" fontId="129" fillId="0" borderId="35" xfId="0" applyFont="1" applyBorder="1" applyAlignment="1" applyProtection="1">
      <alignment horizontal="left"/>
      <protection locked="0"/>
    </xf>
    <xf numFmtId="0" fontId="120" fillId="0" borderId="51" xfId="0" applyFont="1" applyBorder="1" applyAlignment="1" applyProtection="1">
      <alignment horizontal="center"/>
      <protection locked="0"/>
    </xf>
    <xf numFmtId="0" fontId="129" fillId="0" borderId="34" xfId="0" applyFont="1" applyBorder="1" applyAlignment="1" applyProtection="1">
      <alignment horizontal="center"/>
      <protection locked="0"/>
    </xf>
    <xf numFmtId="0" fontId="130" fillId="0" borderId="0" xfId="0" applyFont="1" applyAlignment="1" applyProtection="1">
      <alignment horizontal="left" vertical="top"/>
      <protection locked="0"/>
    </xf>
    <xf numFmtId="0" fontId="308" fillId="0" borderId="0" xfId="0" applyFont="1" applyAlignment="1" applyProtection="1">
      <alignment horizontal="right" vertical="top"/>
      <protection locked="0"/>
    </xf>
    <xf numFmtId="167" fontId="74" fillId="0" borderId="100" xfId="0" applyNumberFormat="1" applyFont="1" applyBorder="1" applyProtection="1">
      <protection locked="0"/>
    </xf>
    <xf numFmtId="0" fontId="101" fillId="0" borderId="0" xfId="0" applyFont="1" applyAlignment="1">
      <alignment horizontal="center" vertical="center"/>
    </xf>
    <xf numFmtId="0" fontId="697" fillId="0" borderId="0" xfId="0" applyFont="1" applyAlignment="1" applyProtection="1">
      <alignment horizontal="right" indent="1"/>
      <protection locked="0"/>
    </xf>
    <xf numFmtId="0" fontId="75" fillId="0" borderId="17" xfId="0" applyFont="1" applyBorder="1" applyAlignment="1" applyProtection="1">
      <alignment horizontal="left" indent="1"/>
      <protection locked="0"/>
    </xf>
    <xf numFmtId="0" fontId="170" fillId="0" borderId="0" xfId="0" applyFont="1" applyAlignment="1" applyProtection="1">
      <alignment horizontal="right" indent="1"/>
      <protection locked="0"/>
    </xf>
    <xf numFmtId="0" fontId="74" fillId="0" borderId="17" xfId="0" applyFont="1" applyBorder="1" applyAlignment="1" applyProtection="1">
      <alignment horizontal="left" indent="1"/>
      <protection locked="0"/>
    </xf>
    <xf numFmtId="1" fontId="170" fillId="0" borderId="0" xfId="0" applyNumberFormat="1" applyFont="1" applyAlignment="1" applyProtection="1">
      <alignment horizontal="right" indent="1"/>
      <protection locked="0"/>
    </xf>
    <xf numFmtId="0" fontId="189" fillId="18" borderId="333" xfId="0" applyFont="1" applyFill="1" applyBorder="1" applyProtection="1">
      <protection hidden="1"/>
    </xf>
    <xf numFmtId="0" fontId="189" fillId="18" borderId="334" xfId="0" applyFont="1" applyFill="1" applyBorder="1" applyProtection="1">
      <protection hidden="1"/>
    </xf>
    <xf numFmtId="0" fontId="698" fillId="0" borderId="0" xfId="0" applyFont="1" applyAlignment="1" applyProtection="1">
      <alignment horizontal="center" vertical="center"/>
      <protection locked="0"/>
    </xf>
    <xf numFmtId="0" fontId="699" fillId="20" borderId="0" xfId="0" applyFont="1" applyFill="1" applyAlignment="1" applyProtection="1">
      <alignment horizontal="center" vertical="center"/>
      <protection locked="0"/>
    </xf>
    <xf numFmtId="167" fontId="74" fillId="18" borderId="106" xfId="0" applyNumberFormat="1" applyFont="1" applyFill="1" applyBorder="1" applyProtection="1">
      <protection locked="0"/>
    </xf>
    <xf numFmtId="0" fontId="293" fillId="23" borderId="146" xfId="0" applyFont="1" applyFill="1" applyBorder="1" applyAlignment="1" applyProtection="1">
      <alignment horizontal="center" vertical="center" wrapText="1"/>
      <protection hidden="1"/>
    </xf>
    <xf numFmtId="0" fontId="293" fillId="23" borderId="146" xfId="0" applyFont="1" applyFill="1" applyBorder="1" applyAlignment="1" applyProtection="1">
      <alignment horizontal="right" vertical="center"/>
      <protection hidden="1"/>
    </xf>
    <xf numFmtId="0" fontId="293" fillId="23" borderId="146" xfId="0" applyFont="1" applyFill="1" applyBorder="1" applyAlignment="1" applyProtection="1">
      <alignment horizontal="left" vertical="center"/>
      <protection hidden="1"/>
    </xf>
    <xf numFmtId="0" fontId="701" fillId="23" borderId="146" xfId="0" applyFont="1" applyFill="1" applyBorder="1" applyAlignment="1" applyProtection="1">
      <alignment vertical="center" wrapText="1"/>
      <protection hidden="1"/>
    </xf>
    <xf numFmtId="0" fontId="700" fillId="23" borderId="146" xfId="0" applyFont="1" applyFill="1" applyBorder="1" applyAlignment="1" applyProtection="1">
      <alignment horizontal="center" vertical="center"/>
      <protection hidden="1"/>
    </xf>
    <xf numFmtId="0" fontId="700" fillId="23" borderId="146" xfId="0" applyFont="1" applyFill="1" applyBorder="1" applyAlignment="1" applyProtection="1">
      <alignment horizontal="left" vertical="center"/>
      <protection hidden="1"/>
    </xf>
    <xf numFmtId="0" fontId="702" fillId="23" borderId="146" xfId="0" applyFont="1" applyFill="1" applyBorder="1" applyProtection="1">
      <protection hidden="1"/>
    </xf>
    <xf numFmtId="0" fontId="293" fillId="23" borderId="146" xfId="0" applyFont="1" applyFill="1" applyBorder="1" applyAlignment="1" applyProtection="1">
      <alignment horizontal="center" vertical="center"/>
      <protection hidden="1"/>
    </xf>
    <xf numFmtId="0" fontId="703" fillId="23" borderId="146" xfId="0" applyFont="1" applyFill="1" applyBorder="1" applyAlignment="1" applyProtection="1">
      <alignment horizontal="center" vertical="center" wrapText="1"/>
      <protection hidden="1"/>
    </xf>
    <xf numFmtId="0" fontId="163" fillId="23" borderId="146" xfId="0" applyFont="1" applyFill="1" applyBorder="1" applyAlignment="1" applyProtection="1">
      <alignment horizontal="center"/>
      <protection hidden="1"/>
    </xf>
    <xf numFmtId="0" fontId="121" fillId="0" borderId="17" xfId="0" applyFont="1" applyBorder="1" applyAlignment="1" applyProtection="1">
      <alignment horizontal="left"/>
      <protection locked="0"/>
    </xf>
    <xf numFmtId="0" fontId="121" fillId="0" borderId="17" xfId="0" applyFont="1" applyBorder="1" applyAlignment="1" applyProtection="1">
      <alignment horizontal="left" vertical="top" indent="1"/>
      <protection locked="0"/>
    </xf>
    <xf numFmtId="0" fontId="23" fillId="17" borderId="0" xfId="0" applyFont="1" applyFill="1" applyAlignment="1" applyProtection="1">
      <alignment vertical="center"/>
      <protection hidden="1"/>
    </xf>
    <xf numFmtId="0" fontId="131" fillId="17" borderId="0" xfId="0" applyFont="1" applyFill="1" applyAlignment="1" applyProtection="1">
      <alignment vertical="center"/>
      <protection hidden="1"/>
    </xf>
    <xf numFmtId="0" fontId="27" fillId="17" borderId="0" xfId="0" applyFont="1" applyFill="1" applyAlignment="1" applyProtection="1">
      <alignment horizontal="center" vertical="center"/>
      <protection hidden="1"/>
    </xf>
    <xf numFmtId="0" fontId="37" fillId="17" borderId="0" xfId="0" applyFont="1" applyFill="1" applyAlignment="1" applyProtection="1">
      <alignment horizontal="center" vertical="center"/>
      <protection hidden="1"/>
    </xf>
    <xf numFmtId="0" fontId="55" fillId="17" borderId="0" xfId="0" applyFont="1" applyFill="1" applyAlignment="1" applyProtection="1">
      <alignment vertical="center"/>
      <protection hidden="1"/>
    </xf>
    <xf numFmtId="0" fontId="23" fillId="17" borderId="0" xfId="0" applyFont="1" applyFill="1" applyAlignment="1" applyProtection="1">
      <alignment horizontal="right" vertical="center"/>
      <protection hidden="1"/>
    </xf>
    <xf numFmtId="0" fontId="23" fillId="17" borderId="0" xfId="0" quotePrefix="1" applyFont="1" applyFill="1" applyAlignment="1" applyProtection="1">
      <alignment vertical="center"/>
      <protection hidden="1"/>
    </xf>
    <xf numFmtId="0" fontId="23" fillId="17" borderId="0" xfId="0" applyFont="1" applyFill="1" applyAlignment="1" applyProtection="1">
      <alignment horizontal="left" vertical="center"/>
      <protection hidden="1"/>
    </xf>
    <xf numFmtId="0" fontId="90" fillId="3" borderId="106" xfId="0" applyFont="1" applyFill="1" applyBorder="1" applyAlignment="1" applyProtection="1">
      <alignment horizontal="center"/>
      <protection locked="0"/>
    </xf>
    <xf numFmtId="0" fontId="90" fillId="3" borderId="106" xfId="0" applyFont="1" applyFill="1" applyBorder="1" applyAlignment="1" applyProtection="1">
      <alignment horizontal="right"/>
      <protection locked="0"/>
    </xf>
    <xf numFmtId="0" fontId="90" fillId="3" borderId="106" xfId="0" applyFont="1" applyFill="1" applyBorder="1" applyAlignment="1" applyProtection="1">
      <alignment horizontal="left"/>
      <protection locked="0"/>
    </xf>
    <xf numFmtId="0" fontId="103" fillId="3" borderId="106" xfId="0" applyFont="1" applyFill="1" applyBorder="1" applyAlignment="1" applyProtection="1">
      <alignment horizontal="right" vertical="center" wrapText="1"/>
      <protection locked="0"/>
    </xf>
    <xf numFmtId="0" fontId="55" fillId="0" borderId="0" xfId="0" applyFont="1" applyAlignment="1" applyProtection="1">
      <alignment vertical="center"/>
      <protection hidden="1"/>
    </xf>
    <xf numFmtId="0" fontId="562" fillId="0" borderId="0" xfId="0" applyFont="1" applyAlignment="1" applyProtection="1">
      <alignment vertical="center"/>
      <protection locked="0"/>
    </xf>
    <xf numFmtId="0" fontId="704" fillId="0" borderId="0" xfId="0" applyFont="1" applyAlignment="1" applyProtection="1">
      <alignment horizontal="left" vertical="center"/>
      <protection hidden="1"/>
    </xf>
    <xf numFmtId="0" fontId="705" fillId="0" borderId="0" xfId="0" applyFont="1" applyAlignment="1" applyProtection="1">
      <alignment horizontal="left" vertical="center"/>
      <protection hidden="1"/>
    </xf>
    <xf numFmtId="0" fontId="21" fillId="0" borderId="0" xfId="0" applyFont="1" applyAlignment="1" applyProtection="1">
      <alignment horizontal="left" vertical="center"/>
      <protection hidden="1"/>
    </xf>
    <xf numFmtId="0" fontId="706" fillId="0" borderId="0" xfId="0" applyFont="1" applyAlignment="1" applyProtection="1">
      <alignment horizontal="right"/>
      <protection hidden="1"/>
    </xf>
    <xf numFmtId="0" fontId="706" fillId="0" borderId="0" xfId="0" applyFont="1" applyAlignment="1" applyProtection="1">
      <alignment horizontal="right" vertical="top"/>
      <protection hidden="1"/>
    </xf>
    <xf numFmtId="0" fontId="706" fillId="0" borderId="0" xfId="0" applyFont="1" applyAlignment="1" applyProtection="1">
      <alignment horizontal="center"/>
      <protection hidden="1"/>
    </xf>
    <xf numFmtId="0" fontId="707" fillId="4" borderId="0" xfId="0" applyFont="1" applyFill="1" applyAlignment="1" applyProtection="1">
      <alignment horizontal="right" vertical="top"/>
      <protection hidden="1"/>
    </xf>
    <xf numFmtId="0" fontId="73" fillId="0" borderId="0" xfId="0" applyFont="1" applyAlignment="1" applyProtection="1">
      <alignment horizontal="right"/>
      <protection locked="0"/>
    </xf>
    <xf numFmtId="0" fontId="308" fillId="0" borderId="0" xfId="0" applyFont="1" applyAlignment="1" applyProtection="1">
      <alignment horizontal="right"/>
      <protection locked="0"/>
    </xf>
    <xf numFmtId="1" fontId="68" fillId="0" borderId="0" xfId="0" applyNumberFormat="1" applyFont="1" applyAlignment="1" applyProtection="1">
      <alignment horizontal="right"/>
      <protection locked="0"/>
    </xf>
    <xf numFmtId="0" fontId="41" fillId="3" borderId="100" xfId="0" applyFont="1" applyFill="1" applyBorder="1" applyAlignment="1" applyProtection="1">
      <alignment horizontal="center"/>
      <protection locked="0"/>
    </xf>
    <xf numFmtId="0" fontId="235" fillId="3" borderId="100" xfId="0" applyFont="1" applyFill="1" applyBorder="1" applyAlignment="1" applyProtection="1">
      <alignment horizontal="center"/>
      <protection locked="0"/>
    </xf>
    <xf numFmtId="0" fontId="41" fillId="3" borderId="100" xfId="0" applyFont="1" applyFill="1" applyBorder="1" applyAlignment="1" applyProtection="1">
      <alignment horizontal="right" vertical="center" wrapText="1"/>
      <protection locked="0"/>
    </xf>
    <xf numFmtId="0" fontId="40" fillId="0" borderId="39" xfId="0" applyFont="1" applyBorder="1" applyAlignment="1" applyProtection="1">
      <alignment horizontal="right" vertical="center"/>
      <protection hidden="1"/>
    </xf>
    <xf numFmtId="0" fontId="40" fillId="0" borderId="0" xfId="0" applyFont="1" applyAlignment="1" applyProtection="1">
      <alignment horizontal="right" vertical="center"/>
      <protection hidden="1"/>
    </xf>
    <xf numFmtId="0" fontId="414" fillId="0" borderId="0" xfId="0" applyFont="1" applyAlignment="1" applyProtection="1">
      <alignment horizontal="left"/>
      <protection locked="0"/>
    </xf>
    <xf numFmtId="0" fontId="414" fillId="0" borderId="0" xfId="0" applyFont="1" applyAlignment="1" applyProtection="1">
      <alignment horizontal="right"/>
      <protection locked="0"/>
    </xf>
    <xf numFmtId="0" fontId="347" fillId="0" borderId="52" xfId="0" applyFont="1" applyBorder="1" applyAlignment="1" applyProtection="1">
      <alignment horizontal="left" vertical="center"/>
      <protection hidden="1"/>
    </xf>
    <xf numFmtId="0" fontId="394" fillId="0" borderId="0" xfId="0" applyFont="1" applyAlignment="1" applyProtection="1">
      <alignment horizontal="left" vertical="center"/>
      <protection hidden="1"/>
    </xf>
    <xf numFmtId="0" fontId="708" fillId="0" borderId="0" xfId="0" applyFont="1" applyAlignment="1" applyProtection="1">
      <alignment horizontal="left" vertical="center"/>
      <protection hidden="1"/>
    </xf>
    <xf numFmtId="0" fontId="709" fillId="0" borderId="0" xfId="0" applyFont="1" applyAlignment="1" applyProtection="1">
      <alignment horizontal="left" vertical="center"/>
      <protection hidden="1"/>
    </xf>
    <xf numFmtId="0" fontId="710" fillId="0" borderId="0" xfId="0" applyFont="1" applyAlignment="1" applyProtection="1">
      <alignment horizontal="left" vertical="center"/>
      <protection locked="0"/>
    </xf>
    <xf numFmtId="0" fontId="710" fillId="0" borderId="0" xfId="0" applyFont="1" applyAlignment="1" applyProtection="1">
      <alignment horizontal="right" vertical="center"/>
      <protection locked="0"/>
    </xf>
    <xf numFmtId="0" fontId="710" fillId="0" borderId="0" xfId="0" applyFont="1" applyAlignment="1" applyProtection="1">
      <alignment horizontal="center"/>
      <protection locked="0"/>
    </xf>
    <xf numFmtId="0" fontId="710" fillId="0" borderId="0" xfId="0" applyFont="1" applyAlignment="1" applyProtection="1">
      <alignment horizontal="left"/>
      <protection locked="0"/>
    </xf>
    <xf numFmtId="0" fontId="711" fillId="0" borderId="0" xfId="0" applyFont="1" applyAlignment="1" applyProtection="1">
      <alignment horizontal="center"/>
      <protection hidden="1"/>
    </xf>
    <xf numFmtId="0" fontId="711" fillId="0" borderId="0" xfId="0" applyFont="1" applyAlignment="1" applyProtection="1">
      <alignment horizontal="left"/>
      <protection hidden="1"/>
    </xf>
    <xf numFmtId="0" fontId="710" fillId="4" borderId="0" xfId="0" applyFont="1" applyFill="1" applyAlignment="1" applyProtection="1">
      <alignment horizontal="right" vertical="center"/>
      <protection locked="0"/>
    </xf>
    <xf numFmtId="0" fontId="710" fillId="0" borderId="0" xfId="0" applyFont="1" applyAlignment="1" applyProtection="1">
      <alignment horizontal="left" indent="2"/>
      <protection locked="0"/>
    </xf>
    <xf numFmtId="0" fontId="710" fillId="0" borderId="0" xfId="0" applyFont="1" applyAlignment="1" applyProtection="1">
      <alignment horizontal="left" vertical="center" indent="1"/>
      <protection locked="0"/>
    </xf>
    <xf numFmtId="0" fontId="710" fillId="4" borderId="0" xfId="0" applyFont="1" applyFill="1" applyAlignment="1" applyProtection="1">
      <alignment horizontal="left" vertical="center" indent="1"/>
      <protection locked="0"/>
    </xf>
    <xf numFmtId="0" fontId="523" fillId="0" borderId="0" xfId="0" applyFont="1" applyAlignment="1" applyProtection="1">
      <alignment vertical="center" textRotation="255"/>
      <protection hidden="1"/>
    </xf>
    <xf numFmtId="0" fontId="21" fillId="16" borderId="132" xfId="0" applyFont="1" applyFill="1" applyBorder="1" applyAlignment="1" applyProtection="1">
      <alignment horizontal="left" vertical="center"/>
      <protection locked="0"/>
    </xf>
    <xf numFmtId="0" fontId="21" fillId="16" borderId="1" xfId="0" applyFont="1" applyFill="1" applyBorder="1" applyAlignment="1" applyProtection="1">
      <alignment horizontal="left" vertical="center"/>
      <protection locked="0"/>
    </xf>
    <xf numFmtId="0" fontId="269" fillId="16" borderId="35" xfId="0" applyFont="1" applyFill="1" applyBorder="1" applyAlignment="1" applyProtection="1">
      <alignment vertical="center"/>
      <protection hidden="1"/>
    </xf>
    <xf numFmtId="0" fontId="269" fillId="16" borderId="51" xfId="0" applyFont="1" applyFill="1" applyBorder="1" applyAlignment="1" applyProtection="1">
      <alignment vertical="center"/>
      <protection hidden="1"/>
    </xf>
    <xf numFmtId="0" fontId="269" fillId="16" borderId="34" xfId="0" applyFont="1" applyFill="1" applyBorder="1" applyAlignment="1" applyProtection="1">
      <alignment vertical="center"/>
      <protection hidden="1"/>
    </xf>
    <xf numFmtId="0" fontId="269" fillId="16" borderId="39" xfId="0" applyFont="1" applyFill="1" applyBorder="1" applyAlignment="1" applyProtection="1">
      <alignment vertical="center"/>
      <protection hidden="1"/>
    </xf>
    <xf numFmtId="0" fontId="269" fillId="16" borderId="104" xfId="0" applyFont="1" applyFill="1" applyBorder="1" applyAlignment="1" applyProtection="1">
      <alignment vertical="center"/>
      <protection hidden="1"/>
    </xf>
    <xf numFmtId="0" fontId="269" fillId="16" borderId="33" xfId="0" applyFont="1" applyFill="1" applyBorder="1" applyAlignment="1" applyProtection="1">
      <alignment vertical="center"/>
      <protection hidden="1"/>
    </xf>
    <xf numFmtId="0" fontId="269" fillId="16" borderId="52" xfId="0" applyFont="1" applyFill="1" applyBorder="1" applyAlignment="1" applyProtection="1">
      <alignment vertical="center"/>
      <protection hidden="1"/>
    </xf>
    <xf numFmtId="0" fontId="269" fillId="16" borderId="22" xfId="0" applyFont="1" applyFill="1" applyBorder="1" applyAlignment="1" applyProtection="1">
      <alignment vertical="center"/>
      <protection hidden="1"/>
    </xf>
    <xf numFmtId="0" fontId="60" fillId="17" borderId="71" xfId="0" applyFont="1" applyFill="1" applyBorder="1" applyAlignment="1" applyProtection="1">
      <alignment horizontal="left" vertical="center" indent="1"/>
      <protection hidden="1"/>
    </xf>
    <xf numFmtId="0" fontId="248" fillId="0" borderId="0" xfId="0" quotePrefix="1" applyFont="1" applyAlignment="1" applyProtection="1">
      <alignment horizontal="center" vertical="center"/>
      <protection hidden="1"/>
    </xf>
    <xf numFmtId="0" fontId="75" fillId="0" borderId="492" xfId="0" applyFont="1" applyBorder="1" applyAlignment="1" applyProtection="1">
      <alignment horizontal="right" vertical="center"/>
      <protection hidden="1"/>
    </xf>
    <xf numFmtId="0" fontId="75" fillId="0" borderId="493" xfId="0" applyFont="1" applyBorder="1" applyAlignment="1" applyProtection="1">
      <alignment vertical="center"/>
      <protection hidden="1"/>
    </xf>
    <xf numFmtId="0" fontId="149" fillId="0" borderId="52" xfId="0" applyFont="1" applyBorder="1" applyAlignment="1" applyProtection="1">
      <alignment horizontal="center"/>
      <protection locked="0"/>
    </xf>
    <xf numFmtId="0" fontId="121" fillId="0" borderId="0" xfId="0" applyFont="1" applyAlignment="1" applyProtection="1">
      <alignment vertical="center"/>
      <protection locked="0"/>
    </xf>
    <xf numFmtId="0" fontId="121" fillId="0" borderId="0" xfId="0" quotePrefix="1" applyFont="1" applyAlignment="1" applyProtection="1">
      <alignment horizontal="right" vertical="center"/>
      <protection hidden="1"/>
    </xf>
    <xf numFmtId="0" fontId="248" fillId="0" borderId="0" xfId="0" quotePrefix="1" applyFont="1" applyAlignment="1" applyProtection="1">
      <alignment horizontal="right" vertical="center"/>
      <protection hidden="1"/>
    </xf>
    <xf numFmtId="0" fontId="714" fillId="0" borderId="0" xfId="0" applyFont="1" applyAlignment="1" applyProtection="1">
      <alignment horizontal="left" vertical="top"/>
      <protection hidden="1"/>
    </xf>
    <xf numFmtId="178" fontId="18" fillId="4" borderId="0" xfId="0" applyNumberFormat="1" applyFont="1" applyFill="1" applyAlignment="1" applyProtection="1">
      <alignment horizontal="center" vertical="top"/>
      <protection hidden="1"/>
    </xf>
    <xf numFmtId="0" fontId="148" fillId="4" borderId="0" xfId="0" applyFont="1" applyFill="1" applyAlignment="1" applyProtection="1">
      <alignment horizontal="center" vertical="center"/>
      <protection hidden="1"/>
    </xf>
    <xf numFmtId="0" fontId="114" fillId="4" borderId="0" xfId="0" applyFont="1" applyFill="1" applyAlignment="1" applyProtection="1">
      <alignment horizontal="center" vertical="center"/>
      <protection hidden="1"/>
    </xf>
    <xf numFmtId="1" fontId="18" fillId="4" borderId="0" xfId="0" applyNumberFormat="1" applyFont="1" applyFill="1" applyAlignment="1" applyProtection="1">
      <alignment horizontal="center" vertical="top"/>
      <protection locked="0"/>
    </xf>
    <xf numFmtId="0" fontId="715" fillId="4" borderId="0" xfId="0" quotePrefix="1" applyFont="1" applyFill="1" applyAlignment="1" applyProtection="1">
      <alignment vertical="center"/>
      <protection hidden="1"/>
    </xf>
    <xf numFmtId="1" fontId="18" fillId="4" borderId="0" xfId="0" applyNumberFormat="1" applyFont="1" applyFill="1" applyAlignment="1" applyProtection="1">
      <alignment horizontal="right" vertical="top"/>
      <protection hidden="1"/>
    </xf>
    <xf numFmtId="178" fontId="18" fillId="4" borderId="0" xfId="0" applyNumberFormat="1" applyFont="1" applyFill="1" applyAlignment="1" applyProtection="1">
      <alignment horizontal="left" vertical="top"/>
      <protection hidden="1"/>
    </xf>
    <xf numFmtId="178" fontId="18" fillId="4" borderId="0" xfId="0" applyNumberFormat="1" applyFont="1" applyFill="1" applyAlignment="1" applyProtection="1">
      <alignment horizontal="right" vertical="top"/>
      <protection hidden="1"/>
    </xf>
    <xf numFmtId="1" fontId="148" fillId="4" borderId="0" xfId="0" applyNumberFormat="1" applyFont="1" applyFill="1" applyAlignment="1" applyProtection="1">
      <alignment vertical="top"/>
      <protection hidden="1"/>
    </xf>
    <xf numFmtId="1" fontId="18" fillId="4" borderId="0" xfId="0" applyNumberFormat="1" applyFont="1" applyFill="1" applyAlignment="1" applyProtection="1">
      <alignment vertical="top"/>
      <protection hidden="1"/>
    </xf>
    <xf numFmtId="0" fontId="41" fillId="4" borderId="0" xfId="0" applyFont="1" applyFill="1" applyAlignment="1" applyProtection="1">
      <alignment vertical="center" textRotation="255"/>
      <protection hidden="1"/>
    </xf>
    <xf numFmtId="0" fontId="21" fillId="16" borderId="1" xfId="0" applyFont="1" applyFill="1" applyBorder="1" applyAlignment="1" applyProtection="1">
      <alignment horizontal="left" vertical="center" wrapText="1"/>
      <protection locked="0"/>
    </xf>
    <xf numFmtId="0" fontId="191" fillId="17" borderId="0" xfId="0" applyFont="1" applyFill="1" applyAlignment="1" applyProtection="1">
      <alignment horizontal="center" vertical="center"/>
      <protection hidden="1"/>
    </xf>
    <xf numFmtId="0" fontId="328" fillId="14" borderId="0" xfId="0" applyFont="1" applyFill="1" applyAlignment="1" applyProtection="1">
      <alignment horizontal="right" vertical="center"/>
      <protection hidden="1"/>
    </xf>
    <xf numFmtId="0" fontId="1" fillId="16" borderId="0" xfId="0" applyFont="1" applyFill="1" applyAlignment="1" applyProtection="1">
      <alignment horizontal="center"/>
      <protection hidden="1"/>
    </xf>
    <xf numFmtId="0" fontId="100" fillId="17" borderId="0" xfId="0" applyFont="1" applyFill="1" applyAlignment="1" applyProtection="1">
      <alignment horizontal="center" vertical="center"/>
      <protection hidden="1"/>
    </xf>
    <xf numFmtId="0" fontId="100" fillId="17" borderId="0" xfId="0" applyFont="1" applyFill="1" applyAlignment="1" applyProtection="1">
      <alignment vertical="top"/>
      <protection hidden="1"/>
    </xf>
    <xf numFmtId="0" fontId="211" fillId="17" borderId="0" xfId="0" applyFont="1" applyFill="1" applyAlignment="1" applyProtection="1">
      <alignment textRotation="180" wrapText="1"/>
      <protection hidden="1"/>
    </xf>
    <xf numFmtId="0" fontId="192" fillId="17" borderId="0" xfId="0" applyFont="1" applyFill="1" applyAlignment="1" applyProtection="1">
      <alignment horizontal="center" vertical="center"/>
      <protection hidden="1"/>
    </xf>
    <xf numFmtId="0" fontId="212" fillId="17" borderId="0" xfId="0" applyFont="1" applyFill="1" applyAlignment="1" applyProtection="1">
      <alignment textRotation="150" wrapText="1"/>
      <protection hidden="1"/>
    </xf>
    <xf numFmtId="0" fontId="297" fillId="17" borderId="0" xfId="0" applyFont="1" applyFill="1" applyAlignment="1" applyProtection="1">
      <alignment horizontal="left" vertical="center"/>
      <protection hidden="1"/>
    </xf>
    <xf numFmtId="0" fontId="213" fillId="17" borderId="0" xfId="0" applyFont="1" applyFill="1" applyAlignment="1" applyProtection="1">
      <alignment vertical="top" wrapText="1"/>
      <protection hidden="1"/>
    </xf>
    <xf numFmtId="0" fontId="191" fillId="17" borderId="0" xfId="0" applyFont="1" applyFill="1" applyAlignment="1" applyProtection="1">
      <alignment horizontal="left" vertical="center"/>
      <protection hidden="1"/>
    </xf>
    <xf numFmtId="0" fontId="328" fillId="14" borderId="0" xfId="0" applyFont="1" applyFill="1" applyAlignment="1" applyProtection="1">
      <alignment horizontal="center" vertical="center"/>
      <protection hidden="1"/>
    </xf>
    <xf numFmtId="0" fontId="121" fillId="0" borderId="0" xfId="0" applyFont="1" applyAlignment="1" applyProtection="1">
      <alignment horizontal="right" vertical="center"/>
      <protection locked="0"/>
    </xf>
    <xf numFmtId="168" fontId="121" fillId="0" borderId="0" xfId="0" applyNumberFormat="1" applyFont="1" applyAlignment="1" applyProtection="1">
      <alignment horizontal="center" vertical="center"/>
      <protection locked="0"/>
    </xf>
    <xf numFmtId="1" fontId="149" fillId="0" borderId="52" xfId="0" applyNumberFormat="1" applyFont="1" applyBorder="1" applyAlignment="1" applyProtection="1">
      <alignment horizontal="center"/>
      <protection locked="0"/>
    </xf>
    <xf numFmtId="168" fontId="1" fillId="0" borderId="0" xfId="0" applyNumberFormat="1" applyFont="1" applyAlignment="1" applyProtection="1">
      <alignment horizontal="center"/>
      <protection hidden="1"/>
    </xf>
    <xf numFmtId="17" fontId="90" fillId="18" borderId="100" xfId="0" applyNumberFormat="1" applyFont="1" applyFill="1" applyBorder="1" applyAlignment="1" applyProtection="1">
      <alignment horizontal="right"/>
      <protection locked="0"/>
    </xf>
    <xf numFmtId="0" fontId="74" fillId="18" borderId="100" xfId="0" applyFont="1" applyFill="1" applyBorder="1" applyAlignment="1" applyProtection="1">
      <alignment horizontal="right"/>
      <protection locked="0"/>
    </xf>
    <xf numFmtId="0" fontId="74" fillId="18" borderId="100" xfId="0" applyFont="1" applyFill="1" applyBorder="1" applyAlignment="1" applyProtection="1">
      <alignment horizontal="center"/>
      <protection locked="0"/>
    </xf>
    <xf numFmtId="177" fontId="90" fillId="18" borderId="100" xfId="0" applyNumberFormat="1" applyFont="1" applyFill="1" applyBorder="1" applyAlignment="1" applyProtection="1">
      <alignment horizontal="right"/>
      <protection locked="0"/>
    </xf>
    <xf numFmtId="177" fontId="74" fillId="18" borderId="100" xfId="0" applyNumberFormat="1" applyFont="1" applyFill="1" applyBorder="1" applyAlignment="1" applyProtection="1">
      <alignment horizontal="center"/>
      <protection locked="0"/>
    </xf>
    <xf numFmtId="0" fontId="60" fillId="17" borderId="40" xfId="0" applyFont="1" applyFill="1" applyBorder="1" applyAlignment="1" applyProtection="1">
      <alignment horizontal="center" vertical="top"/>
      <protection hidden="1"/>
    </xf>
    <xf numFmtId="49" fontId="70" fillId="0" borderId="150" xfId="0" applyNumberFormat="1" applyFont="1" applyBorder="1" applyAlignment="1" applyProtection="1">
      <alignment horizontal="left" vertical="center" wrapText="1"/>
      <protection locked="0"/>
    </xf>
    <xf numFmtId="0" fontId="717" fillId="4" borderId="0" xfId="0" applyFont="1" applyFill="1" applyAlignment="1" applyProtection="1">
      <alignment horizontal="center" vertical="center"/>
      <protection hidden="1"/>
    </xf>
    <xf numFmtId="0" fontId="718" fillId="4" borderId="0" xfId="0" applyFont="1" applyFill="1" applyAlignment="1" applyProtection="1">
      <alignment horizontal="center" vertical="center"/>
      <protection hidden="1"/>
    </xf>
    <xf numFmtId="0" fontId="617" fillId="0" borderId="0" xfId="0" applyFont="1" applyAlignment="1" applyProtection="1">
      <alignment horizontal="center" vertical="center"/>
      <protection hidden="1"/>
    </xf>
    <xf numFmtId="0" fontId="617" fillId="0" borderId="0" xfId="0" applyFont="1" applyAlignment="1" applyProtection="1">
      <alignment horizontal="center" vertical="top"/>
      <protection hidden="1"/>
    </xf>
    <xf numFmtId="0" fontId="573" fillId="0" borderId="0" xfId="0" applyFont="1" applyAlignment="1" applyProtection="1">
      <alignment horizontal="center"/>
      <protection hidden="1"/>
    </xf>
    <xf numFmtId="0" fontId="580" fillId="0" borderId="0" xfId="0" applyFont="1" applyAlignment="1" applyProtection="1">
      <alignment horizontal="center"/>
      <protection hidden="1"/>
    </xf>
    <xf numFmtId="0" fontId="618" fillId="18" borderId="0" xfId="0" applyFont="1" applyFill="1" applyAlignment="1" applyProtection="1">
      <alignment horizontal="right"/>
      <protection hidden="1"/>
    </xf>
    <xf numFmtId="0" fontId="612" fillId="0" borderId="0" xfId="0" applyFont="1" applyAlignment="1" applyProtection="1">
      <alignment horizontal="left" vertical="center" indent="6"/>
      <protection hidden="1"/>
    </xf>
    <xf numFmtId="0" fontId="101" fillId="0" borderId="1" xfId="0" applyFont="1" applyBorder="1" applyAlignment="1" applyProtection="1">
      <alignment horizontal="center" vertical="center"/>
      <protection locked="0"/>
    </xf>
    <xf numFmtId="1" fontId="101" fillId="0" borderId="0" xfId="0" applyNumberFormat="1" applyFont="1" applyAlignment="1" applyProtection="1">
      <alignment horizontal="center" vertical="center"/>
      <protection locked="0"/>
    </xf>
    <xf numFmtId="0" fontId="101" fillId="0" borderId="0" xfId="0" applyFont="1" applyAlignment="1" applyProtection="1">
      <alignment horizontal="center" vertical="center"/>
      <protection locked="0"/>
    </xf>
    <xf numFmtId="0" fontId="573" fillId="0" borderId="0" xfId="0" applyFont="1" applyAlignment="1" applyProtection="1">
      <alignment horizontal="right" vertical="top"/>
      <protection hidden="1"/>
    </xf>
    <xf numFmtId="0" fontId="617" fillId="0" borderId="0" xfId="0" applyFont="1" applyAlignment="1" applyProtection="1">
      <alignment horizontal="center"/>
      <protection hidden="1"/>
    </xf>
    <xf numFmtId="0" fontId="573" fillId="0" borderId="0" xfId="0" applyFont="1" applyAlignment="1" applyProtection="1">
      <alignment horizontal="left" indent="3"/>
      <protection hidden="1"/>
    </xf>
    <xf numFmtId="0" fontId="580" fillId="0" borderId="0" xfId="0" applyFont="1" applyAlignment="1" applyProtection="1">
      <alignment horizontal="left"/>
      <protection hidden="1"/>
    </xf>
    <xf numFmtId="0" fontId="573" fillId="0" borderId="0" xfId="0" applyFont="1" applyAlignment="1" applyProtection="1">
      <alignment horizontal="left" vertical="top"/>
      <protection hidden="1"/>
    </xf>
    <xf numFmtId="0" fontId="573" fillId="0" borderId="0" xfId="0" applyFont="1" applyAlignment="1" applyProtection="1">
      <alignment horizontal="right"/>
      <protection hidden="1"/>
    </xf>
    <xf numFmtId="0" fontId="573" fillId="0" borderId="0" xfId="0" applyFont="1" applyAlignment="1" applyProtection="1">
      <alignment horizontal="left"/>
      <protection hidden="1"/>
    </xf>
    <xf numFmtId="0" fontId="573" fillId="0" borderId="0" xfId="0" applyFont="1" applyAlignment="1" applyProtection="1">
      <alignment horizontal="center" vertical="center"/>
      <protection hidden="1"/>
    </xf>
    <xf numFmtId="0" fontId="580" fillId="0" borderId="0" xfId="0" applyFont="1" applyAlignment="1" applyProtection="1">
      <alignment horizontal="center" vertical="center"/>
      <protection hidden="1"/>
    </xf>
    <xf numFmtId="0" fontId="573" fillId="0" borderId="0" xfId="0" applyFont="1" applyAlignment="1" applyProtection="1">
      <alignment horizontal="right" vertical="center"/>
      <protection hidden="1"/>
    </xf>
    <xf numFmtId="0" fontId="644" fillId="0" borderId="0" xfId="0" applyFont="1" applyAlignment="1" applyProtection="1">
      <alignment horizontal="center" vertical="center"/>
      <protection hidden="1"/>
    </xf>
    <xf numFmtId="0" fontId="643" fillId="0" borderId="0" xfId="0" applyFont="1" applyAlignment="1" applyProtection="1">
      <alignment horizontal="left" vertical="top"/>
      <protection hidden="1"/>
    </xf>
    <xf numFmtId="0" fontId="643" fillId="0" borderId="0" xfId="0" applyFont="1" applyAlignment="1" applyProtection="1">
      <alignment horizontal="right"/>
      <protection hidden="1"/>
    </xf>
    <xf numFmtId="0" fontId="573" fillId="0" borderId="14" xfId="0" applyFont="1" applyBorder="1" applyAlignment="1" applyProtection="1">
      <alignment horizontal="center" vertical="center"/>
      <protection hidden="1"/>
    </xf>
    <xf numFmtId="0" fontId="573" fillId="0" borderId="13" xfId="0" applyFont="1" applyBorder="1" applyAlignment="1" applyProtection="1">
      <alignment horizontal="center" vertical="center"/>
      <protection hidden="1"/>
    </xf>
    <xf numFmtId="0" fontId="573" fillId="0" borderId="15" xfId="0" applyFont="1" applyBorder="1" applyAlignment="1" applyProtection="1">
      <alignment horizontal="center" vertical="center"/>
      <protection hidden="1"/>
    </xf>
    <xf numFmtId="0" fontId="573" fillId="0" borderId="18" xfId="0" applyFont="1" applyBorder="1" applyAlignment="1" applyProtection="1">
      <alignment horizontal="center" vertical="center"/>
      <protection hidden="1"/>
    </xf>
    <xf numFmtId="0" fontId="573" fillId="0" borderId="19" xfId="0" applyFont="1" applyBorder="1" applyAlignment="1" applyProtection="1">
      <alignment horizontal="center" vertical="center"/>
      <protection hidden="1"/>
    </xf>
    <xf numFmtId="0" fontId="573" fillId="0" borderId="20" xfId="0" applyFont="1" applyBorder="1" applyAlignment="1" applyProtection="1">
      <alignment horizontal="center" vertical="center"/>
      <protection hidden="1"/>
    </xf>
    <xf numFmtId="0" fontId="573" fillId="0" borderId="1" xfId="0" applyFont="1" applyBorder="1" applyAlignment="1" applyProtection="1">
      <alignment horizontal="right"/>
      <protection hidden="1"/>
    </xf>
    <xf numFmtId="0" fontId="573" fillId="0" borderId="30" xfId="0" applyFont="1" applyBorder="1" applyAlignment="1" applyProtection="1">
      <alignment horizontal="right"/>
      <protection hidden="1"/>
    </xf>
    <xf numFmtId="0" fontId="573" fillId="0" borderId="27" xfId="0" applyFont="1" applyBorder="1" applyAlignment="1" applyProtection="1">
      <alignment horizontal="right"/>
      <protection hidden="1"/>
    </xf>
    <xf numFmtId="0" fontId="573" fillId="0" borderId="28" xfId="0" applyFont="1" applyBorder="1" applyAlignment="1" applyProtection="1">
      <alignment horizontal="right"/>
      <protection hidden="1"/>
    </xf>
    <xf numFmtId="0" fontId="580" fillId="0" borderId="1" xfId="0" applyFont="1" applyBorder="1" applyAlignment="1" applyProtection="1">
      <alignment horizontal="center"/>
      <protection hidden="1"/>
    </xf>
    <xf numFmtId="0" fontId="580" fillId="0" borderId="28" xfId="0" applyFont="1" applyBorder="1" applyAlignment="1" applyProtection="1">
      <alignment horizontal="center"/>
      <protection hidden="1"/>
    </xf>
    <xf numFmtId="14" fontId="103" fillId="4" borderId="147" xfId="0" applyNumberFormat="1" applyFont="1" applyFill="1" applyBorder="1" applyAlignment="1" applyProtection="1">
      <alignment horizontal="center" vertical="center"/>
      <protection locked="0"/>
    </xf>
    <xf numFmtId="14" fontId="103" fillId="4" borderId="148" xfId="0" applyNumberFormat="1" applyFont="1" applyFill="1" applyBorder="1" applyAlignment="1" applyProtection="1">
      <alignment horizontal="center" vertical="center"/>
      <protection locked="0"/>
    </xf>
    <xf numFmtId="14" fontId="101" fillId="0" borderId="472" xfId="0" applyNumberFormat="1" applyFont="1" applyBorder="1" applyAlignment="1" applyProtection="1">
      <alignment horizontal="center" vertical="center"/>
      <protection locked="0"/>
    </xf>
    <xf numFmtId="14" fontId="101" fillId="0" borderId="109" xfId="0" applyNumberFormat="1" applyFont="1" applyBorder="1" applyAlignment="1" applyProtection="1">
      <alignment horizontal="center" vertical="center"/>
      <protection locked="0"/>
    </xf>
    <xf numFmtId="14" fontId="101" fillId="0" borderId="473" xfId="0" applyNumberFormat="1" applyFont="1" applyBorder="1" applyAlignment="1" applyProtection="1">
      <alignment horizontal="center" vertical="center"/>
      <protection locked="0"/>
    </xf>
    <xf numFmtId="14" fontId="101" fillId="0" borderId="474" xfId="0" applyNumberFormat="1" applyFont="1" applyBorder="1" applyAlignment="1" applyProtection="1">
      <alignment horizontal="center" vertical="center"/>
      <protection locked="0"/>
    </xf>
    <xf numFmtId="14" fontId="101" fillId="0" borderId="475" xfId="0" applyNumberFormat="1" applyFont="1" applyBorder="1" applyAlignment="1" applyProtection="1">
      <alignment horizontal="center" vertical="center"/>
      <protection locked="0"/>
    </xf>
    <xf numFmtId="1" fontId="172" fillId="4" borderId="100" xfId="0" applyNumberFormat="1" applyFont="1" applyFill="1" applyBorder="1" applyAlignment="1" applyProtection="1">
      <alignment horizontal="center" vertical="center"/>
      <protection locked="0"/>
    </xf>
    <xf numFmtId="0" fontId="172" fillId="4" borderId="100" xfId="0" applyFont="1" applyFill="1" applyBorder="1" applyAlignment="1" applyProtection="1">
      <alignment horizontal="center" vertical="center"/>
      <protection locked="0"/>
    </xf>
    <xf numFmtId="0" fontId="580" fillId="0" borderId="0" xfId="0" applyFont="1" applyAlignment="1" applyProtection="1">
      <alignment horizontal="left" vertical="center"/>
      <protection hidden="1"/>
    </xf>
    <xf numFmtId="1" fontId="347" fillId="0" borderId="0" xfId="0" applyNumberFormat="1" applyFont="1" applyAlignment="1" applyProtection="1">
      <alignment horizontal="center" vertical="center"/>
      <protection locked="0"/>
    </xf>
    <xf numFmtId="0" fontId="347" fillId="0" borderId="0" xfId="0" applyFont="1" applyAlignment="1" applyProtection="1">
      <alignment horizontal="center" vertical="center"/>
      <protection locked="0"/>
    </xf>
    <xf numFmtId="0" fontId="573" fillId="0" borderId="0" xfId="0" applyFont="1" applyAlignment="1" applyProtection="1">
      <alignment horizontal="left" vertical="center" indent="3"/>
      <protection hidden="1"/>
    </xf>
    <xf numFmtId="0" fontId="580" fillId="0" borderId="465" xfId="0" applyFont="1" applyBorder="1" applyAlignment="1" applyProtection="1">
      <alignment horizontal="left" vertical="center"/>
      <protection hidden="1"/>
    </xf>
    <xf numFmtId="0" fontId="580" fillId="0" borderId="466" xfId="0" applyFont="1" applyBorder="1" applyAlignment="1" applyProtection="1">
      <alignment horizontal="left" vertical="center"/>
      <protection hidden="1"/>
    </xf>
    <xf numFmtId="0" fontId="573" fillId="0" borderId="14" xfId="0" applyFont="1" applyBorder="1" applyAlignment="1" applyProtection="1">
      <alignment horizontal="left" vertical="center" indent="3"/>
      <protection hidden="1"/>
    </xf>
    <xf numFmtId="0" fontId="573" fillId="0" borderId="13" xfId="0" applyFont="1" applyBorder="1" applyAlignment="1" applyProtection="1">
      <alignment horizontal="left" vertical="center" indent="3"/>
      <protection hidden="1"/>
    </xf>
    <xf numFmtId="0" fontId="573" fillId="0" borderId="15" xfId="0" applyFont="1" applyBorder="1" applyAlignment="1" applyProtection="1">
      <alignment horizontal="left" vertical="center" indent="3"/>
      <protection hidden="1"/>
    </xf>
    <xf numFmtId="0" fontId="573" fillId="0" borderId="18" xfId="0" applyFont="1" applyBorder="1" applyAlignment="1" applyProtection="1">
      <alignment horizontal="left" vertical="center" indent="3"/>
      <protection hidden="1"/>
    </xf>
    <xf numFmtId="0" fontId="573" fillId="0" borderId="19" xfId="0" applyFont="1" applyBorder="1" applyAlignment="1" applyProtection="1">
      <alignment horizontal="left" vertical="center" indent="3"/>
      <protection hidden="1"/>
    </xf>
    <xf numFmtId="0" fontId="573" fillId="0" borderId="20" xfId="0" applyFont="1" applyBorder="1" applyAlignment="1" applyProtection="1">
      <alignment horizontal="left" vertical="center" indent="3"/>
      <protection hidden="1"/>
    </xf>
    <xf numFmtId="0" fontId="131" fillId="0" borderId="32" xfId="0" applyFont="1" applyBorder="1" applyAlignment="1" applyProtection="1">
      <alignment horizontal="center" vertical="center"/>
      <protection locked="0"/>
    </xf>
    <xf numFmtId="0" fontId="131" fillId="0" borderId="105" xfId="0" applyFont="1" applyBorder="1" applyAlignment="1" applyProtection="1">
      <alignment horizontal="center" vertical="center"/>
      <protection locked="0"/>
    </xf>
    <xf numFmtId="0" fontId="131" fillId="0" borderId="132" xfId="0" applyFont="1" applyBorder="1" applyAlignment="1" applyProtection="1">
      <alignment horizontal="center" vertical="center"/>
      <protection locked="0"/>
    </xf>
    <xf numFmtId="17" fontId="146" fillId="0" borderId="32" xfId="0" applyNumberFormat="1" applyFont="1" applyBorder="1" applyAlignment="1" applyProtection="1">
      <alignment horizontal="center" vertical="top"/>
      <protection locked="0"/>
    </xf>
    <xf numFmtId="17" fontId="146" fillId="0" borderId="105" xfId="0" applyNumberFormat="1" applyFont="1" applyBorder="1" applyAlignment="1" applyProtection="1">
      <alignment horizontal="center" vertical="top"/>
      <protection locked="0"/>
    </xf>
    <xf numFmtId="17" fontId="146" fillId="0" borderId="132" xfId="0" applyNumberFormat="1" applyFont="1" applyBorder="1" applyAlignment="1" applyProtection="1">
      <alignment horizontal="center" vertical="top"/>
      <protection locked="0"/>
    </xf>
    <xf numFmtId="0" fontId="40" fillId="0" borderId="51" xfId="0" applyFont="1" applyBorder="1" applyAlignment="1" applyProtection="1">
      <alignment horizontal="center" vertical="center"/>
      <protection locked="0"/>
    </xf>
    <xf numFmtId="0" fontId="636" fillId="0" borderId="100" xfId="0" applyFont="1" applyBorder="1" applyAlignment="1" applyProtection="1">
      <alignment horizontal="right"/>
      <protection hidden="1"/>
    </xf>
    <xf numFmtId="0" fontId="636" fillId="0" borderId="100" xfId="0" applyFont="1" applyBorder="1" applyAlignment="1" applyProtection="1">
      <alignment horizontal="left" vertical="top"/>
      <protection hidden="1"/>
    </xf>
    <xf numFmtId="0" fontId="639" fillId="0" borderId="148" xfId="0" applyFont="1" applyBorder="1" applyAlignment="1" applyProtection="1">
      <alignment horizontal="center"/>
      <protection hidden="1"/>
    </xf>
    <xf numFmtId="0" fontId="639" fillId="0" borderId="100" xfId="0" applyFont="1" applyBorder="1" applyAlignment="1" applyProtection="1">
      <alignment horizontal="center"/>
      <protection hidden="1"/>
    </xf>
    <xf numFmtId="1" fontId="101" fillId="0" borderId="100" xfId="0" applyNumberFormat="1" applyFont="1" applyBorder="1" applyAlignment="1" applyProtection="1">
      <alignment horizontal="center" vertical="center"/>
      <protection locked="0"/>
    </xf>
    <xf numFmtId="0" fontId="101" fillId="0" borderId="100" xfId="0" applyFont="1" applyBorder="1" applyAlignment="1" applyProtection="1">
      <alignment horizontal="center" vertical="center"/>
      <protection locked="0"/>
    </xf>
    <xf numFmtId="0" fontId="639" fillId="0" borderId="100" xfId="0" applyFont="1" applyBorder="1" applyAlignment="1" applyProtection="1">
      <alignment horizontal="center" vertical="top"/>
      <protection hidden="1"/>
    </xf>
    <xf numFmtId="0" fontId="573" fillId="0" borderId="1" xfId="0" applyFont="1" applyBorder="1" applyAlignment="1" applyProtection="1">
      <alignment horizontal="center"/>
      <protection hidden="1"/>
    </xf>
    <xf numFmtId="0" fontId="573" fillId="0" borderId="1" xfId="0" applyFont="1" applyBorder="1" applyAlignment="1" applyProtection="1">
      <alignment horizontal="left"/>
      <protection hidden="1"/>
    </xf>
    <xf numFmtId="0" fontId="580" fillId="0" borderId="23" xfId="0" applyFont="1" applyBorder="1" applyAlignment="1" applyProtection="1">
      <alignment horizontal="left"/>
      <protection hidden="1"/>
    </xf>
    <xf numFmtId="0" fontId="580" fillId="0" borderId="1" xfId="0" applyFont="1" applyBorder="1" applyAlignment="1" applyProtection="1">
      <alignment horizontal="left"/>
      <protection hidden="1"/>
    </xf>
    <xf numFmtId="0" fontId="580" fillId="0" borderId="23" xfId="0" applyFont="1" applyBorder="1" applyAlignment="1" applyProtection="1">
      <alignment horizontal="center"/>
      <protection hidden="1"/>
    </xf>
    <xf numFmtId="0" fontId="580" fillId="0" borderId="337" xfId="0" applyFont="1" applyBorder="1" applyAlignment="1" applyProtection="1">
      <alignment horizontal="center"/>
      <protection hidden="1"/>
    </xf>
    <xf numFmtId="0" fontId="612" fillId="0" borderId="14" xfId="0" applyFont="1" applyBorder="1" applyAlignment="1" applyProtection="1">
      <alignment horizontal="left" vertical="center" indent="6"/>
      <protection hidden="1"/>
    </xf>
    <xf numFmtId="0" fontId="612" fillId="0" borderId="13" xfId="0" applyFont="1" applyBorder="1" applyAlignment="1" applyProtection="1">
      <alignment horizontal="left" vertical="center" indent="6"/>
      <protection hidden="1"/>
    </xf>
    <xf numFmtId="0" fontId="612" fillId="0" borderId="15" xfId="0" applyFont="1" applyBorder="1" applyAlignment="1" applyProtection="1">
      <alignment horizontal="left" vertical="center" indent="6"/>
      <protection hidden="1"/>
    </xf>
    <xf numFmtId="0" fontId="612" fillId="0" borderId="16" xfId="0" applyFont="1" applyBorder="1" applyAlignment="1" applyProtection="1">
      <alignment horizontal="left" vertical="center" indent="6"/>
      <protection hidden="1"/>
    </xf>
    <xf numFmtId="0" fontId="612" fillId="0" borderId="17" xfId="0" applyFont="1" applyBorder="1" applyAlignment="1" applyProtection="1">
      <alignment horizontal="left" vertical="center" indent="6"/>
      <protection hidden="1"/>
    </xf>
    <xf numFmtId="0" fontId="612" fillId="0" borderId="18" xfId="0" applyFont="1" applyBorder="1" applyAlignment="1" applyProtection="1">
      <alignment horizontal="left" vertical="center" indent="6"/>
      <protection hidden="1"/>
    </xf>
    <xf numFmtId="0" fontId="612" fillId="0" borderId="19" xfId="0" applyFont="1" applyBorder="1" applyAlignment="1" applyProtection="1">
      <alignment horizontal="left" vertical="center" indent="6"/>
      <protection hidden="1"/>
    </xf>
    <xf numFmtId="0" fontId="612" fillId="0" borderId="20" xfId="0" applyFont="1" applyBorder="1" applyAlignment="1" applyProtection="1">
      <alignment horizontal="left" vertical="center" indent="6"/>
      <protection hidden="1"/>
    </xf>
    <xf numFmtId="0" fontId="573" fillId="0" borderId="23" xfId="0" applyFont="1" applyBorder="1" applyAlignment="1" applyProtection="1">
      <alignment horizontal="left" vertical="top"/>
      <protection hidden="1"/>
    </xf>
    <xf numFmtId="0" fontId="573" fillId="0" borderId="1" xfId="0" applyFont="1" applyBorder="1" applyAlignment="1" applyProtection="1">
      <alignment horizontal="left" vertical="top"/>
      <protection hidden="1"/>
    </xf>
    <xf numFmtId="0" fontId="305" fillId="0" borderId="0" xfId="0" applyFont="1" applyAlignment="1" applyProtection="1">
      <alignment horizontal="center" vertical="center" wrapText="1"/>
      <protection locked="0"/>
    </xf>
    <xf numFmtId="0" fontId="305" fillId="0" borderId="52" xfId="0" applyFont="1" applyBorder="1" applyAlignment="1" applyProtection="1">
      <alignment horizontal="center" vertical="center" wrapText="1"/>
      <protection locked="0"/>
    </xf>
    <xf numFmtId="0" fontId="321" fillId="18" borderId="0" xfId="0" applyFont="1" applyFill="1" applyAlignment="1" applyProtection="1">
      <alignment horizontal="right" vertical="center" indent="2"/>
      <protection hidden="1"/>
    </xf>
    <xf numFmtId="0" fontId="131" fillId="0" borderId="32" xfId="0" applyFont="1" applyBorder="1" applyAlignment="1" applyProtection="1">
      <alignment horizontal="center"/>
      <protection locked="0"/>
    </xf>
    <xf numFmtId="0" fontId="131" fillId="0" borderId="105" xfId="0" applyFont="1" applyBorder="1" applyAlignment="1" applyProtection="1">
      <alignment horizontal="center"/>
      <protection locked="0"/>
    </xf>
    <xf numFmtId="0" fontId="131" fillId="0" borderId="132" xfId="0" applyFont="1" applyBorder="1" applyAlignment="1" applyProtection="1">
      <alignment horizontal="center"/>
      <protection locked="0"/>
    </xf>
    <xf numFmtId="169" fontId="21" fillId="0" borderId="32" xfId="0" applyNumberFormat="1" applyFont="1" applyBorder="1" applyAlignment="1" applyProtection="1">
      <alignment horizontal="center" vertical="top"/>
      <protection locked="0"/>
    </xf>
    <xf numFmtId="169" fontId="21" fillId="0" borderId="105" xfId="0" applyNumberFormat="1" applyFont="1" applyBorder="1" applyAlignment="1" applyProtection="1">
      <alignment horizontal="center" vertical="top"/>
      <protection locked="0"/>
    </xf>
    <xf numFmtId="169" fontId="21" fillId="0" borderId="132" xfId="0" applyNumberFormat="1" applyFont="1" applyBorder="1" applyAlignment="1" applyProtection="1">
      <alignment horizontal="center" vertical="top"/>
      <protection locked="0"/>
    </xf>
    <xf numFmtId="17" fontId="21" fillId="0" borderId="32" xfId="0" applyNumberFormat="1" applyFont="1" applyBorder="1" applyAlignment="1" applyProtection="1">
      <alignment horizontal="center" vertical="top"/>
      <protection locked="0"/>
    </xf>
    <xf numFmtId="17" fontId="21" fillId="0" borderId="105" xfId="0" applyNumberFormat="1" applyFont="1" applyBorder="1" applyAlignment="1" applyProtection="1">
      <alignment horizontal="center" vertical="top"/>
      <protection locked="0"/>
    </xf>
    <xf numFmtId="17" fontId="21" fillId="0" borderId="132" xfId="0" applyNumberFormat="1" applyFont="1" applyBorder="1" applyAlignment="1" applyProtection="1">
      <alignment horizontal="center" vertical="top"/>
      <protection locked="0"/>
    </xf>
    <xf numFmtId="0" fontId="230" fillId="0" borderId="0" xfId="0" applyFont="1" applyAlignment="1" applyProtection="1">
      <alignment horizontal="center" vertical="center"/>
      <protection locked="0"/>
    </xf>
    <xf numFmtId="0" fontId="60" fillId="17" borderId="0" xfId="0" applyFont="1" applyFill="1" applyAlignment="1" applyProtection="1">
      <alignment horizontal="right" vertical="top" indent="2"/>
      <protection hidden="1"/>
    </xf>
    <xf numFmtId="1" fontId="131" fillId="0" borderId="32" xfId="0" applyNumberFormat="1" applyFont="1" applyBorder="1" applyAlignment="1" applyProtection="1">
      <alignment horizontal="center" vertical="center"/>
      <protection locked="0"/>
    </xf>
    <xf numFmtId="1" fontId="131" fillId="0" borderId="105" xfId="0" applyNumberFormat="1" applyFont="1" applyBorder="1" applyAlignment="1" applyProtection="1">
      <alignment horizontal="center" vertical="center"/>
      <protection locked="0"/>
    </xf>
    <xf numFmtId="1" fontId="131" fillId="0" borderId="132" xfId="0" applyNumberFormat="1" applyFont="1" applyBorder="1" applyAlignment="1" applyProtection="1">
      <alignment horizontal="center" vertical="center"/>
      <protection locked="0"/>
    </xf>
    <xf numFmtId="0" fontId="350" fillId="0" borderId="0" xfId="0" applyFont="1" applyAlignment="1" applyProtection="1">
      <alignment horizontal="center" vertical="center"/>
      <protection hidden="1"/>
    </xf>
    <xf numFmtId="0" fontId="321" fillId="18" borderId="0" xfId="0" applyFont="1" applyFill="1" applyAlignment="1" applyProtection="1">
      <alignment horizontal="left" vertical="center" indent="2"/>
      <protection hidden="1"/>
    </xf>
    <xf numFmtId="0" fontId="288" fillId="18" borderId="0" xfId="0" applyFont="1" applyFill="1" applyAlignment="1" applyProtection="1">
      <alignment horizontal="left" vertical="center" indent="2"/>
      <protection hidden="1"/>
    </xf>
    <xf numFmtId="0" fontId="162" fillId="0" borderId="0" xfId="0" applyFont="1" applyAlignment="1" applyProtection="1">
      <alignment horizontal="center" vertical="center"/>
      <protection hidden="1"/>
    </xf>
    <xf numFmtId="0" fontId="162" fillId="0" borderId="0" xfId="0" applyFont="1" applyAlignment="1" applyProtection="1">
      <alignment horizontal="center"/>
      <protection hidden="1"/>
    </xf>
    <xf numFmtId="0" fontId="167" fillId="0" borderId="0" xfId="0" applyFont="1" applyAlignment="1" applyProtection="1">
      <alignment horizontal="center" vertical="top"/>
      <protection hidden="1"/>
    </xf>
    <xf numFmtId="169" fontId="21" fillId="0" borderId="0" xfId="0" applyNumberFormat="1" applyFont="1" applyAlignment="1" applyProtection="1">
      <alignment horizontal="center" vertical="top"/>
      <protection hidden="1"/>
    </xf>
    <xf numFmtId="1" fontId="21" fillId="0" borderId="0" xfId="0" applyNumberFormat="1" applyFont="1" applyAlignment="1" applyProtection="1">
      <alignment horizontal="center"/>
      <protection hidden="1"/>
    </xf>
    <xf numFmtId="0" fontId="23" fillId="0" borderId="0" xfId="0" applyFont="1" applyAlignment="1" applyProtection="1">
      <alignment horizontal="center"/>
      <protection hidden="1"/>
    </xf>
    <xf numFmtId="0" fontId="23" fillId="0" borderId="0" xfId="0" applyFont="1" applyAlignment="1" applyProtection="1">
      <alignment horizontal="center" vertical="center"/>
      <protection hidden="1"/>
    </xf>
    <xf numFmtId="0" fontId="145" fillId="17" borderId="0" xfId="0" applyFont="1" applyFill="1" applyAlignment="1" applyProtection="1">
      <alignment horizontal="left" indent="2"/>
      <protection hidden="1"/>
    </xf>
    <xf numFmtId="0" fontId="60" fillId="17" borderId="0" xfId="0" applyFont="1" applyFill="1" applyAlignment="1" applyProtection="1">
      <alignment horizontal="left" vertical="top" indent="2"/>
      <protection hidden="1"/>
    </xf>
    <xf numFmtId="0" fontId="63" fillId="0" borderId="0" xfId="0" applyFont="1" applyAlignment="1" applyProtection="1">
      <alignment horizontal="center" vertical="center"/>
      <protection hidden="1"/>
    </xf>
    <xf numFmtId="0" fontId="56" fillId="4" borderId="0" xfId="0" applyFont="1" applyFill="1" applyAlignment="1" applyProtection="1">
      <alignment horizontal="center" vertical="center"/>
      <protection hidden="1"/>
    </xf>
    <xf numFmtId="0" fontId="21" fillId="0" borderId="0" xfId="0" applyFont="1" applyAlignment="1" applyProtection="1">
      <alignment horizontal="center" vertical="top"/>
      <protection hidden="1"/>
    </xf>
    <xf numFmtId="0" fontId="41" fillId="3" borderId="14" xfId="0" applyFont="1" applyFill="1" applyBorder="1" applyAlignment="1" applyProtection="1">
      <alignment horizontal="center" vertical="center"/>
      <protection locked="0"/>
    </xf>
    <xf numFmtId="0" fontId="41" fillId="3" borderId="13" xfId="0" applyFont="1" applyFill="1" applyBorder="1" applyAlignment="1" applyProtection="1">
      <alignment horizontal="center" vertical="center"/>
      <protection locked="0"/>
    </xf>
    <xf numFmtId="0" fontId="41" fillId="3" borderId="15" xfId="0" applyFont="1" applyFill="1" applyBorder="1" applyAlignment="1" applyProtection="1">
      <alignment horizontal="center" vertical="center"/>
      <protection locked="0"/>
    </xf>
    <xf numFmtId="0" fontId="41" fillId="3" borderId="16" xfId="0" applyFont="1" applyFill="1" applyBorder="1" applyAlignment="1" applyProtection="1">
      <alignment horizontal="center" vertical="center"/>
      <protection locked="0"/>
    </xf>
    <xf numFmtId="0" fontId="41" fillId="3" borderId="0" xfId="0" applyFont="1" applyFill="1" applyAlignment="1" applyProtection="1">
      <alignment horizontal="center" vertical="center"/>
      <protection locked="0"/>
    </xf>
    <xf numFmtId="0" fontId="41" fillId="3" borderId="17" xfId="0" applyFont="1" applyFill="1" applyBorder="1" applyAlignment="1" applyProtection="1">
      <alignment horizontal="center" vertical="center"/>
      <protection locked="0"/>
    </xf>
    <xf numFmtId="0" fontId="60" fillId="17" borderId="0" xfId="0" applyFont="1" applyFill="1" applyAlignment="1" applyProtection="1">
      <alignment horizontal="right" indent="2"/>
      <protection hidden="1"/>
    </xf>
    <xf numFmtId="0" fontId="60" fillId="17" borderId="0" xfId="0" applyFont="1" applyFill="1" applyAlignment="1" applyProtection="1">
      <alignment horizontal="left" indent="2"/>
      <protection hidden="1"/>
    </xf>
    <xf numFmtId="0" fontId="145" fillId="17" borderId="0" xfId="0" applyFont="1" applyFill="1" applyAlignment="1" applyProtection="1">
      <alignment horizontal="left" vertical="top" indent="2"/>
      <protection locked="0"/>
    </xf>
    <xf numFmtId="0" fontId="288" fillId="18" borderId="0" xfId="0" applyFont="1" applyFill="1" applyAlignment="1" applyProtection="1">
      <alignment horizontal="right" vertical="center" indent="2"/>
      <protection hidden="1"/>
    </xf>
    <xf numFmtId="14" fontId="146" fillId="0" borderId="0" xfId="0" applyNumberFormat="1" applyFont="1" applyAlignment="1" applyProtection="1">
      <alignment horizontal="right" vertical="top" indent="2"/>
      <protection hidden="1"/>
    </xf>
    <xf numFmtId="0" fontId="146" fillId="0" borderId="0" xfId="0" applyFont="1" applyAlignment="1" applyProtection="1">
      <alignment horizontal="right" vertical="top" indent="2"/>
      <protection hidden="1"/>
    </xf>
    <xf numFmtId="14" fontId="145" fillId="17" borderId="0" xfId="0" applyNumberFormat="1" applyFont="1" applyFill="1" applyAlignment="1" applyProtection="1">
      <alignment horizontal="right" vertical="top" indent="2"/>
      <protection locked="0"/>
    </xf>
    <xf numFmtId="0" fontId="131" fillId="0" borderId="0" xfId="0" applyFont="1" applyAlignment="1" applyProtection="1">
      <alignment horizontal="right" indent="2"/>
      <protection hidden="1"/>
    </xf>
    <xf numFmtId="0" fontId="131" fillId="18" borderId="0" xfId="0" applyFont="1" applyFill="1" applyAlignment="1" applyProtection="1">
      <alignment horizontal="right" indent="2"/>
      <protection hidden="1"/>
    </xf>
    <xf numFmtId="0" fontId="23" fillId="18" borderId="0" xfId="0" applyFont="1" applyFill="1" applyAlignment="1" applyProtection="1">
      <alignment horizontal="right" vertical="top" indent="2"/>
      <protection locked="0"/>
    </xf>
    <xf numFmtId="0" fontId="21" fillId="18" borderId="0" xfId="0" applyFont="1" applyFill="1" applyAlignment="1" applyProtection="1">
      <alignment horizontal="right" vertical="top" indent="2"/>
      <protection locked="0"/>
    </xf>
    <xf numFmtId="1" fontId="60" fillId="17" borderId="0" xfId="0" applyNumberFormat="1" applyFont="1" applyFill="1" applyAlignment="1" applyProtection="1">
      <alignment horizontal="right" indent="2"/>
      <protection hidden="1"/>
    </xf>
    <xf numFmtId="0" fontId="145" fillId="17" borderId="0" xfId="0" applyFont="1" applyFill="1" applyAlignment="1" applyProtection="1">
      <alignment horizontal="right" vertical="top" indent="2"/>
      <protection locked="0"/>
    </xf>
    <xf numFmtId="0" fontId="640" fillId="0" borderId="147" xfId="0" applyFont="1" applyBorder="1" applyAlignment="1" applyProtection="1">
      <alignment horizontal="center" vertical="center"/>
      <protection hidden="1"/>
    </xf>
    <xf numFmtId="0" fontId="640" fillId="0" borderId="100" xfId="0" applyFont="1" applyBorder="1" applyAlignment="1" applyProtection="1">
      <alignment horizontal="center" vertical="center"/>
      <protection hidden="1"/>
    </xf>
    <xf numFmtId="0" fontId="573" fillId="0" borderId="467" xfId="0" applyFont="1" applyBorder="1" applyAlignment="1" applyProtection="1">
      <alignment horizontal="center"/>
      <protection hidden="1"/>
    </xf>
    <xf numFmtId="0" fontId="573" fillId="0" borderId="270" xfId="0" applyFont="1" applyBorder="1" applyAlignment="1" applyProtection="1">
      <alignment horizontal="center"/>
      <protection hidden="1"/>
    </xf>
    <xf numFmtId="0" fontId="573" fillId="0" borderId="33" xfId="0" applyFont="1" applyBorder="1" applyAlignment="1" applyProtection="1">
      <alignment horizontal="center"/>
      <protection hidden="1"/>
    </xf>
    <xf numFmtId="0" fontId="573" fillId="0" borderId="22" xfId="0" applyFont="1" applyBorder="1" applyAlignment="1" applyProtection="1">
      <alignment horizontal="center"/>
      <protection hidden="1"/>
    </xf>
    <xf numFmtId="0" fontId="573" fillId="0" borderId="35" xfId="0" applyFont="1" applyBorder="1" applyAlignment="1" applyProtection="1">
      <alignment horizontal="center"/>
      <protection hidden="1"/>
    </xf>
    <xf numFmtId="0" fontId="573" fillId="0" borderId="34" xfId="0" applyFont="1" applyBorder="1" applyAlignment="1" applyProtection="1">
      <alignment horizontal="center"/>
      <protection hidden="1"/>
    </xf>
    <xf numFmtId="0" fontId="573" fillId="0" borderId="35" xfId="0" applyFont="1" applyBorder="1" applyAlignment="1" applyProtection="1">
      <alignment horizontal="center" vertical="center"/>
      <protection hidden="1"/>
    </xf>
    <xf numFmtId="0" fontId="573" fillId="0" borderId="34" xfId="0" applyFont="1" applyBorder="1" applyAlignment="1" applyProtection="1">
      <alignment horizontal="center" vertical="center"/>
      <protection hidden="1"/>
    </xf>
    <xf numFmtId="0" fontId="573" fillId="0" borderId="33" xfId="0" applyFont="1" applyBorder="1" applyAlignment="1" applyProtection="1">
      <alignment horizontal="center" vertical="center"/>
      <protection hidden="1"/>
    </xf>
    <xf numFmtId="0" fontId="573" fillId="0" borderId="22" xfId="0" applyFont="1" applyBorder="1" applyAlignment="1" applyProtection="1">
      <alignment horizontal="center" vertical="center"/>
      <protection hidden="1"/>
    </xf>
    <xf numFmtId="0" fontId="573" fillId="0" borderId="1" xfId="0" applyFont="1" applyBorder="1" applyAlignment="1" applyProtection="1">
      <alignment horizontal="right" vertical="center"/>
      <protection hidden="1"/>
    </xf>
    <xf numFmtId="0" fontId="573" fillId="0" borderId="1" xfId="0" applyFont="1" applyBorder="1" applyAlignment="1" applyProtection="1">
      <alignment horizontal="right" vertical="top"/>
      <protection hidden="1"/>
    </xf>
    <xf numFmtId="0" fontId="573" fillId="0" borderId="31" xfId="0" applyFont="1" applyBorder="1" applyAlignment="1" applyProtection="1">
      <alignment horizontal="left" vertical="top"/>
      <protection hidden="1"/>
    </xf>
    <xf numFmtId="0" fontId="573" fillId="0" borderId="28" xfId="0" applyFont="1" applyBorder="1" applyAlignment="1" applyProtection="1">
      <alignment horizontal="left" vertical="top"/>
      <protection hidden="1"/>
    </xf>
    <xf numFmtId="0" fontId="573" fillId="0" borderId="29" xfId="0" applyFont="1" applyBorder="1" applyAlignment="1" applyProtection="1">
      <alignment horizontal="left" vertical="top"/>
      <protection hidden="1"/>
    </xf>
    <xf numFmtId="0" fontId="642" fillId="0" borderId="100" xfId="0" applyFont="1" applyBorder="1" applyAlignment="1" applyProtection="1">
      <alignment horizontal="center" vertical="center"/>
      <protection hidden="1"/>
    </xf>
    <xf numFmtId="0" fontId="618" fillId="0" borderId="468" xfId="0" applyFont="1" applyBorder="1" applyAlignment="1" applyProtection="1">
      <alignment horizontal="left" vertical="top"/>
      <protection hidden="1"/>
    </xf>
    <xf numFmtId="0" fontId="618" fillId="0" borderId="469" xfId="0" applyFont="1" applyBorder="1" applyAlignment="1" applyProtection="1">
      <alignment horizontal="left" vertical="top"/>
      <protection hidden="1"/>
    </xf>
    <xf numFmtId="0" fontId="618" fillId="0" borderId="470" xfId="0" applyFont="1" applyBorder="1" applyAlignment="1" applyProtection="1">
      <alignment horizontal="left" vertical="top"/>
      <protection hidden="1"/>
    </xf>
    <xf numFmtId="0" fontId="618" fillId="0" borderId="471" xfId="0" applyFont="1" applyBorder="1" applyAlignment="1" applyProtection="1">
      <alignment horizontal="left" vertical="top"/>
      <protection hidden="1"/>
    </xf>
    <xf numFmtId="0" fontId="573" fillId="0" borderId="14" xfId="0" applyFont="1" applyBorder="1" applyAlignment="1" applyProtection="1">
      <alignment horizontal="center"/>
      <protection hidden="1"/>
    </xf>
    <xf numFmtId="0" fontId="573" fillId="0" borderId="13" xfId="0" applyFont="1" applyBorder="1" applyAlignment="1" applyProtection="1">
      <alignment horizontal="center"/>
      <protection hidden="1"/>
    </xf>
    <xf numFmtId="0" fontId="573" fillId="0" borderId="15" xfId="0" applyFont="1" applyBorder="1" applyAlignment="1" applyProtection="1">
      <alignment horizontal="center"/>
      <protection hidden="1"/>
    </xf>
    <xf numFmtId="0" fontId="573" fillId="0" borderId="18" xfId="0" applyFont="1" applyBorder="1" applyAlignment="1" applyProtection="1">
      <alignment horizontal="center"/>
      <protection hidden="1"/>
    </xf>
    <xf numFmtId="0" fontId="573" fillId="0" borderId="19" xfId="0" applyFont="1" applyBorder="1" applyAlignment="1" applyProtection="1">
      <alignment horizontal="center"/>
      <protection hidden="1"/>
    </xf>
    <xf numFmtId="0" fontId="573" fillId="0" borderId="20" xfId="0" applyFont="1" applyBorder="1" applyAlignment="1" applyProtection="1">
      <alignment horizontal="center"/>
      <protection hidden="1"/>
    </xf>
    <xf numFmtId="0" fontId="145" fillId="17" borderId="0" xfId="0" applyFont="1" applyFill="1" applyAlignment="1" applyProtection="1">
      <alignment horizontal="right" indent="2"/>
      <protection hidden="1"/>
    </xf>
    <xf numFmtId="0" fontId="618" fillId="18" borderId="0" xfId="0" applyFont="1" applyFill="1" applyAlignment="1" applyProtection="1">
      <alignment horizontal="left" vertical="top"/>
      <protection hidden="1"/>
    </xf>
    <xf numFmtId="0" fontId="580" fillId="0" borderId="168" xfId="0" applyFont="1" applyBorder="1" applyAlignment="1" applyProtection="1">
      <alignment horizontal="center"/>
      <protection hidden="1"/>
    </xf>
    <xf numFmtId="0" fontId="580" fillId="0" borderId="341" xfId="0" applyFont="1" applyBorder="1" applyAlignment="1" applyProtection="1">
      <alignment horizontal="center"/>
      <protection hidden="1"/>
    </xf>
    <xf numFmtId="0" fontId="580" fillId="0" borderId="2" xfId="0" applyFont="1" applyBorder="1" applyAlignment="1" applyProtection="1">
      <alignment horizontal="center" vertical="center"/>
      <protection hidden="1"/>
    </xf>
    <xf numFmtId="0" fontId="580" fillId="0" borderId="23" xfId="0" applyFont="1" applyBorder="1" applyAlignment="1" applyProtection="1">
      <alignment horizontal="center" vertical="center"/>
      <protection hidden="1"/>
    </xf>
    <xf numFmtId="0" fontId="618" fillId="0" borderId="14" xfId="0" applyFont="1" applyBorder="1" applyAlignment="1" applyProtection="1">
      <alignment horizontal="right"/>
      <protection hidden="1"/>
    </xf>
    <xf numFmtId="0" fontId="618" fillId="0" borderId="15" xfId="0" applyFont="1" applyBorder="1" applyAlignment="1" applyProtection="1">
      <alignment horizontal="right"/>
      <protection hidden="1"/>
    </xf>
    <xf numFmtId="0" fontId="618" fillId="0" borderId="18" xfId="0" applyFont="1" applyBorder="1" applyAlignment="1" applyProtection="1">
      <alignment horizontal="right"/>
      <protection hidden="1"/>
    </xf>
    <xf numFmtId="0" fontId="618" fillId="0" borderId="20" xfId="0" applyFont="1" applyBorder="1" applyAlignment="1" applyProtection="1">
      <alignment horizontal="right"/>
      <protection hidden="1"/>
    </xf>
    <xf numFmtId="0" fontId="639" fillId="0" borderId="144" xfId="0" applyFont="1" applyBorder="1" applyAlignment="1" applyProtection="1">
      <alignment horizontal="center" vertical="center"/>
      <protection hidden="1"/>
    </xf>
    <xf numFmtId="0" fontId="639" fillId="0" borderId="106" xfId="0" applyFont="1" applyBorder="1" applyAlignment="1" applyProtection="1">
      <alignment horizontal="center" vertical="center"/>
      <protection hidden="1"/>
    </xf>
    <xf numFmtId="0" fontId="642" fillId="0" borderId="133" xfId="0" applyFont="1" applyBorder="1" applyAlignment="1" applyProtection="1">
      <alignment horizontal="center" vertical="center"/>
      <protection hidden="1"/>
    </xf>
    <xf numFmtId="0" fontId="642" fillId="0" borderId="135" xfId="0" applyFont="1" applyBorder="1" applyAlignment="1" applyProtection="1">
      <alignment horizontal="center" vertical="center"/>
      <protection hidden="1"/>
    </xf>
    <xf numFmtId="0" fontId="642" fillId="0" borderId="138" xfId="0" applyFont="1" applyBorder="1" applyAlignment="1" applyProtection="1">
      <alignment horizontal="center" vertical="center"/>
      <protection hidden="1"/>
    </xf>
    <xf numFmtId="0" fontId="642" fillId="0" borderId="139" xfId="0" applyFont="1" applyBorder="1" applyAlignment="1" applyProtection="1">
      <alignment horizontal="center" vertical="center"/>
      <protection hidden="1"/>
    </xf>
    <xf numFmtId="1" fontId="18" fillId="0" borderId="421" xfId="0" applyNumberFormat="1" applyFont="1" applyBorder="1" applyAlignment="1" applyProtection="1">
      <alignment horizontal="center" vertical="center"/>
      <protection hidden="1"/>
    </xf>
    <xf numFmtId="0" fontId="542" fillId="3" borderId="0" xfId="0" applyFont="1" applyFill="1" applyAlignment="1" applyProtection="1">
      <alignment horizontal="center" vertical="center"/>
      <protection hidden="1"/>
    </xf>
    <xf numFmtId="0" fontId="539" fillId="3" borderId="0" xfId="0" applyFont="1" applyFill="1" applyAlignment="1" applyProtection="1">
      <alignment horizontal="right" vertical="center"/>
      <protection hidden="1"/>
    </xf>
    <xf numFmtId="0" fontId="531" fillId="3" borderId="0" xfId="0" applyFont="1" applyFill="1" applyAlignment="1" applyProtection="1">
      <alignment horizontal="right" vertical="center"/>
      <protection hidden="1"/>
    </xf>
    <xf numFmtId="0" fontId="532" fillId="3" borderId="0" xfId="0" applyFont="1" applyFill="1" applyAlignment="1" applyProtection="1">
      <alignment horizontal="left" vertical="center"/>
      <protection hidden="1"/>
    </xf>
    <xf numFmtId="0" fontId="541" fillId="3" borderId="0" xfId="0" applyFont="1" applyFill="1" applyAlignment="1" applyProtection="1">
      <alignment horizontal="center" vertical="center"/>
      <protection hidden="1"/>
    </xf>
    <xf numFmtId="0" fontId="543" fillId="3" borderId="0" xfId="0" applyFont="1" applyFill="1" applyAlignment="1" applyProtection="1">
      <alignment horizontal="center" vertical="center"/>
      <protection hidden="1"/>
    </xf>
    <xf numFmtId="0" fontId="530" fillId="3" borderId="0" xfId="0" applyFont="1" applyFill="1" applyAlignment="1" applyProtection="1">
      <alignment horizontal="center" vertical="center"/>
      <protection hidden="1"/>
    </xf>
    <xf numFmtId="0" fontId="537" fillId="3" borderId="0" xfId="0" applyFont="1" applyFill="1" applyAlignment="1" applyProtection="1">
      <alignment horizontal="center" vertical="center"/>
      <protection hidden="1"/>
    </xf>
    <xf numFmtId="0" fontId="534" fillId="3" borderId="0" xfId="0" applyFont="1" applyFill="1" applyAlignment="1" applyProtection="1">
      <alignment horizontal="center" vertical="center"/>
      <protection hidden="1"/>
    </xf>
    <xf numFmtId="0" fontId="535" fillId="3" borderId="0" xfId="0" applyFont="1" applyFill="1" applyAlignment="1" applyProtection="1">
      <alignment horizontal="center" vertical="center"/>
      <protection hidden="1"/>
    </xf>
    <xf numFmtId="0" fontId="536" fillId="3" borderId="0" xfId="0" applyFont="1" applyFill="1" applyAlignment="1" applyProtection="1">
      <alignment horizontal="center" vertical="center"/>
      <protection hidden="1"/>
    </xf>
    <xf numFmtId="168" fontId="531" fillId="3" borderId="0" xfId="0" applyNumberFormat="1" applyFont="1" applyFill="1" applyAlignment="1" applyProtection="1">
      <alignment horizontal="right" vertical="center"/>
      <protection hidden="1"/>
    </xf>
    <xf numFmtId="0" fontId="60" fillId="17" borderId="389" xfId="0" applyFont="1" applyFill="1" applyBorder="1" applyAlignment="1" applyProtection="1">
      <alignment horizontal="center" vertical="center"/>
      <protection locked="0"/>
    </xf>
    <xf numFmtId="0" fontId="60" fillId="17" borderId="390" xfId="0" applyFont="1" applyFill="1" applyBorder="1" applyAlignment="1" applyProtection="1">
      <alignment horizontal="center" vertical="center"/>
      <protection locked="0"/>
    </xf>
    <xf numFmtId="0" fontId="60" fillId="17" borderId="391" xfId="0" applyFont="1" applyFill="1" applyBorder="1" applyAlignment="1" applyProtection="1">
      <alignment horizontal="center" vertical="center"/>
      <protection locked="0"/>
    </xf>
    <xf numFmtId="1" fontId="531" fillId="3" borderId="0" xfId="0" applyNumberFormat="1" applyFont="1" applyFill="1" applyAlignment="1" applyProtection="1">
      <alignment horizontal="right" vertical="center"/>
      <protection hidden="1"/>
    </xf>
    <xf numFmtId="0" fontId="544" fillId="3" borderId="0" xfId="0" applyFont="1" applyFill="1" applyAlignment="1" applyProtection="1">
      <alignment horizontal="center" vertical="center"/>
      <protection hidden="1"/>
    </xf>
    <xf numFmtId="0" fontId="461" fillId="17" borderId="0" xfId="0" applyFont="1" applyFill="1" applyAlignment="1" applyProtection="1">
      <alignment horizontal="center" vertical="center"/>
      <protection hidden="1"/>
    </xf>
    <xf numFmtId="0" fontId="369" fillId="17" borderId="383" xfId="0" applyFont="1" applyFill="1" applyBorder="1" applyAlignment="1" applyProtection="1">
      <alignment horizontal="center" vertical="center"/>
      <protection hidden="1"/>
    </xf>
    <xf numFmtId="0" fontId="369" fillId="17" borderId="384" xfId="0" applyFont="1" applyFill="1" applyBorder="1" applyAlignment="1" applyProtection="1">
      <alignment horizontal="center" vertical="center"/>
      <protection hidden="1"/>
    </xf>
    <xf numFmtId="0" fontId="369" fillId="17" borderId="386" xfId="0" applyFont="1" applyFill="1" applyBorder="1" applyAlignment="1" applyProtection="1">
      <alignment horizontal="center" vertical="center"/>
      <protection hidden="1"/>
    </xf>
    <xf numFmtId="0" fontId="369" fillId="17" borderId="387" xfId="0" applyFont="1" applyFill="1" applyBorder="1" applyAlignment="1" applyProtection="1">
      <alignment horizontal="center" vertical="center"/>
      <protection hidden="1"/>
    </xf>
    <xf numFmtId="0" fontId="461" fillId="18" borderId="0" xfId="0" applyFont="1" applyFill="1" applyAlignment="1" applyProtection="1">
      <alignment horizontal="center" vertical="center"/>
      <protection hidden="1"/>
    </xf>
    <xf numFmtId="0" fontId="23" fillId="18" borderId="0" xfId="0" applyFont="1" applyFill="1" applyAlignment="1" applyProtection="1">
      <alignment horizontal="center" vertical="center"/>
      <protection hidden="1"/>
    </xf>
    <xf numFmtId="0" fontId="369" fillId="17" borderId="385" xfId="0" applyFont="1" applyFill="1" applyBorder="1" applyAlignment="1" applyProtection="1">
      <alignment horizontal="center" vertical="center"/>
      <protection hidden="1"/>
    </xf>
    <xf numFmtId="0" fontId="369" fillId="17" borderId="388" xfId="0" applyFont="1" applyFill="1" applyBorder="1" applyAlignment="1" applyProtection="1">
      <alignment horizontal="center" vertical="center"/>
      <protection hidden="1"/>
    </xf>
    <xf numFmtId="0" fontId="17" fillId="18" borderId="400" xfId="0" applyFont="1" applyFill="1" applyBorder="1" applyAlignment="1" applyProtection="1">
      <alignment horizontal="center" vertical="center"/>
      <protection hidden="1"/>
    </xf>
    <xf numFmtId="0" fontId="17" fillId="18" borderId="401" xfId="0" applyFont="1" applyFill="1" applyBorder="1" applyAlignment="1" applyProtection="1">
      <alignment horizontal="center" vertical="center"/>
      <protection hidden="1"/>
    </xf>
    <xf numFmtId="0" fontId="547" fillId="11" borderId="399" xfId="0" applyFont="1" applyFill="1" applyBorder="1" applyAlignment="1" applyProtection="1">
      <alignment horizontal="center" vertical="center"/>
      <protection hidden="1"/>
    </xf>
    <xf numFmtId="0" fontId="548" fillId="10" borderId="399" xfId="0" applyFont="1" applyFill="1" applyBorder="1" applyAlignment="1" applyProtection="1">
      <alignment horizontal="center" vertical="center"/>
      <protection hidden="1"/>
    </xf>
    <xf numFmtId="0" fontId="549" fillId="9" borderId="399" xfId="0" applyFont="1" applyFill="1" applyBorder="1" applyAlignment="1" applyProtection="1">
      <alignment horizontal="center" vertical="center"/>
      <protection hidden="1"/>
    </xf>
    <xf numFmtId="0" fontId="550" fillId="2" borderId="399" xfId="0" applyFont="1" applyFill="1" applyBorder="1" applyAlignment="1" applyProtection="1">
      <alignment horizontal="center" vertical="center"/>
      <protection hidden="1"/>
    </xf>
    <xf numFmtId="0" fontId="554" fillId="8" borderId="399" xfId="0" applyFont="1" applyFill="1" applyBorder="1" applyAlignment="1" applyProtection="1">
      <alignment horizontal="center" vertical="center"/>
      <protection hidden="1"/>
    </xf>
    <xf numFmtId="0" fontId="551" fillId="7" borderId="399" xfId="0" applyFont="1" applyFill="1" applyBorder="1" applyAlignment="1" applyProtection="1">
      <alignment horizontal="center" vertical="center"/>
      <protection hidden="1"/>
    </xf>
    <xf numFmtId="0" fontId="552" fillId="6" borderId="399" xfId="0" applyFont="1" applyFill="1" applyBorder="1" applyAlignment="1" applyProtection="1">
      <alignment horizontal="center" vertical="center"/>
      <protection hidden="1"/>
    </xf>
    <xf numFmtId="0" fontId="553" fillId="5" borderId="399" xfId="0" applyFont="1" applyFill="1" applyBorder="1" applyAlignment="1" applyProtection="1">
      <alignment horizontal="center" vertical="center"/>
      <protection hidden="1"/>
    </xf>
    <xf numFmtId="0" fontId="17" fillId="18" borderId="399" xfId="0" applyFont="1" applyFill="1" applyBorder="1" applyAlignment="1" applyProtection="1">
      <alignment horizontal="center" vertical="center"/>
      <protection hidden="1"/>
    </xf>
    <xf numFmtId="0" fontId="552" fillId="6" borderId="401" xfId="0" applyFont="1" applyFill="1" applyBorder="1" applyAlignment="1" applyProtection="1">
      <alignment horizontal="center" vertical="center"/>
      <protection hidden="1"/>
    </xf>
    <xf numFmtId="0" fontId="553" fillId="5" borderId="400" xfId="0" applyFont="1" applyFill="1" applyBorder="1" applyAlignment="1" applyProtection="1">
      <alignment horizontal="center" vertical="center"/>
      <protection hidden="1"/>
    </xf>
    <xf numFmtId="0" fontId="553" fillId="5" borderId="401" xfId="0" applyFont="1" applyFill="1" applyBorder="1" applyAlignment="1" applyProtection="1">
      <alignment horizontal="center" vertical="center"/>
      <protection hidden="1"/>
    </xf>
    <xf numFmtId="0" fontId="547" fillId="11" borderId="401" xfId="0" applyFont="1" applyFill="1" applyBorder="1" applyAlignment="1" applyProtection="1">
      <alignment horizontal="center" vertical="center"/>
      <protection hidden="1"/>
    </xf>
    <xf numFmtId="0" fontId="548" fillId="10" borderId="401" xfId="0" applyFont="1" applyFill="1" applyBorder="1" applyAlignment="1" applyProtection="1">
      <alignment horizontal="center" vertical="center"/>
      <protection hidden="1"/>
    </xf>
    <xf numFmtId="0" fontId="549" fillId="9" borderId="401" xfId="0" applyFont="1" applyFill="1" applyBorder="1" applyAlignment="1" applyProtection="1">
      <alignment horizontal="center" vertical="center"/>
      <protection hidden="1"/>
    </xf>
    <xf numFmtId="0" fontId="550" fillId="2" borderId="401" xfId="0" applyFont="1" applyFill="1" applyBorder="1" applyAlignment="1" applyProtection="1">
      <alignment horizontal="center" vertical="center"/>
      <protection hidden="1"/>
    </xf>
    <xf numFmtId="0" fontId="554" fillId="8" borderId="401" xfId="0" applyFont="1" applyFill="1" applyBorder="1" applyAlignment="1" applyProtection="1">
      <alignment horizontal="center" vertical="center"/>
      <protection hidden="1"/>
    </xf>
    <xf numFmtId="0" fontId="551" fillId="7" borderId="401" xfId="0" applyFont="1" applyFill="1" applyBorder="1" applyAlignment="1" applyProtection="1">
      <alignment horizontal="center" vertical="center"/>
      <protection hidden="1"/>
    </xf>
    <xf numFmtId="0" fontId="546" fillId="12" borderId="401" xfId="0" applyFont="1" applyFill="1" applyBorder="1" applyAlignment="1" applyProtection="1">
      <alignment horizontal="center" vertical="center"/>
      <protection hidden="1"/>
    </xf>
    <xf numFmtId="0" fontId="322" fillId="6" borderId="420" xfId="0" applyFont="1" applyFill="1" applyBorder="1" applyAlignment="1" applyProtection="1">
      <alignment horizontal="center" vertical="center" textRotation="255"/>
      <protection hidden="1"/>
    </xf>
    <xf numFmtId="0" fontId="322" fillId="6" borderId="421" xfId="0" applyFont="1" applyFill="1" applyBorder="1" applyAlignment="1" applyProtection="1">
      <alignment horizontal="center" vertical="center" textRotation="255"/>
      <protection hidden="1"/>
    </xf>
    <xf numFmtId="0" fontId="322" fillId="6" borderId="422" xfId="0" applyFont="1" applyFill="1" applyBorder="1" applyAlignment="1" applyProtection="1">
      <alignment horizontal="center" vertical="center" textRotation="255"/>
      <protection hidden="1"/>
    </xf>
    <xf numFmtId="0" fontId="322" fillId="6" borderId="423" xfId="0" applyFont="1" applyFill="1" applyBorder="1" applyAlignment="1" applyProtection="1">
      <alignment horizontal="center" vertical="center" textRotation="255"/>
      <protection hidden="1"/>
    </xf>
    <xf numFmtId="0" fontId="322" fillId="6" borderId="0" xfId="0" applyFont="1" applyFill="1" applyAlignment="1" applyProtection="1">
      <alignment horizontal="center" vertical="center" textRotation="255"/>
      <protection hidden="1"/>
    </xf>
    <xf numFmtId="0" fontId="322" fillId="6" borderId="424" xfId="0" applyFont="1" applyFill="1" applyBorder="1" applyAlignment="1" applyProtection="1">
      <alignment horizontal="center" vertical="center" textRotation="255"/>
      <protection hidden="1"/>
    </xf>
    <xf numFmtId="0" fontId="322" fillId="6" borderId="425" xfId="0" applyFont="1" applyFill="1" applyBorder="1" applyAlignment="1" applyProtection="1">
      <alignment horizontal="center" vertical="center" textRotation="255"/>
      <protection hidden="1"/>
    </xf>
    <xf numFmtId="0" fontId="322" fillId="6" borderId="426" xfId="0" applyFont="1" applyFill="1" applyBorder="1" applyAlignment="1" applyProtection="1">
      <alignment horizontal="center" vertical="center" textRotation="255"/>
      <protection hidden="1"/>
    </xf>
    <xf numFmtId="0" fontId="322" fillId="6" borderId="427" xfId="0" applyFont="1" applyFill="1" applyBorder="1" applyAlignment="1" applyProtection="1">
      <alignment horizontal="center" vertical="center" textRotation="255"/>
      <protection hidden="1"/>
    </xf>
    <xf numFmtId="0" fontId="551" fillId="7" borderId="402" xfId="0" applyFont="1" applyFill="1" applyBorder="1" applyAlignment="1" applyProtection="1">
      <alignment horizontal="center" vertical="center"/>
      <protection hidden="1"/>
    </xf>
    <xf numFmtId="0" fontId="552" fillId="6" borderId="402" xfId="0" applyFont="1" applyFill="1" applyBorder="1" applyAlignment="1" applyProtection="1">
      <alignment horizontal="center" vertical="center"/>
      <protection hidden="1"/>
    </xf>
    <xf numFmtId="0" fontId="322" fillId="8" borderId="420" xfId="0" applyFont="1" applyFill="1" applyBorder="1" applyAlignment="1" applyProtection="1">
      <alignment horizontal="center" vertical="center" textRotation="255"/>
      <protection hidden="1"/>
    </xf>
    <xf numFmtId="0" fontId="322" fillId="8" borderId="421" xfId="0" applyFont="1" applyFill="1" applyBorder="1" applyAlignment="1" applyProtection="1">
      <alignment horizontal="center" vertical="center" textRotation="255"/>
      <protection hidden="1"/>
    </xf>
    <xf numFmtId="0" fontId="322" fillId="8" borderId="422" xfId="0" applyFont="1" applyFill="1" applyBorder="1" applyAlignment="1" applyProtection="1">
      <alignment horizontal="center" vertical="center" textRotation="255"/>
      <protection hidden="1"/>
    </xf>
    <xf numFmtId="0" fontId="322" fillId="8" borderId="423" xfId="0" applyFont="1" applyFill="1" applyBorder="1" applyAlignment="1" applyProtection="1">
      <alignment horizontal="center" vertical="center" textRotation="255"/>
      <protection hidden="1"/>
    </xf>
    <xf numFmtId="0" fontId="322" fillId="8" borderId="0" xfId="0" applyFont="1" applyFill="1" applyAlignment="1" applyProtection="1">
      <alignment horizontal="center" vertical="center" textRotation="255"/>
      <protection hidden="1"/>
    </xf>
    <xf numFmtId="0" fontId="322" fillId="8" borderId="424" xfId="0" applyFont="1" applyFill="1" applyBorder="1" applyAlignment="1" applyProtection="1">
      <alignment horizontal="center" vertical="center" textRotation="255"/>
      <protection hidden="1"/>
    </xf>
    <xf numFmtId="0" fontId="322" fillId="8" borderId="425" xfId="0" applyFont="1" applyFill="1" applyBorder="1" applyAlignment="1" applyProtection="1">
      <alignment horizontal="center" vertical="center" textRotation="255"/>
      <protection hidden="1"/>
    </xf>
    <xf numFmtId="0" fontId="322" fillId="8" borderId="426" xfId="0" applyFont="1" applyFill="1" applyBorder="1" applyAlignment="1" applyProtection="1">
      <alignment horizontal="center" vertical="center" textRotation="255"/>
      <protection hidden="1"/>
    </xf>
    <xf numFmtId="0" fontId="322" fillId="8" borderId="427" xfId="0" applyFont="1" applyFill="1" applyBorder="1" applyAlignment="1" applyProtection="1">
      <alignment horizontal="center" vertical="center" textRotation="255"/>
      <protection hidden="1"/>
    </xf>
    <xf numFmtId="0" fontId="322" fillId="7" borderId="420" xfId="0" applyFont="1" applyFill="1" applyBorder="1" applyAlignment="1" applyProtection="1">
      <alignment horizontal="center" vertical="center" textRotation="255"/>
      <protection hidden="1"/>
    </xf>
    <xf numFmtId="0" fontId="322" fillId="7" borderId="421" xfId="0" applyFont="1" applyFill="1" applyBorder="1" applyAlignment="1" applyProtection="1">
      <alignment horizontal="center" vertical="center" textRotation="255"/>
      <protection hidden="1"/>
    </xf>
    <xf numFmtId="0" fontId="322" fillId="7" borderId="422" xfId="0" applyFont="1" applyFill="1" applyBorder="1" applyAlignment="1" applyProtection="1">
      <alignment horizontal="center" vertical="center" textRotation="255"/>
      <protection hidden="1"/>
    </xf>
    <xf numFmtId="0" fontId="322" fillId="7" borderId="423" xfId="0" applyFont="1" applyFill="1" applyBorder="1" applyAlignment="1" applyProtection="1">
      <alignment horizontal="center" vertical="center" textRotation="255"/>
      <protection hidden="1"/>
    </xf>
    <xf numFmtId="0" fontId="322" fillId="7" borderId="0" xfId="0" applyFont="1" applyFill="1" applyAlignment="1" applyProtection="1">
      <alignment horizontal="center" vertical="center" textRotation="255"/>
      <protection hidden="1"/>
    </xf>
    <xf numFmtId="0" fontId="322" fillId="7" borderId="424" xfId="0" applyFont="1" applyFill="1" applyBorder="1" applyAlignment="1" applyProtection="1">
      <alignment horizontal="center" vertical="center" textRotation="255"/>
      <protection hidden="1"/>
    </xf>
    <xf numFmtId="0" fontId="322" fillId="7" borderId="425" xfId="0" applyFont="1" applyFill="1" applyBorder="1" applyAlignment="1" applyProtection="1">
      <alignment horizontal="center" vertical="center" textRotation="255"/>
      <protection hidden="1"/>
    </xf>
    <xf numFmtId="0" fontId="322" fillId="7" borderId="426" xfId="0" applyFont="1" applyFill="1" applyBorder="1" applyAlignment="1" applyProtection="1">
      <alignment horizontal="center" vertical="center" textRotation="255"/>
      <protection hidden="1"/>
    </xf>
    <xf numFmtId="0" fontId="322" fillId="7" borderId="427" xfId="0" applyFont="1" applyFill="1" applyBorder="1" applyAlignment="1" applyProtection="1">
      <alignment horizontal="center" vertical="center" textRotation="255"/>
      <protection hidden="1"/>
    </xf>
    <xf numFmtId="0" fontId="322" fillId="5" borderId="420" xfId="0" applyFont="1" applyFill="1" applyBorder="1" applyAlignment="1" applyProtection="1">
      <alignment horizontal="center" vertical="center" textRotation="255"/>
      <protection hidden="1"/>
    </xf>
    <xf numFmtId="0" fontId="322" fillId="5" borderId="421" xfId="0" applyFont="1" applyFill="1" applyBorder="1" applyAlignment="1" applyProtection="1">
      <alignment horizontal="center" vertical="center" textRotation="255"/>
      <protection hidden="1"/>
    </xf>
    <xf numFmtId="0" fontId="322" fillId="5" borderId="422" xfId="0" applyFont="1" applyFill="1" applyBorder="1" applyAlignment="1" applyProtection="1">
      <alignment horizontal="center" vertical="center" textRotation="255"/>
      <protection hidden="1"/>
    </xf>
    <xf numFmtId="0" fontId="322" fillId="5" borderId="423" xfId="0" applyFont="1" applyFill="1" applyBorder="1" applyAlignment="1" applyProtection="1">
      <alignment horizontal="center" vertical="center" textRotation="255"/>
      <protection hidden="1"/>
    </xf>
    <xf numFmtId="0" fontId="322" fillId="5" borderId="0" xfId="0" applyFont="1" applyFill="1" applyAlignment="1" applyProtection="1">
      <alignment horizontal="center" vertical="center" textRotation="255"/>
      <protection hidden="1"/>
    </xf>
    <xf numFmtId="0" fontId="322" fillId="5" borderId="424" xfId="0" applyFont="1" applyFill="1" applyBorder="1" applyAlignment="1" applyProtection="1">
      <alignment horizontal="center" vertical="center" textRotation="255"/>
      <protection hidden="1"/>
    </xf>
    <xf numFmtId="0" fontId="322" fillId="5" borderId="425" xfId="0" applyFont="1" applyFill="1" applyBorder="1" applyAlignment="1" applyProtection="1">
      <alignment horizontal="center" vertical="center" textRotation="255"/>
      <protection hidden="1"/>
    </xf>
    <xf numFmtId="0" fontId="322" fillId="5" borderId="426" xfId="0" applyFont="1" applyFill="1" applyBorder="1" applyAlignment="1" applyProtection="1">
      <alignment horizontal="center" vertical="center" textRotation="255"/>
      <protection hidden="1"/>
    </xf>
    <xf numFmtId="0" fontId="322" fillId="5" borderId="427" xfId="0" applyFont="1" applyFill="1" applyBorder="1" applyAlignment="1" applyProtection="1">
      <alignment horizontal="center" vertical="center" textRotation="255"/>
      <protection hidden="1"/>
    </xf>
    <xf numFmtId="0" fontId="322" fillId="3" borderId="400" xfId="0" applyFont="1" applyFill="1" applyBorder="1" applyAlignment="1" applyProtection="1">
      <alignment horizontal="center" vertical="center" textRotation="255"/>
      <protection hidden="1"/>
    </xf>
    <xf numFmtId="0" fontId="322" fillId="3" borderId="401" xfId="0" applyFont="1" applyFill="1" applyBorder="1" applyAlignment="1" applyProtection="1">
      <alignment horizontal="center" vertical="center" textRotation="255"/>
      <protection hidden="1"/>
    </xf>
    <xf numFmtId="0" fontId="322" fillId="3" borderId="402" xfId="0" applyFont="1" applyFill="1" applyBorder="1" applyAlignment="1" applyProtection="1">
      <alignment horizontal="center" vertical="center" textRotation="255"/>
      <protection hidden="1"/>
    </xf>
    <xf numFmtId="0" fontId="322" fillId="5" borderId="400" xfId="0" applyFont="1" applyFill="1" applyBorder="1" applyAlignment="1" applyProtection="1">
      <alignment horizontal="center" vertical="center" textRotation="255"/>
      <protection hidden="1"/>
    </xf>
    <xf numFmtId="0" fontId="322" fillId="5" borderId="401" xfId="0" applyFont="1" applyFill="1" applyBorder="1" applyAlignment="1" applyProtection="1">
      <alignment horizontal="center" vertical="center" textRotation="255"/>
      <protection hidden="1"/>
    </xf>
    <xf numFmtId="0" fontId="322" fillId="5" borderId="402" xfId="0" applyFont="1" applyFill="1" applyBorder="1" applyAlignment="1" applyProtection="1">
      <alignment horizontal="center" vertical="center" textRotation="255"/>
      <protection hidden="1"/>
    </xf>
    <xf numFmtId="0" fontId="322" fillId="12" borderId="400" xfId="0" applyFont="1" applyFill="1" applyBorder="1" applyAlignment="1" applyProtection="1">
      <alignment horizontal="center" vertical="center" textRotation="255"/>
      <protection hidden="1"/>
    </xf>
    <xf numFmtId="0" fontId="322" fillId="12" borderId="401" xfId="0" applyFont="1" applyFill="1" applyBorder="1" applyAlignment="1" applyProtection="1">
      <alignment horizontal="center" vertical="center" textRotation="255"/>
      <protection hidden="1"/>
    </xf>
    <xf numFmtId="0" fontId="322" fillId="12" borderId="402" xfId="0" applyFont="1" applyFill="1" applyBorder="1" applyAlignment="1" applyProtection="1">
      <alignment horizontal="center" vertical="center" textRotation="255"/>
      <protection hidden="1"/>
    </xf>
    <xf numFmtId="0" fontId="322" fillId="11" borderId="420" xfId="0" applyFont="1" applyFill="1" applyBorder="1" applyAlignment="1" applyProtection="1">
      <alignment horizontal="center" vertical="center" textRotation="255"/>
      <protection hidden="1"/>
    </xf>
    <xf numFmtId="0" fontId="322" fillId="11" borderId="421" xfId="0" applyFont="1" applyFill="1" applyBorder="1" applyAlignment="1" applyProtection="1">
      <alignment horizontal="center" vertical="center" textRotation="255"/>
      <protection hidden="1"/>
    </xf>
    <xf numFmtId="0" fontId="322" fillId="11" borderId="422" xfId="0" applyFont="1" applyFill="1" applyBorder="1" applyAlignment="1" applyProtection="1">
      <alignment horizontal="center" vertical="center" textRotation="255"/>
      <protection hidden="1"/>
    </xf>
    <xf numFmtId="0" fontId="322" fillId="11" borderId="423" xfId="0" applyFont="1" applyFill="1" applyBorder="1" applyAlignment="1" applyProtection="1">
      <alignment horizontal="center" vertical="center" textRotation="255"/>
      <protection hidden="1"/>
    </xf>
    <xf numFmtId="0" fontId="322" fillId="11" borderId="0" xfId="0" applyFont="1" applyFill="1" applyAlignment="1" applyProtection="1">
      <alignment horizontal="center" vertical="center" textRotation="255"/>
      <protection hidden="1"/>
    </xf>
    <xf numFmtId="0" fontId="322" fillId="11" borderId="424" xfId="0" applyFont="1" applyFill="1" applyBorder="1" applyAlignment="1" applyProtection="1">
      <alignment horizontal="center" vertical="center" textRotation="255"/>
      <protection hidden="1"/>
    </xf>
    <xf numFmtId="0" fontId="322" fillId="11" borderId="425" xfId="0" applyFont="1" applyFill="1" applyBorder="1" applyAlignment="1" applyProtection="1">
      <alignment horizontal="center" vertical="center" textRotation="255"/>
      <protection hidden="1"/>
    </xf>
    <xf numFmtId="0" fontId="322" fillId="11" borderId="426" xfId="0" applyFont="1" applyFill="1" applyBorder="1" applyAlignment="1" applyProtection="1">
      <alignment horizontal="center" vertical="center" textRotation="255"/>
      <protection hidden="1"/>
    </xf>
    <xf numFmtId="0" fontId="322" fillId="11" borderId="427" xfId="0" applyFont="1" applyFill="1" applyBorder="1" applyAlignment="1" applyProtection="1">
      <alignment horizontal="center" vertical="center" textRotation="255"/>
      <protection hidden="1"/>
    </xf>
    <xf numFmtId="0" fontId="322" fillId="10" borderId="420" xfId="0" applyFont="1" applyFill="1" applyBorder="1" applyAlignment="1" applyProtection="1">
      <alignment horizontal="center" vertical="center" textRotation="255"/>
      <protection hidden="1"/>
    </xf>
    <xf numFmtId="0" fontId="322" fillId="10" borderId="421" xfId="0" applyFont="1" applyFill="1" applyBorder="1" applyAlignment="1" applyProtection="1">
      <alignment horizontal="center" vertical="center" textRotation="255"/>
      <protection hidden="1"/>
    </xf>
    <xf numFmtId="0" fontId="322" fillId="10" borderId="422" xfId="0" applyFont="1" applyFill="1" applyBorder="1" applyAlignment="1" applyProtection="1">
      <alignment horizontal="center" vertical="center" textRotation="255"/>
      <protection hidden="1"/>
    </xf>
    <xf numFmtId="0" fontId="322" fillId="10" borderId="423" xfId="0" applyFont="1" applyFill="1" applyBorder="1" applyAlignment="1" applyProtection="1">
      <alignment horizontal="center" vertical="center" textRotation="255"/>
      <protection hidden="1"/>
    </xf>
    <xf numFmtId="0" fontId="322" fillId="10" borderId="0" xfId="0" applyFont="1" applyFill="1" applyAlignment="1" applyProtection="1">
      <alignment horizontal="center" vertical="center" textRotation="255"/>
      <protection hidden="1"/>
    </xf>
    <xf numFmtId="0" fontId="322" fillId="10" borderId="424" xfId="0" applyFont="1" applyFill="1" applyBorder="1" applyAlignment="1" applyProtection="1">
      <alignment horizontal="center" vertical="center" textRotation="255"/>
      <protection hidden="1"/>
    </xf>
    <xf numFmtId="0" fontId="322" fillId="10" borderId="425" xfId="0" applyFont="1" applyFill="1" applyBorder="1" applyAlignment="1" applyProtection="1">
      <alignment horizontal="center" vertical="center" textRotation="255"/>
      <protection hidden="1"/>
    </xf>
    <xf numFmtId="0" fontId="322" fillId="10" borderId="426" xfId="0" applyFont="1" applyFill="1" applyBorder="1" applyAlignment="1" applyProtection="1">
      <alignment horizontal="center" vertical="center" textRotation="255"/>
      <protection hidden="1"/>
    </xf>
    <xf numFmtId="0" fontId="322" fillId="10" borderId="427" xfId="0" applyFont="1" applyFill="1" applyBorder="1" applyAlignment="1" applyProtection="1">
      <alignment horizontal="center" vertical="center" textRotation="255"/>
      <protection hidden="1"/>
    </xf>
    <xf numFmtId="0" fontId="322" fillId="9" borderId="420" xfId="0" applyFont="1" applyFill="1" applyBorder="1" applyAlignment="1" applyProtection="1">
      <alignment horizontal="center" vertical="center" textRotation="255"/>
      <protection hidden="1"/>
    </xf>
    <xf numFmtId="0" fontId="322" fillId="9" borderId="421" xfId="0" applyFont="1" applyFill="1" applyBorder="1" applyAlignment="1" applyProtection="1">
      <alignment horizontal="center" vertical="center" textRotation="255"/>
      <protection hidden="1"/>
    </xf>
    <xf numFmtId="0" fontId="322" fillId="9" borderId="422" xfId="0" applyFont="1" applyFill="1" applyBorder="1" applyAlignment="1" applyProtection="1">
      <alignment horizontal="center" vertical="center" textRotation="255"/>
      <protection hidden="1"/>
    </xf>
    <xf numFmtId="0" fontId="322" fillId="9" borderId="423" xfId="0" applyFont="1" applyFill="1" applyBorder="1" applyAlignment="1" applyProtection="1">
      <alignment horizontal="center" vertical="center" textRotation="255"/>
      <protection hidden="1"/>
    </xf>
    <xf numFmtId="0" fontId="322" fillId="9" borderId="0" xfId="0" applyFont="1" applyFill="1" applyAlignment="1" applyProtection="1">
      <alignment horizontal="center" vertical="center" textRotation="255"/>
      <protection hidden="1"/>
    </xf>
    <xf numFmtId="0" fontId="322" fillId="9" borderId="424" xfId="0" applyFont="1" applyFill="1" applyBorder="1" applyAlignment="1" applyProtection="1">
      <alignment horizontal="center" vertical="center" textRotation="255"/>
      <protection hidden="1"/>
    </xf>
    <xf numFmtId="0" fontId="322" fillId="9" borderId="425" xfId="0" applyFont="1" applyFill="1" applyBorder="1" applyAlignment="1" applyProtection="1">
      <alignment horizontal="center" vertical="center" textRotation="255"/>
      <protection hidden="1"/>
    </xf>
    <xf numFmtId="0" fontId="322" fillId="9" borderId="426" xfId="0" applyFont="1" applyFill="1" applyBorder="1" applyAlignment="1" applyProtection="1">
      <alignment horizontal="center" vertical="center" textRotation="255"/>
      <protection hidden="1"/>
    </xf>
    <xf numFmtId="0" fontId="322" fillId="9" borderId="427" xfId="0" applyFont="1" applyFill="1" applyBorder="1" applyAlignment="1" applyProtection="1">
      <alignment horizontal="center" vertical="center" textRotation="255"/>
      <protection hidden="1"/>
    </xf>
    <xf numFmtId="0" fontId="322" fillId="2" borderId="420" xfId="0" applyFont="1" applyFill="1" applyBorder="1" applyAlignment="1" applyProtection="1">
      <alignment horizontal="center" vertical="center" textRotation="255"/>
      <protection hidden="1"/>
    </xf>
    <xf numFmtId="0" fontId="322" fillId="2" borderId="421" xfId="0" applyFont="1" applyFill="1" applyBorder="1" applyAlignment="1" applyProtection="1">
      <alignment horizontal="center" vertical="center" textRotation="255"/>
      <protection hidden="1"/>
    </xf>
    <xf numFmtId="0" fontId="322" fillId="2" borderId="422" xfId="0" applyFont="1" applyFill="1" applyBorder="1" applyAlignment="1" applyProtection="1">
      <alignment horizontal="center" vertical="center" textRotation="255"/>
      <protection hidden="1"/>
    </xf>
    <xf numFmtId="0" fontId="322" fillId="2" borderId="423" xfId="0" applyFont="1" applyFill="1" applyBorder="1" applyAlignment="1" applyProtection="1">
      <alignment horizontal="center" vertical="center" textRotation="255"/>
      <protection hidden="1"/>
    </xf>
    <xf numFmtId="0" fontId="322" fillId="2" borderId="0" xfId="0" applyFont="1" applyFill="1" applyAlignment="1" applyProtection="1">
      <alignment horizontal="center" vertical="center" textRotation="255"/>
      <protection hidden="1"/>
    </xf>
    <xf numFmtId="0" fontId="322" fillId="2" borderId="424" xfId="0" applyFont="1" applyFill="1" applyBorder="1" applyAlignment="1" applyProtection="1">
      <alignment horizontal="center" vertical="center" textRotation="255"/>
      <protection hidden="1"/>
    </xf>
    <xf numFmtId="0" fontId="322" fillId="2" borderId="425" xfId="0" applyFont="1" applyFill="1" applyBorder="1" applyAlignment="1" applyProtection="1">
      <alignment horizontal="center" vertical="center" textRotation="255"/>
      <protection hidden="1"/>
    </xf>
    <xf numFmtId="0" fontId="322" fillId="2" borderId="426" xfId="0" applyFont="1" applyFill="1" applyBorder="1" applyAlignment="1" applyProtection="1">
      <alignment horizontal="center" vertical="center" textRotation="255"/>
      <protection hidden="1"/>
    </xf>
    <xf numFmtId="0" fontId="322" fillId="2" borderId="427" xfId="0" applyFont="1" applyFill="1" applyBorder="1" applyAlignment="1" applyProtection="1">
      <alignment horizontal="center" vertical="center" textRotation="255"/>
      <protection hidden="1"/>
    </xf>
    <xf numFmtId="0" fontId="546" fillId="12" borderId="407" xfId="0" applyFont="1" applyFill="1" applyBorder="1" applyAlignment="1" applyProtection="1">
      <alignment horizontal="center" vertical="center"/>
      <protection hidden="1"/>
    </xf>
    <xf numFmtId="0" fontId="546" fillId="12" borderId="408" xfId="0" applyFont="1" applyFill="1" applyBorder="1" applyAlignment="1" applyProtection="1">
      <alignment horizontal="center" vertical="center"/>
      <protection hidden="1"/>
    </xf>
    <xf numFmtId="0" fontId="546" fillId="12" borderId="409" xfId="0" applyFont="1" applyFill="1" applyBorder="1" applyAlignment="1" applyProtection="1">
      <alignment horizontal="center" vertical="center"/>
      <protection hidden="1"/>
    </xf>
    <xf numFmtId="0" fontId="546" fillId="12" borderId="400" xfId="0" applyFont="1" applyFill="1" applyBorder="1" applyAlignment="1" applyProtection="1">
      <alignment horizontal="center" vertical="center"/>
      <protection hidden="1"/>
    </xf>
    <xf numFmtId="0" fontId="547" fillId="11" borderId="400" xfId="0" applyFont="1" applyFill="1" applyBorder="1" applyAlignment="1" applyProtection="1">
      <alignment horizontal="center" vertical="center"/>
      <protection hidden="1"/>
    </xf>
    <xf numFmtId="0" fontId="548" fillId="10" borderId="400" xfId="0" applyFont="1" applyFill="1" applyBorder="1" applyAlignment="1" applyProtection="1">
      <alignment horizontal="center" vertical="center"/>
      <protection hidden="1"/>
    </xf>
    <xf numFmtId="0" fontId="549" fillId="9" borderId="400" xfId="0" applyFont="1" applyFill="1" applyBorder="1" applyAlignment="1" applyProtection="1">
      <alignment horizontal="center" vertical="center"/>
      <protection hidden="1"/>
    </xf>
    <xf numFmtId="0" fontId="550" fillId="2" borderId="400" xfId="0" applyFont="1" applyFill="1" applyBorder="1" applyAlignment="1" applyProtection="1">
      <alignment horizontal="center" vertical="center"/>
      <protection hidden="1"/>
    </xf>
    <xf numFmtId="0" fontId="554" fillId="8" borderId="400" xfId="0" applyFont="1" applyFill="1" applyBorder="1" applyAlignment="1" applyProtection="1">
      <alignment horizontal="center" vertical="center"/>
      <protection hidden="1"/>
    </xf>
    <xf numFmtId="0" fontId="551" fillId="7" borderId="400" xfId="0" applyFont="1" applyFill="1" applyBorder="1" applyAlignment="1" applyProtection="1">
      <alignment horizontal="center" vertical="center"/>
      <protection hidden="1"/>
    </xf>
    <xf numFmtId="0" fontId="546" fillId="12" borderId="402" xfId="0" applyFont="1" applyFill="1" applyBorder="1" applyAlignment="1" applyProtection="1">
      <alignment horizontal="center" vertical="center"/>
      <protection hidden="1"/>
    </xf>
    <xf numFmtId="0" fontId="547" fillId="11" borderId="402" xfId="0" applyFont="1" applyFill="1" applyBorder="1" applyAlignment="1" applyProtection="1">
      <alignment horizontal="center" vertical="center"/>
      <protection hidden="1"/>
    </xf>
    <xf numFmtId="0" fontId="548" fillId="10" borderId="402" xfId="0" applyFont="1" applyFill="1" applyBorder="1" applyAlignment="1" applyProtection="1">
      <alignment horizontal="center" vertical="center"/>
      <protection hidden="1"/>
    </xf>
    <xf numFmtId="0" fontId="549" fillId="9" borderId="402" xfId="0" applyFont="1" applyFill="1" applyBorder="1" applyAlignment="1" applyProtection="1">
      <alignment horizontal="center" vertical="center"/>
      <protection hidden="1"/>
    </xf>
    <xf numFmtId="0" fontId="550" fillId="2" borderId="402" xfId="0" applyFont="1" applyFill="1" applyBorder="1" applyAlignment="1" applyProtection="1">
      <alignment horizontal="center" vertical="center"/>
      <protection hidden="1"/>
    </xf>
    <xf numFmtId="0" fontId="554" fillId="8" borderId="402" xfId="0" applyFont="1" applyFill="1" applyBorder="1" applyAlignment="1" applyProtection="1">
      <alignment horizontal="center" vertical="center"/>
      <protection hidden="1"/>
    </xf>
    <xf numFmtId="0" fontId="322" fillId="12" borderId="420" xfId="0" applyFont="1" applyFill="1" applyBorder="1" applyAlignment="1" applyProtection="1">
      <alignment horizontal="center" vertical="center" textRotation="255"/>
      <protection hidden="1"/>
    </xf>
    <xf numFmtId="0" fontId="322" fillId="12" borderId="421" xfId="0" applyFont="1" applyFill="1" applyBorder="1" applyAlignment="1" applyProtection="1">
      <alignment horizontal="center" vertical="center" textRotation="255"/>
      <protection hidden="1"/>
    </xf>
    <xf numFmtId="0" fontId="322" fillId="12" borderId="422" xfId="0" applyFont="1" applyFill="1" applyBorder="1" applyAlignment="1" applyProtection="1">
      <alignment horizontal="center" vertical="center" textRotation="255"/>
      <protection hidden="1"/>
    </xf>
    <xf numFmtId="0" fontId="322" fillId="12" borderId="423" xfId="0" applyFont="1" applyFill="1" applyBorder="1" applyAlignment="1" applyProtection="1">
      <alignment horizontal="center" vertical="center" textRotation="255"/>
      <protection hidden="1"/>
    </xf>
    <xf numFmtId="0" fontId="322" fillId="12" borderId="0" xfId="0" applyFont="1" applyFill="1" applyAlignment="1" applyProtection="1">
      <alignment horizontal="center" vertical="center" textRotation="255"/>
      <protection hidden="1"/>
    </xf>
    <xf numFmtId="0" fontId="322" fillId="12" borderId="424" xfId="0" applyFont="1" applyFill="1" applyBorder="1" applyAlignment="1" applyProtection="1">
      <alignment horizontal="center" vertical="center" textRotation="255"/>
      <protection hidden="1"/>
    </xf>
    <xf numFmtId="0" fontId="322" fillId="12" borderId="425" xfId="0" applyFont="1" applyFill="1" applyBorder="1" applyAlignment="1" applyProtection="1">
      <alignment horizontal="center" vertical="center" textRotation="255"/>
      <protection hidden="1"/>
    </xf>
    <xf numFmtId="0" fontId="322" fillId="12" borderId="426" xfId="0" applyFont="1" applyFill="1" applyBorder="1" applyAlignment="1" applyProtection="1">
      <alignment horizontal="center" vertical="center" textRotation="255"/>
      <protection hidden="1"/>
    </xf>
    <xf numFmtId="0" fontId="322" fillId="12" borderId="427" xfId="0" applyFont="1" applyFill="1" applyBorder="1" applyAlignment="1" applyProtection="1">
      <alignment horizontal="center" vertical="center" textRotation="255"/>
      <protection hidden="1"/>
    </xf>
    <xf numFmtId="0" fontId="552" fillId="6" borderId="400" xfId="0" applyFont="1" applyFill="1" applyBorder="1" applyAlignment="1" applyProtection="1">
      <alignment horizontal="center" vertical="center"/>
      <protection hidden="1"/>
    </xf>
    <xf numFmtId="0" fontId="553" fillId="5" borderId="402" xfId="0" applyFont="1" applyFill="1" applyBorder="1" applyAlignment="1" applyProtection="1">
      <alignment horizontal="center" vertical="center"/>
      <protection hidden="1"/>
    </xf>
    <xf numFmtId="0" fontId="546" fillId="12" borderId="399" xfId="0" applyFont="1" applyFill="1" applyBorder="1" applyAlignment="1" applyProtection="1">
      <alignment horizontal="center" vertical="center"/>
      <protection hidden="1"/>
    </xf>
    <xf numFmtId="0" fontId="17" fillId="18" borderId="402" xfId="0" applyFont="1" applyFill="1" applyBorder="1" applyAlignment="1" applyProtection="1">
      <alignment horizontal="center" vertical="center"/>
      <protection hidden="1"/>
    </xf>
    <xf numFmtId="0" fontId="235" fillId="20" borderId="364" xfId="0" applyFont="1" applyFill="1" applyBorder="1" applyAlignment="1" applyProtection="1">
      <alignment horizontal="center" vertical="center"/>
      <protection hidden="1"/>
    </xf>
    <xf numFmtId="0" fontId="235" fillId="20" borderId="153" xfId="0" applyFont="1" applyFill="1" applyBorder="1" applyAlignment="1" applyProtection="1">
      <alignment horizontal="center" vertical="center"/>
      <protection hidden="1"/>
    </xf>
    <xf numFmtId="0" fontId="235" fillId="20" borderId="365" xfId="0" applyFont="1" applyFill="1" applyBorder="1" applyAlignment="1" applyProtection="1">
      <alignment horizontal="center" vertical="center"/>
      <protection hidden="1"/>
    </xf>
    <xf numFmtId="0" fontId="235" fillId="20" borderId="354" xfId="0" applyFont="1" applyFill="1" applyBorder="1" applyAlignment="1" applyProtection="1">
      <alignment horizontal="center" vertical="center"/>
      <protection hidden="1"/>
    </xf>
    <xf numFmtId="0" fontId="235" fillId="20" borderId="154" xfId="0" applyFont="1" applyFill="1" applyBorder="1" applyAlignment="1" applyProtection="1">
      <alignment horizontal="center" vertical="center"/>
      <protection hidden="1"/>
    </xf>
    <xf numFmtId="0" fontId="235" fillId="20" borderId="266" xfId="0" applyFont="1" applyFill="1" applyBorder="1" applyAlignment="1" applyProtection="1">
      <alignment horizontal="center" vertical="center"/>
      <protection hidden="1"/>
    </xf>
    <xf numFmtId="0" fontId="214" fillId="20" borderId="0" xfId="0" applyFont="1" applyFill="1" applyAlignment="1" applyProtection="1">
      <alignment horizontal="center" vertical="top" textRotation="255"/>
      <protection hidden="1"/>
    </xf>
    <xf numFmtId="0" fontId="110" fillId="20" borderId="0" xfId="0" applyFont="1" applyFill="1" applyAlignment="1" applyProtection="1">
      <alignment horizontal="center" vertical="top" textRotation="255"/>
      <protection hidden="1"/>
    </xf>
    <xf numFmtId="0" fontId="93" fillId="20" borderId="0" xfId="0" applyFont="1" applyFill="1" applyAlignment="1" applyProtection="1">
      <alignment horizontal="center" vertical="top" textRotation="255"/>
      <protection hidden="1"/>
    </xf>
    <xf numFmtId="20" fontId="110" fillId="20" borderId="0" xfId="0" applyNumberFormat="1" applyFont="1" applyFill="1" applyAlignment="1" applyProtection="1">
      <alignment horizontal="center" vertical="top" textRotation="255"/>
      <protection hidden="1"/>
    </xf>
    <xf numFmtId="0" fontId="214" fillId="3" borderId="0" xfId="0" applyFont="1" applyFill="1" applyAlignment="1" applyProtection="1">
      <alignment horizontal="center" vertical="top" textRotation="255"/>
      <protection hidden="1"/>
    </xf>
    <xf numFmtId="20" fontId="441" fillId="20" borderId="153" xfId="0" applyNumberFormat="1" applyFont="1" applyFill="1" applyBorder="1" applyAlignment="1" applyProtection="1">
      <alignment horizontal="center" vertical="center"/>
      <protection hidden="1"/>
    </xf>
    <xf numFmtId="0" fontId="441" fillId="20" borderId="153" xfId="0" applyFont="1" applyFill="1" applyBorder="1" applyAlignment="1" applyProtection="1">
      <alignment horizontal="center" vertical="center"/>
      <protection hidden="1"/>
    </xf>
    <xf numFmtId="0" fontId="441" fillId="20" borderId="154" xfId="0" applyFont="1" applyFill="1" applyBorder="1" applyAlignment="1" applyProtection="1">
      <alignment horizontal="center" vertical="center"/>
      <protection hidden="1"/>
    </xf>
    <xf numFmtId="0" fontId="15" fillId="0" borderId="0" xfId="0" applyFont="1" applyAlignment="1" applyProtection="1">
      <alignment horizontal="center" vertical="center"/>
      <protection hidden="1"/>
    </xf>
    <xf numFmtId="1" fontId="129" fillId="0" borderId="32" xfId="0" applyNumberFormat="1" applyFont="1" applyBorder="1" applyAlignment="1" applyProtection="1">
      <alignment horizontal="center" vertical="center"/>
      <protection hidden="1"/>
    </xf>
    <xf numFmtId="1" fontId="129" fillId="0" borderId="105" xfId="0" applyNumberFormat="1" applyFont="1" applyBorder="1" applyAlignment="1" applyProtection="1">
      <alignment horizontal="center" vertical="center"/>
      <protection hidden="1"/>
    </xf>
    <xf numFmtId="1" fontId="129" fillId="0" borderId="132" xfId="0" applyNumberFormat="1" applyFont="1" applyBorder="1" applyAlignment="1" applyProtection="1">
      <alignment horizontal="center" vertical="center"/>
      <protection hidden="1"/>
    </xf>
    <xf numFmtId="14" fontId="147" fillId="0" borderId="32" xfId="0" applyNumberFormat="1" applyFont="1" applyBorder="1" applyAlignment="1" applyProtection="1">
      <alignment horizontal="center" vertical="center"/>
      <protection hidden="1"/>
    </xf>
    <xf numFmtId="14" fontId="147" fillId="0" borderId="105" xfId="0" applyNumberFormat="1" applyFont="1" applyBorder="1" applyAlignment="1" applyProtection="1">
      <alignment horizontal="center" vertical="center"/>
      <protection hidden="1"/>
    </xf>
    <xf numFmtId="14" fontId="147" fillId="0" borderId="132" xfId="0" applyNumberFormat="1" applyFont="1" applyBorder="1" applyAlignment="1" applyProtection="1">
      <alignment horizontal="center" vertical="center"/>
      <protection hidden="1"/>
    </xf>
    <xf numFmtId="0" fontId="15" fillId="0" borderId="0" xfId="0" applyFont="1" applyAlignment="1" applyProtection="1">
      <alignment horizontal="center"/>
      <protection hidden="1"/>
    </xf>
    <xf numFmtId="0" fontId="696" fillId="0" borderId="0" xfId="0" applyFont="1" applyAlignment="1" applyProtection="1">
      <alignment horizontal="left" vertical="center"/>
      <protection locked="0"/>
    </xf>
    <xf numFmtId="14" fontId="581" fillId="0" borderId="32" xfId="0" applyNumberFormat="1" applyFont="1" applyBorder="1" applyAlignment="1" applyProtection="1">
      <alignment horizontal="center" vertical="center"/>
      <protection hidden="1"/>
    </xf>
    <xf numFmtId="14" fontId="581" fillId="0" borderId="105" xfId="0" applyNumberFormat="1" applyFont="1" applyBorder="1" applyAlignment="1" applyProtection="1">
      <alignment horizontal="center" vertical="center"/>
      <protection hidden="1"/>
    </xf>
    <xf numFmtId="14" fontId="581" fillId="0" borderId="132" xfId="0" applyNumberFormat="1" applyFont="1" applyBorder="1" applyAlignment="1" applyProtection="1">
      <alignment horizontal="center" vertical="center"/>
      <protection hidden="1"/>
    </xf>
    <xf numFmtId="14" fontId="22" fillId="0" borderId="0" xfId="0" applyNumberFormat="1" applyFont="1" applyAlignment="1" applyProtection="1">
      <alignment horizontal="center"/>
      <protection locked="0"/>
    </xf>
    <xf numFmtId="0" fontId="196" fillId="14" borderId="0" xfId="0" applyFont="1" applyFill="1" applyAlignment="1" applyProtection="1">
      <alignment horizontal="right" vertical="center" indent="1"/>
      <protection hidden="1"/>
    </xf>
    <xf numFmtId="0" fontId="99" fillId="12" borderId="0" xfId="0" applyFont="1" applyFill="1" applyAlignment="1" applyProtection="1">
      <alignment horizontal="center" vertical="center"/>
      <protection hidden="1"/>
    </xf>
    <xf numFmtId="9" fontId="196" fillId="14" borderId="0" xfId="0" applyNumberFormat="1" applyFont="1" applyFill="1" applyAlignment="1" applyProtection="1">
      <alignment horizontal="right" vertical="center" indent="1"/>
      <protection hidden="1"/>
    </xf>
    <xf numFmtId="9" fontId="196" fillId="17" borderId="0" xfId="0" applyNumberFormat="1" applyFont="1" applyFill="1" applyAlignment="1" applyProtection="1">
      <alignment horizontal="left" vertical="center" indent="1"/>
      <protection hidden="1"/>
    </xf>
    <xf numFmtId="0" fontId="196" fillId="17" borderId="0" xfId="0" applyFont="1" applyFill="1" applyAlignment="1" applyProtection="1">
      <alignment horizontal="left" vertical="center" indent="1"/>
      <protection hidden="1"/>
    </xf>
    <xf numFmtId="0" fontId="98" fillId="0" borderId="0" xfId="0" applyFont="1" applyAlignment="1" applyProtection="1">
      <alignment horizontal="left" vertical="center"/>
      <protection hidden="1"/>
    </xf>
    <xf numFmtId="0" fontId="196" fillId="16" borderId="0" xfId="0" applyFont="1" applyFill="1" applyAlignment="1" applyProtection="1">
      <alignment horizontal="right" vertical="center" indent="1"/>
      <protection hidden="1"/>
    </xf>
    <xf numFmtId="0" fontId="196" fillId="18" borderId="0" xfId="0" applyFont="1" applyFill="1" applyAlignment="1" applyProtection="1">
      <alignment horizontal="left" vertical="center" indent="1"/>
      <protection hidden="1"/>
    </xf>
    <xf numFmtId="0" fontId="99" fillId="8" borderId="0" xfId="0" applyFont="1" applyFill="1" applyAlignment="1" applyProtection="1">
      <alignment horizontal="center" vertical="center"/>
      <protection hidden="1"/>
    </xf>
    <xf numFmtId="0" fontId="99" fillId="7" borderId="0" xfId="0" applyFont="1" applyFill="1" applyAlignment="1" applyProtection="1">
      <alignment horizontal="center" vertical="center"/>
      <protection hidden="1"/>
    </xf>
    <xf numFmtId="0" fontId="99" fillId="25" borderId="0" xfId="0" applyFont="1" applyFill="1" applyAlignment="1" applyProtection="1">
      <alignment horizontal="center" vertical="center"/>
      <protection hidden="1"/>
    </xf>
    <xf numFmtId="0" fontId="99" fillId="6" borderId="0" xfId="0" applyFont="1" applyFill="1" applyAlignment="1" applyProtection="1">
      <alignment horizontal="center" vertical="center"/>
      <protection hidden="1"/>
    </xf>
    <xf numFmtId="0" fontId="99" fillId="5" borderId="0" xfId="0" applyFont="1" applyFill="1" applyAlignment="1" applyProtection="1">
      <alignment horizontal="center" vertical="center"/>
      <protection hidden="1"/>
    </xf>
    <xf numFmtId="0" fontId="23" fillId="18" borderId="0" xfId="0" applyFont="1" applyFill="1" applyAlignment="1" applyProtection="1">
      <alignment horizontal="left" vertical="center" wrapText="1"/>
      <protection locked="0"/>
    </xf>
    <xf numFmtId="0" fontId="98" fillId="18" borderId="0" xfId="0" applyFont="1" applyFill="1" applyAlignment="1" applyProtection="1">
      <alignment horizontal="center"/>
      <protection hidden="1"/>
    </xf>
    <xf numFmtId="0" fontId="23" fillId="18" borderId="0" xfId="0" applyFont="1" applyFill="1" applyAlignment="1" applyProtection="1">
      <alignment horizontal="right" vertical="center" wrapText="1"/>
      <protection locked="0"/>
    </xf>
    <xf numFmtId="0" fontId="98" fillId="18" borderId="0" xfId="0" applyFont="1" applyFill="1" applyAlignment="1" applyProtection="1">
      <alignment horizontal="center" vertical="center" wrapText="1"/>
      <protection hidden="1"/>
    </xf>
    <xf numFmtId="0" fontId="98" fillId="18" borderId="0" xfId="0" applyFont="1" applyFill="1" applyAlignment="1" applyProtection="1">
      <alignment horizontal="center" vertical="center"/>
      <protection hidden="1"/>
    </xf>
    <xf numFmtId="14" fontId="22" fillId="0" borderId="225" xfId="0" applyNumberFormat="1" applyFont="1" applyBorder="1" applyAlignment="1" applyProtection="1">
      <alignment horizontal="left" vertical="center"/>
      <protection hidden="1"/>
    </xf>
    <xf numFmtId="0" fontId="99" fillId="2" borderId="0" xfId="0" applyFont="1" applyFill="1" applyAlignment="1" applyProtection="1">
      <alignment horizontal="center" vertical="center"/>
      <protection hidden="1"/>
    </xf>
    <xf numFmtId="0" fontId="23" fillId="18" borderId="0" xfId="0" applyFont="1" applyFill="1" applyAlignment="1" applyProtection="1">
      <alignment horizontal="left" vertical="center"/>
      <protection locked="0"/>
    </xf>
    <xf numFmtId="0" fontId="99" fillId="27" borderId="0" xfId="0" applyFont="1" applyFill="1" applyAlignment="1" applyProtection="1">
      <alignment horizontal="center" vertical="center"/>
      <protection hidden="1"/>
    </xf>
    <xf numFmtId="0" fontId="99" fillId="11" borderId="0" xfId="0" applyFont="1" applyFill="1" applyAlignment="1" applyProtection="1">
      <alignment horizontal="center" vertical="center"/>
      <protection hidden="1"/>
    </xf>
    <xf numFmtId="0" fontId="329" fillId="18" borderId="0" xfId="0" applyFont="1" applyFill="1" applyAlignment="1" applyProtection="1">
      <alignment horizontal="left" vertical="center"/>
      <protection hidden="1"/>
    </xf>
    <xf numFmtId="0" fontId="329" fillId="16" borderId="0" xfId="0" applyFont="1" applyFill="1" applyAlignment="1" applyProtection="1">
      <alignment horizontal="right" vertical="center"/>
      <protection hidden="1"/>
    </xf>
    <xf numFmtId="0" fontId="99" fillId="9" borderId="0" xfId="0" applyFont="1" applyFill="1" applyAlignment="1" applyProtection="1">
      <alignment horizontal="center" vertical="center"/>
      <protection hidden="1"/>
    </xf>
    <xf numFmtId="0" fontId="131" fillId="23" borderId="0" xfId="0" applyFont="1" applyFill="1" applyAlignment="1" applyProtection="1">
      <alignment horizontal="left" vertical="center"/>
      <protection hidden="1"/>
    </xf>
    <xf numFmtId="0" fontId="23" fillId="23" borderId="0" xfId="0" applyFont="1" applyFill="1" applyAlignment="1" applyProtection="1">
      <alignment horizontal="left" vertical="center"/>
      <protection locked="0"/>
    </xf>
    <xf numFmtId="0" fontId="99" fillId="14" borderId="0" xfId="0" applyFont="1" applyFill="1" applyAlignment="1" applyProtection="1">
      <alignment horizontal="center" vertical="top"/>
      <protection hidden="1"/>
    </xf>
    <xf numFmtId="0" fontId="263" fillId="17" borderId="0" xfId="0" applyFont="1" applyFill="1" applyAlignment="1" applyProtection="1">
      <alignment horizontal="center" vertical="top"/>
      <protection hidden="1"/>
    </xf>
    <xf numFmtId="0" fontId="716" fillId="18" borderId="0" xfId="0" applyFont="1" applyFill="1" applyAlignment="1" applyProtection="1">
      <alignment horizontal="center"/>
      <protection hidden="1"/>
    </xf>
    <xf numFmtId="0" fontId="98" fillId="23" borderId="0" xfId="0" applyFont="1" applyFill="1" applyAlignment="1" applyProtection="1">
      <alignment horizontal="left"/>
      <protection locked="0"/>
    </xf>
    <xf numFmtId="0" fontId="19" fillId="23" borderId="0" xfId="0" applyFont="1" applyFill="1" applyAlignment="1" applyProtection="1">
      <alignment horizontal="right"/>
      <protection hidden="1"/>
    </xf>
    <xf numFmtId="0" fontId="100" fillId="23" borderId="0" xfId="0" applyFont="1" applyFill="1" applyAlignment="1" applyProtection="1">
      <alignment horizontal="left"/>
      <protection hidden="1"/>
    </xf>
    <xf numFmtId="0" fontId="98" fillId="18" borderId="0" xfId="0" applyFont="1" applyFill="1" applyAlignment="1" applyProtection="1">
      <alignment horizontal="left"/>
      <protection locked="0"/>
    </xf>
    <xf numFmtId="0" fontId="19" fillId="18" borderId="0" xfId="0" applyFont="1" applyFill="1" applyAlignment="1" applyProtection="1">
      <alignment horizontal="right"/>
      <protection hidden="1"/>
    </xf>
    <xf numFmtId="20" fontId="23" fillId="23" borderId="0" xfId="0" applyNumberFormat="1" applyFont="1" applyFill="1" applyAlignment="1" applyProtection="1">
      <alignment horizontal="left" vertical="center"/>
      <protection locked="0"/>
    </xf>
    <xf numFmtId="0" fontId="19" fillId="4" borderId="0" xfId="0" applyFont="1" applyFill="1" applyAlignment="1" applyProtection="1">
      <alignment horizontal="left" vertical="center"/>
      <protection hidden="1"/>
    </xf>
    <xf numFmtId="1" fontId="19" fillId="18" borderId="0" xfId="0" applyNumberFormat="1" applyFont="1" applyFill="1" applyAlignment="1" applyProtection="1">
      <alignment horizontal="right"/>
      <protection hidden="1"/>
    </xf>
    <xf numFmtId="1" fontId="19" fillId="23" borderId="0" xfId="0" applyNumberFormat="1" applyFont="1" applyFill="1" applyAlignment="1" applyProtection="1">
      <alignment horizontal="right"/>
      <protection hidden="1"/>
    </xf>
    <xf numFmtId="0" fontId="23" fillId="18" borderId="0" xfId="0" quotePrefix="1" applyFont="1" applyFill="1" applyAlignment="1" applyProtection="1">
      <alignment horizontal="left" vertical="center"/>
      <protection locked="0"/>
    </xf>
    <xf numFmtId="0" fontId="106" fillId="0" borderId="0" xfId="0" applyFont="1" applyAlignment="1" applyProtection="1">
      <alignment horizontal="right" wrapText="1" indent="1"/>
      <protection hidden="1"/>
    </xf>
    <xf numFmtId="0" fontId="110" fillId="0" borderId="0" xfId="0" applyFont="1" applyAlignment="1" applyProtection="1">
      <alignment horizontal="center" vertical="top" textRotation="255"/>
      <protection hidden="1"/>
    </xf>
    <xf numFmtId="0" fontId="93" fillId="0" borderId="0" xfId="0" applyFont="1" applyAlignment="1" applyProtection="1">
      <alignment horizontal="center" vertical="top" textRotation="255"/>
      <protection hidden="1"/>
    </xf>
    <xf numFmtId="20" fontId="94" fillId="0" borderId="0" xfId="0" applyNumberFormat="1" applyFont="1" applyAlignment="1" applyProtection="1">
      <alignment horizontal="center" vertical="top" textRotation="255"/>
      <protection hidden="1"/>
    </xf>
    <xf numFmtId="0" fontId="100" fillId="16" borderId="0" xfId="0" applyFont="1" applyFill="1" applyAlignment="1" applyProtection="1">
      <alignment horizontal="center"/>
      <protection hidden="1"/>
    </xf>
    <xf numFmtId="0" fontId="230" fillId="0" borderId="1" xfId="0" applyFont="1" applyBorder="1" applyAlignment="1" applyProtection="1">
      <alignment horizontal="center" vertical="center" wrapText="1"/>
      <protection locked="0"/>
    </xf>
    <xf numFmtId="0" fontId="230" fillId="0" borderId="1" xfId="0" applyFont="1" applyBorder="1" applyAlignment="1" applyProtection="1">
      <alignment horizontal="center" vertical="center"/>
      <protection locked="0"/>
    </xf>
    <xf numFmtId="14" fontId="230" fillId="0" borderId="1" xfId="0" applyNumberFormat="1" applyFont="1" applyBorder="1" applyAlignment="1" applyProtection="1">
      <alignment horizontal="center" vertical="center"/>
      <protection locked="0"/>
    </xf>
    <xf numFmtId="1" fontId="230" fillId="0" borderId="1" xfId="0" applyNumberFormat="1" applyFont="1" applyBorder="1" applyAlignment="1" applyProtection="1">
      <alignment horizontal="center" vertical="center"/>
      <protection locked="0"/>
    </xf>
    <xf numFmtId="0" fontId="99" fillId="10" borderId="0" xfId="0" applyFont="1" applyFill="1" applyAlignment="1" applyProtection="1">
      <alignment horizontal="center" vertical="center"/>
      <protection hidden="1"/>
    </xf>
    <xf numFmtId="0" fontId="129" fillId="0" borderId="0" xfId="0" applyFont="1" applyAlignment="1" applyProtection="1">
      <alignment horizontal="center" vertical="center" wrapText="1"/>
      <protection hidden="1"/>
    </xf>
    <xf numFmtId="0" fontId="129" fillId="0" borderId="52" xfId="0" applyFont="1" applyBorder="1" applyAlignment="1" applyProtection="1">
      <alignment horizontal="center" vertical="center" wrapText="1"/>
      <protection hidden="1"/>
    </xf>
    <xf numFmtId="0" fontId="299" fillId="14" borderId="0" xfId="0" applyFont="1" applyFill="1" applyAlignment="1" applyProtection="1">
      <alignment horizontal="center" vertical="center"/>
      <protection hidden="1"/>
    </xf>
    <xf numFmtId="0" fontId="299" fillId="16" borderId="0" xfId="0" applyFont="1" applyFill="1" applyAlignment="1" applyProtection="1">
      <alignment horizontal="center" vertical="center"/>
      <protection hidden="1"/>
    </xf>
    <xf numFmtId="14" fontId="22" fillId="0" borderId="228" xfId="0" applyNumberFormat="1" applyFont="1" applyBorder="1" applyAlignment="1" applyProtection="1">
      <alignment horizontal="center"/>
      <protection locked="0"/>
    </xf>
    <xf numFmtId="0" fontId="99" fillId="26" borderId="0" xfId="0" applyFont="1" applyFill="1" applyAlignment="1" applyProtection="1">
      <alignment horizontal="center" vertical="center"/>
      <protection hidden="1"/>
    </xf>
    <xf numFmtId="0" fontId="196" fillId="0" borderId="225" xfId="0" applyFont="1" applyBorder="1" applyAlignment="1" applyProtection="1">
      <alignment horizontal="left" vertical="center"/>
      <protection hidden="1"/>
    </xf>
    <xf numFmtId="0" fontId="22" fillId="0" borderId="225" xfId="0" applyFont="1" applyBorder="1" applyAlignment="1" applyProtection="1">
      <alignment horizontal="left" vertical="center"/>
      <protection hidden="1"/>
    </xf>
    <xf numFmtId="0" fontId="523" fillId="19" borderId="197" xfId="0" applyFont="1" applyFill="1" applyBorder="1" applyAlignment="1" applyProtection="1">
      <alignment horizontal="center" vertical="center" textRotation="255"/>
      <protection hidden="1"/>
    </xf>
    <xf numFmtId="0" fontId="523" fillId="19" borderId="198" xfId="0" applyFont="1" applyFill="1" applyBorder="1" applyAlignment="1" applyProtection="1">
      <alignment horizontal="center" vertical="center" textRotation="255"/>
      <protection hidden="1"/>
    </xf>
    <xf numFmtId="0" fontId="523" fillId="19" borderId="199" xfId="0" applyFont="1" applyFill="1" applyBorder="1" applyAlignment="1" applyProtection="1">
      <alignment horizontal="center" vertical="center" textRotation="255"/>
      <protection hidden="1"/>
    </xf>
    <xf numFmtId="0" fontId="523" fillId="19" borderId="200" xfId="0" applyFont="1" applyFill="1" applyBorder="1" applyAlignment="1" applyProtection="1">
      <alignment horizontal="center" vertical="center" textRotation="255"/>
      <protection hidden="1"/>
    </xf>
    <xf numFmtId="0" fontId="523" fillId="19" borderId="0" xfId="0" applyFont="1" applyFill="1" applyAlignment="1" applyProtection="1">
      <alignment horizontal="center" vertical="center" textRotation="255"/>
      <protection hidden="1"/>
    </xf>
    <xf numFmtId="0" fontId="523" fillId="19" borderId="374" xfId="0" applyFont="1" applyFill="1" applyBorder="1" applyAlignment="1" applyProtection="1">
      <alignment horizontal="center" vertical="center" textRotation="255"/>
      <protection hidden="1"/>
    </xf>
    <xf numFmtId="0" fontId="523" fillId="19" borderId="377" xfId="0" applyFont="1" applyFill="1" applyBorder="1" applyAlignment="1" applyProtection="1">
      <alignment horizontal="center" vertical="center" textRotation="255"/>
      <protection hidden="1"/>
    </xf>
    <xf numFmtId="0" fontId="523" fillId="19" borderId="378" xfId="0" applyFont="1" applyFill="1" applyBorder="1" applyAlignment="1" applyProtection="1">
      <alignment horizontal="center" vertical="center" textRotation="255"/>
      <protection hidden="1"/>
    </xf>
    <xf numFmtId="0" fontId="523" fillId="19" borderId="379" xfId="0" applyFont="1" applyFill="1" applyBorder="1" applyAlignment="1" applyProtection="1">
      <alignment horizontal="center" vertical="center" textRotation="255"/>
      <protection hidden="1"/>
    </xf>
    <xf numFmtId="0" fontId="93" fillId="18" borderId="35" xfId="0" applyFont="1" applyFill="1" applyBorder="1" applyAlignment="1" applyProtection="1">
      <alignment horizontal="center" vertical="center" textRotation="255"/>
      <protection hidden="1"/>
    </xf>
    <xf numFmtId="0" fontId="93" fillId="18" borderId="51" xfId="0" applyFont="1" applyFill="1" applyBorder="1" applyAlignment="1" applyProtection="1">
      <alignment horizontal="center" vertical="center" textRotation="255"/>
      <protection hidden="1"/>
    </xf>
    <xf numFmtId="0" fontId="93" fillId="18" borderId="34" xfId="0" applyFont="1" applyFill="1" applyBorder="1" applyAlignment="1" applyProtection="1">
      <alignment horizontal="center" vertical="center" textRotation="255"/>
      <protection hidden="1"/>
    </xf>
    <xf numFmtId="0" fontId="93" fillId="18" borderId="39" xfId="0" applyFont="1" applyFill="1" applyBorder="1" applyAlignment="1" applyProtection="1">
      <alignment horizontal="center" vertical="center" textRotation="255"/>
      <protection hidden="1"/>
    </xf>
    <xf numFmtId="0" fontId="93" fillId="18" borderId="0" xfId="0" applyFont="1" applyFill="1" applyAlignment="1" applyProtection="1">
      <alignment horizontal="center" vertical="center" textRotation="255"/>
      <protection hidden="1"/>
    </xf>
    <xf numFmtId="0" fontId="93" fillId="18" borderId="104" xfId="0" applyFont="1" applyFill="1" applyBorder="1" applyAlignment="1" applyProtection="1">
      <alignment horizontal="center" vertical="center" textRotation="255"/>
      <protection hidden="1"/>
    </xf>
    <xf numFmtId="0" fontId="93" fillId="18" borderId="33" xfId="0" applyFont="1" applyFill="1" applyBorder="1" applyAlignment="1" applyProtection="1">
      <alignment horizontal="center" vertical="center" textRotation="255"/>
      <protection hidden="1"/>
    </xf>
    <xf numFmtId="0" fontId="93" fillId="18" borderId="52" xfId="0" applyFont="1" applyFill="1" applyBorder="1" applyAlignment="1" applyProtection="1">
      <alignment horizontal="center" vertical="center" textRotation="255"/>
      <protection hidden="1"/>
    </xf>
    <xf numFmtId="0" fontId="93" fillId="18" borderId="22" xfId="0" applyFont="1" applyFill="1" applyBorder="1" applyAlignment="1" applyProtection="1">
      <alignment horizontal="center" vertical="center" textRotation="255"/>
      <protection hidden="1"/>
    </xf>
    <xf numFmtId="0" fontId="587" fillId="18" borderId="455" xfId="0" applyFont="1" applyFill="1" applyBorder="1" applyAlignment="1" applyProtection="1">
      <alignment horizontal="center" vertical="center" textRotation="255"/>
      <protection hidden="1"/>
    </xf>
    <xf numFmtId="0" fontId="587" fillId="18" borderId="456" xfId="0" applyFont="1" applyFill="1" applyBorder="1" applyAlignment="1" applyProtection="1">
      <alignment horizontal="center" vertical="center" textRotation="255"/>
      <protection hidden="1"/>
    </xf>
    <xf numFmtId="0" fontId="587" fillId="18" borderId="457" xfId="0" applyFont="1" applyFill="1" applyBorder="1" applyAlignment="1" applyProtection="1">
      <alignment horizontal="center" vertical="center" textRotation="255"/>
      <protection hidden="1"/>
    </xf>
    <xf numFmtId="0" fontId="587" fillId="18" borderId="458" xfId="0" applyFont="1" applyFill="1" applyBorder="1" applyAlignment="1" applyProtection="1">
      <alignment horizontal="center" vertical="center" textRotation="255"/>
      <protection hidden="1"/>
    </xf>
    <xf numFmtId="0" fontId="587" fillId="18" borderId="0" xfId="0" applyFont="1" applyFill="1" applyAlignment="1" applyProtection="1">
      <alignment horizontal="center" vertical="center" textRotation="255"/>
      <protection hidden="1"/>
    </xf>
    <xf numFmtId="0" fontId="587" fillId="18" borderId="459" xfId="0" applyFont="1" applyFill="1" applyBorder="1" applyAlignment="1" applyProtection="1">
      <alignment horizontal="center" vertical="center" textRotation="255"/>
      <protection hidden="1"/>
    </xf>
    <xf numFmtId="0" fontId="515" fillId="16" borderId="35" xfId="0" applyFont="1" applyFill="1" applyBorder="1" applyAlignment="1" applyProtection="1">
      <alignment horizontal="center" vertical="center" textRotation="255"/>
      <protection hidden="1"/>
    </xf>
    <xf numFmtId="0" fontId="93" fillId="16" borderId="51" xfId="0" applyFont="1" applyFill="1" applyBorder="1" applyAlignment="1" applyProtection="1">
      <alignment horizontal="center" vertical="center" textRotation="255"/>
      <protection hidden="1"/>
    </xf>
    <xf numFmtId="0" fontId="93" fillId="16" borderId="34" xfId="0" applyFont="1" applyFill="1" applyBorder="1" applyAlignment="1" applyProtection="1">
      <alignment horizontal="center" vertical="center" textRotation="255"/>
      <protection hidden="1"/>
    </xf>
    <xf numFmtId="0" fontId="93" fillId="16" borderId="39" xfId="0" applyFont="1" applyFill="1" applyBorder="1" applyAlignment="1" applyProtection="1">
      <alignment horizontal="center" vertical="center" textRotation="255"/>
      <protection hidden="1"/>
    </xf>
    <xf numFmtId="0" fontId="93" fillId="16" borderId="0" xfId="0" applyFont="1" applyFill="1" applyAlignment="1" applyProtection="1">
      <alignment horizontal="center" vertical="center" textRotation="255"/>
      <protection hidden="1"/>
    </xf>
    <xf numFmtId="0" fontId="93" fillId="16" borderId="104" xfId="0" applyFont="1" applyFill="1" applyBorder="1" applyAlignment="1" applyProtection="1">
      <alignment horizontal="center" vertical="center" textRotation="255"/>
      <protection hidden="1"/>
    </xf>
    <xf numFmtId="0" fontId="93" fillId="16" borderId="33" xfId="0" applyFont="1" applyFill="1" applyBorder="1" applyAlignment="1" applyProtection="1">
      <alignment horizontal="center" vertical="center" textRotation="255"/>
      <protection hidden="1"/>
    </xf>
    <xf numFmtId="0" fontId="93" fillId="16" borderId="52" xfId="0" applyFont="1" applyFill="1" applyBorder="1" applyAlignment="1" applyProtection="1">
      <alignment horizontal="center" vertical="center" textRotation="255"/>
      <protection hidden="1"/>
    </xf>
    <xf numFmtId="0" fontId="93" fillId="16" borderId="22" xfId="0" applyFont="1" applyFill="1" applyBorder="1" applyAlignment="1" applyProtection="1">
      <alignment horizontal="center" vertical="center" textRotation="255"/>
      <protection hidden="1"/>
    </xf>
    <xf numFmtId="2" fontId="343" fillId="0" borderId="1" xfId="0" applyNumberFormat="1" applyFont="1" applyBorder="1" applyAlignment="1" applyProtection="1">
      <alignment horizontal="left" vertical="center"/>
      <protection locked="0"/>
    </xf>
    <xf numFmtId="179" fontId="410" fillId="19" borderId="415" xfId="0" applyNumberFormat="1" applyFont="1" applyFill="1" applyBorder="1" applyAlignment="1" applyProtection="1">
      <alignment horizontal="center" vertical="center"/>
      <protection hidden="1"/>
    </xf>
    <xf numFmtId="20" fontId="343" fillId="18" borderId="1" xfId="0" applyNumberFormat="1" applyFont="1" applyFill="1" applyBorder="1" applyAlignment="1" applyProtection="1">
      <alignment horizontal="center" vertical="center"/>
      <protection hidden="1"/>
    </xf>
    <xf numFmtId="0" fontId="343" fillId="0" borderId="1" xfId="0" applyFont="1" applyBorder="1" applyAlignment="1" applyProtection="1">
      <alignment horizontal="left" vertical="center"/>
      <protection hidden="1"/>
    </xf>
    <xf numFmtId="2" fontId="366" fillId="19" borderId="415" xfId="0" applyNumberFormat="1" applyFont="1" applyFill="1" applyBorder="1" applyAlignment="1" applyProtection="1">
      <alignment horizontal="center" vertical="center"/>
      <protection locked="0"/>
    </xf>
    <xf numFmtId="1" fontId="343" fillId="18" borderId="1" xfId="0" applyNumberFormat="1" applyFont="1" applyFill="1" applyBorder="1" applyAlignment="1" applyProtection="1">
      <alignment horizontal="center" vertical="center"/>
      <protection hidden="1"/>
    </xf>
    <xf numFmtId="0" fontId="343" fillId="18" borderId="1" xfId="0" applyFont="1" applyFill="1" applyBorder="1" applyAlignment="1" applyProtection="1">
      <alignment horizontal="center" vertical="center"/>
      <protection hidden="1"/>
    </xf>
    <xf numFmtId="0" fontId="410" fillId="19" borderId="431" xfId="0" applyFont="1" applyFill="1" applyBorder="1" applyAlignment="1" applyProtection="1">
      <alignment horizontal="right" vertical="center"/>
      <protection hidden="1"/>
    </xf>
    <xf numFmtId="0" fontId="410" fillId="19" borderId="415" xfId="0" applyFont="1" applyFill="1" applyBorder="1" applyAlignment="1" applyProtection="1">
      <alignment horizontal="right" vertical="center"/>
      <protection hidden="1"/>
    </xf>
    <xf numFmtId="179" fontId="366" fillId="19" borderId="415" xfId="0" quotePrefix="1" applyNumberFormat="1" applyFont="1" applyFill="1" applyBorder="1" applyAlignment="1" applyProtection="1">
      <alignment horizontal="center" vertical="center"/>
      <protection locked="0"/>
    </xf>
    <xf numFmtId="179" fontId="366" fillId="19" borderId="415" xfId="0" applyNumberFormat="1" applyFont="1" applyFill="1" applyBorder="1" applyAlignment="1" applyProtection="1">
      <alignment horizontal="center" vertical="center"/>
      <protection locked="0"/>
    </xf>
    <xf numFmtId="179" fontId="367" fillId="19" borderId="415" xfId="0" quotePrefix="1" applyNumberFormat="1" applyFont="1" applyFill="1" applyBorder="1" applyAlignment="1" applyProtection="1">
      <alignment horizontal="center" vertical="center"/>
      <protection locked="0"/>
    </xf>
    <xf numFmtId="179" fontId="367" fillId="19" borderId="415" xfId="0" applyNumberFormat="1" applyFont="1" applyFill="1" applyBorder="1" applyAlignment="1" applyProtection="1">
      <alignment horizontal="center" vertical="center"/>
      <protection locked="0"/>
    </xf>
    <xf numFmtId="0" fontId="366" fillId="19" borderId="431" xfId="0" quotePrefix="1" applyFont="1" applyFill="1" applyBorder="1" applyAlignment="1" applyProtection="1">
      <alignment horizontal="center" vertical="center"/>
      <protection locked="0"/>
    </xf>
    <xf numFmtId="0" fontId="343" fillId="0" borderId="32" xfId="0" applyFont="1" applyBorder="1" applyAlignment="1" applyProtection="1">
      <alignment horizontal="left" vertical="center"/>
      <protection hidden="1"/>
    </xf>
    <xf numFmtId="0" fontId="343" fillId="0" borderId="132" xfId="0" applyFont="1" applyBorder="1" applyAlignment="1" applyProtection="1">
      <alignment horizontal="left" vertical="center"/>
      <protection hidden="1"/>
    </xf>
    <xf numFmtId="0" fontId="410" fillId="19" borderId="416" xfId="0" applyFont="1" applyFill="1" applyBorder="1" applyAlignment="1" applyProtection="1">
      <alignment horizontal="right" vertical="center"/>
      <protection hidden="1"/>
    </xf>
    <xf numFmtId="0" fontId="410" fillId="19" borderId="419" xfId="0" applyFont="1" applyFill="1" applyBorder="1" applyAlignment="1" applyProtection="1">
      <alignment horizontal="right" vertical="center"/>
      <protection hidden="1"/>
    </xf>
    <xf numFmtId="0" fontId="410" fillId="19" borderId="417" xfId="0" applyFont="1" applyFill="1" applyBorder="1" applyAlignment="1" applyProtection="1">
      <alignment horizontal="right" vertical="center"/>
      <protection hidden="1"/>
    </xf>
    <xf numFmtId="0" fontId="366" fillId="19" borderId="431" xfId="0" applyFont="1" applyFill="1" applyBorder="1" applyAlignment="1" applyProtection="1">
      <alignment horizontal="center" vertical="center"/>
      <protection locked="0"/>
    </xf>
    <xf numFmtId="20" fontId="298" fillId="18" borderId="34" xfId="0" applyNumberFormat="1" applyFont="1" applyFill="1" applyBorder="1" applyAlignment="1" applyProtection="1">
      <alignment horizontal="center" vertical="center"/>
      <protection hidden="1"/>
    </xf>
    <xf numFmtId="20" fontId="298" fillId="18" borderId="35" xfId="0" applyNumberFormat="1" applyFont="1" applyFill="1" applyBorder="1" applyAlignment="1" applyProtection="1">
      <alignment horizontal="center" vertical="center"/>
      <protection hidden="1"/>
    </xf>
    <xf numFmtId="179" fontId="442" fillId="15" borderId="208" xfId="0" applyNumberFormat="1" applyFont="1" applyFill="1" applyBorder="1" applyAlignment="1" applyProtection="1">
      <alignment horizontal="right" vertical="center" indent="1"/>
      <protection locked="0"/>
    </xf>
    <xf numFmtId="179" fontId="442" fillId="15" borderId="209" xfId="0" applyNumberFormat="1" applyFont="1" applyFill="1" applyBorder="1" applyAlignment="1" applyProtection="1">
      <alignment horizontal="right" vertical="center" indent="1"/>
      <protection locked="0"/>
    </xf>
    <xf numFmtId="0" fontId="442" fillId="20" borderId="208" xfId="0" applyFont="1" applyFill="1" applyBorder="1" applyAlignment="1" applyProtection="1">
      <alignment horizontal="left" vertical="center" indent="1"/>
      <protection locked="0"/>
    </xf>
    <xf numFmtId="0" fontId="442" fillId="20" borderId="216" xfId="0" applyFont="1" applyFill="1" applyBorder="1" applyAlignment="1" applyProtection="1">
      <alignment horizontal="left" vertical="center" indent="1"/>
      <protection locked="0"/>
    </xf>
    <xf numFmtId="0" fontId="442" fillId="20" borderId="209" xfId="0" applyFont="1" applyFill="1" applyBorder="1" applyAlignment="1" applyProtection="1">
      <alignment horizontal="left" vertical="center" indent="1"/>
      <protection locked="0"/>
    </xf>
    <xf numFmtId="0" fontId="270" fillId="28" borderId="206" xfId="0" applyFont="1" applyFill="1" applyBorder="1" applyAlignment="1" applyProtection="1">
      <alignment horizontal="center" vertical="center" textRotation="255"/>
      <protection locked="0"/>
    </xf>
    <xf numFmtId="0" fontId="214" fillId="19" borderId="197" xfId="0" applyFont="1" applyFill="1" applyBorder="1" applyAlignment="1" applyProtection="1">
      <alignment horizontal="center" vertical="center" textRotation="255"/>
      <protection locked="0"/>
    </xf>
    <xf numFmtId="0" fontId="214" fillId="19" borderId="198" xfId="0" applyFont="1" applyFill="1" applyBorder="1" applyAlignment="1" applyProtection="1">
      <alignment horizontal="center" vertical="center" textRotation="255"/>
      <protection locked="0"/>
    </xf>
    <xf numFmtId="0" fontId="214" fillId="19" borderId="217" xfId="0" applyFont="1" applyFill="1" applyBorder="1" applyAlignment="1" applyProtection="1">
      <alignment horizontal="center" vertical="center" textRotation="255"/>
      <protection locked="0"/>
    </xf>
    <xf numFmtId="0" fontId="214" fillId="19" borderId="200" xfId="0" applyFont="1" applyFill="1" applyBorder="1" applyAlignment="1" applyProtection="1">
      <alignment horizontal="center" vertical="center" textRotation="255"/>
      <protection locked="0"/>
    </xf>
    <xf numFmtId="0" fontId="214" fillId="19" borderId="0" xfId="0" applyFont="1" applyFill="1" applyAlignment="1" applyProtection="1">
      <alignment horizontal="center" vertical="center" textRotation="255"/>
      <protection locked="0"/>
    </xf>
    <xf numFmtId="0" fontId="214" fillId="19" borderId="218" xfId="0" applyFont="1" applyFill="1" applyBorder="1" applyAlignment="1" applyProtection="1">
      <alignment horizontal="center" vertical="center" textRotation="255"/>
      <protection locked="0"/>
    </xf>
    <xf numFmtId="0" fontId="214" fillId="19" borderId="201" xfId="0" applyFont="1" applyFill="1" applyBorder="1" applyAlignment="1" applyProtection="1">
      <alignment horizontal="center" vertical="center" textRotation="255"/>
      <protection locked="0"/>
    </xf>
    <xf numFmtId="0" fontId="214" fillId="19" borderId="202" xfId="0" applyFont="1" applyFill="1" applyBorder="1" applyAlignment="1" applyProtection="1">
      <alignment horizontal="center" vertical="center" textRotation="255"/>
      <protection locked="0"/>
    </xf>
    <xf numFmtId="173" fontId="297" fillId="18" borderId="0" xfId="0" applyNumberFormat="1" applyFont="1" applyFill="1" applyAlignment="1" applyProtection="1">
      <alignment horizontal="left" vertical="center"/>
      <protection hidden="1"/>
    </xf>
    <xf numFmtId="173" fontId="298" fillId="18" borderId="0" xfId="0" applyNumberFormat="1" applyFont="1" applyFill="1" applyAlignment="1" applyProtection="1">
      <alignment horizontal="left" vertical="center"/>
      <protection hidden="1"/>
    </xf>
    <xf numFmtId="0" fontId="456" fillId="19" borderId="415" xfId="0" applyFont="1" applyFill="1" applyBorder="1" applyAlignment="1" applyProtection="1">
      <alignment horizontal="right" vertical="center"/>
      <protection locked="0"/>
    </xf>
    <xf numFmtId="0" fontId="410" fillId="19" borderId="415" xfId="0" applyFont="1" applyFill="1" applyBorder="1" applyAlignment="1" applyProtection="1">
      <alignment horizontal="right" vertical="center"/>
      <protection locked="0"/>
    </xf>
    <xf numFmtId="0" fontId="269" fillId="19" borderId="416" xfId="0" applyFont="1" applyFill="1" applyBorder="1" applyAlignment="1" applyProtection="1">
      <alignment horizontal="center" vertical="center"/>
      <protection hidden="1"/>
    </xf>
    <xf numFmtId="0" fontId="269" fillId="19" borderId="417" xfId="0" applyFont="1" applyFill="1" applyBorder="1" applyAlignment="1" applyProtection="1">
      <alignment horizontal="center" vertical="center"/>
      <protection hidden="1"/>
    </xf>
    <xf numFmtId="0" fontId="456" fillId="19" borderId="416" xfId="0" applyFont="1" applyFill="1" applyBorder="1" applyAlignment="1" applyProtection="1">
      <alignment horizontal="left" vertical="center"/>
      <protection hidden="1"/>
    </xf>
    <xf numFmtId="0" fontId="456" fillId="19" borderId="419" xfId="0" applyFont="1" applyFill="1" applyBorder="1" applyAlignment="1" applyProtection="1">
      <alignment horizontal="left" vertical="center"/>
      <protection hidden="1"/>
    </xf>
    <xf numFmtId="0" fontId="456" fillId="19" borderId="417" xfId="0" applyFont="1" applyFill="1" applyBorder="1" applyAlignment="1" applyProtection="1">
      <alignment horizontal="left" vertical="center"/>
      <protection hidden="1"/>
    </xf>
    <xf numFmtId="14" fontId="297" fillId="18" borderId="0" xfId="0" applyNumberFormat="1" applyFont="1" applyFill="1" applyAlignment="1" applyProtection="1">
      <alignment horizontal="left" vertical="center"/>
      <protection hidden="1"/>
    </xf>
    <xf numFmtId="0" fontId="297" fillId="18" borderId="0" xfId="0" applyFont="1" applyFill="1" applyAlignment="1" applyProtection="1">
      <alignment horizontal="left" vertical="center"/>
      <protection hidden="1"/>
    </xf>
    <xf numFmtId="14" fontId="298" fillId="18" borderId="0" xfId="0" applyNumberFormat="1" applyFont="1" applyFill="1" applyAlignment="1" applyProtection="1">
      <alignment horizontal="left" vertical="center"/>
      <protection hidden="1"/>
    </xf>
    <xf numFmtId="0" fontId="298" fillId="18" borderId="0" xfId="0" applyFont="1" applyFill="1" applyAlignment="1" applyProtection="1">
      <alignment horizontal="left" vertical="center"/>
      <protection hidden="1"/>
    </xf>
    <xf numFmtId="0" fontId="280" fillId="15" borderId="211" xfId="0" applyFont="1" applyFill="1" applyBorder="1" applyAlignment="1" applyProtection="1">
      <alignment horizontal="center" vertical="center"/>
      <protection hidden="1"/>
    </xf>
    <xf numFmtId="0" fontId="280" fillId="15" borderId="212" xfId="0" applyFont="1" applyFill="1" applyBorder="1" applyAlignment="1" applyProtection="1">
      <alignment horizontal="center" vertical="center"/>
      <protection hidden="1"/>
    </xf>
    <xf numFmtId="0" fontId="280" fillId="15" borderId="213" xfId="0" applyFont="1" applyFill="1" applyBorder="1" applyAlignment="1" applyProtection="1">
      <alignment horizontal="center" vertical="center"/>
      <protection hidden="1"/>
    </xf>
    <xf numFmtId="0" fontId="280" fillId="15" borderId="214" xfId="0" applyFont="1" applyFill="1" applyBorder="1" applyAlignment="1" applyProtection="1">
      <alignment horizontal="center" vertical="center"/>
      <protection hidden="1"/>
    </xf>
    <xf numFmtId="0" fontId="280" fillId="15" borderId="215" xfId="0" applyFont="1" applyFill="1" applyBorder="1" applyAlignment="1" applyProtection="1">
      <alignment horizontal="center" vertical="center"/>
      <protection hidden="1"/>
    </xf>
    <xf numFmtId="0" fontId="280" fillId="15" borderId="210" xfId="0" applyFont="1" applyFill="1" applyBorder="1" applyAlignment="1" applyProtection="1">
      <alignment horizontal="center" vertical="center"/>
      <protection hidden="1"/>
    </xf>
    <xf numFmtId="0" fontId="581" fillId="0" borderId="1" xfId="0" applyFont="1" applyBorder="1" applyAlignment="1" applyProtection="1">
      <alignment horizontal="left" vertical="center"/>
      <protection hidden="1"/>
    </xf>
    <xf numFmtId="180" fontId="581" fillId="0" borderId="1" xfId="0" applyNumberFormat="1" applyFont="1" applyBorder="1" applyAlignment="1" applyProtection="1">
      <alignment horizontal="left" vertical="center"/>
      <protection locked="0"/>
    </xf>
    <xf numFmtId="180" fontId="343" fillId="0" borderId="1" xfId="0" applyNumberFormat="1" applyFont="1" applyBorder="1" applyAlignment="1" applyProtection="1">
      <alignment horizontal="left" vertical="center"/>
      <protection locked="0"/>
    </xf>
    <xf numFmtId="0" fontId="23" fillId="18" borderId="35" xfId="0" applyFont="1" applyFill="1" applyBorder="1" applyAlignment="1" applyProtection="1">
      <alignment horizontal="left" vertical="center" wrapText="1" indent="1"/>
      <protection locked="0"/>
    </xf>
    <xf numFmtId="0" fontId="23" fillId="18" borderId="51" xfId="0" applyFont="1" applyFill="1" applyBorder="1" applyAlignment="1" applyProtection="1">
      <alignment horizontal="left" vertical="center" wrapText="1" indent="1"/>
      <protection locked="0"/>
    </xf>
    <xf numFmtId="0" fontId="23" fillId="18" borderId="34" xfId="0" applyFont="1" applyFill="1" applyBorder="1" applyAlignment="1" applyProtection="1">
      <alignment horizontal="left" vertical="center" wrapText="1" indent="1"/>
      <protection locked="0"/>
    </xf>
    <xf numFmtId="0" fontId="23" fillId="18" borderId="33" xfId="0" applyFont="1" applyFill="1" applyBorder="1" applyAlignment="1" applyProtection="1">
      <alignment horizontal="left" vertical="center" wrapText="1" indent="1"/>
      <protection locked="0"/>
    </xf>
    <xf numFmtId="0" fontId="23" fillId="18" borderId="52" xfId="0" applyFont="1" applyFill="1" applyBorder="1" applyAlignment="1" applyProtection="1">
      <alignment horizontal="left" vertical="center" wrapText="1" indent="1"/>
      <protection locked="0"/>
    </xf>
    <xf numFmtId="0" fontId="23" fillId="18" borderId="22" xfId="0" applyFont="1" applyFill="1" applyBorder="1" applyAlignment="1" applyProtection="1">
      <alignment horizontal="left" vertical="center" wrapText="1" indent="1"/>
      <protection locked="0"/>
    </xf>
    <xf numFmtId="0" fontId="35" fillId="0" borderId="23" xfId="1" applyNumberFormat="1" applyFont="1" applyFill="1" applyBorder="1" applyAlignment="1" applyProtection="1">
      <alignment horizontal="center" vertical="center" textRotation="255" wrapText="1"/>
      <protection locked="0"/>
    </xf>
    <xf numFmtId="0" fontId="35" fillId="0" borderId="1" xfId="1" applyNumberFormat="1" applyFont="1" applyFill="1" applyBorder="1" applyAlignment="1" applyProtection="1">
      <alignment horizontal="center" vertical="center" textRotation="255" wrapText="1"/>
      <protection locked="0"/>
    </xf>
    <xf numFmtId="0" fontId="23" fillId="18" borderId="316" xfId="0" applyFont="1" applyFill="1" applyBorder="1" applyAlignment="1" applyProtection="1">
      <alignment horizontal="left" vertical="center" wrapText="1" indent="1"/>
      <protection locked="0"/>
    </xf>
    <xf numFmtId="0" fontId="23" fillId="18" borderId="166" xfId="0" applyFont="1" applyFill="1" applyBorder="1" applyAlignment="1" applyProtection="1">
      <alignment horizontal="left" vertical="center" wrapText="1" indent="1"/>
      <protection locked="0"/>
    </xf>
    <xf numFmtId="0" fontId="23" fillId="18" borderId="317" xfId="0" applyFont="1" applyFill="1" applyBorder="1" applyAlignment="1" applyProtection="1">
      <alignment horizontal="left" vertical="center" wrapText="1" indent="1"/>
      <protection locked="0"/>
    </xf>
    <xf numFmtId="0" fontId="23" fillId="18" borderId="168" xfId="0" applyFont="1" applyFill="1" applyBorder="1" applyAlignment="1" applyProtection="1">
      <alignment horizontal="left" vertical="center" wrapText="1" indent="1"/>
      <protection locked="0"/>
    </xf>
    <xf numFmtId="0" fontId="23" fillId="18" borderId="488" xfId="0" applyFont="1" applyFill="1" applyBorder="1" applyAlignment="1" applyProtection="1">
      <alignment horizontal="left" vertical="center" wrapText="1" indent="1"/>
      <protection locked="0"/>
    </xf>
    <xf numFmtId="0" fontId="23" fillId="18" borderId="341" xfId="0" applyFont="1" applyFill="1" applyBorder="1" applyAlignment="1" applyProtection="1">
      <alignment horizontal="left" vertical="center" wrapText="1" indent="1"/>
      <protection locked="0"/>
    </xf>
    <xf numFmtId="0" fontId="23" fillId="18" borderId="487" xfId="0" applyFont="1" applyFill="1" applyBorder="1" applyAlignment="1" applyProtection="1">
      <alignment horizontal="left" vertical="center" wrapText="1" indent="1"/>
      <protection locked="0"/>
    </xf>
    <xf numFmtId="0" fontId="101" fillId="0" borderId="488" xfId="0" applyFont="1" applyBorder="1" applyAlignment="1" applyProtection="1">
      <alignment horizontal="center" vertical="center"/>
      <protection locked="0"/>
    </xf>
    <xf numFmtId="0" fontId="101" fillId="0" borderId="487" xfId="0" applyFont="1" applyBorder="1" applyAlignment="1" applyProtection="1">
      <alignment horizontal="center" vertical="center"/>
      <protection locked="0"/>
    </xf>
    <xf numFmtId="0" fontId="35" fillId="0" borderId="8" xfId="0" applyFont="1" applyBorder="1" applyAlignment="1" applyProtection="1">
      <alignment horizontal="right" vertical="center" wrapText="1"/>
      <protection locked="0"/>
    </xf>
    <xf numFmtId="0" fontId="35" fillId="0" borderId="342" xfId="0" applyFont="1" applyBorder="1" applyAlignment="1" applyProtection="1">
      <alignment horizontal="right" vertical="center" wrapText="1"/>
      <protection locked="0"/>
    </xf>
    <xf numFmtId="0" fontId="23" fillId="0" borderId="35" xfId="0" applyFont="1" applyBorder="1" applyAlignment="1" applyProtection="1">
      <alignment horizontal="left" vertical="center" wrapText="1" indent="1"/>
      <protection locked="0"/>
    </xf>
    <xf numFmtId="0" fontId="23" fillId="0" borderId="51" xfId="0" applyFont="1" applyBorder="1" applyAlignment="1" applyProtection="1">
      <alignment horizontal="left" vertical="center" wrapText="1" indent="1"/>
      <protection locked="0"/>
    </xf>
    <xf numFmtId="0" fontId="23" fillId="0" borderId="34" xfId="0" applyFont="1" applyBorder="1" applyAlignment="1" applyProtection="1">
      <alignment horizontal="left" vertical="center" wrapText="1" indent="1"/>
      <protection locked="0"/>
    </xf>
    <xf numFmtId="0" fontId="23" fillId="0" borderId="33" xfId="0" applyFont="1" applyBorder="1" applyAlignment="1" applyProtection="1">
      <alignment horizontal="left" vertical="center" wrapText="1" indent="1"/>
      <protection locked="0"/>
    </xf>
    <xf numFmtId="0" fontId="23" fillId="0" borderId="52" xfId="0" applyFont="1" applyBorder="1" applyAlignment="1" applyProtection="1">
      <alignment horizontal="left" vertical="center" wrapText="1" indent="1"/>
      <protection locked="0"/>
    </xf>
    <xf numFmtId="0" fontId="23" fillId="0" borderId="22" xfId="0" applyFont="1" applyBorder="1" applyAlignment="1" applyProtection="1">
      <alignment horizontal="left" vertical="center" wrapText="1" indent="1"/>
      <protection locked="0"/>
    </xf>
    <xf numFmtId="0" fontId="101" fillId="0" borderId="168" xfId="1" applyNumberFormat="1" applyFont="1" applyFill="1" applyBorder="1" applyAlignment="1" applyProtection="1">
      <alignment horizontal="center" vertical="center" wrapText="1"/>
      <protection locked="0"/>
    </xf>
    <xf numFmtId="0" fontId="101" fillId="0" borderId="341" xfId="1" applyNumberFormat="1" applyFont="1" applyFill="1" applyBorder="1" applyAlignment="1" applyProtection="1">
      <alignment horizontal="center" vertical="center" wrapText="1"/>
      <protection locked="0"/>
    </xf>
    <xf numFmtId="0" fontId="101" fillId="0" borderId="8" xfId="0" applyFont="1" applyBorder="1" applyAlignment="1" applyProtection="1">
      <alignment horizontal="center" vertical="center"/>
      <protection locked="0"/>
    </xf>
    <xf numFmtId="0" fontId="101" fillId="0" borderId="342" xfId="0" applyFont="1" applyBorder="1" applyAlignment="1" applyProtection="1">
      <alignment horizontal="center" vertical="center"/>
      <protection locked="0"/>
    </xf>
    <xf numFmtId="0" fontId="35" fillId="0" borderId="168" xfId="1" applyNumberFormat="1" applyFont="1" applyFill="1" applyBorder="1" applyAlignment="1" applyProtection="1">
      <alignment horizontal="left" vertical="center" wrapText="1"/>
      <protection locked="0"/>
    </xf>
    <xf numFmtId="0" fontId="35" fillId="0" borderId="341" xfId="1" applyNumberFormat="1" applyFont="1" applyFill="1" applyBorder="1" applyAlignment="1" applyProtection="1">
      <alignment horizontal="left" vertical="center" wrapText="1"/>
      <protection locked="0"/>
    </xf>
    <xf numFmtId="0" fontId="101" fillId="0" borderId="2" xfId="0" applyFont="1" applyBorder="1" applyAlignment="1" applyProtection="1">
      <alignment horizontal="center" vertical="center"/>
      <protection hidden="1"/>
    </xf>
    <xf numFmtId="0" fontId="101" fillId="0" borderId="23" xfId="0" applyFont="1" applyBorder="1" applyAlignment="1" applyProtection="1">
      <alignment horizontal="center" vertical="center"/>
      <protection hidden="1"/>
    </xf>
    <xf numFmtId="0" fontId="101" fillId="0" borderId="339" xfId="0" applyFont="1" applyBorder="1" applyAlignment="1" applyProtection="1">
      <alignment horizontal="center" vertical="center"/>
      <protection locked="0"/>
    </xf>
    <xf numFmtId="0" fontId="23" fillId="0" borderId="23" xfId="0" applyFont="1" applyBorder="1" applyAlignment="1" applyProtection="1">
      <alignment horizontal="left" vertical="center" wrapText="1" indent="1"/>
      <protection locked="0"/>
    </xf>
    <xf numFmtId="0" fontId="23" fillId="0" borderId="1" xfId="0" applyFont="1" applyBorder="1" applyAlignment="1" applyProtection="1">
      <alignment horizontal="left" vertical="center" wrapText="1" indent="1"/>
      <protection locked="0"/>
    </xf>
    <xf numFmtId="0" fontId="35" fillId="0" borderId="340" xfId="1" applyNumberFormat="1" applyFont="1" applyFill="1" applyBorder="1" applyAlignment="1" applyProtection="1">
      <alignment horizontal="left" vertical="center" wrapText="1"/>
      <protection locked="0"/>
    </xf>
    <xf numFmtId="0" fontId="37" fillId="0" borderId="24" xfId="0" applyFont="1" applyBorder="1" applyAlignment="1" applyProtection="1">
      <alignment horizontal="center" vertical="center" textRotation="255"/>
      <protection hidden="1"/>
    </xf>
    <xf numFmtId="0" fontId="37" fillId="0" borderId="26" xfId="0" applyFont="1" applyBorder="1" applyAlignment="1" applyProtection="1">
      <alignment horizontal="center" vertical="center" textRotation="255"/>
      <protection hidden="1"/>
    </xf>
    <xf numFmtId="0" fontId="37" fillId="0" borderId="30" xfId="0" applyFont="1" applyBorder="1" applyAlignment="1" applyProtection="1">
      <alignment horizontal="center" vertical="center" textRotation="255"/>
      <protection hidden="1"/>
    </xf>
    <xf numFmtId="0" fontId="37" fillId="0" borderId="31" xfId="0" applyFont="1" applyBorder="1" applyAlignment="1" applyProtection="1">
      <alignment horizontal="center" vertical="center" textRotation="255"/>
      <protection hidden="1"/>
    </xf>
    <xf numFmtId="0" fontId="37" fillId="0" borderId="32" xfId="0" applyFont="1" applyBorder="1" applyAlignment="1" applyProtection="1">
      <alignment horizontal="center" vertical="center" textRotation="255"/>
      <protection hidden="1"/>
    </xf>
    <xf numFmtId="0" fontId="37" fillId="0" borderId="27" xfId="0" applyFont="1" applyBorder="1" applyAlignment="1" applyProtection="1">
      <alignment horizontal="center" vertical="center" textRotation="255"/>
      <protection hidden="1"/>
    </xf>
    <xf numFmtId="0" fontId="37" fillId="0" borderId="29" xfId="0" applyFont="1" applyBorder="1" applyAlignment="1" applyProtection="1">
      <alignment horizontal="center" vertical="center" textRotation="255"/>
      <protection hidden="1"/>
    </xf>
    <xf numFmtId="0" fontId="101" fillId="0" borderId="30" xfId="0" quotePrefix="1" applyFont="1" applyBorder="1" applyAlignment="1" applyProtection="1">
      <alignment horizontal="center" vertical="center"/>
      <protection hidden="1"/>
    </xf>
    <xf numFmtId="0" fontId="101" fillId="0" borderId="30" xfId="0" applyFont="1" applyBorder="1" applyAlignment="1" applyProtection="1">
      <alignment horizontal="center" vertical="center"/>
      <protection hidden="1"/>
    </xf>
    <xf numFmtId="0" fontId="60" fillId="4" borderId="0" xfId="0" applyFont="1" applyFill="1" applyAlignment="1" applyProtection="1">
      <alignment horizontal="center" vertical="center"/>
      <protection hidden="1"/>
    </xf>
    <xf numFmtId="1" fontId="41" fillId="4" borderId="0" xfId="0" applyNumberFormat="1" applyFont="1" applyFill="1" applyAlignment="1" applyProtection="1">
      <alignment horizontal="left" vertical="center"/>
      <protection hidden="1"/>
    </xf>
    <xf numFmtId="1" fontId="35" fillId="0" borderId="19" xfId="1" applyNumberFormat="1" applyFont="1" applyFill="1" applyBorder="1" applyAlignment="1" applyProtection="1">
      <alignment horizontal="right" vertical="top" wrapText="1" indent="1"/>
      <protection hidden="1"/>
    </xf>
    <xf numFmtId="1" fontId="35" fillId="0" borderId="20" xfId="1" applyNumberFormat="1" applyFont="1" applyFill="1" applyBorder="1" applyAlignment="1" applyProtection="1">
      <alignment horizontal="right" vertical="top" wrapText="1" indent="1"/>
      <protection hidden="1"/>
    </xf>
    <xf numFmtId="0" fontId="41" fillId="4" borderId="0" xfId="0" applyFont="1" applyFill="1" applyAlignment="1" applyProtection="1">
      <alignment horizontal="right" vertical="center"/>
      <protection hidden="1"/>
    </xf>
    <xf numFmtId="0" fontId="161" fillId="4" borderId="0" xfId="0" applyFont="1" applyFill="1" applyAlignment="1" applyProtection="1">
      <alignment horizontal="left" vertical="center" wrapText="1"/>
      <protection hidden="1"/>
    </xf>
    <xf numFmtId="0" fontId="161" fillId="4" borderId="0" xfId="0" applyFont="1" applyFill="1" applyAlignment="1" applyProtection="1">
      <alignment horizontal="left" vertical="center"/>
      <protection hidden="1"/>
    </xf>
    <xf numFmtId="0" fontId="23" fillId="18" borderId="1" xfId="0" applyFont="1" applyFill="1" applyBorder="1" applyAlignment="1" applyProtection="1">
      <alignment horizontal="left" vertical="center" wrapText="1" indent="1"/>
      <protection locked="0"/>
    </xf>
    <xf numFmtId="0" fontId="60" fillId="4" borderId="0" xfId="0" applyFont="1" applyFill="1" applyAlignment="1" applyProtection="1">
      <alignment horizontal="left" vertical="center"/>
      <protection hidden="1"/>
    </xf>
    <xf numFmtId="0" fontId="21" fillId="4" borderId="0" xfId="0" applyFont="1" applyFill="1" applyAlignment="1" applyProtection="1">
      <alignment horizontal="right" vertical="center"/>
      <protection hidden="1"/>
    </xf>
    <xf numFmtId="0" fontId="21" fillId="4" borderId="0" xfId="0" applyFont="1" applyFill="1" applyAlignment="1" applyProtection="1">
      <alignment horizontal="center" vertical="center"/>
      <protection hidden="1"/>
    </xf>
    <xf numFmtId="0" fontId="186" fillId="18" borderId="0" xfId="0" quotePrefix="1" applyFont="1" applyFill="1" applyAlignment="1" applyProtection="1">
      <alignment horizontal="center" vertical="center"/>
      <protection hidden="1"/>
    </xf>
    <xf numFmtId="0" fontId="23" fillId="18" borderId="340" xfId="0" applyFont="1" applyFill="1" applyBorder="1" applyAlignment="1" applyProtection="1">
      <alignment horizontal="left" vertical="center" wrapText="1" indent="1"/>
      <protection locked="0"/>
    </xf>
    <xf numFmtId="0" fontId="23" fillId="18" borderId="486" xfId="0" applyFont="1" applyFill="1" applyBorder="1" applyAlignment="1" applyProtection="1">
      <alignment horizontal="left" vertical="center" wrapText="1" indent="1"/>
      <protection locked="0"/>
    </xf>
    <xf numFmtId="0" fontId="101" fillId="0" borderId="486" xfId="0" applyFont="1" applyBorder="1" applyAlignment="1" applyProtection="1">
      <alignment horizontal="center" vertical="center"/>
      <protection locked="0"/>
    </xf>
    <xf numFmtId="0" fontId="308" fillId="23" borderId="146" xfId="0" applyFont="1" applyFill="1" applyBorder="1" applyAlignment="1" applyProtection="1">
      <alignment horizontal="left" vertical="center" wrapText="1" indent="1"/>
      <protection hidden="1"/>
    </xf>
    <xf numFmtId="0" fontId="37" fillId="0" borderId="14" xfId="0" applyFont="1" applyBorder="1" applyAlignment="1" applyProtection="1">
      <alignment horizontal="center" vertical="center" textRotation="255"/>
      <protection hidden="1"/>
    </xf>
    <xf numFmtId="0" fontId="37" fillId="0" borderId="15" xfId="0" applyFont="1" applyBorder="1" applyAlignment="1" applyProtection="1">
      <alignment horizontal="center" vertical="center" textRotation="255"/>
      <protection hidden="1"/>
    </xf>
    <xf numFmtId="0" fontId="37" fillId="0" borderId="16" xfId="0" applyFont="1" applyBorder="1" applyAlignment="1" applyProtection="1">
      <alignment horizontal="center" vertical="center" textRotation="255"/>
      <protection hidden="1"/>
    </xf>
    <xf numFmtId="0" fontId="37" fillId="0" borderId="17" xfId="0" applyFont="1" applyBorder="1" applyAlignment="1" applyProtection="1">
      <alignment horizontal="center" vertical="center" textRotation="255"/>
      <protection hidden="1"/>
    </xf>
    <xf numFmtId="0" fontId="101" fillId="0" borderId="24" xfId="0" quotePrefix="1" applyFont="1" applyBorder="1" applyAlignment="1" applyProtection="1">
      <alignment horizontal="center" vertical="center"/>
      <protection hidden="1"/>
    </xf>
    <xf numFmtId="0" fontId="101" fillId="0" borderId="346" xfId="0" quotePrefix="1" applyFont="1" applyBorder="1" applyAlignment="1" applyProtection="1">
      <alignment horizontal="center" vertical="center" wrapText="1"/>
      <protection hidden="1"/>
    </xf>
    <xf numFmtId="0" fontId="101" fillId="0" borderId="347" xfId="0" applyFont="1" applyBorder="1" applyAlignment="1" applyProtection="1">
      <alignment horizontal="center" vertical="center" wrapText="1"/>
      <protection hidden="1"/>
    </xf>
    <xf numFmtId="0" fontId="101" fillId="0" borderId="346" xfId="0" applyFont="1" applyBorder="1" applyAlignment="1" applyProtection="1">
      <alignment horizontal="center" vertical="center" wrapText="1"/>
      <protection hidden="1"/>
    </xf>
    <xf numFmtId="0" fontId="37" fillId="0" borderId="14" xfId="0" applyFont="1" applyBorder="1" applyAlignment="1" applyProtection="1">
      <alignment horizontal="center" vertical="center"/>
      <protection hidden="1"/>
    </xf>
    <xf numFmtId="0" fontId="37" fillId="0" borderId="13" xfId="0" applyFont="1" applyBorder="1" applyAlignment="1" applyProtection="1">
      <alignment horizontal="center" vertical="center"/>
      <protection hidden="1"/>
    </xf>
    <xf numFmtId="0" fontId="37" fillId="0" borderId="18" xfId="0" applyFont="1" applyBorder="1" applyAlignment="1" applyProtection="1">
      <alignment horizontal="center" vertical="center"/>
      <protection hidden="1"/>
    </xf>
    <xf numFmtId="0" fontId="37" fillId="0" borderId="19" xfId="0" applyFont="1" applyBorder="1" applyAlignment="1" applyProtection="1">
      <alignment horizontal="center" vertical="center"/>
      <protection hidden="1"/>
    </xf>
    <xf numFmtId="0" fontId="23" fillId="18" borderId="14" xfId="0" applyFont="1" applyFill="1" applyBorder="1" applyAlignment="1" applyProtection="1">
      <alignment horizontal="center" vertical="center"/>
      <protection hidden="1"/>
    </xf>
    <xf numFmtId="0" fontId="23" fillId="18" borderId="15" xfId="0" applyFont="1" applyFill="1" applyBorder="1" applyAlignment="1" applyProtection="1">
      <alignment horizontal="center" vertical="center"/>
      <protection hidden="1"/>
    </xf>
    <xf numFmtId="0" fontId="23" fillId="18" borderId="18" xfId="0" applyFont="1" applyFill="1" applyBorder="1" applyAlignment="1" applyProtection="1">
      <alignment horizontal="center" vertical="center"/>
      <protection hidden="1"/>
    </xf>
    <xf numFmtId="0" fontId="23" fillId="18" borderId="20" xfId="0" applyFont="1" applyFill="1" applyBorder="1" applyAlignment="1" applyProtection="1">
      <alignment horizontal="center" vertical="center"/>
      <protection hidden="1"/>
    </xf>
    <xf numFmtId="0" fontId="60" fillId="4" borderId="0" xfId="0" applyFont="1" applyFill="1" applyAlignment="1" applyProtection="1">
      <alignment horizontal="center"/>
      <protection hidden="1"/>
    </xf>
    <xf numFmtId="0" fontId="411" fillId="4" borderId="0" xfId="0" applyFont="1" applyFill="1" applyAlignment="1" applyProtection="1">
      <alignment horizontal="right" textRotation="255"/>
      <protection locked="0"/>
    </xf>
    <xf numFmtId="0" fontId="411" fillId="4" borderId="16" xfId="0" applyFont="1" applyFill="1" applyBorder="1" applyAlignment="1" applyProtection="1">
      <alignment horizontal="left" textRotation="255"/>
      <protection locked="0"/>
    </xf>
    <xf numFmtId="0" fontId="23" fillId="18" borderId="13" xfId="0" applyFont="1" applyFill="1" applyBorder="1" applyAlignment="1" applyProtection="1">
      <alignment horizontal="left" vertical="center" wrapText="1" indent="1"/>
      <protection locked="0"/>
    </xf>
    <xf numFmtId="0" fontId="23" fillId="18" borderId="270" xfId="0" applyFont="1" applyFill="1" applyBorder="1" applyAlignment="1" applyProtection="1">
      <alignment horizontal="left" vertical="center" wrapText="1" indent="1"/>
      <protection locked="0"/>
    </xf>
    <xf numFmtId="0" fontId="23" fillId="18" borderId="19" xfId="0" applyFont="1" applyFill="1" applyBorder="1" applyAlignment="1" applyProtection="1">
      <alignment horizontal="left" vertical="center" wrapText="1" indent="1"/>
      <protection locked="0"/>
    </xf>
    <xf numFmtId="0" fontId="23" fillId="18" borderId="103" xfId="0" applyFont="1" applyFill="1" applyBorder="1" applyAlignment="1" applyProtection="1">
      <alignment horizontal="left" vertical="center" wrapText="1" indent="1"/>
      <protection locked="0"/>
    </xf>
    <xf numFmtId="0" fontId="21" fillId="4" borderId="0" xfId="0" applyFont="1" applyFill="1" applyAlignment="1" applyProtection="1">
      <alignment horizontal="left" vertical="center"/>
      <protection hidden="1"/>
    </xf>
    <xf numFmtId="0" fontId="23" fillId="18" borderId="0" xfId="0" applyFont="1" applyFill="1" applyAlignment="1" applyProtection="1">
      <alignment horizontal="left" vertical="center" wrapText="1" indent="1"/>
      <protection locked="0"/>
    </xf>
    <xf numFmtId="0" fontId="23" fillId="18" borderId="104" xfId="0" applyFont="1" applyFill="1" applyBorder="1" applyAlignment="1" applyProtection="1">
      <alignment horizontal="left" vertical="center" wrapText="1" indent="1"/>
      <protection locked="0"/>
    </xf>
    <xf numFmtId="0" fontId="91" fillId="23" borderId="351" xfId="0" applyFont="1" applyFill="1" applyBorder="1" applyAlignment="1" applyProtection="1">
      <alignment horizontal="center" vertical="center" wrapText="1"/>
      <protection hidden="1"/>
    </xf>
    <xf numFmtId="0" fontId="91" fillId="23" borderId="296" xfId="0" applyFont="1" applyFill="1" applyBorder="1" applyAlignment="1" applyProtection="1">
      <alignment horizontal="center" vertical="center"/>
      <protection hidden="1"/>
    </xf>
    <xf numFmtId="0" fontId="23" fillId="18" borderId="28" xfId="0" applyFont="1" applyFill="1" applyBorder="1" applyAlignment="1" applyProtection="1">
      <alignment horizontal="left" vertical="center" wrapText="1" indent="1"/>
      <protection locked="0"/>
    </xf>
    <xf numFmtId="0" fontId="308" fillId="23" borderId="188" xfId="0" applyFont="1" applyFill="1" applyBorder="1" applyAlignment="1" applyProtection="1">
      <alignment horizontal="left" vertical="center" wrapText="1" indent="1"/>
      <protection hidden="1"/>
    </xf>
    <xf numFmtId="0" fontId="308" fillId="23" borderId="189" xfId="0" applyFont="1" applyFill="1" applyBorder="1" applyAlignment="1" applyProtection="1">
      <alignment horizontal="left" vertical="center" wrapText="1" indent="1"/>
      <protection hidden="1"/>
    </xf>
    <xf numFmtId="0" fontId="308" fillId="23" borderId="190" xfId="0" applyFont="1" applyFill="1" applyBorder="1" applyAlignment="1" applyProtection="1">
      <alignment horizontal="left" vertical="center" wrapText="1" indent="1"/>
      <protection hidden="1"/>
    </xf>
    <xf numFmtId="0" fontId="308" fillId="23" borderId="191" xfId="0" applyFont="1" applyFill="1" applyBorder="1" applyAlignment="1" applyProtection="1">
      <alignment horizontal="left" vertical="center" wrapText="1" indent="1"/>
      <protection hidden="1"/>
    </xf>
    <xf numFmtId="0" fontId="308" fillId="23" borderId="192" xfId="0" applyFont="1" applyFill="1" applyBorder="1" applyAlignment="1" applyProtection="1">
      <alignment horizontal="left" vertical="center" wrapText="1" indent="1"/>
      <protection hidden="1"/>
    </xf>
    <xf numFmtId="0" fontId="308" fillId="23" borderId="207" xfId="0" applyFont="1" applyFill="1" applyBorder="1" applyAlignment="1" applyProtection="1">
      <alignment horizontal="left" vertical="center" wrapText="1" indent="1"/>
      <protection hidden="1"/>
    </xf>
    <xf numFmtId="0" fontId="101" fillId="0" borderId="27" xfId="0" applyFont="1" applyBorder="1" applyAlignment="1" applyProtection="1">
      <alignment horizontal="center" vertical="center"/>
      <protection hidden="1"/>
    </xf>
    <xf numFmtId="0" fontId="236" fillId="23" borderId="188" xfId="0" applyFont="1" applyFill="1" applyBorder="1" applyAlignment="1" applyProtection="1">
      <alignment horizontal="center" vertical="center" wrapText="1"/>
      <protection hidden="1"/>
    </xf>
    <xf numFmtId="0" fontId="236" fillId="23" borderId="189" xfId="0" applyFont="1" applyFill="1" applyBorder="1" applyAlignment="1" applyProtection="1">
      <alignment horizontal="center" vertical="center" wrapText="1"/>
      <protection hidden="1"/>
    </xf>
    <xf numFmtId="0" fontId="236" fillId="23" borderId="190" xfId="0" applyFont="1" applyFill="1" applyBorder="1" applyAlignment="1" applyProtection="1">
      <alignment horizontal="center" vertical="center" wrapText="1"/>
      <protection hidden="1"/>
    </xf>
    <xf numFmtId="0" fontId="236" fillId="23" borderId="191" xfId="0" applyFont="1" applyFill="1" applyBorder="1" applyAlignment="1" applyProtection="1">
      <alignment horizontal="center" vertical="center" wrapText="1"/>
      <protection hidden="1"/>
    </xf>
    <xf numFmtId="0" fontId="236" fillId="23" borderId="192" xfId="0" applyFont="1" applyFill="1" applyBorder="1" applyAlignment="1" applyProtection="1">
      <alignment horizontal="center" vertical="center" wrapText="1"/>
      <protection hidden="1"/>
    </xf>
    <xf numFmtId="0" fontId="236" fillId="23" borderId="207" xfId="0" applyFont="1" applyFill="1" applyBorder="1" applyAlignment="1" applyProtection="1">
      <alignment horizontal="center" vertical="center" wrapText="1"/>
      <protection hidden="1"/>
    </xf>
    <xf numFmtId="0" fontId="101" fillId="0" borderId="30" xfId="0" quotePrefix="1" applyFont="1" applyBorder="1" applyAlignment="1" applyProtection="1">
      <alignment horizontal="center" vertical="center" wrapText="1"/>
      <protection hidden="1"/>
    </xf>
    <xf numFmtId="0" fontId="101" fillId="0" borderId="30" xfId="0" applyFont="1" applyBorder="1" applyAlignment="1" applyProtection="1">
      <alignment horizontal="center" vertical="center" wrapText="1"/>
      <protection hidden="1"/>
    </xf>
    <xf numFmtId="0" fontId="35" fillId="0" borderId="339" xfId="0" applyFont="1" applyBorder="1" applyAlignment="1" applyProtection="1">
      <alignment horizontal="right" vertical="center" wrapText="1"/>
      <protection locked="0"/>
    </xf>
    <xf numFmtId="0" fontId="101" fillId="0" borderId="340" xfId="1" applyNumberFormat="1" applyFont="1" applyFill="1" applyBorder="1" applyAlignment="1" applyProtection="1">
      <alignment horizontal="center" vertical="center" wrapText="1"/>
      <protection locked="0"/>
    </xf>
    <xf numFmtId="0" fontId="308" fillId="23" borderId="146" xfId="0" applyFont="1" applyFill="1" applyBorder="1" applyAlignment="1" applyProtection="1">
      <alignment horizontal="right" vertical="center" wrapText="1" indent="1"/>
      <protection hidden="1"/>
    </xf>
    <xf numFmtId="0" fontId="131" fillId="23" borderId="188" xfId="0" applyFont="1" applyFill="1" applyBorder="1" applyAlignment="1" applyProtection="1">
      <alignment horizontal="right" vertical="center" wrapText="1" indent="1"/>
      <protection hidden="1"/>
    </xf>
    <xf numFmtId="0" fontId="131" fillId="23" borderId="189" xfId="0" applyFont="1" applyFill="1" applyBorder="1" applyAlignment="1" applyProtection="1">
      <alignment horizontal="right" vertical="center" wrapText="1" indent="1"/>
      <protection hidden="1"/>
    </xf>
    <xf numFmtId="0" fontId="131" fillId="23" borderId="190" xfId="0" applyFont="1" applyFill="1" applyBorder="1" applyAlignment="1" applyProtection="1">
      <alignment horizontal="right" vertical="center" wrapText="1" indent="1"/>
      <protection hidden="1"/>
    </xf>
    <xf numFmtId="0" fontId="131" fillId="23" borderId="263" xfId="0" applyFont="1" applyFill="1" applyBorder="1" applyAlignment="1" applyProtection="1">
      <alignment horizontal="right" vertical="center" wrapText="1" indent="1"/>
      <protection hidden="1"/>
    </xf>
    <xf numFmtId="0" fontId="131" fillId="23" borderId="0" xfId="0" applyFont="1" applyFill="1" applyAlignment="1" applyProtection="1">
      <alignment horizontal="right" vertical="center" wrapText="1" indent="1"/>
      <protection hidden="1"/>
    </xf>
    <xf numFmtId="0" fontId="131" fillId="23" borderId="264" xfId="0" applyFont="1" applyFill="1" applyBorder="1" applyAlignment="1" applyProtection="1">
      <alignment horizontal="right" vertical="center" wrapText="1" indent="1"/>
      <protection hidden="1"/>
    </xf>
    <xf numFmtId="0" fontId="131" fillId="23" borderId="191" xfId="0" applyFont="1" applyFill="1" applyBorder="1" applyAlignment="1" applyProtection="1">
      <alignment horizontal="right" vertical="center" wrapText="1" indent="1"/>
      <protection hidden="1"/>
    </xf>
    <xf numFmtId="0" fontId="131" fillId="23" borderId="192" xfId="0" applyFont="1" applyFill="1" applyBorder="1" applyAlignment="1" applyProtection="1">
      <alignment horizontal="right" vertical="center" wrapText="1" indent="1"/>
      <protection hidden="1"/>
    </xf>
    <xf numFmtId="0" fontId="131" fillId="23" borderId="207" xfId="0" applyFont="1" applyFill="1" applyBorder="1" applyAlignment="1" applyProtection="1">
      <alignment horizontal="right" vertical="center" wrapText="1" indent="1"/>
      <protection hidden="1"/>
    </xf>
    <xf numFmtId="0" fontId="101" fillId="0" borderId="336" xfId="0" applyFont="1" applyBorder="1" applyAlignment="1" applyProtection="1">
      <alignment horizontal="center" vertical="center"/>
      <protection locked="0"/>
    </xf>
    <xf numFmtId="0" fontId="23" fillId="18" borderId="338" xfId="0" applyFont="1" applyFill="1" applyBorder="1" applyAlignment="1" applyProtection="1">
      <alignment horizontal="left" vertical="center" wrapText="1" indent="1"/>
      <protection locked="0"/>
    </xf>
    <xf numFmtId="0" fontId="23" fillId="18" borderId="454" xfId="0" applyFont="1" applyFill="1" applyBorder="1" applyAlignment="1" applyProtection="1">
      <alignment horizontal="left" vertical="center" wrapText="1" indent="1"/>
      <protection locked="0"/>
    </xf>
    <xf numFmtId="0" fontId="308" fillId="23" borderId="188" xfId="0" applyFont="1" applyFill="1" applyBorder="1" applyAlignment="1" applyProtection="1">
      <alignment horizontal="right" vertical="center" wrapText="1" indent="1"/>
      <protection hidden="1"/>
    </xf>
    <xf numFmtId="0" fontId="308" fillId="23" borderId="189" xfId="0" applyFont="1" applyFill="1" applyBorder="1" applyAlignment="1" applyProtection="1">
      <alignment horizontal="right" vertical="center" wrapText="1" indent="1"/>
      <protection hidden="1"/>
    </xf>
    <xf numFmtId="0" fontId="308" fillId="23" borderId="190" xfId="0" applyFont="1" applyFill="1" applyBorder="1" applyAlignment="1" applyProtection="1">
      <alignment horizontal="right" vertical="center" wrapText="1" indent="1"/>
      <protection hidden="1"/>
    </xf>
    <xf numFmtId="0" fontId="308" fillId="23" borderId="191" xfId="0" applyFont="1" applyFill="1" applyBorder="1" applyAlignment="1" applyProtection="1">
      <alignment horizontal="right" vertical="center" wrapText="1" indent="1"/>
      <protection hidden="1"/>
    </xf>
    <xf numFmtId="0" fontId="308" fillId="23" borderId="192" xfId="0" applyFont="1" applyFill="1" applyBorder="1" applyAlignment="1" applyProtection="1">
      <alignment horizontal="right" vertical="center" wrapText="1" indent="1"/>
      <protection hidden="1"/>
    </xf>
    <xf numFmtId="0" fontId="308" fillId="23" borderId="207" xfId="0" applyFont="1" applyFill="1" applyBorder="1" applyAlignment="1" applyProtection="1">
      <alignment horizontal="right" vertical="center" wrapText="1" indent="1"/>
      <protection hidden="1"/>
    </xf>
    <xf numFmtId="0" fontId="172" fillId="3" borderId="146" xfId="0" applyFont="1" applyFill="1" applyBorder="1" applyAlignment="1" applyProtection="1">
      <alignment horizontal="center" vertical="center"/>
      <protection hidden="1"/>
    </xf>
    <xf numFmtId="0" fontId="101" fillId="18" borderId="330" xfId="0" quotePrefix="1" applyFont="1" applyFill="1" applyBorder="1" applyAlignment="1" applyProtection="1">
      <alignment horizontal="center" vertical="center"/>
      <protection hidden="1"/>
    </xf>
    <xf numFmtId="0" fontId="101" fillId="18" borderId="331" xfId="0" quotePrefix="1" applyFont="1" applyFill="1" applyBorder="1" applyAlignment="1" applyProtection="1">
      <alignment horizontal="center" vertical="center"/>
      <protection hidden="1"/>
    </xf>
    <xf numFmtId="0" fontId="101" fillId="0" borderId="346" xfId="0" quotePrefix="1" applyFont="1" applyBorder="1" applyAlignment="1" applyProtection="1">
      <alignment horizontal="center" vertical="center"/>
      <protection hidden="1"/>
    </xf>
    <xf numFmtId="0" fontId="101" fillId="0" borderId="347" xfId="0" applyFont="1" applyBorder="1" applyAlignment="1" applyProtection="1">
      <alignment horizontal="center" vertical="center"/>
      <protection hidden="1"/>
    </xf>
    <xf numFmtId="0" fontId="101" fillId="0" borderId="36" xfId="0" applyFont="1" applyBorder="1" applyAlignment="1" applyProtection="1">
      <alignment horizontal="center" vertical="center"/>
      <protection hidden="1"/>
    </xf>
    <xf numFmtId="0" fontId="23" fillId="18" borderId="23" xfId="0" applyFont="1" applyFill="1" applyBorder="1" applyAlignment="1" applyProtection="1">
      <alignment horizontal="left" vertical="center" wrapText="1" indent="1"/>
      <protection locked="0"/>
    </xf>
    <xf numFmtId="0" fontId="101" fillId="0" borderId="24" xfId="0" quotePrefix="1" applyFont="1" applyBorder="1" applyAlignment="1" applyProtection="1">
      <alignment horizontal="center" vertical="center" wrapText="1"/>
      <protection hidden="1"/>
    </xf>
    <xf numFmtId="0" fontId="101" fillId="0" borderId="345" xfId="0" quotePrefix="1" applyFont="1" applyBorder="1" applyAlignment="1" applyProtection="1">
      <alignment horizontal="center" vertical="center" wrapText="1"/>
      <protection hidden="1"/>
    </xf>
    <xf numFmtId="0" fontId="101" fillId="0" borderId="346" xfId="0" applyFont="1" applyBorder="1" applyAlignment="1" applyProtection="1">
      <alignment horizontal="center" vertical="center"/>
      <protection hidden="1"/>
    </xf>
    <xf numFmtId="0" fontId="308" fillId="23" borderId="146" xfId="0" applyFont="1" applyFill="1" applyBorder="1" applyAlignment="1" applyProtection="1">
      <alignment horizontal="left" vertical="center" indent="1"/>
      <protection hidden="1"/>
    </xf>
    <xf numFmtId="1" fontId="148" fillId="4" borderId="0" xfId="0" applyNumberFormat="1" applyFont="1" applyFill="1" applyAlignment="1" applyProtection="1">
      <alignment horizontal="center" vertical="top"/>
      <protection hidden="1"/>
    </xf>
    <xf numFmtId="0" fontId="23" fillId="23" borderId="188" xfId="0" applyFont="1" applyFill="1" applyBorder="1" applyAlignment="1" applyProtection="1">
      <alignment horizontal="right" vertical="center" wrapText="1" indent="1"/>
      <protection hidden="1"/>
    </xf>
    <xf numFmtId="0" fontId="23" fillId="23" borderId="189" xfId="0" applyFont="1" applyFill="1" applyBorder="1" applyAlignment="1" applyProtection="1">
      <alignment horizontal="right" vertical="center" wrapText="1" indent="1"/>
      <protection hidden="1"/>
    </xf>
    <xf numFmtId="0" fontId="23" fillId="23" borderId="190" xfId="0" applyFont="1" applyFill="1" applyBorder="1" applyAlignment="1" applyProtection="1">
      <alignment horizontal="right" vertical="center" wrapText="1" indent="1"/>
      <protection hidden="1"/>
    </xf>
    <xf numFmtId="0" fontId="23" fillId="23" borderId="263" xfId="0" applyFont="1" applyFill="1" applyBorder="1" applyAlignment="1" applyProtection="1">
      <alignment horizontal="right" vertical="center" wrapText="1" indent="1"/>
      <protection hidden="1"/>
    </xf>
    <xf numFmtId="0" fontId="23" fillId="23" borderId="0" xfId="0" applyFont="1" applyFill="1" applyAlignment="1" applyProtection="1">
      <alignment horizontal="right" vertical="center" wrapText="1" indent="1"/>
      <protection hidden="1"/>
    </xf>
    <xf numFmtId="0" fontId="23" fillId="23" borderId="264" xfId="0" applyFont="1" applyFill="1" applyBorder="1" applyAlignment="1" applyProtection="1">
      <alignment horizontal="right" vertical="center" wrapText="1" indent="1"/>
      <protection hidden="1"/>
    </xf>
    <xf numFmtId="0" fontId="23" fillId="23" borderId="191" xfId="0" applyFont="1" applyFill="1" applyBorder="1" applyAlignment="1" applyProtection="1">
      <alignment horizontal="right" vertical="center" wrapText="1" indent="1"/>
      <protection hidden="1"/>
    </xf>
    <xf numFmtId="0" fontId="23" fillId="23" borderId="192" xfId="0" applyFont="1" applyFill="1" applyBorder="1" applyAlignment="1" applyProtection="1">
      <alignment horizontal="right" vertical="center" wrapText="1" indent="1"/>
      <protection hidden="1"/>
    </xf>
    <xf numFmtId="0" fontId="23" fillId="23" borderId="207" xfId="0" applyFont="1" applyFill="1" applyBorder="1" applyAlignment="1" applyProtection="1">
      <alignment horizontal="right" vertical="center" wrapText="1" indent="1"/>
      <protection hidden="1"/>
    </xf>
    <xf numFmtId="0" fontId="35" fillId="0" borderId="336" xfId="0" applyFont="1" applyBorder="1" applyAlignment="1" applyProtection="1">
      <alignment horizontal="right" vertical="center" wrapText="1"/>
      <protection locked="0"/>
    </xf>
    <xf numFmtId="0" fontId="405" fillId="21" borderId="14" xfId="0" applyFont="1" applyFill="1" applyBorder="1" applyAlignment="1" applyProtection="1">
      <alignment horizontal="center" vertical="center" textRotation="255"/>
      <protection locked="0"/>
    </xf>
    <xf numFmtId="0" fontId="405" fillId="21" borderId="15" xfId="0" applyFont="1" applyFill="1" applyBorder="1" applyAlignment="1" applyProtection="1">
      <alignment horizontal="center" vertical="center" textRotation="255"/>
      <protection locked="0"/>
    </xf>
    <xf numFmtId="0" fontId="405" fillId="21" borderId="16" xfId="0" applyFont="1" applyFill="1" applyBorder="1" applyAlignment="1" applyProtection="1">
      <alignment horizontal="center" vertical="center" textRotation="255"/>
      <protection locked="0"/>
    </xf>
    <xf numFmtId="0" fontId="405" fillId="21" borderId="17" xfId="0" applyFont="1" applyFill="1" applyBorder="1" applyAlignment="1" applyProtection="1">
      <alignment horizontal="center" vertical="center" textRotation="255"/>
      <protection locked="0"/>
    </xf>
    <xf numFmtId="0" fontId="405" fillId="21" borderId="18" xfId="0" applyFont="1" applyFill="1" applyBorder="1" applyAlignment="1" applyProtection="1">
      <alignment horizontal="center" vertical="center" textRotation="255"/>
      <protection locked="0"/>
    </xf>
    <xf numFmtId="0" fontId="405" fillId="21" borderId="20" xfId="0" applyFont="1" applyFill="1" applyBorder="1" applyAlignment="1" applyProtection="1">
      <alignment horizontal="center" vertical="center" textRotation="255"/>
      <protection locked="0"/>
    </xf>
    <xf numFmtId="0" fontId="23" fillId="18" borderId="25" xfId="0" applyFont="1" applyFill="1" applyBorder="1" applyAlignment="1" applyProtection="1">
      <alignment horizontal="left" vertical="center" wrapText="1" indent="1"/>
      <protection locked="0"/>
    </xf>
    <xf numFmtId="0" fontId="101" fillId="0" borderId="338" xfId="1" applyNumberFormat="1" applyFont="1" applyFill="1" applyBorder="1" applyAlignment="1" applyProtection="1">
      <alignment horizontal="center" vertical="center" wrapText="1"/>
      <protection locked="0"/>
    </xf>
    <xf numFmtId="0" fontId="172" fillId="24" borderId="146" xfId="0" applyFont="1" applyFill="1" applyBorder="1" applyAlignment="1" applyProtection="1">
      <alignment horizontal="center" vertical="center"/>
      <protection hidden="1"/>
    </xf>
    <xf numFmtId="0" fontId="101" fillId="0" borderId="1" xfId="0" applyFont="1" applyBorder="1" applyAlignment="1" applyProtection="1">
      <alignment horizontal="center" vertical="center"/>
      <protection hidden="1"/>
    </xf>
    <xf numFmtId="0" fontId="101" fillId="0" borderId="36" xfId="0" applyFont="1" applyBorder="1" applyAlignment="1" applyProtection="1">
      <alignment horizontal="center" vertical="center" wrapText="1"/>
      <protection hidden="1"/>
    </xf>
    <xf numFmtId="0" fontId="101" fillId="0" borderId="27" xfId="0" applyFont="1" applyBorder="1" applyAlignment="1" applyProtection="1">
      <alignment horizontal="center" vertical="center" wrapText="1"/>
      <protection hidden="1"/>
    </xf>
    <xf numFmtId="0" fontId="101" fillId="0" borderId="454" xfId="0" applyFont="1" applyBorder="1" applyAlignment="1" applyProtection="1">
      <alignment horizontal="center" vertical="center"/>
      <protection locked="0"/>
    </xf>
    <xf numFmtId="0" fontId="101" fillId="0" borderId="345" xfId="0" quotePrefix="1" applyFont="1" applyBorder="1" applyAlignment="1" applyProtection="1">
      <alignment horizontal="center" vertical="center"/>
      <protection hidden="1"/>
    </xf>
    <xf numFmtId="0" fontId="23" fillId="0" borderId="314" xfId="0" applyFont="1" applyBorder="1" applyAlignment="1" applyProtection="1">
      <alignment horizontal="left" vertical="center" wrapText="1" indent="1"/>
      <protection locked="0"/>
    </xf>
    <xf numFmtId="0" fontId="23" fillId="0" borderId="247" xfId="0" applyFont="1" applyBorder="1" applyAlignment="1" applyProtection="1">
      <alignment horizontal="left" vertical="center" wrapText="1" indent="1"/>
      <protection locked="0"/>
    </xf>
    <xf numFmtId="0" fontId="23" fillId="0" borderId="315" xfId="0" applyFont="1" applyBorder="1" applyAlignment="1" applyProtection="1">
      <alignment horizontal="left" vertical="center" wrapText="1" indent="1"/>
      <protection locked="0"/>
    </xf>
    <xf numFmtId="0" fontId="117" fillId="23" borderId="188" xfId="0" applyFont="1" applyFill="1" applyBorder="1" applyAlignment="1" applyProtection="1">
      <alignment horizontal="right" vertical="center" wrapText="1" indent="1"/>
      <protection hidden="1"/>
    </xf>
    <xf numFmtId="0" fontId="117" fillId="23" borderId="189" xfId="0" applyFont="1" applyFill="1" applyBorder="1" applyAlignment="1" applyProtection="1">
      <alignment horizontal="right" vertical="center" wrapText="1" indent="1"/>
      <protection hidden="1"/>
    </xf>
    <xf numFmtId="0" fontId="117" fillId="23" borderId="190" xfId="0" applyFont="1" applyFill="1" applyBorder="1" applyAlignment="1" applyProtection="1">
      <alignment horizontal="right" vertical="center" wrapText="1" indent="1"/>
      <protection hidden="1"/>
    </xf>
    <xf numFmtId="0" fontId="117" fillId="23" borderId="263" xfId="0" applyFont="1" applyFill="1" applyBorder="1" applyAlignment="1" applyProtection="1">
      <alignment horizontal="right" vertical="center" wrapText="1" indent="1"/>
      <protection hidden="1"/>
    </xf>
    <xf numFmtId="0" fontId="117" fillId="23" borderId="0" xfId="0" applyFont="1" applyFill="1" applyAlignment="1" applyProtection="1">
      <alignment horizontal="right" vertical="center" wrapText="1" indent="1"/>
      <protection hidden="1"/>
    </xf>
    <xf numFmtId="0" fontId="117" fillId="23" borderId="264" xfId="0" applyFont="1" applyFill="1" applyBorder="1" applyAlignment="1" applyProtection="1">
      <alignment horizontal="right" vertical="center" wrapText="1" indent="1"/>
      <protection hidden="1"/>
    </xf>
    <xf numFmtId="0" fontId="117" fillId="23" borderId="191" xfId="0" applyFont="1" applyFill="1" applyBorder="1" applyAlignment="1" applyProtection="1">
      <alignment horizontal="right" vertical="center" wrapText="1" indent="1"/>
      <protection hidden="1"/>
    </xf>
    <xf numFmtId="0" fontId="117" fillId="23" borderId="192" xfId="0" applyFont="1" applyFill="1" applyBorder="1" applyAlignment="1" applyProtection="1">
      <alignment horizontal="right" vertical="center" wrapText="1" indent="1"/>
      <protection hidden="1"/>
    </xf>
    <xf numFmtId="0" fontId="117" fillId="23" borderId="207" xfId="0" applyFont="1" applyFill="1" applyBorder="1" applyAlignment="1" applyProtection="1">
      <alignment horizontal="right" vertical="center" wrapText="1" indent="1"/>
      <protection hidden="1"/>
    </xf>
    <xf numFmtId="0" fontId="23" fillId="0" borderId="337" xfId="0" applyFont="1" applyBorder="1" applyAlignment="1" applyProtection="1">
      <alignment horizontal="left" vertical="center" wrapText="1" indent="1"/>
      <protection locked="0"/>
    </xf>
    <xf numFmtId="0" fontId="35" fillId="0" borderId="338" xfId="1" applyNumberFormat="1" applyFont="1" applyFill="1" applyBorder="1" applyAlignment="1" applyProtection="1">
      <alignment horizontal="left" vertical="center" wrapText="1"/>
      <protection locked="0"/>
    </xf>
    <xf numFmtId="0" fontId="101" fillId="0" borderId="131" xfId="0" quotePrefix="1" applyFont="1" applyBorder="1" applyAlignment="1" applyProtection="1">
      <alignment horizontal="center" vertical="center" wrapText="1"/>
      <protection hidden="1"/>
    </xf>
    <xf numFmtId="0" fontId="41" fillId="4" borderId="327" xfId="0" applyFont="1" applyFill="1" applyBorder="1" applyAlignment="1" applyProtection="1">
      <alignment horizontal="center" vertical="center"/>
      <protection hidden="1"/>
    </xf>
    <xf numFmtId="0" fontId="41" fillId="4" borderId="328" xfId="0" applyFont="1" applyFill="1" applyBorder="1" applyAlignment="1" applyProtection="1">
      <alignment horizontal="center" vertical="center"/>
      <protection hidden="1"/>
    </xf>
    <xf numFmtId="0" fontId="41" fillId="4" borderId="329" xfId="0" applyFont="1" applyFill="1" applyBorder="1" applyAlignment="1" applyProtection="1">
      <alignment horizontal="center" vertical="center"/>
      <protection hidden="1"/>
    </xf>
    <xf numFmtId="0" fontId="41" fillId="4" borderId="290" xfId="0" applyFont="1" applyFill="1" applyBorder="1" applyAlignment="1" applyProtection="1">
      <alignment horizontal="center" vertical="center"/>
      <protection hidden="1"/>
    </xf>
    <xf numFmtId="0" fontId="41" fillId="4" borderId="291" xfId="0" applyFont="1" applyFill="1" applyBorder="1" applyAlignment="1" applyProtection="1">
      <alignment horizontal="center" vertical="center"/>
      <protection hidden="1"/>
    </xf>
    <xf numFmtId="0" fontId="41" fillId="4" borderId="292" xfId="0" applyFont="1" applyFill="1" applyBorder="1" applyAlignment="1" applyProtection="1">
      <alignment horizontal="center" vertical="center"/>
      <protection hidden="1"/>
    </xf>
    <xf numFmtId="0" fontId="101" fillId="0" borderId="348" xfId="0" applyFont="1" applyBorder="1" applyAlignment="1" applyProtection="1">
      <alignment horizontal="center" vertical="center"/>
      <protection hidden="1"/>
    </xf>
    <xf numFmtId="0" fontId="37" fillId="18" borderId="14" xfId="0" applyFont="1" applyFill="1" applyBorder="1" applyAlignment="1" applyProtection="1">
      <alignment horizontal="center" vertical="center"/>
      <protection hidden="1"/>
    </xf>
    <xf numFmtId="0" fontId="37" fillId="18" borderId="13" xfId="0" applyFont="1" applyFill="1" applyBorder="1" applyAlignment="1" applyProtection="1">
      <alignment horizontal="center" vertical="center"/>
      <protection hidden="1"/>
    </xf>
    <xf numFmtId="0" fontId="37" fillId="18" borderId="15" xfId="0" applyFont="1" applyFill="1" applyBorder="1" applyAlignment="1" applyProtection="1">
      <alignment horizontal="center" vertical="center"/>
      <protection hidden="1"/>
    </xf>
    <xf numFmtId="0" fontId="37" fillId="18" borderId="18" xfId="0" applyFont="1" applyFill="1" applyBorder="1" applyAlignment="1" applyProtection="1">
      <alignment horizontal="center" vertical="center"/>
      <protection hidden="1"/>
    </xf>
    <xf numFmtId="0" fontId="37" fillId="18" borderId="19" xfId="0" applyFont="1" applyFill="1" applyBorder="1" applyAlignment="1" applyProtection="1">
      <alignment horizontal="center" vertical="center"/>
      <protection hidden="1"/>
    </xf>
    <xf numFmtId="0" fontId="37" fillId="18" borderId="20" xfId="0" applyFont="1" applyFill="1" applyBorder="1" applyAlignment="1" applyProtection="1">
      <alignment horizontal="center" vertical="center"/>
      <protection hidden="1"/>
    </xf>
    <xf numFmtId="0" fontId="37" fillId="0" borderId="36" xfId="0" applyFont="1" applyBorder="1" applyAlignment="1" applyProtection="1">
      <alignment horizontal="center" vertical="center" textRotation="255"/>
      <protection hidden="1"/>
    </xf>
    <xf numFmtId="0" fontId="37" fillId="0" borderId="37" xfId="0" applyFont="1" applyBorder="1" applyAlignment="1" applyProtection="1">
      <alignment horizontal="center" vertical="center" textRotation="255"/>
      <protection hidden="1"/>
    </xf>
    <xf numFmtId="20" fontId="74" fillId="18" borderId="14" xfId="0" applyNumberFormat="1" applyFont="1" applyFill="1" applyBorder="1" applyAlignment="1" applyProtection="1">
      <alignment horizontal="center" vertical="center"/>
      <protection hidden="1"/>
    </xf>
    <xf numFmtId="0" fontId="74" fillId="18" borderId="15" xfId="0" applyFont="1" applyFill="1" applyBorder="1" applyAlignment="1" applyProtection="1">
      <alignment horizontal="center" vertical="center"/>
      <protection hidden="1"/>
    </xf>
    <xf numFmtId="0" fontId="74" fillId="18" borderId="18" xfId="0" applyFont="1" applyFill="1" applyBorder="1" applyAlignment="1" applyProtection="1">
      <alignment horizontal="center" vertical="center"/>
      <protection hidden="1"/>
    </xf>
    <xf numFmtId="0" fontId="74" fillId="18" borderId="20" xfId="0" applyFont="1" applyFill="1" applyBorder="1" applyAlignment="1" applyProtection="1">
      <alignment horizontal="center" vertical="center"/>
      <protection hidden="1"/>
    </xf>
    <xf numFmtId="0" fontId="61" fillId="18" borderId="324" xfId="0" quotePrefix="1" applyFont="1" applyFill="1" applyBorder="1" applyAlignment="1" applyProtection="1">
      <alignment horizontal="center" vertical="center"/>
      <protection hidden="1"/>
    </xf>
    <xf numFmtId="0" fontId="37" fillId="18" borderId="318" xfId="0" quotePrefix="1" applyFont="1" applyFill="1" applyBorder="1" applyAlignment="1" applyProtection="1">
      <alignment horizontal="center" vertical="center"/>
      <protection locked="0"/>
    </xf>
    <xf numFmtId="0" fontId="37" fillId="18" borderId="319" xfId="0" applyFont="1" applyFill="1" applyBorder="1" applyAlignment="1" applyProtection="1">
      <alignment horizontal="center" vertical="center"/>
      <protection locked="0"/>
    </xf>
    <xf numFmtId="0" fontId="37" fillId="18" borderId="320" xfId="0" applyFont="1" applyFill="1" applyBorder="1" applyAlignment="1" applyProtection="1">
      <alignment horizontal="center" vertical="center"/>
      <protection locked="0"/>
    </xf>
    <xf numFmtId="0" fontId="37" fillId="18" borderId="321" xfId="0" applyFont="1" applyFill="1" applyBorder="1" applyAlignment="1" applyProtection="1">
      <alignment horizontal="center" vertical="center"/>
      <protection locked="0"/>
    </xf>
    <xf numFmtId="0" fontId="37" fillId="18" borderId="0" xfId="0" applyFont="1" applyFill="1" applyAlignment="1" applyProtection="1">
      <alignment horizontal="center" vertical="center"/>
      <protection locked="0"/>
    </xf>
    <xf numFmtId="0" fontId="37" fillId="18" borderId="322" xfId="0" applyFont="1" applyFill="1" applyBorder="1" applyAlignment="1" applyProtection="1">
      <alignment horizontal="center" vertical="center"/>
      <protection locked="0"/>
    </xf>
    <xf numFmtId="0" fontId="37" fillId="18" borderId="323" xfId="0" applyFont="1" applyFill="1" applyBorder="1" applyAlignment="1" applyProtection="1">
      <alignment horizontal="center" vertical="center"/>
      <protection locked="0"/>
    </xf>
    <xf numFmtId="0" fontId="37" fillId="18" borderId="324" xfId="0" applyFont="1" applyFill="1" applyBorder="1" applyAlignment="1" applyProtection="1">
      <alignment horizontal="center" vertical="center"/>
      <protection locked="0"/>
    </xf>
    <xf numFmtId="0" fontId="37" fillId="18" borderId="325" xfId="0" applyFont="1" applyFill="1" applyBorder="1" applyAlignment="1" applyProtection="1">
      <alignment horizontal="center" vertical="center"/>
      <protection locked="0"/>
    </xf>
    <xf numFmtId="0" fontId="161" fillId="4" borderId="0" xfId="0" applyFont="1" applyFill="1" applyAlignment="1" applyProtection="1">
      <alignment horizontal="right" vertical="center" textRotation="255"/>
      <protection hidden="1"/>
    </xf>
    <xf numFmtId="0" fontId="130" fillId="0" borderId="0" xfId="0" applyFont="1" applyAlignment="1" applyProtection="1">
      <alignment horizontal="center" vertical="center"/>
      <protection hidden="1"/>
    </xf>
    <xf numFmtId="1" fontId="230" fillId="0" borderId="0" xfId="0" applyNumberFormat="1" applyFont="1" applyAlignment="1" applyProtection="1">
      <alignment horizontal="center" vertical="top"/>
      <protection hidden="1"/>
    </xf>
    <xf numFmtId="178" fontId="41" fillId="4" borderId="0" xfId="0" applyNumberFormat="1" applyFont="1" applyFill="1" applyAlignment="1" applyProtection="1">
      <alignment horizontal="center" vertical="center"/>
      <protection hidden="1"/>
    </xf>
    <xf numFmtId="49" fontId="186" fillId="18" borderId="0" xfId="0" quotePrefix="1" applyNumberFormat="1" applyFont="1" applyFill="1" applyAlignment="1" applyProtection="1">
      <alignment horizontal="center" vertical="center"/>
      <protection hidden="1"/>
    </xf>
    <xf numFmtId="9" fontId="35" fillId="0" borderId="13" xfId="1" applyFont="1" applyFill="1" applyBorder="1" applyAlignment="1" applyProtection="1">
      <alignment horizontal="right" indent="1"/>
      <protection hidden="1"/>
    </xf>
    <xf numFmtId="9" fontId="35" fillId="0" borderId="15" xfId="1" applyFont="1" applyFill="1" applyBorder="1" applyAlignment="1" applyProtection="1">
      <alignment horizontal="right" indent="1"/>
      <protection hidden="1"/>
    </xf>
    <xf numFmtId="9" fontId="35" fillId="0" borderId="14" xfId="1" applyFont="1" applyFill="1" applyBorder="1" applyAlignment="1" applyProtection="1">
      <alignment horizontal="left" indent="1"/>
      <protection hidden="1"/>
    </xf>
    <xf numFmtId="9" fontId="35" fillId="0" borderId="13" xfId="1" applyFont="1" applyFill="1" applyBorder="1" applyAlignment="1" applyProtection="1">
      <alignment horizontal="left" indent="1"/>
      <protection hidden="1"/>
    </xf>
    <xf numFmtId="0" fontId="101" fillId="0" borderId="352" xfId="0" quotePrefix="1" applyFont="1" applyBorder="1" applyAlignment="1" applyProtection="1">
      <alignment horizontal="center" vertical="center" wrapText="1"/>
      <protection hidden="1"/>
    </xf>
    <xf numFmtId="0" fontId="172" fillId="14" borderId="146" xfId="0" applyFont="1" applyFill="1" applyBorder="1" applyAlignment="1" applyProtection="1">
      <alignment horizontal="center" vertical="center"/>
      <protection hidden="1"/>
    </xf>
    <xf numFmtId="0" fontId="101" fillId="0" borderId="348" xfId="0" applyFont="1" applyBorder="1" applyAlignment="1" applyProtection="1">
      <alignment horizontal="center" vertical="center" wrapText="1"/>
      <protection hidden="1"/>
    </xf>
    <xf numFmtId="0" fontId="23" fillId="18" borderId="2" xfId="0" applyFont="1" applyFill="1" applyBorder="1" applyAlignment="1" applyProtection="1">
      <alignment horizontal="left" vertical="center" wrapText="1" indent="1"/>
      <protection locked="0"/>
    </xf>
    <xf numFmtId="0" fontId="101" fillId="18" borderId="146" xfId="0" applyFont="1" applyFill="1" applyBorder="1" applyAlignment="1" applyProtection="1">
      <alignment horizontal="center" vertical="center"/>
      <protection hidden="1"/>
    </xf>
    <xf numFmtId="0" fontId="308" fillId="18" borderId="146" xfId="0" applyFont="1" applyFill="1" applyBorder="1" applyAlignment="1" applyProtection="1">
      <alignment horizontal="center" vertical="center"/>
      <protection hidden="1"/>
    </xf>
    <xf numFmtId="0" fontId="28" fillId="4" borderId="0" xfId="0" applyFont="1" applyFill="1" applyAlignment="1" applyProtection="1">
      <alignment horizontal="left" vertical="center"/>
      <protection hidden="1"/>
    </xf>
    <xf numFmtId="0" fontId="28" fillId="4" borderId="0" xfId="0" applyFont="1" applyFill="1" applyAlignment="1" applyProtection="1">
      <alignment horizontal="right" vertical="center"/>
      <protection hidden="1"/>
    </xf>
    <xf numFmtId="1" fontId="115" fillId="0" borderId="18" xfId="1" applyNumberFormat="1" applyFont="1" applyFill="1" applyBorder="1" applyAlignment="1" applyProtection="1">
      <alignment horizontal="left" vertical="top" wrapText="1" indent="1"/>
      <protection hidden="1"/>
    </xf>
    <xf numFmtId="1" fontId="115" fillId="0" borderId="19" xfId="1" applyNumberFormat="1" applyFont="1" applyFill="1" applyBorder="1" applyAlignment="1" applyProtection="1">
      <alignment horizontal="left" vertical="top" wrapText="1" indent="1"/>
      <protection hidden="1"/>
    </xf>
    <xf numFmtId="0" fontId="41" fillId="4" borderId="0" xfId="0" applyFont="1" applyFill="1" applyAlignment="1" applyProtection="1">
      <alignment horizontal="center" vertical="center" textRotation="255"/>
      <protection hidden="1"/>
    </xf>
    <xf numFmtId="0" fontId="101" fillId="18" borderId="0" xfId="0" applyFont="1" applyFill="1" applyAlignment="1" applyProtection="1">
      <alignment horizontal="left" vertical="center"/>
      <protection locked="0"/>
    </xf>
    <xf numFmtId="0" fontId="631" fillId="18" borderId="428" xfId="0" applyFont="1" applyFill="1" applyBorder="1" applyAlignment="1" applyProtection="1">
      <alignment horizontal="center" vertical="center"/>
      <protection hidden="1"/>
    </xf>
    <xf numFmtId="0" fontId="98" fillId="18" borderId="428" xfId="0" applyFont="1" applyFill="1" applyBorder="1" applyAlignment="1" applyProtection="1">
      <alignment horizontal="center" vertical="center"/>
      <protection hidden="1"/>
    </xf>
    <xf numFmtId="0" fontId="74" fillId="0" borderId="0" xfId="0" applyFont="1" applyAlignment="1" applyProtection="1">
      <alignment horizontal="left" vertical="center"/>
      <protection locked="0"/>
    </xf>
    <xf numFmtId="0" fontId="27" fillId="18" borderId="166" xfId="0" applyFont="1" applyFill="1" applyBorder="1" applyAlignment="1" applyProtection="1">
      <alignment horizontal="center"/>
      <protection hidden="1"/>
    </xf>
    <xf numFmtId="0" fontId="113" fillId="0" borderId="414" xfId="0" applyFont="1" applyBorder="1" applyAlignment="1" applyProtection="1">
      <alignment horizontal="center" vertical="center"/>
      <protection hidden="1"/>
    </xf>
    <xf numFmtId="0" fontId="113" fillId="0" borderId="373" xfId="0" applyFont="1" applyBorder="1" applyAlignment="1" applyProtection="1">
      <alignment horizontal="center" vertical="center"/>
      <protection hidden="1"/>
    </xf>
    <xf numFmtId="176" fontId="113" fillId="0" borderId="414" xfId="0" applyNumberFormat="1" applyFont="1" applyBorder="1" applyAlignment="1" applyProtection="1">
      <alignment horizontal="center" vertical="center"/>
      <protection hidden="1"/>
    </xf>
    <xf numFmtId="176" fontId="113" fillId="0" borderId="373" xfId="0" applyNumberFormat="1" applyFont="1" applyBorder="1" applyAlignment="1" applyProtection="1">
      <alignment horizontal="center" vertical="center"/>
      <protection hidden="1"/>
    </xf>
    <xf numFmtId="0" fontId="27" fillId="23" borderId="0" xfId="0" applyFont="1" applyFill="1" applyAlignment="1" applyProtection="1">
      <alignment horizontal="center" vertical="center" wrapText="1"/>
      <protection locked="0"/>
    </xf>
    <xf numFmtId="0" fontId="572" fillId="18" borderId="51" xfId="0" applyFont="1" applyFill="1" applyBorder="1" applyAlignment="1" applyProtection="1">
      <alignment horizontal="center" vertical="center"/>
      <protection locked="0"/>
    </xf>
    <xf numFmtId="0" fontId="308" fillId="18" borderId="0" xfId="0" applyFont="1" applyFill="1" applyAlignment="1" applyProtection="1">
      <alignment horizontal="left" vertical="center"/>
      <protection locked="0"/>
    </xf>
    <xf numFmtId="0" fontId="572" fillId="18" borderId="0" xfId="0" applyFont="1" applyFill="1" applyAlignment="1" applyProtection="1">
      <alignment horizontal="center" vertical="top"/>
      <protection locked="0"/>
    </xf>
    <xf numFmtId="0" fontId="55" fillId="18" borderId="122" xfId="0" applyFont="1" applyFill="1" applyBorder="1" applyAlignment="1" applyProtection="1">
      <alignment horizontal="center"/>
      <protection locked="0"/>
    </xf>
    <xf numFmtId="0" fontId="1" fillId="0" borderId="35" xfId="0" applyFont="1" applyBorder="1" applyAlignment="1" applyProtection="1">
      <alignment horizontal="center"/>
      <protection hidden="1"/>
    </xf>
    <xf numFmtId="0" fontId="1" fillId="0" borderId="51" xfId="0" applyFont="1" applyBorder="1" applyAlignment="1" applyProtection="1">
      <alignment horizontal="center"/>
      <protection hidden="1"/>
    </xf>
    <xf numFmtId="0" fontId="1" fillId="0" borderId="34" xfId="0" applyFont="1" applyBorder="1" applyAlignment="1" applyProtection="1">
      <alignment horizontal="center"/>
      <protection hidden="1"/>
    </xf>
    <xf numFmtId="0" fontId="27" fillId="18" borderId="104" xfId="0" applyFont="1" applyFill="1" applyBorder="1" applyAlignment="1" applyProtection="1">
      <alignment horizontal="center" vertical="center" wrapText="1"/>
      <protection hidden="1"/>
    </xf>
    <xf numFmtId="0" fontId="74" fillId="0" borderId="0" xfId="0" quotePrefix="1" applyFont="1" applyAlignment="1" applyProtection="1">
      <alignment horizontal="left" vertical="center"/>
      <protection locked="0"/>
    </xf>
    <xf numFmtId="0" fontId="240" fillId="0" borderId="0" xfId="0" applyFont="1" applyAlignment="1" applyProtection="1">
      <alignment horizontal="left" vertical="center"/>
      <protection locked="0"/>
    </xf>
    <xf numFmtId="0" fontId="238" fillId="0" borderId="0" xfId="0" applyFont="1" applyAlignment="1" applyProtection="1">
      <alignment horizontal="left" vertical="center"/>
      <protection locked="0"/>
    </xf>
    <xf numFmtId="0" fontId="448" fillId="0" borderId="0" xfId="0" applyFont="1" applyAlignment="1" applyProtection="1">
      <alignment horizontal="left" vertical="center"/>
      <protection locked="0"/>
    </xf>
    <xf numFmtId="0" fontId="447" fillId="0" borderId="0" xfId="0" applyFont="1" applyAlignment="1" applyProtection="1">
      <alignment horizontal="left" vertical="center"/>
      <protection locked="0"/>
    </xf>
    <xf numFmtId="0" fontId="450" fillId="0" borderId="0" xfId="0" applyFont="1" applyAlignment="1" applyProtection="1">
      <alignment horizontal="left" vertical="center"/>
      <protection locked="0"/>
    </xf>
    <xf numFmtId="0" fontId="449" fillId="0" borderId="0" xfId="0" applyFont="1" applyAlignment="1" applyProtection="1">
      <alignment horizontal="left" vertical="center"/>
      <protection locked="0"/>
    </xf>
    <xf numFmtId="0" fontId="632" fillId="0" borderId="0" xfId="0" applyFont="1" applyAlignment="1" applyProtection="1">
      <alignment horizontal="left" vertical="center"/>
      <protection hidden="1"/>
    </xf>
    <xf numFmtId="0" fontId="239" fillId="0" borderId="0" xfId="0" applyFont="1" applyAlignment="1" applyProtection="1">
      <alignment horizontal="left" vertical="center"/>
      <protection locked="0"/>
    </xf>
    <xf numFmtId="0" fontId="241" fillId="0" borderId="0" xfId="0" applyFont="1" applyAlignment="1" applyProtection="1">
      <alignment horizontal="left" vertical="center"/>
      <protection locked="0"/>
    </xf>
    <xf numFmtId="0" fontId="69" fillId="4" borderId="0" xfId="0" applyFont="1" applyFill="1" applyAlignment="1" applyProtection="1">
      <alignment horizontal="center" vertical="center"/>
      <protection hidden="1"/>
    </xf>
    <xf numFmtId="0" fontId="61" fillId="18" borderId="21" xfId="0" applyFont="1" applyFill="1" applyBorder="1" applyAlignment="1" applyProtection="1">
      <alignment horizontal="center" vertical="center"/>
      <protection hidden="1"/>
    </xf>
    <xf numFmtId="0" fontId="359" fillId="4" borderId="0" xfId="0" quotePrefix="1" applyFont="1" applyFill="1" applyAlignment="1" applyProtection="1">
      <alignment horizontal="center" vertical="center"/>
      <protection hidden="1"/>
    </xf>
    <xf numFmtId="0" fontId="25" fillId="4" borderId="0" xfId="0" applyFont="1" applyFill="1" applyAlignment="1" applyProtection="1">
      <alignment horizontal="center" vertical="center"/>
      <protection hidden="1"/>
    </xf>
    <xf numFmtId="0" fontId="25" fillId="4" borderId="0" xfId="0" applyFont="1" applyFill="1" applyAlignment="1" applyProtection="1">
      <alignment horizontal="left" vertical="center"/>
      <protection hidden="1"/>
    </xf>
    <xf numFmtId="0" fontId="278" fillId="0" borderId="168" xfId="0" applyFont="1" applyBorder="1" applyAlignment="1" applyProtection="1">
      <alignment horizontal="center" textRotation="255"/>
      <protection hidden="1"/>
    </xf>
    <xf numFmtId="0" fontId="278" fillId="0" borderId="169" xfId="0" applyFont="1" applyBorder="1" applyAlignment="1" applyProtection="1">
      <alignment horizontal="center" textRotation="255"/>
      <protection hidden="1"/>
    </xf>
    <xf numFmtId="0" fontId="278" fillId="0" borderId="170" xfId="0" applyFont="1" applyBorder="1" applyAlignment="1" applyProtection="1">
      <alignment horizontal="center" textRotation="255"/>
      <protection hidden="1"/>
    </xf>
    <xf numFmtId="0" fontId="27" fillId="0" borderId="166" xfId="0" applyFont="1" applyBorder="1" applyAlignment="1" applyProtection="1">
      <alignment horizontal="center"/>
      <protection hidden="1"/>
    </xf>
    <xf numFmtId="0" fontId="4" fillId="0" borderId="4" xfId="0" applyFont="1" applyBorder="1" applyAlignment="1" applyProtection="1">
      <alignment horizontal="center" vertical="top" textRotation="255" wrapText="1"/>
      <protection hidden="1"/>
    </xf>
    <xf numFmtId="0" fontId="4" fillId="0" borderId="6" xfId="0" applyFont="1" applyBorder="1" applyAlignment="1" applyProtection="1">
      <alignment horizontal="center" vertical="top" textRotation="255" wrapText="1"/>
      <protection hidden="1"/>
    </xf>
    <xf numFmtId="0" fontId="27" fillId="0" borderId="52" xfId="0" applyFont="1" applyBorder="1" applyAlignment="1" applyProtection="1">
      <alignment horizontal="center"/>
      <protection hidden="1"/>
    </xf>
    <xf numFmtId="0" fontId="11" fillId="0" borderId="2" xfId="0" applyFont="1" applyBorder="1" applyAlignment="1" applyProtection="1">
      <alignment horizontal="center" vertical="top" textRotation="255" wrapText="1"/>
      <protection hidden="1"/>
    </xf>
    <xf numFmtId="0" fontId="11" fillId="0" borderId="3" xfId="0" applyFont="1" applyBorder="1" applyAlignment="1" applyProtection="1">
      <alignment horizontal="center" vertical="top" textRotation="255" wrapText="1"/>
      <protection hidden="1"/>
    </xf>
    <xf numFmtId="0" fontId="11" fillId="0" borderId="11" xfId="0" applyFont="1" applyBorder="1" applyAlignment="1" applyProtection="1">
      <alignment horizontal="center" vertical="top" textRotation="255" wrapText="1"/>
      <protection hidden="1"/>
    </xf>
    <xf numFmtId="0" fontId="13" fillId="0" borderId="2" xfId="0" applyFont="1" applyBorder="1" applyAlignment="1" applyProtection="1">
      <alignment horizontal="center" vertical="top" textRotation="255" wrapText="1"/>
      <protection hidden="1"/>
    </xf>
    <xf numFmtId="0" fontId="13" fillId="0" borderId="3" xfId="0" applyFont="1" applyBorder="1" applyAlignment="1" applyProtection="1">
      <alignment horizontal="center" vertical="top" textRotation="255" wrapText="1"/>
      <protection hidden="1"/>
    </xf>
    <xf numFmtId="0" fontId="13" fillId="0" borderId="11" xfId="0" applyFont="1" applyBorder="1" applyAlignment="1" applyProtection="1">
      <alignment horizontal="center" vertical="top" textRotation="255" wrapText="1"/>
      <protection hidden="1"/>
    </xf>
    <xf numFmtId="0" fontId="8" fillId="0" borderId="4" xfId="0" applyFont="1" applyBorder="1" applyAlignment="1" applyProtection="1">
      <alignment horizontal="center" vertical="top" textRotation="255" wrapText="1"/>
      <protection hidden="1"/>
    </xf>
    <xf numFmtId="0" fontId="8" fillId="0" borderId="6" xfId="0" applyFont="1" applyBorder="1" applyAlignment="1" applyProtection="1">
      <alignment horizontal="center" vertical="top" textRotation="255" wrapText="1"/>
      <protection hidden="1"/>
    </xf>
    <xf numFmtId="0" fontId="260" fillId="13" borderId="0" xfId="0" applyFont="1" applyFill="1" applyAlignment="1" applyProtection="1">
      <alignment horizontal="center" vertical="center" wrapText="1"/>
      <protection locked="0"/>
    </xf>
    <xf numFmtId="0" fontId="413" fillId="13" borderId="0" xfId="0" applyFont="1" applyFill="1" applyAlignment="1" applyProtection="1">
      <alignment horizontal="left" vertical="center"/>
      <protection hidden="1"/>
    </xf>
    <xf numFmtId="0" fontId="3" fillId="0" borderId="4" xfId="0" applyFont="1" applyBorder="1" applyAlignment="1" applyProtection="1">
      <alignment horizontal="center" vertical="top" textRotation="255" wrapText="1"/>
      <protection hidden="1"/>
    </xf>
    <xf numFmtId="0" fontId="3" fillId="0" borderId="6" xfId="0" applyFont="1" applyBorder="1" applyAlignment="1" applyProtection="1">
      <alignment horizontal="center" vertical="top" textRotation="255" wrapText="1"/>
      <protection hidden="1"/>
    </xf>
    <xf numFmtId="0" fontId="12" fillId="0" borderId="2" xfId="0" applyFont="1" applyBorder="1" applyAlignment="1" applyProtection="1">
      <alignment horizontal="center" vertical="top" textRotation="255" wrapText="1"/>
      <protection hidden="1"/>
    </xf>
    <xf numFmtId="0" fontId="12" fillId="0" borderId="3" xfId="0" applyFont="1" applyBorder="1" applyAlignment="1" applyProtection="1">
      <alignment horizontal="center" vertical="top" textRotation="255" wrapText="1"/>
      <protection hidden="1"/>
    </xf>
    <xf numFmtId="0" fontId="12" fillId="0" borderId="11" xfId="0" applyFont="1" applyBorder="1" applyAlignment="1" applyProtection="1">
      <alignment horizontal="center" vertical="top" textRotation="255" wrapText="1"/>
      <protection hidden="1"/>
    </xf>
    <xf numFmtId="0" fontId="10" fillId="0" borderId="2" xfId="0" applyFont="1" applyBorder="1" applyAlignment="1" applyProtection="1">
      <alignment horizontal="center" vertical="top" textRotation="255" wrapText="1"/>
      <protection hidden="1"/>
    </xf>
    <xf numFmtId="0" fontId="10" fillId="0" borderId="3" xfId="0" applyFont="1" applyBorder="1" applyAlignment="1" applyProtection="1">
      <alignment horizontal="center" vertical="top" textRotation="255" wrapText="1"/>
      <protection hidden="1"/>
    </xf>
    <xf numFmtId="0" fontId="10" fillId="0" borderId="11" xfId="0" applyFont="1" applyBorder="1" applyAlignment="1" applyProtection="1">
      <alignment horizontal="center" vertical="top" textRotation="255" wrapText="1"/>
      <protection hidden="1"/>
    </xf>
    <xf numFmtId="0" fontId="41" fillId="13" borderId="0" xfId="0" applyFont="1" applyFill="1" applyAlignment="1" applyProtection="1">
      <alignment horizontal="center" vertical="center" wrapText="1"/>
      <protection locked="0"/>
    </xf>
    <xf numFmtId="0" fontId="278" fillId="0" borderId="8" xfId="0" applyFont="1" applyBorder="1" applyAlignment="1" applyProtection="1">
      <alignment horizontal="center" textRotation="255"/>
      <protection hidden="1"/>
    </xf>
    <xf numFmtId="0" fontId="278" fillId="0" borderId="9" xfId="0" applyFont="1" applyBorder="1" applyAlignment="1" applyProtection="1">
      <alignment horizontal="center" textRotation="255"/>
      <protection hidden="1"/>
    </xf>
    <xf numFmtId="0" fontId="278" fillId="0" borderId="10" xfId="0" applyFont="1" applyBorder="1" applyAlignment="1" applyProtection="1">
      <alignment horizontal="center" textRotation="255"/>
      <protection hidden="1"/>
    </xf>
    <xf numFmtId="0" fontId="9" fillId="0" borderId="2" xfId="0" applyFont="1" applyBorder="1" applyAlignment="1" applyProtection="1">
      <alignment horizontal="center" vertical="top" textRotation="255" wrapText="1"/>
      <protection hidden="1"/>
    </xf>
    <xf numFmtId="0" fontId="9" fillId="0" borderId="3" xfId="0" applyFont="1" applyBorder="1" applyAlignment="1" applyProtection="1">
      <alignment horizontal="center" vertical="top" textRotation="255" wrapText="1"/>
      <protection hidden="1"/>
    </xf>
    <xf numFmtId="0" fontId="9" fillId="0" borderId="11" xfId="0" applyFont="1" applyBorder="1" applyAlignment="1" applyProtection="1">
      <alignment horizontal="center" vertical="top" textRotation="255" wrapText="1"/>
      <protection hidden="1"/>
    </xf>
    <xf numFmtId="0" fontId="4" fillId="0" borderId="2" xfId="0" applyFont="1" applyBorder="1" applyAlignment="1" applyProtection="1">
      <alignment horizontal="center" vertical="top" textRotation="255" wrapText="1"/>
      <protection hidden="1"/>
    </xf>
    <xf numFmtId="0" fontId="4" fillId="0" borderId="3" xfId="0" applyFont="1" applyBorder="1" applyAlignment="1" applyProtection="1">
      <alignment horizontal="center" vertical="top" textRotation="255" wrapText="1"/>
      <protection hidden="1"/>
    </xf>
    <xf numFmtId="0" fontId="4" fillId="0" borderId="11" xfId="0" applyFont="1" applyBorder="1" applyAlignment="1" applyProtection="1">
      <alignment horizontal="center" vertical="top" textRotation="255" wrapText="1"/>
      <protection hidden="1"/>
    </xf>
    <xf numFmtId="0" fontId="3" fillId="0" borderId="2" xfId="0" applyFont="1" applyBorder="1" applyAlignment="1" applyProtection="1">
      <alignment horizontal="center" vertical="top" textRotation="255" wrapText="1"/>
      <protection hidden="1"/>
    </xf>
    <xf numFmtId="0" fontId="3" fillId="0" borderId="3" xfId="0" applyFont="1" applyBorder="1" applyAlignment="1" applyProtection="1">
      <alignment horizontal="center" vertical="top" textRotation="255" wrapText="1"/>
      <protection hidden="1"/>
    </xf>
    <xf numFmtId="0" fontId="3" fillId="0" borderId="11" xfId="0" applyFont="1" applyBorder="1" applyAlignment="1" applyProtection="1">
      <alignment horizontal="center" vertical="top" textRotation="255" wrapText="1"/>
      <protection hidden="1"/>
    </xf>
    <xf numFmtId="0" fontId="8" fillId="0" borderId="2" xfId="0" applyFont="1" applyBorder="1" applyAlignment="1" applyProtection="1">
      <alignment horizontal="center" vertical="top" textRotation="255" wrapText="1"/>
      <protection hidden="1"/>
    </xf>
    <xf numFmtId="0" fontId="8" fillId="0" borderId="3" xfId="0" applyFont="1" applyBorder="1" applyAlignment="1" applyProtection="1">
      <alignment horizontal="center" vertical="top" textRotation="255" wrapText="1"/>
      <protection hidden="1"/>
    </xf>
    <xf numFmtId="0" fontId="8" fillId="0" borderId="11" xfId="0" applyFont="1" applyBorder="1" applyAlignment="1" applyProtection="1">
      <alignment horizontal="center" vertical="top" textRotation="255" wrapText="1"/>
      <protection hidden="1"/>
    </xf>
    <xf numFmtId="0" fontId="13" fillId="0" borderId="4" xfId="0" applyFont="1" applyBorder="1" applyAlignment="1" applyProtection="1">
      <alignment horizontal="center" vertical="top" textRotation="255" wrapText="1"/>
      <protection hidden="1"/>
    </xf>
    <xf numFmtId="0" fontId="13" fillId="0" borderId="6" xfId="0" applyFont="1" applyBorder="1" applyAlignment="1" applyProtection="1">
      <alignment horizontal="center" vertical="top" textRotation="255" wrapText="1"/>
      <protection hidden="1"/>
    </xf>
    <xf numFmtId="0" fontId="12" fillId="0" borderId="4" xfId="0" applyFont="1" applyBorder="1" applyAlignment="1" applyProtection="1">
      <alignment horizontal="center" vertical="top" textRotation="255" wrapText="1"/>
      <protection hidden="1"/>
    </xf>
    <xf numFmtId="0" fontId="12" fillId="0" borderId="6" xfId="0" applyFont="1" applyBorder="1" applyAlignment="1" applyProtection="1">
      <alignment horizontal="center" vertical="top" textRotation="255" wrapText="1"/>
      <protection hidden="1"/>
    </xf>
    <xf numFmtId="0" fontId="11" fillId="0" borderId="4" xfId="0" applyFont="1" applyBorder="1" applyAlignment="1" applyProtection="1">
      <alignment horizontal="center" vertical="top" textRotation="255" wrapText="1"/>
      <protection hidden="1"/>
    </xf>
    <xf numFmtId="0" fontId="11" fillId="0" borderId="6" xfId="0" applyFont="1" applyBorder="1" applyAlignment="1" applyProtection="1">
      <alignment horizontal="center" vertical="top" textRotation="255" wrapText="1"/>
      <protection hidden="1"/>
    </xf>
    <xf numFmtId="0" fontId="443" fillId="0" borderId="0" xfId="0" applyFont="1" applyAlignment="1" applyProtection="1">
      <alignment horizontal="left" vertical="center"/>
      <protection locked="0"/>
    </xf>
    <xf numFmtId="0" fontId="444" fillId="0" borderId="0" xfId="0" applyFont="1" applyAlignment="1" applyProtection="1">
      <alignment horizontal="left" vertical="center"/>
      <protection locked="0"/>
    </xf>
    <xf numFmtId="0" fontId="445" fillId="0" borderId="0" xfId="0" applyFont="1" applyAlignment="1" applyProtection="1">
      <alignment horizontal="left" vertical="center"/>
      <protection locked="0"/>
    </xf>
    <xf numFmtId="0" fontId="244" fillId="0" borderId="0" xfId="0" applyFont="1" applyAlignment="1" applyProtection="1">
      <alignment horizontal="left" vertical="center"/>
      <protection locked="0"/>
    </xf>
    <xf numFmtId="0" fontId="247" fillId="0" borderId="0" xfId="0" applyFont="1" applyAlignment="1" applyProtection="1">
      <alignment horizontal="left" vertical="center"/>
      <protection locked="0"/>
    </xf>
    <xf numFmtId="0" fontId="242" fillId="0" borderId="0" xfId="0" applyFont="1" applyAlignment="1" applyProtection="1">
      <alignment horizontal="left" vertical="center"/>
      <protection locked="0"/>
    </xf>
    <xf numFmtId="0" fontId="246" fillId="0" borderId="0" xfId="0" applyFont="1" applyAlignment="1" applyProtection="1">
      <alignment horizontal="left" vertical="center"/>
      <protection locked="0"/>
    </xf>
    <xf numFmtId="0" fontId="243" fillId="0" borderId="0" xfId="0" applyFont="1" applyAlignment="1" applyProtection="1">
      <alignment horizontal="left" vertical="center"/>
      <protection locked="0"/>
    </xf>
    <xf numFmtId="0" fontId="245" fillId="0" borderId="0" xfId="0" applyFont="1" applyAlignment="1" applyProtection="1">
      <alignment horizontal="left" vertical="center"/>
      <protection locked="0"/>
    </xf>
    <xf numFmtId="0" fontId="2" fillId="0" borderId="4" xfId="0" applyFont="1" applyBorder="1" applyAlignment="1" applyProtection="1">
      <alignment horizontal="center" vertical="top" textRotation="255" wrapText="1"/>
      <protection hidden="1"/>
    </xf>
    <xf numFmtId="0" fontId="2" fillId="0" borderId="6" xfId="0" applyFont="1" applyBorder="1" applyAlignment="1" applyProtection="1">
      <alignment horizontal="center" vertical="top" textRotation="255" wrapText="1"/>
      <protection hidden="1"/>
    </xf>
    <xf numFmtId="0" fontId="29" fillId="15" borderId="0" xfId="0" applyFont="1" applyFill="1" applyAlignment="1" applyProtection="1">
      <alignment horizontal="center" vertical="center" wrapText="1"/>
      <protection hidden="1"/>
    </xf>
    <xf numFmtId="0" fontId="29" fillId="15" borderId="61" xfId="0" applyFont="1" applyFill="1" applyBorder="1" applyAlignment="1" applyProtection="1">
      <alignment horizontal="center" vertical="center" wrapText="1"/>
      <protection hidden="1"/>
    </xf>
    <xf numFmtId="0" fontId="278" fillId="0" borderId="2" xfId="0" applyFont="1" applyBorder="1" applyAlignment="1" applyProtection="1">
      <alignment horizontal="center" textRotation="255"/>
      <protection hidden="1"/>
    </xf>
    <xf numFmtId="0" fontId="278" fillId="0" borderId="3" xfId="0" applyFont="1" applyBorder="1" applyAlignment="1" applyProtection="1">
      <alignment horizontal="center" textRotation="255"/>
      <protection hidden="1"/>
    </xf>
    <xf numFmtId="0" fontId="278" fillId="0" borderId="11" xfId="0" applyFont="1" applyBorder="1" applyAlignment="1" applyProtection="1">
      <alignment horizontal="center" textRotation="255"/>
      <protection hidden="1"/>
    </xf>
    <xf numFmtId="0" fontId="413" fillId="13" borderId="0" xfId="0" applyFont="1" applyFill="1" applyAlignment="1" applyProtection="1">
      <alignment horizontal="right" vertical="center"/>
      <protection hidden="1"/>
    </xf>
    <xf numFmtId="0" fontId="73" fillId="18" borderId="133" xfId="0" applyFont="1" applyFill="1" applyBorder="1" applyAlignment="1" applyProtection="1">
      <alignment horizontal="center" vertical="center" wrapText="1"/>
      <protection hidden="1"/>
    </xf>
    <xf numFmtId="0" fontId="73" fillId="18" borderId="134" xfId="0" applyFont="1" applyFill="1" applyBorder="1" applyAlignment="1" applyProtection="1">
      <alignment horizontal="center" vertical="center" wrapText="1"/>
      <protection hidden="1"/>
    </xf>
    <xf numFmtId="0" fontId="73" fillId="18" borderId="135" xfId="0" applyFont="1" applyFill="1" applyBorder="1" applyAlignment="1" applyProtection="1">
      <alignment horizontal="center" vertical="center" wrapText="1"/>
      <protection hidden="1"/>
    </xf>
    <xf numFmtId="0" fontId="73" fillId="18" borderId="136" xfId="0" applyFont="1" applyFill="1" applyBorder="1" applyAlignment="1" applyProtection="1">
      <alignment horizontal="center" vertical="center" wrapText="1"/>
      <protection hidden="1"/>
    </xf>
    <xf numFmtId="0" fontId="73" fillId="18" borderId="0" xfId="0" applyFont="1" applyFill="1" applyAlignment="1" applyProtection="1">
      <alignment horizontal="center" vertical="center" wrapText="1"/>
      <protection hidden="1"/>
    </xf>
    <xf numFmtId="0" fontId="73" fillId="18" borderId="137" xfId="0" applyFont="1" applyFill="1" applyBorder="1" applyAlignment="1" applyProtection="1">
      <alignment horizontal="center" vertical="center" wrapText="1"/>
      <protection hidden="1"/>
    </xf>
    <xf numFmtId="0" fontId="29" fillId="15" borderId="56" xfId="0" applyFont="1" applyFill="1" applyBorder="1" applyAlignment="1" applyProtection="1">
      <alignment horizontal="center" vertical="center" wrapText="1"/>
      <protection hidden="1"/>
    </xf>
    <xf numFmtId="0" fontId="73" fillId="18" borderId="110" xfId="0" applyFont="1" applyFill="1" applyBorder="1" applyAlignment="1" applyProtection="1">
      <alignment horizontal="center" vertical="center" wrapText="1"/>
      <protection hidden="1"/>
    </xf>
    <xf numFmtId="0" fontId="73" fillId="18" borderId="111" xfId="0" applyFont="1" applyFill="1" applyBorder="1" applyAlignment="1" applyProtection="1">
      <alignment horizontal="center" vertical="center" wrapText="1"/>
      <protection hidden="1"/>
    </xf>
    <xf numFmtId="0" fontId="73" fillId="18" borderId="112" xfId="0" applyFont="1" applyFill="1" applyBorder="1" applyAlignment="1" applyProtection="1">
      <alignment horizontal="center" vertical="center" wrapText="1"/>
      <protection hidden="1"/>
    </xf>
    <xf numFmtId="0" fontId="73" fillId="18" borderId="344" xfId="0" applyFont="1" applyFill="1" applyBorder="1" applyAlignment="1" applyProtection="1">
      <alignment horizontal="center" vertical="center" wrapText="1"/>
      <protection hidden="1"/>
    </xf>
    <xf numFmtId="0" fontId="73" fillId="18" borderId="113" xfId="0" applyFont="1" applyFill="1" applyBorder="1" applyAlignment="1" applyProtection="1">
      <alignment horizontal="center" vertical="center" wrapText="1"/>
      <protection hidden="1"/>
    </xf>
    <xf numFmtId="0" fontId="375" fillId="13" borderId="158" xfId="0" applyFont="1" applyFill="1" applyBorder="1" applyAlignment="1" applyProtection="1">
      <alignment horizontal="right" vertical="center" wrapText="1"/>
      <protection hidden="1"/>
    </xf>
    <xf numFmtId="0" fontId="308" fillId="0" borderId="0" xfId="0" applyFont="1" applyAlignment="1" applyProtection="1">
      <alignment horizontal="left"/>
      <protection hidden="1"/>
    </xf>
    <xf numFmtId="0" fontId="101" fillId="0" borderId="114" xfId="0" applyFont="1" applyBorder="1" applyAlignment="1" applyProtection="1">
      <alignment horizontal="center" vertical="center"/>
      <protection hidden="1"/>
    </xf>
    <xf numFmtId="0" fontId="101" fillId="0" borderId="115" xfId="0" applyFont="1" applyBorder="1" applyAlignment="1" applyProtection="1">
      <alignment horizontal="center" vertical="center"/>
      <protection hidden="1"/>
    </xf>
    <xf numFmtId="0" fontId="101" fillId="0" borderId="116" xfId="0" applyFont="1" applyBorder="1" applyAlignment="1" applyProtection="1">
      <alignment horizontal="center" vertical="center"/>
      <protection hidden="1"/>
    </xf>
    <xf numFmtId="0" fontId="446" fillId="0" borderId="0" xfId="0" applyFont="1" applyAlignment="1" applyProtection="1">
      <alignment horizontal="left" vertical="center"/>
      <protection locked="0"/>
    </xf>
    <xf numFmtId="0" fontId="101" fillId="0" borderId="138" xfId="0" applyFont="1" applyBorder="1" applyAlignment="1" applyProtection="1">
      <alignment horizontal="center" vertical="center"/>
      <protection hidden="1"/>
    </xf>
    <xf numFmtId="0" fontId="101" fillId="0" borderId="122" xfId="0" applyFont="1" applyBorder="1" applyAlignment="1" applyProtection="1">
      <alignment horizontal="center" vertical="center"/>
      <protection hidden="1"/>
    </xf>
    <xf numFmtId="0" fontId="101" fillId="0" borderId="139" xfId="0" applyFont="1" applyBorder="1" applyAlignment="1" applyProtection="1">
      <alignment horizontal="center" vertical="center"/>
      <protection hidden="1"/>
    </xf>
    <xf numFmtId="0" fontId="121" fillId="0" borderId="0" xfId="0" applyFont="1" applyAlignment="1" applyProtection="1">
      <alignment horizontal="center"/>
      <protection locked="0"/>
    </xf>
    <xf numFmtId="0" fontId="121" fillId="0" borderId="0" xfId="0" applyFont="1" applyAlignment="1" applyProtection="1">
      <alignment horizontal="center" vertical="top"/>
      <protection locked="0"/>
    </xf>
    <xf numFmtId="180" fontId="248" fillId="0" borderId="490" xfId="0" applyNumberFormat="1" applyFont="1" applyBorder="1" applyAlignment="1" applyProtection="1">
      <alignment horizontal="center" vertical="center"/>
      <protection locked="0"/>
    </xf>
    <xf numFmtId="180" fontId="248" fillId="0" borderId="491" xfId="0" applyNumberFormat="1" applyFont="1" applyBorder="1" applyAlignment="1" applyProtection="1">
      <alignment horizontal="center" vertical="center"/>
      <protection locked="0"/>
    </xf>
    <xf numFmtId="0" fontId="101" fillId="18" borderId="33" xfId="0" applyFont="1" applyFill="1" applyBorder="1" applyAlignment="1" applyProtection="1">
      <alignment horizontal="center" vertical="center"/>
      <protection hidden="1"/>
    </xf>
    <xf numFmtId="0" fontId="101" fillId="18" borderId="52" xfId="0" applyFont="1" applyFill="1" applyBorder="1" applyAlignment="1" applyProtection="1">
      <alignment horizontal="center" vertical="center"/>
      <protection hidden="1"/>
    </xf>
    <xf numFmtId="0" fontId="101" fillId="18" borderId="22" xfId="0" applyFont="1" applyFill="1" applyBorder="1" applyAlignment="1" applyProtection="1">
      <alignment horizontal="center" vertical="center"/>
      <protection hidden="1"/>
    </xf>
    <xf numFmtId="0" fontId="24" fillId="18" borderId="0" xfId="0" applyFont="1" applyFill="1" applyAlignment="1" applyProtection="1">
      <alignment horizontal="center" vertical="center" wrapText="1"/>
      <protection hidden="1"/>
    </xf>
    <xf numFmtId="0" fontId="27" fillId="18" borderId="39" xfId="0" applyFont="1" applyFill="1" applyBorder="1" applyAlignment="1" applyProtection="1">
      <alignment horizontal="center" vertical="center" wrapText="1"/>
      <protection hidden="1"/>
    </xf>
    <xf numFmtId="0" fontId="375" fillId="13" borderId="159" xfId="0" applyFont="1" applyFill="1" applyBorder="1" applyAlignment="1" applyProtection="1">
      <alignment horizontal="left" vertical="center"/>
      <protection hidden="1"/>
    </xf>
    <xf numFmtId="0" fontId="235" fillId="13" borderId="0" xfId="0" applyFont="1" applyFill="1" applyAlignment="1" applyProtection="1">
      <alignment horizontal="center" vertical="center"/>
      <protection hidden="1"/>
    </xf>
    <xf numFmtId="0" fontId="101" fillId="18" borderId="0" xfId="0" applyFont="1" applyFill="1" applyAlignment="1" applyProtection="1">
      <alignment horizontal="left" vertical="top"/>
      <protection locked="0"/>
    </xf>
    <xf numFmtId="0" fontId="248" fillId="0" borderId="32" xfId="0" applyFont="1" applyBorder="1" applyAlignment="1" applyProtection="1">
      <alignment horizontal="center" vertical="center"/>
      <protection locked="0"/>
    </xf>
    <xf numFmtId="0" fontId="248" fillId="0" borderId="132" xfId="0" applyFont="1" applyBorder="1" applyAlignment="1" applyProtection="1">
      <alignment horizontal="center" vertical="center"/>
      <protection locked="0"/>
    </xf>
    <xf numFmtId="180" fontId="248" fillId="0" borderId="32" xfId="0" applyNumberFormat="1" applyFont="1" applyBorder="1" applyAlignment="1" applyProtection="1">
      <alignment horizontal="center" vertical="center"/>
      <protection locked="0"/>
    </xf>
    <xf numFmtId="180" fontId="248" fillId="0" borderId="132" xfId="0" applyNumberFormat="1" applyFont="1" applyBorder="1" applyAlignment="1" applyProtection="1">
      <alignment horizontal="center" vertical="center"/>
      <protection locked="0"/>
    </xf>
    <xf numFmtId="181" fontId="248" fillId="0" borderId="353" xfId="0" applyNumberFormat="1" applyFont="1" applyBorder="1" applyAlignment="1" applyProtection="1">
      <alignment horizontal="center" vertical="center"/>
      <protection locked="0"/>
    </xf>
    <xf numFmtId="181" fontId="248" fillId="0" borderId="372" xfId="0" applyNumberFormat="1" applyFont="1" applyBorder="1" applyAlignment="1" applyProtection="1">
      <alignment horizontal="center" vertical="center"/>
      <protection locked="0"/>
    </xf>
    <xf numFmtId="181" fontId="248" fillId="0" borderId="373" xfId="0" applyNumberFormat="1" applyFont="1" applyBorder="1" applyAlignment="1" applyProtection="1">
      <alignment horizontal="center" vertical="center"/>
      <protection locked="0"/>
    </xf>
    <xf numFmtId="181" fontId="248" fillId="0" borderId="494" xfId="0" applyNumberFormat="1" applyFont="1" applyBorder="1" applyAlignment="1" applyProtection="1">
      <alignment horizontal="center" vertical="center"/>
      <protection locked="0"/>
    </xf>
    <xf numFmtId="181" fontId="248" fillId="0" borderId="495" xfId="0" applyNumberFormat="1" applyFont="1" applyBorder="1" applyAlignment="1" applyProtection="1">
      <alignment horizontal="center" vertical="center"/>
      <protection locked="0"/>
    </xf>
    <xf numFmtId="181" fontId="248" fillId="0" borderId="496" xfId="0" applyNumberFormat="1" applyFont="1" applyBorder="1" applyAlignment="1" applyProtection="1">
      <alignment horizontal="center" vertical="center"/>
      <protection locked="0"/>
    </xf>
    <xf numFmtId="2" fontId="75" fillId="0" borderId="353" xfId="0" applyNumberFormat="1" applyFont="1" applyBorder="1" applyAlignment="1" applyProtection="1">
      <alignment horizontal="right" vertical="center" indent="1"/>
      <protection hidden="1"/>
    </xf>
    <xf numFmtId="2" fontId="75" fillId="0" borderId="372" xfId="0" applyNumberFormat="1" applyFont="1" applyBorder="1" applyAlignment="1" applyProtection="1">
      <alignment horizontal="right" vertical="center" indent="1"/>
      <protection hidden="1"/>
    </xf>
    <xf numFmtId="2" fontId="75" fillId="0" borderId="373" xfId="0" applyNumberFormat="1" applyFont="1" applyBorder="1" applyAlignment="1" applyProtection="1">
      <alignment horizontal="right" vertical="center" indent="1"/>
      <protection hidden="1"/>
    </xf>
    <xf numFmtId="1" fontId="75" fillId="0" borderId="353" xfId="0" applyNumberFormat="1" applyFont="1" applyBorder="1" applyAlignment="1" applyProtection="1">
      <alignment horizontal="right" vertical="center" indent="1"/>
      <protection hidden="1"/>
    </xf>
    <xf numFmtId="1" fontId="75" fillId="0" borderId="372" xfId="0" applyNumberFormat="1" applyFont="1" applyBorder="1" applyAlignment="1" applyProtection="1">
      <alignment horizontal="right" vertical="center" indent="1"/>
      <protection hidden="1"/>
    </xf>
    <xf numFmtId="1" fontId="75" fillId="0" borderId="373" xfId="0" applyNumberFormat="1" applyFont="1" applyBorder="1" applyAlignment="1" applyProtection="1">
      <alignment horizontal="right" vertical="center" indent="1"/>
      <protection hidden="1"/>
    </xf>
    <xf numFmtId="0" fontId="694" fillId="4" borderId="0" xfId="0" applyFont="1" applyFill="1" applyAlignment="1" applyProtection="1">
      <alignment horizontal="center" vertical="center"/>
      <protection hidden="1"/>
    </xf>
    <xf numFmtId="0" fontId="694" fillId="4" borderId="85" xfId="0" applyFont="1" applyFill="1" applyBorder="1" applyAlignment="1" applyProtection="1">
      <alignment horizontal="center" vertical="center"/>
      <protection hidden="1"/>
    </xf>
    <xf numFmtId="0" fontId="621" fillId="19" borderId="119" xfId="0" applyFont="1" applyFill="1" applyBorder="1" applyAlignment="1" applyProtection="1">
      <alignment horizontal="right" vertical="center"/>
      <protection hidden="1"/>
    </xf>
    <xf numFmtId="0" fontId="621" fillId="19" borderId="120" xfId="0" applyFont="1" applyFill="1" applyBorder="1" applyAlignment="1" applyProtection="1">
      <alignment horizontal="right" vertical="center"/>
      <protection hidden="1"/>
    </xf>
    <xf numFmtId="1" fontId="18" fillId="19" borderId="120" xfId="0" applyNumberFormat="1" applyFont="1" applyFill="1" applyBorder="1" applyAlignment="1" applyProtection="1">
      <alignment horizontal="left" vertical="center"/>
      <protection hidden="1"/>
    </xf>
    <xf numFmtId="1" fontId="621" fillId="19" borderId="120" xfId="0" applyNumberFormat="1" applyFont="1" applyFill="1" applyBorder="1" applyAlignment="1" applyProtection="1">
      <alignment horizontal="left" vertical="center"/>
      <protection hidden="1"/>
    </xf>
    <xf numFmtId="1" fontId="621" fillId="19" borderId="121" xfId="0" applyNumberFormat="1" applyFont="1" applyFill="1" applyBorder="1" applyAlignment="1" applyProtection="1">
      <alignment horizontal="left" vertical="center"/>
      <protection hidden="1"/>
    </xf>
    <xf numFmtId="1" fontId="18" fillId="19" borderId="120" xfId="0" applyNumberFormat="1" applyFont="1" applyFill="1" applyBorder="1" applyAlignment="1" applyProtection="1">
      <alignment horizontal="right" vertical="center"/>
      <protection hidden="1"/>
    </xf>
    <xf numFmtId="0" fontId="27" fillId="0" borderId="89" xfId="0" applyFont="1" applyBorder="1" applyAlignment="1" applyProtection="1">
      <alignment horizontal="right"/>
      <protection hidden="1"/>
    </xf>
    <xf numFmtId="0" fontId="23" fillId="0" borderId="89" xfId="0" applyFont="1" applyBorder="1" applyAlignment="1" applyProtection="1">
      <alignment horizontal="left" indent="1"/>
      <protection locked="0"/>
    </xf>
    <xf numFmtId="0" fontId="420" fillId="18" borderId="35" xfId="0" applyFont="1" applyFill="1" applyBorder="1" applyAlignment="1" applyProtection="1">
      <alignment horizontal="right" vertical="center" wrapText="1"/>
      <protection hidden="1"/>
    </xf>
    <xf numFmtId="0" fontId="420" fillId="18" borderId="51" xfId="0" applyFont="1" applyFill="1" applyBorder="1" applyAlignment="1" applyProtection="1">
      <alignment horizontal="right" vertical="center" wrapText="1"/>
      <protection hidden="1"/>
    </xf>
    <xf numFmtId="0" fontId="420" fillId="18" borderId="33" xfId="0" applyFont="1" applyFill="1" applyBorder="1" applyAlignment="1" applyProtection="1">
      <alignment horizontal="right" vertical="center" wrapText="1"/>
      <protection hidden="1"/>
    </xf>
    <xf numFmtId="0" fontId="420" fillId="18" borderId="52" xfId="0" applyFont="1" applyFill="1" applyBorder="1" applyAlignment="1" applyProtection="1">
      <alignment horizontal="right" vertical="center" wrapText="1"/>
      <protection hidden="1"/>
    </xf>
    <xf numFmtId="0" fontId="27" fillId="18" borderId="105" xfId="0" applyFont="1" applyFill="1" applyBorder="1" applyAlignment="1" applyProtection="1">
      <alignment horizontal="left" wrapText="1"/>
      <protection locked="0"/>
    </xf>
    <xf numFmtId="0" fontId="89" fillId="18" borderId="51" xfId="0" applyFont="1" applyFill="1" applyBorder="1" applyAlignment="1" applyProtection="1">
      <alignment horizontal="left" vertical="center" wrapText="1" indent="1"/>
      <protection hidden="1"/>
    </xf>
    <xf numFmtId="0" fontId="89" fillId="18" borderId="34" xfId="0" applyFont="1" applyFill="1" applyBorder="1" applyAlignment="1" applyProtection="1">
      <alignment horizontal="left" vertical="center" wrapText="1" indent="1"/>
      <protection hidden="1"/>
    </xf>
    <xf numFmtId="0" fontId="89" fillId="18" borderId="52" xfId="0" applyFont="1" applyFill="1" applyBorder="1" applyAlignment="1" applyProtection="1">
      <alignment horizontal="left" vertical="center" wrapText="1" indent="1"/>
      <protection hidden="1"/>
    </xf>
    <xf numFmtId="0" fontId="89" fillId="18" borderId="22" xfId="0" applyFont="1" applyFill="1" applyBorder="1" applyAlignment="1" applyProtection="1">
      <alignment horizontal="left" vertical="center" wrapText="1" indent="1"/>
      <protection hidden="1"/>
    </xf>
    <xf numFmtId="0" fontId="23" fillId="0" borderId="109" xfId="0" applyFont="1" applyBorder="1" applyAlignment="1" applyProtection="1">
      <alignment horizontal="left" indent="1"/>
      <protection locked="0"/>
    </xf>
    <xf numFmtId="0" fontId="23" fillId="18" borderId="105" xfId="0" applyFont="1" applyFill="1" applyBorder="1" applyAlignment="1" applyProtection="1">
      <alignment horizontal="left" vertical="top" wrapText="1"/>
      <protection locked="0"/>
    </xf>
    <xf numFmtId="0" fontId="29" fillId="15" borderId="90" xfId="0" applyFont="1" applyFill="1" applyBorder="1" applyAlignment="1" applyProtection="1">
      <alignment horizontal="center" vertical="center" wrapText="1"/>
      <protection hidden="1"/>
    </xf>
    <xf numFmtId="0" fontId="29" fillId="15" borderId="91" xfId="0" applyFont="1" applyFill="1" applyBorder="1" applyAlignment="1" applyProtection="1">
      <alignment horizontal="center" vertical="center" wrapText="1"/>
      <protection hidden="1"/>
    </xf>
    <xf numFmtId="0" fontId="29" fillId="15" borderId="92" xfId="0" applyFont="1" applyFill="1" applyBorder="1" applyAlignment="1" applyProtection="1">
      <alignment horizontal="center" vertical="center" wrapText="1"/>
      <protection hidden="1"/>
    </xf>
    <xf numFmtId="0" fontId="29" fillId="15" borderId="86" xfId="0" applyFont="1" applyFill="1" applyBorder="1" applyAlignment="1" applyProtection="1">
      <alignment horizontal="center" vertical="center" wrapText="1"/>
      <protection hidden="1"/>
    </xf>
    <xf numFmtId="0" fontId="29" fillId="15" borderId="93" xfId="0" applyFont="1" applyFill="1" applyBorder="1" applyAlignment="1" applyProtection="1">
      <alignment horizontal="center" vertical="center" wrapText="1"/>
      <protection hidden="1"/>
    </xf>
    <xf numFmtId="0" fontId="29" fillId="15" borderId="88" xfId="0" applyFont="1" applyFill="1" applyBorder="1" applyAlignment="1" applyProtection="1">
      <alignment horizontal="center" vertical="center" wrapText="1"/>
      <protection hidden="1"/>
    </xf>
    <xf numFmtId="0" fontId="46" fillId="0" borderId="89" xfId="0" applyFont="1" applyBorder="1" applyAlignment="1" applyProtection="1">
      <alignment horizontal="right"/>
      <protection hidden="1"/>
    </xf>
    <xf numFmtId="0" fontId="159" fillId="0" borderId="89" xfId="0" applyFont="1" applyBorder="1" applyAlignment="1" applyProtection="1">
      <alignment horizontal="left"/>
      <protection locked="0"/>
    </xf>
    <xf numFmtId="0" fontId="141" fillId="0" borderId="89" xfId="0" applyFont="1" applyBorder="1" applyAlignment="1" applyProtection="1">
      <alignment horizontal="left"/>
      <protection locked="0"/>
    </xf>
    <xf numFmtId="0" fontId="133" fillId="0" borderId="89" xfId="0" applyFont="1" applyBorder="1" applyAlignment="1" applyProtection="1">
      <alignment horizontal="left"/>
      <protection locked="0"/>
    </xf>
    <xf numFmtId="0" fontId="68" fillId="0" borderId="0" xfId="0" applyFont="1" applyAlignment="1" applyProtection="1">
      <alignment horizontal="right"/>
      <protection hidden="1"/>
    </xf>
    <xf numFmtId="0" fontId="68" fillId="0" borderId="0" xfId="0" applyFont="1" applyAlignment="1" applyProtection="1">
      <alignment horizontal="left" indent="1"/>
      <protection hidden="1"/>
    </xf>
    <xf numFmtId="0" fontId="53" fillId="0" borderId="89" xfId="0" applyFont="1" applyBorder="1" applyAlignment="1" applyProtection="1">
      <alignment horizontal="right"/>
      <protection hidden="1"/>
    </xf>
    <xf numFmtId="0" fontId="52" fillId="0" borderId="89" xfId="0" applyFont="1" applyBorder="1" applyAlignment="1" applyProtection="1">
      <alignment horizontal="right"/>
      <protection hidden="1"/>
    </xf>
    <xf numFmtId="0" fontId="128" fillId="21" borderId="164" xfId="0" applyFont="1" applyFill="1" applyBorder="1" applyAlignment="1" applyProtection="1">
      <alignment horizontal="right" vertical="center"/>
      <protection hidden="1"/>
    </xf>
    <xf numFmtId="0" fontId="128" fillId="21" borderId="0" xfId="0" applyFont="1" applyFill="1" applyAlignment="1" applyProtection="1">
      <alignment horizontal="right" vertical="center"/>
      <protection hidden="1"/>
    </xf>
    <xf numFmtId="0" fontId="693" fillId="21" borderId="0" xfId="0" applyFont="1" applyFill="1" applyAlignment="1" applyProtection="1">
      <alignment horizontal="right" vertical="center"/>
      <protection hidden="1"/>
    </xf>
    <xf numFmtId="168" fontId="128" fillId="21" borderId="0" xfId="0" applyNumberFormat="1" applyFont="1" applyFill="1" applyAlignment="1" applyProtection="1">
      <alignment horizontal="right" vertical="center"/>
      <protection hidden="1"/>
    </xf>
    <xf numFmtId="0" fontId="123" fillId="4" borderId="0" xfId="0" applyFont="1" applyFill="1" applyAlignment="1" applyProtection="1">
      <alignment horizontal="right" vertical="center"/>
      <protection hidden="1"/>
    </xf>
    <xf numFmtId="168" fontId="123" fillId="4" borderId="0" xfId="0" applyNumberFormat="1" applyFont="1" applyFill="1" applyAlignment="1" applyProtection="1">
      <alignment horizontal="right" vertical="center"/>
      <protection hidden="1"/>
    </xf>
    <xf numFmtId="1" fontId="693" fillId="21" borderId="0" xfId="0" applyNumberFormat="1" applyFont="1" applyFill="1" applyAlignment="1" applyProtection="1">
      <alignment horizontal="right" vertical="center"/>
      <protection hidden="1"/>
    </xf>
    <xf numFmtId="0" fontId="75" fillId="0" borderId="137" xfId="0" applyFont="1" applyBorder="1" applyAlignment="1" applyProtection="1">
      <alignment horizontal="center" vertical="top" wrapText="1"/>
      <protection hidden="1"/>
    </xf>
    <xf numFmtId="0" fontId="75" fillId="0" borderId="145" xfId="0" applyFont="1" applyBorder="1" applyAlignment="1" applyProtection="1">
      <alignment horizontal="center" vertical="top" wrapText="1"/>
      <protection hidden="1"/>
    </xf>
    <xf numFmtId="0" fontId="75" fillId="0" borderId="136" xfId="0" applyFont="1" applyBorder="1" applyAlignment="1" applyProtection="1">
      <alignment horizontal="center" vertical="top" wrapText="1"/>
      <protection hidden="1"/>
    </xf>
    <xf numFmtId="168" fontId="74" fillId="0" borderId="0" xfId="0" applyNumberFormat="1" applyFont="1" applyAlignment="1" applyProtection="1">
      <alignment horizontal="center" vertical="center"/>
      <protection hidden="1"/>
    </xf>
    <xf numFmtId="0" fontId="143" fillId="0" borderId="89" xfId="0" applyFont="1" applyBorder="1" applyAlignment="1" applyProtection="1">
      <alignment horizontal="left"/>
      <protection locked="0"/>
    </xf>
    <xf numFmtId="0" fontId="49" fillId="0" borderId="89" xfId="0" applyFont="1" applyBorder="1" applyAlignment="1" applyProtection="1">
      <alignment horizontal="right"/>
      <protection hidden="1"/>
    </xf>
    <xf numFmtId="0" fontId="29" fillId="15" borderId="90" xfId="0" applyFont="1" applyFill="1" applyBorder="1" applyAlignment="1" applyProtection="1">
      <alignment horizontal="center" vertical="center"/>
      <protection hidden="1"/>
    </xf>
    <xf numFmtId="0" fontId="29" fillId="15" borderId="91" xfId="0" applyFont="1" applyFill="1" applyBorder="1" applyAlignment="1" applyProtection="1">
      <alignment horizontal="center" vertical="center"/>
      <protection hidden="1"/>
    </xf>
    <xf numFmtId="0" fontId="29" fillId="15" borderId="92" xfId="0" applyFont="1" applyFill="1" applyBorder="1" applyAlignment="1" applyProtection="1">
      <alignment horizontal="center" vertical="center"/>
      <protection hidden="1"/>
    </xf>
    <xf numFmtId="0" fontId="29" fillId="15" borderId="86" xfId="0" applyFont="1" applyFill="1" applyBorder="1" applyAlignment="1" applyProtection="1">
      <alignment horizontal="center" vertical="center"/>
      <protection hidden="1"/>
    </xf>
    <xf numFmtId="0" fontId="29" fillId="15" borderId="93" xfId="0" applyFont="1" applyFill="1" applyBorder="1" applyAlignment="1" applyProtection="1">
      <alignment horizontal="center" vertical="center"/>
      <protection hidden="1"/>
    </xf>
    <xf numFmtId="0" fontId="29" fillId="15" borderId="88" xfId="0" applyFont="1" applyFill="1" applyBorder="1" applyAlignment="1" applyProtection="1">
      <alignment horizontal="center" vertical="center"/>
      <protection hidden="1"/>
    </xf>
    <xf numFmtId="0" fontId="105" fillId="0" borderId="91" xfId="0" applyFont="1" applyBorder="1" applyAlignment="1" applyProtection="1">
      <alignment horizontal="right" vertical="center"/>
      <protection hidden="1"/>
    </xf>
    <xf numFmtId="0" fontId="105" fillId="0" borderId="93" xfId="0" applyFont="1" applyBorder="1" applyAlignment="1" applyProtection="1">
      <alignment horizontal="right" vertical="center"/>
      <protection hidden="1"/>
    </xf>
    <xf numFmtId="0" fontId="105" fillId="0" borderId="92" xfId="0" applyFont="1" applyBorder="1" applyAlignment="1" applyProtection="1">
      <alignment horizontal="left" vertical="center"/>
      <protection locked="0"/>
    </xf>
    <xf numFmtId="0" fontId="105" fillId="0" borderId="88" xfId="0" applyFont="1" applyBorder="1" applyAlignment="1" applyProtection="1">
      <alignment horizontal="left" vertical="center"/>
      <protection locked="0"/>
    </xf>
    <xf numFmtId="0" fontId="27" fillId="0" borderId="101" xfId="0" applyFont="1" applyBorder="1" applyAlignment="1" applyProtection="1">
      <alignment horizontal="left" wrapText="1"/>
      <protection locked="0"/>
    </xf>
    <xf numFmtId="0" fontId="23" fillId="0" borderId="102" xfId="0" quotePrefix="1" applyFont="1" applyBorder="1" applyAlignment="1" applyProtection="1">
      <alignment horizontal="right" vertical="top" wrapText="1" indent="1"/>
      <protection hidden="1"/>
    </xf>
    <xf numFmtId="0" fontId="23" fillId="0" borderId="102" xfId="0" applyFont="1" applyBorder="1" applyAlignment="1" applyProtection="1">
      <alignment horizontal="left" vertical="top" wrapText="1"/>
      <protection locked="0"/>
    </xf>
    <xf numFmtId="0" fontId="86" fillId="0" borderId="90" xfId="0" applyFont="1" applyBorder="1" applyAlignment="1" applyProtection="1">
      <alignment horizontal="right" vertical="center" wrapText="1"/>
      <protection hidden="1"/>
    </xf>
    <xf numFmtId="0" fontId="86" fillId="0" borderId="91" xfId="0" applyFont="1" applyBorder="1" applyAlignment="1" applyProtection="1">
      <alignment horizontal="right" vertical="center" wrapText="1"/>
      <protection hidden="1"/>
    </xf>
    <xf numFmtId="0" fontId="86" fillId="0" borderId="86" xfId="0" applyFont="1" applyBorder="1" applyAlignment="1" applyProtection="1">
      <alignment horizontal="right" vertical="center" wrapText="1"/>
      <protection hidden="1"/>
    </xf>
    <xf numFmtId="0" fontId="86" fillId="0" borderId="93" xfId="0" applyFont="1" applyBorder="1" applyAlignment="1" applyProtection="1">
      <alignment horizontal="right" vertical="center" wrapText="1"/>
      <protection hidden="1"/>
    </xf>
    <xf numFmtId="0" fontId="47" fillId="0" borderId="89" xfId="0" applyFont="1" applyBorder="1" applyAlignment="1" applyProtection="1">
      <alignment horizontal="right"/>
      <protection hidden="1"/>
    </xf>
    <xf numFmtId="0" fontId="18" fillId="4" borderId="0" xfId="0" applyFont="1" applyFill="1" applyAlignment="1" applyProtection="1">
      <alignment horizontal="center" vertical="top"/>
      <protection hidden="1"/>
    </xf>
    <xf numFmtId="0" fontId="48" fillId="0" borderId="89" xfId="0" applyFont="1" applyBorder="1" applyAlignment="1" applyProtection="1">
      <alignment horizontal="right"/>
      <protection hidden="1"/>
    </xf>
    <xf numFmtId="0" fontId="51" fillId="0" borderId="89" xfId="0" applyFont="1" applyBorder="1" applyAlignment="1" applyProtection="1">
      <alignment horizontal="right"/>
      <protection hidden="1"/>
    </xf>
    <xf numFmtId="0" fontId="407" fillId="21" borderId="94" xfId="0" applyFont="1" applyFill="1" applyBorder="1" applyAlignment="1" applyProtection="1">
      <alignment horizontal="center" vertical="center"/>
      <protection hidden="1"/>
    </xf>
    <xf numFmtId="0" fontId="407" fillId="21" borderId="95" xfId="0" applyFont="1" applyFill="1" applyBorder="1" applyAlignment="1" applyProtection="1">
      <alignment horizontal="center" vertical="center"/>
      <protection hidden="1"/>
    </xf>
    <xf numFmtId="0" fontId="407" fillId="21" borderId="96" xfId="0" applyFont="1" applyFill="1" applyBorder="1" applyAlignment="1" applyProtection="1">
      <alignment horizontal="center" vertical="center"/>
      <protection hidden="1"/>
    </xf>
    <xf numFmtId="0" fontId="148" fillId="14" borderId="105" xfId="0" applyFont="1" applyFill="1" applyBorder="1" applyAlignment="1" applyProtection="1">
      <alignment horizontal="center" vertical="center"/>
      <protection hidden="1"/>
    </xf>
    <xf numFmtId="0" fontId="148" fillId="14" borderId="132" xfId="0" applyFont="1" applyFill="1" applyBorder="1" applyAlignment="1" applyProtection="1">
      <alignment horizontal="center" vertical="center"/>
      <protection hidden="1"/>
    </xf>
    <xf numFmtId="0" fontId="148" fillId="14" borderId="361" xfId="0" applyFont="1" applyFill="1" applyBorder="1" applyAlignment="1" applyProtection="1">
      <alignment horizontal="center" vertical="center"/>
      <protection hidden="1"/>
    </xf>
    <xf numFmtId="1" fontId="391" fillId="15" borderId="93" xfId="0" applyNumberFormat="1" applyFont="1" applyFill="1" applyBorder="1" applyAlignment="1" applyProtection="1">
      <alignment horizontal="center"/>
      <protection hidden="1"/>
    </xf>
    <xf numFmtId="0" fontId="454" fillId="15" borderId="0" xfId="0" applyFont="1" applyFill="1" applyAlignment="1" applyProtection="1">
      <alignment horizontal="center" vertical="center"/>
      <protection hidden="1"/>
    </xf>
    <xf numFmtId="0" fontId="1" fillId="0" borderId="0" xfId="0" applyFont="1" applyAlignment="1" applyProtection="1">
      <alignment horizontal="center" vertical="top" textRotation="255" indent="1"/>
      <protection hidden="1"/>
    </xf>
    <xf numFmtId="0" fontId="113" fillId="0" borderId="51" xfId="0" applyFont="1" applyBorder="1" applyAlignment="1" applyProtection="1">
      <alignment horizontal="center" vertical="top" textRotation="255" indent="1"/>
      <protection hidden="1"/>
    </xf>
    <xf numFmtId="0" fontId="113" fillId="0" borderId="0" xfId="0" applyFont="1" applyAlignment="1" applyProtection="1">
      <alignment horizontal="center" vertical="top" textRotation="255" indent="1"/>
      <protection hidden="1"/>
    </xf>
    <xf numFmtId="0" fontId="694" fillId="4" borderId="84" xfId="0" applyFont="1" applyFill="1" applyBorder="1" applyAlignment="1" applyProtection="1">
      <alignment horizontal="center" vertical="center"/>
      <protection hidden="1"/>
    </xf>
    <xf numFmtId="0" fontId="300" fillId="4" borderId="12" xfId="0" applyFont="1" applyFill="1" applyBorder="1" applyAlignment="1" applyProtection="1">
      <alignment horizontal="center" vertical="top"/>
      <protection hidden="1"/>
    </xf>
    <xf numFmtId="0" fontId="300" fillId="4" borderId="0" xfId="0" applyFont="1" applyFill="1" applyAlignment="1" applyProtection="1">
      <alignment horizontal="center" vertical="top"/>
      <protection hidden="1"/>
    </xf>
    <xf numFmtId="0" fontId="58" fillId="8" borderId="21" xfId="0" applyFont="1" applyFill="1" applyBorder="1" applyAlignment="1" applyProtection="1">
      <alignment horizontal="center" vertical="center"/>
      <protection hidden="1"/>
    </xf>
    <xf numFmtId="0" fontId="88" fillId="3" borderId="97" xfId="0" applyFont="1" applyFill="1" applyBorder="1" applyAlignment="1" applyProtection="1">
      <alignment horizontal="center" textRotation="255"/>
      <protection hidden="1"/>
    </xf>
    <xf numFmtId="0" fontId="88" fillId="3" borderId="98" xfId="0" applyFont="1" applyFill="1" applyBorder="1" applyAlignment="1" applyProtection="1">
      <alignment horizontal="center" textRotation="255"/>
      <protection hidden="1"/>
    </xf>
    <xf numFmtId="0" fontId="88" fillId="3" borderId="98" xfId="0" applyFont="1" applyFill="1" applyBorder="1" applyAlignment="1" applyProtection="1">
      <alignment horizontal="center" vertical="center" textRotation="255"/>
      <protection hidden="1"/>
    </xf>
    <xf numFmtId="0" fontId="58" fillId="6" borderId="21" xfId="0" applyFont="1" applyFill="1" applyBorder="1" applyAlignment="1" applyProtection="1">
      <alignment horizontal="center" vertical="center"/>
      <protection hidden="1"/>
    </xf>
    <xf numFmtId="0" fontId="69" fillId="4" borderId="93" xfId="0" applyFont="1" applyFill="1" applyBorder="1" applyAlignment="1" applyProtection="1">
      <alignment horizontal="center"/>
      <protection hidden="1"/>
    </xf>
    <xf numFmtId="168" fontId="456" fillId="15" borderId="91" xfId="0" applyNumberFormat="1" applyFont="1" applyFill="1" applyBorder="1" applyAlignment="1" applyProtection="1">
      <alignment horizontal="center" vertical="top"/>
      <protection hidden="1"/>
    </xf>
    <xf numFmtId="1" fontId="74" fillId="18" borderId="100" xfId="0" applyNumberFormat="1" applyFont="1" applyFill="1" applyBorder="1" applyAlignment="1" applyProtection="1">
      <alignment horizontal="left"/>
      <protection hidden="1"/>
    </xf>
    <xf numFmtId="0" fontId="391" fillId="15" borderId="93" xfId="0" applyFont="1" applyFill="1" applyBorder="1" applyAlignment="1" applyProtection="1">
      <alignment horizontal="center"/>
      <protection hidden="1"/>
    </xf>
    <xf numFmtId="1" fontId="322" fillId="12" borderId="351" xfId="0" applyNumberFormat="1" applyFont="1" applyFill="1" applyBorder="1" applyAlignment="1" applyProtection="1">
      <alignment horizontal="center" vertical="top" textRotation="255" indent="1"/>
      <protection hidden="1"/>
    </xf>
    <xf numFmtId="1" fontId="322" fillId="12" borderId="392" xfId="0" applyNumberFormat="1" applyFont="1" applyFill="1" applyBorder="1" applyAlignment="1" applyProtection="1">
      <alignment horizontal="center" vertical="top" textRotation="255" indent="1"/>
      <protection hidden="1"/>
    </xf>
    <xf numFmtId="1" fontId="322" fillId="12" borderId="296" xfId="0" applyNumberFormat="1" applyFont="1" applyFill="1" applyBorder="1" applyAlignment="1" applyProtection="1">
      <alignment horizontal="center" vertical="top" textRotation="255" indent="1"/>
      <protection hidden="1"/>
    </xf>
    <xf numFmtId="0" fontId="54" fillId="0" borderId="89" xfId="0" applyFont="1" applyBorder="1" applyAlignment="1" applyProtection="1">
      <alignment horizontal="right"/>
      <protection hidden="1"/>
    </xf>
    <xf numFmtId="0" fontId="50" fillId="0" borderId="89" xfId="0" applyFont="1" applyBorder="1" applyAlignment="1" applyProtection="1">
      <alignment horizontal="right"/>
      <protection hidden="1"/>
    </xf>
    <xf numFmtId="0" fontId="144" fillId="0" borderId="89" xfId="0" applyFont="1" applyBorder="1" applyAlignment="1" applyProtection="1">
      <alignment horizontal="left"/>
      <protection locked="0"/>
    </xf>
    <xf numFmtId="0" fontId="142" fillId="0" borderId="89" xfId="0" applyFont="1" applyBorder="1" applyAlignment="1" applyProtection="1">
      <alignment horizontal="left"/>
      <protection locked="0"/>
    </xf>
    <xf numFmtId="0" fontId="160" fillId="0" borderId="89" xfId="0" applyFont="1" applyBorder="1" applyAlignment="1" applyProtection="1">
      <alignment horizontal="left"/>
      <protection locked="0"/>
    </xf>
    <xf numFmtId="0" fontId="139" fillId="0" borderId="89" xfId="0" applyFont="1" applyBorder="1" applyAlignment="1" applyProtection="1">
      <alignment horizontal="left"/>
      <protection locked="0"/>
    </xf>
    <xf numFmtId="1" fontId="322" fillId="2" borderId="351" xfId="0" applyNumberFormat="1" applyFont="1" applyFill="1" applyBorder="1" applyAlignment="1" applyProtection="1">
      <alignment horizontal="center" vertical="top" textRotation="255" indent="1"/>
      <protection hidden="1"/>
    </xf>
    <xf numFmtId="1" fontId="322" fillId="2" borderId="392" xfId="0" applyNumberFormat="1" applyFont="1" applyFill="1" applyBorder="1" applyAlignment="1" applyProtection="1">
      <alignment horizontal="center" vertical="top" textRotation="255" indent="1"/>
      <protection hidden="1"/>
    </xf>
    <xf numFmtId="1" fontId="322" fillId="2" borderId="296" xfId="0" applyNumberFormat="1" applyFont="1" applyFill="1" applyBorder="1" applyAlignment="1" applyProtection="1">
      <alignment horizontal="center" vertical="top" textRotation="255" indent="1"/>
      <protection hidden="1"/>
    </xf>
    <xf numFmtId="1" fontId="322" fillId="8" borderId="351" xfId="0" applyNumberFormat="1" applyFont="1" applyFill="1" applyBorder="1" applyAlignment="1" applyProtection="1">
      <alignment horizontal="center" vertical="top" textRotation="255" indent="1"/>
      <protection hidden="1"/>
    </xf>
    <xf numFmtId="1" fontId="322" fillId="8" borderId="392" xfId="0" applyNumberFormat="1" applyFont="1" applyFill="1" applyBorder="1" applyAlignment="1" applyProtection="1">
      <alignment horizontal="center" vertical="top" textRotation="255" indent="1"/>
      <protection hidden="1"/>
    </xf>
    <xf numFmtId="1" fontId="322" fillId="8" borderId="296" xfId="0" applyNumberFormat="1" applyFont="1" applyFill="1" applyBorder="1" applyAlignment="1" applyProtection="1">
      <alignment horizontal="center" vertical="top" textRotation="255" indent="1"/>
      <protection hidden="1"/>
    </xf>
    <xf numFmtId="1" fontId="322" fillId="7" borderId="351" xfId="0" applyNumberFormat="1" applyFont="1" applyFill="1" applyBorder="1" applyAlignment="1" applyProtection="1">
      <alignment horizontal="center" vertical="top" textRotation="255" indent="1"/>
      <protection hidden="1"/>
    </xf>
    <xf numFmtId="1" fontId="322" fillId="7" borderId="392" xfId="0" applyNumberFormat="1" applyFont="1" applyFill="1" applyBorder="1" applyAlignment="1" applyProtection="1">
      <alignment horizontal="center" vertical="top" textRotation="255" indent="1"/>
      <protection hidden="1"/>
    </xf>
    <xf numFmtId="1" fontId="322" fillId="7" borderId="296" xfId="0" applyNumberFormat="1" applyFont="1" applyFill="1" applyBorder="1" applyAlignment="1" applyProtection="1">
      <alignment horizontal="center" vertical="top" textRotation="255" indent="1"/>
      <protection hidden="1"/>
    </xf>
    <xf numFmtId="1" fontId="322" fillId="6" borderId="351" xfId="0" applyNumberFormat="1" applyFont="1" applyFill="1" applyBorder="1" applyAlignment="1" applyProtection="1">
      <alignment horizontal="center" vertical="top" textRotation="255" indent="1"/>
      <protection hidden="1"/>
    </xf>
    <xf numFmtId="1" fontId="322" fillId="6" borderId="392" xfId="0" applyNumberFormat="1" applyFont="1" applyFill="1" applyBorder="1" applyAlignment="1" applyProtection="1">
      <alignment horizontal="center" vertical="top" textRotation="255" indent="1"/>
      <protection hidden="1"/>
    </xf>
    <xf numFmtId="1" fontId="322" fillId="6" borderId="296" xfId="0" applyNumberFormat="1" applyFont="1" applyFill="1" applyBorder="1" applyAlignment="1" applyProtection="1">
      <alignment horizontal="center" vertical="top" textRotation="255" indent="1"/>
      <protection hidden="1"/>
    </xf>
    <xf numFmtId="0" fontId="68" fillId="0" borderId="0" xfId="0" applyFont="1" applyAlignment="1" applyProtection="1">
      <alignment horizontal="right" indent="1"/>
      <protection hidden="1"/>
    </xf>
    <xf numFmtId="0" fontId="68" fillId="0" borderId="0" xfId="0" applyFont="1" applyAlignment="1" applyProtection="1">
      <alignment horizontal="left"/>
      <protection hidden="1"/>
    </xf>
    <xf numFmtId="0" fontId="248" fillId="0" borderId="137" xfId="0" applyFont="1" applyBorder="1" applyAlignment="1" applyProtection="1">
      <alignment horizontal="center" wrapText="1"/>
      <protection hidden="1"/>
    </xf>
    <xf numFmtId="0" fontId="248" fillId="0" borderId="145" xfId="0" applyFont="1" applyBorder="1" applyAlignment="1" applyProtection="1">
      <alignment horizontal="center" wrapText="1"/>
      <protection hidden="1"/>
    </xf>
    <xf numFmtId="0" fontId="248" fillId="0" borderId="136" xfId="0" applyFont="1" applyBorder="1" applyAlignment="1" applyProtection="1">
      <alignment horizontal="center" wrapText="1"/>
      <protection hidden="1"/>
    </xf>
    <xf numFmtId="1" fontId="322" fillId="11" borderId="351" xfId="0" applyNumberFormat="1" applyFont="1" applyFill="1" applyBorder="1" applyAlignment="1" applyProtection="1">
      <alignment horizontal="center" vertical="top" textRotation="255" indent="1"/>
      <protection hidden="1"/>
    </xf>
    <xf numFmtId="1" fontId="322" fillId="11" borderId="392" xfId="0" applyNumberFormat="1" applyFont="1" applyFill="1" applyBorder="1" applyAlignment="1" applyProtection="1">
      <alignment horizontal="center" vertical="top" textRotation="255" indent="1"/>
      <protection hidden="1"/>
    </xf>
    <xf numFmtId="1" fontId="322" fillId="11" borderId="296" xfId="0" applyNumberFormat="1" applyFont="1" applyFill="1" applyBorder="1" applyAlignment="1" applyProtection="1">
      <alignment horizontal="center" vertical="top" textRotation="255" indent="1"/>
      <protection hidden="1"/>
    </xf>
    <xf numFmtId="1" fontId="322" fillId="10" borderId="351" xfId="0" applyNumberFormat="1" applyFont="1" applyFill="1" applyBorder="1" applyAlignment="1" applyProtection="1">
      <alignment horizontal="center" vertical="top" textRotation="255" indent="1"/>
      <protection hidden="1"/>
    </xf>
    <xf numFmtId="1" fontId="322" fillId="10" borderId="392" xfId="0" applyNumberFormat="1" applyFont="1" applyFill="1" applyBorder="1" applyAlignment="1" applyProtection="1">
      <alignment horizontal="center" vertical="top" textRotation="255" indent="1"/>
      <protection hidden="1"/>
    </xf>
    <xf numFmtId="1" fontId="322" fillId="10" borderId="296" xfId="0" applyNumberFormat="1" applyFont="1" applyFill="1" applyBorder="1" applyAlignment="1" applyProtection="1">
      <alignment horizontal="center" vertical="top" textRotation="255" indent="1"/>
      <protection hidden="1"/>
    </xf>
    <xf numFmtId="0" fontId="68" fillId="0" borderId="0" xfId="0" applyFont="1" applyAlignment="1" applyProtection="1">
      <alignment horizontal="center"/>
      <protection hidden="1"/>
    </xf>
    <xf numFmtId="0" fontId="38" fillId="0" borderId="0" xfId="0" applyFont="1" applyAlignment="1" applyProtection="1">
      <alignment horizontal="center" vertical="center"/>
      <protection hidden="1"/>
    </xf>
    <xf numFmtId="0" fontId="62" fillId="18" borderId="35" xfId="0" applyFont="1" applyFill="1" applyBorder="1" applyAlignment="1" applyProtection="1">
      <alignment horizontal="center" vertical="center" wrapText="1"/>
      <protection hidden="1"/>
    </xf>
    <xf numFmtId="0" fontId="62" fillId="18" borderId="51" xfId="0" applyFont="1" applyFill="1" applyBorder="1" applyAlignment="1" applyProtection="1">
      <alignment horizontal="center" vertical="center" wrapText="1"/>
      <protection hidden="1"/>
    </xf>
    <xf numFmtId="0" fontId="62" fillId="18" borderId="34" xfId="0" applyFont="1" applyFill="1" applyBorder="1" applyAlignment="1" applyProtection="1">
      <alignment horizontal="center" vertical="center" wrapText="1"/>
      <protection hidden="1"/>
    </xf>
    <xf numFmtId="0" fontId="62" fillId="18" borderId="33" xfId="0" applyFont="1" applyFill="1" applyBorder="1" applyAlignment="1" applyProtection="1">
      <alignment horizontal="center" vertical="center" wrapText="1"/>
      <protection hidden="1"/>
    </xf>
    <xf numFmtId="0" fontId="62" fillId="18" borderId="52" xfId="0" applyFont="1" applyFill="1" applyBorder="1" applyAlignment="1" applyProtection="1">
      <alignment horizontal="center" vertical="center" wrapText="1"/>
      <protection hidden="1"/>
    </xf>
    <xf numFmtId="0" fontId="62" fillId="18" borderId="22" xfId="0" applyFont="1" applyFill="1" applyBorder="1" applyAlignment="1" applyProtection="1">
      <alignment horizontal="center" vertical="center" wrapText="1"/>
      <protection hidden="1"/>
    </xf>
    <xf numFmtId="0" fontId="719" fillId="0" borderId="51" xfId="0" applyFont="1" applyBorder="1" applyAlignment="1" applyProtection="1">
      <alignment horizontal="center" vertical="center"/>
      <protection hidden="1"/>
    </xf>
    <xf numFmtId="0" fontId="719" fillId="0" borderId="0" xfId="0" applyFont="1" applyAlignment="1" applyProtection="1">
      <alignment horizontal="center" vertical="center"/>
      <protection hidden="1"/>
    </xf>
    <xf numFmtId="0" fontId="81" fillId="19" borderId="38" xfId="0" applyFont="1" applyFill="1" applyBorder="1" applyAlignment="1" applyProtection="1">
      <alignment horizontal="center" textRotation="255" wrapText="1"/>
      <protection hidden="1"/>
    </xf>
    <xf numFmtId="0" fontId="13" fillId="19" borderId="38" xfId="0" applyFont="1" applyFill="1" applyBorder="1" applyAlignment="1" applyProtection="1">
      <alignment horizontal="center" vertical="top" textRotation="255" wrapText="1"/>
      <protection hidden="1"/>
    </xf>
    <xf numFmtId="0" fontId="2" fillId="19" borderId="140" xfId="0" applyFont="1" applyFill="1" applyBorder="1" applyAlignment="1" applyProtection="1">
      <alignment horizontal="center" vertical="top" textRotation="255" wrapText="1"/>
      <protection hidden="1"/>
    </xf>
    <xf numFmtId="0" fontId="2" fillId="19" borderId="141" xfId="0" applyFont="1" applyFill="1" applyBorder="1" applyAlignment="1" applyProtection="1">
      <alignment horizontal="center" vertical="top" textRotation="255" wrapText="1"/>
      <protection hidden="1"/>
    </xf>
    <xf numFmtId="0" fontId="2" fillId="19" borderId="142" xfId="0" applyFont="1" applyFill="1" applyBorder="1" applyAlignment="1" applyProtection="1">
      <alignment horizontal="center" vertical="top" textRotation="255" wrapText="1"/>
      <protection hidden="1"/>
    </xf>
    <xf numFmtId="0" fontId="12" fillId="19" borderId="140" xfId="0" applyFont="1" applyFill="1" applyBorder="1" applyAlignment="1" applyProtection="1">
      <alignment horizontal="center" vertical="top" textRotation="255" wrapText="1"/>
      <protection hidden="1"/>
    </xf>
    <xf numFmtId="0" fontId="12" fillId="19" borderId="141" xfId="0" applyFont="1" applyFill="1" applyBorder="1" applyAlignment="1" applyProtection="1">
      <alignment horizontal="center" vertical="top" textRotation="255" wrapText="1"/>
      <protection hidden="1"/>
    </xf>
    <xf numFmtId="0" fontId="12" fillId="19" borderId="142" xfId="0" applyFont="1" applyFill="1" applyBorder="1" applyAlignment="1" applyProtection="1">
      <alignment horizontal="center" vertical="top" textRotation="255" wrapText="1"/>
      <protection hidden="1"/>
    </xf>
    <xf numFmtId="0" fontId="9" fillId="19" borderId="140" xfId="0" applyFont="1" applyFill="1" applyBorder="1" applyAlignment="1" applyProtection="1">
      <alignment horizontal="center" vertical="top" textRotation="255" wrapText="1"/>
      <protection hidden="1"/>
    </xf>
    <xf numFmtId="0" fontId="9" fillId="19" borderId="141" xfId="0" applyFont="1" applyFill="1" applyBorder="1" applyAlignment="1" applyProtection="1">
      <alignment horizontal="center" vertical="top" textRotation="255" wrapText="1"/>
      <protection hidden="1"/>
    </xf>
    <xf numFmtId="0" fontId="9" fillId="19" borderId="142" xfId="0" applyFont="1" applyFill="1" applyBorder="1" applyAlignment="1" applyProtection="1">
      <alignment horizontal="center" vertical="top" textRotation="255" wrapText="1"/>
      <protection hidden="1"/>
    </xf>
    <xf numFmtId="0" fontId="8" fillId="19" borderId="140" xfId="0" applyFont="1" applyFill="1" applyBorder="1" applyAlignment="1" applyProtection="1">
      <alignment horizontal="center" vertical="top" textRotation="255" wrapText="1"/>
      <protection hidden="1"/>
    </xf>
    <xf numFmtId="0" fontId="8" fillId="19" borderId="141" xfId="0" applyFont="1" applyFill="1" applyBorder="1" applyAlignment="1" applyProtection="1">
      <alignment horizontal="center" vertical="top" textRotation="255" wrapText="1"/>
      <protection hidden="1"/>
    </xf>
    <xf numFmtId="0" fontId="8" fillId="19" borderId="142" xfId="0" applyFont="1" applyFill="1" applyBorder="1" applyAlignment="1" applyProtection="1">
      <alignment horizontal="center" vertical="top" textRotation="255" wrapText="1"/>
      <protection hidden="1"/>
    </xf>
    <xf numFmtId="0" fontId="4" fillId="19" borderId="140" xfId="0" applyFont="1" applyFill="1" applyBorder="1" applyAlignment="1" applyProtection="1">
      <alignment horizontal="center" vertical="top" textRotation="255" wrapText="1"/>
      <protection hidden="1"/>
    </xf>
    <xf numFmtId="0" fontId="4" fillId="19" borderId="141" xfId="0" applyFont="1" applyFill="1" applyBorder="1" applyAlignment="1" applyProtection="1">
      <alignment horizontal="center" vertical="top" textRotation="255" wrapText="1"/>
      <protection hidden="1"/>
    </xf>
    <xf numFmtId="0" fontId="4" fillId="19" borderId="142" xfId="0" applyFont="1" applyFill="1" applyBorder="1" applyAlignment="1" applyProtection="1">
      <alignment horizontal="center" vertical="top" textRotation="255" wrapText="1"/>
      <protection hidden="1"/>
    </xf>
    <xf numFmtId="0" fontId="3" fillId="19" borderId="140" xfId="0" applyFont="1" applyFill="1" applyBorder="1" applyAlignment="1" applyProtection="1">
      <alignment horizontal="center" vertical="top" textRotation="255" wrapText="1"/>
      <protection hidden="1"/>
    </xf>
    <xf numFmtId="0" fontId="3" fillId="19" borderId="141" xfId="0" applyFont="1" applyFill="1" applyBorder="1" applyAlignment="1" applyProtection="1">
      <alignment horizontal="center" vertical="top" textRotation="255" wrapText="1"/>
      <protection hidden="1"/>
    </xf>
    <xf numFmtId="0" fontId="3" fillId="19" borderId="142" xfId="0" applyFont="1" applyFill="1" applyBorder="1" applyAlignment="1" applyProtection="1">
      <alignment horizontal="center" vertical="top" textRotation="255" wrapText="1"/>
      <protection hidden="1"/>
    </xf>
    <xf numFmtId="0" fontId="11" fillId="19" borderId="140" xfId="0" applyFont="1" applyFill="1" applyBorder="1" applyAlignment="1" applyProtection="1">
      <alignment horizontal="center" vertical="top" textRotation="255" wrapText="1"/>
      <protection hidden="1"/>
    </xf>
    <xf numFmtId="0" fontId="11" fillId="19" borderId="141" xfId="0" applyFont="1" applyFill="1" applyBorder="1" applyAlignment="1" applyProtection="1">
      <alignment horizontal="center" vertical="top" textRotation="255" wrapText="1"/>
      <protection hidden="1"/>
    </xf>
    <xf numFmtId="0" fontId="11" fillId="19" borderId="142" xfId="0" applyFont="1" applyFill="1" applyBorder="1" applyAlignment="1" applyProtection="1">
      <alignment horizontal="center" vertical="top" textRotation="255" wrapText="1"/>
      <protection hidden="1"/>
    </xf>
    <xf numFmtId="0" fontId="10" fillId="19" borderId="140" xfId="0" applyFont="1" applyFill="1" applyBorder="1" applyAlignment="1" applyProtection="1">
      <alignment horizontal="center" vertical="top" textRotation="255" wrapText="1"/>
      <protection hidden="1"/>
    </xf>
    <xf numFmtId="0" fontId="10" fillId="19" borderId="141" xfId="0" applyFont="1" applyFill="1" applyBorder="1" applyAlignment="1" applyProtection="1">
      <alignment horizontal="center" vertical="top" textRotation="255" wrapText="1"/>
      <protection hidden="1"/>
    </xf>
    <xf numFmtId="0" fontId="10" fillId="19" borderId="142" xfId="0" applyFont="1" applyFill="1" applyBorder="1" applyAlignment="1" applyProtection="1">
      <alignment horizontal="center" vertical="top" textRotation="255" wrapText="1"/>
      <protection hidden="1"/>
    </xf>
    <xf numFmtId="1" fontId="322" fillId="9" borderId="351" xfId="0" applyNumberFormat="1" applyFont="1" applyFill="1" applyBorder="1" applyAlignment="1" applyProtection="1">
      <alignment horizontal="center" vertical="top" textRotation="255" indent="1"/>
      <protection hidden="1"/>
    </xf>
    <xf numFmtId="1" fontId="322" fillId="9" borderId="392" xfId="0" applyNumberFormat="1" applyFont="1" applyFill="1" applyBorder="1" applyAlignment="1" applyProtection="1">
      <alignment horizontal="center" vertical="top" textRotation="255" indent="1"/>
      <protection hidden="1"/>
    </xf>
    <xf numFmtId="1" fontId="322" fillId="9" borderId="296" xfId="0" applyNumberFormat="1" applyFont="1" applyFill="1" applyBorder="1" applyAlignment="1" applyProtection="1">
      <alignment horizontal="center" vertical="top" textRotation="255" indent="1"/>
      <protection hidden="1"/>
    </xf>
    <xf numFmtId="0" fontId="101" fillId="0" borderId="0" xfId="0" applyFont="1" applyAlignment="1" applyProtection="1">
      <alignment horizontal="right" vertical="top" wrapText="1"/>
      <protection hidden="1"/>
    </xf>
    <xf numFmtId="1" fontId="322" fillId="5" borderId="351" xfId="0" applyNumberFormat="1" applyFont="1" applyFill="1" applyBorder="1" applyAlignment="1" applyProtection="1">
      <alignment horizontal="center" vertical="top" textRotation="255" indent="1"/>
      <protection hidden="1"/>
    </xf>
    <xf numFmtId="1" fontId="322" fillId="5" borderId="392" xfId="0" applyNumberFormat="1" applyFont="1" applyFill="1" applyBorder="1" applyAlignment="1" applyProtection="1">
      <alignment horizontal="center" vertical="top" textRotation="255" indent="1"/>
      <protection hidden="1"/>
    </xf>
    <xf numFmtId="1" fontId="322" fillId="5" borderId="296" xfId="0" applyNumberFormat="1" applyFont="1" applyFill="1" applyBorder="1" applyAlignment="1" applyProtection="1">
      <alignment horizontal="center" vertical="top" textRotation="255" indent="1"/>
      <protection hidden="1"/>
    </xf>
    <xf numFmtId="0" fontId="149" fillId="0" borderId="0" xfId="0" applyFont="1" applyAlignment="1" applyProtection="1">
      <alignment horizontal="right"/>
      <protection hidden="1"/>
    </xf>
    <xf numFmtId="0" fontId="44" fillId="4" borderId="0" xfId="0" applyFont="1" applyFill="1" applyAlignment="1" applyProtection="1">
      <alignment horizontal="center"/>
      <protection hidden="1"/>
    </xf>
    <xf numFmtId="0" fontId="58" fillId="2" borderId="21" xfId="0" applyFont="1" applyFill="1" applyBorder="1" applyAlignment="1" applyProtection="1">
      <alignment horizontal="center" vertical="center"/>
      <protection hidden="1"/>
    </xf>
    <xf numFmtId="0" fontId="58" fillId="5" borderId="21" xfId="0" applyFont="1" applyFill="1" applyBorder="1" applyAlignment="1" applyProtection="1">
      <alignment horizontal="center" vertical="center"/>
      <protection hidden="1"/>
    </xf>
    <xf numFmtId="0" fontId="58" fillId="12" borderId="21" xfId="0" applyFont="1" applyFill="1" applyBorder="1" applyAlignment="1" applyProtection="1">
      <alignment horizontal="center" vertical="center"/>
      <protection hidden="1"/>
    </xf>
    <xf numFmtId="0" fontId="58" fillId="9" borderId="21" xfId="0" applyFont="1" applyFill="1" applyBorder="1" applyAlignment="1" applyProtection="1">
      <alignment horizontal="center" vertical="center"/>
      <protection hidden="1"/>
    </xf>
    <xf numFmtId="0" fontId="58" fillId="7" borderId="21" xfId="0" applyFont="1" applyFill="1" applyBorder="1" applyAlignment="1" applyProtection="1">
      <alignment horizontal="center" vertical="center"/>
      <protection hidden="1"/>
    </xf>
    <xf numFmtId="0" fontId="58" fillId="10" borderId="21" xfId="0" applyFont="1" applyFill="1" applyBorder="1" applyAlignment="1" applyProtection="1">
      <alignment horizontal="center" vertical="center"/>
      <protection hidden="1"/>
    </xf>
    <xf numFmtId="0" fontId="58" fillId="11" borderId="21" xfId="0" applyFont="1" applyFill="1" applyBorder="1" applyAlignment="1" applyProtection="1">
      <alignment horizontal="center" vertical="center"/>
      <protection hidden="1"/>
    </xf>
    <xf numFmtId="0" fontId="88" fillId="3" borderId="98" xfId="0" applyFont="1" applyFill="1" applyBorder="1" applyAlignment="1" applyProtection="1">
      <alignment horizontal="center" vertical="top" textRotation="255"/>
      <protection hidden="1"/>
    </xf>
    <xf numFmtId="0" fontId="88" fillId="3" borderId="99" xfId="0" applyFont="1" applyFill="1" applyBorder="1" applyAlignment="1" applyProtection="1">
      <alignment horizontal="center" vertical="top" textRotation="255"/>
      <protection hidden="1"/>
    </xf>
    <xf numFmtId="0" fontId="140" fillId="0" borderId="89" xfId="0" applyFont="1" applyBorder="1" applyAlignment="1" applyProtection="1">
      <alignment horizontal="left"/>
      <protection locked="0"/>
    </xf>
    <xf numFmtId="1" fontId="125" fillId="4" borderId="0" xfId="0" applyNumberFormat="1" applyFont="1" applyFill="1" applyAlignment="1" applyProtection="1">
      <alignment horizontal="right" vertical="center"/>
      <protection hidden="1"/>
    </xf>
    <xf numFmtId="0" fontId="90" fillId="4" borderId="0" xfId="0" applyFont="1" applyFill="1" applyAlignment="1" applyProtection="1">
      <alignment horizontal="center" vertical="center"/>
      <protection hidden="1"/>
    </xf>
    <xf numFmtId="0" fontId="422" fillId="0" borderId="51" xfId="0" applyFont="1" applyBorder="1" applyAlignment="1" applyProtection="1">
      <alignment horizontal="center" vertical="center"/>
      <protection hidden="1"/>
    </xf>
    <xf numFmtId="0" fontId="422" fillId="0" borderId="0" xfId="0" applyFont="1" applyAlignment="1" applyProtection="1">
      <alignment horizontal="center" vertical="center"/>
      <protection hidden="1"/>
    </xf>
    <xf numFmtId="1" fontId="97" fillId="5" borderId="351" xfId="0" applyNumberFormat="1" applyFont="1" applyFill="1" applyBorder="1" applyAlignment="1" applyProtection="1">
      <alignment horizontal="center" vertical="top" textRotation="255" indent="1"/>
      <protection hidden="1"/>
    </xf>
    <xf numFmtId="1" fontId="97" fillId="5" borderId="392" xfId="0" applyNumberFormat="1" applyFont="1" applyFill="1" applyBorder="1" applyAlignment="1" applyProtection="1">
      <alignment horizontal="center" vertical="top" textRotation="255" indent="1"/>
      <protection hidden="1"/>
    </xf>
    <xf numFmtId="1" fontId="97" fillId="5" borderId="296" xfId="0" applyNumberFormat="1" applyFont="1" applyFill="1" applyBorder="1" applyAlignment="1" applyProtection="1">
      <alignment horizontal="center" vertical="top" textRotation="255" indent="1"/>
      <protection hidden="1"/>
    </xf>
    <xf numFmtId="1" fontId="97" fillId="6" borderId="351" xfId="0" applyNumberFormat="1" applyFont="1" applyFill="1" applyBorder="1" applyAlignment="1" applyProtection="1">
      <alignment horizontal="center" vertical="top" textRotation="255" indent="1"/>
      <protection hidden="1"/>
    </xf>
    <xf numFmtId="1" fontId="97" fillId="6" borderId="392" xfId="0" applyNumberFormat="1" applyFont="1" applyFill="1" applyBorder="1" applyAlignment="1" applyProtection="1">
      <alignment horizontal="center" vertical="top" textRotation="255" indent="1"/>
      <protection hidden="1"/>
    </xf>
    <xf numFmtId="1" fontId="97" fillId="6" borderId="296" xfId="0" applyNumberFormat="1" applyFont="1" applyFill="1" applyBorder="1" applyAlignment="1" applyProtection="1">
      <alignment horizontal="center" vertical="top" textRotation="255" indent="1"/>
      <protection hidden="1"/>
    </xf>
    <xf numFmtId="1" fontId="97" fillId="7" borderId="351" xfId="0" applyNumberFormat="1" applyFont="1" applyFill="1" applyBorder="1" applyAlignment="1" applyProtection="1">
      <alignment horizontal="center" vertical="top" textRotation="255" indent="1"/>
      <protection hidden="1"/>
    </xf>
    <xf numFmtId="1" fontId="97" fillId="7" borderId="392" xfId="0" applyNumberFormat="1" applyFont="1" applyFill="1" applyBorder="1" applyAlignment="1" applyProtection="1">
      <alignment horizontal="center" vertical="top" textRotation="255" indent="1"/>
      <protection hidden="1"/>
    </xf>
    <xf numFmtId="1" fontId="97" fillId="7" borderId="296" xfId="0" applyNumberFormat="1" applyFont="1" applyFill="1" applyBorder="1" applyAlignment="1" applyProtection="1">
      <alignment horizontal="center" vertical="top" textRotation="255" indent="1"/>
      <protection hidden="1"/>
    </xf>
    <xf numFmtId="1" fontId="97" fillId="8" borderId="351" xfId="0" applyNumberFormat="1" applyFont="1" applyFill="1" applyBorder="1" applyAlignment="1" applyProtection="1">
      <alignment horizontal="center" vertical="top" textRotation="255" indent="1"/>
      <protection hidden="1"/>
    </xf>
    <xf numFmtId="1" fontId="97" fillId="8" borderId="392" xfId="0" applyNumberFormat="1" applyFont="1" applyFill="1" applyBorder="1" applyAlignment="1" applyProtection="1">
      <alignment horizontal="center" vertical="top" textRotation="255" indent="1"/>
      <protection hidden="1"/>
    </xf>
    <xf numFmtId="1" fontId="97" fillId="8" borderId="296" xfId="0" applyNumberFormat="1" applyFont="1" applyFill="1" applyBorder="1" applyAlignment="1" applyProtection="1">
      <alignment horizontal="center" vertical="top" textRotation="255" indent="1"/>
      <protection hidden="1"/>
    </xf>
    <xf numFmtId="1" fontId="97" fillId="2" borderId="351" xfId="0" applyNumberFormat="1" applyFont="1" applyFill="1" applyBorder="1" applyAlignment="1" applyProtection="1">
      <alignment horizontal="center" vertical="top" textRotation="255" indent="1"/>
      <protection hidden="1"/>
    </xf>
    <xf numFmtId="1" fontId="97" fillId="2" borderId="392" xfId="0" applyNumberFormat="1" applyFont="1" applyFill="1" applyBorder="1" applyAlignment="1" applyProtection="1">
      <alignment horizontal="center" vertical="top" textRotation="255" indent="1"/>
      <protection hidden="1"/>
    </xf>
    <xf numFmtId="1" fontId="97" fillId="2" borderId="296" xfId="0" applyNumberFormat="1" applyFont="1" applyFill="1" applyBorder="1" applyAlignment="1" applyProtection="1">
      <alignment horizontal="center" vertical="top" textRotation="255" indent="1"/>
      <protection hidden="1"/>
    </xf>
    <xf numFmtId="1" fontId="97" fillId="9" borderId="351" xfId="0" applyNumberFormat="1" applyFont="1" applyFill="1" applyBorder="1" applyAlignment="1" applyProtection="1">
      <alignment horizontal="center" vertical="top" textRotation="255" indent="1"/>
      <protection hidden="1"/>
    </xf>
    <xf numFmtId="1" fontId="97" fillId="9" borderId="392" xfId="0" applyNumberFormat="1" applyFont="1" applyFill="1" applyBorder="1" applyAlignment="1" applyProtection="1">
      <alignment horizontal="center" vertical="top" textRotation="255" indent="1"/>
      <protection hidden="1"/>
    </xf>
    <xf numFmtId="1" fontId="97" fillId="9" borderId="296" xfId="0" applyNumberFormat="1" applyFont="1" applyFill="1" applyBorder="1" applyAlignment="1" applyProtection="1">
      <alignment horizontal="center" vertical="top" textRotation="255" indent="1"/>
      <protection hidden="1"/>
    </xf>
    <xf numFmtId="1" fontId="97" fillId="10" borderId="351" xfId="0" applyNumberFormat="1" applyFont="1" applyFill="1" applyBorder="1" applyAlignment="1" applyProtection="1">
      <alignment horizontal="center" vertical="top" textRotation="255" indent="1"/>
      <protection hidden="1"/>
    </xf>
    <xf numFmtId="1" fontId="97" fillId="10" borderId="392" xfId="0" applyNumberFormat="1" applyFont="1" applyFill="1" applyBorder="1" applyAlignment="1" applyProtection="1">
      <alignment horizontal="center" vertical="top" textRotation="255" indent="1"/>
      <protection hidden="1"/>
    </xf>
    <xf numFmtId="1" fontId="97" fillId="10" borderId="296" xfId="0" applyNumberFormat="1" applyFont="1" applyFill="1" applyBorder="1" applyAlignment="1" applyProtection="1">
      <alignment horizontal="center" vertical="top" textRotation="255" indent="1"/>
      <protection hidden="1"/>
    </xf>
    <xf numFmtId="1" fontId="97" fillId="11" borderId="351" xfId="0" applyNumberFormat="1" applyFont="1" applyFill="1" applyBorder="1" applyAlignment="1" applyProtection="1">
      <alignment horizontal="center" vertical="top" textRotation="255" indent="1"/>
      <protection hidden="1"/>
    </xf>
    <xf numFmtId="1" fontId="97" fillId="11" borderId="392" xfId="0" applyNumberFormat="1" applyFont="1" applyFill="1" applyBorder="1" applyAlignment="1" applyProtection="1">
      <alignment horizontal="center" vertical="top" textRotation="255" indent="1"/>
      <protection hidden="1"/>
    </xf>
    <xf numFmtId="1" fontId="97" fillId="11" borderId="296" xfId="0" applyNumberFormat="1" applyFont="1" applyFill="1" applyBorder="1" applyAlignment="1" applyProtection="1">
      <alignment horizontal="center" vertical="top" textRotation="255" indent="1"/>
      <protection hidden="1"/>
    </xf>
    <xf numFmtId="1" fontId="97" fillId="12" borderId="351" xfId="0" applyNumberFormat="1" applyFont="1" applyFill="1" applyBorder="1" applyAlignment="1" applyProtection="1">
      <alignment horizontal="center" vertical="top" textRotation="255" indent="1"/>
      <protection hidden="1"/>
    </xf>
    <xf numFmtId="1" fontId="97" fillId="12" borderId="392" xfId="0" applyNumberFormat="1" applyFont="1" applyFill="1" applyBorder="1" applyAlignment="1" applyProtection="1">
      <alignment horizontal="center" vertical="top" textRotation="255" indent="1"/>
      <protection hidden="1"/>
    </xf>
    <xf numFmtId="1" fontId="97" fillId="12" borderId="296" xfId="0" applyNumberFormat="1" applyFont="1" applyFill="1" applyBorder="1" applyAlignment="1" applyProtection="1">
      <alignment horizontal="center" vertical="top" textRotation="255" indent="1"/>
      <protection hidden="1"/>
    </xf>
    <xf numFmtId="1" fontId="68" fillId="0" borderId="0" xfId="0" applyNumberFormat="1" applyFont="1" applyAlignment="1" applyProtection="1">
      <alignment horizontal="right" indent="1"/>
      <protection hidden="1"/>
    </xf>
    <xf numFmtId="0" fontId="105" fillId="0" borderId="0" xfId="0" applyFont="1" applyAlignment="1" applyProtection="1">
      <alignment horizontal="center"/>
      <protection hidden="1"/>
    </xf>
    <xf numFmtId="0" fontId="105" fillId="0" borderId="137" xfId="0" applyFont="1" applyBorder="1" applyAlignment="1" applyProtection="1">
      <alignment horizontal="center"/>
      <protection hidden="1"/>
    </xf>
    <xf numFmtId="0" fontId="149" fillId="0" borderId="0" xfId="0" applyFont="1" applyAlignment="1" applyProtection="1">
      <alignment horizontal="left"/>
      <protection hidden="1"/>
    </xf>
    <xf numFmtId="0" fontId="101" fillId="0" borderId="0" xfId="0" applyFont="1" applyAlignment="1" applyProtection="1">
      <alignment horizontal="left" vertical="top" wrapText="1"/>
      <protection hidden="1"/>
    </xf>
    <xf numFmtId="0" fontId="75" fillId="0" borderId="0" xfId="0" applyFont="1" applyAlignment="1" applyProtection="1">
      <alignment horizontal="left"/>
      <protection hidden="1"/>
    </xf>
    <xf numFmtId="1" fontId="74" fillId="17" borderId="100" xfId="0" applyNumberFormat="1" applyFont="1" applyFill="1" applyBorder="1" applyAlignment="1" applyProtection="1">
      <alignment horizontal="left"/>
      <protection hidden="1"/>
    </xf>
    <xf numFmtId="0" fontId="43" fillId="19" borderId="38" xfId="0" applyFont="1" applyFill="1" applyBorder="1" applyAlignment="1" applyProtection="1">
      <alignment horizontal="center" textRotation="255" wrapText="1"/>
      <protection hidden="1"/>
    </xf>
    <xf numFmtId="0" fontId="2" fillId="19" borderId="38" xfId="0" applyFont="1" applyFill="1" applyBorder="1" applyAlignment="1" applyProtection="1">
      <alignment horizontal="center" vertical="top" textRotation="255" wrapText="1"/>
      <protection hidden="1"/>
    </xf>
    <xf numFmtId="0" fontId="13" fillId="19" borderId="140" xfId="0" applyFont="1" applyFill="1" applyBorder="1" applyAlignment="1" applyProtection="1">
      <alignment horizontal="center" vertical="top" textRotation="255" wrapText="1"/>
      <protection hidden="1"/>
    </xf>
    <xf numFmtId="0" fontId="13" fillId="19" borderId="141" xfId="0" applyFont="1" applyFill="1" applyBorder="1" applyAlignment="1" applyProtection="1">
      <alignment horizontal="center" vertical="top" textRotation="255" wrapText="1"/>
      <protection hidden="1"/>
    </xf>
    <xf numFmtId="0" fontId="13" fillId="19" borderId="142" xfId="0" applyFont="1" applyFill="1" applyBorder="1" applyAlignment="1" applyProtection="1">
      <alignment horizontal="center" vertical="top" textRotation="255" wrapText="1"/>
      <protection hidden="1"/>
    </xf>
    <xf numFmtId="0" fontId="274" fillId="0" borderId="0" xfId="0" applyFont="1" applyAlignment="1" applyProtection="1">
      <alignment horizontal="center"/>
      <protection hidden="1"/>
    </xf>
    <xf numFmtId="1" fontId="68" fillId="0" borderId="0" xfId="0" applyNumberFormat="1" applyFont="1" applyAlignment="1" applyProtection="1">
      <alignment horizontal="left" indent="1"/>
      <protection hidden="1"/>
    </xf>
    <xf numFmtId="0" fontId="418" fillId="0" borderId="51" xfId="0" applyFont="1" applyBorder="1" applyAlignment="1" applyProtection="1">
      <alignment horizontal="left" vertical="center" indent="2"/>
      <protection hidden="1"/>
    </xf>
    <xf numFmtId="0" fontId="418" fillId="0" borderId="0" xfId="0" applyFont="1" applyAlignment="1" applyProtection="1">
      <alignment horizontal="left" vertical="center" indent="2"/>
      <protection hidden="1"/>
    </xf>
    <xf numFmtId="0" fontId="62" fillId="18" borderId="356" xfId="0" applyFont="1" applyFill="1" applyBorder="1" applyAlignment="1" applyProtection="1">
      <alignment horizontal="center" vertical="center"/>
      <protection hidden="1"/>
    </xf>
    <xf numFmtId="0" fontId="62" fillId="18" borderId="107" xfId="0" applyFont="1" applyFill="1" applyBorder="1" applyAlignment="1" applyProtection="1">
      <alignment horizontal="center" vertical="center"/>
      <protection hidden="1"/>
    </xf>
    <xf numFmtId="0" fontId="62" fillId="18" borderId="357" xfId="0" applyFont="1" applyFill="1" applyBorder="1" applyAlignment="1" applyProtection="1">
      <alignment horizontal="center" vertical="center"/>
      <protection hidden="1"/>
    </xf>
    <xf numFmtId="0" fontId="62" fillId="18" borderId="358" xfId="0" applyFont="1" applyFill="1" applyBorder="1" applyAlignment="1" applyProtection="1">
      <alignment horizontal="center" vertical="center"/>
      <protection hidden="1"/>
    </xf>
    <xf numFmtId="0" fontId="62" fillId="18" borderId="108" xfId="0" applyFont="1" applyFill="1" applyBorder="1" applyAlignment="1" applyProtection="1">
      <alignment horizontal="center" vertical="center"/>
      <protection hidden="1"/>
    </xf>
    <xf numFmtId="0" fontId="62" fillId="18" borderId="359" xfId="0" applyFont="1" applyFill="1" applyBorder="1" applyAlignment="1" applyProtection="1">
      <alignment horizontal="center" vertical="center"/>
      <protection hidden="1"/>
    </xf>
    <xf numFmtId="0" fontId="720" fillId="0" borderId="247" xfId="0" applyFont="1" applyBorder="1" applyAlignment="1" applyProtection="1">
      <alignment horizontal="center" vertical="center"/>
      <protection hidden="1"/>
    </xf>
    <xf numFmtId="0" fontId="720" fillId="0" borderId="0" xfId="0" applyFont="1" applyAlignment="1" applyProtection="1">
      <alignment horizontal="center" vertical="center"/>
      <protection hidden="1"/>
    </xf>
    <xf numFmtId="0" fontId="149" fillId="0" borderId="105" xfId="0" applyFont="1" applyBorder="1" applyAlignment="1" applyProtection="1">
      <alignment horizontal="center"/>
      <protection hidden="1"/>
    </xf>
    <xf numFmtId="0" fontId="149" fillId="0" borderId="7" xfId="0" applyFont="1" applyBorder="1" applyAlignment="1" applyProtection="1">
      <alignment horizontal="center"/>
      <protection hidden="1"/>
    </xf>
    <xf numFmtId="0" fontId="394" fillId="0" borderId="0" xfId="0" applyFont="1" applyAlignment="1" applyProtection="1">
      <alignment horizontal="left" vertical="center"/>
      <protection hidden="1"/>
    </xf>
    <xf numFmtId="0" fontId="677" fillId="20" borderId="173" xfId="0" applyFont="1" applyFill="1" applyBorder="1" applyAlignment="1" applyProtection="1">
      <alignment horizontal="center" vertical="center"/>
      <protection locked="0"/>
    </xf>
    <xf numFmtId="1" fontId="67" fillId="17" borderId="48" xfId="1" applyNumberFormat="1" applyFont="1" applyFill="1" applyBorder="1" applyAlignment="1" applyProtection="1">
      <alignment horizontal="left"/>
      <protection hidden="1"/>
    </xf>
    <xf numFmtId="0" fontId="428" fillId="18" borderId="172" xfId="0" applyFont="1" applyFill="1" applyBorder="1" applyAlignment="1" applyProtection="1">
      <alignment horizontal="center" vertical="center" wrapText="1"/>
      <protection hidden="1"/>
    </xf>
    <xf numFmtId="0" fontId="428" fillId="18" borderId="173" xfId="0" applyFont="1" applyFill="1" applyBorder="1" applyAlignment="1" applyProtection="1">
      <alignment horizontal="center" vertical="center" wrapText="1"/>
      <protection hidden="1"/>
    </xf>
    <xf numFmtId="0" fontId="428" fillId="18" borderId="175" xfId="0" applyFont="1" applyFill="1" applyBorder="1" applyAlignment="1" applyProtection="1">
      <alignment horizontal="center" vertical="center" wrapText="1"/>
      <protection hidden="1"/>
    </xf>
    <xf numFmtId="0" fontId="428" fillId="18" borderId="0" xfId="0" applyFont="1" applyFill="1" applyAlignment="1" applyProtection="1">
      <alignment horizontal="center" vertical="center" wrapText="1"/>
      <protection hidden="1"/>
    </xf>
    <xf numFmtId="0" fontId="573" fillId="18" borderId="173" xfId="0" applyFont="1" applyFill="1" applyBorder="1" applyAlignment="1" applyProtection="1">
      <alignment horizontal="center"/>
      <protection hidden="1"/>
    </xf>
    <xf numFmtId="0" fontId="573" fillId="18" borderId="0" xfId="0" applyFont="1" applyFill="1" applyAlignment="1" applyProtection="1">
      <alignment horizontal="center"/>
      <protection hidden="1"/>
    </xf>
    <xf numFmtId="0" fontId="428" fillId="18" borderId="174" xfId="0" applyFont="1" applyFill="1" applyBorder="1" applyAlignment="1" applyProtection="1">
      <alignment horizontal="center" vertical="center" wrapText="1"/>
      <protection hidden="1"/>
    </xf>
    <xf numFmtId="0" fontId="428" fillId="18" borderId="176" xfId="0" applyFont="1" applyFill="1" applyBorder="1" applyAlignment="1" applyProtection="1">
      <alignment horizontal="center" vertical="center" wrapText="1"/>
      <protection hidden="1"/>
    </xf>
    <xf numFmtId="0" fontId="21" fillId="18" borderId="175" xfId="0" applyFont="1" applyFill="1" applyBorder="1" applyAlignment="1" applyProtection="1">
      <alignment horizontal="center" vertical="top" wrapText="1"/>
      <protection locked="0"/>
    </xf>
    <xf numFmtId="0" fontId="21" fillId="18" borderId="0" xfId="0" applyFont="1" applyFill="1" applyAlignment="1" applyProtection="1">
      <alignment horizontal="center" vertical="top" wrapText="1"/>
      <protection locked="0"/>
    </xf>
    <xf numFmtId="0" fontId="21" fillId="18" borderId="176" xfId="0" applyFont="1" applyFill="1" applyBorder="1" applyAlignment="1" applyProtection="1">
      <alignment horizontal="center" vertical="top" wrapText="1"/>
      <protection locked="0"/>
    </xf>
    <xf numFmtId="0" fontId="21" fillId="18" borderId="177" xfId="0" applyFont="1" applyFill="1" applyBorder="1" applyAlignment="1" applyProtection="1">
      <alignment horizontal="center" vertical="top" wrapText="1"/>
      <protection locked="0"/>
    </xf>
    <xf numFmtId="0" fontId="21" fillId="18" borderId="178" xfId="0" applyFont="1" applyFill="1" applyBorder="1" applyAlignment="1" applyProtection="1">
      <alignment horizontal="center" vertical="top" wrapText="1"/>
      <protection locked="0"/>
    </xf>
    <xf numFmtId="0" fontId="21" fillId="18" borderId="179" xfId="0" applyFont="1" applyFill="1" applyBorder="1" applyAlignment="1" applyProtection="1">
      <alignment horizontal="center" vertical="top" wrapText="1"/>
      <protection locked="0"/>
    </xf>
    <xf numFmtId="9" fontId="67" fillId="17" borderId="47" xfId="1" applyFont="1" applyFill="1" applyBorder="1" applyAlignment="1" applyProtection="1">
      <alignment horizontal="left" indent="1"/>
      <protection hidden="1"/>
    </xf>
    <xf numFmtId="9" fontId="67" fillId="17" borderId="48" xfId="1" applyFont="1" applyFill="1" applyBorder="1" applyAlignment="1" applyProtection="1">
      <alignment horizontal="left" indent="1"/>
      <protection hidden="1"/>
    </xf>
    <xf numFmtId="0" fontId="74" fillId="18" borderId="45" xfId="0" applyFont="1" applyFill="1" applyBorder="1" applyAlignment="1" applyProtection="1">
      <alignment horizontal="left" vertical="top" indent="1"/>
      <protection locked="0"/>
    </xf>
    <xf numFmtId="0" fontId="138" fillId="0" borderId="350" xfId="0" applyFont="1" applyBorder="1" applyAlignment="1" applyProtection="1">
      <alignment horizontal="left" vertical="center"/>
      <protection locked="0"/>
    </xf>
    <xf numFmtId="0" fontId="394" fillId="0" borderId="0" xfId="0" applyFont="1" applyAlignment="1" applyProtection="1">
      <alignment horizontal="right" vertical="center"/>
      <protection hidden="1"/>
    </xf>
    <xf numFmtId="1" fontId="67" fillId="17" borderId="48" xfId="1" applyNumberFormat="1" applyFont="1" applyFill="1" applyBorder="1" applyAlignment="1" applyProtection="1">
      <alignment horizontal="right"/>
      <protection locked="0"/>
    </xf>
    <xf numFmtId="1" fontId="67" fillId="17" borderId="49" xfId="1" applyNumberFormat="1" applyFont="1" applyFill="1" applyBorder="1" applyAlignment="1" applyProtection="1">
      <alignment horizontal="left"/>
      <protection hidden="1"/>
    </xf>
    <xf numFmtId="0" fontId="74" fillId="18" borderId="71" xfId="0" applyFont="1" applyFill="1" applyBorder="1" applyAlignment="1" applyProtection="1">
      <alignment horizontal="left" vertical="top" indent="1"/>
      <protection locked="0"/>
    </xf>
    <xf numFmtId="0" fontId="27" fillId="18" borderId="41" xfId="0" applyFont="1" applyFill="1" applyBorder="1" applyAlignment="1" applyProtection="1">
      <alignment horizontal="left" indent="1"/>
      <protection locked="0"/>
    </xf>
    <xf numFmtId="0" fontId="27" fillId="18" borderId="42" xfId="0" applyFont="1" applyFill="1" applyBorder="1" applyAlignment="1" applyProtection="1">
      <alignment horizontal="left" indent="1"/>
      <protection locked="0"/>
    </xf>
    <xf numFmtId="1" fontId="67" fillId="17" borderId="48" xfId="1" applyNumberFormat="1" applyFont="1" applyFill="1" applyBorder="1" applyAlignment="1" applyProtection="1">
      <alignment horizontal="left"/>
      <protection locked="0"/>
    </xf>
    <xf numFmtId="0" fontId="389" fillId="0" borderId="0" xfId="0" applyFont="1" applyAlignment="1" applyProtection="1">
      <alignment horizontal="center" vertical="center"/>
      <protection hidden="1"/>
    </xf>
    <xf numFmtId="0" fontId="53" fillId="0" borderId="0" xfId="0" applyFont="1" applyAlignment="1" applyProtection="1">
      <alignment horizontal="left" vertical="center"/>
      <protection hidden="1"/>
    </xf>
    <xf numFmtId="0" fontId="60" fillId="3" borderId="0" xfId="0" applyFont="1" applyFill="1" applyAlignment="1" applyProtection="1">
      <alignment horizontal="center" vertical="center"/>
      <protection locked="0"/>
    </xf>
    <xf numFmtId="0" fontId="54" fillId="0" borderId="0" xfId="0" applyFont="1" applyAlignment="1" applyProtection="1">
      <alignment horizontal="left" vertical="center"/>
      <protection hidden="1"/>
    </xf>
    <xf numFmtId="0" fontId="49" fillId="0" borderId="0" xfId="0" applyFont="1" applyAlignment="1" applyProtection="1">
      <alignment horizontal="left" vertical="center"/>
      <protection hidden="1"/>
    </xf>
    <xf numFmtId="0" fontId="48" fillId="0" borderId="0" xfId="0" applyFont="1" applyAlignment="1" applyProtection="1">
      <alignment horizontal="left" vertical="center"/>
      <protection hidden="1"/>
    </xf>
    <xf numFmtId="0" fontId="52" fillId="0" borderId="0" xfId="0" applyFont="1" applyAlignment="1" applyProtection="1">
      <alignment horizontal="left" vertical="center"/>
      <protection hidden="1"/>
    </xf>
    <xf numFmtId="0" fontId="74" fillId="18" borderId="42" xfId="0" applyFont="1" applyFill="1" applyBorder="1" applyAlignment="1" applyProtection="1">
      <alignment horizontal="right" indent="1"/>
      <protection locked="0"/>
    </xf>
    <xf numFmtId="0" fontId="74" fillId="18" borderId="43" xfId="0" applyFont="1" applyFill="1" applyBorder="1" applyAlignment="1" applyProtection="1">
      <alignment horizontal="right" indent="1"/>
      <protection locked="0"/>
    </xf>
    <xf numFmtId="0" fontId="47" fillId="0" borderId="0" xfId="0" applyFont="1" applyAlignment="1" applyProtection="1">
      <alignment horizontal="left" vertical="center"/>
      <protection hidden="1"/>
    </xf>
    <xf numFmtId="0" fontId="63" fillId="0" borderId="166" xfId="0" applyFont="1" applyBorder="1" applyAlignment="1" applyProtection="1">
      <alignment horizontal="center" vertical="center"/>
      <protection hidden="1"/>
    </xf>
    <xf numFmtId="1" fontId="244" fillId="17" borderId="313" xfId="0" applyNumberFormat="1" applyFont="1" applyFill="1" applyBorder="1" applyAlignment="1" applyProtection="1">
      <alignment horizontal="right"/>
      <protection hidden="1"/>
    </xf>
    <xf numFmtId="0" fontId="244" fillId="17" borderId="313" xfId="0" applyFont="1" applyFill="1" applyBorder="1" applyAlignment="1" applyProtection="1">
      <alignment horizontal="right"/>
      <protection hidden="1"/>
    </xf>
    <xf numFmtId="1" fontId="244" fillId="17" borderId="313" xfId="0" applyNumberFormat="1" applyFont="1" applyFill="1" applyBorder="1" applyAlignment="1" applyProtection="1">
      <alignment horizontal="left"/>
      <protection hidden="1"/>
    </xf>
    <xf numFmtId="0" fontId="244" fillId="17" borderId="313" xfId="0" applyFont="1" applyFill="1" applyBorder="1" applyAlignment="1" applyProtection="1">
      <alignment horizontal="left"/>
      <protection hidden="1"/>
    </xf>
    <xf numFmtId="1" fontId="130" fillId="17" borderId="80" xfId="0" applyNumberFormat="1" applyFont="1" applyFill="1" applyBorder="1" applyAlignment="1" applyProtection="1">
      <alignment horizontal="left"/>
      <protection hidden="1"/>
    </xf>
    <xf numFmtId="0" fontId="117" fillId="20" borderId="451" xfId="0" applyFont="1" applyFill="1" applyBorder="1" applyAlignment="1" applyProtection="1">
      <alignment horizontal="right" indent="1"/>
      <protection locked="0"/>
    </xf>
    <xf numFmtId="0" fontId="117" fillId="20" borderId="452" xfId="0" applyFont="1" applyFill="1" applyBorder="1" applyAlignment="1" applyProtection="1">
      <alignment horizontal="right" indent="1"/>
      <protection locked="0"/>
    </xf>
    <xf numFmtId="0" fontId="117" fillId="20" borderId="453" xfId="0" applyFont="1" applyFill="1" applyBorder="1" applyAlignment="1" applyProtection="1">
      <alignment horizontal="right" indent="1"/>
      <protection locked="0"/>
    </xf>
    <xf numFmtId="0" fontId="117" fillId="20" borderId="265" xfId="0" applyFont="1" applyFill="1" applyBorder="1" applyAlignment="1" applyProtection="1">
      <alignment horizontal="right" indent="1"/>
      <protection locked="0"/>
    </xf>
    <xf numFmtId="0" fontId="74" fillId="18" borderId="45" xfId="0" applyFont="1" applyFill="1" applyBorder="1" applyAlignment="1" applyProtection="1">
      <alignment horizontal="center" vertical="top"/>
      <protection locked="0"/>
    </xf>
    <xf numFmtId="0" fontId="74" fillId="0" borderId="45" xfId="0" applyFont="1" applyBorder="1" applyAlignment="1" applyProtection="1">
      <alignment horizontal="right" vertical="top" indent="1"/>
      <protection locked="0"/>
    </xf>
    <xf numFmtId="0" fontId="74" fillId="0" borderId="46" xfId="0" applyFont="1" applyBorder="1" applyAlignment="1" applyProtection="1">
      <alignment horizontal="right" vertical="top" indent="1"/>
      <protection locked="0"/>
    </xf>
    <xf numFmtId="0" fontId="168" fillId="18" borderId="0" xfId="0" applyFont="1" applyFill="1" applyAlignment="1" applyProtection="1">
      <alignment horizontal="center" vertical="center"/>
      <protection hidden="1"/>
    </xf>
    <xf numFmtId="0" fontId="404" fillId="20" borderId="0" xfId="0" applyFont="1" applyFill="1" applyAlignment="1" applyProtection="1">
      <alignment horizontal="center" vertical="center"/>
      <protection hidden="1"/>
    </xf>
    <xf numFmtId="0" fontId="441" fillId="20" borderId="0" xfId="0" applyFont="1" applyFill="1" applyAlignment="1" applyProtection="1">
      <alignment horizontal="center"/>
      <protection hidden="1"/>
    </xf>
    <xf numFmtId="0" fontId="441" fillId="20" borderId="0" xfId="0" applyFont="1" applyFill="1" applyAlignment="1" applyProtection="1">
      <alignment horizontal="center" vertical="top"/>
      <protection hidden="1"/>
    </xf>
    <xf numFmtId="0" fontId="40" fillId="18" borderId="0" xfId="0" applyFont="1" applyFill="1" applyAlignment="1" applyProtection="1">
      <alignment horizontal="right" indent="1"/>
      <protection hidden="1"/>
    </xf>
    <xf numFmtId="0" fontId="131" fillId="18" borderId="0" xfId="0" applyFont="1" applyFill="1" applyAlignment="1" applyProtection="1">
      <alignment horizontal="left" vertical="top" indent="1"/>
      <protection locked="0"/>
    </xf>
    <xf numFmtId="0" fontId="131" fillId="18" borderId="0" xfId="0" applyFont="1" applyFill="1" applyAlignment="1" applyProtection="1">
      <alignment horizontal="right" vertical="top" indent="1"/>
      <protection locked="0"/>
    </xf>
    <xf numFmtId="0" fontId="40" fillId="18" borderId="0" xfId="0" applyFont="1" applyFill="1" applyAlignment="1" applyProtection="1">
      <alignment horizontal="left" indent="1"/>
      <protection hidden="1"/>
    </xf>
    <xf numFmtId="0" fontId="51" fillId="0" borderId="0" xfId="0" applyFont="1" applyAlignment="1" applyProtection="1">
      <alignment horizontal="left" vertical="center"/>
      <protection hidden="1"/>
    </xf>
    <xf numFmtId="1" fontId="67" fillId="17" borderId="48" xfId="1" applyNumberFormat="1" applyFont="1" applyFill="1" applyBorder="1" applyAlignment="1" applyProtection="1">
      <alignment horizontal="right"/>
      <protection hidden="1"/>
    </xf>
    <xf numFmtId="1" fontId="130" fillId="17" borderId="42" xfId="0" applyNumberFormat="1" applyFont="1" applyFill="1" applyBorder="1" applyAlignment="1" applyProtection="1">
      <alignment horizontal="right"/>
      <protection hidden="1"/>
    </xf>
    <xf numFmtId="0" fontId="301" fillId="18" borderId="0" xfId="0" applyFont="1" applyFill="1" applyAlignment="1" applyProtection="1">
      <alignment horizontal="center" vertical="center"/>
      <protection hidden="1"/>
    </xf>
    <xf numFmtId="0" fontId="41" fillId="17" borderId="0" xfId="0" applyFont="1" applyFill="1" applyAlignment="1" applyProtection="1">
      <alignment horizontal="center" vertical="center"/>
      <protection hidden="1"/>
    </xf>
    <xf numFmtId="0" fontId="63" fillId="0" borderId="93" xfId="0" applyFont="1" applyBorder="1" applyAlignment="1" applyProtection="1">
      <alignment horizontal="center" vertical="center"/>
      <protection hidden="1"/>
    </xf>
    <xf numFmtId="0" fontId="302" fillId="18" borderId="0" xfId="0" applyFont="1" applyFill="1" applyAlignment="1" applyProtection="1">
      <alignment horizontal="center"/>
      <protection hidden="1"/>
    </xf>
    <xf numFmtId="0" fontId="117" fillId="17" borderId="0" xfId="0" applyFont="1" applyFill="1" applyAlignment="1" applyProtection="1">
      <alignment horizontal="center" vertical="center"/>
      <protection hidden="1"/>
    </xf>
    <xf numFmtId="0" fontId="321" fillId="0" borderId="0" xfId="0" applyFont="1" applyAlignment="1" applyProtection="1">
      <alignment horizontal="center" vertical="center" wrapText="1"/>
      <protection hidden="1"/>
    </xf>
    <xf numFmtId="0" fontId="453" fillId="20" borderId="0" xfId="0" applyFont="1" applyFill="1" applyAlignment="1" applyProtection="1">
      <alignment horizontal="right" vertical="top" indent="1"/>
      <protection hidden="1"/>
    </xf>
    <xf numFmtId="0" fontId="117" fillId="20" borderId="364" xfId="0" applyFont="1" applyFill="1" applyBorder="1" applyAlignment="1" applyProtection="1">
      <alignment horizontal="left" vertical="center" indent="1"/>
      <protection locked="0"/>
    </xf>
    <xf numFmtId="0" fontId="117" fillId="20" borderId="153" xfId="0" applyFont="1" applyFill="1" applyBorder="1" applyAlignment="1" applyProtection="1">
      <alignment horizontal="left" vertical="center" indent="1"/>
      <protection locked="0"/>
    </xf>
    <xf numFmtId="0" fontId="117" fillId="20" borderId="365" xfId="0" applyFont="1" applyFill="1" applyBorder="1" applyAlignment="1" applyProtection="1">
      <alignment horizontal="left" vertical="center" indent="1"/>
      <protection locked="0"/>
    </xf>
    <xf numFmtId="0" fontId="117" fillId="20" borderId="354" xfId="0" applyFont="1" applyFill="1" applyBorder="1" applyAlignment="1" applyProtection="1">
      <alignment horizontal="left" vertical="center" indent="1"/>
      <protection locked="0"/>
    </xf>
    <xf numFmtId="0" fontId="117" fillId="20" borderId="154" xfId="0" applyFont="1" applyFill="1" applyBorder="1" applyAlignment="1" applyProtection="1">
      <alignment horizontal="left" vertical="center" indent="1"/>
      <protection locked="0"/>
    </xf>
    <xf numFmtId="0" fontId="117" fillId="20" borderId="266" xfId="0" applyFont="1" applyFill="1" applyBorder="1" applyAlignment="1" applyProtection="1">
      <alignment horizontal="left" vertical="center" indent="1"/>
      <protection locked="0"/>
    </xf>
    <xf numFmtId="0" fontId="29" fillId="20" borderId="364" xfId="0" applyFont="1" applyFill="1" applyBorder="1" applyAlignment="1" applyProtection="1">
      <alignment horizontal="left" vertical="center" indent="1"/>
      <protection hidden="1"/>
    </xf>
    <xf numFmtId="0" fontId="29" fillId="20" borderId="153" xfId="0" applyFont="1" applyFill="1" applyBorder="1" applyAlignment="1" applyProtection="1">
      <alignment horizontal="left" vertical="center" indent="1"/>
      <protection hidden="1"/>
    </xf>
    <xf numFmtId="0" fontId="29" fillId="20" borderId="365" xfId="0" applyFont="1" applyFill="1" applyBorder="1" applyAlignment="1" applyProtection="1">
      <alignment horizontal="left" vertical="center" indent="1"/>
      <protection hidden="1"/>
    </xf>
    <xf numFmtId="0" fontId="29" fillId="20" borderId="354" xfId="0" applyFont="1" applyFill="1" applyBorder="1" applyAlignment="1" applyProtection="1">
      <alignment horizontal="left" vertical="center" indent="1"/>
      <protection hidden="1"/>
    </xf>
    <xf numFmtId="0" fontId="29" fillId="20" borderId="154" xfId="0" applyFont="1" applyFill="1" applyBorder="1" applyAlignment="1" applyProtection="1">
      <alignment horizontal="left" vertical="center" indent="1"/>
      <protection hidden="1"/>
    </xf>
    <xf numFmtId="0" fontId="29" fillId="20" borderId="266" xfId="0" applyFont="1" applyFill="1" applyBorder="1" applyAlignment="1" applyProtection="1">
      <alignment horizontal="left" vertical="center" indent="1"/>
      <protection hidden="1"/>
    </xf>
    <xf numFmtId="0" fontId="453" fillId="20" borderId="0" xfId="0" applyFont="1" applyFill="1" applyAlignment="1" applyProtection="1">
      <alignment horizontal="left" vertical="top" indent="1"/>
      <protection hidden="1"/>
    </xf>
    <xf numFmtId="0" fontId="23" fillId="0" borderId="52" xfId="0" applyFont="1" applyBorder="1" applyAlignment="1" applyProtection="1">
      <alignment horizontal="center"/>
      <protection locked="0"/>
    </xf>
    <xf numFmtId="0" fontId="230" fillId="0" borderId="0" xfId="0" applyFont="1" applyAlignment="1" applyProtection="1">
      <alignment horizontal="center" vertical="top"/>
      <protection hidden="1"/>
    </xf>
    <xf numFmtId="0" fontId="73" fillId="0" borderId="52" xfId="0" applyFont="1" applyBorder="1" applyAlignment="1" applyProtection="1">
      <alignment horizontal="center"/>
      <protection locked="0"/>
    </xf>
    <xf numFmtId="0" fontId="248" fillId="0" borderId="51" xfId="0" applyFont="1" applyBorder="1" applyAlignment="1" applyProtection="1">
      <alignment horizontal="center" vertical="top"/>
      <protection hidden="1"/>
    </xf>
    <xf numFmtId="0" fontId="230" fillId="0" borderId="51" xfId="0" applyFont="1" applyBorder="1" applyAlignment="1" applyProtection="1">
      <alignment horizontal="center" vertical="top"/>
      <protection hidden="1"/>
    </xf>
    <xf numFmtId="0" fontId="130" fillId="0" borderId="0" xfId="0" applyFont="1" applyAlignment="1" applyProtection="1">
      <alignment horizontal="left"/>
      <protection hidden="1"/>
    </xf>
    <xf numFmtId="0" fontId="394" fillId="0" borderId="0" xfId="0" applyFont="1" applyAlignment="1" applyProtection="1">
      <alignment horizontal="left" vertical="center"/>
      <protection locked="0"/>
    </xf>
    <xf numFmtId="2" fontId="40" fillId="0" borderId="0" xfId="0" applyNumberFormat="1" applyFont="1" applyAlignment="1" applyProtection="1">
      <alignment horizontal="right" vertical="center"/>
      <protection locked="0"/>
    </xf>
    <xf numFmtId="1" fontId="21" fillId="17" borderId="173" xfId="0" applyNumberFormat="1" applyFont="1" applyFill="1" applyBorder="1" applyAlignment="1" applyProtection="1">
      <alignment horizontal="center"/>
      <protection locked="0"/>
    </xf>
    <xf numFmtId="49" fontId="21" fillId="17" borderId="0" xfId="0" applyNumberFormat="1" applyFont="1" applyFill="1" applyAlignment="1" applyProtection="1">
      <alignment horizontal="center" vertical="top"/>
      <protection locked="0"/>
    </xf>
    <xf numFmtId="170" fontId="146" fillId="18" borderId="173" xfId="0" applyNumberFormat="1" applyFont="1" applyFill="1" applyBorder="1" applyAlignment="1" applyProtection="1">
      <alignment horizontal="center" vertical="center"/>
      <protection locked="0"/>
    </xf>
    <xf numFmtId="0" fontId="286" fillId="18" borderId="173" xfId="0" applyFont="1" applyFill="1" applyBorder="1" applyAlignment="1" applyProtection="1">
      <alignment horizontal="center" vertical="center" wrapText="1"/>
      <protection hidden="1"/>
    </xf>
    <xf numFmtId="0" fontId="286" fillId="18" borderId="174" xfId="0" applyFont="1" applyFill="1" applyBorder="1" applyAlignment="1" applyProtection="1">
      <alignment horizontal="center" vertical="center" wrapText="1"/>
      <protection hidden="1"/>
    </xf>
    <xf numFmtId="0" fontId="286" fillId="18" borderId="0" xfId="0" applyFont="1" applyFill="1" applyAlignment="1" applyProtection="1">
      <alignment horizontal="center" vertical="center" wrapText="1"/>
      <protection hidden="1"/>
    </xf>
    <xf numFmtId="0" fontId="286" fillId="18" borderId="176" xfId="0" applyFont="1" applyFill="1" applyBorder="1" applyAlignment="1" applyProtection="1">
      <alignment horizontal="center" vertical="center" wrapText="1"/>
      <protection hidden="1"/>
    </xf>
    <xf numFmtId="0" fontId="286" fillId="18" borderId="172" xfId="0" applyFont="1" applyFill="1" applyBorder="1" applyAlignment="1" applyProtection="1">
      <alignment horizontal="center" vertical="center" wrapText="1"/>
      <protection hidden="1"/>
    </xf>
    <xf numFmtId="0" fontId="286" fillId="18" borderId="175" xfId="0" applyFont="1" applyFill="1" applyBorder="1" applyAlignment="1" applyProtection="1">
      <alignment horizontal="center" vertical="center" wrapText="1"/>
      <protection hidden="1"/>
    </xf>
    <xf numFmtId="0" fontId="604" fillId="19" borderId="0" xfId="0" applyFont="1" applyFill="1" applyAlignment="1" applyProtection="1">
      <alignment horizontal="center"/>
      <protection hidden="1"/>
    </xf>
    <xf numFmtId="0" fontId="649" fillId="19" borderId="0" xfId="0" applyFont="1" applyFill="1" applyAlignment="1" applyProtection="1">
      <alignment horizontal="center" vertical="center"/>
      <protection hidden="1"/>
    </xf>
    <xf numFmtId="0" fontId="235" fillId="19" borderId="0" xfId="0" applyFont="1" applyFill="1" applyAlignment="1" applyProtection="1">
      <alignment horizontal="center" vertical="center"/>
      <protection hidden="1"/>
    </xf>
    <xf numFmtId="170" fontId="41" fillId="0" borderId="0" xfId="0" applyNumberFormat="1" applyFont="1" applyAlignment="1" applyProtection="1">
      <alignment horizontal="center"/>
      <protection hidden="1"/>
    </xf>
    <xf numFmtId="0" fontId="650" fillId="4" borderId="0" xfId="0" applyFont="1" applyFill="1" applyAlignment="1" applyProtection="1">
      <alignment horizontal="center" vertical="center"/>
      <protection hidden="1"/>
    </xf>
    <xf numFmtId="164" fontId="41" fillId="19" borderId="0" xfId="0" applyNumberFormat="1" applyFont="1" applyFill="1" applyAlignment="1" applyProtection="1">
      <alignment horizontal="center" vertical="center"/>
      <protection hidden="1"/>
    </xf>
    <xf numFmtId="164" fontId="37" fillId="4" borderId="0" xfId="0" applyNumberFormat="1" applyFont="1" applyFill="1" applyAlignment="1" applyProtection="1">
      <alignment horizontal="center" vertical="center"/>
      <protection hidden="1"/>
    </xf>
    <xf numFmtId="0" fontId="235" fillId="4" borderId="0" xfId="0" applyFont="1" applyFill="1" applyAlignment="1" applyProtection="1">
      <alignment horizontal="center" vertical="center"/>
      <protection hidden="1"/>
    </xf>
    <xf numFmtId="0" fontId="40" fillId="0" borderId="35" xfId="0" applyFont="1" applyBorder="1" applyAlignment="1" applyProtection="1">
      <alignment horizontal="center" vertical="center" wrapText="1"/>
      <protection hidden="1"/>
    </xf>
    <xf numFmtId="0" fontId="40" fillId="0" borderId="51" xfId="0" applyFont="1" applyBorder="1" applyAlignment="1" applyProtection="1">
      <alignment horizontal="center" vertical="center" wrapText="1"/>
      <protection hidden="1"/>
    </xf>
    <xf numFmtId="0" fontId="40" fillId="0" borderId="34" xfId="0" applyFont="1" applyBorder="1" applyAlignment="1" applyProtection="1">
      <alignment horizontal="center" vertical="center" wrapText="1"/>
      <protection hidden="1"/>
    </xf>
    <xf numFmtId="0" fontId="40" fillId="0" borderId="33" xfId="0" applyFont="1" applyBorder="1" applyAlignment="1" applyProtection="1">
      <alignment horizontal="center" vertical="center" wrapText="1"/>
      <protection hidden="1"/>
    </xf>
    <xf numFmtId="0" fontId="40" fillId="0" borderId="52" xfId="0" applyFont="1" applyBorder="1" applyAlignment="1" applyProtection="1">
      <alignment horizontal="center" vertical="center" wrapText="1"/>
      <protection hidden="1"/>
    </xf>
    <xf numFmtId="0" fontId="40" fillId="0" borderId="22" xfId="0" applyFont="1" applyBorder="1" applyAlignment="1" applyProtection="1">
      <alignment horizontal="center" vertical="center" wrapText="1"/>
      <protection hidden="1"/>
    </xf>
    <xf numFmtId="0" fontId="435" fillId="19" borderId="161" xfId="0" applyFont="1" applyFill="1" applyBorder="1" applyAlignment="1" applyProtection="1">
      <alignment horizontal="center" vertical="center"/>
      <protection hidden="1"/>
    </xf>
    <xf numFmtId="2" fontId="130" fillId="18" borderId="0" xfId="0" applyNumberFormat="1" applyFont="1" applyFill="1" applyAlignment="1" applyProtection="1">
      <alignment horizontal="right" vertical="center"/>
      <protection hidden="1"/>
    </xf>
    <xf numFmtId="2" fontId="130" fillId="18" borderId="0" xfId="0" applyNumberFormat="1" applyFont="1" applyFill="1" applyAlignment="1" applyProtection="1">
      <alignment horizontal="left" vertical="center"/>
      <protection hidden="1"/>
    </xf>
    <xf numFmtId="167" fontId="41" fillId="0" borderId="0" xfId="0" applyNumberFormat="1" applyFont="1" applyAlignment="1" applyProtection="1">
      <alignment horizontal="center" vertical="center"/>
      <protection hidden="1"/>
    </xf>
    <xf numFmtId="0" fontId="37" fillId="18" borderId="0" xfId="0" applyFont="1" applyFill="1" applyAlignment="1" applyProtection="1">
      <alignment horizontal="center" vertical="center"/>
      <protection hidden="1"/>
    </xf>
    <xf numFmtId="2" fontId="130" fillId="18" borderId="0" xfId="0" quotePrefix="1" applyNumberFormat="1" applyFont="1" applyFill="1" applyAlignment="1" applyProtection="1">
      <alignment horizontal="right" vertical="center"/>
      <protection hidden="1"/>
    </xf>
    <xf numFmtId="0" fontId="305" fillId="17" borderId="0" xfId="0" applyFont="1" applyFill="1" applyAlignment="1" applyProtection="1">
      <alignment horizontal="center" vertical="top" wrapText="1"/>
      <protection locked="0"/>
    </xf>
    <xf numFmtId="0" fontId="60" fillId="3" borderId="181" xfId="0" applyFont="1" applyFill="1" applyBorder="1" applyAlignment="1" applyProtection="1">
      <alignment horizontal="center" vertical="center" wrapText="1"/>
      <protection hidden="1"/>
    </xf>
    <xf numFmtId="0" fontId="60" fillId="3" borderId="182" xfId="0" applyFont="1" applyFill="1" applyBorder="1" applyAlignment="1" applyProtection="1">
      <alignment horizontal="center" vertical="center" wrapText="1"/>
      <protection hidden="1"/>
    </xf>
    <xf numFmtId="0" fontId="60" fillId="3" borderId="183" xfId="0" applyFont="1" applyFill="1" applyBorder="1" applyAlignment="1" applyProtection="1">
      <alignment horizontal="center" vertical="center" wrapText="1"/>
      <protection hidden="1"/>
    </xf>
    <xf numFmtId="0" fontId="60" fillId="3" borderId="184" xfId="0" applyFont="1" applyFill="1" applyBorder="1" applyAlignment="1" applyProtection="1">
      <alignment horizontal="center" vertical="center" wrapText="1"/>
      <protection hidden="1"/>
    </xf>
    <xf numFmtId="0" fontId="60" fillId="3" borderId="185" xfId="0" applyFont="1" applyFill="1" applyBorder="1" applyAlignment="1" applyProtection="1">
      <alignment horizontal="center" vertical="center" wrapText="1"/>
      <protection hidden="1"/>
    </xf>
    <xf numFmtId="0" fontId="60" fillId="3" borderId="186" xfId="0" applyFont="1" applyFill="1" applyBorder="1" applyAlignment="1" applyProtection="1">
      <alignment horizontal="center" vertical="center" wrapText="1"/>
      <protection hidden="1"/>
    </xf>
    <xf numFmtId="0" fontId="305" fillId="17" borderId="93" xfId="0" applyFont="1" applyFill="1" applyBorder="1" applyAlignment="1" applyProtection="1">
      <alignment horizontal="center" vertical="top" wrapText="1"/>
      <protection locked="0"/>
    </xf>
    <xf numFmtId="167" fontId="41" fillId="18" borderId="0" xfId="0" applyNumberFormat="1" applyFont="1" applyFill="1" applyAlignment="1" applyProtection="1">
      <alignment horizontal="center" vertical="center"/>
      <protection locked="0"/>
    </xf>
    <xf numFmtId="170" fontId="117" fillId="0" borderId="0" xfId="0" applyNumberFormat="1" applyFont="1" applyAlignment="1" applyProtection="1">
      <alignment horizontal="center" vertical="center"/>
      <protection hidden="1"/>
    </xf>
    <xf numFmtId="170" fontId="41" fillId="0" borderId="0" xfId="0" applyNumberFormat="1" applyFont="1" applyAlignment="1" applyProtection="1">
      <alignment horizontal="center"/>
      <protection locked="0"/>
    </xf>
    <xf numFmtId="167" fontId="280" fillId="19" borderId="0" xfId="0" applyNumberFormat="1" applyFont="1" applyFill="1" applyAlignment="1" applyProtection="1">
      <alignment horizontal="center" vertical="center"/>
      <protection locked="0"/>
    </xf>
    <xf numFmtId="164" fontId="18" fillId="18" borderId="93" xfId="0" applyNumberFormat="1" applyFont="1" applyFill="1" applyBorder="1" applyAlignment="1" applyProtection="1">
      <alignment horizontal="center" vertical="center"/>
      <protection hidden="1"/>
    </xf>
    <xf numFmtId="0" fontId="130" fillId="0" borderId="0" xfId="0" applyFont="1" applyAlignment="1" applyProtection="1">
      <alignment horizontal="right"/>
      <protection hidden="1"/>
    </xf>
    <xf numFmtId="0" fontId="228" fillId="0" borderId="0" xfId="0" applyFont="1" applyAlignment="1" applyProtection="1">
      <alignment horizontal="center" vertical="center"/>
      <protection hidden="1"/>
    </xf>
    <xf numFmtId="0" fontId="321" fillId="18" borderId="0" xfId="0" applyFont="1" applyFill="1" applyAlignment="1" applyProtection="1">
      <alignment horizontal="center" vertical="center"/>
      <protection hidden="1"/>
    </xf>
    <xf numFmtId="170" fontId="321" fillId="18" borderId="0" xfId="0" applyNumberFormat="1" applyFont="1" applyFill="1" applyAlignment="1" applyProtection="1">
      <alignment horizontal="center" vertical="center"/>
      <protection hidden="1"/>
    </xf>
    <xf numFmtId="0" fontId="149" fillId="0" borderId="0" xfId="0" applyFont="1" applyAlignment="1" applyProtection="1">
      <alignment horizontal="center" wrapText="1"/>
      <protection locked="0"/>
    </xf>
    <xf numFmtId="0" fontId="149" fillId="0" borderId="52" xfId="0" applyFont="1" applyBorder="1" applyAlignment="1" applyProtection="1">
      <alignment horizontal="center" wrapText="1"/>
      <protection locked="0"/>
    </xf>
    <xf numFmtId="0" fontId="305" fillId="0" borderId="0" xfId="0" applyFont="1" applyAlignment="1" applyProtection="1">
      <alignment horizontal="center" wrapText="1"/>
      <protection locked="0"/>
    </xf>
    <xf numFmtId="0" fontId="305" fillId="0" borderId="52" xfId="0" applyFont="1" applyBorder="1" applyAlignment="1" applyProtection="1">
      <alignment horizontal="center" wrapText="1"/>
      <protection locked="0"/>
    </xf>
    <xf numFmtId="0" fontId="149" fillId="0" borderId="0" xfId="0" applyFont="1" applyAlignment="1" applyProtection="1">
      <alignment horizontal="left" wrapText="1" indent="1"/>
      <protection locked="0"/>
    </xf>
    <xf numFmtId="0" fontId="149" fillId="0" borderId="52" xfId="0" applyFont="1" applyBorder="1" applyAlignment="1" applyProtection="1">
      <alignment horizontal="left" wrapText="1" indent="1"/>
      <protection locked="0"/>
    </xf>
    <xf numFmtId="1" fontId="294" fillId="0" borderId="33" xfId="0" applyNumberFormat="1" applyFont="1" applyBorder="1" applyAlignment="1" applyProtection="1">
      <alignment horizontal="center" vertical="center"/>
      <protection locked="0"/>
    </xf>
    <xf numFmtId="1" fontId="294" fillId="0" borderId="52" xfId="0" applyNumberFormat="1" applyFont="1" applyBorder="1" applyAlignment="1" applyProtection="1">
      <alignment horizontal="center" vertical="center"/>
      <protection locked="0"/>
    </xf>
    <xf numFmtId="1" fontId="294" fillId="0" borderId="22" xfId="0" applyNumberFormat="1" applyFont="1" applyBorder="1" applyAlignment="1" applyProtection="1">
      <alignment horizontal="center" vertical="center"/>
      <protection locked="0"/>
    </xf>
    <xf numFmtId="1" fontId="15" fillId="0" borderId="33" xfId="0" applyNumberFormat="1" applyFont="1" applyBorder="1" applyAlignment="1" applyProtection="1">
      <alignment horizontal="center" vertical="center"/>
      <protection locked="0"/>
    </xf>
    <xf numFmtId="1" fontId="15" fillId="0" borderId="52" xfId="0" applyNumberFormat="1" applyFont="1" applyBorder="1" applyAlignment="1" applyProtection="1">
      <alignment horizontal="center" vertical="center"/>
      <protection locked="0"/>
    </xf>
    <xf numFmtId="1" fontId="15" fillId="0" borderId="22" xfId="0" applyNumberFormat="1" applyFont="1" applyBorder="1" applyAlignment="1" applyProtection="1">
      <alignment horizontal="center" vertical="center"/>
      <protection locked="0"/>
    </xf>
    <xf numFmtId="1" fontId="101" fillId="0" borderId="32" xfId="0" applyNumberFormat="1" applyFont="1" applyBorder="1" applyAlignment="1" applyProtection="1">
      <alignment horizontal="center"/>
      <protection locked="0"/>
    </xf>
    <xf numFmtId="1" fontId="101" fillId="0" borderId="105" xfId="0" applyNumberFormat="1" applyFont="1" applyBorder="1" applyAlignment="1" applyProtection="1">
      <alignment horizontal="center"/>
      <protection locked="0"/>
    </xf>
    <xf numFmtId="1" fontId="101" fillId="0" borderId="132" xfId="0" applyNumberFormat="1" applyFont="1" applyBorder="1" applyAlignment="1" applyProtection="1">
      <alignment horizontal="center"/>
      <protection locked="0"/>
    </xf>
    <xf numFmtId="0" fontId="653" fillId="17" borderId="0" xfId="0" applyFont="1" applyFill="1" applyAlignment="1" applyProtection="1">
      <alignment horizontal="center" vertical="center"/>
      <protection hidden="1"/>
    </xf>
    <xf numFmtId="0" fontId="286" fillId="16" borderId="252" xfId="0" applyFont="1" applyFill="1" applyBorder="1" applyAlignment="1" applyProtection="1">
      <alignment horizontal="center" vertical="center" wrapText="1"/>
      <protection hidden="1"/>
    </xf>
    <xf numFmtId="0" fontId="286" fillId="16" borderId="257" xfId="0" applyFont="1" applyFill="1" applyBorder="1" applyAlignment="1" applyProtection="1">
      <alignment horizontal="center" vertical="center" wrapText="1"/>
      <protection hidden="1"/>
    </xf>
    <xf numFmtId="0" fontId="286" fillId="16" borderId="0" xfId="0" applyFont="1" applyFill="1" applyAlignment="1" applyProtection="1">
      <alignment horizontal="center" vertical="center" wrapText="1"/>
      <protection hidden="1"/>
    </xf>
    <xf numFmtId="0" fontId="286" fillId="16" borderId="258" xfId="0" applyFont="1" applyFill="1" applyBorder="1" applyAlignment="1" applyProtection="1">
      <alignment horizontal="center" vertical="center" wrapText="1"/>
      <protection hidden="1"/>
    </xf>
    <xf numFmtId="0" fontId="286" fillId="16" borderId="254" xfId="0" applyFont="1" applyFill="1" applyBorder="1" applyAlignment="1" applyProtection="1">
      <alignment horizontal="center" vertical="center" wrapText="1"/>
      <protection hidden="1"/>
    </xf>
    <xf numFmtId="0" fontId="286" fillId="16" borderId="256" xfId="0" applyFont="1" applyFill="1" applyBorder="1" applyAlignment="1" applyProtection="1">
      <alignment horizontal="center" vertical="center" wrapText="1"/>
      <protection hidden="1"/>
    </xf>
    <xf numFmtId="0" fontId="585" fillId="16" borderId="252" xfId="0" applyFont="1" applyFill="1" applyBorder="1" applyAlignment="1" applyProtection="1">
      <alignment horizontal="center"/>
      <protection hidden="1"/>
    </xf>
    <xf numFmtId="0" fontId="585" fillId="16" borderId="0" xfId="0" applyFont="1" applyFill="1" applyAlignment="1" applyProtection="1">
      <alignment horizontal="center"/>
      <protection hidden="1"/>
    </xf>
    <xf numFmtId="0" fontId="305" fillId="17" borderId="0" xfId="0" applyFont="1" applyFill="1" applyAlignment="1" applyProtection="1">
      <alignment horizontal="center" vertical="center"/>
      <protection locked="0"/>
    </xf>
    <xf numFmtId="0" fontId="146" fillId="16" borderId="256" xfId="0" applyFont="1" applyFill="1" applyBorder="1" applyAlignment="1" applyProtection="1">
      <alignment horizontal="center" vertical="top" wrapText="1"/>
      <protection hidden="1"/>
    </xf>
    <xf numFmtId="0" fontId="146" fillId="16" borderId="0" xfId="0" applyFont="1" applyFill="1" applyAlignment="1" applyProtection="1">
      <alignment horizontal="center" vertical="top" wrapText="1"/>
      <protection hidden="1"/>
    </xf>
    <xf numFmtId="0" fontId="146" fillId="16" borderId="258" xfId="0" applyFont="1" applyFill="1" applyBorder="1" applyAlignment="1" applyProtection="1">
      <alignment horizontal="center" vertical="top" wrapText="1"/>
      <protection hidden="1"/>
    </xf>
    <xf numFmtId="0" fontId="146" fillId="16" borderId="255" xfId="0" applyFont="1" applyFill="1" applyBorder="1" applyAlignment="1" applyProtection="1">
      <alignment horizontal="center" vertical="top" wrapText="1"/>
      <protection hidden="1"/>
    </xf>
    <xf numFmtId="0" fontId="146" fillId="16" borderId="253" xfId="0" applyFont="1" applyFill="1" applyBorder="1" applyAlignment="1" applyProtection="1">
      <alignment horizontal="center" vertical="top" wrapText="1"/>
      <protection hidden="1"/>
    </xf>
    <xf numFmtId="0" fontId="146" fillId="16" borderId="259" xfId="0" applyFont="1" applyFill="1" applyBorder="1" applyAlignment="1" applyProtection="1">
      <alignment horizontal="center" vertical="top" wrapText="1"/>
      <protection hidden="1"/>
    </xf>
    <xf numFmtId="0" fontId="130" fillId="0" borderId="0" xfId="0" applyFont="1" applyAlignment="1" applyProtection="1">
      <alignment horizontal="center" vertical="top"/>
      <protection locked="0"/>
    </xf>
    <xf numFmtId="0" fontId="27" fillId="17" borderId="253" xfId="0" applyFont="1" applyFill="1" applyBorder="1" applyAlignment="1" applyProtection="1">
      <alignment horizontal="center"/>
      <protection hidden="1"/>
    </xf>
    <xf numFmtId="0" fontId="23" fillId="0" borderId="100" xfId="0" applyFont="1" applyBorder="1" applyAlignment="1" applyProtection="1">
      <alignment horizontal="center" vertical="center"/>
      <protection hidden="1"/>
    </xf>
    <xf numFmtId="0" fontId="306" fillId="0" borderId="0" xfId="0" applyFont="1" applyAlignment="1" applyProtection="1">
      <alignment horizontal="right" vertical="center"/>
      <protection hidden="1"/>
    </xf>
    <xf numFmtId="0" fontId="306" fillId="0" borderId="0" xfId="0" applyFont="1" applyAlignment="1" applyProtection="1">
      <alignment horizontal="left" vertical="center"/>
      <protection hidden="1"/>
    </xf>
    <xf numFmtId="0" fontId="306" fillId="0" borderId="176" xfId="0" applyFont="1" applyBorder="1" applyAlignment="1" applyProtection="1">
      <alignment horizontal="left" vertical="center"/>
      <protection hidden="1"/>
    </xf>
    <xf numFmtId="0" fontId="307" fillId="18" borderId="248" xfId="0" applyFont="1" applyFill="1" applyBorder="1" applyAlignment="1" applyProtection="1">
      <alignment horizontal="center" vertical="center" wrapText="1"/>
      <protection hidden="1"/>
    </xf>
    <xf numFmtId="0" fontId="307" fillId="18" borderId="247" xfId="0" applyFont="1" applyFill="1" applyBorder="1" applyAlignment="1" applyProtection="1">
      <alignment horizontal="center" vertical="center" wrapText="1"/>
      <protection hidden="1"/>
    </xf>
    <xf numFmtId="0" fontId="307" fillId="18" borderId="249" xfId="0" applyFont="1" applyFill="1" applyBorder="1" applyAlignment="1" applyProtection="1">
      <alignment horizontal="center" vertical="center" wrapText="1"/>
      <protection hidden="1"/>
    </xf>
    <xf numFmtId="0" fontId="307" fillId="18" borderId="250" xfId="0" applyFont="1" applyFill="1" applyBorder="1" applyAlignment="1" applyProtection="1">
      <alignment horizontal="center" vertical="center" wrapText="1"/>
      <protection hidden="1"/>
    </xf>
    <xf numFmtId="0" fontId="307" fillId="18" borderId="166" xfId="0" applyFont="1" applyFill="1" applyBorder="1" applyAlignment="1" applyProtection="1">
      <alignment horizontal="center" vertical="center" wrapText="1"/>
      <protection hidden="1"/>
    </xf>
    <xf numFmtId="0" fontId="307" fillId="18" borderId="251" xfId="0" applyFont="1" applyFill="1" applyBorder="1" applyAlignment="1" applyProtection="1">
      <alignment horizontal="center" vertical="center" wrapText="1"/>
      <protection hidden="1"/>
    </xf>
    <xf numFmtId="0" fontId="138" fillId="18" borderId="33" xfId="0" applyFont="1" applyFill="1" applyBorder="1" applyAlignment="1" applyProtection="1">
      <alignment horizontal="center" vertical="center" wrapText="1"/>
      <protection hidden="1"/>
    </xf>
    <xf numFmtId="0" fontId="138" fillId="18" borderId="52" xfId="0" applyFont="1" applyFill="1" applyBorder="1" applyAlignment="1" applyProtection="1">
      <alignment horizontal="center" vertical="center" wrapText="1"/>
      <protection hidden="1"/>
    </xf>
    <xf numFmtId="0" fontId="138" fillId="18" borderId="22" xfId="0" applyFont="1" applyFill="1" applyBorder="1" applyAlignment="1" applyProtection="1">
      <alignment horizontal="center" vertical="center" wrapText="1"/>
      <protection hidden="1"/>
    </xf>
    <xf numFmtId="0" fontId="138" fillId="18" borderId="32" xfId="0" applyFont="1" applyFill="1" applyBorder="1" applyAlignment="1" applyProtection="1">
      <alignment horizontal="center" vertical="center" wrapText="1"/>
      <protection hidden="1"/>
    </xf>
    <xf numFmtId="0" fontId="138" fillId="18" borderId="105" xfId="0" applyFont="1" applyFill="1" applyBorder="1" applyAlignment="1" applyProtection="1">
      <alignment horizontal="center" vertical="center" wrapText="1"/>
      <protection hidden="1"/>
    </xf>
    <xf numFmtId="0" fontId="138" fillId="18" borderId="132" xfId="0" applyFont="1" applyFill="1" applyBorder="1" applyAlignment="1" applyProtection="1">
      <alignment horizontal="center" vertical="center" wrapText="1"/>
      <protection hidden="1"/>
    </xf>
    <xf numFmtId="0" fontId="467" fillId="4" borderId="0" xfId="0" applyFont="1" applyFill="1" applyAlignment="1" applyProtection="1">
      <alignment horizontal="center" vertical="center" wrapText="1"/>
      <protection hidden="1"/>
    </xf>
    <xf numFmtId="2" fontId="258" fillId="0" borderId="52" xfId="2" applyNumberFormat="1" applyFont="1" applyBorder="1" applyAlignment="1" applyProtection="1">
      <alignment horizontal="left" indent="1"/>
      <protection locked="0"/>
    </xf>
    <xf numFmtId="4" fontId="101" fillId="0" borderId="52" xfId="2" applyNumberFormat="1" applyFont="1" applyBorder="1" applyAlignment="1" applyProtection="1">
      <alignment horizontal="left"/>
      <protection locked="0"/>
    </xf>
    <xf numFmtId="4" fontId="101" fillId="0" borderId="52" xfId="2" applyNumberFormat="1" applyFont="1" applyBorder="1" applyAlignment="1" applyProtection="1">
      <alignment horizontal="right"/>
      <protection locked="0"/>
    </xf>
    <xf numFmtId="4" fontId="101" fillId="0" borderId="93" xfId="2" applyNumberFormat="1" applyFont="1" applyBorder="1" applyAlignment="1" applyProtection="1">
      <alignment horizontal="left"/>
      <protection hidden="1"/>
    </xf>
    <xf numFmtId="4" fontId="23" fillId="0" borderId="93" xfId="2" applyNumberFormat="1" applyFont="1" applyBorder="1" applyAlignment="1" applyProtection="1">
      <alignment horizontal="right"/>
      <protection hidden="1"/>
    </xf>
    <xf numFmtId="2" fontId="258" fillId="0" borderId="52" xfId="2" applyNumberFormat="1" applyFont="1" applyBorder="1" applyAlignment="1" applyProtection="1">
      <alignment horizontal="right" indent="1"/>
      <protection locked="0"/>
    </xf>
    <xf numFmtId="0" fontId="23" fillId="0" borderId="52" xfId="0" applyFont="1" applyBorder="1" applyAlignment="1" applyProtection="1">
      <alignment horizontal="left"/>
      <protection locked="0"/>
    </xf>
    <xf numFmtId="4" fontId="23" fillId="0" borderId="52" xfId="2" applyNumberFormat="1" applyFont="1" applyBorder="1" applyAlignment="1" applyProtection="1">
      <alignment horizontal="right"/>
      <protection locked="0"/>
    </xf>
    <xf numFmtId="2" fontId="258" fillId="0" borderId="52" xfId="2" quotePrefix="1" applyNumberFormat="1" applyFont="1" applyBorder="1" applyAlignment="1" applyProtection="1">
      <alignment horizontal="right" indent="1"/>
      <protection locked="0"/>
    </xf>
    <xf numFmtId="4" fontId="23" fillId="0" borderId="52" xfId="2" applyNumberFormat="1" applyFont="1" applyBorder="1" applyAlignment="1" applyProtection="1">
      <alignment horizontal="right"/>
      <protection hidden="1"/>
    </xf>
    <xf numFmtId="4" fontId="101" fillId="0" borderId="105" xfId="2" applyNumberFormat="1" applyFont="1" applyBorder="1" applyAlignment="1" applyProtection="1">
      <alignment horizontal="right"/>
      <protection locked="0"/>
    </xf>
    <xf numFmtId="4" fontId="101" fillId="0" borderId="105" xfId="2" applyNumberFormat="1" applyFont="1" applyBorder="1" applyAlignment="1" applyProtection="1">
      <protection locked="0"/>
    </xf>
    <xf numFmtId="0" fontId="37" fillId="0" borderId="0" xfId="0" applyFont="1" applyAlignment="1" applyProtection="1">
      <alignment horizontal="right" vertical="center"/>
      <protection hidden="1"/>
    </xf>
    <xf numFmtId="170" fontId="37" fillId="0" borderId="0" xfId="0" applyNumberFormat="1" applyFont="1" applyAlignment="1" applyProtection="1">
      <alignment horizontal="left" vertical="center"/>
      <protection hidden="1"/>
    </xf>
    <xf numFmtId="2" fontId="508" fillId="19" borderId="154" xfId="2" applyNumberFormat="1" applyFont="1" applyFill="1" applyBorder="1" applyAlignment="1" applyProtection="1">
      <alignment horizontal="right" indent="1"/>
      <protection locked="0"/>
    </xf>
    <xf numFmtId="0" fontId="117" fillId="19" borderId="154" xfId="0" applyFont="1" applyFill="1" applyBorder="1" applyAlignment="1" applyProtection="1">
      <alignment horizontal="left"/>
      <protection locked="0"/>
    </xf>
    <xf numFmtId="4" fontId="117" fillId="19" borderId="154" xfId="2" applyNumberFormat="1" applyFont="1" applyFill="1" applyBorder="1" applyAlignment="1" applyProtection="1">
      <alignment horizontal="right"/>
      <protection locked="0"/>
    </xf>
    <xf numFmtId="2" fontId="508" fillId="19" borderId="154" xfId="2" applyNumberFormat="1" applyFont="1" applyFill="1" applyBorder="1" applyAlignment="1" applyProtection="1">
      <alignment horizontal="left" indent="1"/>
      <protection locked="0"/>
    </xf>
    <xf numFmtId="170" fontId="41" fillId="4" borderId="192" xfId="2" applyNumberFormat="1" applyFont="1" applyFill="1" applyBorder="1" applyAlignment="1" applyProtection="1">
      <alignment horizontal="right"/>
      <protection hidden="1"/>
    </xf>
    <xf numFmtId="170" fontId="41" fillId="4" borderId="192" xfId="2" applyNumberFormat="1" applyFont="1" applyFill="1" applyBorder="1" applyAlignment="1" applyProtection="1">
      <alignment horizontal="left"/>
      <protection hidden="1"/>
    </xf>
    <xf numFmtId="170" fontId="41" fillId="4" borderId="0" xfId="0" applyNumberFormat="1" applyFont="1" applyFill="1" applyAlignment="1" applyProtection="1">
      <alignment horizontal="right" indent="1"/>
      <protection hidden="1"/>
    </xf>
    <xf numFmtId="0" fontId="41" fillId="19" borderId="156" xfId="0" applyFont="1" applyFill="1" applyBorder="1" applyAlignment="1" applyProtection="1">
      <alignment horizontal="right" vertical="center"/>
      <protection hidden="1"/>
    </xf>
    <xf numFmtId="170" fontId="41" fillId="19" borderId="156" xfId="0" applyNumberFormat="1" applyFont="1" applyFill="1" applyBorder="1" applyAlignment="1" applyProtection="1">
      <alignment horizontal="left" vertical="center"/>
      <protection hidden="1"/>
    </xf>
    <xf numFmtId="0" fontId="41" fillId="19" borderId="0" xfId="0" applyFont="1" applyFill="1" applyAlignment="1" applyProtection="1">
      <alignment horizontal="right" vertical="center"/>
      <protection hidden="1"/>
    </xf>
    <xf numFmtId="170" fontId="41" fillId="19" borderId="0" xfId="0" applyNumberFormat="1" applyFont="1" applyFill="1" applyAlignment="1" applyProtection="1">
      <alignment horizontal="left" vertical="center"/>
      <protection hidden="1"/>
    </xf>
    <xf numFmtId="0" fontId="513" fillId="20" borderId="0" xfId="0" applyFont="1" applyFill="1" applyAlignment="1" applyProtection="1">
      <alignment horizontal="left" vertical="center" wrapText="1" indent="3"/>
      <protection hidden="1"/>
    </xf>
    <xf numFmtId="170" fontId="41" fillId="20" borderId="0" xfId="0" applyNumberFormat="1" applyFont="1" applyFill="1" applyAlignment="1" applyProtection="1">
      <alignment horizontal="right" vertical="center" indent="1"/>
      <protection locked="0"/>
    </xf>
    <xf numFmtId="16" fontId="168" fillId="20" borderId="0" xfId="0" applyNumberFormat="1" applyFont="1" applyFill="1" applyAlignment="1" applyProtection="1">
      <alignment horizontal="right" vertical="center" indent="1"/>
      <protection locked="0"/>
    </xf>
    <xf numFmtId="0" fontId="168" fillId="20" borderId="0" xfId="0" applyFont="1" applyFill="1" applyAlignment="1" applyProtection="1">
      <alignment horizontal="right" vertical="center" indent="1"/>
      <protection locked="0"/>
    </xf>
    <xf numFmtId="0" fontId="470" fillId="20" borderId="0" xfId="0" applyFont="1" applyFill="1" applyAlignment="1" applyProtection="1">
      <alignment horizontal="center" vertical="center" wrapText="1"/>
      <protection hidden="1"/>
    </xf>
    <xf numFmtId="170" fontId="41" fillId="20" borderId="192" xfId="2" applyNumberFormat="1" applyFont="1" applyFill="1" applyBorder="1" applyAlignment="1" applyProtection="1">
      <alignment horizontal="right"/>
      <protection hidden="1"/>
    </xf>
    <xf numFmtId="170" fontId="41" fillId="20" borderId="192" xfId="2" applyNumberFormat="1" applyFont="1" applyFill="1" applyBorder="1" applyAlignment="1" applyProtection="1">
      <alignment horizontal="left"/>
      <protection hidden="1"/>
    </xf>
    <xf numFmtId="4" fontId="101" fillId="0" borderId="324" xfId="2" applyNumberFormat="1" applyFont="1" applyBorder="1" applyAlignment="1" applyProtection="1">
      <alignment horizontal="left"/>
      <protection hidden="1"/>
    </xf>
    <xf numFmtId="4" fontId="23" fillId="0" borderId="324" xfId="2" applyNumberFormat="1" applyFont="1" applyBorder="1" applyAlignment="1" applyProtection="1">
      <alignment horizontal="right"/>
      <protection hidden="1"/>
    </xf>
    <xf numFmtId="14" fontId="101" fillId="0" borderId="0" xfId="0" applyNumberFormat="1" applyFont="1" applyAlignment="1" applyProtection="1">
      <alignment horizontal="center" vertical="top"/>
      <protection hidden="1"/>
    </xf>
    <xf numFmtId="169" fontId="102" fillId="0" borderId="0" xfId="0" applyNumberFormat="1" applyFont="1" applyAlignment="1" applyProtection="1">
      <alignment horizontal="center" vertical="top" wrapText="1"/>
      <protection locked="0"/>
    </xf>
    <xf numFmtId="0" fontId="652" fillId="18" borderId="0" xfId="0" applyFont="1" applyFill="1" applyAlignment="1" applyProtection="1">
      <alignment horizontal="center" vertical="center"/>
      <protection hidden="1"/>
    </xf>
    <xf numFmtId="0" fontId="390" fillId="4" borderId="155" xfId="0" applyFont="1" applyFill="1" applyBorder="1" applyAlignment="1" applyProtection="1">
      <alignment horizontal="center" vertical="center"/>
      <protection hidden="1"/>
    </xf>
    <xf numFmtId="0" fontId="390" fillId="4" borderId="156" xfId="0" applyFont="1" applyFill="1" applyBorder="1" applyAlignment="1" applyProtection="1">
      <alignment horizontal="center" vertical="center"/>
      <protection hidden="1"/>
    </xf>
    <xf numFmtId="0" fontId="390" fillId="4" borderId="157" xfId="0" applyFont="1" applyFill="1" applyBorder="1" applyAlignment="1" applyProtection="1">
      <alignment horizontal="center" vertical="center"/>
      <protection hidden="1"/>
    </xf>
    <xf numFmtId="0" fontId="390" fillId="4" borderId="158" xfId="0" applyFont="1" applyFill="1" applyBorder="1" applyAlignment="1" applyProtection="1">
      <alignment horizontal="center" vertical="center"/>
      <protection hidden="1"/>
    </xf>
    <xf numFmtId="0" fontId="390" fillId="4" borderId="0" xfId="0" applyFont="1" applyFill="1" applyAlignment="1" applyProtection="1">
      <alignment horizontal="center" vertical="center"/>
      <protection hidden="1"/>
    </xf>
    <xf numFmtId="0" fontId="390" fillId="4" borderId="159" xfId="0" applyFont="1" applyFill="1" applyBorder="1" applyAlignment="1" applyProtection="1">
      <alignment horizontal="center" vertical="center"/>
      <protection hidden="1"/>
    </xf>
    <xf numFmtId="0" fontId="390" fillId="4" borderId="160" xfId="0" applyFont="1" applyFill="1" applyBorder="1" applyAlignment="1" applyProtection="1">
      <alignment horizontal="center" vertical="center"/>
      <protection hidden="1"/>
    </xf>
    <xf numFmtId="0" fontId="390" fillId="4" borderId="161" xfId="0" applyFont="1" applyFill="1" applyBorder="1" applyAlignment="1" applyProtection="1">
      <alignment horizontal="center" vertical="center"/>
      <protection hidden="1"/>
    </xf>
    <xf numFmtId="0" fontId="390" fillId="4" borderId="162" xfId="0" applyFont="1" applyFill="1" applyBorder="1" applyAlignment="1" applyProtection="1">
      <alignment horizontal="center" vertical="center"/>
      <protection hidden="1"/>
    </xf>
    <xf numFmtId="0" fontId="611" fillId="18" borderId="0" xfId="0" applyFont="1" applyFill="1" applyAlignment="1" applyProtection="1">
      <alignment horizontal="center" vertical="center"/>
      <protection hidden="1"/>
    </xf>
    <xf numFmtId="0" fontId="130" fillId="0" borderId="0" xfId="0" applyFont="1" applyAlignment="1" applyProtection="1">
      <alignment horizontal="center"/>
      <protection locked="0"/>
    </xf>
    <xf numFmtId="169" fontId="248" fillId="0" borderId="32" xfId="0" applyNumberFormat="1" applyFont="1" applyBorder="1" applyAlignment="1" applyProtection="1">
      <alignment horizontal="center" vertical="center" wrapText="1"/>
      <protection locked="0"/>
    </xf>
    <xf numFmtId="169" fontId="248" fillId="0" borderId="105" xfId="0" applyNumberFormat="1" applyFont="1" applyBorder="1" applyAlignment="1" applyProtection="1">
      <alignment horizontal="center" vertical="center" wrapText="1"/>
      <protection locked="0"/>
    </xf>
    <xf numFmtId="169" fontId="248" fillId="0" borderId="132" xfId="0" applyNumberFormat="1" applyFont="1" applyBorder="1" applyAlignment="1" applyProtection="1">
      <alignment horizontal="center" vertical="center" wrapText="1"/>
      <protection locked="0"/>
    </xf>
    <xf numFmtId="0" fontId="528" fillId="17" borderId="0" xfId="0" applyFont="1" applyFill="1" applyAlignment="1" applyProtection="1">
      <alignment horizontal="center" vertical="center"/>
      <protection hidden="1"/>
    </xf>
    <xf numFmtId="0" fontId="528" fillId="17" borderId="0" xfId="0" applyFont="1" applyFill="1" applyAlignment="1" applyProtection="1">
      <alignment horizontal="left" vertical="center"/>
      <protection hidden="1"/>
    </xf>
    <xf numFmtId="0" fontId="149" fillId="18" borderId="403" xfId="0" applyFont="1" applyFill="1" applyBorder="1" applyAlignment="1" applyProtection="1">
      <alignment horizontal="center" vertical="center" wrapText="1"/>
      <protection hidden="1"/>
    </xf>
    <xf numFmtId="0" fontId="284" fillId="18" borderId="172" xfId="0" applyFont="1" applyFill="1" applyBorder="1" applyAlignment="1" applyProtection="1">
      <alignment horizontal="center" vertical="center" wrapText="1"/>
      <protection hidden="1"/>
    </xf>
    <xf numFmtId="0" fontId="284" fillId="18" borderId="173" xfId="0" applyFont="1" applyFill="1" applyBorder="1" applyAlignment="1" applyProtection="1">
      <alignment horizontal="center" vertical="center" wrapText="1"/>
      <protection hidden="1"/>
    </xf>
    <xf numFmtId="0" fontId="284" fillId="18" borderId="175" xfId="0" applyFont="1" applyFill="1" applyBorder="1" applyAlignment="1" applyProtection="1">
      <alignment horizontal="center" vertical="center" wrapText="1"/>
      <protection hidden="1"/>
    </xf>
    <xf numFmtId="0" fontId="284" fillId="18" borderId="0" xfId="0" applyFont="1" applyFill="1" applyAlignment="1" applyProtection="1">
      <alignment horizontal="center" vertical="center" wrapText="1"/>
      <protection hidden="1"/>
    </xf>
    <xf numFmtId="0" fontId="594" fillId="18" borderId="173" xfId="0" applyFont="1" applyFill="1" applyBorder="1" applyAlignment="1" applyProtection="1">
      <alignment horizontal="left" vertical="center" wrapText="1"/>
      <protection hidden="1"/>
    </xf>
    <xf numFmtId="0" fontId="594" fillId="18" borderId="115" xfId="0" applyFont="1" applyFill="1" applyBorder="1" applyAlignment="1" applyProtection="1">
      <alignment horizontal="left" vertical="center" wrapText="1"/>
      <protection hidden="1"/>
    </xf>
    <xf numFmtId="0" fontId="284" fillId="18" borderId="174" xfId="0" applyFont="1" applyFill="1" applyBorder="1" applyAlignment="1" applyProtection="1">
      <alignment horizontal="center" vertical="center" wrapText="1"/>
      <protection hidden="1"/>
    </xf>
    <xf numFmtId="0" fontId="284" fillId="18" borderId="176" xfId="0" applyFont="1" applyFill="1" applyBorder="1" applyAlignment="1" applyProtection="1">
      <alignment horizontal="center" vertical="center" wrapText="1"/>
      <protection hidden="1"/>
    </xf>
    <xf numFmtId="0" fontId="477" fillId="18" borderId="173" xfId="0" applyFont="1" applyFill="1" applyBorder="1" applyAlignment="1" applyProtection="1">
      <alignment horizontal="left" vertical="center" wrapText="1"/>
      <protection hidden="1"/>
    </xf>
    <xf numFmtId="0" fontId="477" fillId="18" borderId="115" xfId="0" applyFont="1" applyFill="1" applyBorder="1" applyAlignment="1" applyProtection="1">
      <alignment horizontal="left" vertical="center" wrapText="1"/>
      <protection hidden="1"/>
    </xf>
    <xf numFmtId="0" fontId="195" fillId="18" borderId="175" xfId="0" applyFont="1" applyFill="1" applyBorder="1" applyAlignment="1" applyProtection="1">
      <alignment horizontal="center" vertical="center" wrapText="1"/>
      <protection hidden="1"/>
    </xf>
    <xf numFmtId="0" fontId="195" fillId="18" borderId="177" xfId="0" applyFont="1" applyFill="1" applyBorder="1" applyAlignment="1" applyProtection="1">
      <alignment horizontal="center" vertical="center" wrapText="1"/>
      <protection hidden="1"/>
    </xf>
    <xf numFmtId="0" fontId="27" fillId="18" borderId="110" xfId="0" applyFont="1" applyFill="1" applyBorder="1" applyAlignment="1" applyProtection="1">
      <alignment horizontal="center" vertical="center" wrapText="1"/>
      <protection locked="0"/>
    </xf>
    <xf numFmtId="0" fontId="27" fillId="18" borderId="111" xfId="0" applyFont="1" applyFill="1" applyBorder="1" applyAlignment="1" applyProtection="1">
      <alignment horizontal="center" vertical="center" wrapText="1"/>
      <protection locked="0"/>
    </xf>
    <xf numFmtId="0" fontId="27" fillId="18" borderId="112" xfId="0" applyFont="1" applyFill="1" applyBorder="1" applyAlignment="1" applyProtection="1">
      <alignment horizontal="center" vertical="center" wrapText="1"/>
      <protection locked="0"/>
    </xf>
    <xf numFmtId="0" fontId="27" fillId="18" borderId="344" xfId="0" applyFont="1" applyFill="1" applyBorder="1" applyAlignment="1" applyProtection="1">
      <alignment horizontal="center" vertical="center" wrapText="1"/>
      <protection locked="0"/>
    </xf>
    <xf numFmtId="0" fontId="27" fillId="18" borderId="0" xfId="0" applyFont="1" applyFill="1" applyAlignment="1" applyProtection="1">
      <alignment horizontal="center" vertical="center" wrapText="1"/>
      <protection locked="0"/>
    </xf>
    <xf numFmtId="0" fontId="27" fillId="18" borderId="113" xfId="0" applyFont="1" applyFill="1" applyBorder="1" applyAlignment="1" applyProtection="1">
      <alignment horizontal="center" vertical="center" wrapText="1"/>
      <protection locked="0"/>
    </xf>
    <xf numFmtId="0" fontId="27" fillId="18" borderId="114" xfId="0" applyFont="1" applyFill="1" applyBorder="1" applyAlignment="1" applyProtection="1">
      <alignment horizontal="center" vertical="center" wrapText="1"/>
      <protection locked="0"/>
    </xf>
    <xf numFmtId="0" fontId="27" fillId="18" borderId="115" xfId="0" applyFont="1" applyFill="1" applyBorder="1" applyAlignment="1" applyProtection="1">
      <alignment horizontal="center" vertical="center" wrapText="1"/>
      <protection locked="0"/>
    </xf>
    <xf numFmtId="0" fontId="27" fillId="18" borderId="116" xfId="0" applyFont="1" applyFill="1" applyBorder="1" applyAlignment="1" applyProtection="1">
      <alignment horizontal="center" vertical="center" wrapText="1"/>
      <protection locked="0"/>
    </xf>
    <xf numFmtId="0" fontId="195" fillId="18" borderId="176" xfId="0" applyFont="1" applyFill="1" applyBorder="1" applyAlignment="1" applyProtection="1">
      <alignment horizontal="center" vertical="center" wrapText="1"/>
      <protection hidden="1"/>
    </xf>
    <xf numFmtId="0" fontId="195" fillId="18" borderId="179" xfId="0" applyFont="1" applyFill="1" applyBorder="1" applyAlignment="1" applyProtection="1">
      <alignment horizontal="center" vertical="center" wrapText="1"/>
      <protection hidden="1"/>
    </xf>
    <xf numFmtId="0" fontId="478" fillId="18" borderId="173" xfId="0" applyFont="1" applyFill="1" applyBorder="1" applyAlignment="1" applyProtection="1">
      <alignment horizontal="left" vertical="center" wrapText="1"/>
      <protection hidden="1"/>
    </xf>
    <xf numFmtId="0" fontId="478" fillId="18" borderId="115" xfId="0" applyFont="1" applyFill="1" applyBorder="1" applyAlignment="1" applyProtection="1">
      <alignment horizontal="left" vertical="center" wrapText="1"/>
      <protection hidden="1"/>
    </xf>
    <xf numFmtId="0" fontId="485" fillId="18" borderId="173" xfId="0" applyFont="1" applyFill="1" applyBorder="1" applyAlignment="1" applyProtection="1">
      <alignment horizontal="left" vertical="center" wrapText="1"/>
      <protection hidden="1"/>
    </xf>
    <xf numFmtId="0" fontId="485" fillId="18" borderId="115" xfId="0" applyFont="1" applyFill="1" applyBorder="1" applyAlignment="1" applyProtection="1">
      <alignment horizontal="left" vertical="center" wrapText="1"/>
      <protection hidden="1"/>
    </xf>
    <xf numFmtId="0" fontId="479" fillId="18" borderId="173" xfId="0" applyFont="1" applyFill="1" applyBorder="1" applyAlignment="1" applyProtection="1">
      <alignment horizontal="left" vertical="center" wrapText="1"/>
      <protection hidden="1"/>
    </xf>
    <xf numFmtId="0" fontId="479" fillId="18" borderId="115" xfId="0" applyFont="1" applyFill="1" applyBorder="1" applyAlignment="1" applyProtection="1">
      <alignment horizontal="left" vertical="center" wrapText="1"/>
      <protection hidden="1"/>
    </xf>
    <xf numFmtId="0" fontId="483" fillId="18" borderId="173" xfId="0" applyFont="1" applyFill="1" applyBorder="1" applyAlignment="1" applyProtection="1">
      <alignment horizontal="left" vertical="center" wrapText="1"/>
      <protection hidden="1"/>
    </xf>
    <xf numFmtId="0" fontId="483" fillId="18" borderId="115" xfId="0" applyFont="1" applyFill="1" applyBorder="1" applyAlignment="1" applyProtection="1">
      <alignment horizontal="left" vertical="center" wrapText="1"/>
      <protection hidden="1"/>
    </xf>
    <xf numFmtId="0" fontId="475" fillId="18" borderId="173" xfId="0" applyFont="1" applyFill="1" applyBorder="1" applyAlignment="1" applyProtection="1">
      <alignment horizontal="left" vertical="center" wrapText="1"/>
      <protection hidden="1"/>
    </xf>
    <xf numFmtId="0" fontId="475" fillId="18" borderId="115" xfId="0" applyFont="1" applyFill="1" applyBorder="1" applyAlignment="1" applyProtection="1">
      <alignment horizontal="left" vertical="center" wrapText="1"/>
      <protection hidden="1"/>
    </xf>
    <xf numFmtId="0" fontId="149" fillId="18" borderId="178" xfId="0" applyFont="1" applyFill="1" applyBorder="1" applyAlignment="1" applyProtection="1">
      <alignment horizontal="center" vertical="center" wrapText="1"/>
      <protection hidden="1"/>
    </xf>
    <xf numFmtId="0" fontId="482" fillId="18" borderId="173" xfId="0" applyFont="1" applyFill="1" applyBorder="1" applyAlignment="1" applyProtection="1">
      <alignment horizontal="left" vertical="center" wrapText="1"/>
      <protection hidden="1"/>
    </xf>
    <xf numFmtId="0" fontId="482" fillId="18" borderId="115" xfId="0" applyFont="1" applyFill="1" applyBorder="1" applyAlignment="1" applyProtection="1">
      <alignment horizontal="left" vertical="center" wrapText="1"/>
      <protection hidden="1"/>
    </xf>
    <xf numFmtId="0" fontId="481" fillId="18" borderId="173" xfId="0" applyFont="1" applyFill="1" applyBorder="1" applyAlignment="1" applyProtection="1">
      <alignment horizontal="left" vertical="center" wrapText="1"/>
      <protection hidden="1"/>
    </xf>
    <xf numFmtId="0" fontId="481" fillId="18" borderId="115" xfId="0" applyFont="1" applyFill="1" applyBorder="1" applyAlignment="1" applyProtection="1">
      <alignment horizontal="left" vertical="center" wrapText="1"/>
      <protection hidden="1"/>
    </xf>
    <xf numFmtId="0" fontId="473" fillId="18" borderId="173" xfId="0" applyFont="1" applyFill="1" applyBorder="1" applyAlignment="1" applyProtection="1">
      <alignment horizontal="left" vertical="center" wrapText="1"/>
      <protection hidden="1"/>
    </xf>
    <xf numFmtId="0" fontId="473" fillId="18" borderId="115" xfId="0" applyFont="1" applyFill="1" applyBorder="1" applyAlignment="1" applyProtection="1">
      <alignment horizontal="left" vertical="center" wrapText="1"/>
      <protection hidden="1"/>
    </xf>
    <xf numFmtId="0" fontId="478" fillId="18" borderId="0" xfId="0" applyFont="1" applyFill="1" applyAlignment="1" applyProtection="1">
      <alignment horizontal="left" vertical="center" wrapText="1"/>
      <protection hidden="1"/>
    </xf>
    <xf numFmtId="0" fontId="485" fillId="18" borderId="0" xfId="0" applyFont="1" applyFill="1" applyAlignment="1" applyProtection="1">
      <alignment horizontal="left" vertical="center" wrapText="1"/>
      <protection hidden="1"/>
    </xf>
    <xf numFmtId="0" fontId="477" fillId="18" borderId="0" xfId="0" applyFont="1" applyFill="1" applyAlignment="1" applyProtection="1">
      <alignment horizontal="left" vertical="center" wrapText="1"/>
      <protection hidden="1"/>
    </xf>
    <xf numFmtId="0" fontId="480" fillId="18" borderId="173" xfId="0" applyFont="1" applyFill="1" applyBorder="1" applyAlignment="1" applyProtection="1">
      <alignment horizontal="left" vertical="center" wrapText="1"/>
      <protection hidden="1"/>
    </xf>
    <xf numFmtId="0" fontId="480" fillId="18" borderId="0" xfId="0" applyFont="1" applyFill="1" applyAlignment="1" applyProtection="1">
      <alignment horizontal="left" vertical="center" wrapText="1"/>
      <protection hidden="1"/>
    </xf>
    <xf numFmtId="0" fontId="476" fillId="18" borderId="173" xfId="0" applyFont="1" applyFill="1" applyBorder="1" applyAlignment="1" applyProtection="1">
      <alignment horizontal="left" vertical="center" wrapText="1"/>
      <protection hidden="1"/>
    </xf>
    <xf numFmtId="0" fontId="476" fillId="18" borderId="0" xfId="0" applyFont="1" applyFill="1" applyAlignment="1" applyProtection="1">
      <alignment horizontal="left" vertical="center" wrapText="1"/>
      <protection hidden="1"/>
    </xf>
    <xf numFmtId="0" fontId="484" fillId="18" borderId="173" xfId="0" applyFont="1" applyFill="1" applyBorder="1" applyAlignment="1" applyProtection="1">
      <alignment horizontal="left" vertical="center" wrapText="1"/>
      <protection hidden="1"/>
    </xf>
    <xf numFmtId="0" fontId="484" fillId="18" borderId="0" xfId="0" applyFont="1" applyFill="1" applyAlignment="1" applyProtection="1">
      <alignment horizontal="left" vertical="center" wrapText="1"/>
      <protection hidden="1"/>
    </xf>
    <xf numFmtId="0" fontId="481" fillId="18" borderId="0" xfId="0" applyFont="1" applyFill="1" applyAlignment="1" applyProtection="1">
      <alignment horizontal="left" vertical="center" wrapText="1"/>
      <protection hidden="1"/>
    </xf>
    <xf numFmtId="0" fontId="482" fillId="18" borderId="0" xfId="0" applyFont="1" applyFill="1" applyAlignment="1" applyProtection="1">
      <alignment horizontal="left" vertical="center" wrapText="1"/>
      <protection hidden="1"/>
    </xf>
    <xf numFmtId="0" fontId="473" fillId="18" borderId="0" xfId="0" applyFont="1" applyFill="1" applyAlignment="1" applyProtection="1">
      <alignment horizontal="left" vertical="center" wrapText="1"/>
      <protection hidden="1"/>
    </xf>
    <xf numFmtId="169" fontId="60" fillId="4" borderId="404" xfId="0" applyNumberFormat="1" applyFont="1" applyFill="1" applyBorder="1" applyAlignment="1" applyProtection="1">
      <alignment horizontal="center" vertical="center" wrapText="1"/>
      <protection locked="0"/>
    </xf>
    <xf numFmtId="169" fontId="60" fillId="4" borderId="405" xfId="0" applyNumberFormat="1" applyFont="1" applyFill="1" applyBorder="1" applyAlignment="1" applyProtection="1">
      <alignment horizontal="center" vertical="center" wrapText="1"/>
      <protection locked="0"/>
    </xf>
    <xf numFmtId="169" fontId="60" fillId="4" borderId="406" xfId="0" applyNumberFormat="1" applyFont="1" applyFill="1" applyBorder="1" applyAlignment="1" applyProtection="1">
      <alignment horizontal="center" vertical="center" wrapText="1"/>
      <protection locked="0"/>
    </xf>
    <xf numFmtId="0" fontId="486" fillId="17" borderId="0" xfId="0" applyFont="1" applyFill="1" applyAlignment="1" applyProtection="1">
      <alignment horizontal="center" vertical="center"/>
      <protection hidden="1"/>
    </xf>
    <xf numFmtId="0" fontId="500" fillId="17" borderId="0" xfId="0" applyFont="1" applyFill="1" applyAlignment="1" applyProtection="1">
      <alignment horizontal="center" vertical="center"/>
      <protection hidden="1"/>
    </xf>
    <xf numFmtId="0" fontId="507" fillId="17" borderId="0" xfId="0" applyFont="1" applyFill="1" applyAlignment="1" applyProtection="1">
      <alignment horizontal="center" vertical="center"/>
      <protection hidden="1"/>
    </xf>
    <xf numFmtId="0" fontId="502" fillId="17" borderId="0" xfId="0" applyFont="1" applyFill="1" applyAlignment="1" applyProtection="1">
      <alignment horizontal="center" vertical="center"/>
      <protection hidden="1"/>
    </xf>
    <xf numFmtId="0" fontId="505" fillId="17" borderId="0" xfId="0" applyFont="1" applyFill="1" applyAlignment="1" applyProtection="1">
      <alignment horizontal="center" vertical="center"/>
      <protection hidden="1"/>
    </xf>
    <xf numFmtId="0" fontId="498" fillId="17" borderId="0" xfId="0" applyFont="1" applyFill="1" applyAlignment="1" applyProtection="1">
      <alignment horizontal="center" vertical="center"/>
      <protection hidden="1"/>
    </xf>
    <xf numFmtId="0" fontId="506" fillId="17" borderId="0" xfId="0" applyFont="1" applyFill="1" applyAlignment="1" applyProtection="1">
      <alignment horizontal="center" vertical="center"/>
      <protection hidden="1"/>
    </xf>
    <xf numFmtId="0" fontId="495" fillId="17" borderId="0" xfId="0" applyFont="1" applyFill="1" applyAlignment="1" applyProtection="1">
      <alignment horizontal="center" vertical="center"/>
      <protection hidden="1"/>
    </xf>
    <xf numFmtId="0" fontId="496" fillId="17" borderId="0" xfId="0" applyFont="1" applyFill="1" applyAlignment="1" applyProtection="1">
      <alignment horizontal="center" vertical="center"/>
      <protection hidden="1"/>
    </xf>
    <xf numFmtId="0" fontId="503" fillId="17" borderId="0" xfId="0" applyFont="1" applyFill="1" applyAlignment="1" applyProtection="1">
      <alignment horizontal="center" vertical="center"/>
      <protection hidden="1"/>
    </xf>
    <xf numFmtId="0" fontId="489" fillId="17" borderId="0" xfId="0" applyFont="1" applyFill="1" applyAlignment="1" applyProtection="1">
      <alignment horizontal="center" vertical="center"/>
      <protection hidden="1"/>
    </xf>
    <xf numFmtId="0" fontId="504" fillId="17" borderId="0" xfId="0" applyFont="1" applyFill="1" applyAlignment="1" applyProtection="1">
      <alignment horizontal="center" vertical="center"/>
      <protection hidden="1"/>
    </xf>
    <xf numFmtId="0" fontId="501" fillId="17" borderId="0" xfId="0" applyFont="1" applyFill="1" applyAlignment="1" applyProtection="1">
      <alignment horizontal="center" vertical="center"/>
      <protection hidden="1"/>
    </xf>
    <xf numFmtId="0" fontId="497" fillId="17" borderId="0" xfId="0" applyFont="1" applyFill="1" applyAlignment="1" applyProtection="1">
      <alignment horizontal="center" vertical="center"/>
      <protection hidden="1"/>
    </xf>
    <xf numFmtId="0" fontId="350" fillId="17" borderId="0" xfId="0" applyFont="1" applyFill="1" applyAlignment="1" applyProtection="1">
      <alignment horizontal="center" vertical="center"/>
      <protection hidden="1"/>
    </xf>
    <xf numFmtId="0" fontId="23" fillId="0" borderId="133" xfId="0" applyFont="1" applyBorder="1" applyAlignment="1" applyProtection="1">
      <alignment horizontal="center" vertical="center" wrapText="1"/>
      <protection hidden="1"/>
    </xf>
    <xf numFmtId="0" fontId="23" fillId="0" borderId="134" xfId="0" applyFont="1" applyBorder="1" applyAlignment="1" applyProtection="1">
      <alignment horizontal="center" vertical="center" wrapText="1"/>
      <protection hidden="1"/>
    </xf>
    <xf numFmtId="0" fontId="23" fillId="0" borderId="135" xfId="0" applyFont="1" applyBorder="1" applyAlignment="1" applyProtection="1">
      <alignment horizontal="center" vertical="center" wrapText="1"/>
      <protection hidden="1"/>
    </xf>
    <xf numFmtId="0" fontId="23" fillId="0" borderId="136" xfId="0" applyFont="1" applyBorder="1" applyAlignment="1" applyProtection="1">
      <alignment horizontal="center" vertical="center" wrapText="1"/>
      <protection hidden="1"/>
    </xf>
    <xf numFmtId="0" fontId="23" fillId="0" borderId="0" xfId="0" applyFont="1" applyAlignment="1" applyProtection="1">
      <alignment horizontal="center" vertical="center" wrapText="1"/>
      <protection hidden="1"/>
    </xf>
    <xf numFmtId="0" fontId="23" fillId="0" borderId="137" xfId="0" applyFont="1" applyBorder="1" applyAlignment="1" applyProtection="1">
      <alignment horizontal="center" vertical="center" wrapText="1"/>
      <protection hidden="1"/>
    </xf>
    <xf numFmtId="0" fontId="23" fillId="0" borderId="138" xfId="0" applyFont="1" applyBorder="1" applyAlignment="1" applyProtection="1">
      <alignment horizontal="center" vertical="center" wrapText="1"/>
      <protection hidden="1"/>
    </xf>
    <xf numFmtId="0" fontId="23" fillId="0" borderId="122" xfId="0" applyFont="1" applyBorder="1" applyAlignment="1" applyProtection="1">
      <alignment horizontal="center" vertical="center" wrapText="1"/>
      <protection hidden="1"/>
    </xf>
    <xf numFmtId="0" fontId="23" fillId="0" borderId="139" xfId="0" applyFont="1" applyBorder="1" applyAlignment="1" applyProtection="1">
      <alignment horizontal="center" vertical="center" wrapText="1"/>
      <protection hidden="1"/>
    </xf>
    <xf numFmtId="0" fontId="491" fillId="17" borderId="0" xfId="0" applyFont="1" applyFill="1" applyAlignment="1" applyProtection="1">
      <alignment horizontal="center" vertical="center"/>
      <protection hidden="1"/>
    </xf>
    <xf numFmtId="0" fontId="96" fillId="17" borderId="0" xfId="0" applyFont="1" applyFill="1" applyAlignment="1" applyProtection="1">
      <alignment horizontal="center" vertical="center"/>
      <protection hidden="1"/>
    </xf>
    <xf numFmtId="0" fontId="492" fillId="17" borderId="0" xfId="0" applyFont="1" applyFill="1" applyAlignment="1" applyProtection="1">
      <alignment horizontal="center" vertical="center"/>
      <protection hidden="1"/>
    </xf>
    <xf numFmtId="0" fontId="493" fillId="17" borderId="0" xfId="0" applyFont="1" applyFill="1" applyAlignment="1" applyProtection="1">
      <alignment horizontal="center" vertical="center"/>
      <protection hidden="1"/>
    </xf>
    <xf numFmtId="0" fontId="494" fillId="17" borderId="0" xfId="0" applyFont="1" applyFill="1" applyAlignment="1" applyProtection="1">
      <alignment horizontal="center" vertical="center"/>
      <protection hidden="1"/>
    </xf>
    <xf numFmtId="0" fontId="23" fillId="0" borderId="133" xfId="0" applyFont="1" applyBorder="1" applyAlignment="1" applyProtection="1">
      <alignment horizontal="center" vertical="center"/>
      <protection hidden="1"/>
    </xf>
    <xf numFmtId="0" fontId="23" fillId="0" borderId="134" xfId="0" applyFont="1" applyBorder="1" applyAlignment="1" applyProtection="1">
      <alignment horizontal="center" vertical="center"/>
      <protection hidden="1"/>
    </xf>
    <xf numFmtId="0" fontId="23" fillId="0" borderId="135" xfId="0" applyFont="1" applyBorder="1" applyAlignment="1" applyProtection="1">
      <alignment horizontal="center" vertical="center"/>
      <protection hidden="1"/>
    </xf>
    <xf numFmtId="0" fontId="23" fillId="0" borderId="136" xfId="0" applyFont="1" applyBorder="1" applyAlignment="1" applyProtection="1">
      <alignment horizontal="center" vertical="center"/>
      <protection hidden="1"/>
    </xf>
    <xf numFmtId="0" fontId="23" fillId="0" borderId="137" xfId="0" applyFont="1" applyBorder="1" applyAlignment="1" applyProtection="1">
      <alignment horizontal="center" vertical="center"/>
      <protection hidden="1"/>
    </xf>
    <xf numFmtId="0" fontId="23" fillId="0" borderId="138" xfId="0" applyFont="1" applyBorder="1" applyAlignment="1" applyProtection="1">
      <alignment horizontal="center" vertical="center"/>
      <protection hidden="1"/>
    </xf>
    <xf numFmtId="0" fontId="23" fillId="0" borderId="122" xfId="0" applyFont="1" applyBorder="1" applyAlignment="1" applyProtection="1">
      <alignment horizontal="center" vertical="center"/>
      <protection hidden="1"/>
    </xf>
    <xf numFmtId="0" fontId="23" fillId="0" borderId="139" xfId="0" applyFont="1" applyBorder="1" applyAlignment="1" applyProtection="1">
      <alignment horizontal="center" vertical="center"/>
      <protection hidden="1"/>
    </xf>
    <xf numFmtId="0" fontId="471" fillId="20" borderId="0" xfId="0" applyFont="1" applyFill="1" applyAlignment="1" applyProtection="1">
      <alignment horizontal="center" vertical="center" wrapText="1"/>
      <protection hidden="1"/>
    </xf>
    <xf numFmtId="0" fontId="472" fillId="20" borderId="0" xfId="0" applyFont="1" applyFill="1" applyAlignment="1" applyProtection="1">
      <alignment horizontal="center" vertical="center" wrapText="1"/>
      <protection hidden="1"/>
    </xf>
    <xf numFmtId="0" fontId="108" fillId="0" borderId="0" xfId="0" applyFont="1" applyAlignment="1" applyProtection="1">
      <alignment horizontal="center" vertical="center"/>
      <protection hidden="1"/>
    </xf>
    <xf numFmtId="0" fontId="304" fillId="18" borderId="178" xfId="0" applyFont="1" applyFill="1" applyBorder="1" applyAlignment="1" applyProtection="1">
      <alignment horizontal="center" vertical="center" wrapText="1"/>
      <protection locked="0"/>
    </xf>
    <xf numFmtId="0" fontId="304" fillId="18" borderId="403" xfId="0" applyFont="1" applyFill="1" applyBorder="1" applyAlignment="1" applyProtection="1">
      <alignment horizontal="center" vertical="center" wrapText="1"/>
      <protection locked="0"/>
    </xf>
    <xf numFmtId="0" fontId="592" fillId="14" borderId="0" xfId="0" applyFont="1" applyFill="1" applyAlignment="1" applyProtection="1">
      <alignment horizontal="center"/>
      <protection hidden="1"/>
    </xf>
    <xf numFmtId="169" fontId="60" fillId="20" borderId="0" xfId="0" applyNumberFormat="1" applyFont="1" applyFill="1" applyAlignment="1" applyProtection="1">
      <alignment horizontal="center" vertical="top" wrapText="1"/>
      <protection locked="0"/>
    </xf>
    <xf numFmtId="0" fontId="390" fillId="20" borderId="0" xfId="0" applyFont="1" applyFill="1" applyAlignment="1" applyProtection="1">
      <alignment horizontal="center" vertical="center"/>
      <protection hidden="1"/>
    </xf>
    <xf numFmtId="0" fontId="593" fillId="19" borderId="0" xfId="0" applyFont="1" applyFill="1" applyAlignment="1" applyProtection="1">
      <alignment horizontal="center"/>
      <protection hidden="1"/>
    </xf>
    <xf numFmtId="0" fontId="462" fillId="18" borderId="175" xfId="0" applyFont="1" applyFill="1" applyBorder="1" applyAlignment="1" applyProtection="1">
      <alignment horizontal="center" vertical="center" wrapText="1"/>
      <protection hidden="1"/>
    </xf>
    <xf numFmtId="0" fontId="462" fillId="18" borderId="177" xfId="0" applyFont="1" applyFill="1" applyBorder="1" applyAlignment="1" applyProtection="1">
      <alignment horizontal="center" vertical="center" wrapText="1"/>
      <protection hidden="1"/>
    </xf>
    <xf numFmtId="0" fontId="462" fillId="18" borderId="176" xfId="0" applyFont="1" applyFill="1" applyBorder="1" applyAlignment="1" applyProtection="1">
      <alignment horizontal="center" vertical="center" wrapText="1"/>
      <protection hidden="1"/>
    </xf>
    <xf numFmtId="0" fontId="462" fillId="18" borderId="179" xfId="0" applyFont="1" applyFill="1" applyBorder="1" applyAlignment="1" applyProtection="1">
      <alignment horizontal="center" vertical="center" wrapText="1"/>
      <protection hidden="1"/>
    </xf>
    <xf numFmtId="0" fontId="490" fillId="17" borderId="0" xfId="0" applyFont="1" applyFill="1" applyAlignment="1" applyProtection="1">
      <alignment horizontal="center" vertical="center"/>
      <protection hidden="1"/>
    </xf>
    <xf numFmtId="0" fontId="389" fillId="17" borderId="0" xfId="0" applyFont="1" applyFill="1" applyAlignment="1" applyProtection="1">
      <alignment horizontal="center" vertical="center"/>
      <protection hidden="1"/>
    </xf>
    <xf numFmtId="0" fontId="563" fillId="17" borderId="0" xfId="0" applyFont="1" applyFill="1" applyAlignment="1" applyProtection="1">
      <alignment horizontal="center" vertical="center" wrapText="1"/>
      <protection hidden="1"/>
    </xf>
    <xf numFmtId="0" fontId="384" fillId="18" borderId="435" xfId="0" applyFont="1" applyFill="1" applyBorder="1" applyAlignment="1" applyProtection="1">
      <alignment horizontal="center" vertical="center"/>
      <protection hidden="1"/>
    </xf>
    <xf numFmtId="0" fontId="384" fillId="18" borderId="0" xfId="0" applyFont="1" applyFill="1" applyAlignment="1" applyProtection="1">
      <alignment horizontal="center" vertical="center"/>
      <protection hidden="1"/>
    </xf>
    <xf numFmtId="0" fontId="384" fillId="18" borderId="436" xfId="0" applyFont="1" applyFill="1" applyBorder="1" applyAlignment="1" applyProtection="1">
      <alignment horizontal="center" vertical="center"/>
      <protection hidden="1"/>
    </xf>
    <xf numFmtId="0" fontId="131" fillId="18" borderId="435" xfId="0" applyFont="1" applyFill="1" applyBorder="1" applyAlignment="1" applyProtection="1">
      <alignment horizontal="center" wrapText="1"/>
      <protection locked="0"/>
    </xf>
    <xf numFmtId="0" fontId="131" fillId="18" borderId="0" xfId="0" applyFont="1" applyFill="1" applyAlignment="1" applyProtection="1">
      <alignment horizontal="center" wrapText="1"/>
      <protection locked="0"/>
    </xf>
    <xf numFmtId="0" fontId="131" fillId="18" borderId="436" xfId="0" applyFont="1" applyFill="1" applyBorder="1" applyAlignment="1" applyProtection="1">
      <alignment horizontal="center" wrapText="1"/>
      <protection locked="0"/>
    </xf>
    <xf numFmtId="0" fontId="230" fillId="18" borderId="435" xfId="0" applyFont="1" applyFill="1" applyBorder="1" applyAlignment="1" applyProtection="1">
      <alignment horizontal="center" vertical="top" wrapText="1"/>
      <protection locked="0"/>
    </xf>
    <xf numFmtId="0" fontId="230" fillId="18" borderId="0" xfId="0" applyFont="1" applyFill="1" applyAlignment="1" applyProtection="1">
      <alignment horizontal="center" vertical="top" wrapText="1"/>
      <protection locked="0"/>
    </xf>
    <xf numFmtId="0" fontId="230" fillId="18" borderId="436" xfId="0" applyFont="1" applyFill="1" applyBorder="1" applyAlignment="1" applyProtection="1">
      <alignment horizontal="center" vertical="top" wrapText="1"/>
      <protection locked="0"/>
    </xf>
    <xf numFmtId="0" fontId="60" fillId="17" borderId="442" xfId="0" applyFont="1" applyFill="1" applyBorder="1" applyAlignment="1" applyProtection="1">
      <alignment horizontal="left" vertical="center"/>
      <protection locked="0"/>
    </xf>
    <xf numFmtId="0" fontId="27" fillId="18" borderId="73" xfId="0" applyFont="1" applyFill="1" applyBorder="1" applyAlignment="1" applyProtection="1">
      <alignment horizontal="left" indent="1"/>
      <protection locked="0"/>
    </xf>
    <xf numFmtId="2" fontId="74" fillId="18" borderId="95" xfId="0" applyNumberFormat="1" applyFont="1" applyFill="1" applyBorder="1" applyAlignment="1" applyProtection="1">
      <alignment horizontal="right" indent="1"/>
      <protection locked="0"/>
    </xf>
    <xf numFmtId="0" fontId="74" fillId="18" borderId="45" xfId="0" applyFont="1" applyFill="1" applyBorder="1" applyAlignment="1" applyProtection="1">
      <alignment horizontal="right" vertical="top" indent="1"/>
      <protection locked="0"/>
    </xf>
    <xf numFmtId="0" fontId="74" fillId="18" borderId="46" xfId="0" applyFont="1" applyFill="1" applyBorder="1" applyAlignment="1" applyProtection="1">
      <alignment horizontal="right" vertical="top" indent="1"/>
      <protection locked="0"/>
    </xf>
    <xf numFmtId="0" fontId="36" fillId="14" borderId="221" xfId="0" applyFont="1" applyFill="1" applyBorder="1" applyAlignment="1" applyProtection="1">
      <alignment horizontal="center" vertical="center"/>
      <protection locked="0"/>
    </xf>
    <xf numFmtId="0" fontId="36" fillId="14" borderId="222" xfId="0" applyFont="1" applyFill="1" applyBorder="1" applyAlignment="1" applyProtection="1">
      <alignment horizontal="center" vertical="center"/>
      <protection locked="0"/>
    </xf>
    <xf numFmtId="0" fontId="36" fillId="14" borderId="223" xfId="0" applyFont="1" applyFill="1" applyBorder="1" applyAlignment="1" applyProtection="1">
      <alignment horizontal="center" vertical="center"/>
      <protection locked="0"/>
    </xf>
    <xf numFmtId="0" fontId="67" fillId="17" borderId="260" xfId="0" applyFont="1" applyFill="1" applyBorder="1" applyAlignment="1" applyProtection="1">
      <alignment horizontal="center"/>
      <protection locked="0"/>
    </xf>
    <xf numFmtId="0" fontId="67" fillId="17" borderId="237" xfId="0" applyFont="1" applyFill="1" applyBorder="1" applyAlignment="1" applyProtection="1">
      <alignment horizontal="center"/>
      <protection locked="0"/>
    </xf>
    <xf numFmtId="0" fontId="67" fillId="17" borderId="448" xfId="0" applyFont="1" applyFill="1" applyBorder="1" applyAlignment="1" applyProtection="1">
      <alignment horizontal="center"/>
      <protection locked="0"/>
    </xf>
    <xf numFmtId="15" fontId="74" fillId="18" borderId="95" xfId="0" applyNumberFormat="1" applyFont="1" applyFill="1" applyBorder="1" applyAlignment="1" applyProtection="1">
      <alignment horizontal="center"/>
      <protection locked="0"/>
    </xf>
    <xf numFmtId="0" fontId="75" fillId="18" borderId="95" xfId="0" applyFont="1" applyFill="1" applyBorder="1" applyAlignment="1" applyProtection="1">
      <alignment horizontal="right" indent="1"/>
      <protection hidden="1"/>
    </xf>
    <xf numFmtId="0" fontId="438" fillId="19" borderId="75" xfId="0" applyFont="1" applyFill="1" applyBorder="1" applyAlignment="1" applyProtection="1">
      <alignment horizontal="center" vertical="center"/>
      <protection hidden="1"/>
    </xf>
    <xf numFmtId="0" fontId="60" fillId="14" borderId="278" xfId="0" applyFont="1" applyFill="1" applyBorder="1" applyAlignment="1" applyProtection="1">
      <alignment horizontal="left" indent="1"/>
      <protection locked="0"/>
    </xf>
    <xf numFmtId="0" fontId="60" fillId="14" borderId="48" xfId="0" applyFont="1" applyFill="1" applyBorder="1" applyAlignment="1" applyProtection="1">
      <alignment horizontal="left" indent="1"/>
      <protection locked="0"/>
    </xf>
    <xf numFmtId="0" fontId="101" fillId="0" borderId="276" xfId="0" applyFont="1" applyBorder="1" applyAlignment="1" applyProtection="1">
      <alignment horizontal="left" indent="1"/>
      <protection locked="0"/>
    </xf>
    <xf numFmtId="0" fontId="230" fillId="0" borderId="32" xfId="0" applyFont="1" applyBorder="1" applyAlignment="1" applyProtection="1">
      <alignment horizontal="left" vertical="center" indent="1"/>
      <protection hidden="1"/>
    </xf>
    <xf numFmtId="0" fontId="230" fillId="0" borderId="132" xfId="0" applyFont="1" applyBorder="1" applyAlignment="1" applyProtection="1">
      <alignment horizontal="left" vertical="center" indent="1"/>
      <protection hidden="1"/>
    </xf>
    <xf numFmtId="0" fontId="308" fillId="14" borderId="32" xfId="0" applyFont="1" applyFill="1" applyBorder="1" applyAlignment="1" applyProtection="1">
      <alignment horizontal="left" vertical="center" indent="1"/>
      <protection hidden="1"/>
    </xf>
    <xf numFmtId="0" fontId="308" fillId="14" borderId="132" xfId="0" applyFont="1" applyFill="1" applyBorder="1" applyAlignment="1" applyProtection="1">
      <alignment horizontal="left" vertical="center" indent="1"/>
      <protection hidden="1"/>
    </xf>
    <xf numFmtId="0" fontId="21" fillId="0" borderId="236" xfId="0" applyFont="1" applyBorder="1" applyAlignment="1" applyProtection="1">
      <alignment horizontal="left" indent="1"/>
      <protection locked="0"/>
    </xf>
    <xf numFmtId="0" fontId="21" fillId="0" borderId="237" xfId="0" applyFont="1" applyBorder="1" applyAlignment="1" applyProtection="1">
      <alignment horizontal="left" indent="1"/>
      <protection locked="0"/>
    </xf>
    <xf numFmtId="0" fontId="101" fillId="0" borderId="32" xfId="0" applyFont="1" applyBorder="1" applyAlignment="1" applyProtection="1">
      <alignment horizontal="left" vertical="center" indent="1"/>
      <protection hidden="1"/>
    </xf>
    <xf numFmtId="0" fontId="101" fillId="0" borderId="132" xfId="0" applyFont="1" applyBorder="1" applyAlignment="1" applyProtection="1">
      <alignment horizontal="left" vertical="center" indent="1"/>
      <protection hidden="1"/>
    </xf>
    <xf numFmtId="0" fontId="21" fillId="0" borderId="278" xfId="0" applyFont="1" applyBorder="1" applyAlignment="1" applyProtection="1">
      <alignment horizontal="left" indent="1"/>
      <protection locked="0"/>
    </xf>
    <xf numFmtId="0" fontId="21" fillId="0" borderId="48" xfId="0" applyFont="1" applyBorder="1" applyAlignment="1" applyProtection="1">
      <alignment horizontal="left" indent="1"/>
      <protection locked="0"/>
    </xf>
    <xf numFmtId="0" fontId="29" fillId="19" borderId="451" xfId="0" applyFont="1" applyFill="1" applyBorder="1" applyAlignment="1" applyProtection="1">
      <alignment horizontal="center" vertical="center"/>
      <protection locked="0"/>
    </xf>
    <xf numFmtId="0" fontId="29" fillId="19" borderId="452" xfId="0" applyFont="1" applyFill="1" applyBorder="1" applyAlignment="1" applyProtection="1">
      <alignment horizontal="center" vertical="center"/>
      <protection locked="0"/>
    </xf>
    <xf numFmtId="0" fontId="29" fillId="19" borderId="453" xfId="0" applyFont="1" applyFill="1" applyBorder="1" applyAlignment="1" applyProtection="1">
      <alignment horizontal="center" vertical="center"/>
      <protection locked="0"/>
    </xf>
    <xf numFmtId="0" fontId="679" fillId="19" borderId="0" xfId="0" applyFont="1" applyFill="1" applyAlignment="1" applyProtection="1">
      <alignment horizontal="center" vertical="center"/>
      <protection hidden="1"/>
    </xf>
    <xf numFmtId="0" fontId="41" fillId="20" borderId="63" xfId="0" applyFont="1" applyFill="1" applyBorder="1" applyAlignment="1" applyProtection="1">
      <alignment horizontal="center" vertical="center"/>
      <protection hidden="1"/>
    </xf>
    <xf numFmtId="0" fontId="41" fillId="20" borderId="64" xfId="0" applyFont="1" applyFill="1" applyBorder="1" applyAlignment="1" applyProtection="1">
      <alignment horizontal="center" vertical="center"/>
      <protection hidden="1"/>
    </xf>
    <xf numFmtId="0" fontId="41" fillId="20" borderId="65" xfId="0" applyFont="1" applyFill="1" applyBorder="1" applyAlignment="1" applyProtection="1">
      <alignment horizontal="center" vertical="center"/>
      <protection hidden="1"/>
    </xf>
    <xf numFmtId="0" fontId="41" fillId="20" borderId="66" xfId="0" applyFont="1" applyFill="1" applyBorder="1" applyAlignment="1" applyProtection="1">
      <alignment horizontal="center" vertical="center"/>
      <protection hidden="1"/>
    </xf>
    <xf numFmtId="0" fontId="41" fillId="20" borderId="0" xfId="0" applyFont="1" applyFill="1" applyAlignment="1" applyProtection="1">
      <alignment horizontal="center" vertical="center"/>
      <protection hidden="1"/>
    </xf>
    <xf numFmtId="0" fontId="41" fillId="20" borderId="67" xfId="0" applyFont="1" applyFill="1" applyBorder="1" applyAlignment="1" applyProtection="1">
      <alignment horizontal="center" vertical="center"/>
      <protection hidden="1"/>
    </xf>
    <xf numFmtId="0" fontId="27" fillId="18" borderId="94" xfId="0" quotePrefix="1" applyFont="1" applyFill="1" applyBorder="1" applyAlignment="1" applyProtection="1">
      <alignment horizontal="left" indent="1"/>
      <protection locked="0"/>
    </xf>
    <xf numFmtId="0" fontId="27" fillId="18" borderId="95" xfId="0" applyFont="1" applyFill="1" applyBorder="1" applyAlignment="1" applyProtection="1">
      <alignment horizontal="left" indent="1"/>
      <protection locked="0"/>
    </xf>
    <xf numFmtId="0" fontId="27" fillId="18" borderId="73" xfId="0" applyFont="1" applyFill="1" applyBorder="1" applyAlignment="1" applyProtection="1">
      <alignment horizontal="left" wrapText="1" indent="1"/>
      <protection locked="0"/>
    </xf>
    <xf numFmtId="49" fontId="65" fillId="17" borderId="47" xfId="0" quotePrefix="1" applyNumberFormat="1" applyFont="1" applyFill="1" applyBorder="1" applyAlignment="1" applyProtection="1">
      <alignment horizontal="center"/>
      <protection locked="0"/>
    </xf>
    <xf numFmtId="49" fontId="65" fillId="17" borderId="49" xfId="0" quotePrefix="1" applyNumberFormat="1" applyFont="1" applyFill="1" applyBorder="1" applyAlignment="1" applyProtection="1">
      <alignment horizontal="center"/>
      <protection locked="0"/>
    </xf>
    <xf numFmtId="0" fontId="27" fillId="18" borderId="73" xfId="0" quotePrefix="1" applyFont="1" applyFill="1" applyBorder="1" applyAlignment="1" applyProtection="1">
      <alignment horizontal="left" indent="1"/>
      <protection locked="0"/>
    </xf>
    <xf numFmtId="0" fontId="228" fillId="4" borderId="0" xfId="0" applyFont="1" applyFill="1" applyAlignment="1" applyProtection="1">
      <alignment horizontal="right" vertical="center" wrapText="1" indent="1"/>
      <protection hidden="1"/>
    </xf>
    <xf numFmtId="0" fontId="68" fillId="4" borderId="0" xfId="0" applyFont="1" applyFill="1" applyAlignment="1" applyProtection="1">
      <alignment horizontal="left" indent="1"/>
      <protection hidden="1"/>
    </xf>
    <xf numFmtId="0" fontId="427" fillId="4" borderId="0" xfId="0" applyFont="1" applyFill="1" applyAlignment="1" applyProtection="1">
      <alignment horizontal="left" vertical="center"/>
      <protection hidden="1"/>
    </xf>
    <xf numFmtId="0" fontId="437" fillId="20" borderId="75" xfId="0" applyFont="1" applyFill="1" applyBorder="1" applyAlignment="1" applyProtection="1">
      <alignment horizontal="center" vertical="center"/>
      <protection hidden="1"/>
    </xf>
    <xf numFmtId="0" fontId="36" fillId="14" borderId="47" xfId="0" applyFont="1" applyFill="1" applyBorder="1" applyAlignment="1" applyProtection="1">
      <alignment horizontal="center" vertical="center"/>
      <protection locked="0"/>
    </xf>
    <xf numFmtId="0" fontId="36" fillId="14" borderId="49" xfId="0" applyFont="1" applyFill="1" applyBorder="1" applyAlignment="1" applyProtection="1">
      <alignment horizontal="center" vertical="center"/>
      <protection locked="0"/>
    </xf>
    <xf numFmtId="0" fontId="712" fillId="4" borderId="0" xfId="0" applyFont="1" applyFill="1" applyAlignment="1" applyProtection="1">
      <alignment horizontal="center" vertical="center"/>
      <protection hidden="1"/>
    </xf>
    <xf numFmtId="0" fontId="27" fillId="18" borderId="94" xfId="0" applyFont="1" applyFill="1" applyBorder="1" applyAlignment="1" applyProtection="1">
      <alignment horizontal="left" indent="1"/>
      <protection locked="0"/>
    </xf>
    <xf numFmtId="0" fontId="21" fillId="0" borderId="366" xfId="0" applyFont="1" applyBorder="1" applyAlignment="1" applyProtection="1">
      <alignment horizontal="left" indent="1"/>
      <protection locked="0"/>
    </xf>
    <xf numFmtId="0" fontId="21" fillId="0" borderId="222" xfId="0" applyFont="1" applyBorder="1" applyAlignment="1" applyProtection="1">
      <alignment horizontal="left" indent="1"/>
      <protection locked="0"/>
    </xf>
    <xf numFmtId="0" fontId="60" fillId="4" borderId="0" xfId="0" applyFont="1" applyFill="1" applyAlignment="1" applyProtection="1">
      <alignment horizontal="left" vertical="center" indent="1"/>
      <protection locked="0"/>
    </xf>
    <xf numFmtId="0" fontId="29" fillId="3" borderId="95" xfId="0" applyFont="1" applyFill="1" applyBorder="1" applyAlignment="1" applyProtection="1">
      <alignment horizontal="center" vertical="center"/>
      <protection locked="0"/>
    </xf>
    <xf numFmtId="0" fontId="68" fillId="4" borderId="0" xfId="0" applyFont="1" applyFill="1" applyAlignment="1" applyProtection="1">
      <alignment horizontal="right" vertical="center" indent="1"/>
      <protection locked="0"/>
    </xf>
    <xf numFmtId="0" fontId="565" fillId="19" borderId="63" xfId="0" applyFont="1" applyFill="1" applyBorder="1" applyAlignment="1" applyProtection="1">
      <alignment horizontal="right" vertical="center" indent="1"/>
      <protection hidden="1"/>
    </xf>
    <xf numFmtId="0" fontId="565" fillId="19" borderId="64" xfId="0" applyFont="1" applyFill="1" applyBorder="1" applyAlignment="1" applyProtection="1">
      <alignment horizontal="right" vertical="center" indent="1"/>
      <protection hidden="1"/>
    </xf>
    <xf numFmtId="0" fontId="565" fillId="19" borderId="66" xfId="0" applyFont="1" applyFill="1" applyBorder="1" applyAlignment="1" applyProtection="1">
      <alignment horizontal="right" vertical="center" indent="1"/>
      <protection hidden="1"/>
    </xf>
    <xf numFmtId="0" fontId="565" fillId="19" borderId="0" xfId="0" applyFont="1" applyFill="1" applyAlignment="1" applyProtection="1">
      <alignment horizontal="right" vertical="center" indent="1"/>
      <protection hidden="1"/>
    </xf>
    <xf numFmtId="0" fontId="29" fillId="3" borderId="95" xfId="0" applyFont="1" applyFill="1" applyBorder="1" applyAlignment="1" applyProtection="1">
      <alignment horizontal="left" vertical="center" indent="1"/>
      <protection locked="0"/>
    </xf>
    <xf numFmtId="0" fontId="434" fillId="19" borderId="68" xfId="0" applyFont="1" applyFill="1" applyBorder="1" applyAlignment="1" applyProtection="1">
      <alignment horizontal="left" vertical="center"/>
      <protection hidden="1"/>
    </xf>
    <xf numFmtId="0" fontId="434" fillId="19" borderId="69" xfId="0" applyFont="1" applyFill="1" applyBorder="1" applyAlignment="1" applyProtection="1">
      <alignment horizontal="left" vertical="center"/>
      <protection hidden="1"/>
    </xf>
    <xf numFmtId="0" fontId="41" fillId="20" borderId="68" xfId="0" applyFont="1" applyFill="1" applyBorder="1" applyAlignment="1" applyProtection="1">
      <alignment horizontal="center" vertical="center"/>
      <protection hidden="1"/>
    </xf>
    <xf numFmtId="0" fontId="41" fillId="20" borderId="69" xfId="0" applyFont="1" applyFill="1" applyBorder="1" applyAlignment="1" applyProtection="1">
      <alignment horizontal="center" vertical="center"/>
      <protection hidden="1"/>
    </xf>
    <xf numFmtId="0" fontId="41" fillId="20" borderId="70" xfId="0" applyFont="1" applyFill="1" applyBorder="1" applyAlignment="1" applyProtection="1">
      <alignment horizontal="center" vertical="center"/>
      <protection hidden="1"/>
    </xf>
    <xf numFmtId="0" fontId="90" fillId="21" borderId="95" xfId="0" applyFont="1" applyFill="1" applyBorder="1" applyAlignment="1" applyProtection="1">
      <alignment horizontal="right" indent="1"/>
      <protection hidden="1"/>
    </xf>
    <xf numFmtId="0" fontId="314" fillId="4" borderId="0" xfId="0" applyFont="1" applyFill="1" applyAlignment="1" applyProtection="1">
      <alignment horizontal="center" vertical="center"/>
      <protection hidden="1"/>
    </xf>
    <xf numFmtId="0" fontId="564" fillId="20" borderId="200" xfId="0" applyFont="1" applyFill="1" applyBorder="1" applyAlignment="1" applyProtection="1">
      <alignment horizontal="center" vertical="center"/>
      <protection hidden="1"/>
    </xf>
    <xf numFmtId="0" fontId="564" fillId="20" borderId="0" xfId="0" applyFont="1" applyFill="1" applyAlignment="1" applyProtection="1">
      <alignment horizontal="center" vertical="center"/>
      <protection hidden="1"/>
    </xf>
    <xf numFmtId="0" fontId="564" fillId="20" borderId="374" xfId="0" applyFont="1" applyFill="1" applyBorder="1" applyAlignment="1" applyProtection="1">
      <alignment horizontal="center" vertical="center"/>
      <protection hidden="1"/>
    </xf>
    <xf numFmtId="0" fontId="65" fillId="19" borderId="0" xfId="0" applyFont="1" applyFill="1" applyAlignment="1" applyProtection="1">
      <alignment horizontal="left" vertical="center"/>
      <protection hidden="1"/>
    </xf>
    <xf numFmtId="0" fontId="438" fillId="19" borderId="374" xfId="0" applyFont="1" applyFill="1" applyBorder="1" applyAlignment="1" applyProtection="1">
      <alignment horizontal="center" vertical="center"/>
      <protection hidden="1"/>
    </xf>
    <xf numFmtId="0" fontId="29" fillId="21" borderId="90" xfId="0" applyFont="1" applyFill="1" applyBorder="1" applyAlignment="1" applyProtection="1">
      <alignment horizontal="left" indent="1"/>
      <protection hidden="1"/>
    </xf>
    <xf numFmtId="0" fontId="29" fillId="21" borderId="91" xfId="0" applyFont="1" applyFill="1" applyBorder="1" applyAlignment="1" applyProtection="1">
      <alignment horizontal="left" indent="1"/>
      <protection hidden="1"/>
    </xf>
    <xf numFmtId="0" fontId="41" fillId="24" borderId="152" xfId="0" applyFont="1" applyFill="1" applyBorder="1" applyAlignment="1" applyProtection="1">
      <alignment horizontal="center" vertical="center"/>
      <protection hidden="1"/>
    </xf>
    <xf numFmtId="0" fontId="90" fillId="21" borderId="90" xfId="0" applyFont="1" applyFill="1" applyBorder="1" applyAlignment="1" applyProtection="1">
      <alignment horizontal="right" indent="1"/>
      <protection hidden="1"/>
    </xf>
    <xf numFmtId="0" fontId="90" fillId="21" borderId="91" xfId="0" applyFont="1" applyFill="1" applyBorder="1" applyAlignment="1" applyProtection="1">
      <alignment horizontal="right" indent="1"/>
      <protection hidden="1"/>
    </xf>
    <xf numFmtId="0" fontId="90" fillId="21" borderId="92" xfId="0" applyFont="1" applyFill="1" applyBorder="1" applyAlignment="1" applyProtection="1">
      <alignment horizontal="right" indent="1"/>
      <protection hidden="1"/>
    </xf>
    <xf numFmtId="0" fontId="314" fillId="4" borderId="0" xfId="0" applyFont="1" applyFill="1" applyAlignment="1" applyProtection="1">
      <alignment horizontal="center" vertical="center" wrapText="1"/>
      <protection hidden="1"/>
    </xf>
    <xf numFmtId="0" fontId="129" fillId="0" borderId="353" xfId="0" applyFont="1" applyBorder="1" applyAlignment="1" applyProtection="1">
      <alignment horizontal="center" vertical="center"/>
      <protection hidden="1"/>
    </xf>
    <xf numFmtId="0" fontId="129" fillId="0" borderId="326" xfId="0" applyFont="1" applyBorder="1" applyAlignment="1" applyProtection="1">
      <alignment horizontal="center" vertical="center"/>
      <protection hidden="1"/>
    </xf>
    <xf numFmtId="0" fontId="90" fillId="21" borderId="91" xfId="0" applyFont="1" applyFill="1" applyBorder="1" applyAlignment="1" applyProtection="1">
      <alignment horizontal="center"/>
      <protection hidden="1"/>
    </xf>
    <xf numFmtId="0" fontId="90" fillId="21" borderId="92" xfId="0" applyFont="1" applyFill="1" applyBorder="1" applyAlignment="1" applyProtection="1">
      <alignment horizontal="center"/>
      <protection hidden="1"/>
    </xf>
    <xf numFmtId="14" fontId="101" fillId="17" borderId="0" xfId="0" applyNumberFormat="1" applyFont="1" applyFill="1" applyAlignment="1" applyProtection="1">
      <alignment horizontal="center"/>
      <protection hidden="1"/>
    </xf>
    <xf numFmtId="0" fontId="427" fillId="4" borderId="0" xfId="0" applyFont="1" applyFill="1" applyAlignment="1" applyProtection="1">
      <alignment horizontal="right" vertical="center"/>
      <protection hidden="1"/>
    </xf>
    <xf numFmtId="0" fontId="29" fillId="21" borderId="94" xfId="0" applyFont="1" applyFill="1" applyBorder="1" applyAlignment="1" applyProtection="1">
      <alignment horizontal="left" indent="1"/>
      <protection hidden="1"/>
    </xf>
    <xf numFmtId="0" fontId="29" fillId="21" borderId="95" xfId="0" applyFont="1" applyFill="1" applyBorder="1" applyAlignment="1" applyProtection="1">
      <alignment horizontal="left" indent="1"/>
      <protection hidden="1"/>
    </xf>
    <xf numFmtId="0" fontId="567" fillId="14" borderId="42" xfId="0" applyFont="1" applyFill="1" applyBorder="1" applyAlignment="1" applyProtection="1">
      <alignment horizontal="center" vertical="center"/>
      <protection hidden="1"/>
    </xf>
    <xf numFmtId="0" fontId="568" fillId="14" borderId="42" xfId="0" applyFont="1" applyFill="1" applyBorder="1" applyAlignment="1" applyProtection="1">
      <alignment horizontal="center" vertical="center"/>
      <protection hidden="1"/>
    </xf>
    <xf numFmtId="0" fontId="568" fillId="14" borderId="45" xfId="0" applyFont="1" applyFill="1" applyBorder="1" applyAlignment="1" applyProtection="1">
      <alignment horizontal="center" vertical="center"/>
      <protection hidden="1"/>
    </xf>
    <xf numFmtId="0" fontId="432" fillId="14" borderId="240" xfId="0" applyFont="1" applyFill="1" applyBorder="1" applyAlignment="1" applyProtection="1">
      <alignment horizontal="left" vertical="center"/>
      <protection hidden="1"/>
    </xf>
    <xf numFmtId="0" fontId="432" fillId="14" borderId="243" xfId="0" applyFont="1" applyFill="1" applyBorder="1" applyAlignment="1" applyProtection="1">
      <alignment horizontal="left" vertical="center"/>
      <protection hidden="1"/>
    </xf>
    <xf numFmtId="0" fontId="41" fillId="14" borderId="42" xfId="0" applyFont="1" applyFill="1" applyBorder="1" applyAlignment="1" applyProtection="1">
      <alignment horizontal="center" vertical="center"/>
      <protection hidden="1"/>
    </xf>
    <xf numFmtId="0" fontId="41" fillId="14" borderId="45" xfId="0" applyFont="1" applyFill="1" applyBorder="1" applyAlignment="1" applyProtection="1">
      <alignment horizontal="center" vertical="center"/>
      <protection hidden="1"/>
    </xf>
    <xf numFmtId="0" fontId="21" fillId="0" borderId="236" xfId="0" quotePrefix="1" applyFont="1" applyBorder="1" applyAlignment="1" applyProtection="1">
      <alignment horizontal="left" indent="1"/>
      <protection locked="0"/>
    </xf>
    <xf numFmtId="0" fontId="432" fillId="14" borderId="240" xfId="0" applyFont="1" applyFill="1" applyBorder="1" applyAlignment="1" applyProtection="1">
      <alignment horizontal="right" vertical="center"/>
      <protection hidden="1"/>
    </xf>
    <xf numFmtId="0" fontId="432" fillId="14" borderId="243" xfId="0" applyFont="1" applyFill="1" applyBorder="1" applyAlignment="1" applyProtection="1">
      <alignment horizontal="right" vertical="center"/>
      <protection hidden="1"/>
    </xf>
    <xf numFmtId="0" fontId="432" fillId="14" borderId="240" xfId="0" applyFont="1" applyFill="1" applyBorder="1" applyAlignment="1" applyProtection="1">
      <alignment horizontal="center" vertical="center"/>
      <protection hidden="1"/>
    </xf>
    <xf numFmtId="0" fontId="432" fillId="14" borderId="243" xfId="0" applyFont="1" applyFill="1" applyBorder="1" applyAlignment="1" applyProtection="1">
      <alignment horizontal="center" vertical="center"/>
      <protection hidden="1"/>
    </xf>
    <xf numFmtId="0" fontId="27" fillId="18" borderId="95" xfId="0" applyFont="1" applyFill="1" applyBorder="1" applyAlignment="1" applyProtection="1">
      <alignment horizontal="center" vertical="center"/>
      <protection locked="0"/>
    </xf>
    <xf numFmtId="0" fontId="27" fillId="18" borderId="95" xfId="0" applyFont="1" applyFill="1" applyBorder="1" applyAlignment="1" applyProtection="1">
      <alignment horizontal="left" vertical="center" indent="1"/>
      <protection locked="0"/>
    </xf>
    <xf numFmtId="0" fontId="452" fillId="19" borderId="63" xfId="0" applyFont="1" applyFill="1" applyBorder="1" applyAlignment="1" applyProtection="1">
      <alignment horizontal="left" vertical="center"/>
      <protection hidden="1"/>
    </xf>
    <xf numFmtId="0" fontId="452" fillId="19" borderId="64" xfId="0" applyFont="1" applyFill="1" applyBorder="1" applyAlignment="1" applyProtection="1">
      <alignment horizontal="left" vertical="center"/>
      <protection hidden="1"/>
    </xf>
    <xf numFmtId="0" fontId="435" fillId="19" borderId="68" xfId="0" applyFont="1" applyFill="1" applyBorder="1" applyAlignment="1" applyProtection="1">
      <alignment horizontal="left" vertical="center"/>
      <protection hidden="1"/>
    </xf>
    <xf numFmtId="0" fontId="435" fillId="19" borderId="69" xfId="0" applyFont="1" applyFill="1" applyBorder="1" applyAlignment="1" applyProtection="1">
      <alignment horizontal="left" vertical="center"/>
      <protection hidden="1"/>
    </xf>
    <xf numFmtId="0" fontId="713" fillId="14" borderId="41" xfId="0" applyFont="1" applyFill="1" applyBorder="1" applyAlignment="1" applyProtection="1">
      <alignment horizontal="center" vertical="center"/>
      <protection hidden="1"/>
    </xf>
    <xf numFmtId="0" fontId="713" fillId="14" borderId="42" xfId="0" applyFont="1" applyFill="1" applyBorder="1" applyAlignment="1" applyProtection="1">
      <alignment horizontal="center" vertical="center"/>
      <protection hidden="1"/>
    </xf>
    <xf numFmtId="0" fontId="713" fillId="14" borderId="44" xfId="0" applyFont="1" applyFill="1" applyBorder="1" applyAlignment="1" applyProtection="1">
      <alignment horizontal="center" vertical="center"/>
      <protection hidden="1"/>
    </xf>
    <xf numFmtId="0" fontId="713" fillId="14" borderId="45" xfId="0" applyFont="1" applyFill="1" applyBorder="1" applyAlignment="1" applyProtection="1">
      <alignment horizontal="center" vertical="center"/>
      <protection hidden="1"/>
    </xf>
    <xf numFmtId="0" fontId="430" fillId="19" borderId="0" xfId="0" applyFont="1" applyFill="1" applyAlignment="1" applyProtection="1">
      <alignment horizontal="right" vertical="center" indent="1"/>
      <protection hidden="1"/>
    </xf>
    <xf numFmtId="0" fontId="713" fillId="14" borderId="240" xfId="0" applyFont="1" applyFill="1" applyBorder="1" applyAlignment="1" applyProtection="1">
      <alignment horizontal="center" vertical="center"/>
      <protection hidden="1"/>
    </xf>
    <xf numFmtId="0" fontId="713" fillId="14" borderId="241" xfId="0" applyFont="1" applyFill="1" applyBorder="1" applyAlignment="1" applyProtection="1">
      <alignment horizontal="center" vertical="center"/>
      <protection hidden="1"/>
    </xf>
    <xf numFmtId="0" fontId="713" fillId="14" borderId="53" xfId="0" applyFont="1" applyFill="1" applyBorder="1" applyAlignment="1" applyProtection="1">
      <alignment horizontal="center" vertical="center"/>
      <protection hidden="1"/>
    </xf>
    <xf numFmtId="0" fontId="713" fillId="14" borderId="489" xfId="0" applyFont="1" applyFill="1" applyBorder="1" applyAlignment="1" applyProtection="1">
      <alignment horizontal="center" vertical="center"/>
      <protection hidden="1"/>
    </xf>
    <xf numFmtId="0" fontId="713" fillId="14" borderId="269" xfId="0" applyFont="1" applyFill="1" applyBorder="1" applyAlignment="1" applyProtection="1">
      <alignment horizontal="center" vertical="center"/>
      <protection hidden="1"/>
    </xf>
    <xf numFmtId="0" fontId="713" fillId="14" borderId="243" xfId="0" applyFont="1" applyFill="1" applyBorder="1" applyAlignment="1" applyProtection="1">
      <alignment horizontal="center" vertical="center"/>
      <protection hidden="1"/>
    </xf>
    <xf numFmtId="0" fontId="713" fillId="14" borderId="244" xfId="0" applyFont="1" applyFill="1" applyBorder="1" applyAlignment="1" applyProtection="1">
      <alignment horizontal="center" vertical="center"/>
      <protection hidden="1"/>
    </xf>
    <xf numFmtId="0" fontId="74" fillId="18" borderId="71" xfId="0" applyFont="1" applyFill="1" applyBorder="1" applyAlignment="1" applyProtection="1">
      <alignment horizontal="left" vertical="top" wrapText="1" indent="1"/>
      <protection locked="0"/>
    </xf>
    <xf numFmtId="0" fontId="430" fillId="19" borderId="63" xfId="0" applyFont="1" applyFill="1" applyBorder="1" applyAlignment="1" applyProtection="1">
      <alignment horizontal="right" wrapText="1" indent="1"/>
      <protection hidden="1"/>
    </xf>
    <xf numFmtId="0" fontId="430" fillId="19" borderId="65" xfId="0" applyFont="1" applyFill="1" applyBorder="1" applyAlignment="1" applyProtection="1">
      <alignment horizontal="right" wrapText="1" indent="1"/>
      <protection hidden="1"/>
    </xf>
    <xf numFmtId="0" fontId="430" fillId="19" borderId="68" xfId="0" applyFont="1" applyFill="1" applyBorder="1" applyAlignment="1" applyProtection="1">
      <alignment horizontal="right" wrapText="1" indent="1"/>
      <protection hidden="1"/>
    </xf>
    <xf numFmtId="0" fontId="430" fillId="19" borderId="70" xfId="0" applyFont="1" applyFill="1" applyBorder="1" applyAlignment="1" applyProtection="1">
      <alignment horizontal="right" wrapText="1" indent="1"/>
      <protection hidden="1"/>
    </xf>
    <xf numFmtId="0" fontId="285" fillId="23" borderId="349" xfId="0" applyFont="1" applyFill="1" applyBorder="1" applyAlignment="1" applyProtection="1">
      <alignment horizontal="left" indent="1"/>
      <protection hidden="1"/>
    </xf>
    <xf numFmtId="0" fontId="285" fillId="23" borderId="350" xfId="0" applyFont="1" applyFill="1" applyBorder="1" applyAlignment="1" applyProtection="1">
      <alignment horizontal="left" indent="1"/>
      <protection hidden="1"/>
    </xf>
    <xf numFmtId="0" fontId="285" fillId="23" borderId="295" xfId="0" applyFont="1" applyFill="1" applyBorder="1" applyAlignment="1" applyProtection="1">
      <alignment horizontal="left" indent="1"/>
      <protection hidden="1"/>
    </xf>
    <xf numFmtId="0" fontId="230" fillId="0" borderId="32" xfId="0" applyFont="1" applyBorder="1" applyAlignment="1">
      <alignment horizontal="center" vertical="center"/>
    </xf>
    <xf numFmtId="0" fontId="230" fillId="0" borderId="105" xfId="0" applyFont="1" applyBorder="1" applyAlignment="1">
      <alignment horizontal="center" vertical="center"/>
    </xf>
    <xf numFmtId="0" fontId="230" fillId="0" borderId="132" xfId="0" applyFont="1" applyBorder="1" applyAlignment="1">
      <alignment horizontal="center" vertical="center"/>
    </xf>
    <xf numFmtId="168" fontId="285" fillId="23" borderId="349" xfId="0" applyNumberFormat="1" applyFont="1" applyFill="1" applyBorder="1" applyAlignment="1" applyProtection="1">
      <alignment horizontal="right" indent="1"/>
      <protection hidden="1"/>
    </xf>
    <xf numFmtId="168" fontId="285" fillId="23" borderId="350" xfId="0" applyNumberFormat="1" applyFont="1" applyFill="1" applyBorder="1" applyAlignment="1" applyProtection="1">
      <alignment horizontal="right" indent="1"/>
      <protection hidden="1"/>
    </xf>
    <xf numFmtId="168" fontId="285" fillId="23" borderId="295" xfId="0" applyNumberFormat="1" applyFont="1" applyFill="1" applyBorder="1" applyAlignment="1" applyProtection="1">
      <alignment horizontal="right" indent="1"/>
      <protection hidden="1"/>
    </xf>
    <xf numFmtId="171" fontId="285" fillId="23" borderId="146" xfId="2" applyNumberFormat="1" applyFont="1" applyFill="1" applyBorder="1" applyAlignment="1" applyProtection="1">
      <alignment horizontal="right" indent="1"/>
      <protection hidden="1"/>
    </xf>
    <xf numFmtId="14" fontId="29" fillId="23" borderId="189" xfId="0" applyNumberFormat="1" applyFont="1" applyFill="1" applyBorder="1" applyAlignment="1" applyProtection="1">
      <alignment horizontal="right" vertical="center" indent="1"/>
      <protection hidden="1"/>
    </xf>
    <xf numFmtId="14" fontId="29" fillId="23" borderId="192" xfId="0" applyNumberFormat="1" applyFont="1" applyFill="1" applyBorder="1" applyAlignment="1" applyProtection="1">
      <alignment horizontal="right" vertical="center" indent="1"/>
      <protection hidden="1"/>
    </xf>
    <xf numFmtId="171" fontId="29" fillId="23" borderId="189" xfId="2" applyNumberFormat="1" applyFont="1" applyFill="1" applyBorder="1" applyAlignment="1" applyProtection="1">
      <alignment horizontal="right" vertical="center" indent="1"/>
      <protection hidden="1"/>
    </xf>
    <xf numFmtId="171" fontId="29" fillId="23" borderId="192" xfId="2" applyNumberFormat="1" applyFont="1" applyFill="1" applyBorder="1" applyAlignment="1" applyProtection="1">
      <alignment horizontal="right" vertical="center" indent="1"/>
      <protection hidden="1"/>
    </xf>
    <xf numFmtId="14" fontId="285" fillId="23" borderId="146" xfId="0" applyNumberFormat="1" applyFont="1" applyFill="1" applyBorder="1" applyAlignment="1" applyProtection="1">
      <alignment horizontal="left" indent="1"/>
      <protection hidden="1"/>
    </xf>
    <xf numFmtId="168" fontId="29" fillId="23" borderId="189" xfId="0" applyNumberFormat="1" applyFont="1" applyFill="1" applyBorder="1" applyAlignment="1" applyProtection="1">
      <alignment horizontal="right" vertical="center" indent="1"/>
      <protection hidden="1"/>
    </xf>
    <xf numFmtId="0" fontId="29" fillId="23" borderId="189" xfId="0" applyFont="1" applyFill="1" applyBorder="1" applyAlignment="1" applyProtection="1">
      <alignment horizontal="right" vertical="center" indent="1"/>
      <protection hidden="1"/>
    </xf>
    <xf numFmtId="0" fontId="29" fillId="23" borderId="192" xfId="0" applyFont="1" applyFill="1" applyBorder="1" applyAlignment="1" applyProtection="1">
      <alignment horizontal="right" vertical="center" indent="1"/>
      <protection hidden="1"/>
    </xf>
    <xf numFmtId="0" fontId="131" fillId="23" borderId="189" xfId="0" applyFont="1" applyFill="1" applyBorder="1" applyAlignment="1" applyProtection="1">
      <alignment horizontal="center" vertical="center" wrapText="1"/>
      <protection hidden="1"/>
    </xf>
    <xf numFmtId="0" fontId="131" fillId="23" borderId="190" xfId="0" applyFont="1" applyFill="1" applyBorder="1" applyAlignment="1" applyProtection="1">
      <alignment horizontal="center" vertical="center" wrapText="1"/>
      <protection hidden="1"/>
    </xf>
    <xf numFmtId="0" fontId="131" fillId="23" borderId="192" xfId="0" applyFont="1" applyFill="1" applyBorder="1" applyAlignment="1" applyProtection="1">
      <alignment horizontal="center" vertical="center" wrapText="1"/>
      <protection hidden="1"/>
    </xf>
    <xf numFmtId="0" fontId="131" fillId="23" borderId="207" xfId="0" applyFont="1" applyFill="1" applyBorder="1" applyAlignment="1" applyProtection="1">
      <alignment horizontal="center" vertical="center" wrapText="1"/>
      <protection hidden="1"/>
    </xf>
    <xf numFmtId="0" fontId="285" fillId="23" borderId="146" xfId="0" applyFont="1" applyFill="1" applyBorder="1" applyAlignment="1" applyProtection="1">
      <alignment horizontal="left" indent="1"/>
      <protection locked="0"/>
    </xf>
    <xf numFmtId="14" fontId="285" fillId="23" borderId="146" xfId="0" applyNumberFormat="1" applyFont="1" applyFill="1" applyBorder="1" applyAlignment="1" applyProtection="1">
      <alignment horizontal="right" indent="1"/>
      <protection locked="0"/>
    </xf>
    <xf numFmtId="0" fontId="29" fillId="23" borderId="188" xfId="0" applyFont="1" applyFill="1" applyBorder="1" applyAlignment="1" applyProtection="1">
      <alignment horizontal="left" vertical="center" indent="1"/>
      <protection hidden="1"/>
    </xf>
    <xf numFmtId="0" fontId="29" fillId="23" borderId="189" xfId="0" applyFont="1" applyFill="1" applyBorder="1" applyAlignment="1" applyProtection="1">
      <alignment horizontal="left" vertical="center" indent="1"/>
      <protection hidden="1"/>
    </xf>
    <xf numFmtId="0" fontId="29" fillId="23" borderId="191" xfId="0" applyFont="1" applyFill="1" applyBorder="1" applyAlignment="1" applyProtection="1">
      <alignment horizontal="left" vertical="center" indent="1"/>
      <protection hidden="1"/>
    </xf>
    <xf numFmtId="0" fontId="29" fillId="23" borderId="192" xfId="0" applyFont="1" applyFill="1" applyBorder="1" applyAlignment="1" applyProtection="1">
      <alignment horizontal="left" vertical="center" indent="1"/>
      <protection hidden="1"/>
    </xf>
    <xf numFmtId="0" fontId="285" fillId="23" borderId="349" xfId="0" applyFont="1" applyFill="1" applyBorder="1" applyAlignment="1" applyProtection="1">
      <alignment horizontal="left" indent="1"/>
      <protection locked="0"/>
    </xf>
    <xf numFmtId="0" fontId="285" fillId="23" borderId="350" xfId="0" applyFont="1" applyFill="1" applyBorder="1" applyAlignment="1" applyProtection="1">
      <alignment horizontal="left" indent="1"/>
      <protection locked="0"/>
    </xf>
    <xf numFmtId="0" fontId="285" fillId="23" borderId="295" xfId="0" applyFont="1" applyFill="1" applyBorder="1" applyAlignment="1" applyProtection="1">
      <alignment horizontal="left" indent="1"/>
      <protection locked="0"/>
    </xf>
    <xf numFmtId="0" fontId="29" fillId="23" borderId="350" xfId="0" applyFont="1" applyFill="1" applyBorder="1" applyAlignment="1" applyProtection="1">
      <alignment horizontal="left" vertical="center" indent="1"/>
      <protection hidden="1"/>
    </xf>
    <xf numFmtId="0" fontId="29" fillId="23" borderId="350" xfId="0" applyFont="1" applyFill="1" applyBorder="1" applyAlignment="1" applyProtection="1">
      <alignment horizontal="right" vertical="center" indent="1"/>
      <protection hidden="1"/>
    </xf>
    <xf numFmtId="0" fontId="29" fillId="23" borderId="295" xfId="0" applyFont="1" applyFill="1" applyBorder="1" applyAlignment="1" applyProtection="1">
      <alignment horizontal="left" vertical="center" indent="1"/>
      <protection hidden="1"/>
    </xf>
    <xf numFmtId="168" fontId="285" fillId="23" borderId="146" xfId="0" applyNumberFormat="1" applyFont="1" applyFill="1" applyBorder="1" applyAlignment="1" applyProtection="1">
      <alignment horizontal="right" indent="1"/>
      <protection hidden="1"/>
    </xf>
    <xf numFmtId="0" fontId="285" fillId="23" borderId="146" xfId="0" applyFont="1" applyFill="1" applyBorder="1" applyAlignment="1" applyProtection="1">
      <alignment horizontal="left" indent="1"/>
      <protection hidden="1"/>
    </xf>
    <xf numFmtId="0" fontId="63" fillId="18" borderId="0" xfId="0" applyFont="1" applyFill="1" applyAlignment="1">
      <alignment horizontal="center" vertical="center"/>
    </xf>
    <xf numFmtId="0" fontId="56" fillId="4" borderId="0" xfId="0" applyFont="1" applyFill="1" applyAlignment="1">
      <alignment horizontal="center" vertical="center"/>
    </xf>
    <xf numFmtId="14" fontId="308" fillId="0" borderId="32" xfId="0" applyNumberFormat="1" applyFont="1" applyBorder="1" applyAlignment="1" applyProtection="1">
      <alignment horizontal="center" vertical="center"/>
      <protection locked="0"/>
    </xf>
    <xf numFmtId="14" fontId="308" fillId="0" borderId="105" xfId="0" applyNumberFormat="1" applyFont="1" applyBorder="1" applyAlignment="1" applyProtection="1">
      <alignment horizontal="center" vertical="center"/>
      <protection locked="0"/>
    </xf>
    <xf numFmtId="14" fontId="308" fillId="0" borderId="132" xfId="0" applyNumberFormat="1" applyFont="1" applyBorder="1" applyAlignment="1" applyProtection="1">
      <alignment horizontal="center" vertical="center"/>
      <protection locked="0"/>
    </xf>
    <xf numFmtId="0" fontId="41" fillId="23" borderId="188" xfId="0" applyFont="1" applyFill="1" applyBorder="1" applyAlignment="1" applyProtection="1">
      <alignment horizontal="center" vertical="center" wrapText="1"/>
      <protection hidden="1"/>
    </xf>
    <xf numFmtId="0" fontId="41" fillId="23" borderId="189" xfId="0" applyFont="1" applyFill="1" applyBorder="1" applyAlignment="1" applyProtection="1">
      <alignment horizontal="center" vertical="center" wrapText="1"/>
      <protection hidden="1"/>
    </xf>
    <xf numFmtId="0" fontId="41" fillId="23" borderId="190" xfId="0" applyFont="1" applyFill="1" applyBorder="1" applyAlignment="1" applyProtection="1">
      <alignment horizontal="center" vertical="center" wrapText="1"/>
      <protection hidden="1"/>
    </xf>
    <xf numFmtId="0" fontId="41" fillId="23" borderId="191" xfId="0" applyFont="1" applyFill="1" applyBorder="1" applyAlignment="1" applyProtection="1">
      <alignment horizontal="center" vertical="center" wrapText="1"/>
      <protection hidden="1"/>
    </xf>
    <xf numFmtId="0" fontId="41" fillId="23" borderId="192" xfId="0" applyFont="1" applyFill="1" applyBorder="1" applyAlignment="1" applyProtection="1">
      <alignment horizontal="center" vertical="center" wrapText="1"/>
      <protection hidden="1"/>
    </xf>
    <xf numFmtId="0" fontId="41" fillId="23" borderId="207" xfId="0" applyFont="1" applyFill="1" applyBorder="1" applyAlignment="1" applyProtection="1">
      <alignment horizontal="center" vertical="center" wrapText="1"/>
      <protection hidden="1"/>
    </xf>
    <xf numFmtId="0" fontId="37" fillId="23" borderId="188" xfId="0" applyFont="1" applyFill="1" applyBorder="1" applyAlignment="1" applyProtection="1">
      <alignment horizontal="center" vertical="center"/>
      <protection hidden="1"/>
    </xf>
    <xf numFmtId="0" fontId="37" fillId="23" borderId="189" xfId="0" applyFont="1" applyFill="1" applyBorder="1" applyAlignment="1" applyProtection="1">
      <alignment horizontal="center" vertical="center"/>
      <protection hidden="1"/>
    </xf>
    <xf numFmtId="0" fontId="37" fillId="23" borderId="190" xfId="0" applyFont="1" applyFill="1" applyBorder="1" applyAlignment="1" applyProtection="1">
      <alignment horizontal="center" vertical="center"/>
      <protection hidden="1"/>
    </xf>
    <xf numFmtId="0" fontId="37" fillId="23" borderId="191" xfId="0" applyFont="1" applyFill="1" applyBorder="1" applyAlignment="1" applyProtection="1">
      <alignment horizontal="center" vertical="center"/>
      <protection hidden="1"/>
    </xf>
    <xf numFmtId="0" fontId="37" fillId="23" borderId="192" xfId="0" applyFont="1" applyFill="1" applyBorder="1" applyAlignment="1" applyProtection="1">
      <alignment horizontal="center" vertical="center"/>
      <protection hidden="1"/>
    </xf>
    <xf numFmtId="0" fontId="37" fillId="23" borderId="207" xfId="0" applyFont="1" applyFill="1" applyBorder="1" applyAlignment="1" applyProtection="1">
      <alignment horizontal="center" vertical="center"/>
      <protection hidden="1"/>
    </xf>
    <xf numFmtId="0" fontId="308" fillId="23" borderId="349" xfId="0" applyFont="1" applyFill="1" applyBorder="1" applyAlignment="1" applyProtection="1">
      <alignment horizontal="center" vertical="center" wrapText="1"/>
      <protection hidden="1"/>
    </xf>
    <xf numFmtId="0" fontId="308" fillId="23" borderId="350" xfId="0" applyFont="1" applyFill="1" applyBorder="1" applyAlignment="1" applyProtection="1">
      <alignment horizontal="center" vertical="center" wrapText="1"/>
      <protection hidden="1"/>
    </xf>
    <xf numFmtId="0" fontId="308" fillId="23" borderId="295" xfId="0" applyFont="1" applyFill="1" applyBorder="1" applyAlignment="1" applyProtection="1">
      <alignment horizontal="center" vertical="center" wrapText="1"/>
      <protection hidden="1"/>
    </xf>
    <xf numFmtId="0" fontId="29" fillId="23" borderId="349" xfId="0" applyFont="1" applyFill="1" applyBorder="1" applyAlignment="1" applyProtection="1">
      <alignment horizontal="left" vertical="center" indent="1"/>
      <protection hidden="1"/>
    </xf>
    <xf numFmtId="0" fontId="27" fillId="0" borderId="122" xfId="0" applyFont="1" applyBorder="1" applyAlignment="1" applyProtection="1">
      <alignment horizontal="left" indent="1"/>
      <protection hidden="1"/>
    </xf>
    <xf numFmtId="1" fontId="27" fillId="0" borderId="122" xfId="0" applyNumberFormat="1" applyFont="1" applyBorder="1" applyAlignment="1" applyProtection="1">
      <alignment horizontal="right" indent="1"/>
      <protection hidden="1"/>
    </xf>
    <xf numFmtId="169" fontId="248" fillId="18" borderId="0" xfId="0" applyNumberFormat="1" applyFont="1" applyFill="1" applyAlignment="1" applyProtection="1">
      <alignment horizontal="left" vertical="top" wrapText="1" indent="1"/>
      <protection hidden="1"/>
    </xf>
    <xf numFmtId="168" fontId="248" fillId="0" borderId="134" xfId="0" applyNumberFormat="1" applyFont="1" applyBorder="1" applyAlignment="1" applyProtection="1">
      <alignment horizontal="right" vertical="top" indent="1"/>
      <protection hidden="1"/>
    </xf>
    <xf numFmtId="9" fontId="21" fillId="18" borderId="122" xfId="0" applyNumberFormat="1" applyFont="1" applyFill="1" applyBorder="1" applyAlignment="1" applyProtection="1">
      <alignment horizontal="left" indent="1"/>
      <protection hidden="1"/>
    </xf>
    <xf numFmtId="1" fontId="27" fillId="18" borderId="122" xfId="0" applyNumberFormat="1" applyFont="1" applyFill="1" applyBorder="1" applyAlignment="1" applyProtection="1">
      <alignment horizontal="right" indent="1"/>
      <protection hidden="1"/>
    </xf>
    <xf numFmtId="169" fontId="248" fillId="18" borderId="134" xfId="0" applyNumberFormat="1" applyFont="1" applyFill="1" applyBorder="1" applyAlignment="1" applyProtection="1">
      <alignment horizontal="left" vertical="top" wrapText="1" indent="1"/>
      <protection locked="0"/>
    </xf>
    <xf numFmtId="1" fontId="248" fillId="18" borderId="134" xfId="0" applyNumberFormat="1" applyFont="1" applyFill="1" applyBorder="1" applyAlignment="1" applyProtection="1">
      <alignment horizontal="right" vertical="top" wrapText="1" indent="1"/>
      <protection locked="0"/>
    </xf>
    <xf numFmtId="1" fontId="248" fillId="18" borderId="0" xfId="0" applyNumberFormat="1" applyFont="1" applyFill="1" applyAlignment="1" applyProtection="1">
      <alignment horizontal="right" vertical="top" wrapText="1" indent="1"/>
      <protection locked="0"/>
    </xf>
    <xf numFmtId="0" fontId="248" fillId="18" borderId="134" xfId="0" applyFont="1" applyFill="1" applyBorder="1" applyAlignment="1" applyProtection="1">
      <alignment horizontal="center" vertical="top"/>
      <protection hidden="1"/>
    </xf>
    <xf numFmtId="168" fontId="248" fillId="18" borderId="134" xfId="0" applyNumberFormat="1" applyFont="1" applyFill="1" applyBorder="1" applyAlignment="1" applyProtection="1">
      <alignment horizontal="right" vertical="top" indent="1"/>
      <protection hidden="1"/>
    </xf>
    <xf numFmtId="0" fontId="248" fillId="0" borderId="134" xfId="0" applyFont="1" applyBorder="1" applyAlignment="1" applyProtection="1">
      <alignment horizontal="left" vertical="top"/>
      <protection hidden="1"/>
    </xf>
    <xf numFmtId="0" fontId="27" fillId="18" borderId="122" xfId="0" applyFont="1" applyFill="1" applyBorder="1" applyAlignment="1" applyProtection="1">
      <alignment horizontal="left" indent="1"/>
      <protection locked="0"/>
    </xf>
    <xf numFmtId="0" fontId="75" fillId="0" borderId="100" xfId="0" applyFont="1" applyBorder="1" applyAlignment="1" applyProtection="1">
      <alignment horizontal="center"/>
      <protection locked="0"/>
    </xf>
    <xf numFmtId="1" fontId="75" fillId="0" borderId="100" xfId="0" applyNumberFormat="1" applyFont="1" applyBorder="1" applyAlignment="1" applyProtection="1">
      <alignment horizontal="center"/>
      <protection locked="0"/>
    </xf>
    <xf numFmtId="0" fontId="108" fillId="0" borderId="147" xfId="0" applyFont="1" applyBorder="1" applyAlignment="1" applyProtection="1">
      <alignment horizontal="center"/>
      <protection locked="0"/>
    </xf>
    <xf numFmtId="0" fontId="108" fillId="0" borderId="148" xfId="0" applyFont="1" applyBorder="1" applyAlignment="1" applyProtection="1">
      <alignment horizontal="center"/>
      <protection locked="0"/>
    </xf>
    <xf numFmtId="0" fontId="580" fillId="0" borderId="0" xfId="0" applyFont="1" applyAlignment="1" applyProtection="1">
      <alignment horizontal="center" vertical="center"/>
      <protection locked="0"/>
    </xf>
    <xf numFmtId="0" fontId="108" fillId="0" borderId="32" xfId="0" applyFont="1" applyBorder="1" applyAlignment="1" applyProtection="1">
      <alignment horizontal="center" vertical="center"/>
      <protection locked="0"/>
    </xf>
    <xf numFmtId="0" fontId="108" fillId="0" borderId="132" xfId="0" applyFont="1" applyBorder="1" applyAlignment="1" applyProtection="1">
      <alignment horizontal="center" vertical="center"/>
      <protection locked="0"/>
    </xf>
    <xf numFmtId="0" fontId="23" fillId="0" borderId="32" xfId="0" applyFont="1" applyBorder="1" applyAlignment="1" applyProtection="1">
      <alignment horizontal="center" vertical="center"/>
      <protection locked="0"/>
    </xf>
    <xf numFmtId="0" fontId="23" fillId="0" borderId="132" xfId="0" applyFont="1" applyBorder="1" applyAlignment="1" applyProtection="1">
      <alignment horizontal="center" vertical="center"/>
      <protection locked="0"/>
    </xf>
    <xf numFmtId="0" fontId="101" fillId="0" borderId="0" xfId="0" applyFont="1" applyAlignment="1" applyProtection="1">
      <alignment horizontal="center" vertical="center" wrapText="1"/>
      <protection locked="0"/>
    </xf>
    <xf numFmtId="0" fontId="101" fillId="0" borderId="367" xfId="0" applyFont="1" applyBorder="1" applyAlignment="1" applyProtection="1">
      <alignment horizontal="center" vertical="center" wrapText="1"/>
      <protection locked="0"/>
    </xf>
    <xf numFmtId="0" fontId="101" fillId="0" borderId="0" xfId="0" quotePrefix="1" applyFont="1" applyAlignment="1" applyProtection="1">
      <alignment horizontal="center" vertical="center" wrapText="1"/>
      <protection locked="0"/>
    </xf>
    <xf numFmtId="0" fontId="23" fillId="0" borderId="35" xfId="0" applyFont="1" applyBorder="1" applyAlignment="1" applyProtection="1">
      <alignment horizontal="center" vertical="center"/>
      <protection locked="0"/>
    </xf>
    <xf numFmtId="0" fontId="23" fillId="0" borderId="34" xfId="0" applyFont="1" applyBorder="1" applyAlignment="1" applyProtection="1">
      <alignment horizontal="center" vertical="center"/>
      <protection locked="0"/>
    </xf>
    <xf numFmtId="0" fontId="23" fillId="0" borderId="33" xfId="0" applyFont="1" applyBorder="1" applyAlignment="1" applyProtection="1">
      <alignment horizontal="center" vertical="center"/>
      <protection locked="0"/>
    </xf>
    <xf numFmtId="0" fontId="23" fillId="0" borderId="22" xfId="0" applyFont="1" applyBorder="1" applyAlignment="1" applyProtection="1">
      <alignment horizontal="center" vertical="center"/>
      <protection locked="0"/>
    </xf>
    <xf numFmtId="0" fontId="108" fillId="0" borderId="35" xfId="0" applyFont="1" applyBorder="1" applyAlignment="1" applyProtection="1">
      <alignment horizontal="center" vertical="center"/>
      <protection locked="0"/>
    </xf>
    <xf numFmtId="0" fontId="108" fillId="0" borderId="34" xfId="0" applyFont="1" applyBorder="1" applyAlignment="1" applyProtection="1">
      <alignment horizontal="center" vertical="center"/>
      <protection locked="0"/>
    </xf>
    <xf numFmtId="0" fontId="108" fillId="0" borderId="33" xfId="0" applyFont="1" applyBorder="1" applyAlignment="1" applyProtection="1">
      <alignment horizontal="center" vertical="center"/>
      <protection locked="0"/>
    </xf>
    <xf numFmtId="0" fontId="108" fillId="0" borderId="22" xfId="0" applyFont="1" applyBorder="1" applyAlignment="1" applyProtection="1">
      <alignment horizontal="center" vertical="center"/>
      <protection locked="0"/>
    </xf>
    <xf numFmtId="0" fontId="108" fillId="0" borderId="39" xfId="0" applyFont="1" applyBorder="1" applyAlignment="1" applyProtection="1">
      <alignment horizontal="center" vertical="center"/>
      <protection locked="0"/>
    </xf>
    <xf numFmtId="0" fontId="108" fillId="0" borderId="104" xfId="0" applyFont="1" applyBorder="1" applyAlignment="1" applyProtection="1">
      <alignment horizontal="center" vertical="center"/>
      <protection locked="0"/>
    </xf>
    <xf numFmtId="0" fontId="108" fillId="0" borderId="370" xfId="0" applyFont="1" applyBorder="1" applyAlignment="1" applyProtection="1">
      <alignment horizontal="center" vertical="center"/>
      <protection locked="0"/>
    </xf>
    <xf numFmtId="0" fontId="108" fillId="0" borderId="371" xfId="0" applyFont="1" applyBorder="1" applyAlignment="1" applyProtection="1">
      <alignment horizontal="center" vertical="center"/>
      <protection locked="0"/>
    </xf>
    <xf numFmtId="0" fontId="23" fillId="0" borderId="368" xfId="0" applyFont="1" applyBorder="1" applyAlignment="1" applyProtection="1">
      <alignment horizontal="center" vertical="center"/>
      <protection locked="0"/>
    </xf>
    <xf numFmtId="0" fontId="23" fillId="0" borderId="369" xfId="0" applyFont="1" applyBorder="1" applyAlignment="1" applyProtection="1">
      <alignment horizontal="center" vertical="center"/>
      <protection locked="0"/>
    </xf>
    <xf numFmtId="0" fontId="230" fillId="0" borderId="0" xfId="0" applyFont="1" applyAlignment="1" applyProtection="1">
      <alignment horizontal="center" wrapText="1"/>
      <protection locked="0"/>
    </xf>
    <xf numFmtId="0" fontId="101" fillId="0" borderId="0" xfId="0" applyFont="1" applyAlignment="1" applyProtection="1">
      <alignment horizontal="center" wrapText="1"/>
      <protection locked="0"/>
    </xf>
    <xf numFmtId="0" fontId="23" fillId="0" borderId="39" xfId="0" applyFont="1" applyBorder="1" applyAlignment="1" applyProtection="1">
      <alignment horizontal="center" vertical="center"/>
      <protection locked="0"/>
    </xf>
    <xf numFmtId="0" fontId="23" fillId="0" borderId="104" xfId="0" applyFont="1" applyBorder="1" applyAlignment="1" applyProtection="1">
      <alignment horizontal="center" vertical="center"/>
      <protection locked="0"/>
    </xf>
    <xf numFmtId="0" fontId="23" fillId="0" borderId="370" xfId="0" applyFont="1" applyBorder="1" applyAlignment="1" applyProtection="1">
      <alignment horizontal="center" vertical="center"/>
      <protection locked="0"/>
    </xf>
    <xf numFmtId="0" fontId="23" fillId="0" borderId="371" xfId="0" applyFont="1" applyBorder="1" applyAlignment="1" applyProtection="1">
      <alignment horizontal="center" vertical="center"/>
      <protection locked="0"/>
    </xf>
    <xf numFmtId="1" fontId="101" fillId="18" borderId="144" xfId="0" applyNumberFormat="1" applyFont="1" applyFill="1" applyBorder="1" applyAlignment="1" applyProtection="1">
      <alignment horizontal="center" vertical="center" wrapText="1"/>
      <protection locked="0"/>
    </xf>
    <xf numFmtId="1" fontId="101" fillId="18" borderId="145" xfId="0" applyNumberFormat="1" applyFont="1" applyFill="1" applyBorder="1" applyAlignment="1" applyProtection="1">
      <alignment horizontal="center" vertical="center" wrapText="1"/>
      <protection locked="0"/>
    </xf>
    <xf numFmtId="1" fontId="101" fillId="18" borderId="106" xfId="0" applyNumberFormat="1" applyFont="1" applyFill="1" applyBorder="1" applyAlignment="1" applyProtection="1">
      <alignment horizontal="center" vertical="center" wrapText="1"/>
      <protection locked="0"/>
    </xf>
    <xf numFmtId="0" fontId="75" fillId="0" borderId="145" xfId="0" applyFont="1" applyBorder="1" applyAlignment="1" applyProtection="1">
      <alignment horizontal="center" wrapText="1"/>
      <protection locked="0"/>
    </xf>
    <xf numFmtId="0" fontId="67" fillId="3" borderId="136" xfId="0" applyFont="1" applyFill="1" applyBorder="1" applyAlignment="1" applyProtection="1">
      <alignment horizontal="right" indent="1"/>
      <protection locked="0"/>
    </xf>
    <xf numFmtId="0" fontId="67" fillId="3" borderId="137" xfId="0" applyFont="1" applyFill="1" applyBorder="1" applyAlignment="1" applyProtection="1">
      <alignment horizontal="right" indent="1"/>
      <protection locked="0"/>
    </xf>
    <xf numFmtId="0" fontId="75" fillId="0" borderId="100" xfId="0" applyFont="1" applyBorder="1" applyAlignment="1" applyProtection="1">
      <alignment horizontal="right" indent="1"/>
      <protection locked="0"/>
    </xf>
    <xf numFmtId="1" fontId="74" fillId="18" borderId="0" xfId="0" applyNumberFormat="1" applyFont="1" applyFill="1" applyAlignment="1" applyProtection="1">
      <alignment horizontal="center"/>
      <protection locked="0"/>
    </xf>
    <xf numFmtId="1" fontId="74" fillId="18" borderId="122" xfId="0" applyNumberFormat="1" applyFont="1" applyFill="1" applyBorder="1" applyAlignment="1" applyProtection="1">
      <alignment horizontal="center"/>
      <protection locked="0"/>
    </xf>
    <xf numFmtId="0" fontId="230" fillId="0" borderId="134" xfId="0" applyFont="1" applyBorder="1" applyAlignment="1" applyProtection="1">
      <alignment horizontal="center" wrapText="1"/>
      <protection locked="0"/>
    </xf>
    <xf numFmtId="0" fontId="101" fillId="0" borderId="134" xfId="0" applyFont="1" applyBorder="1" applyAlignment="1" applyProtection="1">
      <alignment horizontal="center" wrapText="1"/>
      <protection locked="0"/>
    </xf>
    <xf numFmtId="0" fontId="172" fillId="0" borderId="134" xfId="0" applyFont="1" applyBorder="1" applyAlignment="1" applyProtection="1">
      <alignment horizontal="center" wrapText="1"/>
      <protection locked="0"/>
    </xf>
    <xf numFmtId="0" fontId="172" fillId="0" borderId="0" xfId="0" applyFont="1" applyAlignment="1" applyProtection="1">
      <alignment horizontal="center" wrapText="1"/>
      <protection locked="0"/>
    </xf>
    <xf numFmtId="0" fontId="60" fillId="0" borderId="35" xfId="0" applyFont="1" applyBorder="1" applyAlignment="1" applyProtection="1">
      <alignment horizontal="center" vertical="center" wrapText="1"/>
      <protection locked="0"/>
    </xf>
    <xf numFmtId="0" fontId="60" fillId="0" borderId="34" xfId="0" applyFont="1" applyBorder="1" applyAlignment="1" applyProtection="1">
      <alignment horizontal="center" vertical="center" wrapText="1"/>
      <protection locked="0"/>
    </xf>
    <xf numFmtId="0" fontId="60" fillId="0" borderId="33" xfId="0" applyFont="1" applyBorder="1" applyAlignment="1" applyProtection="1">
      <alignment horizontal="center" vertical="center" wrapText="1"/>
      <protection locked="0"/>
    </xf>
    <xf numFmtId="0" fontId="60" fillId="0" borderId="22" xfId="0" applyFont="1" applyBorder="1" applyAlignment="1" applyProtection="1">
      <alignment horizontal="center" vertical="center" wrapText="1"/>
      <protection locked="0"/>
    </xf>
    <xf numFmtId="0" fontId="75" fillId="0" borderId="147" xfId="0" applyFont="1" applyBorder="1" applyAlignment="1" applyProtection="1">
      <alignment horizontal="right"/>
      <protection locked="0"/>
    </xf>
    <xf numFmtId="0" fontId="75" fillId="0" borderId="148" xfId="0" applyFont="1" applyBorder="1" applyAlignment="1" applyProtection="1">
      <alignment horizontal="right"/>
      <protection locked="0"/>
    </xf>
    <xf numFmtId="0" fontId="75" fillId="0" borderId="147" xfId="0" applyFont="1" applyBorder="1" applyAlignment="1" applyProtection="1">
      <alignment horizontal="left" indent="1"/>
      <protection locked="0"/>
    </xf>
    <xf numFmtId="0" fontId="75" fillId="0" borderId="148" xfId="0" applyFont="1" applyBorder="1" applyAlignment="1" applyProtection="1">
      <alignment horizontal="left" indent="1"/>
      <protection locked="0"/>
    </xf>
    <xf numFmtId="0" fontId="75" fillId="0" borderId="100" xfId="0" applyFont="1" applyBorder="1" applyAlignment="1" applyProtection="1">
      <alignment horizontal="left" indent="1"/>
      <protection locked="0"/>
    </xf>
    <xf numFmtId="0" fontId="90" fillId="3" borderId="144" xfId="0" applyFont="1" applyFill="1" applyBorder="1" applyAlignment="1" applyProtection="1">
      <alignment horizontal="left" wrapText="1"/>
      <protection locked="0"/>
    </xf>
    <xf numFmtId="0" fontId="90" fillId="3" borderId="145" xfId="0" applyFont="1" applyFill="1" applyBorder="1" applyAlignment="1" applyProtection="1">
      <alignment horizontal="left" wrapText="1"/>
      <protection locked="0"/>
    </xf>
    <xf numFmtId="0" fontId="90" fillId="3" borderId="106" xfId="0" applyFont="1" applyFill="1" applyBorder="1" applyAlignment="1" applyProtection="1">
      <alignment horizontal="left" wrapText="1"/>
      <protection locked="0"/>
    </xf>
    <xf numFmtId="0" fontId="308" fillId="0" borderId="0" xfId="0" applyFont="1" applyAlignment="1" applyProtection="1">
      <alignment horizontal="right" wrapText="1"/>
      <protection locked="0"/>
    </xf>
    <xf numFmtId="0" fontId="308" fillId="0" borderId="122" xfId="0" applyFont="1" applyBorder="1" applyAlignment="1" applyProtection="1">
      <alignment horizontal="right" wrapText="1"/>
      <protection locked="0"/>
    </xf>
    <xf numFmtId="0" fontId="29" fillId="15" borderId="0" xfId="0" applyFont="1" applyFill="1" applyAlignment="1" applyProtection="1">
      <alignment horizontal="center"/>
      <protection hidden="1"/>
    </xf>
    <xf numFmtId="0" fontId="29" fillId="15" borderId="122" xfId="0" applyFont="1" applyFill="1" applyBorder="1" applyAlignment="1" applyProtection="1">
      <alignment horizontal="left" indent="79"/>
      <protection hidden="1"/>
    </xf>
    <xf numFmtId="0" fontId="29" fillId="15" borderId="139" xfId="0" applyFont="1" applyFill="1" applyBorder="1" applyAlignment="1" applyProtection="1">
      <alignment horizontal="left" indent="79"/>
      <protection hidden="1"/>
    </xf>
    <xf numFmtId="0" fontId="75" fillId="0" borderId="122" xfId="0" applyFont="1" applyBorder="1" applyAlignment="1" applyProtection="1">
      <alignment horizontal="center"/>
      <protection locked="0"/>
    </xf>
    <xf numFmtId="0" fontId="29" fillId="15" borderId="122" xfId="0" applyFont="1" applyFill="1" applyBorder="1" applyAlignment="1" applyProtection="1">
      <alignment horizontal="left" indent="85"/>
      <protection hidden="1"/>
    </xf>
    <xf numFmtId="0" fontId="29" fillId="15" borderId="139" xfId="0" applyFont="1" applyFill="1" applyBorder="1" applyAlignment="1" applyProtection="1">
      <alignment horizontal="left" indent="85"/>
      <protection hidden="1"/>
    </xf>
    <xf numFmtId="0" fontId="304" fillId="3" borderId="134" xfId="0" applyFont="1" applyFill="1" applyBorder="1" applyAlignment="1" applyProtection="1">
      <alignment horizontal="right" vertical="center" wrapText="1"/>
      <protection locked="0"/>
    </xf>
    <xf numFmtId="0" fontId="304" fillId="3" borderId="122" xfId="0" applyFont="1" applyFill="1" applyBorder="1" applyAlignment="1" applyProtection="1">
      <alignment horizontal="right" vertical="center" wrapText="1"/>
      <protection locked="0"/>
    </xf>
    <xf numFmtId="0" fontId="304" fillId="3" borderId="134" xfId="0" applyFont="1" applyFill="1" applyBorder="1" applyAlignment="1" applyProtection="1">
      <alignment horizontal="right" wrapText="1"/>
      <protection locked="0"/>
    </xf>
    <xf numFmtId="0" fontId="304" fillId="3" borderId="122" xfId="0" applyFont="1" applyFill="1" applyBorder="1" applyAlignment="1" applyProtection="1">
      <alignment horizontal="right" wrapText="1"/>
      <protection locked="0"/>
    </xf>
    <xf numFmtId="0" fontId="75" fillId="0" borderId="147" xfId="0" applyFont="1" applyBorder="1" applyAlignment="1" applyProtection="1">
      <alignment horizontal="center"/>
      <protection locked="0"/>
    </xf>
    <xf numFmtId="0" fontId="75" fillId="0" borderId="149" xfId="0" applyFont="1" applyBorder="1" applyAlignment="1" applyProtection="1">
      <alignment horizontal="center"/>
      <protection locked="0"/>
    </xf>
    <xf numFmtId="0" fontId="75" fillId="0" borderId="148" xfId="0" applyFont="1" applyBorder="1" applyAlignment="1" applyProtection="1">
      <alignment horizontal="center"/>
      <protection locked="0"/>
    </xf>
    <xf numFmtId="0" fontId="23" fillId="16" borderId="0" xfId="0" applyFont="1" applyFill="1" applyAlignment="1" applyProtection="1">
      <alignment horizontal="center" vertical="center"/>
      <protection hidden="1"/>
    </xf>
    <xf numFmtId="0" fontId="108" fillId="0" borderId="100" xfId="0" applyFont="1" applyBorder="1" applyAlignment="1" applyProtection="1">
      <alignment horizontal="center" vertical="center" wrapText="1"/>
      <protection locked="0"/>
    </xf>
    <xf numFmtId="0" fontId="74" fillId="0" borderId="147" xfId="0" applyFont="1" applyBorder="1" applyAlignment="1" applyProtection="1">
      <alignment horizontal="right"/>
      <protection locked="0"/>
    </xf>
    <xf numFmtId="0" fontId="74" fillId="0" borderId="148" xfId="0" applyFont="1" applyBorder="1" applyAlignment="1" applyProtection="1">
      <alignment horizontal="right"/>
      <protection locked="0"/>
    </xf>
    <xf numFmtId="0" fontId="74" fillId="0" borderId="122" xfId="0" applyFont="1" applyBorder="1" applyAlignment="1" applyProtection="1">
      <alignment horizontal="center"/>
      <protection locked="0"/>
    </xf>
    <xf numFmtId="0" fontId="101" fillId="0" borderId="134" xfId="0" applyFont="1" applyBorder="1" applyAlignment="1" applyProtection="1">
      <alignment horizontal="right" vertical="top" wrapText="1"/>
      <protection locked="0"/>
    </xf>
    <xf numFmtId="0" fontId="101" fillId="0" borderId="0" xfId="0" applyFont="1" applyAlignment="1" applyProtection="1">
      <alignment horizontal="right" vertical="top" wrapText="1"/>
      <protection locked="0"/>
    </xf>
    <xf numFmtId="0" fontId="101" fillId="0" borderId="144" xfId="0" applyFont="1" applyBorder="1" applyAlignment="1" applyProtection="1">
      <alignment horizontal="right" vertical="top" wrapText="1"/>
      <protection locked="0"/>
    </xf>
    <xf numFmtId="0" fontId="101" fillId="0" borderId="145" xfId="0" applyFont="1" applyBorder="1" applyAlignment="1" applyProtection="1">
      <alignment horizontal="right" vertical="top" wrapText="1"/>
      <protection locked="0"/>
    </xf>
    <xf numFmtId="0" fontId="101" fillId="0" borderId="106" xfId="0" applyFont="1" applyBorder="1" applyAlignment="1" applyProtection="1">
      <alignment horizontal="right" vertical="top" wrapText="1"/>
      <protection locked="0"/>
    </xf>
    <xf numFmtId="0" fontId="172" fillId="21" borderId="100" xfId="0" applyFont="1" applyFill="1" applyBorder="1" applyAlignment="1" applyProtection="1">
      <alignment horizontal="right" vertical="top" wrapText="1"/>
      <protection locked="0"/>
    </xf>
    <xf numFmtId="0" fontId="75" fillId="0" borderId="133" xfId="0" applyFont="1" applyBorder="1" applyAlignment="1" applyProtection="1">
      <alignment horizontal="center" vertical="center" wrapText="1"/>
      <protection locked="0"/>
    </xf>
    <xf numFmtId="0" fontId="75" fillId="0" borderId="134" xfId="0" applyFont="1" applyBorder="1" applyAlignment="1" applyProtection="1">
      <alignment horizontal="center" vertical="center" wrapText="1"/>
      <protection locked="0"/>
    </xf>
    <xf numFmtId="0" fontId="75" fillId="0" borderId="136" xfId="0" applyFont="1" applyBorder="1" applyAlignment="1" applyProtection="1">
      <alignment horizontal="center" vertical="center" wrapText="1"/>
      <protection locked="0"/>
    </xf>
    <xf numFmtId="0" fontId="75" fillId="0" borderId="0" xfId="0" applyFont="1" applyAlignment="1" applyProtection="1">
      <alignment horizontal="center" vertical="center" wrapText="1"/>
      <protection locked="0"/>
    </xf>
    <xf numFmtId="0" fontId="75" fillId="0" borderId="138" xfId="0" applyFont="1" applyBorder="1" applyAlignment="1" applyProtection="1">
      <alignment horizontal="center" vertical="center" wrapText="1"/>
      <protection locked="0"/>
    </xf>
    <xf numFmtId="0" fontId="75" fillId="0" borderId="122" xfId="0" applyFont="1" applyBorder="1" applyAlignment="1" applyProtection="1">
      <alignment horizontal="center" vertical="center" wrapText="1"/>
      <protection locked="0"/>
    </xf>
    <xf numFmtId="0" fontId="108" fillId="0" borderId="137" xfId="0" applyFont="1" applyBorder="1" applyAlignment="1" applyProtection="1">
      <alignment horizontal="right" wrapText="1"/>
      <protection locked="0"/>
    </xf>
    <xf numFmtId="0" fontId="108" fillId="0" borderId="139" xfId="0" applyFont="1" applyBorder="1" applyAlignment="1" applyProtection="1">
      <alignment horizontal="right" wrapText="1"/>
      <protection locked="0"/>
    </xf>
    <xf numFmtId="0" fontId="346" fillId="0" borderId="135" xfId="0" applyFont="1" applyBorder="1" applyAlignment="1" applyProtection="1">
      <alignment horizontal="left" wrapText="1"/>
      <protection locked="0"/>
    </xf>
    <xf numFmtId="0" fontId="346" fillId="0" borderId="137" xfId="0" applyFont="1" applyBorder="1" applyAlignment="1" applyProtection="1">
      <alignment horizontal="left" wrapText="1"/>
      <protection locked="0"/>
    </xf>
    <xf numFmtId="0" fontId="415" fillId="3" borderId="138" xfId="0" applyFont="1" applyFill="1" applyBorder="1" applyAlignment="1" applyProtection="1">
      <alignment horizontal="right" vertical="center" wrapText="1"/>
      <protection locked="0"/>
    </xf>
    <xf numFmtId="0" fontId="415" fillId="3" borderId="139" xfId="0" applyFont="1" applyFill="1" applyBorder="1" applyAlignment="1" applyProtection="1">
      <alignment horizontal="right" vertical="center" wrapText="1"/>
      <protection locked="0"/>
    </xf>
  </cellXfs>
  <cellStyles count="6">
    <cellStyle name="Comma" xfId="2" builtinId="3"/>
    <cellStyle name="Comma 2" xfId="3" xr:uid="{CD123052-0FA9-4D43-8981-E9767B41C3E8}"/>
    <cellStyle name="Comma 2 2" xfId="5" xr:uid="{4B4C3A0C-C1CA-4F6F-A2ED-D88013EE377B}"/>
    <cellStyle name="Comma 3" xfId="4" xr:uid="{C412DDFF-7765-419B-B518-0D02BD4DBE67}"/>
    <cellStyle name="Normal" xfId="0" builtinId="0"/>
    <cellStyle name="Percent" xfId="1" builtinId="5"/>
  </cellStyles>
  <dxfs count="5841">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numFmt numFmtId="182" formatCode="[$₹-4009]\ #,##0"/>
    </dxf>
    <dxf>
      <numFmt numFmtId="183" formatCode="[$¥-804]#,##0"/>
    </dxf>
    <dxf>
      <numFmt numFmtId="184" formatCode="[$€-2]\ #,##0"/>
    </dxf>
    <dxf>
      <numFmt numFmtId="185" formatCode="[$$-409]#,##0"/>
    </dxf>
    <dxf>
      <numFmt numFmtId="167" formatCode="&quot;£&quot;#,##0"/>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border>
        <bottom style="thin">
          <color theme="0" tint="-0.24994659260841701"/>
        </bottom>
        <vertical/>
        <horizontal/>
      </border>
    </dxf>
    <dxf>
      <font>
        <color theme="0" tint="-0.34998626667073579"/>
      </font>
      <border>
        <bottom style="thin">
          <color theme="0" tint="-0.24994659260841701"/>
        </bottom>
      </border>
    </dxf>
    <dxf>
      <font>
        <color theme="0" tint="-0.34998626667073579"/>
      </font>
      <border>
        <bottom style="thin">
          <color theme="0" tint="-0.24994659260841701"/>
        </bottom>
        <vertical/>
        <horizontal/>
      </border>
    </dxf>
    <dxf>
      <font>
        <color theme="0" tint="-0.34998626667073579"/>
      </font>
      <border>
        <bottom style="thin">
          <color theme="0" tint="-0.24994659260841701"/>
        </bottom>
        <vertical/>
        <horizontal/>
      </border>
    </dxf>
    <dxf>
      <font>
        <color theme="0" tint="-0.34998626667073579"/>
      </font>
      <border>
        <bottom style="thin">
          <color theme="0" tint="-0.24994659260841701"/>
        </bottom>
        <vertical/>
        <horizontal/>
      </border>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border>
        <bottom style="thin">
          <color theme="0" tint="-0.24994659260841701"/>
        </bottom>
        <vertical/>
        <horizontal/>
      </border>
    </dxf>
    <dxf>
      <font>
        <color theme="0" tint="-0.34998626667073579"/>
      </font>
      <border>
        <bottom style="thin">
          <color theme="0" tint="-0.24994659260841701"/>
        </bottom>
      </border>
    </dxf>
    <dxf>
      <font>
        <color theme="0" tint="-0.34998626667073579"/>
      </font>
      <border>
        <bottom style="thin">
          <color theme="0" tint="-0.24994659260841701"/>
        </bottom>
        <vertical/>
        <horizontal/>
      </border>
    </dxf>
    <dxf>
      <font>
        <color theme="0" tint="-0.34998626667073579"/>
      </font>
      <border>
        <bottom style="thin">
          <color theme="0" tint="-0.24994659260841701"/>
        </bottom>
        <vertical/>
        <horizontal/>
      </border>
    </dxf>
    <dxf>
      <font>
        <color theme="0" tint="-0.34998626667073579"/>
      </font>
      <border>
        <bottom style="thin">
          <color theme="0" tint="-0.24994659260841701"/>
        </bottom>
        <vertical/>
        <horizontal/>
      </border>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BCBCB"/>
      </font>
      <border>
        <bottom style="thin">
          <color theme="0" tint="-0.14996795556505021"/>
        </bottom>
        <vertical/>
        <horizontal/>
      </border>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theme="0"/>
      </font>
      <border>
        <bottom style="thin">
          <color theme="2"/>
        </bottom>
        <vertical/>
        <horizontal/>
      </border>
    </dxf>
    <dxf>
      <font>
        <color theme="1"/>
      </font>
    </dxf>
    <dxf>
      <font>
        <color theme="0" tint="-0.14996795556505021"/>
      </font>
      <border>
        <bottom style="thin">
          <color theme="2"/>
        </bottom>
        <vertical/>
        <horizontal/>
      </border>
    </dxf>
    <dxf>
      <font>
        <color theme="0"/>
      </font>
    </dxf>
    <dxf>
      <font>
        <color theme="1"/>
      </font>
    </dxf>
    <dxf>
      <font>
        <color theme="0"/>
      </font>
      <border>
        <bottom style="thin">
          <color theme="2"/>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border>
        <bottom style="thin">
          <color theme="2"/>
        </bottom>
        <vertical/>
        <horizontal/>
      </border>
    </dxf>
    <dxf>
      <font>
        <color theme="0"/>
      </font>
    </dxf>
    <dxf>
      <font>
        <color theme="0"/>
      </font>
      <border>
        <bottom style="thin">
          <color theme="2"/>
        </bottom>
        <vertical/>
        <horizontal/>
      </border>
    </dxf>
    <dxf>
      <font>
        <color theme="0"/>
      </font>
      <border>
        <bottom style="thin">
          <color theme="2"/>
        </bottom>
        <vertical/>
        <horizontal/>
      </border>
    </dxf>
    <dxf>
      <font>
        <color theme="1"/>
      </font>
    </dxf>
    <dxf>
      <font>
        <color theme="0" tint="-0.14996795556505021"/>
      </font>
      <border>
        <bottom style="thin">
          <color theme="2"/>
        </bottom>
        <vertical/>
        <horizontal/>
      </border>
    </dxf>
    <dxf>
      <font>
        <color theme="0"/>
      </font>
    </dxf>
    <dxf>
      <font>
        <color theme="1"/>
      </font>
    </dxf>
    <dxf>
      <font>
        <color theme="0"/>
      </font>
      <border>
        <bottom style="thin">
          <color theme="2"/>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border>
        <bottom style="thin">
          <color theme="2"/>
        </bottom>
        <vertical/>
        <horizontal/>
      </border>
    </dxf>
    <dxf>
      <font>
        <color theme="0"/>
      </font>
    </dxf>
    <dxf>
      <font>
        <color theme="0"/>
      </font>
      <border>
        <bottom style="thin">
          <color theme="2"/>
        </bottom>
        <vertical/>
        <horizontal/>
      </border>
    </dxf>
    <dxf>
      <font>
        <color theme="2"/>
      </font>
    </dxf>
    <dxf>
      <font>
        <b/>
        <i val="0"/>
        <color theme="1"/>
      </font>
    </dxf>
    <dxf>
      <font>
        <b/>
        <i val="0"/>
        <color theme="1"/>
      </font>
    </dxf>
    <dxf>
      <font>
        <color theme="2"/>
      </font>
    </dxf>
    <dxf>
      <font>
        <b/>
        <i val="0"/>
        <color theme="1"/>
      </font>
    </dxf>
    <dxf>
      <font>
        <color theme="2"/>
      </font>
    </dxf>
    <dxf>
      <font>
        <b/>
        <i val="0"/>
        <color theme="1"/>
      </font>
    </dxf>
    <dxf>
      <font>
        <b/>
        <i val="0"/>
        <color theme="1"/>
      </font>
    </dxf>
    <dxf>
      <font>
        <b/>
        <i val="0"/>
        <color theme="1"/>
      </font>
    </dxf>
    <dxf>
      <font>
        <b/>
        <i val="0"/>
        <color theme="1"/>
      </font>
    </dxf>
    <dxf>
      <numFmt numFmtId="186" formatCode="[$₹-4009]\ #,##0.00"/>
    </dxf>
    <dxf>
      <numFmt numFmtId="187" formatCode="[$¥-804]#,##0.00"/>
    </dxf>
    <dxf>
      <numFmt numFmtId="188" formatCode="[$€-2]\ #,##0.00"/>
    </dxf>
    <dxf>
      <numFmt numFmtId="189" formatCode="[$$-409]#,##0.00"/>
    </dxf>
    <dxf>
      <numFmt numFmtId="170" formatCode="&quot;£&quot;#,##0.00"/>
    </dxf>
    <dxf>
      <fill>
        <patternFill>
          <bgColor theme="0" tint="-0.24994659260841701"/>
        </patternFill>
      </fill>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theme="0" tint="-0.24994659260841701"/>
      </font>
    </dxf>
    <dxf>
      <font>
        <b val="0"/>
        <i val="0"/>
      </font>
    </dxf>
    <dxf>
      <font>
        <b val="0"/>
        <i val="0"/>
        <color theme="0" tint="-0.24994659260841701"/>
      </font>
    </dxf>
    <dxf>
      <font>
        <color theme="0" tint="-0.14996795556505021"/>
      </font>
    </dxf>
    <dxf>
      <font>
        <color theme="0" tint="-0.34998626667073579"/>
      </font>
    </dxf>
    <dxf>
      <font>
        <color theme="1"/>
      </font>
    </dxf>
    <dxf>
      <font>
        <color theme="0" tint="-0.34998626667073579"/>
      </font>
    </dxf>
    <dxf>
      <font>
        <b/>
        <i val="0"/>
      </font>
    </dxf>
    <dxf>
      <font>
        <color theme="1"/>
      </font>
    </dxf>
    <dxf>
      <font>
        <color theme="0" tint="-0.34998626667073579"/>
      </font>
    </dxf>
    <dxf>
      <font>
        <color theme="1"/>
      </font>
    </dxf>
    <dxf>
      <font>
        <color theme="1" tint="0.34998626667073579"/>
      </font>
    </dxf>
    <dxf>
      <font>
        <color theme="1"/>
      </font>
    </dxf>
    <dxf>
      <font>
        <color theme="2" tint="-0.499984740745262"/>
      </font>
    </dxf>
    <dxf>
      <font>
        <color theme="2" tint="-0.499984740745262"/>
      </font>
    </dxf>
    <dxf>
      <font>
        <color theme="2" tint="-0.499984740745262"/>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font>
      <fill>
        <patternFill>
          <bgColor theme="0" tint="-0.14996795556505021"/>
        </patternFill>
      </fill>
    </dxf>
    <dxf>
      <font>
        <color theme="0"/>
      </font>
      <fill>
        <patternFill>
          <bgColor theme="0" tint="-0.14996795556505021"/>
        </patternFill>
      </fill>
    </dxf>
    <dxf>
      <font>
        <color theme="0"/>
      </font>
      <fill>
        <patternFill>
          <bgColor theme="0" tint="-0.14996795556505021"/>
        </patternFill>
      </fill>
    </dxf>
    <dxf>
      <font>
        <color theme="0"/>
      </font>
      <fill>
        <patternFill>
          <bgColor theme="0" tint="-0.14996795556505021"/>
        </patternFill>
      </fill>
    </dxf>
    <dxf>
      <font>
        <color theme="0"/>
      </font>
      <fill>
        <patternFill>
          <bgColor theme="0" tint="-0.14996795556505021"/>
        </patternFill>
      </fill>
    </dxf>
    <dxf>
      <font>
        <color theme="0"/>
      </font>
      <fill>
        <patternFill>
          <bgColor theme="0" tint="-0.14996795556505021"/>
        </patternFill>
      </fill>
    </dxf>
    <dxf>
      <font>
        <color theme="0" tint="-0.24994659260841701"/>
      </font>
    </dxf>
    <dxf>
      <font>
        <color theme="0"/>
      </font>
      <fill>
        <patternFill>
          <bgColor theme="1"/>
        </patternFill>
      </fill>
    </dxf>
    <dxf>
      <font>
        <color theme="0" tint="-0.24994659260841701"/>
      </font>
    </dxf>
    <dxf>
      <font>
        <color theme="0"/>
      </font>
      <fill>
        <patternFill>
          <bgColor theme="1"/>
        </patternFill>
      </fill>
    </dxf>
    <dxf>
      <font>
        <color theme="0" tint="-0.24994659260841701"/>
      </font>
    </dxf>
    <dxf>
      <font>
        <color theme="0"/>
      </font>
      <fill>
        <patternFill>
          <bgColor theme="1"/>
        </patternFill>
      </fill>
    </dxf>
    <dxf>
      <font>
        <color theme="0" tint="-0.24994659260841701"/>
      </font>
    </dxf>
    <dxf>
      <font>
        <color theme="0"/>
      </font>
      <fill>
        <patternFill>
          <bgColor theme="1"/>
        </patternFill>
      </fill>
    </dxf>
    <dxf>
      <font>
        <color theme="0" tint="-0.24994659260841701"/>
      </font>
    </dxf>
    <dxf>
      <font>
        <color theme="0"/>
      </font>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34998626667073579"/>
        </patternFill>
      </fill>
    </dxf>
    <dxf>
      <font>
        <color theme="0"/>
      </font>
      <fill>
        <patternFill>
          <bgColor theme="1"/>
        </patternFill>
      </fill>
    </dxf>
    <dxf>
      <fill>
        <patternFill>
          <bgColor theme="0" tint="-0.34998626667073579"/>
        </patternFill>
      </fill>
    </dxf>
    <dxf>
      <font>
        <color theme="0"/>
      </font>
      <fill>
        <patternFill>
          <bgColor theme="1"/>
        </patternFill>
      </fill>
    </dxf>
    <dxf>
      <fill>
        <patternFill>
          <bgColor theme="0" tint="-0.34998626667073579"/>
        </patternFill>
      </fill>
    </dxf>
    <dxf>
      <font>
        <color theme="0"/>
      </font>
      <fill>
        <patternFill>
          <bgColor theme="1"/>
        </patternFill>
      </fill>
    </dxf>
    <dxf>
      <fill>
        <patternFill>
          <bgColor theme="0" tint="-0.34998626667073579"/>
        </patternFill>
      </fill>
    </dxf>
    <dxf>
      <font>
        <color theme="0"/>
      </font>
      <fill>
        <patternFill>
          <bgColor theme="1"/>
        </patternFill>
      </fill>
    </dxf>
    <dxf>
      <fill>
        <patternFill>
          <bgColor theme="0" tint="-0.34998626667073579"/>
        </patternFill>
      </fill>
    </dxf>
    <dxf>
      <font>
        <color theme="0"/>
      </font>
      <fill>
        <patternFill>
          <bgColor theme="1"/>
        </patternFill>
      </fill>
    </dxf>
    <dxf>
      <fill>
        <patternFill>
          <bgColor theme="0" tint="-0.34998626667073579"/>
        </patternFill>
      </fill>
    </dxf>
    <dxf>
      <font>
        <color theme="0"/>
      </font>
      <fill>
        <patternFill>
          <bgColor theme="1"/>
        </patternFill>
      </fill>
    </dxf>
    <dxf>
      <fill>
        <patternFill>
          <bgColor theme="0" tint="-0.34998626667073579"/>
        </patternFill>
      </fill>
    </dxf>
    <dxf>
      <font>
        <color theme="0"/>
      </font>
      <fill>
        <patternFill>
          <bgColor theme="1"/>
        </patternFill>
      </fill>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tint="-0.14996795556505021"/>
        </patternFill>
      </fill>
    </dxf>
    <dxf>
      <fill>
        <patternFill>
          <bgColor theme="0" tint="-0.14996795556505021"/>
        </patternFill>
      </fill>
      <border>
        <left style="thin">
          <color theme="2"/>
        </left>
        <right style="thin">
          <color theme="2"/>
        </right>
        <top style="thin">
          <color theme="2"/>
        </top>
        <bottom style="thin">
          <color theme="2"/>
        </bottom>
        <vertical/>
        <horizontal/>
      </border>
    </dxf>
    <dxf>
      <fill>
        <patternFill>
          <bgColor theme="0"/>
        </patternFill>
      </fill>
    </dxf>
    <dxf>
      <font>
        <color theme="0" tint="-0.34998626667073579"/>
      </font>
    </dxf>
    <dxf>
      <font>
        <color theme="0" tint="-0.24994659260841701"/>
      </font>
    </dxf>
    <dxf>
      <fill>
        <patternFill>
          <bgColor theme="0" tint="-0.34998626667073579"/>
        </patternFill>
      </fill>
    </dxf>
    <dxf>
      <fill>
        <patternFill>
          <bgColor theme="0" tint="-0.34998626667073579"/>
        </patternFill>
      </fill>
    </dxf>
    <dxf>
      <fill>
        <patternFill>
          <bgColor theme="0" tint="-0.14996795556505021"/>
        </patternFill>
      </fill>
    </dxf>
    <dxf>
      <font>
        <color theme="0" tint="-0.499984740745262"/>
      </font>
      <fill>
        <patternFill>
          <bgColor theme="1"/>
        </patternFill>
      </fill>
    </dxf>
    <dxf>
      <font>
        <color theme="0"/>
      </font>
    </dxf>
    <dxf>
      <fill>
        <patternFill>
          <bgColor theme="0" tint="-0.14996795556505021"/>
        </patternFill>
      </fill>
    </dxf>
    <dxf>
      <font>
        <color theme="0" tint="-0.499984740745262"/>
      </font>
      <fill>
        <patternFill>
          <bgColor theme="1"/>
        </patternFill>
      </fill>
    </dxf>
    <dxf>
      <font>
        <color theme="0"/>
      </font>
    </dxf>
    <dxf>
      <fill>
        <patternFill>
          <bgColor theme="0" tint="-0.14996795556505021"/>
        </patternFill>
      </fill>
    </dxf>
    <dxf>
      <font>
        <color theme="0" tint="-0.499984740745262"/>
      </font>
      <fill>
        <patternFill>
          <bgColor theme="1"/>
        </patternFill>
      </fill>
    </dxf>
    <dxf>
      <font>
        <color theme="0"/>
      </font>
      <fill>
        <patternFill>
          <bgColor theme="1"/>
        </patternFill>
      </fill>
    </dxf>
    <dxf>
      <font>
        <color rgb="FFFF0000"/>
      </font>
      <fill>
        <patternFill>
          <bgColor theme="1"/>
        </patternFill>
      </fill>
    </dxf>
    <dxf>
      <font>
        <color theme="0"/>
      </font>
    </dxf>
    <dxf>
      <font>
        <color theme="0" tint="-0.24994659260841701"/>
      </font>
    </dxf>
    <dxf>
      <font>
        <color theme="0"/>
      </font>
      <fill>
        <patternFill>
          <bgColor theme="1"/>
        </patternFill>
      </fill>
    </dxf>
    <dxf>
      <font>
        <color theme="1"/>
      </font>
    </dxf>
    <dxf>
      <fill>
        <patternFill>
          <bgColor theme="0"/>
        </patternFill>
      </fill>
    </dxf>
    <dxf>
      <fill>
        <patternFill>
          <bgColor theme="0"/>
        </patternFill>
      </fill>
    </dxf>
    <dxf>
      <fill>
        <patternFill>
          <bgColor theme="0"/>
        </patternFill>
      </fill>
    </dxf>
    <dxf>
      <font>
        <color rgb="FFFF0000"/>
      </font>
    </dxf>
    <dxf>
      <font>
        <color theme="1"/>
      </font>
    </dxf>
    <dxf>
      <font>
        <color theme="1"/>
      </font>
    </dxf>
    <dxf>
      <font>
        <color theme="1"/>
      </font>
    </dxf>
    <dxf>
      <font>
        <color theme="1"/>
      </font>
    </dxf>
    <dxf>
      <font>
        <color theme="1"/>
      </font>
    </dxf>
    <dxf>
      <font>
        <color theme="1"/>
      </font>
    </dxf>
    <dxf>
      <font>
        <color theme="1"/>
      </font>
    </dxf>
    <dxf>
      <font>
        <color theme="0" tint="-0.24994659260841701"/>
      </font>
    </dxf>
    <dxf>
      <font>
        <color theme="0" tint="-0.24994659260841701"/>
      </font>
    </dxf>
    <dxf>
      <font>
        <color theme="0" tint="-0.499984740745262"/>
      </font>
      <fill>
        <patternFill>
          <bgColor theme="1"/>
        </patternFill>
      </fill>
    </dxf>
    <dxf>
      <fill>
        <patternFill>
          <bgColor theme="0" tint="-0.14996795556505021"/>
        </patternFill>
      </fill>
    </dxf>
    <dxf>
      <font>
        <color theme="0" tint="-0.24994659260841701"/>
      </font>
    </dxf>
    <dxf>
      <font>
        <color theme="1"/>
      </font>
    </dxf>
    <dxf>
      <font>
        <color theme="1"/>
      </font>
    </dxf>
    <dxf>
      <font>
        <color theme="0" tint="-0.24994659260841701"/>
      </font>
    </dxf>
    <dxf>
      <font>
        <color theme="0" tint="-0.24994659260841701"/>
      </font>
    </dxf>
    <dxf>
      <font>
        <color theme="0" tint="-0.499984740745262"/>
      </font>
      <fill>
        <patternFill>
          <bgColor theme="1"/>
        </patternFill>
      </fill>
    </dxf>
    <dxf>
      <fill>
        <patternFill>
          <bgColor theme="0" tint="-0.14996795556505021"/>
        </patternFill>
      </fill>
    </dxf>
    <dxf>
      <font>
        <color theme="0" tint="-0.24994659260841701"/>
      </font>
    </dxf>
    <dxf>
      <font>
        <color rgb="FFFF0000"/>
      </font>
    </dxf>
    <dxf>
      <font>
        <color theme="1"/>
      </font>
    </dxf>
    <dxf>
      <font>
        <color theme="1"/>
      </font>
    </dxf>
    <dxf>
      <font>
        <color theme="1"/>
      </font>
    </dxf>
    <dxf>
      <font>
        <color rgb="FFFF0000"/>
      </font>
    </dxf>
    <dxf>
      <font>
        <color theme="0" tint="-0.24994659260841701"/>
      </font>
    </dxf>
    <dxf>
      <font>
        <color theme="1"/>
      </font>
    </dxf>
    <dxf>
      <font>
        <color rgb="FFFF0000"/>
      </font>
    </dxf>
    <dxf>
      <font>
        <color rgb="FFFF0000"/>
      </font>
    </dxf>
    <dxf>
      <font>
        <color theme="1"/>
      </font>
    </dxf>
    <dxf>
      <font>
        <color theme="0" tint="-0.499984740745262"/>
      </font>
      <fill>
        <patternFill>
          <bgColor theme="1"/>
        </patternFill>
      </fill>
    </dxf>
    <dxf>
      <font>
        <color theme="0" tint="-0.499984740745262"/>
      </font>
      <fill>
        <patternFill>
          <bgColor theme="1"/>
        </patternFill>
      </fill>
    </dxf>
    <dxf>
      <font>
        <color theme="0" tint="-0.24994659260841701"/>
      </font>
    </dxf>
    <dxf>
      <font>
        <color theme="0" tint="-0.499984740745262"/>
      </font>
      <fill>
        <patternFill>
          <bgColor theme="1"/>
        </patternFill>
      </fill>
    </dxf>
    <dxf>
      <fill>
        <patternFill>
          <bgColor theme="0" tint="-0.14996795556505021"/>
        </patternFill>
      </fill>
    </dxf>
    <dxf>
      <font>
        <color theme="0"/>
      </font>
    </dxf>
    <dxf>
      <font>
        <color theme="0" tint="-0.24994659260841701"/>
      </font>
    </dxf>
    <dxf>
      <font>
        <color theme="1"/>
      </font>
    </dxf>
    <dxf>
      <font>
        <color theme="0" tint="-0.34998626667073579"/>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theme="0" tint="-0.34998626667073579"/>
        </patternFill>
      </fill>
      <border>
        <right style="thin">
          <color theme="0" tint="-0.34998626667073579"/>
        </right>
        <bottom style="thin">
          <color theme="0" tint="-0.34998626667073579"/>
        </bottom>
        <vertical/>
        <horizontal/>
      </border>
    </dxf>
    <dxf>
      <font>
        <color theme="0" tint="-0.34998626667073579"/>
      </font>
      <fill>
        <patternFill>
          <bgColor theme="0" tint="-0.34998626667073579"/>
        </patternFill>
      </fill>
      <border>
        <bottom style="thin">
          <color theme="0" tint="-0.34998626667073579"/>
        </bottom>
        <vertical/>
        <horizontal/>
      </border>
    </dxf>
    <dxf>
      <fill>
        <patternFill>
          <bgColor theme="0" tint="-0.34998626667073579"/>
        </patternFill>
      </fill>
      <border>
        <left style="thin">
          <color theme="0" tint="-0.34998626667073579"/>
        </left>
        <bottom style="thin">
          <color theme="0" tint="-0.34998626667073579"/>
        </bottom>
        <vertical/>
        <horizontal/>
      </border>
    </dxf>
    <dxf>
      <font>
        <color theme="0"/>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0" tint="-0.34998626667073579"/>
      </font>
      <fill>
        <patternFill>
          <bgColor theme="0" tint="-0.34998626667073579"/>
        </patternFill>
      </fill>
      <border>
        <top style="thin">
          <color theme="0" tint="-0.34998626667073579"/>
        </top>
        <vertical/>
        <horizontal/>
      </border>
    </dxf>
    <dxf>
      <font>
        <color theme="0" tint="-0.34998626667073579"/>
      </font>
      <fill>
        <patternFill>
          <bgColor theme="0" tint="-0.34998626667073579"/>
        </patternFill>
      </fill>
      <border>
        <right style="thin">
          <color theme="0" tint="-0.34998626667073579"/>
        </right>
        <top style="thin">
          <color theme="0" tint="-0.34998626667073579"/>
        </top>
        <vertical/>
        <horizontal/>
      </border>
    </dxf>
    <dxf>
      <font>
        <color theme="0" tint="-0.34998626667073579"/>
      </font>
      <fill>
        <patternFill>
          <bgColor theme="0" tint="-0.34998626667073579"/>
        </patternFill>
      </fill>
      <border>
        <left style="thin">
          <color theme="0" tint="-0.34998626667073579"/>
        </left>
        <top style="thin">
          <color theme="0" tint="-0.34998626667073579"/>
        </top>
        <vertical/>
        <horizontal/>
      </border>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theme="0" tint="-0.34998626667073579"/>
        </patternFill>
      </fill>
      <border>
        <right style="thin">
          <color theme="0" tint="-0.34998626667073579"/>
        </right>
        <bottom style="thin">
          <color theme="0" tint="-0.34998626667073579"/>
        </bottom>
        <vertical/>
        <horizontal/>
      </border>
    </dxf>
    <dxf>
      <font>
        <color theme="0" tint="-0.34998626667073579"/>
      </font>
      <fill>
        <patternFill>
          <bgColor theme="0" tint="-0.34998626667073579"/>
        </patternFill>
      </fill>
      <border>
        <bottom style="thin">
          <color theme="0" tint="-0.34998626667073579"/>
        </bottom>
        <vertical/>
        <horizontal/>
      </border>
    </dxf>
    <dxf>
      <fill>
        <patternFill>
          <bgColor theme="0" tint="-0.34998626667073579"/>
        </patternFill>
      </fill>
      <border>
        <left style="thin">
          <color theme="0" tint="-0.34998626667073579"/>
        </left>
        <bottom style="thin">
          <color theme="0" tint="-0.34998626667073579"/>
        </bottom>
        <vertical/>
        <horizontal/>
      </border>
    </dxf>
    <dxf>
      <font>
        <color theme="0"/>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0" tint="-0.34998626667073579"/>
      </font>
      <fill>
        <patternFill>
          <bgColor theme="0" tint="-0.34998626667073579"/>
        </patternFill>
      </fill>
      <border>
        <top style="thin">
          <color theme="0" tint="-0.34998626667073579"/>
        </top>
        <vertical/>
        <horizontal/>
      </border>
    </dxf>
    <dxf>
      <font>
        <color theme="0" tint="-0.34998626667073579"/>
      </font>
      <fill>
        <patternFill>
          <bgColor theme="0" tint="-0.34998626667073579"/>
        </patternFill>
      </fill>
      <border>
        <right style="thin">
          <color theme="0" tint="-0.34998626667073579"/>
        </right>
        <top style="thin">
          <color theme="0" tint="-0.34998626667073579"/>
        </top>
        <vertical/>
        <horizontal/>
      </border>
    </dxf>
    <dxf>
      <font>
        <color theme="0" tint="-0.34998626667073579"/>
      </font>
      <fill>
        <patternFill>
          <bgColor theme="0" tint="-0.34998626667073579"/>
        </patternFill>
      </fill>
      <border>
        <left style="thin">
          <color theme="0" tint="-0.34998626667073579"/>
        </left>
        <top style="thin">
          <color theme="0" tint="-0.34998626667073579"/>
        </top>
        <vertical/>
        <horizontal/>
      </border>
    </dxf>
    <dxf>
      <font>
        <color theme="0" tint="-0.34998626667073579"/>
      </font>
    </dxf>
    <dxf>
      <font>
        <color theme="0"/>
      </font>
    </dxf>
    <dxf>
      <border>
        <left style="thin">
          <color theme="0"/>
        </left>
        <right style="thin">
          <color theme="0"/>
        </right>
        <top style="thin">
          <color theme="0"/>
        </top>
        <bottom style="thin">
          <color theme="0"/>
        </bottom>
        <vertical/>
        <horizontal/>
      </border>
    </dxf>
    <dxf>
      <border>
        <left style="thin">
          <color theme="0"/>
        </left>
        <right style="thin">
          <color theme="0"/>
        </right>
        <top style="thin">
          <color theme="0"/>
        </top>
        <bottom style="thin">
          <color theme="0"/>
        </bottom>
        <vertical/>
        <horizontal/>
      </border>
    </dxf>
    <dxf>
      <font>
        <color theme="0" tint="-0.34998626667073579"/>
      </font>
    </dxf>
    <dxf>
      <font>
        <color theme="0" tint="-0.34998626667073579"/>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theme="0" tint="-0.34998626667073579"/>
        </patternFill>
      </fill>
      <border>
        <right style="thin">
          <color theme="0" tint="-0.34998626667073579"/>
        </right>
        <bottom style="thin">
          <color theme="0" tint="-0.34998626667073579"/>
        </bottom>
        <vertical/>
        <horizontal/>
      </border>
    </dxf>
    <dxf>
      <font>
        <color theme="0" tint="-0.34998626667073579"/>
      </font>
      <fill>
        <patternFill>
          <bgColor theme="0" tint="-0.34998626667073579"/>
        </patternFill>
      </fill>
      <border>
        <bottom style="thin">
          <color theme="0" tint="-0.34998626667073579"/>
        </bottom>
        <vertical/>
        <horizontal/>
      </border>
    </dxf>
    <dxf>
      <fill>
        <patternFill>
          <bgColor theme="0" tint="-0.34998626667073579"/>
        </patternFill>
      </fill>
      <border>
        <left style="thin">
          <color theme="0" tint="-0.34998626667073579"/>
        </left>
        <bottom style="thin">
          <color theme="0" tint="-0.34998626667073579"/>
        </bottom>
        <vertical/>
        <horizontal/>
      </border>
    </dxf>
    <dxf>
      <font>
        <color theme="0"/>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0" tint="-0.34998626667073579"/>
      </font>
      <fill>
        <patternFill>
          <bgColor theme="0" tint="-0.34998626667073579"/>
        </patternFill>
      </fill>
      <border>
        <top style="thin">
          <color theme="0" tint="-0.34998626667073579"/>
        </top>
        <vertical/>
        <horizontal/>
      </border>
    </dxf>
    <dxf>
      <font>
        <color theme="0" tint="-0.34998626667073579"/>
      </font>
      <fill>
        <patternFill>
          <bgColor theme="0" tint="-0.34998626667073579"/>
        </patternFill>
      </fill>
      <border>
        <right style="thin">
          <color theme="0" tint="-0.34998626667073579"/>
        </right>
        <top style="thin">
          <color theme="0" tint="-0.34998626667073579"/>
        </top>
        <vertical/>
        <horizontal/>
      </border>
    </dxf>
    <dxf>
      <font>
        <color theme="0" tint="-0.34998626667073579"/>
      </font>
      <fill>
        <patternFill>
          <bgColor theme="0" tint="-0.34998626667073579"/>
        </patternFill>
      </fill>
      <border>
        <left style="thin">
          <color theme="0" tint="-0.34998626667073579"/>
        </left>
        <top style="thin">
          <color theme="0" tint="-0.34998626667073579"/>
        </top>
        <vertical/>
        <horizontal/>
      </border>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theme="0" tint="-0.34998626667073579"/>
        </patternFill>
      </fill>
      <border>
        <right style="thin">
          <color theme="0" tint="-0.34998626667073579"/>
        </right>
        <bottom style="thin">
          <color theme="0" tint="-0.34998626667073579"/>
        </bottom>
        <vertical/>
        <horizontal/>
      </border>
    </dxf>
    <dxf>
      <font>
        <color theme="0" tint="-0.34998626667073579"/>
      </font>
      <fill>
        <patternFill>
          <bgColor theme="0" tint="-0.34998626667073579"/>
        </patternFill>
      </fill>
      <border>
        <bottom style="thin">
          <color theme="0" tint="-0.34998626667073579"/>
        </bottom>
        <vertical/>
        <horizontal/>
      </border>
    </dxf>
    <dxf>
      <fill>
        <patternFill>
          <bgColor theme="0" tint="-0.34998626667073579"/>
        </patternFill>
      </fill>
      <border>
        <left style="thin">
          <color theme="0" tint="-0.34998626667073579"/>
        </left>
        <bottom style="thin">
          <color theme="0" tint="-0.34998626667073579"/>
        </bottom>
        <vertical/>
        <horizontal/>
      </border>
    </dxf>
    <dxf>
      <font>
        <color theme="0"/>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0" tint="-0.34998626667073579"/>
      </font>
      <fill>
        <patternFill>
          <bgColor theme="0" tint="-0.34998626667073579"/>
        </patternFill>
      </fill>
      <border>
        <top style="thin">
          <color theme="0" tint="-0.34998626667073579"/>
        </top>
        <vertical/>
        <horizontal/>
      </border>
    </dxf>
    <dxf>
      <font>
        <color theme="0" tint="-0.34998626667073579"/>
      </font>
      <fill>
        <patternFill>
          <bgColor theme="0" tint="-0.34998626667073579"/>
        </patternFill>
      </fill>
      <border>
        <right style="thin">
          <color theme="0" tint="-0.34998626667073579"/>
        </right>
        <top style="thin">
          <color theme="0" tint="-0.34998626667073579"/>
        </top>
        <vertical/>
        <horizontal/>
      </border>
    </dxf>
    <dxf>
      <font>
        <color theme="0" tint="-0.34998626667073579"/>
      </font>
      <fill>
        <patternFill>
          <bgColor theme="0" tint="-0.34998626667073579"/>
        </patternFill>
      </fill>
      <border>
        <left style="thin">
          <color theme="0" tint="-0.34998626667073579"/>
        </left>
        <top style="thin">
          <color theme="0" tint="-0.34998626667073579"/>
        </top>
        <vertical/>
        <horizontal/>
      </border>
    </dxf>
    <dxf>
      <font>
        <color theme="0" tint="-0.34998626667073579"/>
      </font>
    </dxf>
    <dxf>
      <font>
        <color theme="0"/>
      </font>
    </dxf>
    <dxf>
      <border>
        <left style="thin">
          <color theme="0"/>
        </left>
        <right style="thin">
          <color theme="0"/>
        </right>
        <top style="thin">
          <color theme="0"/>
        </top>
        <bottom style="thin">
          <color theme="0"/>
        </bottom>
        <vertical/>
        <horizontal/>
      </border>
    </dxf>
    <dxf>
      <border>
        <left style="thin">
          <color theme="0"/>
        </left>
        <right style="thin">
          <color theme="0"/>
        </right>
        <top style="thin">
          <color theme="0"/>
        </top>
        <bottom style="thin">
          <color theme="0"/>
        </bottom>
        <vertical/>
        <horizontal/>
      </border>
    </dxf>
    <dxf>
      <font>
        <color theme="0" tint="-0.34998626667073579"/>
      </font>
    </dxf>
    <dxf>
      <font>
        <color theme="0" tint="-0.34998626667073579"/>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theme="0" tint="-0.34998626667073579"/>
        </patternFill>
      </fill>
      <border>
        <right style="thin">
          <color theme="0" tint="-0.34998626667073579"/>
        </right>
        <bottom style="thin">
          <color theme="0" tint="-0.34998626667073579"/>
        </bottom>
        <vertical/>
        <horizontal/>
      </border>
    </dxf>
    <dxf>
      <font>
        <color theme="0" tint="-0.34998626667073579"/>
      </font>
      <fill>
        <patternFill>
          <bgColor theme="0" tint="-0.34998626667073579"/>
        </patternFill>
      </fill>
      <border>
        <bottom style="thin">
          <color theme="0" tint="-0.34998626667073579"/>
        </bottom>
        <vertical/>
        <horizontal/>
      </border>
    </dxf>
    <dxf>
      <fill>
        <patternFill>
          <bgColor theme="0" tint="-0.34998626667073579"/>
        </patternFill>
      </fill>
      <border>
        <left style="thin">
          <color theme="0" tint="-0.34998626667073579"/>
        </left>
        <bottom style="thin">
          <color theme="0" tint="-0.34998626667073579"/>
        </bottom>
        <vertical/>
        <horizontal/>
      </border>
    </dxf>
    <dxf>
      <font>
        <color theme="0"/>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0" tint="-0.34998626667073579"/>
      </font>
      <fill>
        <patternFill>
          <bgColor theme="0" tint="-0.34998626667073579"/>
        </patternFill>
      </fill>
      <border>
        <top style="thin">
          <color theme="0" tint="-0.34998626667073579"/>
        </top>
        <vertical/>
        <horizontal/>
      </border>
    </dxf>
    <dxf>
      <font>
        <color theme="0" tint="-0.34998626667073579"/>
      </font>
      <fill>
        <patternFill>
          <bgColor theme="0" tint="-0.34998626667073579"/>
        </patternFill>
      </fill>
      <border>
        <right style="thin">
          <color theme="0" tint="-0.34998626667073579"/>
        </right>
        <top style="thin">
          <color theme="0" tint="-0.34998626667073579"/>
        </top>
        <vertical/>
        <horizontal/>
      </border>
    </dxf>
    <dxf>
      <font>
        <color theme="0" tint="-0.34998626667073579"/>
      </font>
      <fill>
        <patternFill>
          <bgColor theme="0" tint="-0.34998626667073579"/>
        </patternFill>
      </fill>
      <border>
        <left style="thin">
          <color theme="0" tint="-0.34998626667073579"/>
        </left>
        <top style="thin">
          <color theme="0" tint="-0.34998626667073579"/>
        </top>
        <vertical/>
        <horizontal/>
      </border>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theme="0" tint="-0.34998626667073579"/>
        </patternFill>
      </fill>
      <border>
        <right style="thin">
          <color theme="0" tint="-0.34998626667073579"/>
        </right>
        <bottom style="thin">
          <color theme="0" tint="-0.34998626667073579"/>
        </bottom>
        <vertical/>
        <horizontal/>
      </border>
    </dxf>
    <dxf>
      <font>
        <color theme="0" tint="-0.34998626667073579"/>
      </font>
      <fill>
        <patternFill>
          <bgColor theme="0" tint="-0.34998626667073579"/>
        </patternFill>
      </fill>
      <border>
        <bottom style="thin">
          <color theme="0" tint="-0.34998626667073579"/>
        </bottom>
        <vertical/>
        <horizontal/>
      </border>
    </dxf>
    <dxf>
      <fill>
        <patternFill>
          <bgColor theme="0" tint="-0.34998626667073579"/>
        </patternFill>
      </fill>
      <border>
        <left style="thin">
          <color theme="0" tint="-0.34998626667073579"/>
        </left>
        <bottom style="thin">
          <color theme="0" tint="-0.34998626667073579"/>
        </bottom>
        <vertical/>
        <horizontal/>
      </border>
    </dxf>
    <dxf>
      <font>
        <color theme="0"/>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0" tint="-0.34998626667073579"/>
      </font>
      <fill>
        <patternFill>
          <bgColor theme="0" tint="-0.34998626667073579"/>
        </patternFill>
      </fill>
      <border>
        <top style="thin">
          <color theme="0" tint="-0.34998626667073579"/>
        </top>
        <vertical/>
        <horizontal/>
      </border>
    </dxf>
    <dxf>
      <font>
        <color theme="0" tint="-0.34998626667073579"/>
      </font>
      <fill>
        <patternFill>
          <bgColor theme="0" tint="-0.34998626667073579"/>
        </patternFill>
      </fill>
      <border>
        <right style="thin">
          <color theme="0" tint="-0.34998626667073579"/>
        </right>
        <top style="thin">
          <color theme="0" tint="-0.34998626667073579"/>
        </top>
        <vertical/>
        <horizontal/>
      </border>
    </dxf>
    <dxf>
      <font>
        <color theme="0" tint="-0.34998626667073579"/>
      </font>
      <fill>
        <patternFill>
          <bgColor theme="0" tint="-0.34998626667073579"/>
        </patternFill>
      </fill>
      <border>
        <left style="thin">
          <color theme="0" tint="-0.34998626667073579"/>
        </left>
        <top style="thin">
          <color theme="0" tint="-0.34998626667073579"/>
        </top>
        <vertical/>
        <horizontal/>
      </border>
    </dxf>
    <dxf>
      <font>
        <color theme="0" tint="-0.34998626667073579"/>
      </font>
    </dxf>
    <dxf>
      <font>
        <color theme="0"/>
      </font>
    </dxf>
    <dxf>
      <border>
        <left style="thin">
          <color theme="0"/>
        </left>
        <right style="thin">
          <color theme="0"/>
        </right>
        <top style="thin">
          <color theme="0"/>
        </top>
        <bottom style="thin">
          <color theme="0"/>
        </bottom>
        <vertical/>
        <horizontal/>
      </border>
    </dxf>
    <dxf>
      <border>
        <left style="thin">
          <color theme="0"/>
        </left>
        <right style="thin">
          <color theme="0"/>
        </right>
        <top style="thin">
          <color theme="0"/>
        </top>
        <bottom style="thin">
          <color theme="0"/>
        </bottom>
        <vertical/>
        <horizontal/>
      </border>
    </dxf>
    <dxf>
      <font>
        <color theme="0" tint="-0.34998626667073579"/>
      </font>
    </dxf>
    <dxf>
      <font>
        <color theme="0" tint="-0.34998626667073579"/>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theme="0" tint="-0.34998626667073579"/>
        </patternFill>
      </fill>
      <border>
        <right style="thin">
          <color theme="0" tint="-0.34998626667073579"/>
        </right>
        <bottom style="thin">
          <color theme="0" tint="-0.34998626667073579"/>
        </bottom>
        <vertical/>
        <horizontal/>
      </border>
    </dxf>
    <dxf>
      <font>
        <color theme="0" tint="-0.34998626667073579"/>
      </font>
      <fill>
        <patternFill>
          <bgColor theme="0" tint="-0.34998626667073579"/>
        </patternFill>
      </fill>
      <border>
        <bottom style="thin">
          <color theme="0" tint="-0.34998626667073579"/>
        </bottom>
        <vertical/>
        <horizontal/>
      </border>
    </dxf>
    <dxf>
      <fill>
        <patternFill>
          <bgColor theme="0" tint="-0.34998626667073579"/>
        </patternFill>
      </fill>
      <border>
        <left style="thin">
          <color theme="0" tint="-0.34998626667073579"/>
        </left>
        <bottom style="thin">
          <color theme="0" tint="-0.34998626667073579"/>
        </bottom>
        <vertical/>
        <horizontal/>
      </border>
    </dxf>
    <dxf>
      <font>
        <color theme="0"/>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0" tint="-0.34998626667073579"/>
      </font>
      <fill>
        <patternFill>
          <bgColor theme="0" tint="-0.34998626667073579"/>
        </patternFill>
      </fill>
      <border>
        <top style="thin">
          <color theme="0" tint="-0.34998626667073579"/>
        </top>
        <vertical/>
        <horizontal/>
      </border>
    </dxf>
    <dxf>
      <font>
        <color theme="0" tint="-0.34998626667073579"/>
      </font>
      <fill>
        <patternFill>
          <bgColor theme="0" tint="-0.34998626667073579"/>
        </patternFill>
      </fill>
      <border>
        <right style="thin">
          <color theme="0" tint="-0.34998626667073579"/>
        </right>
        <top style="thin">
          <color theme="0" tint="-0.34998626667073579"/>
        </top>
        <vertical/>
        <horizontal/>
      </border>
    </dxf>
    <dxf>
      <font>
        <color theme="0" tint="-0.34998626667073579"/>
      </font>
      <fill>
        <patternFill>
          <bgColor theme="0" tint="-0.34998626667073579"/>
        </patternFill>
      </fill>
      <border>
        <left style="thin">
          <color theme="0" tint="-0.34998626667073579"/>
        </left>
        <top style="thin">
          <color theme="0" tint="-0.34998626667073579"/>
        </top>
        <vertical/>
        <horizontal/>
      </border>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theme="0" tint="-0.34998626667073579"/>
        </patternFill>
      </fill>
      <border>
        <right style="thin">
          <color theme="0" tint="-0.34998626667073579"/>
        </right>
        <bottom style="thin">
          <color theme="0" tint="-0.34998626667073579"/>
        </bottom>
        <vertical/>
        <horizontal/>
      </border>
    </dxf>
    <dxf>
      <font>
        <color theme="0" tint="-0.34998626667073579"/>
      </font>
      <fill>
        <patternFill>
          <bgColor theme="0" tint="-0.34998626667073579"/>
        </patternFill>
      </fill>
      <border>
        <bottom style="thin">
          <color theme="0" tint="-0.34998626667073579"/>
        </bottom>
        <vertical/>
        <horizontal/>
      </border>
    </dxf>
    <dxf>
      <fill>
        <patternFill>
          <bgColor theme="0" tint="-0.34998626667073579"/>
        </patternFill>
      </fill>
      <border>
        <left style="thin">
          <color theme="0" tint="-0.34998626667073579"/>
        </left>
        <bottom style="thin">
          <color theme="0" tint="-0.34998626667073579"/>
        </bottom>
        <vertical/>
        <horizontal/>
      </border>
    </dxf>
    <dxf>
      <font>
        <color theme="0"/>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0" tint="-0.34998626667073579"/>
      </font>
      <fill>
        <patternFill>
          <bgColor theme="0" tint="-0.34998626667073579"/>
        </patternFill>
      </fill>
      <border>
        <top style="thin">
          <color theme="0" tint="-0.34998626667073579"/>
        </top>
        <vertical/>
        <horizontal/>
      </border>
    </dxf>
    <dxf>
      <font>
        <color theme="0" tint="-0.34998626667073579"/>
      </font>
      <fill>
        <patternFill>
          <bgColor theme="0" tint="-0.34998626667073579"/>
        </patternFill>
      </fill>
      <border>
        <right style="thin">
          <color theme="0" tint="-0.34998626667073579"/>
        </right>
        <top style="thin">
          <color theme="0" tint="-0.34998626667073579"/>
        </top>
        <vertical/>
        <horizontal/>
      </border>
    </dxf>
    <dxf>
      <font>
        <color theme="0" tint="-0.34998626667073579"/>
      </font>
      <fill>
        <patternFill>
          <bgColor theme="0" tint="-0.34998626667073579"/>
        </patternFill>
      </fill>
      <border>
        <left style="thin">
          <color theme="0" tint="-0.34998626667073579"/>
        </left>
        <top style="thin">
          <color theme="0" tint="-0.34998626667073579"/>
        </top>
        <vertical/>
        <horizontal/>
      </border>
    </dxf>
    <dxf>
      <font>
        <color theme="0" tint="-0.34998626667073579"/>
      </font>
    </dxf>
    <dxf>
      <font>
        <color theme="0"/>
      </font>
    </dxf>
    <dxf>
      <border>
        <left style="thin">
          <color theme="0"/>
        </left>
        <right style="thin">
          <color theme="0"/>
        </right>
        <top style="thin">
          <color theme="0"/>
        </top>
        <bottom style="thin">
          <color theme="0"/>
        </bottom>
        <vertical/>
        <horizontal/>
      </border>
    </dxf>
    <dxf>
      <border>
        <left style="thin">
          <color theme="0"/>
        </left>
        <right style="thin">
          <color theme="0"/>
        </right>
        <top style="thin">
          <color theme="0"/>
        </top>
        <bottom style="thin">
          <color theme="0"/>
        </bottom>
        <vertical/>
        <horizontal/>
      </border>
    </dxf>
    <dxf>
      <font>
        <color theme="0" tint="-0.34998626667073579"/>
      </font>
    </dxf>
    <dxf>
      <font>
        <color theme="0" tint="-0.34998626667073579"/>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theme="0" tint="-0.34998626667073579"/>
        </patternFill>
      </fill>
      <border>
        <right style="thin">
          <color theme="0" tint="-0.34998626667073579"/>
        </right>
        <bottom style="thin">
          <color theme="0" tint="-0.34998626667073579"/>
        </bottom>
        <vertical/>
        <horizontal/>
      </border>
    </dxf>
    <dxf>
      <font>
        <color theme="0" tint="-0.34998626667073579"/>
      </font>
      <fill>
        <patternFill>
          <bgColor theme="0" tint="-0.34998626667073579"/>
        </patternFill>
      </fill>
      <border>
        <bottom style="thin">
          <color theme="0" tint="-0.34998626667073579"/>
        </bottom>
        <vertical/>
        <horizontal/>
      </border>
    </dxf>
    <dxf>
      <fill>
        <patternFill>
          <bgColor theme="0" tint="-0.34998626667073579"/>
        </patternFill>
      </fill>
      <border>
        <left style="thin">
          <color theme="0" tint="-0.34998626667073579"/>
        </left>
        <bottom style="thin">
          <color theme="0" tint="-0.34998626667073579"/>
        </bottom>
        <vertical/>
        <horizontal/>
      </border>
    </dxf>
    <dxf>
      <font>
        <color theme="0"/>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0" tint="-0.34998626667073579"/>
      </font>
      <fill>
        <patternFill>
          <bgColor theme="0" tint="-0.34998626667073579"/>
        </patternFill>
      </fill>
      <border>
        <top style="thin">
          <color theme="0" tint="-0.34998626667073579"/>
        </top>
        <vertical/>
        <horizontal/>
      </border>
    </dxf>
    <dxf>
      <font>
        <color theme="0" tint="-0.34998626667073579"/>
      </font>
      <fill>
        <patternFill>
          <bgColor theme="0" tint="-0.34998626667073579"/>
        </patternFill>
      </fill>
      <border>
        <right style="thin">
          <color theme="0" tint="-0.34998626667073579"/>
        </right>
        <top style="thin">
          <color theme="0" tint="-0.34998626667073579"/>
        </top>
        <vertical/>
        <horizontal/>
      </border>
    </dxf>
    <dxf>
      <font>
        <color theme="0" tint="-0.34998626667073579"/>
      </font>
      <fill>
        <patternFill>
          <bgColor theme="0" tint="-0.34998626667073579"/>
        </patternFill>
      </fill>
      <border>
        <left style="thin">
          <color theme="0" tint="-0.34998626667073579"/>
        </left>
        <top style="thin">
          <color theme="0" tint="-0.34998626667073579"/>
        </top>
        <vertical/>
        <horizontal/>
      </border>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theme="0" tint="-0.34998626667073579"/>
        </patternFill>
      </fill>
      <border>
        <right style="thin">
          <color theme="0" tint="-0.34998626667073579"/>
        </right>
        <bottom style="thin">
          <color theme="0" tint="-0.34998626667073579"/>
        </bottom>
        <vertical/>
        <horizontal/>
      </border>
    </dxf>
    <dxf>
      <font>
        <color theme="0" tint="-0.34998626667073579"/>
      </font>
      <fill>
        <patternFill>
          <bgColor theme="0" tint="-0.34998626667073579"/>
        </patternFill>
      </fill>
      <border>
        <bottom style="thin">
          <color theme="0" tint="-0.34998626667073579"/>
        </bottom>
        <vertical/>
        <horizontal/>
      </border>
    </dxf>
    <dxf>
      <fill>
        <patternFill>
          <bgColor theme="0" tint="-0.34998626667073579"/>
        </patternFill>
      </fill>
      <border>
        <left style="thin">
          <color theme="0" tint="-0.34998626667073579"/>
        </left>
        <bottom style="thin">
          <color theme="0" tint="-0.34998626667073579"/>
        </bottom>
        <vertical/>
        <horizontal/>
      </border>
    </dxf>
    <dxf>
      <font>
        <color theme="0"/>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0" tint="-0.34998626667073579"/>
      </font>
      <fill>
        <patternFill>
          <bgColor theme="0" tint="-0.34998626667073579"/>
        </patternFill>
      </fill>
      <border>
        <top style="thin">
          <color theme="0" tint="-0.34998626667073579"/>
        </top>
        <vertical/>
        <horizontal/>
      </border>
    </dxf>
    <dxf>
      <font>
        <color theme="0" tint="-0.34998626667073579"/>
      </font>
      <fill>
        <patternFill>
          <bgColor theme="0" tint="-0.34998626667073579"/>
        </patternFill>
      </fill>
      <border>
        <right style="thin">
          <color theme="0" tint="-0.34998626667073579"/>
        </right>
        <top style="thin">
          <color theme="0" tint="-0.34998626667073579"/>
        </top>
        <vertical/>
        <horizontal/>
      </border>
    </dxf>
    <dxf>
      <font>
        <color theme="0" tint="-0.34998626667073579"/>
      </font>
      <fill>
        <patternFill>
          <bgColor theme="0" tint="-0.34998626667073579"/>
        </patternFill>
      </fill>
      <border>
        <left style="thin">
          <color theme="0" tint="-0.34998626667073579"/>
        </left>
        <top style="thin">
          <color theme="0" tint="-0.34998626667073579"/>
        </top>
        <vertical/>
        <horizontal/>
      </border>
    </dxf>
    <dxf>
      <font>
        <color theme="0" tint="-0.34998626667073579"/>
      </font>
    </dxf>
    <dxf>
      <font>
        <color theme="0"/>
      </font>
    </dxf>
    <dxf>
      <border>
        <left style="thin">
          <color theme="0"/>
        </left>
        <right style="thin">
          <color theme="0"/>
        </right>
        <top style="thin">
          <color theme="0"/>
        </top>
        <bottom style="thin">
          <color theme="0"/>
        </bottom>
        <vertical/>
        <horizontal/>
      </border>
    </dxf>
    <dxf>
      <border>
        <left style="thin">
          <color theme="0"/>
        </left>
        <right style="thin">
          <color theme="0"/>
        </right>
        <top style="thin">
          <color theme="0"/>
        </top>
        <bottom style="thin">
          <color theme="0"/>
        </bottom>
        <vertical/>
        <horizontal/>
      </border>
    </dxf>
    <dxf>
      <font>
        <color theme="0" tint="-0.34998626667073579"/>
      </font>
    </dxf>
    <dxf>
      <font>
        <color theme="0" tint="-0.34998626667073579"/>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theme="0" tint="-0.34998626667073579"/>
        </patternFill>
      </fill>
      <border>
        <right style="thin">
          <color theme="0" tint="-0.34998626667073579"/>
        </right>
        <bottom style="thin">
          <color theme="0" tint="-0.34998626667073579"/>
        </bottom>
        <vertical/>
        <horizontal/>
      </border>
    </dxf>
    <dxf>
      <font>
        <color theme="0" tint="-0.34998626667073579"/>
      </font>
      <fill>
        <patternFill>
          <bgColor theme="0" tint="-0.34998626667073579"/>
        </patternFill>
      </fill>
      <border>
        <bottom style="thin">
          <color theme="0" tint="-0.34998626667073579"/>
        </bottom>
        <vertical/>
        <horizontal/>
      </border>
    </dxf>
    <dxf>
      <fill>
        <patternFill>
          <bgColor theme="0" tint="-0.34998626667073579"/>
        </patternFill>
      </fill>
      <border>
        <left style="thin">
          <color theme="0" tint="-0.34998626667073579"/>
        </left>
        <bottom style="thin">
          <color theme="0" tint="-0.34998626667073579"/>
        </bottom>
        <vertical/>
        <horizontal/>
      </border>
    </dxf>
    <dxf>
      <font>
        <color theme="0"/>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0" tint="-0.34998626667073579"/>
      </font>
      <fill>
        <patternFill>
          <bgColor theme="0" tint="-0.34998626667073579"/>
        </patternFill>
      </fill>
      <border>
        <top style="thin">
          <color theme="0" tint="-0.34998626667073579"/>
        </top>
        <vertical/>
        <horizontal/>
      </border>
    </dxf>
    <dxf>
      <font>
        <color theme="0" tint="-0.34998626667073579"/>
      </font>
      <fill>
        <patternFill>
          <bgColor theme="0" tint="-0.34998626667073579"/>
        </patternFill>
      </fill>
      <border>
        <right style="thin">
          <color theme="0" tint="-0.34998626667073579"/>
        </right>
        <top style="thin">
          <color theme="0" tint="-0.34998626667073579"/>
        </top>
        <vertical/>
        <horizontal/>
      </border>
    </dxf>
    <dxf>
      <font>
        <color theme="0" tint="-0.34998626667073579"/>
      </font>
      <fill>
        <patternFill>
          <bgColor theme="0" tint="-0.34998626667073579"/>
        </patternFill>
      </fill>
      <border>
        <left style="thin">
          <color theme="0" tint="-0.34998626667073579"/>
        </left>
        <top style="thin">
          <color theme="0" tint="-0.34998626667073579"/>
        </top>
        <vertical/>
        <horizontal/>
      </border>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theme="0" tint="-0.34998626667073579"/>
        </patternFill>
      </fill>
      <border>
        <right style="thin">
          <color theme="0" tint="-0.34998626667073579"/>
        </right>
        <bottom style="thin">
          <color theme="0" tint="-0.34998626667073579"/>
        </bottom>
        <vertical/>
        <horizontal/>
      </border>
    </dxf>
    <dxf>
      <font>
        <color theme="0" tint="-0.34998626667073579"/>
      </font>
      <fill>
        <patternFill>
          <bgColor theme="0" tint="-0.34998626667073579"/>
        </patternFill>
      </fill>
      <border>
        <bottom style="thin">
          <color theme="0" tint="-0.34998626667073579"/>
        </bottom>
        <vertical/>
        <horizontal/>
      </border>
    </dxf>
    <dxf>
      <fill>
        <patternFill>
          <bgColor theme="0" tint="-0.34998626667073579"/>
        </patternFill>
      </fill>
      <border>
        <left style="thin">
          <color theme="0" tint="-0.34998626667073579"/>
        </left>
        <bottom style="thin">
          <color theme="0" tint="-0.34998626667073579"/>
        </bottom>
        <vertical/>
        <horizontal/>
      </border>
    </dxf>
    <dxf>
      <font>
        <color theme="0"/>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0" tint="-0.34998626667073579"/>
      </font>
      <fill>
        <patternFill>
          <bgColor theme="0" tint="-0.34998626667073579"/>
        </patternFill>
      </fill>
      <border>
        <top style="thin">
          <color theme="0" tint="-0.34998626667073579"/>
        </top>
        <vertical/>
        <horizontal/>
      </border>
    </dxf>
    <dxf>
      <font>
        <color theme="0" tint="-0.34998626667073579"/>
      </font>
      <fill>
        <patternFill>
          <bgColor theme="0" tint="-0.34998626667073579"/>
        </patternFill>
      </fill>
      <border>
        <right style="thin">
          <color theme="0" tint="-0.34998626667073579"/>
        </right>
        <top style="thin">
          <color theme="0" tint="-0.34998626667073579"/>
        </top>
        <vertical/>
        <horizontal/>
      </border>
    </dxf>
    <dxf>
      <font>
        <color theme="0" tint="-0.34998626667073579"/>
      </font>
      <fill>
        <patternFill>
          <bgColor theme="0" tint="-0.34998626667073579"/>
        </patternFill>
      </fill>
      <border>
        <left style="thin">
          <color theme="0" tint="-0.34998626667073579"/>
        </left>
        <top style="thin">
          <color theme="0" tint="-0.34998626667073579"/>
        </top>
        <vertical/>
        <horizontal/>
      </border>
    </dxf>
    <dxf>
      <font>
        <color theme="0" tint="-0.34998626667073579"/>
      </font>
    </dxf>
    <dxf>
      <font>
        <color theme="0"/>
      </font>
    </dxf>
    <dxf>
      <border>
        <left style="thin">
          <color theme="0"/>
        </left>
        <right style="thin">
          <color theme="0"/>
        </right>
        <top style="thin">
          <color theme="0"/>
        </top>
        <bottom style="thin">
          <color theme="0"/>
        </bottom>
        <vertical/>
        <horizontal/>
      </border>
    </dxf>
    <dxf>
      <border>
        <left style="thin">
          <color theme="0"/>
        </left>
        <right style="thin">
          <color theme="0"/>
        </right>
        <top style="thin">
          <color theme="0"/>
        </top>
        <bottom style="thin">
          <color theme="0"/>
        </bottom>
        <vertical/>
        <horizontal/>
      </border>
    </dxf>
    <dxf>
      <font>
        <color theme="0" tint="-0.34998626667073579"/>
      </font>
    </dxf>
    <dxf>
      <font>
        <color theme="0" tint="-0.34998626667073579"/>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theme="0" tint="-0.34998626667073579"/>
        </patternFill>
      </fill>
      <border>
        <right style="thin">
          <color theme="0" tint="-0.34998626667073579"/>
        </right>
        <bottom style="thin">
          <color theme="0" tint="-0.34998626667073579"/>
        </bottom>
        <vertical/>
        <horizontal/>
      </border>
    </dxf>
    <dxf>
      <font>
        <color theme="0" tint="-0.34998626667073579"/>
      </font>
      <fill>
        <patternFill>
          <bgColor theme="0" tint="-0.34998626667073579"/>
        </patternFill>
      </fill>
      <border>
        <bottom style="thin">
          <color theme="0" tint="-0.34998626667073579"/>
        </bottom>
        <vertical/>
        <horizontal/>
      </border>
    </dxf>
    <dxf>
      <fill>
        <patternFill>
          <bgColor theme="0" tint="-0.34998626667073579"/>
        </patternFill>
      </fill>
      <border>
        <left style="thin">
          <color theme="0" tint="-0.34998626667073579"/>
        </left>
        <bottom style="thin">
          <color theme="0" tint="-0.34998626667073579"/>
        </bottom>
        <vertical/>
        <horizontal/>
      </border>
    </dxf>
    <dxf>
      <font>
        <color theme="0"/>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0" tint="-0.34998626667073579"/>
      </font>
      <fill>
        <patternFill>
          <bgColor theme="0" tint="-0.34998626667073579"/>
        </patternFill>
      </fill>
      <border>
        <top style="thin">
          <color theme="0" tint="-0.34998626667073579"/>
        </top>
        <vertical/>
        <horizontal/>
      </border>
    </dxf>
    <dxf>
      <font>
        <color theme="0" tint="-0.34998626667073579"/>
      </font>
      <fill>
        <patternFill>
          <bgColor theme="0" tint="-0.34998626667073579"/>
        </patternFill>
      </fill>
      <border>
        <right style="thin">
          <color theme="0" tint="-0.34998626667073579"/>
        </right>
        <top style="thin">
          <color theme="0" tint="-0.34998626667073579"/>
        </top>
        <vertical/>
        <horizontal/>
      </border>
    </dxf>
    <dxf>
      <font>
        <color theme="0" tint="-0.34998626667073579"/>
      </font>
      <fill>
        <patternFill>
          <bgColor theme="0" tint="-0.34998626667073579"/>
        </patternFill>
      </fill>
      <border>
        <left style="thin">
          <color theme="0" tint="-0.34998626667073579"/>
        </left>
        <top style="thin">
          <color theme="0" tint="-0.34998626667073579"/>
        </top>
        <vertical/>
        <horizontal/>
      </border>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theme="0" tint="-0.34998626667073579"/>
        </patternFill>
      </fill>
      <border>
        <right style="thin">
          <color theme="0" tint="-0.34998626667073579"/>
        </right>
        <bottom style="thin">
          <color theme="0" tint="-0.34998626667073579"/>
        </bottom>
        <vertical/>
        <horizontal/>
      </border>
    </dxf>
    <dxf>
      <font>
        <color theme="0" tint="-0.34998626667073579"/>
      </font>
      <fill>
        <patternFill>
          <bgColor theme="0" tint="-0.34998626667073579"/>
        </patternFill>
      </fill>
      <border>
        <bottom style="thin">
          <color theme="0" tint="-0.34998626667073579"/>
        </bottom>
        <vertical/>
        <horizontal/>
      </border>
    </dxf>
    <dxf>
      <fill>
        <patternFill>
          <bgColor theme="0" tint="-0.34998626667073579"/>
        </patternFill>
      </fill>
      <border>
        <left style="thin">
          <color theme="0" tint="-0.34998626667073579"/>
        </left>
        <bottom style="thin">
          <color theme="0" tint="-0.34998626667073579"/>
        </bottom>
        <vertical/>
        <horizontal/>
      </border>
    </dxf>
    <dxf>
      <font>
        <color theme="0"/>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0" tint="-0.34998626667073579"/>
      </font>
      <fill>
        <patternFill>
          <bgColor theme="0" tint="-0.34998626667073579"/>
        </patternFill>
      </fill>
      <border>
        <top style="thin">
          <color theme="0" tint="-0.34998626667073579"/>
        </top>
        <vertical/>
        <horizontal/>
      </border>
    </dxf>
    <dxf>
      <font>
        <color theme="0" tint="-0.34998626667073579"/>
      </font>
      <fill>
        <patternFill>
          <bgColor theme="0" tint="-0.34998626667073579"/>
        </patternFill>
      </fill>
      <border>
        <right style="thin">
          <color theme="0" tint="-0.34998626667073579"/>
        </right>
        <top style="thin">
          <color theme="0" tint="-0.34998626667073579"/>
        </top>
        <vertical/>
        <horizontal/>
      </border>
    </dxf>
    <dxf>
      <font>
        <color theme="0" tint="-0.34998626667073579"/>
      </font>
      <fill>
        <patternFill>
          <bgColor theme="0" tint="-0.34998626667073579"/>
        </patternFill>
      </fill>
      <border>
        <left style="thin">
          <color theme="0" tint="-0.34998626667073579"/>
        </left>
        <top style="thin">
          <color theme="0" tint="-0.34998626667073579"/>
        </top>
        <vertical/>
        <horizontal/>
      </border>
    </dxf>
    <dxf>
      <font>
        <color theme="0" tint="-0.34998626667073579"/>
      </font>
    </dxf>
    <dxf>
      <font>
        <color theme="0"/>
      </font>
    </dxf>
    <dxf>
      <border>
        <left style="thin">
          <color theme="0"/>
        </left>
        <right style="thin">
          <color theme="0"/>
        </right>
        <top style="thin">
          <color theme="0"/>
        </top>
        <bottom style="thin">
          <color theme="0"/>
        </bottom>
        <vertical/>
        <horizontal/>
      </border>
    </dxf>
    <dxf>
      <border>
        <left style="thin">
          <color theme="0"/>
        </left>
        <right style="thin">
          <color theme="0"/>
        </right>
        <top style="thin">
          <color theme="0"/>
        </top>
        <bottom style="thin">
          <color theme="0"/>
        </bottom>
        <vertical/>
        <horizontal/>
      </border>
    </dxf>
    <dxf>
      <font>
        <color theme="0" tint="-0.34998626667073579"/>
      </font>
    </dxf>
    <dxf>
      <font>
        <color theme="0" tint="-0.34998626667073579"/>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theme="0" tint="-0.34998626667073579"/>
        </patternFill>
      </fill>
      <border>
        <right style="thin">
          <color theme="0" tint="-0.34998626667073579"/>
        </right>
        <bottom style="thin">
          <color theme="0" tint="-0.34998626667073579"/>
        </bottom>
        <vertical/>
        <horizontal/>
      </border>
    </dxf>
    <dxf>
      <font>
        <color theme="0" tint="-0.34998626667073579"/>
      </font>
      <fill>
        <patternFill>
          <bgColor theme="0" tint="-0.34998626667073579"/>
        </patternFill>
      </fill>
      <border>
        <bottom style="thin">
          <color theme="0" tint="-0.34998626667073579"/>
        </bottom>
        <vertical/>
        <horizontal/>
      </border>
    </dxf>
    <dxf>
      <fill>
        <patternFill>
          <bgColor theme="0" tint="-0.34998626667073579"/>
        </patternFill>
      </fill>
      <border>
        <left style="thin">
          <color theme="0" tint="-0.34998626667073579"/>
        </left>
        <bottom style="thin">
          <color theme="0" tint="-0.34998626667073579"/>
        </bottom>
        <vertical/>
        <horizontal/>
      </border>
    </dxf>
    <dxf>
      <font>
        <color theme="0"/>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0" tint="-0.34998626667073579"/>
      </font>
      <fill>
        <patternFill>
          <bgColor theme="0" tint="-0.34998626667073579"/>
        </patternFill>
      </fill>
      <border>
        <top style="thin">
          <color theme="0" tint="-0.34998626667073579"/>
        </top>
        <vertical/>
        <horizontal/>
      </border>
    </dxf>
    <dxf>
      <font>
        <color theme="0" tint="-0.34998626667073579"/>
      </font>
      <fill>
        <patternFill>
          <bgColor theme="0" tint="-0.34998626667073579"/>
        </patternFill>
      </fill>
      <border>
        <right style="thin">
          <color theme="0" tint="-0.34998626667073579"/>
        </right>
        <top style="thin">
          <color theme="0" tint="-0.34998626667073579"/>
        </top>
        <vertical/>
        <horizontal/>
      </border>
    </dxf>
    <dxf>
      <font>
        <color theme="0" tint="-0.34998626667073579"/>
      </font>
      <fill>
        <patternFill>
          <bgColor theme="0" tint="-0.34998626667073579"/>
        </patternFill>
      </fill>
      <border>
        <left style="thin">
          <color theme="0" tint="-0.34998626667073579"/>
        </left>
        <top style="thin">
          <color theme="0" tint="-0.34998626667073579"/>
        </top>
        <vertical/>
        <horizontal/>
      </border>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theme="0" tint="-0.34998626667073579"/>
        </patternFill>
      </fill>
      <border>
        <right style="thin">
          <color theme="0" tint="-0.34998626667073579"/>
        </right>
        <bottom style="thin">
          <color theme="0" tint="-0.34998626667073579"/>
        </bottom>
        <vertical/>
        <horizontal/>
      </border>
    </dxf>
    <dxf>
      <font>
        <color theme="0" tint="-0.34998626667073579"/>
      </font>
      <fill>
        <patternFill>
          <bgColor theme="0" tint="-0.34998626667073579"/>
        </patternFill>
      </fill>
      <border>
        <bottom style="thin">
          <color theme="0" tint="-0.34998626667073579"/>
        </bottom>
        <vertical/>
        <horizontal/>
      </border>
    </dxf>
    <dxf>
      <fill>
        <patternFill>
          <bgColor theme="0" tint="-0.34998626667073579"/>
        </patternFill>
      </fill>
      <border>
        <left style="thin">
          <color theme="0" tint="-0.34998626667073579"/>
        </left>
        <bottom style="thin">
          <color theme="0" tint="-0.34998626667073579"/>
        </bottom>
        <vertical/>
        <horizontal/>
      </border>
    </dxf>
    <dxf>
      <font>
        <color theme="0"/>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0" tint="-0.34998626667073579"/>
      </font>
      <fill>
        <patternFill>
          <bgColor theme="0" tint="-0.34998626667073579"/>
        </patternFill>
      </fill>
      <border>
        <top style="thin">
          <color theme="0" tint="-0.34998626667073579"/>
        </top>
        <vertical/>
        <horizontal/>
      </border>
    </dxf>
    <dxf>
      <font>
        <color theme="0" tint="-0.34998626667073579"/>
      </font>
      <fill>
        <patternFill>
          <bgColor theme="0" tint="-0.34998626667073579"/>
        </patternFill>
      </fill>
      <border>
        <right style="thin">
          <color theme="0" tint="-0.34998626667073579"/>
        </right>
        <top style="thin">
          <color theme="0" tint="-0.34998626667073579"/>
        </top>
        <vertical/>
        <horizontal/>
      </border>
    </dxf>
    <dxf>
      <font>
        <color theme="0" tint="-0.34998626667073579"/>
      </font>
      <fill>
        <patternFill>
          <bgColor theme="0" tint="-0.34998626667073579"/>
        </patternFill>
      </fill>
      <border>
        <left style="thin">
          <color theme="0" tint="-0.34998626667073579"/>
        </left>
        <top style="thin">
          <color theme="0" tint="-0.34998626667073579"/>
        </top>
        <vertical/>
        <horizontal/>
      </border>
    </dxf>
    <dxf>
      <font>
        <color theme="0" tint="-0.34998626667073579"/>
      </font>
    </dxf>
    <dxf>
      <font>
        <color theme="0"/>
      </font>
    </dxf>
    <dxf>
      <border>
        <left style="thin">
          <color theme="0"/>
        </left>
        <right style="thin">
          <color theme="0"/>
        </right>
        <top style="thin">
          <color theme="0"/>
        </top>
        <bottom style="thin">
          <color theme="0"/>
        </bottom>
        <vertical/>
        <horizontal/>
      </border>
    </dxf>
    <dxf>
      <border>
        <left style="thin">
          <color theme="0"/>
        </left>
        <right style="thin">
          <color theme="0"/>
        </right>
        <top style="thin">
          <color theme="0"/>
        </top>
        <bottom style="thin">
          <color theme="0"/>
        </bottom>
        <vertical/>
        <horizontal/>
      </border>
    </dxf>
    <dxf>
      <font>
        <color theme="0" tint="-0.34998626667073579"/>
      </font>
    </dxf>
    <dxf>
      <font>
        <color theme="0" tint="-0.34998626667073579"/>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theme="0" tint="-0.34998626667073579"/>
        </patternFill>
      </fill>
      <border>
        <right style="thin">
          <color theme="0" tint="-0.34998626667073579"/>
        </right>
        <bottom style="thin">
          <color theme="0" tint="-0.34998626667073579"/>
        </bottom>
        <vertical/>
        <horizontal/>
      </border>
    </dxf>
    <dxf>
      <font>
        <color theme="0" tint="-0.34998626667073579"/>
      </font>
      <fill>
        <patternFill>
          <bgColor theme="0" tint="-0.34998626667073579"/>
        </patternFill>
      </fill>
      <border>
        <bottom style="thin">
          <color theme="0" tint="-0.34998626667073579"/>
        </bottom>
        <vertical/>
        <horizontal/>
      </border>
    </dxf>
    <dxf>
      <fill>
        <patternFill>
          <bgColor theme="0" tint="-0.34998626667073579"/>
        </patternFill>
      </fill>
      <border>
        <left style="thin">
          <color theme="0" tint="-0.34998626667073579"/>
        </left>
        <bottom style="thin">
          <color theme="0" tint="-0.34998626667073579"/>
        </bottom>
        <vertical/>
        <horizontal/>
      </border>
    </dxf>
    <dxf>
      <font>
        <color theme="0"/>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0" tint="-0.34998626667073579"/>
      </font>
      <fill>
        <patternFill>
          <bgColor theme="0" tint="-0.34998626667073579"/>
        </patternFill>
      </fill>
      <border>
        <top style="thin">
          <color theme="0" tint="-0.34998626667073579"/>
        </top>
        <vertical/>
        <horizontal/>
      </border>
    </dxf>
    <dxf>
      <font>
        <color theme="0" tint="-0.34998626667073579"/>
      </font>
      <fill>
        <patternFill>
          <bgColor theme="0" tint="-0.34998626667073579"/>
        </patternFill>
      </fill>
      <border>
        <right style="thin">
          <color theme="0" tint="-0.34998626667073579"/>
        </right>
        <top style="thin">
          <color theme="0" tint="-0.34998626667073579"/>
        </top>
        <vertical/>
        <horizontal/>
      </border>
    </dxf>
    <dxf>
      <font>
        <color theme="0" tint="-0.34998626667073579"/>
      </font>
      <fill>
        <patternFill>
          <bgColor theme="0" tint="-0.34998626667073579"/>
        </patternFill>
      </fill>
      <border>
        <left style="thin">
          <color theme="0" tint="-0.34998626667073579"/>
        </left>
        <top style="thin">
          <color theme="0" tint="-0.34998626667073579"/>
        </top>
        <vertical/>
        <horizontal/>
      </border>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theme="0" tint="-0.34998626667073579"/>
        </patternFill>
      </fill>
      <border>
        <right style="thin">
          <color theme="0" tint="-0.34998626667073579"/>
        </right>
        <bottom style="thin">
          <color theme="0" tint="-0.34998626667073579"/>
        </bottom>
        <vertical/>
        <horizontal/>
      </border>
    </dxf>
    <dxf>
      <font>
        <color theme="0" tint="-0.34998626667073579"/>
      </font>
      <fill>
        <patternFill>
          <bgColor theme="0" tint="-0.34998626667073579"/>
        </patternFill>
      </fill>
      <border>
        <bottom style="thin">
          <color theme="0" tint="-0.34998626667073579"/>
        </bottom>
        <vertical/>
        <horizontal/>
      </border>
    </dxf>
    <dxf>
      <fill>
        <patternFill>
          <bgColor theme="0" tint="-0.34998626667073579"/>
        </patternFill>
      </fill>
      <border>
        <left style="thin">
          <color theme="0" tint="-0.34998626667073579"/>
        </left>
        <bottom style="thin">
          <color theme="0" tint="-0.34998626667073579"/>
        </bottom>
        <vertical/>
        <horizontal/>
      </border>
    </dxf>
    <dxf>
      <font>
        <color theme="0"/>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color theme="0" tint="-0.34998626667073579"/>
      </font>
      <fill>
        <patternFill>
          <bgColor theme="0" tint="-0.34998626667073579"/>
        </patternFill>
      </fill>
      <border>
        <top style="thin">
          <color theme="0" tint="-0.34998626667073579"/>
        </top>
        <vertical/>
        <horizontal/>
      </border>
    </dxf>
    <dxf>
      <font>
        <color theme="0" tint="-0.34998626667073579"/>
      </font>
      <fill>
        <patternFill>
          <bgColor theme="0" tint="-0.34998626667073579"/>
        </patternFill>
      </fill>
      <border>
        <right style="thin">
          <color theme="0" tint="-0.34998626667073579"/>
        </right>
        <top style="thin">
          <color theme="0" tint="-0.34998626667073579"/>
        </top>
        <vertical/>
        <horizontal/>
      </border>
    </dxf>
    <dxf>
      <font>
        <color theme="0" tint="-0.34998626667073579"/>
      </font>
      <fill>
        <patternFill>
          <bgColor theme="0" tint="-0.34998626667073579"/>
        </patternFill>
      </fill>
      <border>
        <left style="thin">
          <color theme="0" tint="-0.34998626667073579"/>
        </left>
        <top style="thin">
          <color theme="0" tint="-0.34998626667073579"/>
        </top>
        <vertical/>
        <horizontal/>
      </border>
    </dxf>
    <dxf>
      <font>
        <color theme="0" tint="-0.34998626667073579"/>
      </font>
    </dxf>
    <dxf>
      <font>
        <color theme="0"/>
      </font>
    </dxf>
    <dxf>
      <font>
        <color theme="0"/>
      </font>
      <fill>
        <patternFill>
          <bgColor rgb="FF00B0F0"/>
        </patternFill>
      </fill>
    </dxf>
    <dxf>
      <font>
        <color theme="0"/>
      </font>
    </dxf>
    <dxf>
      <font>
        <color theme="0"/>
      </font>
      <fill>
        <patternFill>
          <bgColor rgb="FF00B050"/>
        </patternFill>
      </fill>
    </dxf>
    <dxf>
      <font>
        <color theme="0"/>
      </font>
    </dxf>
    <dxf>
      <font>
        <color theme="0"/>
      </font>
      <fill>
        <patternFill>
          <bgColor rgb="FFFFC000"/>
        </patternFill>
      </fill>
    </dxf>
    <dxf>
      <font>
        <color theme="0"/>
      </font>
    </dxf>
    <dxf>
      <font>
        <color theme="0"/>
      </font>
      <fill>
        <patternFill>
          <bgColor rgb="FFFF6600"/>
        </patternFill>
      </fill>
    </dxf>
    <dxf>
      <font>
        <color theme="0"/>
      </font>
    </dxf>
    <dxf>
      <font>
        <color theme="0"/>
      </font>
      <fill>
        <patternFill>
          <bgColor rgb="FFC00000"/>
        </patternFill>
      </fill>
    </dxf>
    <dxf>
      <font>
        <color theme="0"/>
      </font>
    </dxf>
    <dxf>
      <font>
        <color theme="0"/>
      </font>
      <fill>
        <patternFill>
          <bgColor rgb="FFFF0000"/>
        </patternFill>
      </fill>
    </dxf>
    <dxf>
      <font>
        <color theme="0"/>
      </font>
    </dxf>
    <dxf>
      <font>
        <color theme="0"/>
      </font>
      <fill>
        <patternFill>
          <bgColor rgb="FFFF00FF"/>
        </patternFill>
      </fill>
    </dxf>
    <dxf>
      <font>
        <color theme="0"/>
      </font>
    </dxf>
    <dxf>
      <font>
        <color theme="0"/>
      </font>
      <fill>
        <patternFill>
          <bgColor rgb="FF9900CC"/>
        </patternFill>
      </fill>
    </dxf>
    <dxf>
      <font>
        <color theme="0"/>
      </font>
    </dxf>
    <dxf>
      <font>
        <color theme="0"/>
      </font>
      <fill>
        <patternFill>
          <bgColor rgb="FF0070C0"/>
        </patternFill>
      </fill>
    </dxf>
    <dxf>
      <font>
        <color theme="0"/>
      </font>
    </dxf>
    <dxf>
      <font>
        <color theme="0"/>
      </font>
      <fill>
        <patternFill>
          <bgColor rgb="FF00B0F0"/>
        </patternFill>
      </fill>
    </dxf>
    <dxf>
      <font>
        <color theme="0"/>
      </font>
    </dxf>
    <dxf>
      <font>
        <color theme="0"/>
      </font>
      <fill>
        <patternFill>
          <bgColor rgb="FF00B050"/>
        </patternFill>
      </fill>
    </dxf>
    <dxf>
      <font>
        <color theme="0"/>
      </font>
    </dxf>
    <dxf>
      <font>
        <color theme="0"/>
      </font>
      <fill>
        <patternFill>
          <bgColor rgb="FFFFC000"/>
        </patternFill>
      </fill>
    </dxf>
    <dxf>
      <font>
        <color theme="0"/>
      </font>
    </dxf>
    <dxf>
      <font>
        <color theme="0"/>
      </font>
      <fill>
        <patternFill>
          <bgColor rgb="FFFF6600"/>
        </patternFill>
      </fill>
    </dxf>
    <dxf>
      <font>
        <color theme="0"/>
      </font>
    </dxf>
    <dxf>
      <font>
        <color theme="0"/>
      </font>
      <fill>
        <patternFill>
          <bgColor rgb="FFC00000"/>
        </patternFill>
      </fill>
    </dxf>
    <dxf>
      <font>
        <color theme="0"/>
      </font>
    </dxf>
    <dxf>
      <font>
        <color theme="0"/>
      </font>
      <fill>
        <patternFill>
          <bgColor rgb="FFFF0000"/>
        </patternFill>
      </fill>
    </dxf>
    <dxf>
      <font>
        <color theme="0"/>
      </font>
    </dxf>
    <dxf>
      <font>
        <color theme="0"/>
      </font>
      <fill>
        <patternFill>
          <bgColor rgb="FFFF00FF"/>
        </patternFill>
      </fill>
    </dxf>
    <dxf>
      <font>
        <color theme="0"/>
      </font>
    </dxf>
    <dxf>
      <font>
        <color theme="0"/>
      </font>
      <fill>
        <patternFill>
          <bgColor rgb="FF9900CC"/>
        </patternFill>
      </fill>
    </dxf>
    <dxf>
      <font>
        <color theme="0"/>
      </font>
    </dxf>
    <dxf>
      <font>
        <color theme="0"/>
      </font>
    </dxf>
    <dxf>
      <font>
        <color theme="0"/>
      </font>
      <fill>
        <patternFill>
          <bgColor rgb="FF0070C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1"/>
      </font>
      <fill>
        <patternFill>
          <bgColor theme="0" tint="-4.9989318521683403E-2"/>
        </patternFill>
      </fill>
    </dxf>
    <dxf>
      <font>
        <color theme="1"/>
      </font>
      <fill>
        <patternFill>
          <bgColor theme="0" tint="-0.24994659260841701"/>
        </patternFill>
      </fill>
    </dxf>
    <dxf>
      <font>
        <color theme="1"/>
      </font>
      <fill>
        <patternFill>
          <bgColor theme="0" tint="-0.34998626667073579"/>
        </patternFill>
      </fill>
    </dxf>
    <dxf>
      <font>
        <color theme="1"/>
      </font>
      <fill>
        <patternFill>
          <bgColor theme="0" tint="-0.499984740745262"/>
        </patternFill>
      </fill>
    </dxf>
    <dxf>
      <font>
        <color theme="0"/>
      </font>
      <fill>
        <patternFill>
          <bgColor theme="1"/>
        </patternFill>
      </fill>
      <border>
        <bottom style="thin">
          <color theme="0"/>
        </bottom>
      </border>
    </dxf>
    <dxf>
      <font>
        <color theme="1"/>
      </font>
      <fill>
        <patternFill>
          <bgColor theme="0" tint="-4.9989318521683403E-2"/>
        </patternFill>
      </fill>
    </dxf>
    <dxf>
      <font>
        <color theme="1"/>
      </font>
      <fill>
        <patternFill>
          <bgColor theme="0" tint="-0.24994659260841701"/>
        </patternFill>
      </fill>
    </dxf>
    <dxf>
      <font>
        <color theme="1"/>
      </font>
      <fill>
        <patternFill>
          <bgColor theme="0" tint="-0.34998626667073579"/>
        </patternFill>
      </fill>
    </dxf>
    <dxf>
      <font>
        <color theme="1"/>
      </font>
      <fill>
        <patternFill>
          <bgColor theme="0" tint="-0.499984740745262"/>
        </patternFill>
      </fill>
    </dxf>
    <dxf>
      <font>
        <color theme="0"/>
      </font>
      <fill>
        <patternFill>
          <bgColor theme="1"/>
        </patternFill>
      </fill>
      <border>
        <bottom style="thin">
          <color theme="0"/>
        </bottom>
      </border>
    </dxf>
    <dxf>
      <font>
        <color theme="1"/>
      </font>
      <fill>
        <patternFill>
          <bgColor theme="0" tint="-4.9989318521683403E-2"/>
        </patternFill>
      </fill>
    </dxf>
    <dxf>
      <font>
        <color theme="1"/>
      </font>
      <fill>
        <patternFill>
          <bgColor theme="0" tint="-0.24994659260841701"/>
        </patternFill>
      </fill>
    </dxf>
    <dxf>
      <font>
        <color theme="1"/>
      </font>
      <fill>
        <patternFill>
          <bgColor theme="0" tint="-0.34998626667073579"/>
        </patternFill>
      </fill>
    </dxf>
    <dxf>
      <font>
        <color theme="1"/>
      </font>
      <fill>
        <patternFill>
          <bgColor theme="0" tint="-0.499984740745262"/>
        </patternFill>
      </fill>
    </dxf>
    <dxf>
      <font>
        <color theme="0"/>
      </font>
      <fill>
        <patternFill>
          <bgColor theme="1"/>
        </patternFill>
      </fill>
      <border>
        <bottom style="thin">
          <color theme="0"/>
        </bottom>
      </border>
    </dxf>
    <dxf>
      <font>
        <color theme="1"/>
      </font>
      <fill>
        <patternFill>
          <bgColor theme="0" tint="-4.9989318521683403E-2"/>
        </patternFill>
      </fill>
    </dxf>
    <dxf>
      <font>
        <color theme="1"/>
      </font>
      <fill>
        <patternFill>
          <bgColor theme="0" tint="-0.24994659260841701"/>
        </patternFill>
      </fill>
    </dxf>
    <dxf>
      <font>
        <color theme="1"/>
      </font>
      <fill>
        <patternFill>
          <bgColor theme="0" tint="-0.34998626667073579"/>
        </patternFill>
      </fill>
    </dxf>
    <dxf>
      <font>
        <color theme="1"/>
      </font>
      <fill>
        <patternFill>
          <bgColor theme="0" tint="-0.499984740745262"/>
        </patternFill>
      </fill>
    </dxf>
    <dxf>
      <font>
        <color theme="0"/>
      </font>
      <fill>
        <patternFill>
          <bgColor theme="1"/>
        </patternFill>
      </fill>
      <border>
        <bottom style="thin">
          <color theme="0"/>
        </bottom>
      </border>
    </dxf>
    <dxf>
      <font>
        <color theme="1"/>
      </font>
      <fill>
        <patternFill>
          <bgColor theme="0" tint="-4.9989318521683403E-2"/>
        </patternFill>
      </fill>
    </dxf>
    <dxf>
      <font>
        <color theme="1"/>
      </font>
      <fill>
        <patternFill>
          <bgColor theme="0" tint="-0.24994659260841701"/>
        </patternFill>
      </fill>
    </dxf>
    <dxf>
      <font>
        <color theme="1"/>
      </font>
      <fill>
        <patternFill>
          <bgColor theme="0" tint="-0.34998626667073579"/>
        </patternFill>
      </fill>
    </dxf>
    <dxf>
      <font>
        <color theme="1"/>
      </font>
      <fill>
        <patternFill>
          <bgColor theme="0" tint="-0.499984740745262"/>
        </patternFill>
      </fill>
    </dxf>
    <dxf>
      <font>
        <color theme="0"/>
      </font>
      <fill>
        <patternFill>
          <bgColor theme="1"/>
        </patternFill>
      </fill>
      <border>
        <bottom style="thin">
          <color theme="0"/>
        </bottom>
      </border>
    </dxf>
    <dxf>
      <font>
        <color theme="1"/>
      </font>
      <fill>
        <patternFill>
          <bgColor theme="0" tint="-4.9989318521683403E-2"/>
        </patternFill>
      </fill>
    </dxf>
    <dxf>
      <font>
        <color theme="1"/>
      </font>
      <fill>
        <patternFill>
          <bgColor theme="0" tint="-0.24994659260841701"/>
        </patternFill>
      </fill>
    </dxf>
    <dxf>
      <font>
        <color theme="1"/>
      </font>
      <fill>
        <patternFill>
          <bgColor theme="0" tint="-0.34998626667073579"/>
        </patternFill>
      </fill>
    </dxf>
    <dxf>
      <font>
        <color theme="1"/>
      </font>
      <fill>
        <patternFill>
          <bgColor theme="0" tint="-0.499984740745262"/>
        </patternFill>
      </fill>
    </dxf>
    <dxf>
      <font>
        <color theme="0"/>
      </font>
      <fill>
        <patternFill>
          <bgColor theme="1"/>
        </patternFill>
      </fill>
      <border>
        <bottom style="thin">
          <color theme="0"/>
        </bottom>
      </border>
    </dxf>
    <dxf>
      <font>
        <color theme="0" tint="-0.24994659260841701"/>
      </font>
    </dxf>
    <dxf>
      <font>
        <color theme="1"/>
      </font>
      <fill>
        <patternFill>
          <bgColor theme="0" tint="-4.9989318521683403E-2"/>
        </patternFill>
      </fill>
    </dxf>
    <dxf>
      <font>
        <color theme="1"/>
      </font>
      <fill>
        <patternFill>
          <bgColor theme="0" tint="-0.24994659260841701"/>
        </patternFill>
      </fill>
    </dxf>
    <dxf>
      <font>
        <color theme="1"/>
      </font>
      <fill>
        <patternFill>
          <bgColor theme="0" tint="-0.34998626667073579"/>
        </patternFill>
      </fill>
    </dxf>
    <dxf>
      <font>
        <color theme="1"/>
      </font>
      <fill>
        <patternFill>
          <bgColor theme="0" tint="-0.499984740745262"/>
        </patternFill>
      </fill>
    </dxf>
    <dxf>
      <font>
        <color theme="0"/>
      </font>
      <fill>
        <patternFill>
          <bgColor theme="1"/>
        </patternFill>
      </fill>
    </dxf>
    <dxf>
      <font>
        <color theme="0" tint="-0.24994659260841701"/>
      </font>
    </dxf>
    <dxf>
      <font>
        <color theme="1"/>
      </font>
      <fill>
        <patternFill>
          <bgColor theme="0" tint="-4.9989318521683403E-2"/>
        </patternFill>
      </fill>
    </dxf>
    <dxf>
      <font>
        <color theme="1"/>
      </font>
      <fill>
        <patternFill>
          <bgColor theme="0" tint="-0.24994659260841701"/>
        </patternFill>
      </fill>
    </dxf>
    <dxf>
      <font>
        <color theme="1"/>
      </font>
      <fill>
        <patternFill>
          <bgColor theme="0" tint="-0.34998626667073579"/>
        </patternFill>
      </fill>
    </dxf>
    <dxf>
      <font>
        <color theme="1"/>
      </font>
      <fill>
        <patternFill>
          <bgColor theme="0" tint="-0.499984740745262"/>
        </patternFill>
      </fill>
    </dxf>
    <dxf>
      <font>
        <color theme="0"/>
      </font>
      <fill>
        <patternFill>
          <bgColor theme="1"/>
        </patternFill>
      </fill>
    </dxf>
    <dxf>
      <font>
        <color theme="1"/>
      </font>
      <fill>
        <patternFill>
          <bgColor theme="0" tint="-4.9989318521683403E-2"/>
        </patternFill>
      </fill>
    </dxf>
    <dxf>
      <font>
        <color theme="1"/>
      </font>
      <fill>
        <patternFill>
          <bgColor theme="0" tint="-0.24994659260841701"/>
        </patternFill>
      </fill>
    </dxf>
    <dxf>
      <font>
        <color theme="1"/>
      </font>
      <fill>
        <patternFill>
          <bgColor theme="0" tint="-0.34998626667073579"/>
        </patternFill>
      </fill>
    </dxf>
    <dxf>
      <font>
        <color theme="1"/>
      </font>
      <fill>
        <patternFill>
          <bgColor theme="0" tint="-0.499984740745262"/>
        </patternFill>
      </fill>
    </dxf>
    <dxf>
      <font>
        <color theme="0"/>
      </font>
      <fill>
        <patternFill>
          <bgColor theme="1"/>
        </patternFill>
      </fill>
      <border>
        <bottom style="thin">
          <color theme="0"/>
        </bottom>
      </border>
    </dxf>
    <dxf>
      <font>
        <color theme="1"/>
      </font>
      <fill>
        <patternFill>
          <bgColor theme="0" tint="-4.9989318521683403E-2"/>
        </patternFill>
      </fill>
    </dxf>
    <dxf>
      <font>
        <color theme="1"/>
      </font>
      <fill>
        <patternFill>
          <bgColor theme="0" tint="-0.24994659260841701"/>
        </patternFill>
      </fill>
    </dxf>
    <dxf>
      <font>
        <color theme="1"/>
      </font>
      <fill>
        <patternFill>
          <bgColor theme="0" tint="-0.34998626667073579"/>
        </patternFill>
      </fill>
    </dxf>
    <dxf>
      <font>
        <color theme="1"/>
      </font>
      <fill>
        <patternFill>
          <bgColor theme="0" tint="-0.499984740745262"/>
        </patternFill>
      </fill>
    </dxf>
    <dxf>
      <font>
        <color theme="0"/>
      </font>
      <fill>
        <patternFill>
          <bgColor theme="1"/>
        </patternFill>
      </fill>
      <border>
        <bottom style="thin">
          <color theme="0"/>
        </bottom>
      </border>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theme="0" tint="-0.24994659260841701"/>
        </patternFill>
      </fill>
      <border>
        <right/>
        <bottom/>
        <vertical/>
        <horizontal/>
      </border>
    </dxf>
    <dxf>
      <font>
        <color theme="0"/>
      </font>
      <fill>
        <patternFill>
          <bgColor theme="0" tint="-0.24994659260841701"/>
        </patternFill>
      </fill>
      <border>
        <bottom/>
        <vertical/>
        <horizontal/>
      </border>
    </dxf>
    <dxf>
      <fill>
        <patternFill>
          <bgColor theme="0" tint="-0.24994659260841701"/>
        </patternFill>
      </fill>
      <border>
        <left/>
        <bottom/>
        <vertical/>
        <horizontal/>
      </border>
    </dxf>
    <dxf>
      <font>
        <color theme="1"/>
      </font>
      <fill>
        <patternFill>
          <bgColor theme="0" tint="-0.24994659260841701"/>
        </patternFill>
      </fill>
      <border>
        <left style="thin">
          <color theme="0"/>
        </left>
        <right style="thin">
          <color theme="0"/>
        </right>
        <top style="thin">
          <color theme="0"/>
        </top>
        <bottom style="thin">
          <color theme="0"/>
        </bottom>
        <vertical/>
        <horizontal/>
      </border>
    </dxf>
    <dxf>
      <font>
        <color theme="0"/>
      </font>
      <fill>
        <patternFill>
          <bgColor theme="0" tint="-0.24994659260841701"/>
        </patternFill>
      </fill>
      <border>
        <top/>
        <vertical/>
        <horizontal/>
      </border>
    </dxf>
    <dxf>
      <font>
        <color theme="0"/>
      </font>
      <fill>
        <patternFill>
          <bgColor theme="0" tint="-0.24994659260841701"/>
        </patternFill>
      </fill>
      <border>
        <right/>
        <top/>
        <vertical/>
        <horizontal/>
      </border>
    </dxf>
    <dxf>
      <font>
        <color theme="0"/>
      </font>
      <fill>
        <patternFill>
          <bgColor theme="0" tint="-0.24994659260841701"/>
        </patternFill>
      </fill>
      <border>
        <left/>
        <top/>
        <vertical/>
        <horizontal/>
      </border>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theme="0" tint="-0.24994659260841701"/>
        </patternFill>
      </fill>
      <border>
        <right/>
        <bottom/>
        <vertical/>
        <horizontal/>
      </border>
    </dxf>
    <dxf>
      <font>
        <color theme="0"/>
      </font>
      <fill>
        <patternFill>
          <bgColor theme="0" tint="-0.24994659260841701"/>
        </patternFill>
      </fill>
      <border>
        <bottom/>
        <vertical/>
        <horizontal/>
      </border>
    </dxf>
    <dxf>
      <fill>
        <patternFill>
          <bgColor theme="0" tint="-0.24994659260841701"/>
        </patternFill>
      </fill>
      <border>
        <left/>
        <bottom/>
        <vertical/>
        <horizontal/>
      </border>
    </dxf>
    <dxf>
      <font>
        <color theme="1"/>
      </font>
      <fill>
        <patternFill>
          <bgColor theme="0" tint="-0.24994659260841701"/>
        </patternFill>
      </fill>
      <border>
        <left style="thin">
          <color theme="0"/>
        </left>
        <right style="thin">
          <color theme="0"/>
        </right>
        <top style="thin">
          <color theme="0"/>
        </top>
        <bottom style="thin">
          <color theme="0"/>
        </bottom>
        <vertical/>
        <horizontal/>
      </border>
    </dxf>
    <dxf>
      <font>
        <color theme="0"/>
      </font>
      <fill>
        <patternFill>
          <bgColor theme="0" tint="-0.24994659260841701"/>
        </patternFill>
      </fill>
      <border>
        <top/>
        <vertical/>
        <horizontal/>
      </border>
    </dxf>
    <dxf>
      <font>
        <color theme="0"/>
      </font>
      <fill>
        <patternFill>
          <bgColor theme="0" tint="-0.24994659260841701"/>
        </patternFill>
      </fill>
      <border>
        <right/>
        <top/>
        <vertical/>
        <horizontal/>
      </border>
    </dxf>
    <dxf>
      <font>
        <color theme="0"/>
      </font>
      <fill>
        <patternFill>
          <bgColor theme="0" tint="-0.24994659260841701"/>
        </patternFill>
      </fill>
      <border>
        <left/>
        <top/>
        <vertical/>
        <horizontal/>
      </border>
    </dxf>
    <dxf>
      <font>
        <color theme="0"/>
      </font>
      <fill>
        <patternFill>
          <bgColor theme="0" tint="-0.14996795556505021"/>
        </patternFill>
      </fill>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0"/>
      </font>
    </dxf>
    <dxf>
      <font>
        <color theme="0"/>
      </font>
    </dxf>
    <dxf>
      <font>
        <color theme="0"/>
      </font>
      <fill>
        <patternFill>
          <bgColor rgb="FF00B0F0"/>
        </patternFill>
      </fill>
    </dxf>
    <dxf>
      <font>
        <color theme="0"/>
      </font>
    </dxf>
    <dxf>
      <font>
        <color theme="0"/>
      </font>
      <fill>
        <patternFill>
          <bgColor rgb="FF00B050"/>
        </patternFill>
      </fill>
    </dxf>
    <dxf>
      <font>
        <color theme="0"/>
      </font>
    </dxf>
    <dxf>
      <font>
        <color theme="0"/>
      </font>
      <fill>
        <patternFill>
          <bgColor rgb="FFFFC000"/>
        </patternFill>
      </fill>
    </dxf>
    <dxf>
      <font>
        <color theme="0"/>
      </font>
    </dxf>
    <dxf>
      <font>
        <color theme="0"/>
      </font>
      <fill>
        <patternFill>
          <bgColor rgb="FFFF6600"/>
        </patternFill>
      </fill>
    </dxf>
    <dxf>
      <font>
        <color theme="0"/>
      </font>
    </dxf>
    <dxf>
      <font>
        <color theme="0"/>
      </font>
      <fill>
        <patternFill>
          <bgColor rgb="FFC00000"/>
        </patternFill>
      </fill>
    </dxf>
    <dxf>
      <font>
        <color theme="0"/>
      </font>
    </dxf>
    <dxf>
      <font>
        <color theme="0"/>
      </font>
      <fill>
        <patternFill>
          <bgColor rgb="FFFF0000"/>
        </patternFill>
      </fill>
    </dxf>
    <dxf>
      <font>
        <color theme="0"/>
      </font>
    </dxf>
    <dxf>
      <font>
        <color theme="0"/>
      </font>
      <fill>
        <patternFill>
          <bgColor rgb="FFFF00FF"/>
        </patternFill>
      </fill>
    </dxf>
    <dxf>
      <font>
        <color theme="0"/>
      </font>
    </dxf>
    <dxf>
      <font>
        <color theme="0"/>
      </font>
      <fill>
        <patternFill>
          <bgColor rgb="FF9900CC"/>
        </patternFill>
      </fill>
    </dxf>
    <dxf>
      <font>
        <color theme="0"/>
      </font>
    </dxf>
    <dxf>
      <font>
        <color theme="0"/>
      </font>
      <fill>
        <patternFill>
          <bgColor rgb="FF0070C0"/>
        </patternFill>
      </fill>
    </dxf>
    <dxf>
      <font>
        <color theme="0"/>
      </font>
    </dxf>
    <dxf>
      <font>
        <color theme="0"/>
      </font>
      <fill>
        <patternFill>
          <bgColor rgb="FF00B0F0"/>
        </patternFill>
      </fill>
    </dxf>
    <dxf>
      <font>
        <color theme="0"/>
      </font>
    </dxf>
    <dxf>
      <font>
        <color theme="0"/>
      </font>
      <fill>
        <patternFill>
          <bgColor rgb="FF00B050"/>
        </patternFill>
      </fill>
    </dxf>
    <dxf>
      <font>
        <color theme="0"/>
      </font>
    </dxf>
    <dxf>
      <font>
        <color theme="0"/>
      </font>
      <fill>
        <patternFill>
          <bgColor rgb="FFFFC000"/>
        </patternFill>
      </fill>
    </dxf>
    <dxf>
      <font>
        <color theme="0"/>
      </font>
    </dxf>
    <dxf>
      <font>
        <color theme="0"/>
      </font>
      <fill>
        <patternFill>
          <bgColor rgb="FFFF6600"/>
        </patternFill>
      </fill>
    </dxf>
    <dxf>
      <font>
        <color theme="0"/>
      </font>
    </dxf>
    <dxf>
      <font>
        <color theme="0"/>
      </font>
      <fill>
        <patternFill>
          <bgColor rgb="FFC00000"/>
        </patternFill>
      </fill>
    </dxf>
    <dxf>
      <font>
        <color theme="0"/>
      </font>
    </dxf>
    <dxf>
      <font>
        <color theme="0"/>
      </font>
      <fill>
        <patternFill>
          <bgColor rgb="FFFF0000"/>
        </patternFill>
      </fill>
    </dxf>
    <dxf>
      <font>
        <color theme="0"/>
      </font>
    </dxf>
    <dxf>
      <font>
        <color theme="0"/>
      </font>
      <fill>
        <patternFill>
          <bgColor rgb="FFFF00FF"/>
        </patternFill>
      </fill>
    </dxf>
    <dxf>
      <font>
        <color theme="0"/>
      </font>
    </dxf>
    <dxf>
      <font>
        <color theme="0"/>
      </font>
      <fill>
        <patternFill>
          <bgColor rgb="FF9900CC"/>
        </patternFill>
      </fill>
    </dxf>
    <dxf>
      <font>
        <color theme="0"/>
      </font>
    </dxf>
    <dxf>
      <font>
        <color theme="0"/>
      </font>
    </dxf>
    <dxf>
      <font>
        <color theme="0"/>
      </font>
      <fill>
        <patternFill>
          <bgColor rgb="FF0070C0"/>
        </patternFill>
      </fill>
    </dxf>
    <dxf>
      <font>
        <color theme="0" tint="-0.24994659260841701"/>
      </font>
    </dxf>
    <dxf>
      <font>
        <color theme="0" tint="-0.24994659260841701"/>
      </font>
    </dxf>
    <dxf>
      <font>
        <color theme="1"/>
      </font>
      <fill>
        <patternFill>
          <bgColor theme="0" tint="-4.9989318521683403E-2"/>
        </patternFill>
      </fill>
    </dxf>
    <dxf>
      <font>
        <color theme="1"/>
      </font>
      <fill>
        <patternFill>
          <bgColor theme="0" tint="-0.24994659260841701"/>
        </patternFill>
      </fill>
    </dxf>
    <dxf>
      <font>
        <color theme="1"/>
      </font>
      <fill>
        <patternFill>
          <bgColor theme="0" tint="-0.34998626667073579"/>
        </patternFill>
      </fill>
    </dxf>
    <dxf>
      <font>
        <color theme="1"/>
      </font>
      <fill>
        <patternFill>
          <bgColor theme="0" tint="-0.499984740745262"/>
        </patternFill>
      </fill>
    </dxf>
    <dxf>
      <font>
        <color theme="0"/>
      </font>
      <fill>
        <patternFill>
          <bgColor theme="1"/>
        </patternFill>
      </fill>
    </dxf>
    <dxf>
      <font>
        <color theme="0"/>
      </font>
    </dxf>
    <dxf>
      <border>
        <left style="thin">
          <color theme="0"/>
        </left>
        <right style="thin">
          <color theme="0"/>
        </right>
        <top style="thin">
          <color theme="0"/>
        </top>
        <bottom style="thin">
          <color theme="0"/>
        </bottom>
        <vertical/>
        <horizontal/>
      </border>
    </dxf>
    <dxf>
      <border>
        <left style="thin">
          <color theme="0"/>
        </left>
        <right style="thin">
          <color theme="0"/>
        </right>
        <top style="thin">
          <color theme="0"/>
        </top>
        <bottom style="thin">
          <color theme="0"/>
        </bottom>
        <vertical/>
        <horizontal/>
      </border>
    </dxf>
    <dxf>
      <font>
        <color theme="0" tint="-0.34998626667073579"/>
      </font>
    </dxf>
    <dxf>
      <border>
        <left style="thin">
          <color theme="1" tint="0.34998626667073579"/>
        </left>
        <right style="thin">
          <color theme="1" tint="0.34998626667073579"/>
        </right>
        <top style="thin">
          <color theme="1" tint="0.34998626667073579"/>
        </top>
        <bottom style="thin">
          <color theme="1" tint="0.34998626667073579"/>
        </bottom>
        <vertical/>
        <horizontal/>
      </border>
    </dxf>
    <dxf>
      <fill>
        <patternFill>
          <bgColor theme="1" tint="4.9989318521683403E-2"/>
        </patternFill>
      </fill>
      <border>
        <right/>
        <bottom/>
        <vertical/>
        <horizontal/>
      </border>
    </dxf>
    <dxf>
      <font>
        <color theme="0"/>
      </font>
      <fill>
        <patternFill>
          <bgColor theme="1" tint="4.9989318521683403E-2"/>
        </patternFill>
      </fill>
      <border>
        <bottom/>
        <vertical/>
        <horizontal/>
      </border>
    </dxf>
    <dxf>
      <fill>
        <patternFill>
          <bgColor theme="1" tint="4.9989318521683403E-2"/>
        </patternFill>
      </fill>
      <border>
        <left/>
        <bottom/>
        <vertical/>
        <horizontal/>
      </border>
    </dxf>
    <dxf>
      <font>
        <color theme="0"/>
      </font>
      <fill>
        <patternFill>
          <bgColor theme="1" tint="4.9989318521683403E-2"/>
        </patternFill>
      </fill>
      <border>
        <left style="thin">
          <color theme="0"/>
        </left>
        <right style="thin">
          <color theme="0"/>
        </right>
        <top style="thin">
          <color theme="0"/>
        </top>
        <bottom style="thin">
          <color theme="0"/>
        </bottom>
        <vertical/>
        <horizontal/>
      </border>
    </dxf>
    <dxf>
      <font>
        <color theme="1" tint="0.24994659260841701"/>
      </font>
      <fill>
        <patternFill>
          <bgColor theme="1" tint="4.9989318521683403E-2"/>
        </patternFill>
      </fill>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1" tint="4.9989318521683403E-2"/>
        </patternFill>
      </fill>
      <border>
        <top/>
        <vertical/>
        <horizontal/>
      </border>
    </dxf>
    <dxf>
      <font>
        <color theme="1" tint="0.14996795556505021"/>
      </font>
      <fill>
        <patternFill>
          <bgColor theme="1" tint="4.9989318521683403E-2"/>
        </patternFill>
      </fill>
      <border>
        <top/>
        <vertical/>
        <horizontal/>
      </border>
    </dxf>
    <dxf>
      <font>
        <color theme="1" tint="0.14996795556505021"/>
      </font>
      <fill>
        <patternFill>
          <bgColor theme="1" tint="4.9989318521683403E-2"/>
        </patternFill>
      </fill>
      <border>
        <right/>
        <top/>
        <vertical/>
        <horizontal/>
      </border>
    </dxf>
    <dxf>
      <font>
        <color theme="1" tint="0.14996795556505021"/>
      </font>
      <fill>
        <patternFill>
          <bgColor theme="1" tint="4.9989318521683403E-2"/>
        </patternFill>
      </fill>
      <border>
        <left/>
        <top/>
        <vertical/>
        <horizontal/>
      </border>
    </dxf>
    <dxf>
      <font>
        <color theme="0" tint="-0.24994659260841701"/>
      </font>
    </dxf>
    <dxf>
      <font>
        <color theme="0" tint="-0.24994659260841701"/>
      </font>
    </dxf>
    <dxf>
      <font>
        <color theme="1"/>
      </font>
      <fill>
        <patternFill>
          <bgColor theme="0" tint="-4.9989318521683403E-2"/>
        </patternFill>
      </fill>
    </dxf>
    <dxf>
      <font>
        <color theme="1"/>
      </font>
      <fill>
        <patternFill>
          <bgColor theme="0" tint="-0.24994659260841701"/>
        </patternFill>
      </fill>
    </dxf>
    <dxf>
      <font>
        <color theme="1"/>
      </font>
      <fill>
        <patternFill>
          <bgColor theme="0" tint="-0.34998626667073579"/>
        </patternFill>
      </fill>
    </dxf>
    <dxf>
      <font>
        <color theme="1"/>
      </font>
      <fill>
        <patternFill>
          <bgColor theme="0" tint="-0.499984740745262"/>
        </patternFill>
      </fill>
    </dxf>
    <dxf>
      <font>
        <color theme="0"/>
      </font>
      <fill>
        <patternFill>
          <bgColor theme="1"/>
        </patternFill>
      </fill>
    </dxf>
    <dxf>
      <font>
        <color theme="1"/>
      </font>
      <fill>
        <patternFill>
          <bgColor theme="0" tint="-4.9989318521683403E-2"/>
        </patternFill>
      </fill>
    </dxf>
    <dxf>
      <font>
        <color theme="1"/>
      </font>
      <fill>
        <patternFill>
          <bgColor theme="0" tint="-0.24994659260841701"/>
        </patternFill>
      </fill>
    </dxf>
    <dxf>
      <font>
        <color theme="1"/>
      </font>
      <fill>
        <patternFill>
          <bgColor theme="0" tint="-0.34998626667073579"/>
        </patternFill>
      </fill>
    </dxf>
    <dxf>
      <font>
        <color theme="1"/>
      </font>
      <fill>
        <patternFill>
          <bgColor theme="0" tint="-0.499984740745262"/>
        </patternFill>
      </fill>
    </dxf>
    <dxf>
      <font>
        <color theme="0"/>
      </font>
      <fill>
        <patternFill>
          <bgColor theme="1"/>
        </patternFill>
      </fill>
      <border>
        <bottom style="thin">
          <color theme="0"/>
        </bottom>
      </border>
    </dxf>
    <dxf>
      <font>
        <color theme="1"/>
      </font>
      <fill>
        <patternFill>
          <bgColor theme="0" tint="-4.9989318521683403E-2"/>
        </patternFill>
      </fill>
    </dxf>
    <dxf>
      <font>
        <color theme="1"/>
      </font>
      <fill>
        <patternFill>
          <bgColor theme="0" tint="-0.24994659260841701"/>
        </patternFill>
      </fill>
    </dxf>
    <dxf>
      <font>
        <color theme="1"/>
      </font>
      <fill>
        <patternFill>
          <bgColor theme="0" tint="-0.34998626667073579"/>
        </patternFill>
      </fill>
    </dxf>
    <dxf>
      <font>
        <color theme="1"/>
      </font>
      <fill>
        <patternFill>
          <bgColor theme="0" tint="-0.499984740745262"/>
        </patternFill>
      </fill>
    </dxf>
    <dxf>
      <font>
        <color theme="0"/>
      </font>
      <fill>
        <patternFill>
          <bgColor theme="1"/>
        </patternFill>
      </fill>
      <border>
        <bottom style="thin">
          <color theme="0"/>
        </bottom>
      </border>
    </dxf>
    <dxf>
      <font>
        <color theme="0" tint="-0.24994659260841701"/>
      </font>
    </dxf>
    <dxf>
      <font>
        <color theme="1"/>
      </font>
      <fill>
        <patternFill>
          <bgColor theme="0" tint="-4.9989318521683403E-2"/>
        </patternFill>
      </fill>
    </dxf>
    <dxf>
      <font>
        <color theme="1"/>
      </font>
      <fill>
        <patternFill>
          <bgColor theme="0" tint="-0.24994659260841701"/>
        </patternFill>
      </fill>
    </dxf>
    <dxf>
      <font>
        <color theme="1"/>
      </font>
      <fill>
        <patternFill>
          <bgColor theme="0" tint="-0.34998626667073579"/>
        </patternFill>
      </fill>
    </dxf>
    <dxf>
      <font>
        <color theme="1"/>
      </font>
      <fill>
        <patternFill>
          <bgColor theme="0" tint="-0.499984740745262"/>
        </patternFill>
      </fill>
    </dxf>
    <dxf>
      <font>
        <color theme="0"/>
      </font>
      <fill>
        <patternFill>
          <bgColor theme="1"/>
        </patternFill>
      </fill>
    </dxf>
    <dxf>
      <font>
        <color theme="1"/>
      </font>
      <fill>
        <patternFill>
          <bgColor theme="0" tint="-4.9989318521683403E-2"/>
        </patternFill>
      </fill>
    </dxf>
    <dxf>
      <font>
        <color theme="1"/>
      </font>
      <fill>
        <patternFill>
          <bgColor theme="0" tint="-0.24994659260841701"/>
        </patternFill>
      </fill>
    </dxf>
    <dxf>
      <font>
        <color theme="1"/>
      </font>
      <fill>
        <patternFill>
          <bgColor theme="0" tint="-0.34998626667073579"/>
        </patternFill>
      </fill>
    </dxf>
    <dxf>
      <font>
        <color theme="1"/>
      </font>
      <fill>
        <patternFill>
          <bgColor theme="0" tint="-0.499984740745262"/>
        </patternFill>
      </fill>
    </dxf>
    <dxf>
      <font>
        <color theme="0"/>
      </font>
      <fill>
        <patternFill>
          <bgColor theme="1"/>
        </patternFill>
      </fill>
      <border>
        <bottom style="thin">
          <color theme="0"/>
        </bottom>
      </border>
    </dxf>
    <dxf>
      <font>
        <color theme="1"/>
      </font>
      <fill>
        <patternFill>
          <bgColor theme="0" tint="-4.9989318521683403E-2"/>
        </patternFill>
      </fill>
    </dxf>
    <dxf>
      <font>
        <color theme="1"/>
      </font>
      <fill>
        <patternFill>
          <bgColor theme="0" tint="-0.24994659260841701"/>
        </patternFill>
      </fill>
    </dxf>
    <dxf>
      <font>
        <color theme="1"/>
      </font>
      <fill>
        <patternFill>
          <bgColor theme="0" tint="-0.34998626667073579"/>
        </patternFill>
      </fill>
    </dxf>
    <dxf>
      <font>
        <color theme="1"/>
      </font>
      <fill>
        <patternFill>
          <bgColor theme="0" tint="-0.499984740745262"/>
        </patternFill>
      </fill>
    </dxf>
    <dxf>
      <font>
        <color theme="0"/>
      </font>
      <fill>
        <patternFill>
          <bgColor theme="1"/>
        </patternFill>
      </fill>
    </dxf>
    <dxf>
      <numFmt numFmtId="186" formatCode="[$₹-4009]\ #,##0.00"/>
    </dxf>
    <dxf>
      <numFmt numFmtId="187" formatCode="[$¥-804]#,##0.00"/>
    </dxf>
    <dxf>
      <numFmt numFmtId="188" formatCode="[$€-2]\ #,##0.00"/>
    </dxf>
    <dxf>
      <numFmt numFmtId="189" formatCode="[$$-409]#,##0.00"/>
    </dxf>
    <dxf>
      <numFmt numFmtId="170" formatCode="&quot;£&quot;#,##0.00"/>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FFC000"/>
      </font>
    </dxf>
    <dxf>
      <font>
        <color rgb="FFEBE6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FFC000"/>
      </font>
    </dxf>
    <dxf>
      <font>
        <color rgb="FFEBE600"/>
      </font>
    </dxf>
    <dxf>
      <border>
        <left style="thin">
          <color theme="2"/>
        </left>
        <right style="thin">
          <color theme="2"/>
        </right>
        <top style="thin">
          <color theme="2"/>
        </top>
        <bottom style="thin">
          <color theme="2"/>
        </bottom>
        <vertical/>
        <horizontal/>
      </border>
    </dxf>
    <dxf>
      <border>
        <bottom/>
        <vertical/>
        <horizontal/>
      </border>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0"/>
      </font>
      <fill>
        <patternFill>
          <bgColor theme="0" tint="-0.14996795556505021"/>
        </patternFill>
      </fill>
      <border>
        <left/>
        <right/>
        <top style="thin">
          <color theme="0"/>
        </top>
        <bottom/>
        <vertical/>
        <horizontal/>
      </border>
    </dxf>
    <dxf>
      <font>
        <color theme="0"/>
      </font>
      <fill>
        <patternFill>
          <bgColor theme="0" tint="-0.14996795556505021"/>
        </patternFill>
      </fill>
      <border>
        <left style="thin">
          <color theme="0"/>
        </left>
        <right/>
        <top style="thin">
          <color theme="0"/>
        </top>
        <bottom/>
        <vertical/>
        <horizontal/>
      </border>
    </dxf>
    <dxf>
      <font>
        <color theme="0"/>
      </font>
      <fill>
        <patternFill>
          <bgColor theme="0" tint="-0.14996795556505021"/>
        </patternFill>
      </fill>
      <border>
        <left/>
        <right style="thin">
          <color theme="0"/>
        </right>
        <top style="thin">
          <color theme="0"/>
        </top>
        <bottom/>
        <vertical/>
        <horizontal/>
      </border>
    </dxf>
    <dxf>
      <font>
        <color theme="0"/>
      </font>
      <fill>
        <patternFill>
          <bgColor theme="0" tint="-0.14996795556505021"/>
        </patternFill>
      </fill>
      <border>
        <left style="thin">
          <color theme="0"/>
        </left>
        <right style="thin">
          <color theme="0"/>
        </right>
        <top style="thin">
          <color theme="0"/>
        </top>
        <bottom style="thin">
          <color theme="0"/>
        </bottom>
        <vertical/>
        <horizontal/>
      </border>
    </dxf>
    <dxf>
      <font>
        <color theme="0" tint="-0.34998626667073579"/>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499984740745262"/>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0"/>
      </font>
      <fill>
        <patternFill>
          <bgColor theme="0" tint="-0.14996795556505021"/>
        </patternFill>
      </fill>
      <border>
        <left/>
        <right/>
        <top style="thin">
          <color theme="0"/>
        </top>
        <bottom/>
        <vertical/>
        <horizontal/>
      </border>
    </dxf>
    <dxf>
      <font>
        <color theme="0"/>
      </font>
      <fill>
        <patternFill>
          <bgColor theme="0" tint="-0.14996795556505021"/>
        </patternFill>
      </fill>
      <border>
        <left style="thin">
          <color theme="0"/>
        </left>
        <right/>
        <top style="thin">
          <color theme="0"/>
        </top>
        <bottom/>
        <vertical/>
        <horizontal/>
      </border>
    </dxf>
    <dxf>
      <font>
        <color theme="0"/>
      </font>
      <fill>
        <patternFill>
          <bgColor theme="0" tint="-0.14996795556505021"/>
        </patternFill>
      </fill>
      <border>
        <left/>
        <right style="thin">
          <color theme="0"/>
        </right>
        <top style="thin">
          <color theme="0"/>
        </top>
        <bottom/>
        <vertical/>
        <horizontal/>
      </border>
    </dxf>
    <dxf>
      <font>
        <color theme="0"/>
      </font>
      <fill>
        <patternFill>
          <bgColor theme="0" tint="-0.14996795556505021"/>
        </patternFill>
      </fill>
      <border>
        <left style="thin">
          <color theme="0"/>
        </left>
        <right style="thin">
          <color theme="0"/>
        </right>
        <top style="thin">
          <color theme="0"/>
        </top>
        <bottom style="thin">
          <color theme="0"/>
        </bottom>
        <vertical/>
        <horizontal/>
      </border>
    </dxf>
    <dxf>
      <font>
        <color theme="0" tint="-0.499984740745262"/>
      </font>
      <fill>
        <patternFill>
          <bgColor theme="1"/>
        </patternFill>
      </fill>
    </dxf>
    <dxf>
      <font>
        <color theme="0"/>
      </font>
      <fill>
        <patternFill>
          <bgColor theme="0"/>
        </patternFill>
      </fill>
      <border>
        <left style="thin">
          <color theme="0" tint="-0.14996795556505021"/>
        </left>
        <top style="thin">
          <color theme="0" tint="-0.14996795556505021"/>
        </top>
        <vertical/>
        <horizontal/>
      </border>
    </dxf>
    <dxf>
      <font>
        <color theme="0" tint="-0.499984740745262"/>
      </font>
      <fill>
        <patternFill>
          <bgColor theme="1"/>
        </patternFill>
      </fill>
    </dxf>
    <dxf>
      <font>
        <color theme="0"/>
      </font>
      <fill>
        <patternFill>
          <bgColor theme="0"/>
        </patternFill>
      </fill>
      <border>
        <right style="thin">
          <color theme="0" tint="-0.14996795556505021"/>
        </right>
        <top style="thin">
          <color theme="0" tint="-0.14996795556505021"/>
        </top>
        <vertical/>
        <horizontal/>
      </border>
    </dxf>
    <dxf>
      <font>
        <color theme="0"/>
      </font>
      <fill>
        <patternFill>
          <bgColor theme="1"/>
        </patternFill>
      </fill>
    </dxf>
    <dxf>
      <font>
        <color theme="0"/>
      </font>
      <fill>
        <patternFill>
          <bgColor theme="0"/>
        </patternFill>
      </fill>
      <border>
        <top style="thin">
          <color theme="0" tint="-0.14996795556505021"/>
        </top>
        <vertical/>
        <horizontal/>
      </border>
    </dxf>
    <dxf>
      <font>
        <color theme="0"/>
      </font>
      <fill>
        <patternFill>
          <bgColor theme="1"/>
        </patternFill>
      </fill>
    </dxf>
    <dxf>
      <font>
        <color theme="0"/>
      </font>
      <fill>
        <patternFill>
          <bgColor theme="0"/>
        </patternFill>
      </fill>
      <border>
        <left style="thin">
          <color theme="0" tint="-0.14996795556505021"/>
        </left>
        <right style="thin">
          <color theme="0" tint="-0.14996795556505021"/>
        </right>
        <top/>
        <bottom style="thin">
          <color theme="0" tint="-0.14996795556505021"/>
        </bottom>
        <vertical/>
        <horizontal/>
      </border>
    </dxf>
    <dxf>
      <font>
        <color theme="0" tint="-0.34998626667073579"/>
      </font>
    </dxf>
    <dxf>
      <font>
        <color theme="0" tint="-0.34998626667073579"/>
      </font>
    </dxf>
    <dxf>
      <font>
        <color theme="0"/>
      </font>
    </dxf>
    <dxf>
      <font>
        <color theme="0"/>
      </font>
    </dxf>
    <dxf>
      <border>
        <right style="thin">
          <color theme="1"/>
        </right>
        <vertical/>
        <horizontal/>
      </border>
    </dxf>
    <dxf>
      <border>
        <left style="thin">
          <color theme="1"/>
        </left>
        <vertical/>
        <horizontal/>
      </border>
    </dxf>
    <dxf>
      <border>
        <bottom style="thin">
          <color theme="1"/>
        </bottom>
        <vertical/>
        <horizontal/>
      </border>
    </dxf>
    <dxf>
      <border>
        <top style="thin">
          <color theme="1"/>
        </top>
        <vertical/>
        <horizontal/>
      </border>
    </dxf>
    <dxf>
      <border>
        <right style="thin">
          <color theme="1"/>
        </right>
        <vertical/>
        <horizontal/>
      </border>
    </dxf>
    <dxf>
      <border>
        <left style="thin">
          <color theme="1"/>
        </left>
        <vertical/>
        <horizontal/>
      </border>
    </dxf>
    <dxf>
      <border>
        <bottom style="thin">
          <color theme="1"/>
        </bottom>
        <vertical/>
        <horizontal/>
      </border>
    </dxf>
    <dxf>
      <border>
        <top style="thin">
          <color theme="1"/>
        </top>
        <vertical/>
        <horizontal/>
      </border>
    </dxf>
    <dxf>
      <font>
        <color theme="1"/>
      </font>
    </dxf>
    <dxf>
      <font>
        <color theme="1"/>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theme="0" tint="-0.14996795556505021"/>
      </font>
    </dxf>
    <dxf>
      <font>
        <color theme="0"/>
      </font>
    </dxf>
    <dxf>
      <font>
        <color theme="0"/>
      </font>
      <fill>
        <patternFill>
          <bgColor theme="0" tint="-0.34998626667073579"/>
        </patternFill>
      </fill>
    </dxf>
    <dxf>
      <font>
        <color theme="0"/>
      </font>
      <fill>
        <patternFill>
          <bgColor theme="1"/>
        </patternFill>
      </fill>
    </dxf>
    <dxf>
      <font>
        <color theme="0"/>
      </font>
      <fill>
        <patternFill>
          <bgColor theme="0" tint="-0.34998626667073579"/>
        </patternFill>
      </fill>
    </dxf>
    <dxf>
      <font>
        <color theme="0"/>
      </font>
      <fill>
        <patternFill>
          <bgColor theme="1"/>
        </patternFill>
      </fill>
    </dxf>
    <dxf>
      <font>
        <color theme="1"/>
      </font>
    </dxf>
    <dxf>
      <font>
        <color theme="1"/>
      </font>
    </dxf>
    <dxf>
      <numFmt numFmtId="182" formatCode="[$₹-4009]\ #,##0"/>
    </dxf>
    <dxf>
      <numFmt numFmtId="183" formatCode="[$¥-804]#,##0"/>
    </dxf>
    <dxf>
      <numFmt numFmtId="184" formatCode="[$€-2]\ #,##0"/>
    </dxf>
    <dxf>
      <numFmt numFmtId="185" formatCode="[$$-409]#,##0"/>
    </dxf>
    <dxf>
      <numFmt numFmtId="167" formatCode="&quot;£&quot;#,##0"/>
    </dxf>
    <dxf>
      <font>
        <color theme="0"/>
      </font>
      <fill>
        <patternFill>
          <bgColor theme="1"/>
        </patternFill>
      </fill>
    </dxf>
    <dxf>
      <font>
        <color theme="1"/>
      </font>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1"/>
      </font>
      <fill>
        <patternFill>
          <bgColor theme="0" tint="-0.2499465926084170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1"/>
      </font>
      <fill>
        <patternFill>
          <bgColor theme="0" tint="-0.2499465926084170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1"/>
      </font>
      <fill>
        <patternFill>
          <bgColor theme="0" tint="-0.2499465926084170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1"/>
      </font>
      <fill>
        <patternFill>
          <bgColor theme="0" tint="-0.2499465926084170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1"/>
      </font>
      <fill>
        <patternFill>
          <bgColor theme="0" tint="-0.2499465926084170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1"/>
      </font>
      <fill>
        <patternFill>
          <bgColor theme="0" tint="-0.2499465926084170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1"/>
      </font>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1" tint="0.24994659260841701"/>
      </font>
    </dxf>
    <dxf>
      <font>
        <color theme="1"/>
      </font>
      <fill>
        <patternFill>
          <bgColor theme="2"/>
        </patternFill>
      </fill>
      <border>
        <left style="thin">
          <color theme="0"/>
        </left>
        <right style="thin">
          <color theme="0"/>
        </right>
        <top style="thin">
          <color theme="0"/>
        </top>
        <bottom style="thin">
          <color theme="0"/>
        </bottom>
        <vertical/>
        <horizontal/>
      </border>
    </dxf>
    <dxf>
      <font>
        <color theme="1"/>
      </font>
      <fill>
        <patternFill>
          <bgColor theme="2"/>
        </patternFill>
      </fill>
      <border>
        <left style="thin">
          <color theme="0"/>
        </left>
        <right style="thin">
          <color theme="0"/>
        </right>
        <top style="thin">
          <color theme="0"/>
        </top>
        <bottom style="thin">
          <color theme="0"/>
        </bottom>
        <vertical/>
        <horizontal/>
      </border>
    </dxf>
    <dxf>
      <font>
        <color theme="1"/>
      </font>
      <fill>
        <patternFill>
          <bgColor theme="2"/>
        </patternFill>
      </fill>
      <border>
        <left style="thin">
          <color theme="0"/>
        </left>
        <right style="thin">
          <color theme="0"/>
        </right>
        <top style="thin">
          <color theme="0"/>
        </top>
        <bottom style="thin">
          <color theme="0"/>
        </bottom>
        <vertical/>
        <horizontal/>
      </border>
    </dxf>
    <dxf>
      <font>
        <color theme="1"/>
      </font>
      <fill>
        <patternFill>
          <bgColor theme="2"/>
        </patternFill>
      </fill>
      <border>
        <left style="thin">
          <color theme="0"/>
        </left>
        <right style="thin">
          <color theme="0"/>
        </right>
        <top style="thin">
          <color theme="0"/>
        </top>
        <bottom style="thin">
          <color theme="0"/>
        </bottom>
        <vertical/>
        <horizontal/>
      </border>
    </dxf>
    <dxf>
      <font>
        <color theme="1"/>
      </font>
      <fill>
        <patternFill>
          <bgColor theme="2"/>
        </patternFill>
      </fill>
      <border>
        <left style="thin">
          <color theme="0"/>
        </left>
        <right style="thin">
          <color theme="0"/>
        </right>
        <top style="thin">
          <color theme="0"/>
        </top>
        <bottom style="thin">
          <color theme="0"/>
        </bottom>
        <vertical/>
        <horizontal/>
      </border>
    </dxf>
    <dxf>
      <font>
        <color theme="1"/>
      </font>
      <fill>
        <patternFill>
          <bgColor theme="2"/>
        </patternFill>
      </fill>
      <border>
        <left style="thin">
          <color theme="0"/>
        </left>
        <right style="thin">
          <color theme="0"/>
        </right>
        <top style="thin">
          <color theme="0"/>
        </top>
        <bottom style="thin">
          <color theme="0"/>
        </bottom>
        <vertical/>
        <horizontal/>
      </border>
    </dxf>
    <dxf>
      <font>
        <color theme="1"/>
      </font>
    </dxf>
    <dxf>
      <font>
        <color theme="1"/>
      </font>
    </dxf>
    <dxf>
      <font>
        <color theme="1"/>
      </font>
    </dxf>
    <dxf>
      <font>
        <color theme="1"/>
      </font>
    </dxf>
    <dxf>
      <font>
        <color theme="1"/>
      </font>
    </dxf>
    <dxf>
      <font>
        <color theme="1"/>
      </font>
    </dxf>
    <dxf>
      <font>
        <color theme="0" tint="-0.14996795556505021"/>
      </font>
      <fill>
        <patternFill>
          <bgColor theme="0" tint="-0.24994659260841701"/>
        </patternFill>
      </fill>
      <border>
        <left/>
        <right/>
        <top style="thin">
          <color theme="0" tint="-0.14996795556505021"/>
        </top>
        <bottom style="thin">
          <color theme="0" tint="-0.14996795556505021"/>
        </bottom>
        <vertical/>
        <horizontal/>
      </border>
    </dxf>
    <dxf>
      <font>
        <color theme="0" tint="-0.14996795556505021"/>
      </font>
      <fill>
        <patternFill>
          <bgColor theme="0" tint="-0.24994659260841701"/>
        </patternFill>
      </fill>
      <border>
        <left style="thin">
          <color theme="0" tint="-0.14996795556505021"/>
        </left>
        <right/>
        <top style="thin">
          <color theme="0" tint="-0.14996795556505021"/>
        </top>
        <bottom/>
        <vertical/>
        <horizontal/>
      </border>
    </dxf>
    <dxf>
      <font>
        <color theme="0" tint="-0.14996795556505021"/>
      </font>
      <fill>
        <patternFill>
          <bgColor theme="0" tint="-0.24994659260841701"/>
        </patternFill>
      </fill>
      <border>
        <left/>
        <right style="thin">
          <color theme="0" tint="-0.14996795556505021"/>
        </right>
        <top style="thin">
          <color theme="0" tint="-0.14996795556505021"/>
        </top>
        <bottom/>
        <vertical/>
        <horizontal/>
      </border>
    </dxf>
    <dxf>
      <font>
        <color theme="1"/>
      </font>
      <fill>
        <patternFill>
          <bgColor theme="0" tint="-0.2499465926084170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dxf>
    <dxf>
      <font>
        <color theme="1"/>
      </font>
    </dxf>
    <dxf>
      <font>
        <b/>
        <i val="0"/>
        <color theme="1"/>
      </font>
    </dxf>
    <dxf>
      <font>
        <color theme="0"/>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0.14996795556505021"/>
      </font>
    </dxf>
    <dxf>
      <font>
        <color theme="1"/>
      </font>
    </dxf>
    <dxf>
      <font>
        <color theme="0" tint="-4.9989318521683403E-2"/>
      </font>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0"/>
      </font>
      <fill>
        <patternFill>
          <bgColor theme="2"/>
        </patternFill>
      </fill>
      <border>
        <left/>
        <right/>
        <top style="thin">
          <color theme="0"/>
        </top>
        <bottom style="thin">
          <color theme="0"/>
        </bottom>
        <vertical/>
        <horizontal/>
      </border>
    </dxf>
    <dxf>
      <font>
        <color theme="0"/>
      </font>
      <fill>
        <patternFill>
          <bgColor theme="2"/>
        </patternFill>
      </fill>
      <border>
        <left style="thin">
          <color theme="0"/>
        </left>
        <right/>
        <top style="thin">
          <color theme="0"/>
        </top>
        <bottom/>
        <vertical/>
        <horizontal/>
      </border>
    </dxf>
    <dxf>
      <font>
        <color theme="0"/>
      </font>
      <fill>
        <patternFill>
          <bgColor theme="2"/>
        </patternFill>
      </fill>
      <border>
        <left/>
        <right style="thin">
          <color theme="0"/>
        </right>
        <top style="thin">
          <color theme="0"/>
        </top>
        <bottom/>
        <vertical/>
        <horizontal/>
      </border>
    </dxf>
    <dxf>
      <font>
        <color theme="1"/>
      </font>
      <fill>
        <patternFill>
          <bgColor theme="2"/>
        </patternFill>
      </fill>
      <border>
        <left style="thin">
          <color theme="0"/>
        </left>
        <right style="thin">
          <color theme="0"/>
        </right>
        <top style="thin">
          <color theme="0"/>
        </top>
        <bottom style="thin">
          <color theme="0"/>
        </bottom>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right/>
        <top style="thin">
          <color theme="1" tint="0.14996795556505021"/>
        </top>
        <bottom/>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0" tint="-0.24994659260841701"/>
      </font>
    </dxf>
    <dxf>
      <font>
        <color theme="0"/>
      </font>
      <fill>
        <patternFill>
          <bgColor theme="0"/>
        </patternFill>
      </fill>
      <border>
        <left/>
        <right/>
        <top/>
        <bottom/>
      </border>
    </dxf>
    <dxf>
      <font>
        <color theme="0"/>
      </font>
      <fill>
        <patternFill>
          <bgColor theme="0" tint="-0.14996795556505021"/>
        </patternFill>
      </fill>
      <border>
        <left/>
        <right/>
        <top/>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FFC000"/>
      </font>
    </dxf>
    <dxf>
      <font>
        <color rgb="FFEBE600"/>
      </font>
    </dxf>
    <dxf>
      <font>
        <color theme="0"/>
      </font>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24994659260841701"/>
      </font>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24994659260841701"/>
      </font>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24994659260841701"/>
      </font>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24994659260841701"/>
      </font>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patternFill>
      </fill>
    </dxf>
    <dxf>
      <font>
        <color theme="0"/>
      </font>
      <fill>
        <patternFill>
          <bgColor theme="1"/>
        </patternFill>
      </fill>
    </dxf>
    <dxf>
      <font>
        <color theme="0"/>
      </font>
      <fill>
        <patternFill>
          <bgColor rgb="FFFFC000"/>
        </patternFill>
      </fill>
    </dxf>
    <dxf>
      <font>
        <color theme="0"/>
      </font>
      <fill>
        <patternFill>
          <bgColor theme="1"/>
        </patternFill>
      </fill>
    </dxf>
    <dxf>
      <font>
        <color theme="0"/>
      </font>
      <fill>
        <patternFill>
          <bgColor rgb="FFFF6600"/>
        </patternFill>
      </fill>
    </dxf>
    <dxf>
      <font>
        <color theme="0"/>
      </font>
      <fill>
        <patternFill>
          <bgColor theme="1"/>
        </patternFill>
      </fill>
    </dxf>
    <dxf>
      <font>
        <color theme="0"/>
      </font>
      <fill>
        <patternFill>
          <bgColor rgb="FFFF0000"/>
        </patternFill>
      </fill>
    </dxf>
    <dxf>
      <font>
        <color theme="0"/>
      </font>
      <fill>
        <patternFill>
          <bgColor theme="1"/>
        </patternFill>
      </fill>
    </dxf>
    <dxf>
      <font>
        <color theme="0"/>
      </font>
      <fill>
        <patternFill>
          <bgColor rgb="FFFF00FF"/>
        </patternFill>
      </fill>
    </dxf>
    <dxf>
      <font>
        <color theme="0"/>
      </font>
      <fill>
        <patternFill>
          <bgColor theme="1"/>
        </patternFill>
      </fill>
    </dxf>
    <dxf>
      <font>
        <color theme="0"/>
      </font>
      <fill>
        <patternFill>
          <bgColor rgb="FF9900CC"/>
        </patternFill>
      </fill>
    </dxf>
    <dxf>
      <font>
        <color theme="0"/>
      </font>
      <fill>
        <patternFill>
          <bgColor theme="1"/>
        </patternFill>
      </fill>
    </dxf>
    <dxf>
      <font>
        <color theme="0"/>
      </font>
      <fill>
        <patternFill>
          <bgColor rgb="FF00B0F0"/>
        </patternFill>
      </fill>
    </dxf>
    <dxf>
      <font>
        <color theme="0"/>
      </font>
      <fill>
        <patternFill>
          <bgColor theme="1"/>
        </patternFill>
      </fill>
    </dxf>
    <dxf>
      <font>
        <color theme="0"/>
      </font>
      <fill>
        <patternFill>
          <bgColor theme="1"/>
        </patternFill>
      </fill>
    </dxf>
    <dxf>
      <font>
        <color theme="0"/>
      </font>
      <fill>
        <patternFill>
          <bgColor rgb="FF00B050"/>
        </patternFill>
      </fill>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24994659260841701"/>
      </font>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24994659260841701"/>
      </font>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24994659260841701"/>
      </font>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24994659260841701"/>
      </font>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24994659260841701"/>
      </font>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font>
      <fill>
        <patternFill>
          <bgColor theme="1" tint="4.9989318521683403E-2"/>
        </patternFill>
      </fill>
      <border>
        <left/>
        <right/>
        <top style="thin">
          <color theme="1" tint="0.14996795556505021"/>
        </top>
        <bottom/>
        <vertical/>
        <horizontal/>
      </border>
    </dxf>
    <dxf>
      <font>
        <color theme="1" tint="0.14996795556505021"/>
      </font>
      <fill>
        <patternFill>
          <bgColor theme="1" tint="4.9989318521683403E-2"/>
        </patternFill>
      </fill>
      <border>
        <top style="thin">
          <color theme="1" tint="0.14996795556505021"/>
        </top>
        <vertical/>
        <horizontal/>
      </border>
    </dxf>
    <dxf>
      <font>
        <color theme="0"/>
      </font>
      <fill>
        <patternFill>
          <bgColor theme="1" tint="4.9989318521683403E-2"/>
        </patternFill>
      </fill>
      <border>
        <left style="thin">
          <color theme="1" tint="0.14993743705557422"/>
        </left>
        <right style="thin">
          <color theme="1" tint="0.14993743705557422"/>
        </right>
        <top style="thin">
          <color theme="1" tint="0.14993743705557422"/>
        </top>
        <bottom style="thin">
          <color theme="1" tint="0.14993743705557422"/>
        </bottom>
        <vertical/>
        <horizontal/>
      </border>
    </dxf>
    <dxf>
      <font>
        <color theme="1" tint="0.14996795556505021"/>
      </font>
      <fill>
        <patternFill>
          <bgColor theme="1" tint="4.9989318521683403E-2"/>
        </patternFill>
      </fill>
      <border>
        <left style="thin">
          <color theme="1" tint="0.14996795556505021"/>
        </left>
        <right/>
        <top style="thin">
          <color theme="1" tint="0.14996795556505021"/>
        </top>
        <bottom/>
        <vertical/>
        <horizontal/>
      </border>
    </dxf>
    <dxf>
      <font>
        <color theme="1" tint="0.14996795556505021"/>
      </font>
      <fill>
        <patternFill>
          <bgColor theme="1" tint="4.9989318521683403E-2"/>
        </patternFill>
      </fill>
      <border>
        <left/>
        <right style="thin">
          <color theme="1" tint="0.14996795556505021"/>
        </right>
        <top style="thin">
          <color theme="1" tint="0.14996795556505021"/>
        </top>
        <bottom/>
        <vertical/>
        <horizontal/>
      </border>
    </dxf>
    <dxf>
      <font>
        <color theme="0" tint="-0.14996795556505021"/>
      </font>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14996795556505021"/>
      </font>
    </dxf>
    <dxf>
      <font>
        <color theme="0" tint="-0.14996795556505021"/>
      </font>
    </dxf>
    <dxf>
      <font>
        <color theme="0" tint="-0.14996795556505021"/>
      </font>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1499679555650502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1"/>
      </font>
    </dxf>
    <dxf>
      <font>
        <color theme="0"/>
      </font>
      <fill>
        <patternFill>
          <bgColor rgb="FF0070C0"/>
        </patternFill>
      </fill>
    </dxf>
    <dxf>
      <font>
        <color theme="0"/>
      </font>
      <fill>
        <patternFill>
          <bgColor rgb="FF9900CC"/>
        </patternFill>
      </fill>
    </dxf>
    <dxf>
      <font>
        <color theme="0"/>
      </font>
      <fill>
        <patternFill>
          <bgColor rgb="FFFF00FF"/>
        </patternFill>
      </fill>
    </dxf>
    <dxf>
      <font>
        <color theme="0"/>
      </font>
      <fill>
        <patternFill>
          <bgColor rgb="FFFF0000"/>
        </patternFill>
      </fill>
    </dxf>
    <dxf>
      <font>
        <color theme="0"/>
      </font>
      <fill>
        <patternFill>
          <bgColor rgb="FFC00000"/>
        </patternFill>
      </fill>
    </dxf>
    <dxf>
      <font>
        <color theme="0"/>
      </font>
      <fill>
        <patternFill>
          <bgColor rgb="FFFF6600"/>
        </patternFill>
      </fill>
    </dxf>
    <dxf>
      <font>
        <color theme="0"/>
      </font>
      <fill>
        <patternFill>
          <bgColor rgb="FFFFC000"/>
        </patternFill>
      </fill>
    </dxf>
    <dxf>
      <font>
        <color theme="0"/>
      </font>
      <fill>
        <patternFill>
          <bgColor rgb="FF00B050"/>
        </patternFill>
      </fill>
    </dxf>
    <dxf>
      <font>
        <color theme="0"/>
      </font>
      <fill>
        <patternFill>
          <bgColor rgb="FF00B0F0"/>
        </patternFill>
      </fill>
    </dxf>
    <dxf>
      <font>
        <color theme="0"/>
      </font>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FF6600"/>
        </patternFill>
      </fill>
    </dxf>
    <dxf>
      <font>
        <color theme="0"/>
      </font>
      <fill>
        <patternFill>
          <bgColor rgb="FFC00000"/>
        </patternFill>
      </fill>
    </dxf>
    <dxf>
      <font>
        <color theme="0"/>
      </font>
      <fill>
        <patternFill>
          <bgColor rgb="FFFF0000"/>
        </patternFill>
      </fill>
    </dxf>
    <dxf>
      <font>
        <color theme="0"/>
      </font>
      <fill>
        <patternFill>
          <bgColor rgb="FFFF00FF"/>
        </patternFill>
      </fill>
    </dxf>
    <dxf>
      <font>
        <color theme="0"/>
      </font>
      <fill>
        <patternFill>
          <bgColor rgb="FF9900CC"/>
        </patternFill>
      </fill>
    </dxf>
    <dxf>
      <font>
        <color theme="0"/>
      </font>
      <fill>
        <patternFill>
          <bgColor rgb="FF0070C0"/>
        </patternFill>
      </fill>
    </dxf>
    <dxf>
      <font>
        <color theme="0"/>
      </font>
      <fill>
        <patternFill>
          <bgColor rgb="FF00B0F0"/>
        </patternFill>
      </fill>
    </dxf>
    <dxf>
      <font>
        <color theme="0"/>
      </font>
      <fill>
        <patternFill>
          <bgColor rgb="FF00B050"/>
        </patternFill>
      </fill>
    </dxf>
    <dxf>
      <font>
        <color theme="0"/>
      </font>
      <fill>
        <patternFill>
          <bgColor rgb="FFFF6600"/>
        </patternFill>
      </fill>
    </dxf>
    <dxf>
      <font>
        <color theme="0"/>
      </font>
      <fill>
        <patternFill>
          <bgColor rgb="FFC00000"/>
        </patternFill>
      </fill>
    </dxf>
    <dxf>
      <font>
        <color theme="0"/>
      </font>
      <fill>
        <patternFill>
          <bgColor rgb="FFFF0000"/>
        </patternFill>
      </fill>
    </dxf>
    <dxf>
      <font>
        <color theme="0"/>
      </font>
      <fill>
        <patternFill>
          <bgColor rgb="FFFF00FF"/>
        </patternFill>
      </fill>
    </dxf>
    <dxf>
      <font>
        <color theme="0"/>
      </font>
      <fill>
        <patternFill>
          <bgColor rgb="FF9900CC"/>
        </patternFill>
      </fill>
    </dxf>
    <dxf>
      <font>
        <color theme="0"/>
      </font>
      <fill>
        <patternFill>
          <bgColor rgb="FFFFC000"/>
        </patternFill>
      </fill>
    </dxf>
    <dxf>
      <font>
        <color theme="0"/>
      </font>
      <fill>
        <patternFill>
          <bgColor rgb="FF0070C0"/>
        </patternFill>
      </fill>
    </dxf>
    <dxf>
      <font>
        <color theme="0"/>
      </font>
      <fill>
        <patternFill>
          <bgColor rgb="FFFF0000"/>
        </patternFill>
      </fill>
    </dxf>
    <dxf>
      <font>
        <color theme="0"/>
      </font>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FF6600"/>
        </patternFill>
      </fill>
    </dxf>
    <dxf>
      <font>
        <color theme="0"/>
      </font>
      <fill>
        <patternFill>
          <bgColor rgb="FFC00000"/>
        </patternFill>
      </fill>
    </dxf>
    <dxf>
      <font>
        <color theme="0"/>
      </font>
      <fill>
        <patternFill>
          <bgColor rgb="FFFF00FF"/>
        </patternFill>
      </fill>
    </dxf>
    <dxf>
      <font>
        <color theme="0"/>
      </font>
      <fill>
        <patternFill>
          <bgColor rgb="FF9900CC"/>
        </patternFill>
      </fill>
    </dxf>
    <dxf>
      <font>
        <color theme="0"/>
      </font>
      <fill>
        <patternFill>
          <bgColor rgb="FF0070C0"/>
        </patternFill>
      </fill>
    </dxf>
    <dxf>
      <font>
        <color theme="0"/>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0"/>
      </font>
    </dxf>
    <dxf>
      <font>
        <color theme="0"/>
      </font>
    </dxf>
    <dxf>
      <font>
        <color theme="0"/>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24994659260841701"/>
      </font>
    </dxf>
    <dxf>
      <font>
        <color theme="0"/>
      </font>
    </dxf>
    <dxf>
      <font>
        <color theme="0"/>
      </font>
      <fill>
        <patternFill>
          <bgColor theme="0" tint="-0.499984740745262"/>
        </patternFill>
      </fill>
    </dxf>
    <dxf>
      <font>
        <color theme="0" tint="-0.24994659260841701"/>
      </font>
    </dxf>
    <dxf>
      <font>
        <color theme="0"/>
      </font>
    </dxf>
    <dxf>
      <font>
        <color theme="0"/>
      </font>
      <fill>
        <patternFill>
          <bgColor theme="0" tint="-0.499984740745262"/>
        </patternFill>
      </fill>
    </dxf>
    <dxf>
      <font>
        <color theme="0" tint="-0.24994659260841701"/>
      </font>
    </dxf>
    <dxf>
      <font>
        <color theme="0"/>
      </font>
      <fill>
        <patternFill>
          <bgColor theme="0" tint="-0.499984740745262"/>
        </patternFill>
      </fill>
    </dxf>
    <dxf>
      <font>
        <color theme="0" tint="-0.24994659260841701"/>
      </font>
    </dxf>
    <dxf>
      <font>
        <color theme="0"/>
      </font>
    </dxf>
    <dxf>
      <font>
        <color theme="0"/>
      </font>
      <fill>
        <patternFill>
          <bgColor theme="0" tint="-0.499984740745262"/>
        </patternFill>
      </fill>
    </dxf>
    <dxf>
      <font>
        <color theme="0" tint="-0.24994659260841701"/>
      </font>
    </dxf>
    <dxf>
      <font>
        <color theme="0"/>
      </font>
    </dxf>
    <dxf>
      <font>
        <color theme="0"/>
      </font>
      <fill>
        <patternFill>
          <bgColor theme="0" tint="-0.499984740745262"/>
        </patternFill>
      </fill>
    </dxf>
    <dxf>
      <font>
        <color theme="0" tint="-0.24994659260841701"/>
      </font>
    </dxf>
    <dxf>
      <font>
        <color theme="0"/>
      </font>
    </dxf>
    <dxf>
      <font>
        <color theme="0"/>
      </font>
      <fill>
        <patternFill>
          <bgColor theme="0" tint="-0.499984740745262"/>
        </patternFill>
      </fill>
    </dxf>
    <dxf>
      <font>
        <color theme="0" tint="-0.24994659260841701"/>
      </font>
    </dxf>
    <dxf>
      <font>
        <color theme="0"/>
      </font>
      <fill>
        <patternFill>
          <bgColor theme="0" tint="-0.499984740745262"/>
        </patternFill>
      </fill>
    </dxf>
    <dxf>
      <font>
        <color theme="0" tint="-0.24994659260841701"/>
      </font>
    </dxf>
    <dxf>
      <font>
        <color theme="0"/>
      </font>
      <fill>
        <patternFill>
          <bgColor theme="0" tint="-0.499984740745262"/>
        </patternFill>
      </fill>
    </dxf>
    <dxf>
      <font>
        <color theme="0" tint="-0.24994659260841701"/>
      </font>
    </dxf>
    <dxf>
      <font>
        <color theme="0"/>
      </font>
    </dxf>
    <dxf>
      <font>
        <color theme="0"/>
      </font>
      <fill>
        <patternFill>
          <bgColor theme="0" tint="-0.499984740745262"/>
        </patternFill>
      </fill>
    </dxf>
    <dxf>
      <font>
        <color theme="0" tint="-0.24994659260841701"/>
      </font>
    </dxf>
    <dxf>
      <font>
        <color theme="0"/>
      </font>
      <fill>
        <patternFill>
          <bgColor theme="0" tint="-0.499984740745262"/>
        </patternFill>
      </fill>
    </dxf>
    <dxf>
      <font>
        <color theme="0" tint="-0.24994659260841701"/>
      </font>
    </dxf>
    <dxf>
      <font>
        <color theme="0"/>
      </font>
      <fill>
        <patternFill>
          <bgColor theme="0" tint="-0.499984740745262"/>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dxf>
    <dxf>
      <font>
        <color theme="0" tint="-0.24994659260841701"/>
      </font>
    </dxf>
    <dxf>
      <font>
        <color theme="0"/>
      </font>
    </dxf>
    <dxf>
      <font>
        <color theme="0" tint="-0.24994659260841701"/>
      </font>
    </dxf>
    <dxf>
      <font>
        <color theme="0" tint="-0.24994659260841701"/>
      </font>
    </dxf>
    <dxf>
      <font>
        <color theme="0" tint="-0.24994659260841701"/>
      </font>
    </dxf>
    <dxf>
      <font>
        <color theme="0"/>
      </font>
    </dxf>
    <dxf>
      <font>
        <color theme="0" tint="-0.24994659260841701"/>
      </font>
    </dxf>
    <dxf>
      <font>
        <color theme="0"/>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theme="0" tint="-0.499984740745262"/>
        </patternFill>
      </fill>
    </dxf>
    <dxf>
      <font>
        <color theme="0" tint="-0.24994659260841701"/>
      </font>
    </dxf>
    <dxf>
      <font>
        <color theme="0"/>
      </font>
      <fill>
        <patternFill>
          <bgColor theme="0" tint="-0.499984740745262"/>
        </patternFill>
      </fill>
    </dxf>
    <dxf>
      <font>
        <color theme="0" tint="-0.24994659260841701"/>
      </font>
    </dxf>
    <dxf>
      <font>
        <color theme="0" tint="-0.2499465926084170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b/>
        <i val="0"/>
      </font>
    </dxf>
    <dxf>
      <font>
        <b/>
        <i val="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1"/>
        </patternFill>
      </fill>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0"/>
      </font>
      <fill>
        <patternFill>
          <bgColor theme="0" tint="-0.499984740745262"/>
        </patternFill>
      </fill>
    </dxf>
    <dxf>
      <font>
        <color theme="0"/>
      </font>
    </dxf>
    <dxf>
      <font>
        <color theme="1"/>
      </font>
    </dxf>
    <dxf>
      <font>
        <color theme="0"/>
      </font>
      <fill>
        <patternFill>
          <bgColor theme="0" tint="-0.499984740745262"/>
        </patternFill>
      </fill>
    </dxf>
    <dxf>
      <font>
        <color theme="0"/>
      </font>
    </dxf>
    <dxf>
      <font>
        <color theme="1"/>
      </font>
    </dxf>
    <dxf>
      <font>
        <color theme="0"/>
      </font>
      <fill>
        <patternFill>
          <bgColor theme="0" tint="-0.499984740745262"/>
        </patternFill>
      </fill>
    </dxf>
    <dxf>
      <font>
        <color theme="0"/>
      </font>
    </dxf>
    <dxf>
      <font>
        <color theme="1"/>
      </font>
    </dxf>
    <dxf>
      <font>
        <color theme="0"/>
      </font>
      <fill>
        <patternFill>
          <bgColor theme="0" tint="-0.499984740745262"/>
        </patternFill>
      </fill>
    </dxf>
    <dxf>
      <font>
        <color theme="0"/>
      </font>
    </dxf>
    <dxf>
      <font>
        <color theme="0" tint="-0.24994659260841701"/>
      </font>
    </dxf>
    <dxf>
      <font>
        <color theme="0"/>
      </font>
      <fill>
        <patternFill>
          <bgColor theme="0" tint="-0.499984740745262"/>
        </patternFill>
      </fill>
    </dxf>
    <dxf>
      <font>
        <color theme="0" tint="-0.24994659260841701"/>
      </font>
    </dxf>
    <dxf>
      <font>
        <color theme="0"/>
      </font>
      <fill>
        <patternFill>
          <bgColor theme="0" tint="-0.499984740745262"/>
        </patternFill>
      </fill>
    </dxf>
    <dxf>
      <font>
        <color theme="1"/>
      </font>
    </dxf>
    <dxf>
      <font>
        <color theme="0"/>
      </font>
      <fill>
        <patternFill>
          <bgColor theme="0" tint="-0.499984740745262"/>
        </patternFill>
      </fill>
    </dxf>
    <dxf>
      <font>
        <color theme="0"/>
      </font>
    </dxf>
    <dxf>
      <font>
        <color theme="0"/>
      </font>
    </dxf>
    <dxf>
      <font>
        <color theme="0"/>
      </font>
    </dxf>
    <dxf>
      <font>
        <color theme="0"/>
      </font>
    </dxf>
    <dxf>
      <font>
        <color theme="0"/>
      </font>
    </dxf>
    <dxf>
      <font>
        <color theme="0"/>
      </font>
    </dxf>
    <dxf>
      <font>
        <color theme="0"/>
      </font>
      <fill>
        <patternFill>
          <bgColor rgb="FF00B0F0"/>
        </patternFill>
      </fill>
    </dxf>
    <dxf>
      <font>
        <color theme="0"/>
      </font>
      <fill>
        <patternFill>
          <bgColor rgb="FF00B0F0"/>
        </patternFill>
      </fill>
    </dxf>
    <dxf>
      <font>
        <color theme="0"/>
      </font>
      <fill>
        <patternFill>
          <bgColor rgb="FF00B050"/>
        </patternFill>
      </fill>
    </dxf>
    <dxf>
      <font>
        <color theme="0"/>
      </font>
      <fill>
        <patternFill>
          <bgColor rgb="FF00B050"/>
        </patternFill>
      </fill>
    </dxf>
    <dxf>
      <font>
        <color theme="0"/>
      </font>
      <fill>
        <patternFill>
          <bgColor rgb="FFFFC000"/>
        </patternFill>
      </fill>
    </dxf>
    <dxf>
      <font>
        <color theme="0"/>
      </font>
      <fill>
        <patternFill>
          <bgColor rgb="FFFFC000"/>
        </patternFill>
      </fill>
    </dxf>
    <dxf>
      <font>
        <color theme="0"/>
      </font>
      <fill>
        <patternFill>
          <bgColor rgb="FFFF6600"/>
        </patternFill>
      </fill>
    </dxf>
    <dxf>
      <font>
        <color theme="0"/>
      </font>
      <fill>
        <patternFill>
          <bgColor rgb="FFFF6600"/>
        </patternFill>
      </fill>
    </dxf>
    <dxf>
      <font>
        <color theme="0"/>
      </font>
      <fill>
        <patternFill>
          <bgColor rgb="FFC00000"/>
        </patternFill>
      </fill>
    </dxf>
    <dxf>
      <font>
        <color theme="0"/>
      </font>
      <fill>
        <patternFill>
          <bgColor rgb="FFC00000"/>
        </patternFill>
      </fill>
    </dxf>
    <dxf>
      <font>
        <color theme="0"/>
      </font>
      <fill>
        <patternFill>
          <bgColor rgb="FFFF0000"/>
        </patternFill>
      </fill>
    </dxf>
    <dxf>
      <font>
        <color theme="0"/>
      </font>
      <fill>
        <patternFill>
          <bgColor rgb="FFFF0000"/>
        </patternFill>
      </fill>
    </dxf>
    <dxf>
      <font>
        <color theme="0"/>
      </font>
      <fill>
        <patternFill>
          <bgColor rgb="FFFF00FF"/>
        </patternFill>
      </fill>
    </dxf>
    <dxf>
      <font>
        <color theme="0"/>
      </font>
      <fill>
        <patternFill>
          <bgColor rgb="FFFF00FF"/>
        </patternFill>
      </fill>
    </dxf>
    <dxf>
      <font>
        <color theme="0"/>
      </font>
      <fill>
        <patternFill>
          <bgColor rgb="FF0070C0"/>
        </patternFill>
      </fill>
    </dxf>
    <dxf>
      <font>
        <color theme="0"/>
      </font>
      <fill>
        <patternFill>
          <bgColor rgb="FF9900CC"/>
        </patternFill>
      </fill>
    </dxf>
    <dxf>
      <font>
        <color theme="0"/>
      </font>
      <fill>
        <patternFill>
          <bgColor rgb="FF0070C0"/>
        </patternFill>
      </fill>
    </dxf>
    <dxf>
      <font>
        <color theme="0"/>
      </font>
      <fill>
        <patternFill>
          <bgColor rgb="FF9900CC"/>
        </patternFill>
      </fill>
    </dxf>
    <dxf>
      <font>
        <color theme="0"/>
      </font>
    </dxf>
    <dxf>
      <font>
        <color theme="0" tint="-0.14996795556505021"/>
      </font>
    </dxf>
    <dxf>
      <font>
        <color theme="1"/>
      </font>
    </dxf>
    <dxf>
      <font>
        <color theme="0"/>
      </font>
    </dxf>
    <dxf>
      <font>
        <color theme="0"/>
      </font>
    </dxf>
    <dxf>
      <font>
        <color theme="0"/>
      </font>
    </dxf>
    <dxf>
      <font>
        <color theme="0" tint="-0.14996795556505021"/>
      </font>
    </dxf>
    <dxf>
      <font>
        <color theme="0"/>
      </font>
    </dxf>
    <dxf>
      <font>
        <color theme="0" tint="-0.14996795556505021"/>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1"/>
      </font>
    </dxf>
    <dxf>
      <font>
        <color theme="0"/>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1"/>
        </patternFill>
      </fill>
    </dxf>
    <dxf>
      <fill>
        <patternFill>
          <bgColor theme="1"/>
        </patternFill>
      </fill>
    </dxf>
    <dxf>
      <font>
        <color theme="0"/>
      </font>
    </dxf>
    <dxf>
      <font>
        <color theme="0"/>
      </font>
    </dxf>
    <dxf>
      <font>
        <color theme="0" tint="-0.14996795556505021"/>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dxf>
    <dxf>
      <font>
        <color theme="0"/>
      </font>
    </dxf>
    <dxf>
      <fill>
        <patternFill>
          <bgColor theme="1"/>
        </patternFill>
      </fill>
    </dxf>
    <dxf>
      <font>
        <color rgb="FF00B0F0"/>
      </font>
      <fill>
        <patternFill>
          <bgColor theme="1" tint="4.9989318521683403E-2"/>
        </patternFill>
      </fill>
    </dxf>
    <dxf>
      <font>
        <color rgb="FF00B050"/>
      </font>
      <fill>
        <patternFill>
          <bgColor theme="1" tint="4.9989318521683403E-2"/>
        </patternFill>
      </fill>
    </dxf>
    <dxf>
      <font>
        <color rgb="FFFFC000"/>
      </font>
      <fill>
        <patternFill>
          <bgColor theme="1" tint="4.9989318521683403E-2"/>
        </patternFill>
      </fill>
    </dxf>
    <dxf>
      <font>
        <color rgb="FFFF6600"/>
      </font>
      <fill>
        <patternFill>
          <bgColor theme="1" tint="4.9989318521683403E-2"/>
        </patternFill>
      </fill>
    </dxf>
    <dxf>
      <font>
        <color rgb="FFC00000"/>
      </font>
      <fill>
        <patternFill>
          <bgColor theme="1" tint="4.9989318521683403E-2"/>
        </patternFill>
      </fill>
    </dxf>
    <dxf>
      <font>
        <color rgb="FFFF0000"/>
      </font>
      <fill>
        <patternFill>
          <bgColor theme="1" tint="4.9989318521683403E-2"/>
        </patternFill>
      </fill>
    </dxf>
    <dxf>
      <font>
        <color rgb="FFFF00FF"/>
      </font>
      <fill>
        <patternFill>
          <bgColor theme="1" tint="4.9989318521683403E-2"/>
        </patternFill>
      </fill>
    </dxf>
    <dxf>
      <font>
        <color rgb="FF9900CC"/>
      </font>
      <fill>
        <patternFill>
          <bgColor theme="1" tint="4.9989318521683403E-2"/>
        </patternFill>
      </fill>
    </dxf>
    <dxf>
      <font>
        <color rgb="FF0070C0"/>
      </font>
      <fill>
        <patternFill>
          <bgColor theme="1" tint="4.9989318521683403E-2"/>
        </patternFill>
      </fill>
    </dxf>
    <dxf>
      <font>
        <color rgb="FF0070C0"/>
      </font>
      <fill>
        <patternFill>
          <bgColor theme="1" tint="4.9989318521683403E-2"/>
        </patternFill>
      </fill>
    </dxf>
    <dxf>
      <font>
        <color rgb="FF9900CC"/>
      </font>
      <fill>
        <patternFill>
          <bgColor theme="1" tint="4.9989318521683403E-2"/>
        </patternFill>
      </fill>
    </dxf>
    <dxf>
      <font>
        <color rgb="FFFF00FF"/>
      </font>
      <fill>
        <patternFill>
          <bgColor theme="1" tint="4.9989318521683403E-2"/>
        </patternFill>
      </fill>
    </dxf>
    <dxf>
      <font>
        <color rgb="FFC00000"/>
      </font>
      <fill>
        <patternFill>
          <bgColor theme="1" tint="4.9989318521683403E-2"/>
        </patternFill>
      </fill>
    </dxf>
    <dxf>
      <font>
        <color rgb="FFFF6600"/>
      </font>
      <fill>
        <patternFill>
          <bgColor theme="1" tint="4.9989318521683403E-2"/>
        </patternFill>
      </fill>
    </dxf>
    <dxf>
      <font>
        <color rgb="FFFFC000"/>
      </font>
      <fill>
        <patternFill>
          <bgColor theme="1" tint="4.9989318521683403E-2"/>
        </patternFill>
      </fill>
    </dxf>
    <dxf>
      <font>
        <color rgb="FFFFC000"/>
      </font>
      <fill>
        <patternFill>
          <bgColor theme="1" tint="4.9989318521683403E-2"/>
        </patternFill>
      </fill>
    </dxf>
    <dxf>
      <font>
        <color rgb="FF00B050"/>
      </font>
      <fill>
        <patternFill>
          <bgColor theme="1" tint="4.9989318521683403E-2"/>
        </patternFill>
      </fill>
    </dxf>
    <dxf>
      <font>
        <color rgb="FFFF0000"/>
      </font>
      <fill>
        <patternFill>
          <bgColor theme="1" tint="4.9989318521683403E-2"/>
        </patternFill>
      </fill>
    </dxf>
    <dxf>
      <font>
        <color rgb="FF00B0F0"/>
      </font>
      <fill>
        <patternFill patternType="solid">
          <bgColor theme="1" tint="4.9989318521683403E-2"/>
        </patternFill>
      </fill>
    </dxf>
    <dxf>
      <font>
        <color theme="0"/>
      </font>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FF6600"/>
        </patternFill>
      </fill>
    </dxf>
    <dxf>
      <font>
        <color theme="0"/>
      </font>
      <fill>
        <patternFill>
          <bgColor rgb="FFC00000"/>
        </patternFill>
      </fill>
    </dxf>
    <dxf>
      <font>
        <color theme="0"/>
      </font>
      <fill>
        <patternFill>
          <bgColor rgb="FFFF0000"/>
        </patternFill>
      </fill>
    </dxf>
    <dxf>
      <font>
        <color theme="0"/>
      </font>
      <fill>
        <patternFill>
          <bgColor rgb="FFFF00FF"/>
        </patternFill>
      </fill>
    </dxf>
    <dxf>
      <font>
        <color theme="0"/>
      </font>
      <fill>
        <patternFill>
          <bgColor rgb="FF9900CC"/>
        </patternFill>
      </fill>
    </dxf>
    <dxf>
      <font>
        <color theme="0"/>
      </font>
      <fill>
        <patternFill>
          <bgColor rgb="FF0070C0"/>
        </patternFill>
      </fill>
    </dxf>
    <dxf>
      <font>
        <color theme="0"/>
      </font>
      <fill>
        <patternFill>
          <bgColor rgb="FF0070C0"/>
        </patternFill>
      </fill>
    </dxf>
    <dxf>
      <font>
        <color theme="0"/>
      </font>
      <fill>
        <patternFill>
          <bgColor rgb="FF9900CC"/>
        </patternFill>
      </fill>
    </dxf>
    <dxf>
      <font>
        <color theme="0"/>
      </font>
      <fill>
        <patternFill>
          <bgColor rgb="FFFF00FF"/>
        </patternFill>
      </fill>
    </dxf>
    <dxf>
      <font>
        <color theme="0"/>
      </font>
      <fill>
        <patternFill>
          <bgColor rgb="FFFF0000"/>
        </patternFill>
      </fill>
    </dxf>
    <dxf>
      <font>
        <color theme="0"/>
      </font>
      <fill>
        <patternFill>
          <bgColor rgb="FFC00000"/>
        </patternFill>
      </fill>
    </dxf>
    <dxf>
      <font>
        <color theme="0"/>
      </font>
      <fill>
        <patternFill>
          <bgColor rgb="FFFF6600"/>
        </patternFill>
      </fill>
    </dxf>
    <dxf>
      <font>
        <color theme="0"/>
      </font>
      <fill>
        <patternFill>
          <bgColor rgb="FFFFC000"/>
        </patternFill>
      </fill>
    </dxf>
    <dxf>
      <font>
        <color theme="0"/>
      </font>
      <fill>
        <patternFill>
          <bgColor rgb="FF00B050"/>
        </patternFill>
      </fill>
    </dxf>
    <dxf>
      <font>
        <color theme="0"/>
      </font>
      <fill>
        <patternFill>
          <bgColor rgb="FF00B0F0"/>
        </patternFill>
      </fill>
    </dxf>
    <dxf>
      <font>
        <color theme="0"/>
      </font>
    </dxf>
    <dxf>
      <font>
        <color theme="0" tint="-0.14996795556505021"/>
      </font>
    </dxf>
    <dxf>
      <font>
        <color theme="0"/>
      </font>
      <fill>
        <patternFill>
          <bgColor theme="1"/>
        </patternFill>
      </fill>
    </dxf>
    <dxf>
      <font>
        <color theme="1"/>
      </font>
    </dxf>
    <dxf>
      <font>
        <color theme="0"/>
      </font>
      <fill>
        <patternFill>
          <bgColor theme="1"/>
        </patternFill>
      </fill>
    </dxf>
    <dxf>
      <font>
        <color theme="1"/>
      </font>
      <fill>
        <patternFill patternType="none">
          <bgColor auto="1"/>
        </patternFill>
      </fill>
    </dxf>
    <dxf>
      <font>
        <color theme="0"/>
      </font>
      <fill>
        <patternFill>
          <bgColor theme="1"/>
        </patternFill>
      </fill>
    </dxf>
    <dxf>
      <font>
        <color theme="1"/>
      </font>
    </dxf>
    <dxf>
      <font>
        <color rgb="FF0070C0"/>
      </font>
    </dxf>
    <dxf>
      <font>
        <color rgb="FF9900CC"/>
      </font>
    </dxf>
    <dxf>
      <font>
        <color rgb="FFFF00FF"/>
      </font>
    </dxf>
    <dxf>
      <font>
        <color rgb="FFFF0000"/>
      </font>
    </dxf>
    <dxf>
      <font>
        <color rgb="FFC00000"/>
      </font>
    </dxf>
    <dxf>
      <font>
        <color rgb="FFFF6600"/>
      </font>
    </dxf>
    <dxf>
      <font>
        <color rgb="FFFFC000"/>
      </font>
    </dxf>
    <dxf>
      <font>
        <color rgb="FF00B050"/>
      </font>
    </dxf>
    <dxf>
      <font>
        <color rgb="FF00B0F0"/>
      </font>
    </dxf>
    <dxf>
      <font>
        <color rgb="FF0070C0"/>
      </font>
    </dxf>
    <dxf>
      <font>
        <color rgb="FF9900CC"/>
      </font>
    </dxf>
    <dxf>
      <font>
        <color rgb="FFFF00FF"/>
      </font>
    </dxf>
    <dxf>
      <font>
        <color rgb="FFFF0000"/>
      </font>
    </dxf>
    <dxf>
      <font>
        <color rgb="FFC00000"/>
      </font>
    </dxf>
    <dxf>
      <font>
        <color rgb="FFFF6600"/>
      </font>
    </dxf>
    <dxf>
      <font>
        <color rgb="FFFFC000"/>
      </font>
    </dxf>
    <dxf>
      <font>
        <color rgb="FF00B050"/>
      </font>
    </dxf>
    <dxf>
      <font>
        <color rgb="FF00B0F0"/>
      </font>
    </dxf>
    <dxf>
      <font>
        <color rgb="FF0070C0"/>
      </font>
    </dxf>
    <dxf>
      <font>
        <color rgb="FF9900CC"/>
      </font>
    </dxf>
    <dxf>
      <font>
        <color rgb="FFFF00FF"/>
      </font>
    </dxf>
    <dxf>
      <font>
        <color rgb="FFFF0000"/>
      </font>
    </dxf>
    <dxf>
      <font>
        <color rgb="FFC00000"/>
      </font>
    </dxf>
    <dxf>
      <font>
        <color rgb="FFFF6600"/>
      </font>
    </dxf>
    <dxf>
      <font>
        <color rgb="FFFFC000"/>
      </font>
    </dxf>
    <dxf>
      <font>
        <color rgb="FF00B050"/>
      </font>
    </dxf>
    <dxf>
      <font>
        <color rgb="FF00B0F0"/>
      </font>
    </dxf>
    <dxf>
      <font>
        <color rgb="FF0070C0"/>
      </font>
    </dxf>
    <dxf>
      <font>
        <color rgb="FF9900CC"/>
      </font>
    </dxf>
    <dxf>
      <font>
        <color rgb="FFFF00FF"/>
      </font>
    </dxf>
    <dxf>
      <font>
        <color rgb="FFFF0000"/>
      </font>
    </dxf>
    <dxf>
      <font>
        <color rgb="FFC00000"/>
      </font>
    </dxf>
    <dxf>
      <font>
        <color rgb="FFFF6600"/>
      </font>
    </dxf>
    <dxf>
      <font>
        <color rgb="FFFFC000"/>
      </font>
    </dxf>
    <dxf>
      <font>
        <color rgb="FF00B050"/>
      </font>
    </dxf>
    <dxf>
      <font>
        <color rgb="FF00B0F0"/>
      </font>
    </dxf>
    <dxf>
      <font>
        <color theme="0"/>
      </font>
    </dxf>
    <dxf>
      <font>
        <color theme="0"/>
      </font>
    </dxf>
    <dxf>
      <font>
        <color theme="1"/>
      </font>
    </dxf>
    <dxf>
      <font>
        <color theme="1"/>
      </font>
    </dxf>
    <dxf>
      <font>
        <color theme="0"/>
      </font>
    </dxf>
    <dxf>
      <font>
        <color theme="0" tint="-0.499984740745262"/>
      </font>
    </dxf>
    <dxf>
      <font>
        <color theme="0" tint="-0.499984740745262"/>
      </font>
    </dxf>
    <dxf>
      <font>
        <color theme="0"/>
      </font>
    </dxf>
    <dxf>
      <font>
        <color theme="0"/>
      </font>
    </dxf>
    <dxf>
      <fill>
        <patternFill>
          <bgColor rgb="FFEAEAEA"/>
        </patternFill>
      </fill>
    </dxf>
    <dxf>
      <fill>
        <patternFill>
          <bgColor rgb="FFEAEAEA"/>
        </patternFill>
      </fill>
    </dxf>
    <dxf>
      <fill>
        <patternFill>
          <bgColor rgb="FFEAEAEA"/>
        </patternFill>
      </fill>
    </dxf>
    <dxf>
      <fill>
        <patternFill>
          <bgColor rgb="FFEAEAEA"/>
        </patternFill>
      </fill>
    </dxf>
    <dxf>
      <fill>
        <patternFill>
          <bgColor rgb="FFEAEAEA"/>
        </patternFill>
      </fill>
    </dxf>
    <dxf>
      <fill>
        <patternFill>
          <bgColor rgb="FFEAEAEA"/>
        </patternFill>
      </fill>
    </dxf>
    <dxf>
      <fill>
        <patternFill>
          <bgColor rgb="FFEAEAEA"/>
        </patternFill>
      </fill>
    </dxf>
    <dxf>
      <border>
        <left/>
        <right/>
        <vertical/>
        <horizontal/>
      </border>
    </dxf>
    <dxf>
      <border>
        <left style="thin">
          <color theme="0"/>
        </left>
        <right style="thin">
          <color theme="0"/>
        </right>
        <vertical/>
        <horizontal/>
      </border>
    </dxf>
    <dxf>
      <fill>
        <patternFill>
          <bgColor rgb="FFEAEAEA"/>
        </patternFill>
      </fill>
    </dxf>
    <dxf>
      <fill>
        <patternFill>
          <bgColor rgb="FFEAEAEA"/>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1"/>
      </font>
    </dxf>
    <dxf>
      <font>
        <color theme="0"/>
      </font>
    </dxf>
    <dxf>
      <font>
        <color theme="0"/>
      </font>
    </dxf>
    <dxf>
      <font>
        <color theme="0"/>
      </font>
    </dxf>
    <dxf>
      <font>
        <color theme="0"/>
      </font>
    </dxf>
    <dxf>
      <font>
        <color theme="0"/>
      </font>
    </dxf>
    <dxf>
      <font>
        <color theme="0"/>
      </font>
    </dxf>
    <dxf>
      <fill>
        <patternFill>
          <bgColor rgb="FFEAEAEA"/>
        </patternFill>
      </fill>
    </dxf>
    <dxf>
      <fill>
        <patternFill>
          <bgColor rgb="FFEAEAEA"/>
        </patternFill>
      </fill>
    </dxf>
    <dxf>
      <fill>
        <patternFill>
          <bgColor rgb="FFEAEAEA"/>
        </patternFill>
      </fill>
    </dxf>
    <dxf>
      <fill>
        <patternFill>
          <bgColor rgb="FFEAEAEA"/>
        </patternFill>
      </fill>
    </dxf>
    <dxf>
      <fill>
        <patternFill>
          <bgColor rgb="FFEAEAEA"/>
        </patternFill>
      </fill>
    </dxf>
    <dxf>
      <fill>
        <patternFill>
          <bgColor rgb="FFEAEAEA"/>
        </patternFill>
      </fill>
    </dxf>
    <dxf>
      <fill>
        <patternFill>
          <bgColor rgb="FFEAEAEA"/>
        </patternFill>
      </fill>
    </dxf>
    <dxf>
      <border>
        <left/>
        <right/>
        <vertical/>
        <horizontal/>
      </border>
    </dxf>
    <dxf>
      <border>
        <left/>
        <right/>
        <vertical/>
        <horizontal/>
      </border>
    </dxf>
    <dxf>
      <border>
        <left style="thin">
          <color theme="0"/>
        </left>
        <right style="thin">
          <color theme="0"/>
        </right>
        <vertical/>
        <horizontal/>
      </border>
    </dxf>
    <dxf>
      <fill>
        <patternFill>
          <bgColor rgb="FFEAEAEA"/>
        </patternFill>
      </fill>
    </dxf>
    <dxf>
      <fill>
        <patternFill>
          <bgColor rgb="FFEAEAEA"/>
        </patternFill>
      </fill>
    </dxf>
    <dxf>
      <font>
        <color theme="0"/>
      </font>
    </dxf>
    <dxf>
      <font>
        <color theme="0"/>
      </font>
    </dxf>
    <dxf>
      <font>
        <color theme="0"/>
      </font>
    </dxf>
    <dxf>
      <font>
        <color theme="0"/>
      </font>
    </dxf>
    <dxf>
      <font>
        <color theme="0"/>
      </font>
    </dxf>
    <dxf>
      <font>
        <color theme="0"/>
      </font>
    </dxf>
    <dxf>
      <font>
        <color theme="0"/>
      </font>
      <fill>
        <patternFill patternType="solid">
          <bgColor theme="0" tint="-0.14996795556505021"/>
        </patternFill>
      </fill>
      <border>
        <left style="thin">
          <color theme="0"/>
        </left>
        <right style="thin">
          <color theme="0"/>
        </right>
        <top style="thin">
          <color theme="0"/>
        </top>
        <bottom style="thin">
          <color theme="0"/>
        </bottom>
      </border>
    </dxf>
    <dxf>
      <font>
        <color theme="0" tint="-0.24994659260841701"/>
      </font>
    </dxf>
    <dxf>
      <font>
        <color theme="0"/>
      </font>
      <fill>
        <patternFill>
          <bgColor theme="0" tint="-0.34998626667073579"/>
        </patternFill>
      </fill>
    </dxf>
    <dxf>
      <font>
        <color theme="0"/>
      </font>
    </dxf>
    <dxf>
      <font>
        <color theme="0"/>
      </font>
    </dxf>
    <dxf>
      <font>
        <color theme="0"/>
      </font>
    </dxf>
    <dxf>
      <font>
        <color theme="0"/>
      </font>
    </dxf>
    <dxf>
      <border>
        <left style="thin">
          <color theme="0" tint="-0.14996795556505021"/>
        </left>
        <right style="thin">
          <color theme="0" tint="-0.14996795556505021"/>
        </right>
        <bottom style="thin">
          <color theme="0" tint="-0.14996795556505021"/>
        </bottom>
        <vertical/>
        <horizontal/>
      </border>
    </dxf>
    <dxf>
      <border>
        <left style="thin">
          <color theme="0" tint="-0.14996795556505021"/>
        </left>
        <right style="thin">
          <color theme="0" tint="-0.14996795556505021"/>
        </right>
        <top style="thin">
          <color theme="0" tint="-0.14996795556505021"/>
        </top>
        <vertical/>
        <horizontal/>
      </border>
    </dxf>
    <dxf>
      <font>
        <color theme="0"/>
      </font>
      <fill>
        <patternFill>
          <bgColor theme="1"/>
        </patternFill>
      </fill>
    </dxf>
    <dxf>
      <font>
        <b/>
        <i val="0"/>
      </font>
    </dxf>
    <dxf>
      <font>
        <b/>
        <i val="0"/>
      </font>
    </dxf>
    <dxf>
      <border>
        <left style="thin">
          <color theme="0" tint="-0.14996795556505021"/>
        </left>
        <right style="thin">
          <color theme="0" tint="-0.14996795556505021"/>
        </right>
        <top style="thin">
          <color theme="0" tint="-0.14996795556505021"/>
        </top>
        <bottom style="thin">
          <color theme="0" tint="-0.14996795556505021"/>
        </bottom>
        <vertical/>
        <horizontal/>
      </border>
    </dxf>
    <dxf>
      <border>
        <left style="thin">
          <color theme="0" tint="-4.9989318521683403E-2"/>
        </left>
        <right style="thin">
          <color theme="0" tint="-4.9989318521683403E-2"/>
        </right>
        <bottom style="thin">
          <color theme="0" tint="-4.9989318521683403E-2"/>
        </bottom>
        <vertical/>
        <horizontal/>
      </border>
    </dxf>
    <dxf>
      <border>
        <right style="thin">
          <color theme="0" tint="-4.9989318521683403E-2"/>
        </right>
        <top style="thin">
          <color theme="0" tint="-4.9989318521683403E-2"/>
        </top>
        <bottom style="thin">
          <color theme="0" tint="-4.9989318521683403E-2"/>
        </bottom>
        <vertical/>
        <horizontal/>
      </border>
    </dxf>
    <dxf>
      <border>
        <right style="thin">
          <color theme="0" tint="-4.9989318521683403E-2"/>
        </right>
        <top style="thin">
          <color theme="0" tint="-4.9989318521683403E-2"/>
        </top>
        <bottom style="thin">
          <color theme="0" tint="-4.9989318521683403E-2"/>
        </bottom>
        <vertical/>
        <horizontal/>
      </border>
    </dxf>
    <dxf>
      <font>
        <color theme="1"/>
      </font>
    </dxf>
    <dxf>
      <font>
        <color theme="1"/>
      </font>
    </dxf>
    <dxf>
      <font>
        <color theme="0"/>
      </font>
      <fill>
        <patternFill>
          <bgColor theme="1"/>
        </patternFill>
      </fill>
    </dxf>
    <dxf>
      <font>
        <color theme="0"/>
      </font>
      <fill>
        <patternFill>
          <bgColor theme="0" tint="-0.34998626667073579"/>
        </patternFill>
      </fill>
      <border>
        <left style="thin">
          <color theme="1"/>
        </left>
        <right style="thin">
          <color theme="1"/>
        </right>
        <top style="thin">
          <color theme="1"/>
        </top>
        <bottom style="thin">
          <color theme="1"/>
        </bottom>
      </border>
    </dxf>
    <dxf>
      <font>
        <color theme="0"/>
      </font>
      <fill>
        <patternFill>
          <bgColor theme="0" tint="-0.34998626667073579"/>
        </patternFill>
      </fill>
      <border>
        <left/>
        <right/>
        <top/>
        <bottom/>
        <vertical/>
        <horizontal/>
      </border>
    </dxf>
    <dxf>
      <font>
        <color theme="0"/>
      </font>
    </dxf>
    <dxf>
      <font>
        <color theme="0" tint="-0.24994659260841701"/>
      </font>
      <fill>
        <patternFill>
          <bgColor theme="0"/>
        </patternFill>
      </fill>
      <border>
        <left/>
        <right/>
        <top/>
        <bottom/>
      </border>
    </dxf>
    <dxf>
      <font>
        <color theme="0"/>
      </font>
    </dxf>
    <dxf>
      <font>
        <color theme="0" tint="-0.24994659260841701"/>
      </font>
      <fill>
        <patternFill>
          <bgColor theme="0"/>
        </patternFill>
      </fill>
      <border>
        <left/>
        <right/>
        <top/>
        <bottom/>
      </border>
    </dxf>
    <dxf>
      <border>
        <left style="thin">
          <color theme="0" tint="-4.9989318521683403E-2"/>
        </left>
        <right style="thin">
          <color theme="0" tint="-4.9989318521683403E-2"/>
        </right>
        <top style="thin">
          <color theme="0" tint="-4.9989318521683403E-2"/>
        </top>
        <bottom style="thin">
          <color theme="0" tint="-4.9989318521683403E-2"/>
        </bottom>
        <vertical/>
        <horizontal/>
      </border>
    </dxf>
    <dxf>
      <border>
        <left style="thin">
          <color theme="0" tint="-4.9989318521683403E-2"/>
        </left>
        <right style="thin">
          <color theme="0" tint="-4.9989318521683403E-2"/>
        </right>
        <top style="thin">
          <color theme="0" tint="-4.9989318521683403E-2"/>
        </top>
        <bottom style="thin">
          <color theme="0" tint="-4.9989318521683403E-2"/>
        </bottom>
        <vertical/>
        <horizontal/>
      </border>
    </dxf>
    <dxf>
      <border>
        <left style="thin">
          <color theme="0" tint="-4.9989318521683403E-2"/>
        </left>
        <right style="thin">
          <color theme="0" tint="-4.9989318521683403E-2"/>
        </right>
        <top style="thin">
          <color theme="0" tint="-4.9989318521683403E-2"/>
        </top>
        <bottom style="thin">
          <color theme="0" tint="-4.9989318521683403E-2"/>
        </bottom>
        <vertical/>
        <horizontal/>
      </border>
    </dxf>
    <dxf>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1" tint="0.14996795556505021"/>
      </font>
    </dxf>
    <dxf>
      <font>
        <color theme="0"/>
      </font>
    </dxf>
    <dxf>
      <font>
        <color theme="1" tint="0.14996795556505021"/>
      </font>
    </dxf>
    <dxf>
      <font>
        <color theme="0"/>
      </font>
    </dxf>
    <dxf>
      <font>
        <color theme="1" tint="0.14996795556505021"/>
      </font>
    </dxf>
    <dxf>
      <font>
        <color theme="0"/>
      </font>
    </dxf>
    <dxf>
      <font>
        <color theme="1" tint="0.14996795556505021"/>
      </font>
    </dxf>
    <dxf>
      <font>
        <color theme="0"/>
      </font>
    </dxf>
    <dxf>
      <fill>
        <patternFill>
          <bgColor theme="0" tint="-0.34998626667073579"/>
        </patternFill>
      </fill>
    </dxf>
    <dxf>
      <fill>
        <patternFill>
          <bgColor theme="0" tint="-0.34998626667073579"/>
        </patternFill>
      </fill>
    </dxf>
    <dxf>
      <font>
        <color theme="0"/>
      </font>
      <fill>
        <patternFill>
          <bgColor theme="0" tint="-0.34998626667073579"/>
        </patternFill>
      </fill>
    </dxf>
    <dxf>
      <font>
        <color theme="0"/>
      </font>
      <fill>
        <patternFill>
          <bgColor theme="0" tint="-0.34998626667073579"/>
        </patternFill>
      </fill>
    </dxf>
    <dxf>
      <font>
        <color theme="0"/>
      </font>
      <fill>
        <patternFill>
          <bgColor theme="1"/>
        </patternFill>
      </fill>
    </dxf>
    <dxf>
      <font>
        <color theme="0"/>
      </font>
      <fill>
        <patternFill>
          <bgColor theme="0" tint="-0.34998626667073579"/>
        </patternFill>
      </fill>
      <border>
        <left style="thin">
          <color theme="1"/>
        </left>
        <right style="thin">
          <color theme="1"/>
        </right>
        <top style="thin">
          <color theme="1"/>
        </top>
        <bottom style="thin">
          <color theme="1"/>
        </bottom>
      </border>
    </dxf>
    <dxf>
      <font>
        <color theme="0"/>
      </font>
      <fill>
        <patternFill>
          <bgColor theme="0" tint="-0.34998626667073579"/>
        </patternFill>
      </fill>
      <border>
        <left/>
        <right/>
        <top/>
        <bottom/>
        <vertical/>
        <horizontal/>
      </border>
    </dxf>
    <dxf>
      <font>
        <color theme="0"/>
      </font>
    </dxf>
    <dxf>
      <border>
        <left style="thin">
          <color theme="0" tint="-4.9989318521683403E-2"/>
        </left>
        <right style="thin">
          <color theme="0" tint="-4.9989318521683403E-2"/>
        </right>
        <top style="thin">
          <color theme="0" tint="-4.9989318521683403E-2"/>
        </top>
        <bottom style="thin">
          <color theme="0" tint="-4.9989318521683403E-2"/>
        </bottom>
        <vertical/>
        <horizontal/>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b/>
        <i val="0"/>
        <color theme="1"/>
      </font>
    </dxf>
    <dxf>
      <font>
        <b/>
        <i val="0"/>
        <color theme="0" tint="-0.34998626667073579"/>
      </font>
    </dxf>
    <dxf>
      <font>
        <color theme="1"/>
      </font>
    </dxf>
    <dxf>
      <font>
        <color theme="0"/>
      </font>
      <fill>
        <patternFill>
          <bgColor theme="0" tint="-0.34998626667073579"/>
        </patternFill>
      </fill>
    </dxf>
    <dxf>
      <font>
        <color theme="0"/>
      </font>
      <fill>
        <patternFill>
          <bgColor theme="1"/>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dxf>
    <dxf>
      <font>
        <color theme="0"/>
      </font>
    </dxf>
    <dxf>
      <font>
        <color theme="0"/>
      </font>
    </dxf>
    <dxf>
      <font>
        <color theme="0" tint="-0.24994659260841701"/>
      </font>
      <fill>
        <patternFill>
          <bgColor theme="0"/>
        </patternFill>
      </fill>
      <border>
        <left/>
        <right/>
        <top/>
        <bottom/>
      </border>
    </dxf>
    <dxf>
      <font>
        <color theme="0"/>
      </font>
      <fill>
        <patternFill>
          <bgColor theme="0" tint="-0.34998626667073579"/>
        </patternFill>
      </fill>
    </dxf>
    <dxf>
      <font>
        <b/>
        <i val="0"/>
        <color theme="0" tint="-0.34998626667073579"/>
      </font>
    </dxf>
    <dxf>
      <font>
        <color theme="0"/>
      </font>
      <fill>
        <patternFill>
          <bgColor theme="1"/>
        </patternFill>
      </fill>
    </dxf>
    <dxf>
      <font>
        <b/>
        <i val="0"/>
        <color theme="1"/>
      </font>
    </dxf>
    <dxf>
      <font>
        <color theme="0"/>
      </font>
    </dxf>
    <dxf>
      <font>
        <color theme="0"/>
      </font>
    </dxf>
    <dxf>
      <font>
        <color theme="0"/>
      </font>
      <fill>
        <patternFill>
          <bgColor theme="0" tint="-0.34998626667073579"/>
        </patternFill>
      </fill>
    </dxf>
    <dxf>
      <font>
        <b/>
        <i val="0"/>
        <color theme="0" tint="-0.34998626667073579"/>
      </font>
    </dxf>
    <dxf>
      <font>
        <color theme="0"/>
      </font>
      <fill>
        <patternFill>
          <bgColor theme="1"/>
        </patternFill>
      </fill>
    </dxf>
    <dxf>
      <font>
        <b/>
        <i val="0"/>
        <color theme="1"/>
      </font>
    </dxf>
    <dxf>
      <font>
        <color theme="0"/>
      </font>
    </dxf>
    <dxf>
      <font>
        <color theme="0"/>
      </font>
    </dxf>
    <dxf>
      <font>
        <color theme="1" tint="0.14996795556505021"/>
      </font>
    </dxf>
    <dxf>
      <font>
        <color theme="0"/>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24994659260841701"/>
      </font>
    </dxf>
    <dxf>
      <font>
        <color theme="0"/>
      </font>
      <fill>
        <patternFill>
          <bgColor theme="0" tint="-0.34998626667073579"/>
        </patternFill>
      </fill>
    </dxf>
    <dxf>
      <font>
        <color theme="0" tint="-0.24994659260841701"/>
      </font>
    </dxf>
    <dxf>
      <font>
        <color theme="0"/>
      </font>
    </dxf>
    <dxf>
      <font>
        <color theme="0"/>
      </font>
    </dxf>
    <dxf>
      <font>
        <color theme="0"/>
      </font>
    </dxf>
    <dxf>
      <font>
        <color theme="0"/>
      </font>
    </dxf>
    <dxf>
      <font>
        <color theme="0"/>
      </font>
      <fill>
        <patternFill>
          <bgColor theme="1"/>
        </patternFill>
      </fill>
    </dxf>
    <dxf>
      <font>
        <color theme="0"/>
      </font>
    </dxf>
    <dxf>
      <font>
        <color theme="0"/>
      </font>
    </dxf>
    <dxf>
      <font>
        <color theme="0"/>
      </font>
    </dxf>
    <dxf>
      <font>
        <color theme="0"/>
      </font>
      <fill>
        <patternFill>
          <bgColor theme="1"/>
        </patternFill>
      </fill>
    </dxf>
    <dxf>
      <font>
        <color theme="0"/>
      </font>
      <fill>
        <patternFill>
          <bgColor theme="1"/>
        </patternFill>
      </fill>
    </dxf>
    <dxf>
      <font>
        <color theme="0"/>
      </font>
    </dxf>
    <dxf>
      <font>
        <color theme="0"/>
      </font>
      <fill>
        <patternFill>
          <bgColor theme="1"/>
        </patternFill>
      </fill>
    </dxf>
    <dxf>
      <font>
        <color theme="0"/>
      </font>
    </dxf>
    <dxf>
      <font>
        <color theme="0"/>
      </font>
    </dxf>
    <dxf>
      <font>
        <color theme="0"/>
      </font>
    </dxf>
    <dxf>
      <font>
        <color theme="0"/>
      </font>
    </dxf>
    <dxf>
      <font>
        <color theme="0"/>
      </font>
      <fill>
        <patternFill>
          <bgColor theme="1"/>
        </patternFill>
      </fill>
    </dxf>
    <dxf>
      <font>
        <color theme="0" tint="-0.14996795556505021"/>
      </font>
    </dxf>
    <dxf>
      <font>
        <color theme="0"/>
      </font>
    </dxf>
    <dxf>
      <font>
        <color theme="0" tint="-0.14996795556505021"/>
      </font>
    </dxf>
    <dxf>
      <font>
        <color theme="1"/>
      </font>
    </dxf>
    <dxf>
      <font>
        <color theme="0"/>
      </font>
      <fill>
        <patternFill patternType="solid">
          <bgColor theme="0" tint="-0.14996795556505021"/>
        </patternFill>
      </fill>
      <border>
        <left style="thin">
          <color theme="0"/>
        </left>
        <right style="thin">
          <color theme="0"/>
        </right>
        <top style="thin">
          <color theme="0"/>
        </top>
        <bottom style="thin">
          <color theme="0"/>
        </bottom>
      </border>
    </dxf>
    <dxf>
      <font>
        <color theme="1"/>
      </font>
    </dxf>
    <dxf>
      <font>
        <color theme="1"/>
      </font>
    </dxf>
    <dxf>
      <font>
        <color theme="0"/>
      </font>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FF6600"/>
        </patternFill>
      </fill>
    </dxf>
    <dxf>
      <font>
        <color theme="0"/>
      </font>
      <fill>
        <patternFill>
          <bgColor rgb="FFC00000"/>
        </patternFill>
      </fill>
    </dxf>
    <dxf>
      <font>
        <color theme="0"/>
      </font>
      <fill>
        <patternFill>
          <bgColor rgb="FFFF0000"/>
        </patternFill>
      </fill>
    </dxf>
    <dxf>
      <font>
        <color theme="0"/>
      </font>
      <fill>
        <patternFill>
          <bgColor rgb="FFFF00FF"/>
        </patternFill>
      </fill>
    </dxf>
    <dxf>
      <font>
        <color theme="0"/>
      </font>
      <fill>
        <patternFill>
          <bgColor rgb="FF9900CC"/>
        </patternFill>
      </fill>
    </dxf>
    <dxf>
      <font>
        <color theme="0"/>
      </font>
      <fill>
        <patternFill>
          <bgColor rgb="FF0070C0"/>
        </patternFill>
      </fill>
    </dxf>
    <dxf>
      <font>
        <color theme="0" tint="-0.34998626667073579"/>
      </font>
    </dxf>
    <dxf>
      <font>
        <color theme="0"/>
      </font>
    </dxf>
    <dxf>
      <font>
        <color theme="1"/>
      </font>
    </dxf>
    <dxf>
      <font>
        <color theme="1"/>
      </font>
    </dxf>
    <dxf>
      <font>
        <color theme="0"/>
      </font>
    </dxf>
    <dxf>
      <font>
        <color theme="0" tint="-0.34998626667073579"/>
      </font>
    </dxf>
    <dxf>
      <font>
        <color theme="0"/>
      </font>
    </dxf>
    <dxf>
      <font>
        <color theme="0"/>
      </font>
      <fill>
        <patternFill>
          <bgColor rgb="FF0070C0"/>
        </patternFill>
      </fill>
    </dxf>
    <dxf>
      <font>
        <color theme="0"/>
      </font>
      <fill>
        <patternFill>
          <bgColor rgb="FF9900CC"/>
        </patternFill>
      </fill>
    </dxf>
    <dxf>
      <font>
        <color theme="0"/>
      </font>
      <fill>
        <patternFill>
          <bgColor rgb="FFFF00FF"/>
        </patternFill>
      </fill>
    </dxf>
    <dxf>
      <font>
        <color theme="0"/>
      </font>
      <fill>
        <patternFill>
          <bgColor rgb="FFFF0000"/>
        </patternFill>
      </fill>
    </dxf>
    <dxf>
      <font>
        <color theme="0"/>
      </font>
      <fill>
        <patternFill>
          <bgColor rgb="FFC00000"/>
        </patternFill>
      </fill>
    </dxf>
    <dxf>
      <font>
        <color theme="0"/>
      </font>
      <fill>
        <patternFill>
          <bgColor rgb="FFFF6600"/>
        </patternFill>
      </fill>
    </dxf>
    <dxf>
      <font>
        <color theme="0"/>
      </font>
      <fill>
        <patternFill>
          <bgColor rgb="FFFFC000"/>
        </patternFill>
      </fill>
    </dxf>
    <dxf>
      <font>
        <color theme="0"/>
      </font>
      <fill>
        <patternFill>
          <bgColor rgb="FF00B050"/>
        </patternFill>
      </fill>
    </dxf>
    <dxf>
      <font>
        <color theme="0"/>
      </font>
      <fill>
        <patternFill>
          <bgColor rgb="FF00B0F0"/>
        </patternFill>
      </fill>
    </dxf>
    <dxf>
      <font>
        <color rgb="FFC00000"/>
      </font>
    </dxf>
    <dxf>
      <font>
        <color rgb="FFFF66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D0CB00"/>
      </font>
    </dxf>
    <dxf>
      <font>
        <color rgb="FFFFC000"/>
      </font>
    </dxf>
    <dxf>
      <font>
        <color rgb="FFC00000"/>
      </font>
    </dxf>
    <dxf>
      <font>
        <color rgb="FFFF66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D0CB00"/>
      </font>
    </dxf>
    <dxf>
      <font>
        <color rgb="FFFFC000"/>
      </font>
    </dxf>
    <dxf>
      <font>
        <color rgb="FFC00000"/>
      </font>
    </dxf>
    <dxf>
      <font>
        <color rgb="FFFF66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D0CB00"/>
      </font>
    </dxf>
    <dxf>
      <font>
        <color rgb="FFFFC000"/>
      </font>
    </dxf>
    <dxf>
      <font>
        <color rgb="FFC00000"/>
      </font>
    </dxf>
    <dxf>
      <font>
        <color rgb="FFFF66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D0CB00"/>
      </font>
    </dxf>
    <dxf>
      <font>
        <color rgb="FFFFC000"/>
      </font>
    </dxf>
    <dxf>
      <font>
        <color theme="0"/>
      </font>
      <fill>
        <patternFill>
          <bgColor theme="1"/>
        </patternFill>
      </fill>
    </dxf>
    <dxf>
      <font>
        <color theme="0"/>
      </font>
      <fill>
        <patternFill>
          <bgColor rgb="FF00B0F0"/>
        </patternFill>
      </fill>
    </dxf>
    <dxf>
      <font>
        <color theme="1"/>
      </font>
      <fill>
        <patternFill>
          <bgColor rgb="FF00B0F0"/>
        </patternFill>
      </fill>
    </dxf>
    <dxf>
      <font>
        <color theme="0" tint="-0.34998626667073579"/>
      </font>
      <fill>
        <patternFill>
          <bgColor rgb="FF00B0F0"/>
        </patternFill>
      </fill>
    </dxf>
    <dxf>
      <font>
        <color theme="0" tint="-0.24994659260841701"/>
      </font>
    </dxf>
    <dxf>
      <font>
        <color theme="0" tint="-0.24994659260841701"/>
      </font>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ont>
        <color theme="0"/>
      </font>
      <fill>
        <patternFill>
          <bgColor rgb="FF6600CC"/>
        </patternFill>
      </fill>
    </dxf>
    <dxf>
      <font>
        <color theme="0"/>
      </font>
      <fill>
        <patternFill>
          <bgColor rgb="FF9900CC"/>
        </patternFill>
      </fill>
    </dxf>
    <dxf>
      <font>
        <color theme="0"/>
      </font>
      <fill>
        <patternFill>
          <bgColor rgb="FFFF00FF"/>
        </patternFill>
      </fill>
    </dxf>
    <dxf>
      <font>
        <color theme="0"/>
      </font>
      <fill>
        <patternFill>
          <bgColor rgb="FFFF0000"/>
        </patternFill>
      </fill>
    </dxf>
    <dxf>
      <font>
        <color theme="0"/>
      </font>
      <fill>
        <patternFill>
          <bgColor rgb="FFC00000"/>
        </patternFill>
      </fill>
    </dxf>
    <dxf>
      <font>
        <color theme="0"/>
      </font>
      <fill>
        <patternFill>
          <bgColor rgb="FFFF6600"/>
        </patternFill>
      </fill>
    </dxf>
    <dxf>
      <font>
        <color theme="0"/>
      </font>
      <fill>
        <patternFill>
          <bgColor rgb="FFFFC000"/>
        </patternFill>
      </fill>
    </dxf>
    <dxf>
      <font>
        <color theme="0"/>
      </font>
      <fill>
        <patternFill>
          <bgColor rgb="FFEBE600"/>
        </patternFill>
      </fill>
    </dxf>
    <dxf>
      <font>
        <color theme="0"/>
      </font>
      <fill>
        <patternFill>
          <bgColor rgb="FF92D050"/>
        </patternFill>
      </fill>
    </dxf>
    <dxf>
      <font>
        <color theme="0"/>
      </font>
      <fill>
        <patternFill>
          <bgColor rgb="FF00B050"/>
        </patternFill>
      </fill>
    </dxf>
    <dxf>
      <font>
        <color theme="0"/>
      </font>
      <fill>
        <patternFill>
          <bgColor rgb="FF00B0F0"/>
        </patternFill>
      </fill>
    </dxf>
    <dxf>
      <font>
        <color theme="0"/>
      </font>
      <fill>
        <patternFill>
          <bgColor rgb="FF0070C0"/>
        </patternFill>
      </fill>
    </dxf>
    <dxf>
      <fill>
        <patternFill>
          <bgColor rgb="FFEEEEEE"/>
        </patternFill>
      </fill>
    </dxf>
    <dxf>
      <font>
        <color theme="0"/>
      </font>
      <fill>
        <patternFill>
          <bgColor theme="1"/>
        </patternFill>
      </fill>
    </dxf>
    <dxf>
      <fill>
        <patternFill>
          <bgColor rgb="FFEEEEEE"/>
        </patternFill>
      </fill>
    </dxf>
    <dxf>
      <font>
        <color theme="0"/>
      </font>
      <fill>
        <patternFill>
          <bgColor theme="1"/>
        </patternFill>
      </fill>
    </dxf>
    <dxf>
      <fill>
        <patternFill>
          <bgColor rgb="FFEEEEEE"/>
        </patternFill>
      </fill>
    </dxf>
    <dxf>
      <fill>
        <patternFill>
          <bgColor rgb="FFEEEEEE"/>
        </patternFill>
      </fill>
    </dxf>
    <dxf>
      <font>
        <color theme="0"/>
      </font>
      <fill>
        <patternFill>
          <bgColor theme="0" tint="-0.24994659260841701"/>
        </patternFill>
      </fill>
    </dxf>
    <dxf>
      <font>
        <color theme="0"/>
      </font>
      <fill>
        <patternFill>
          <bgColor theme="1"/>
        </patternFill>
      </fill>
    </dxf>
    <dxf>
      <font>
        <b val="0"/>
        <i val="0"/>
        <color theme="0"/>
      </font>
      <fill>
        <patternFill>
          <bgColor rgb="FFFF6600"/>
        </patternFill>
      </fill>
    </dxf>
    <dxf>
      <font>
        <color theme="0"/>
      </font>
      <fill>
        <patternFill>
          <bgColor rgb="FFC00000"/>
        </patternFill>
      </fill>
    </dxf>
    <dxf>
      <font>
        <color theme="0"/>
      </font>
      <fill>
        <patternFill>
          <bgColor rgb="FFFF0000"/>
        </patternFill>
      </fill>
    </dxf>
    <dxf>
      <font>
        <color theme="0"/>
      </font>
      <fill>
        <patternFill>
          <bgColor rgb="FFFF00FF"/>
        </patternFill>
      </fill>
    </dxf>
    <dxf>
      <font>
        <color theme="0"/>
      </font>
      <fill>
        <patternFill>
          <bgColor rgb="FF9900CC"/>
        </patternFill>
      </fill>
    </dxf>
    <dxf>
      <font>
        <color theme="0"/>
      </font>
      <fill>
        <patternFill>
          <bgColor rgb="FF6600CC"/>
        </patternFill>
      </fill>
    </dxf>
    <dxf>
      <font>
        <color theme="0"/>
      </font>
      <fill>
        <patternFill>
          <bgColor rgb="FF0070C0"/>
        </patternFill>
      </fill>
    </dxf>
    <dxf>
      <font>
        <color theme="0"/>
      </font>
      <fill>
        <patternFill>
          <bgColor rgb="FF00B0F0"/>
        </patternFill>
      </fill>
    </dxf>
    <dxf>
      <font>
        <color theme="0"/>
      </font>
      <fill>
        <patternFill>
          <bgColor rgb="FF00B050"/>
        </patternFill>
      </fill>
    </dxf>
    <dxf>
      <font>
        <color theme="0"/>
      </font>
      <fill>
        <patternFill>
          <bgColor rgb="FF92D050"/>
        </patternFill>
      </fill>
    </dxf>
    <dxf>
      <font>
        <color theme="0"/>
      </font>
      <fill>
        <patternFill>
          <bgColor rgb="FFEBE600"/>
        </patternFill>
      </fill>
    </dxf>
    <dxf>
      <font>
        <color theme="0"/>
      </font>
      <fill>
        <patternFill>
          <bgColor rgb="FFFFC000"/>
        </patternFill>
      </fill>
    </dxf>
    <dxf>
      <font>
        <color theme="0" tint="-0.34998626667073579"/>
      </font>
      <fill>
        <patternFill>
          <bgColor rgb="FFFF6600"/>
        </patternFill>
      </fill>
    </dxf>
    <dxf>
      <font>
        <color theme="0" tint="-0.34998626667073579"/>
      </font>
      <fill>
        <patternFill>
          <bgColor rgb="FFC00000"/>
        </patternFill>
      </fill>
    </dxf>
    <dxf>
      <font>
        <color theme="0" tint="-0.34998626667073579"/>
      </font>
      <fill>
        <patternFill>
          <bgColor rgb="FFFF0000"/>
        </patternFill>
      </fill>
    </dxf>
    <dxf>
      <font>
        <color theme="0" tint="-0.34998626667073579"/>
      </font>
      <fill>
        <patternFill>
          <bgColor rgb="FFFF00FF"/>
        </patternFill>
      </fill>
    </dxf>
    <dxf>
      <font>
        <color theme="0" tint="-0.34998626667073579"/>
      </font>
      <fill>
        <patternFill>
          <bgColor rgb="FF9900CC"/>
        </patternFill>
      </fill>
    </dxf>
    <dxf>
      <font>
        <color theme="0" tint="-0.34998626667073579"/>
      </font>
      <fill>
        <patternFill>
          <bgColor rgb="FF6600CC"/>
        </patternFill>
      </fill>
    </dxf>
    <dxf>
      <font>
        <color theme="0" tint="-0.34998626667073579"/>
      </font>
      <fill>
        <patternFill>
          <bgColor rgb="FF0070C0"/>
        </patternFill>
      </fill>
    </dxf>
    <dxf>
      <font>
        <color theme="0" tint="-0.34998626667073579"/>
      </font>
      <fill>
        <patternFill>
          <bgColor rgb="FF00B0F0"/>
        </patternFill>
      </fill>
    </dxf>
    <dxf>
      <font>
        <color theme="0" tint="-0.34998626667073579"/>
      </font>
      <fill>
        <patternFill>
          <bgColor rgb="FF00B050"/>
        </patternFill>
      </fill>
    </dxf>
    <dxf>
      <font>
        <color theme="0" tint="-0.34998626667073579"/>
      </font>
      <fill>
        <patternFill>
          <bgColor rgb="FF92D050"/>
        </patternFill>
      </fill>
    </dxf>
    <dxf>
      <font>
        <color theme="0" tint="-0.34998626667073579"/>
      </font>
      <fill>
        <patternFill>
          <bgColor rgb="FFEBE600"/>
        </patternFill>
      </fill>
    </dxf>
    <dxf>
      <font>
        <color theme="0" tint="-0.34998626667073579"/>
      </font>
      <fill>
        <patternFill>
          <bgColor rgb="FFFFC000"/>
        </patternFill>
      </fill>
    </dxf>
    <dxf>
      <font>
        <color theme="1"/>
      </font>
      <fill>
        <patternFill>
          <bgColor rgb="FFFF6600"/>
        </patternFill>
      </fill>
    </dxf>
    <dxf>
      <font>
        <color theme="1"/>
      </font>
      <fill>
        <patternFill>
          <bgColor rgb="FFC00000"/>
        </patternFill>
      </fill>
    </dxf>
    <dxf>
      <font>
        <color theme="1"/>
      </font>
      <fill>
        <patternFill>
          <bgColor rgb="FFFF0000"/>
        </patternFill>
      </fill>
    </dxf>
    <dxf>
      <font>
        <color theme="1"/>
      </font>
      <fill>
        <patternFill>
          <bgColor rgb="FFFF00FF"/>
        </patternFill>
      </fill>
    </dxf>
    <dxf>
      <font>
        <color theme="1"/>
      </font>
      <fill>
        <patternFill>
          <bgColor rgb="FF9900CC"/>
        </patternFill>
      </fill>
    </dxf>
    <dxf>
      <font>
        <color theme="1"/>
      </font>
      <fill>
        <patternFill>
          <bgColor rgb="FF6600CC"/>
        </patternFill>
      </fill>
    </dxf>
    <dxf>
      <font>
        <color theme="1"/>
      </font>
      <fill>
        <patternFill>
          <bgColor rgb="FF00B0F0"/>
        </patternFill>
      </fill>
    </dxf>
    <dxf>
      <font>
        <color theme="1"/>
      </font>
      <fill>
        <patternFill>
          <bgColor rgb="FF0070C0"/>
        </patternFill>
      </fill>
    </dxf>
    <dxf>
      <font>
        <color theme="1"/>
      </font>
      <fill>
        <patternFill>
          <bgColor rgb="FF92D050"/>
        </patternFill>
      </fill>
    </dxf>
    <dxf>
      <font>
        <color theme="1"/>
      </font>
      <fill>
        <patternFill>
          <bgColor rgb="FF00B050"/>
        </patternFill>
      </fill>
    </dxf>
    <dxf>
      <font>
        <color theme="1"/>
      </font>
      <fill>
        <patternFill>
          <bgColor rgb="FFEBE600"/>
        </patternFill>
      </fill>
    </dxf>
    <dxf>
      <font>
        <color theme="1"/>
      </font>
      <fill>
        <patternFill>
          <bgColor rgb="FFFFC000"/>
        </patternFill>
      </fill>
    </dxf>
    <dxf>
      <font>
        <color theme="1"/>
      </font>
      <fill>
        <patternFill>
          <bgColor theme="0"/>
        </patternFill>
      </fill>
    </dxf>
    <dxf>
      <font>
        <color theme="0" tint="-0.24994659260841701"/>
      </font>
      <fill>
        <patternFill>
          <bgColor theme="0"/>
        </patternFill>
      </fill>
    </dxf>
    <dxf>
      <font>
        <color theme="0"/>
      </font>
      <fill>
        <patternFill>
          <bgColor theme="0" tint="-0.24994659260841701"/>
        </patternFill>
      </fill>
    </dxf>
    <dxf>
      <font>
        <color theme="0"/>
      </font>
      <fill>
        <patternFill>
          <bgColor theme="1"/>
        </patternFill>
      </fill>
    </dxf>
    <dxf>
      <font>
        <b val="0"/>
        <i val="0"/>
        <color theme="0"/>
      </font>
      <fill>
        <patternFill>
          <bgColor rgb="FFFF6600"/>
        </patternFill>
      </fill>
    </dxf>
    <dxf>
      <font>
        <color theme="0"/>
      </font>
      <fill>
        <patternFill>
          <bgColor rgb="FFC00000"/>
        </patternFill>
      </fill>
    </dxf>
    <dxf>
      <font>
        <color theme="0"/>
      </font>
      <fill>
        <patternFill>
          <bgColor rgb="FFFF0000"/>
        </patternFill>
      </fill>
    </dxf>
    <dxf>
      <font>
        <color theme="0"/>
      </font>
      <fill>
        <patternFill>
          <bgColor rgb="FFFF00FF"/>
        </patternFill>
      </fill>
    </dxf>
    <dxf>
      <font>
        <color theme="0"/>
      </font>
      <fill>
        <patternFill>
          <bgColor rgb="FF9900CC"/>
        </patternFill>
      </fill>
    </dxf>
    <dxf>
      <font>
        <color theme="0"/>
      </font>
      <fill>
        <patternFill>
          <bgColor rgb="FF6600CC"/>
        </patternFill>
      </fill>
    </dxf>
    <dxf>
      <font>
        <color theme="0"/>
      </font>
      <fill>
        <patternFill>
          <bgColor rgb="FF0070C0"/>
        </patternFill>
      </fill>
    </dxf>
    <dxf>
      <font>
        <color theme="0"/>
      </font>
      <fill>
        <patternFill>
          <bgColor rgb="FF00B0F0"/>
        </patternFill>
      </fill>
    </dxf>
    <dxf>
      <font>
        <color theme="0"/>
      </font>
      <fill>
        <patternFill>
          <bgColor rgb="FF00B050"/>
        </patternFill>
      </fill>
    </dxf>
    <dxf>
      <font>
        <color theme="0"/>
      </font>
      <fill>
        <patternFill>
          <bgColor rgb="FF92D050"/>
        </patternFill>
      </fill>
    </dxf>
    <dxf>
      <font>
        <color theme="0"/>
      </font>
      <fill>
        <patternFill>
          <bgColor rgb="FFEBE600"/>
        </patternFill>
      </fill>
    </dxf>
    <dxf>
      <font>
        <color theme="0"/>
      </font>
      <fill>
        <patternFill>
          <bgColor rgb="FFFFC000"/>
        </patternFill>
      </fill>
    </dxf>
    <dxf>
      <font>
        <color theme="0" tint="-0.34998626667073579"/>
      </font>
      <fill>
        <patternFill>
          <bgColor rgb="FFFF6600"/>
        </patternFill>
      </fill>
    </dxf>
    <dxf>
      <font>
        <color theme="0" tint="-0.34998626667073579"/>
      </font>
      <fill>
        <patternFill>
          <bgColor rgb="FFC00000"/>
        </patternFill>
      </fill>
    </dxf>
    <dxf>
      <font>
        <color theme="0" tint="-0.34998626667073579"/>
      </font>
      <fill>
        <patternFill>
          <bgColor rgb="FFFF0000"/>
        </patternFill>
      </fill>
    </dxf>
    <dxf>
      <font>
        <color theme="0" tint="-0.34998626667073579"/>
      </font>
      <fill>
        <patternFill>
          <bgColor rgb="FFFF00FF"/>
        </patternFill>
      </fill>
    </dxf>
    <dxf>
      <font>
        <color theme="0" tint="-0.34998626667073579"/>
      </font>
      <fill>
        <patternFill>
          <bgColor rgb="FF9900CC"/>
        </patternFill>
      </fill>
    </dxf>
    <dxf>
      <font>
        <color theme="0" tint="-0.34998626667073579"/>
      </font>
      <fill>
        <patternFill>
          <bgColor rgb="FF6600CC"/>
        </patternFill>
      </fill>
    </dxf>
    <dxf>
      <font>
        <color theme="0" tint="-0.34998626667073579"/>
      </font>
      <fill>
        <patternFill>
          <bgColor rgb="FF0070C0"/>
        </patternFill>
      </fill>
    </dxf>
    <dxf>
      <font>
        <color theme="0" tint="-0.34998626667073579"/>
      </font>
      <fill>
        <patternFill>
          <bgColor rgb="FF00B0F0"/>
        </patternFill>
      </fill>
    </dxf>
    <dxf>
      <font>
        <color theme="0" tint="-0.34998626667073579"/>
      </font>
      <fill>
        <patternFill>
          <bgColor rgb="FF00B050"/>
        </patternFill>
      </fill>
    </dxf>
    <dxf>
      <font>
        <color theme="0" tint="-0.34998626667073579"/>
      </font>
      <fill>
        <patternFill>
          <bgColor rgb="FF92D050"/>
        </patternFill>
      </fill>
    </dxf>
    <dxf>
      <font>
        <color theme="0" tint="-0.34998626667073579"/>
      </font>
      <fill>
        <patternFill>
          <bgColor rgb="FFEBE600"/>
        </patternFill>
      </fill>
    </dxf>
    <dxf>
      <font>
        <color theme="0" tint="-0.34998626667073579"/>
      </font>
      <fill>
        <patternFill>
          <bgColor rgb="FFFFC000"/>
        </patternFill>
      </fill>
    </dxf>
    <dxf>
      <font>
        <color theme="1"/>
      </font>
      <fill>
        <patternFill>
          <bgColor rgb="FFFF6600"/>
        </patternFill>
      </fill>
    </dxf>
    <dxf>
      <font>
        <color theme="1"/>
      </font>
      <fill>
        <patternFill>
          <bgColor rgb="FFC00000"/>
        </patternFill>
      </fill>
    </dxf>
    <dxf>
      <font>
        <color theme="1"/>
      </font>
      <fill>
        <patternFill>
          <bgColor rgb="FFFF0000"/>
        </patternFill>
      </fill>
    </dxf>
    <dxf>
      <font>
        <color theme="1"/>
      </font>
      <fill>
        <patternFill>
          <bgColor rgb="FFFF00FF"/>
        </patternFill>
      </fill>
    </dxf>
    <dxf>
      <font>
        <color theme="1"/>
      </font>
      <fill>
        <patternFill>
          <bgColor rgb="FF9900CC"/>
        </patternFill>
      </fill>
    </dxf>
    <dxf>
      <font>
        <color theme="1"/>
      </font>
      <fill>
        <patternFill>
          <bgColor rgb="FF6600CC"/>
        </patternFill>
      </fill>
    </dxf>
    <dxf>
      <font>
        <color theme="1"/>
      </font>
      <fill>
        <patternFill>
          <bgColor rgb="FF00B0F0"/>
        </patternFill>
      </fill>
    </dxf>
    <dxf>
      <font>
        <color theme="1"/>
      </font>
      <fill>
        <patternFill>
          <bgColor rgb="FF0070C0"/>
        </patternFill>
      </fill>
    </dxf>
    <dxf>
      <font>
        <color theme="1"/>
      </font>
      <fill>
        <patternFill>
          <bgColor rgb="FF92D050"/>
        </patternFill>
      </fill>
    </dxf>
    <dxf>
      <font>
        <color theme="1"/>
      </font>
      <fill>
        <patternFill>
          <bgColor rgb="FF00B050"/>
        </patternFill>
      </fill>
    </dxf>
    <dxf>
      <font>
        <color theme="1"/>
      </font>
      <fill>
        <patternFill>
          <bgColor rgb="FFEBE600"/>
        </patternFill>
      </fill>
    </dxf>
    <dxf>
      <font>
        <color theme="1"/>
      </font>
      <fill>
        <patternFill>
          <bgColor rgb="FFFFC000"/>
        </patternFill>
      </fill>
    </dxf>
    <dxf>
      <font>
        <color theme="1"/>
      </font>
      <fill>
        <patternFill>
          <bgColor theme="0"/>
        </patternFill>
      </fill>
    </dxf>
    <dxf>
      <font>
        <color theme="0" tint="-0.24994659260841701"/>
      </font>
      <fill>
        <patternFill>
          <bgColor theme="0"/>
        </patternFill>
      </fill>
    </dxf>
    <dxf>
      <font>
        <color theme="0"/>
      </font>
      <fill>
        <patternFill>
          <bgColor theme="0" tint="-0.24994659260841701"/>
        </patternFill>
      </fill>
    </dxf>
    <dxf>
      <font>
        <color theme="0"/>
      </font>
      <fill>
        <patternFill>
          <bgColor theme="1"/>
        </patternFill>
      </fill>
    </dxf>
    <dxf>
      <font>
        <b val="0"/>
        <i val="0"/>
        <color theme="0"/>
      </font>
      <fill>
        <patternFill>
          <bgColor rgb="FFFF6600"/>
        </patternFill>
      </fill>
    </dxf>
    <dxf>
      <font>
        <color theme="0"/>
      </font>
      <fill>
        <patternFill>
          <bgColor rgb="FFC00000"/>
        </patternFill>
      </fill>
    </dxf>
    <dxf>
      <font>
        <color theme="0"/>
      </font>
      <fill>
        <patternFill>
          <bgColor rgb="FFFF0000"/>
        </patternFill>
      </fill>
    </dxf>
    <dxf>
      <font>
        <color theme="0"/>
      </font>
      <fill>
        <patternFill>
          <bgColor rgb="FFFF00FF"/>
        </patternFill>
      </fill>
    </dxf>
    <dxf>
      <font>
        <color theme="0"/>
      </font>
      <fill>
        <patternFill>
          <bgColor rgb="FF9900CC"/>
        </patternFill>
      </fill>
    </dxf>
    <dxf>
      <font>
        <color theme="0"/>
      </font>
      <fill>
        <patternFill>
          <bgColor rgb="FF6600CC"/>
        </patternFill>
      </fill>
    </dxf>
    <dxf>
      <font>
        <color theme="0"/>
      </font>
      <fill>
        <patternFill>
          <bgColor rgb="FF0070C0"/>
        </patternFill>
      </fill>
    </dxf>
    <dxf>
      <font>
        <color theme="0"/>
      </font>
      <fill>
        <patternFill>
          <bgColor rgb="FF00B0F0"/>
        </patternFill>
      </fill>
    </dxf>
    <dxf>
      <font>
        <color theme="0"/>
      </font>
      <fill>
        <patternFill>
          <bgColor rgb="FF00B050"/>
        </patternFill>
      </fill>
    </dxf>
    <dxf>
      <font>
        <color theme="0"/>
      </font>
      <fill>
        <patternFill>
          <bgColor rgb="FF92D050"/>
        </patternFill>
      </fill>
    </dxf>
    <dxf>
      <font>
        <color theme="0"/>
      </font>
      <fill>
        <patternFill>
          <bgColor rgb="FFEBE600"/>
        </patternFill>
      </fill>
    </dxf>
    <dxf>
      <font>
        <color theme="0"/>
      </font>
      <fill>
        <patternFill>
          <bgColor rgb="FFFFC000"/>
        </patternFill>
      </fill>
    </dxf>
    <dxf>
      <font>
        <color theme="0" tint="-0.34998626667073579"/>
      </font>
      <fill>
        <patternFill>
          <bgColor rgb="FFFF6600"/>
        </patternFill>
      </fill>
    </dxf>
    <dxf>
      <font>
        <color theme="0" tint="-0.34998626667073579"/>
      </font>
      <fill>
        <patternFill>
          <bgColor rgb="FFC00000"/>
        </patternFill>
      </fill>
    </dxf>
    <dxf>
      <font>
        <color theme="0" tint="-0.34998626667073579"/>
      </font>
      <fill>
        <patternFill>
          <bgColor rgb="FFFF0000"/>
        </patternFill>
      </fill>
    </dxf>
    <dxf>
      <font>
        <color theme="0" tint="-0.34998626667073579"/>
      </font>
      <fill>
        <patternFill>
          <bgColor rgb="FFFF00FF"/>
        </patternFill>
      </fill>
    </dxf>
    <dxf>
      <font>
        <color theme="0" tint="-0.34998626667073579"/>
      </font>
      <fill>
        <patternFill>
          <bgColor rgb="FF9900CC"/>
        </patternFill>
      </fill>
    </dxf>
    <dxf>
      <font>
        <color theme="0" tint="-0.34998626667073579"/>
      </font>
      <fill>
        <patternFill>
          <bgColor rgb="FF6600CC"/>
        </patternFill>
      </fill>
    </dxf>
    <dxf>
      <font>
        <color theme="0" tint="-0.34998626667073579"/>
      </font>
      <fill>
        <patternFill>
          <bgColor rgb="FF0070C0"/>
        </patternFill>
      </fill>
    </dxf>
    <dxf>
      <font>
        <color theme="0" tint="-0.34998626667073579"/>
      </font>
      <fill>
        <patternFill>
          <bgColor rgb="FF00B0F0"/>
        </patternFill>
      </fill>
    </dxf>
    <dxf>
      <font>
        <color theme="0" tint="-0.34998626667073579"/>
      </font>
      <fill>
        <patternFill>
          <bgColor rgb="FF00B050"/>
        </patternFill>
      </fill>
    </dxf>
    <dxf>
      <font>
        <color theme="0" tint="-0.34998626667073579"/>
      </font>
      <fill>
        <patternFill>
          <bgColor rgb="FF92D050"/>
        </patternFill>
      </fill>
    </dxf>
    <dxf>
      <font>
        <color theme="0" tint="-0.34998626667073579"/>
      </font>
      <fill>
        <patternFill>
          <bgColor rgb="FFEBE600"/>
        </patternFill>
      </fill>
    </dxf>
    <dxf>
      <font>
        <color theme="0" tint="-0.34998626667073579"/>
      </font>
      <fill>
        <patternFill>
          <bgColor rgb="FFFFC000"/>
        </patternFill>
      </fill>
    </dxf>
    <dxf>
      <font>
        <color theme="1"/>
      </font>
      <fill>
        <patternFill>
          <bgColor rgb="FFFF6600"/>
        </patternFill>
      </fill>
    </dxf>
    <dxf>
      <font>
        <color theme="1"/>
      </font>
      <fill>
        <patternFill>
          <bgColor rgb="FFC00000"/>
        </patternFill>
      </fill>
    </dxf>
    <dxf>
      <font>
        <color theme="1"/>
      </font>
      <fill>
        <patternFill>
          <bgColor rgb="FFFF0000"/>
        </patternFill>
      </fill>
    </dxf>
    <dxf>
      <font>
        <color theme="1"/>
      </font>
      <fill>
        <patternFill>
          <bgColor rgb="FFFF00FF"/>
        </patternFill>
      </fill>
    </dxf>
    <dxf>
      <font>
        <color theme="1"/>
      </font>
      <fill>
        <patternFill>
          <bgColor rgb="FF9900CC"/>
        </patternFill>
      </fill>
    </dxf>
    <dxf>
      <font>
        <color theme="1"/>
      </font>
      <fill>
        <patternFill>
          <bgColor rgb="FF6600CC"/>
        </patternFill>
      </fill>
    </dxf>
    <dxf>
      <font>
        <color theme="1"/>
      </font>
      <fill>
        <patternFill>
          <bgColor rgb="FF00B0F0"/>
        </patternFill>
      </fill>
    </dxf>
    <dxf>
      <font>
        <color theme="1"/>
      </font>
      <fill>
        <patternFill>
          <bgColor rgb="FF0070C0"/>
        </patternFill>
      </fill>
    </dxf>
    <dxf>
      <font>
        <color theme="1"/>
      </font>
      <fill>
        <patternFill>
          <bgColor rgb="FF92D050"/>
        </patternFill>
      </fill>
    </dxf>
    <dxf>
      <font>
        <color theme="1"/>
      </font>
      <fill>
        <patternFill>
          <bgColor rgb="FF00B050"/>
        </patternFill>
      </fill>
    </dxf>
    <dxf>
      <font>
        <color theme="1"/>
      </font>
      <fill>
        <patternFill>
          <bgColor rgb="FFEBE600"/>
        </patternFill>
      </fill>
    </dxf>
    <dxf>
      <font>
        <color theme="1"/>
      </font>
      <fill>
        <patternFill>
          <bgColor rgb="FFFFC000"/>
        </patternFill>
      </fill>
    </dxf>
    <dxf>
      <font>
        <color theme="1"/>
      </font>
      <fill>
        <patternFill>
          <bgColor theme="0"/>
        </patternFill>
      </fill>
    </dxf>
    <dxf>
      <font>
        <color theme="0" tint="-0.24994659260841701"/>
      </font>
      <fill>
        <patternFill>
          <bgColor theme="0"/>
        </patternFill>
      </fill>
    </dxf>
    <dxf>
      <font>
        <color theme="0"/>
      </font>
      <fill>
        <patternFill>
          <bgColor theme="0" tint="-0.24994659260841701"/>
        </patternFill>
      </fill>
    </dxf>
    <dxf>
      <font>
        <color theme="0"/>
      </font>
      <fill>
        <patternFill>
          <bgColor theme="1"/>
        </patternFill>
      </fill>
    </dxf>
    <dxf>
      <font>
        <color theme="0"/>
      </font>
      <fill>
        <patternFill>
          <bgColor theme="1"/>
        </patternFill>
      </fill>
    </dxf>
    <dxf>
      <font>
        <b val="0"/>
        <i val="0"/>
        <color theme="0"/>
      </font>
      <fill>
        <patternFill>
          <bgColor rgb="FFFF6600"/>
        </patternFill>
      </fill>
    </dxf>
    <dxf>
      <font>
        <color theme="1"/>
      </font>
      <fill>
        <patternFill>
          <bgColor rgb="FFFF6600"/>
        </patternFill>
      </fill>
    </dxf>
    <dxf>
      <font>
        <color theme="0"/>
      </font>
      <fill>
        <patternFill>
          <bgColor rgb="FFC00000"/>
        </patternFill>
      </fill>
    </dxf>
    <dxf>
      <font>
        <color theme="1"/>
      </font>
      <fill>
        <patternFill>
          <bgColor rgb="FFC00000"/>
        </patternFill>
      </fill>
    </dxf>
    <dxf>
      <font>
        <color theme="0"/>
      </font>
      <fill>
        <patternFill>
          <bgColor rgb="FFFF0000"/>
        </patternFill>
      </fill>
    </dxf>
    <dxf>
      <font>
        <color theme="1"/>
      </font>
      <fill>
        <patternFill>
          <bgColor rgb="FFFF0000"/>
        </patternFill>
      </fill>
    </dxf>
    <dxf>
      <font>
        <color theme="0"/>
      </font>
      <fill>
        <patternFill>
          <bgColor rgb="FFFF00FF"/>
        </patternFill>
      </fill>
    </dxf>
    <dxf>
      <font>
        <color theme="1"/>
      </font>
      <fill>
        <patternFill>
          <bgColor rgb="FFFF00FF"/>
        </patternFill>
      </fill>
    </dxf>
    <dxf>
      <font>
        <color theme="0"/>
      </font>
      <fill>
        <patternFill>
          <bgColor rgb="FF9900CC"/>
        </patternFill>
      </fill>
    </dxf>
    <dxf>
      <font>
        <color theme="1"/>
      </font>
      <fill>
        <patternFill>
          <bgColor rgb="FF9900CC"/>
        </patternFill>
      </fill>
    </dxf>
    <dxf>
      <font>
        <color theme="0"/>
      </font>
      <fill>
        <patternFill>
          <bgColor rgb="FF6600CC"/>
        </patternFill>
      </fill>
    </dxf>
    <dxf>
      <font>
        <color theme="1"/>
      </font>
      <fill>
        <patternFill>
          <bgColor rgb="FF6600CC"/>
        </patternFill>
      </fill>
    </dxf>
    <dxf>
      <font>
        <color theme="0"/>
      </font>
      <fill>
        <patternFill>
          <bgColor rgb="FF0070C0"/>
        </patternFill>
      </fill>
    </dxf>
    <dxf>
      <font>
        <color theme="1"/>
      </font>
      <fill>
        <patternFill>
          <bgColor rgb="FF0070C0"/>
        </patternFill>
      </fill>
    </dxf>
    <dxf>
      <font>
        <color theme="0"/>
      </font>
      <fill>
        <patternFill>
          <bgColor rgb="FF00B050"/>
        </patternFill>
      </fill>
    </dxf>
    <dxf>
      <font>
        <color theme="1"/>
      </font>
      <fill>
        <patternFill>
          <bgColor rgb="FF00B050"/>
        </patternFill>
      </fill>
    </dxf>
    <dxf>
      <font>
        <color theme="0"/>
      </font>
      <fill>
        <patternFill>
          <bgColor rgb="FF92D050"/>
        </patternFill>
      </fill>
    </dxf>
    <dxf>
      <font>
        <color theme="1"/>
      </font>
      <fill>
        <patternFill>
          <bgColor rgb="FF92D050"/>
        </patternFill>
      </fill>
    </dxf>
    <dxf>
      <font>
        <color theme="0"/>
      </font>
      <fill>
        <patternFill>
          <bgColor rgb="FFEBE600"/>
        </patternFill>
      </fill>
    </dxf>
    <dxf>
      <font>
        <color theme="1"/>
      </font>
      <fill>
        <patternFill>
          <bgColor rgb="FFEBE600"/>
        </patternFill>
      </fill>
    </dxf>
    <dxf>
      <font>
        <color theme="0"/>
      </font>
      <fill>
        <patternFill>
          <bgColor rgb="FFFFC000"/>
        </patternFill>
      </fill>
    </dxf>
    <dxf>
      <font>
        <color theme="1"/>
      </font>
      <fill>
        <patternFill>
          <bgColor rgb="FFFFC000"/>
        </patternFill>
      </fill>
    </dxf>
    <dxf>
      <font>
        <color theme="0" tint="-0.34998626667073579"/>
      </font>
      <fill>
        <patternFill>
          <bgColor rgb="FFFF6600"/>
        </patternFill>
      </fill>
    </dxf>
    <dxf>
      <font>
        <color theme="0" tint="-0.34998626667073579"/>
      </font>
      <fill>
        <patternFill>
          <bgColor rgb="FFC00000"/>
        </patternFill>
      </fill>
    </dxf>
    <dxf>
      <font>
        <color theme="0" tint="-0.34998626667073579"/>
      </font>
      <fill>
        <patternFill>
          <bgColor rgb="FFFF0000"/>
        </patternFill>
      </fill>
    </dxf>
    <dxf>
      <font>
        <color theme="0" tint="-0.34998626667073579"/>
      </font>
      <fill>
        <patternFill>
          <bgColor rgb="FFFF00FF"/>
        </patternFill>
      </fill>
    </dxf>
    <dxf>
      <font>
        <color theme="0" tint="-0.34998626667073579"/>
      </font>
      <fill>
        <patternFill>
          <bgColor rgb="FF9900CC"/>
        </patternFill>
      </fill>
    </dxf>
    <dxf>
      <font>
        <color theme="0" tint="-0.34998626667073579"/>
      </font>
      <fill>
        <patternFill>
          <bgColor rgb="FF6600CC"/>
        </patternFill>
      </fill>
    </dxf>
    <dxf>
      <font>
        <color theme="0" tint="-0.34998626667073579"/>
      </font>
      <fill>
        <patternFill>
          <bgColor rgb="FF0070C0"/>
        </patternFill>
      </fill>
    </dxf>
    <dxf>
      <font>
        <color theme="0" tint="-0.34998626667073579"/>
      </font>
      <fill>
        <patternFill>
          <bgColor rgb="FF00B050"/>
        </patternFill>
      </fill>
    </dxf>
    <dxf>
      <font>
        <color theme="0" tint="-0.34998626667073579"/>
      </font>
      <fill>
        <patternFill>
          <bgColor rgb="FF92D050"/>
        </patternFill>
      </fill>
    </dxf>
    <dxf>
      <font>
        <color theme="0" tint="-0.34998626667073579"/>
      </font>
      <fill>
        <patternFill>
          <bgColor rgb="FFEBE600"/>
        </patternFill>
      </fill>
    </dxf>
    <dxf>
      <font>
        <color theme="0" tint="-0.34998626667073579"/>
      </font>
      <fill>
        <patternFill>
          <bgColor rgb="FFFFC000"/>
        </patternFill>
      </fill>
    </dxf>
    <dxf>
      <font>
        <color theme="0" tint="-0.24994659260841701"/>
      </font>
      <fill>
        <patternFill>
          <bgColor theme="0"/>
        </patternFill>
      </fill>
    </dxf>
    <dxf>
      <border>
        <left/>
        <right/>
        <bottom/>
        <vertical/>
        <horizontal/>
      </border>
    </dxf>
    <dxf>
      <border>
        <left/>
        <right/>
        <bottom/>
        <vertical/>
        <horizontal/>
      </border>
    </dxf>
    <dxf>
      <border>
        <left/>
        <right/>
        <bottom/>
        <vertical/>
        <horizontal/>
      </border>
    </dxf>
    <dxf>
      <border>
        <left/>
        <right/>
        <bottom/>
        <vertical/>
        <horizontal/>
      </border>
    </dxf>
    <dxf>
      <border>
        <left/>
        <right/>
        <bottom/>
        <vertical/>
        <horizontal/>
      </border>
    </dxf>
    <dxf>
      <border>
        <left/>
        <right/>
        <bottom/>
        <vertical/>
        <horizontal/>
      </border>
    </dxf>
    <dxf>
      <font>
        <color theme="0" tint="-0.499984740745262"/>
      </font>
    </dxf>
    <dxf>
      <font>
        <color theme="0" tint="-0.499984740745262"/>
      </font>
    </dxf>
    <dxf>
      <font>
        <color theme="0" tint="-0.34998626667073579"/>
      </font>
    </dxf>
    <dxf>
      <font>
        <color theme="0" tint="-0.34998626667073579"/>
      </font>
    </dxf>
    <dxf>
      <font>
        <color theme="0"/>
      </font>
      <fill>
        <patternFill>
          <bgColor theme="1"/>
        </patternFill>
      </fill>
    </dxf>
    <dxf>
      <fill>
        <patternFill>
          <bgColor rgb="FFEEEEEE"/>
        </patternFill>
      </fill>
    </dxf>
    <dxf>
      <font>
        <color theme="0"/>
      </font>
      <fill>
        <patternFill>
          <bgColor theme="1"/>
        </patternFill>
      </fill>
    </dxf>
    <dxf>
      <font>
        <color theme="0"/>
      </font>
    </dxf>
    <dxf>
      <font>
        <color theme="0" tint="-0.24994659260841701"/>
      </font>
    </dxf>
    <dxf>
      <font>
        <color theme="0" tint="-0.24994659260841701"/>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ont>
        <color theme="0"/>
      </font>
      <fill>
        <patternFill>
          <bgColor theme="1"/>
        </patternFill>
      </fill>
    </dxf>
    <dxf>
      <fill>
        <patternFill>
          <bgColor rgb="FFEEEEEE"/>
        </patternFill>
      </fill>
    </dxf>
    <dxf>
      <font>
        <color theme="0"/>
      </font>
      <fill>
        <patternFill>
          <bgColor theme="1"/>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ont>
        <color theme="0" tint="-0.499984740745262"/>
      </font>
    </dxf>
    <dxf>
      <font>
        <color theme="0" tint="-0.499984740745262"/>
      </font>
    </dxf>
    <dxf>
      <font>
        <color theme="0" tint="-0.499984740745262"/>
      </font>
    </dxf>
    <dxf>
      <fill>
        <patternFill>
          <bgColor rgb="FFEEEEEE"/>
        </patternFill>
      </fill>
    </dxf>
    <dxf>
      <font>
        <color theme="0"/>
      </font>
      <fill>
        <patternFill>
          <bgColor theme="1"/>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ont>
        <color theme="0" tint="-0.24994659260841701"/>
      </font>
    </dxf>
    <dxf>
      <font>
        <color theme="0" tint="-0.24994659260841701"/>
      </font>
    </dxf>
    <dxf>
      <font>
        <color theme="0" tint="-0.24994659260841701"/>
      </font>
    </dxf>
    <dxf>
      <font>
        <color theme="0"/>
      </font>
      <fill>
        <patternFill>
          <bgColor theme="1"/>
        </patternFill>
      </fill>
    </dxf>
    <dxf>
      <font>
        <color theme="0" tint="-0.34998626667073579"/>
      </font>
    </dxf>
    <dxf>
      <font>
        <color theme="0" tint="-0.24994659260841701"/>
      </font>
    </dxf>
    <dxf>
      <font>
        <color theme="0" tint="-0.24994659260841701"/>
      </font>
    </dxf>
    <dxf>
      <font>
        <color theme="0" tint="-0.24994659260841701"/>
      </font>
    </dxf>
    <dxf>
      <font>
        <color theme="0" tint="-0.499984740745262"/>
      </font>
    </dxf>
    <dxf>
      <font>
        <color theme="0" tint="-0.499984740745262"/>
      </font>
    </dxf>
    <dxf>
      <fill>
        <patternFill>
          <bgColor rgb="FFEEEEEE"/>
        </patternFill>
      </fill>
    </dxf>
    <dxf>
      <font>
        <color theme="0"/>
      </font>
      <fill>
        <patternFill>
          <bgColor theme="1"/>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ont>
        <color theme="0" tint="-0.499984740745262"/>
      </font>
    </dxf>
    <dxf>
      <font>
        <color theme="0" tint="-0.499984740745262"/>
      </font>
    </dxf>
    <dxf>
      <font>
        <color theme="0" tint="-0.34998626667073579"/>
      </font>
    </dxf>
    <dxf>
      <font>
        <color theme="0"/>
      </font>
    </dxf>
    <dxf>
      <font>
        <color theme="0" tint="-0.24994659260841701"/>
      </font>
    </dxf>
    <dxf>
      <font>
        <color theme="0" tint="-0.24994659260841701"/>
      </font>
    </dxf>
    <dxf>
      <fill>
        <patternFill>
          <bgColor rgb="FFEEEEEE"/>
        </patternFill>
      </fill>
    </dxf>
    <dxf>
      <fill>
        <patternFill>
          <bgColor rgb="FFEEEEEE"/>
        </patternFill>
      </fill>
    </dxf>
    <dxf>
      <fill>
        <patternFill>
          <bgColor rgb="FFEEEEEE"/>
        </patternFill>
      </fill>
    </dxf>
    <dxf>
      <font>
        <color theme="0" tint="-0.24994659260841701"/>
      </font>
    </dxf>
    <dxf>
      <font>
        <color theme="0"/>
      </font>
      <fill>
        <patternFill>
          <bgColor theme="1"/>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ont>
        <color theme="0" tint="-0.24994659260841701"/>
      </font>
    </dxf>
    <dxf>
      <font>
        <color theme="0"/>
      </font>
      <fill>
        <patternFill>
          <bgColor theme="1"/>
        </patternFill>
      </fill>
    </dxf>
    <dxf>
      <font>
        <color theme="1"/>
      </font>
      <fill>
        <patternFill>
          <bgColor theme="0"/>
        </patternFill>
      </fill>
    </dxf>
    <dxf>
      <font>
        <color theme="0" tint="-0.24994659260841701"/>
      </font>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1" tint="0.24994659260841701"/>
      </font>
      <fill>
        <patternFill>
          <bgColor theme="1" tint="4.9989318521683403E-2"/>
        </patternFill>
      </fill>
    </dxf>
    <dxf>
      <font>
        <color theme="1" tint="0.24994659260841701"/>
      </font>
      <fill>
        <patternFill>
          <bgColor theme="1" tint="4.9989318521683403E-2"/>
        </patternFill>
      </fill>
    </dxf>
    <dxf>
      <font>
        <color theme="1" tint="0.24994659260841701"/>
      </font>
      <fill>
        <patternFill>
          <bgColor theme="1" tint="4.9989318521683403E-2"/>
        </patternFill>
      </fill>
    </dxf>
    <dxf>
      <font>
        <color theme="1" tint="0.24994659260841701"/>
      </font>
      <fill>
        <patternFill>
          <bgColor theme="1" tint="4.9989318521683403E-2"/>
        </patternFill>
      </fill>
    </dxf>
    <dxf>
      <font>
        <color theme="1" tint="0.24994659260841701"/>
      </font>
      <fill>
        <patternFill>
          <bgColor theme="1" tint="4.9989318521683403E-2"/>
        </patternFill>
      </fill>
    </dxf>
    <dxf>
      <font>
        <color theme="1" tint="0.24994659260841701"/>
      </font>
      <fill>
        <patternFill>
          <bgColor theme="1" tint="4.9989318521683403E-2"/>
        </patternFill>
      </fill>
    </dxf>
    <dxf>
      <font>
        <color theme="1" tint="0.24994659260841701"/>
      </font>
      <fill>
        <patternFill>
          <bgColor theme="1" tint="4.9989318521683403E-2"/>
        </patternFill>
      </fill>
    </dxf>
    <dxf>
      <font>
        <color theme="0"/>
      </font>
      <fill>
        <patternFill>
          <bgColor theme="1" tint="4.9989318521683403E-2"/>
        </patternFill>
      </fill>
    </dxf>
    <dxf>
      <font>
        <color theme="0"/>
      </font>
      <fill>
        <patternFill>
          <bgColor theme="1" tint="4.9989318521683403E-2"/>
        </patternFill>
      </fill>
    </dxf>
    <dxf>
      <font>
        <color theme="0"/>
      </font>
      <fill>
        <patternFill>
          <bgColor theme="1" tint="4.9989318521683403E-2"/>
        </patternFill>
      </fill>
    </dxf>
    <dxf>
      <font>
        <color theme="0"/>
      </font>
      <fill>
        <patternFill>
          <bgColor theme="1" tint="4.9989318521683403E-2"/>
        </patternFill>
      </fill>
    </dxf>
    <dxf>
      <font>
        <color theme="0"/>
      </font>
      <fill>
        <patternFill>
          <bgColor theme="1" tint="4.9989318521683403E-2"/>
        </patternFill>
      </fill>
    </dxf>
    <dxf>
      <font>
        <color theme="0"/>
      </font>
      <fill>
        <patternFill>
          <bgColor theme="1" tint="4.9989318521683403E-2"/>
        </patternFill>
      </fill>
    </dxf>
    <dxf>
      <font>
        <color theme="0"/>
      </font>
      <fill>
        <patternFill>
          <bgColor theme="1" tint="4.9989318521683403E-2"/>
        </patternFill>
      </fill>
    </dxf>
    <dxf>
      <font>
        <color theme="1" tint="0.24994659260841701"/>
      </font>
    </dxf>
    <dxf>
      <font>
        <color theme="1" tint="0.24994659260841701"/>
      </font>
    </dxf>
    <dxf>
      <fill>
        <patternFill>
          <bgColor theme="2" tint="-0.749961851863155"/>
        </patternFill>
      </fill>
      <border>
        <right style="thin">
          <color theme="1" tint="4.9989318521683403E-2"/>
        </right>
        <top style="thin">
          <color theme="1" tint="4.9989318521683403E-2"/>
        </top>
        <bottom style="thin">
          <color theme="1" tint="4.9989318521683403E-2"/>
        </bottom>
        <vertical/>
        <horizontal/>
      </border>
    </dxf>
    <dxf>
      <border>
        <right/>
        <bottom/>
        <vertical/>
        <horizontal/>
      </border>
    </dxf>
    <dxf>
      <font>
        <color theme="1" tint="0.24994659260841701"/>
      </font>
    </dxf>
    <dxf>
      <border>
        <right/>
        <vertical/>
        <horizontal/>
      </border>
    </dxf>
    <dxf>
      <fill>
        <patternFill>
          <bgColor theme="2" tint="-0.749961851863155"/>
        </patternFill>
      </fill>
      <border>
        <left style="thin">
          <color theme="1" tint="4.9989318521683403E-2"/>
        </left>
        <top style="thin">
          <color theme="1" tint="4.9989318521683403E-2"/>
        </top>
        <bottom style="thin">
          <color theme="1" tint="4.9989318521683403E-2"/>
        </bottom>
        <vertical/>
        <horizontal/>
      </border>
    </dxf>
    <dxf>
      <fill>
        <patternFill>
          <bgColor theme="2" tint="-0.749961851863155"/>
        </patternFill>
      </fill>
      <border>
        <right style="thin">
          <color theme="1" tint="4.9989318521683403E-2"/>
        </right>
        <bottom style="thin">
          <color theme="1" tint="4.9989318521683403E-2"/>
        </bottom>
        <vertical/>
        <horizontal/>
      </border>
    </dxf>
    <dxf>
      <font>
        <color theme="1" tint="0.24994659260841701"/>
      </font>
    </dxf>
    <dxf>
      <border>
        <right/>
        <vertical/>
        <horizontal/>
      </border>
    </dxf>
    <dxf>
      <border>
        <bottom/>
        <vertical/>
        <horizontal/>
      </border>
    </dxf>
    <dxf>
      <border>
        <right/>
        <bottom/>
        <vertical/>
        <horizontal/>
      </border>
    </dxf>
    <dxf>
      <border>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border>
        <right/>
        <vertical/>
        <horizontal/>
      </border>
    </dxf>
    <dxf>
      <border>
        <right/>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font>
        <color theme="1" tint="0.24994659260841701"/>
      </font>
    </dxf>
    <dxf>
      <font>
        <color theme="1" tint="0.24994659260841701"/>
      </font>
    </dxf>
    <dxf>
      <fill>
        <patternFill>
          <bgColor theme="2" tint="-0.749961851863155"/>
        </patternFill>
      </fill>
      <border>
        <right style="thin">
          <color theme="1" tint="4.9989318521683403E-2"/>
        </right>
        <top style="thin">
          <color theme="1" tint="4.9989318521683403E-2"/>
        </top>
        <bottom style="thin">
          <color theme="1" tint="4.9989318521683403E-2"/>
        </bottom>
        <vertical/>
        <horizontal/>
      </border>
    </dxf>
    <dxf>
      <border>
        <right/>
        <bottom/>
        <vertical/>
        <horizontal/>
      </border>
    </dxf>
    <dxf>
      <font>
        <color theme="1" tint="0.24994659260841701"/>
      </font>
    </dxf>
    <dxf>
      <border>
        <right/>
        <vertical/>
        <horizontal/>
      </border>
    </dxf>
    <dxf>
      <fill>
        <patternFill>
          <bgColor theme="2" tint="-0.749961851863155"/>
        </patternFill>
      </fill>
      <border>
        <left style="thin">
          <color theme="1" tint="4.9989318521683403E-2"/>
        </left>
        <top style="thin">
          <color theme="1" tint="4.9989318521683403E-2"/>
        </top>
        <bottom style="thin">
          <color theme="1" tint="4.9989318521683403E-2"/>
        </bottom>
        <vertical/>
        <horizontal/>
      </border>
    </dxf>
    <dxf>
      <fill>
        <patternFill>
          <bgColor theme="2" tint="-0.749961851863155"/>
        </patternFill>
      </fill>
      <border>
        <right style="thin">
          <color theme="1" tint="4.9989318521683403E-2"/>
        </right>
        <bottom style="thin">
          <color theme="1" tint="4.9989318521683403E-2"/>
        </bottom>
        <vertical/>
        <horizontal/>
      </border>
    </dxf>
    <dxf>
      <font>
        <color theme="1" tint="0.24994659260841701"/>
      </font>
    </dxf>
    <dxf>
      <border>
        <right/>
        <vertical/>
        <horizontal/>
      </border>
    </dxf>
    <dxf>
      <border>
        <bottom/>
        <vertical/>
        <horizontal/>
      </border>
    </dxf>
    <dxf>
      <border>
        <right/>
        <bottom/>
        <vertical/>
        <horizontal/>
      </border>
    </dxf>
    <dxf>
      <border>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border>
        <right/>
        <vertical/>
        <horizontal/>
      </border>
    </dxf>
    <dxf>
      <border>
        <right/>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font>
        <color theme="1" tint="0.24994659260841701"/>
      </font>
    </dxf>
    <dxf>
      <font>
        <color theme="1" tint="0.24994659260841701"/>
      </font>
    </dxf>
    <dxf>
      <fill>
        <patternFill>
          <bgColor theme="2" tint="-0.749961851863155"/>
        </patternFill>
      </fill>
      <border>
        <right style="thin">
          <color theme="1" tint="4.9989318521683403E-2"/>
        </right>
        <top style="thin">
          <color theme="1" tint="4.9989318521683403E-2"/>
        </top>
        <bottom style="thin">
          <color theme="1" tint="4.9989318521683403E-2"/>
        </bottom>
        <vertical/>
        <horizontal/>
      </border>
    </dxf>
    <dxf>
      <border>
        <right/>
        <bottom/>
        <vertical/>
        <horizontal/>
      </border>
    </dxf>
    <dxf>
      <font>
        <color theme="1" tint="0.24994659260841701"/>
      </font>
    </dxf>
    <dxf>
      <border>
        <right/>
        <vertical/>
        <horizontal/>
      </border>
    </dxf>
    <dxf>
      <fill>
        <patternFill>
          <bgColor theme="2" tint="-0.749961851863155"/>
        </patternFill>
      </fill>
      <border>
        <left style="thin">
          <color theme="1" tint="4.9989318521683403E-2"/>
        </left>
        <top style="thin">
          <color theme="1" tint="4.9989318521683403E-2"/>
        </top>
        <bottom style="thin">
          <color theme="1" tint="4.9989318521683403E-2"/>
        </bottom>
        <vertical/>
        <horizontal/>
      </border>
    </dxf>
    <dxf>
      <fill>
        <patternFill>
          <bgColor theme="2" tint="-0.749961851863155"/>
        </patternFill>
      </fill>
      <border>
        <right style="thin">
          <color theme="1" tint="4.9989318521683403E-2"/>
        </right>
        <bottom style="thin">
          <color theme="1" tint="4.9989318521683403E-2"/>
        </bottom>
        <vertical/>
        <horizontal/>
      </border>
    </dxf>
    <dxf>
      <font>
        <color theme="1" tint="0.24994659260841701"/>
      </font>
    </dxf>
    <dxf>
      <border>
        <right/>
        <vertical/>
        <horizontal/>
      </border>
    </dxf>
    <dxf>
      <border>
        <bottom/>
        <vertical/>
        <horizontal/>
      </border>
    </dxf>
    <dxf>
      <border>
        <right/>
        <bottom/>
        <vertical/>
        <horizontal/>
      </border>
    </dxf>
    <dxf>
      <border>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border>
        <right/>
        <vertical/>
        <horizontal/>
      </border>
    </dxf>
    <dxf>
      <border>
        <right/>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font>
        <color theme="1" tint="0.24994659260841701"/>
      </font>
    </dxf>
    <dxf>
      <font>
        <color theme="1" tint="0.24994659260841701"/>
      </font>
    </dxf>
    <dxf>
      <fill>
        <patternFill>
          <bgColor theme="2" tint="-0.749961851863155"/>
        </patternFill>
      </fill>
      <border>
        <right style="thin">
          <color theme="1" tint="4.9989318521683403E-2"/>
        </right>
        <top style="thin">
          <color theme="1" tint="4.9989318521683403E-2"/>
        </top>
        <bottom style="thin">
          <color theme="1" tint="4.9989318521683403E-2"/>
        </bottom>
        <vertical/>
        <horizontal/>
      </border>
    </dxf>
    <dxf>
      <border>
        <right/>
        <bottom/>
        <vertical/>
        <horizontal/>
      </border>
    </dxf>
    <dxf>
      <font>
        <color theme="1" tint="0.24994659260841701"/>
      </font>
    </dxf>
    <dxf>
      <border>
        <right/>
        <vertical/>
        <horizontal/>
      </border>
    </dxf>
    <dxf>
      <fill>
        <patternFill>
          <bgColor theme="2" tint="-0.749961851863155"/>
        </patternFill>
      </fill>
      <border>
        <left style="thin">
          <color theme="1" tint="4.9989318521683403E-2"/>
        </left>
        <top style="thin">
          <color theme="1" tint="4.9989318521683403E-2"/>
        </top>
        <bottom style="thin">
          <color theme="1" tint="4.9989318521683403E-2"/>
        </bottom>
        <vertical/>
        <horizontal/>
      </border>
    </dxf>
    <dxf>
      <fill>
        <patternFill>
          <bgColor theme="2" tint="-0.749961851863155"/>
        </patternFill>
      </fill>
      <border>
        <right style="thin">
          <color theme="1" tint="4.9989318521683403E-2"/>
        </right>
        <bottom style="thin">
          <color theme="1" tint="4.9989318521683403E-2"/>
        </bottom>
        <vertical/>
        <horizontal/>
      </border>
    </dxf>
    <dxf>
      <font>
        <color theme="1" tint="0.24994659260841701"/>
      </font>
    </dxf>
    <dxf>
      <border>
        <right/>
        <vertical/>
        <horizontal/>
      </border>
    </dxf>
    <dxf>
      <border>
        <bottom/>
        <vertical/>
        <horizontal/>
      </border>
    </dxf>
    <dxf>
      <border>
        <right/>
        <bottom/>
        <vertical/>
        <horizontal/>
      </border>
    </dxf>
    <dxf>
      <border>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border>
        <right/>
        <vertical/>
        <horizontal/>
      </border>
    </dxf>
    <dxf>
      <border>
        <right/>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font>
        <color theme="1" tint="0.24994659260841701"/>
      </font>
    </dxf>
    <dxf>
      <font>
        <color theme="1" tint="0.24994659260841701"/>
      </font>
    </dxf>
    <dxf>
      <fill>
        <patternFill>
          <bgColor theme="2" tint="-0.749961851863155"/>
        </patternFill>
      </fill>
      <border>
        <right style="thin">
          <color theme="1" tint="4.9989318521683403E-2"/>
        </right>
        <top style="thin">
          <color theme="1" tint="4.9989318521683403E-2"/>
        </top>
        <bottom style="thin">
          <color theme="1" tint="4.9989318521683403E-2"/>
        </bottom>
        <vertical/>
        <horizontal/>
      </border>
    </dxf>
    <dxf>
      <border>
        <right/>
        <bottom/>
        <vertical/>
        <horizontal/>
      </border>
    </dxf>
    <dxf>
      <font>
        <color theme="1" tint="0.24994659260841701"/>
      </font>
    </dxf>
    <dxf>
      <border>
        <right/>
        <vertical/>
        <horizontal/>
      </border>
    </dxf>
    <dxf>
      <fill>
        <patternFill>
          <bgColor theme="2" tint="-0.749961851863155"/>
        </patternFill>
      </fill>
      <border>
        <left style="thin">
          <color theme="1" tint="4.9989318521683403E-2"/>
        </left>
        <top style="thin">
          <color theme="1" tint="4.9989318521683403E-2"/>
        </top>
        <bottom style="thin">
          <color theme="1" tint="4.9989318521683403E-2"/>
        </bottom>
        <vertical/>
        <horizontal/>
      </border>
    </dxf>
    <dxf>
      <fill>
        <patternFill>
          <bgColor theme="2" tint="-0.749961851863155"/>
        </patternFill>
      </fill>
      <border>
        <right style="thin">
          <color theme="1" tint="4.9989318521683403E-2"/>
        </right>
        <bottom style="thin">
          <color theme="1" tint="4.9989318521683403E-2"/>
        </bottom>
        <vertical/>
        <horizontal/>
      </border>
    </dxf>
    <dxf>
      <font>
        <color theme="1" tint="0.24994659260841701"/>
      </font>
    </dxf>
    <dxf>
      <border>
        <right/>
        <vertical/>
        <horizontal/>
      </border>
    </dxf>
    <dxf>
      <border>
        <bottom/>
        <vertical/>
        <horizontal/>
      </border>
    </dxf>
    <dxf>
      <border>
        <right/>
        <bottom/>
        <vertical/>
        <horizontal/>
      </border>
    </dxf>
    <dxf>
      <border>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border>
        <right/>
        <vertical/>
        <horizontal/>
      </border>
    </dxf>
    <dxf>
      <border>
        <right/>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font>
        <color theme="1" tint="0.24994659260841701"/>
      </font>
    </dxf>
    <dxf>
      <font>
        <color theme="1" tint="0.24994659260841701"/>
      </font>
    </dxf>
    <dxf>
      <fill>
        <patternFill>
          <bgColor theme="2" tint="-0.749961851863155"/>
        </patternFill>
      </fill>
      <border>
        <right style="thin">
          <color theme="1" tint="4.9989318521683403E-2"/>
        </right>
        <top style="thin">
          <color theme="1" tint="4.9989318521683403E-2"/>
        </top>
        <bottom style="thin">
          <color theme="1" tint="4.9989318521683403E-2"/>
        </bottom>
        <vertical/>
        <horizontal/>
      </border>
    </dxf>
    <dxf>
      <border>
        <right/>
        <bottom/>
        <vertical/>
        <horizontal/>
      </border>
    </dxf>
    <dxf>
      <font>
        <color theme="1" tint="0.24994659260841701"/>
      </font>
    </dxf>
    <dxf>
      <border>
        <right/>
        <vertical/>
        <horizontal/>
      </border>
    </dxf>
    <dxf>
      <fill>
        <patternFill>
          <bgColor theme="2" tint="-0.749961851863155"/>
        </patternFill>
      </fill>
      <border>
        <left style="thin">
          <color theme="1" tint="4.9989318521683403E-2"/>
        </left>
        <top style="thin">
          <color theme="1" tint="4.9989318521683403E-2"/>
        </top>
        <bottom style="thin">
          <color theme="1" tint="4.9989318521683403E-2"/>
        </bottom>
        <vertical/>
        <horizontal/>
      </border>
    </dxf>
    <dxf>
      <fill>
        <patternFill>
          <bgColor theme="2" tint="-0.749961851863155"/>
        </patternFill>
      </fill>
      <border>
        <right style="thin">
          <color theme="1" tint="4.9989318521683403E-2"/>
        </right>
        <bottom style="thin">
          <color theme="1" tint="4.9989318521683403E-2"/>
        </bottom>
        <vertical/>
        <horizontal/>
      </border>
    </dxf>
    <dxf>
      <font>
        <color theme="1" tint="0.24994659260841701"/>
      </font>
    </dxf>
    <dxf>
      <border>
        <right/>
        <vertical/>
        <horizontal/>
      </border>
    </dxf>
    <dxf>
      <border>
        <bottom/>
        <vertical/>
        <horizontal/>
      </border>
    </dxf>
    <dxf>
      <border>
        <right/>
        <bottom/>
        <vertical/>
        <horizontal/>
      </border>
    </dxf>
    <dxf>
      <border>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border>
        <right/>
        <vertical/>
        <horizontal/>
      </border>
    </dxf>
    <dxf>
      <border>
        <right/>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font>
        <color theme="1" tint="0.24994659260841701"/>
      </font>
    </dxf>
    <dxf>
      <font>
        <color theme="1" tint="0.24994659260841701"/>
      </font>
    </dxf>
    <dxf>
      <fill>
        <patternFill>
          <bgColor theme="2" tint="-0.749961851863155"/>
        </patternFill>
      </fill>
      <border>
        <right style="thin">
          <color theme="1" tint="4.9989318521683403E-2"/>
        </right>
        <top style="thin">
          <color theme="1" tint="4.9989318521683403E-2"/>
        </top>
        <bottom style="thin">
          <color theme="1" tint="4.9989318521683403E-2"/>
        </bottom>
        <vertical/>
        <horizontal/>
      </border>
    </dxf>
    <dxf>
      <border>
        <right/>
        <bottom/>
        <vertical/>
        <horizontal/>
      </border>
    </dxf>
    <dxf>
      <font>
        <color theme="1" tint="0.24994659260841701"/>
      </font>
    </dxf>
    <dxf>
      <border>
        <right/>
        <vertical/>
        <horizontal/>
      </border>
    </dxf>
    <dxf>
      <fill>
        <patternFill>
          <bgColor theme="2" tint="-0.749961851863155"/>
        </patternFill>
      </fill>
      <border>
        <left style="thin">
          <color theme="1" tint="4.9989318521683403E-2"/>
        </left>
        <top style="thin">
          <color theme="1" tint="4.9989318521683403E-2"/>
        </top>
        <bottom style="thin">
          <color theme="1" tint="4.9989318521683403E-2"/>
        </bottom>
        <vertical/>
        <horizontal/>
      </border>
    </dxf>
    <dxf>
      <fill>
        <patternFill>
          <bgColor theme="2" tint="-0.749961851863155"/>
        </patternFill>
      </fill>
      <border>
        <right style="thin">
          <color theme="1" tint="4.9989318521683403E-2"/>
        </right>
        <bottom style="thin">
          <color theme="1" tint="4.9989318521683403E-2"/>
        </bottom>
        <vertical/>
        <horizontal/>
      </border>
    </dxf>
    <dxf>
      <font>
        <color theme="1" tint="0.24994659260841701"/>
      </font>
    </dxf>
    <dxf>
      <border>
        <right/>
        <vertical/>
        <horizontal/>
      </border>
    </dxf>
    <dxf>
      <border>
        <bottom/>
        <vertical/>
        <horizontal/>
      </border>
    </dxf>
    <dxf>
      <border>
        <right/>
        <bottom/>
        <vertical/>
        <horizontal/>
      </border>
    </dxf>
    <dxf>
      <border>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border>
        <right/>
        <vertical/>
        <horizontal/>
      </border>
    </dxf>
    <dxf>
      <border>
        <right/>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font>
        <color theme="1" tint="0.24994659260841701"/>
      </font>
    </dxf>
    <dxf>
      <font>
        <color theme="1" tint="0.24994659260841701"/>
      </font>
    </dxf>
    <dxf>
      <fill>
        <patternFill>
          <bgColor theme="2" tint="-0.749961851863155"/>
        </patternFill>
      </fill>
      <border>
        <right style="thin">
          <color theme="1" tint="4.9989318521683403E-2"/>
        </right>
        <top style="thin">
          <color theme="1" tint="4.9989318521683403E-2"/>
        </top>
        <bottom style="thin">
          <color theme="1" tint="4.9989318521683403E-2"/>
        </bottom>
        <vertical/>
        <horizontal/>
      </border>
    </dxf>
    <dxf>
      <border>
        <right/>
        <bottom/>
        <vertical/>
        <horizontal/>
      </border>
    </dxf>
    <dxf>
      <font>
        <color theme="1" tint="0.24994659260841701"/>
      </font>
    </dxf>
    <dxf>
      <border>
        <right/>
        <vertical/>
        <horizontal/>
      </border>
    </dxf>
    <dxf>
      <fill>
        <patternFill>
          <bgColor theme="2" tint="-0.749961851863155"/>
        </patternFill>
      </fill>
      <border>
        <left style="thin">
          <color theme="1" tint="4.9989318521683403E-2"/>
        </left>
        <top style="thin">
          <color theme="1" tint="4.9989318521683403E-2"/>
        </top>
        <bottom style="thin">
          <color theme="1" tint="4.9989318521683403E-2"/>
        </bottom>
        <vertical/>
        <horizontal/>
      </border>
    </dxf>
    <dxf>
      <fill>
        <patternFill>
          <bgColor theme="2" tint="-0.749961851863155"/>
        </patternFill>
      </fill>
      <border>
        <right style="thin">
          <color theme="1" tint="4.9989318521683403E-2"/>
        </right>
        <bottom style="thin">
          <color theme="1" tint="4.9989318521683403E-2"/>
        </bottom>
        <vertical/>
        <horizontal/>
      </border>
    </dxf>
    <dxf>
      <font>
        <color theme="1" tint="0.24994659260841701"/>
      </font>
    </dxf>
    <dxf>
      <border>
        <right/>
        <vertical/>
        <horizontal/>
      </border>
    </dxf>
    <dxf>
      <border>
        <bottom/>
        <vertical/>
        <horizontal/>
      </border>
    </dxf>
    <dxf>
      <border>
        <right/>
        <bottom/>
        <vertical/>
        <horizontal/>
      </border>
    </dxf>
    <dxf>
      <border>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border>
        <right/>
        <vertical/>
        <horizontal/>
      </border>
    </dxf>
    <dxf>
      <border>
        <right/>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font>
        <color theme="1" tint="0.24994659260841701"/>
      </font>
    </dxf>
    <dxf>
      <font>
        <color theme="1" tint="0.24994659260841701"/>
      </font>
    </dxf>
    <dxf>
      <fill>
        <patternFill>
          <bgColor theme="2" tint="-0.749961851863155"/>
        </patternFill>
      </fill>
      <border>
        <right style="thin">
          <color theme="1" tint="4.9989318521683403E-2"/>
        </right>
        <top style="thin">
          <color theme="1" tint="4.9989318521683403E-2"/>
        </top>
        <bottom style="thin">
          <color theme="1" tint="4.9989318521683403E-2"/>
        </bottom>
        <vertical/>
        <horizontal/>
      </border>
    </dxf>
    <dxf>
      <border>
        <right/>
        <bottom/>
        <vertical/>
        <horizontal/>
      </border>
    </dxf>
    <dxf>
      <font>
        <color theme="1" tint="0.24994659260841701"/>
      </font>
    </dxf>
    <dxf>
      <border>
        <right/>
        <vertical/>
        <horizontal/>
      </border>
    </dxf>
    <dxf>
      <fill>
        <patternFill>
          <bgColor theme="2" tint="-0.749961851863155"/>
        </patternFill>
      </fill>
      <border>
        <left style="thin">
          <color theme="1" tint="4.9989318521683403E-2"/>
        </left>
        <top style="thin">
          <color theme="1" tint="4.9989318521683403E-2"/>
        </top>
        <bottom style="thin">
          <color theme="1" tint="4.9989318521683403E-2"/>
        </bottom>
        <vertical/>
        <horizontal/>
      </border>
    </dxf>
    <dxf>
      <fill>
        <patternFill>
          <bgColor theme="2" tint="-0.749961851863155"/>
        </patternFill>
      </fill>
      <border>
        <right style="thin">
          <color theme="1" tint="4.9989318521683403E-2"/>
        </right>
        <bottom style="thin">
          <color theme="1" tint="4.9989318521683403E-2"/>
        </bottom>
        <vertical/>
        <horizontal/>
      </border>
    </dxf>
    <dxf>
      <font>
        <color theme="1" tint="0.24994659260841701"/>
      </font>
    </dxf>
    <dxf>
      <border>
        <right/>
        <vertical/>
        <horizontal/>
      </border>
    </dxf>
    <dxf>
      <border>
        <bottom/>
        <vertical/>
        <horizontal/>
      </border>
    </dxf>
    <dxf>
      <border>
        <right/>
        <bottom/>
        <vertical/>
        <horizontal/>
      </border>
    </dxf>
    <dxf>
      <border>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border>
        <right/>
        <vertical/>
        <horizontal/>
      </border>
    </dxf>
    <dxf>
      <border>
        <right/>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font>
        <color theme="1" tint="0.24994659260841701"/>
      </font>
    </dxf>
    <dxf>
      <font>
        <color theme="1" tint="0.24994659260841701"/>
      </font>
    </dxf>
    <dxf>
      <fill>
        <patternFill>
          <bgColor theme="2" tint="-0.749961851863155"/>
        </patternFill>
      </fill>
      <border>
        <right style="thin">
          <color theme="1" tint="4.9989318521683403E-2"/>
        </right>
        <top style="thin">
          <color theme="1" tint="4.9989318521683403E-2"/>
        </top>
        <bottom style="thin">
          <color theme="1" tint="4.9989318521683403E-2"/>
        </bottom>
        <vertical/>
        <horizontal/>
      </border>
    </dxf>
    <dxf>
      <border>
        <right/>
        <bottom/>
        <vertical/>
        <horizontal/>
      </border>
    </dxf>
    <dxf>
      <font>
        <color theme="1" tint="0.24994659260841701"/>
      </font>
    </dxf>
    <dxf>
      <border>
        <right/>
        <vertical/>
        <horizontal/>
      </border>
    </dxf>
    <dxf>
      <fill>
        <patternFill>
          <bgColor theme="2" tint="-0.749961851863155"/>
        </patternFill>
      </fill>
      <border>
        <left style="thin">
          <color theme="1" tint="4.9989318521683403E-2"/>
        </left>
        <top style="thin">
          <color theme="1" tint="4.9989318521683403E-2"/>
        </top>
        <bottom style="thin">
          <color theme="1" tint="4.9989318521683403E-2"/>
        </bottom>
        <vertical/>
        <horizontal/>
      </border>
    </dxf>
    <dxf>
      <fill>
        <patternFill>
          <bgColor theme="2" tint="-0.749961851863155"/>
        </patternFill>
      </fill>
      <border>
        <right style="thin">
          <color theme="1" tint="4.9989318521683403E-2"/>
        </right>
        <bottom style="thin">
          <color theme="1" tint="4.9989318521683403E-2"/>
        </bottom>
        <vertical/>
        <horizontal/>
      </border>
    </dxf>
    <dxf>
      <font>
        <color theme="1" tint="0.24994659260841701"/>
      </font>
    </dxf>
    <dxf>
      <border>
        <right/>
        <vertical/>
        <horizontal/>
      </border>
    </dxf>
    <dxf>
      <border>
        <bottom/>
        <vertical/>
        <horizontal/>
      </border>
    </dxf>
    <dxf>
      <border>
        <right/>
        <bottom/>
        <vertical/>
        <horizontal/>
      </border>
    </dxf>
    <dxf>
      <border>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border>
        <right/>
        <vertical/>
        <horizontal/>
      </border>
    </dxf>
    <dxf>
      <border>
        <right/>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font>
        <color theme="1" tint="0.24994659260841701"/>
      </font>
    </dxf>
    <dxf>
      <font>
        <color theme="1" tint="0.24994659260841701"/>
      </font>
    </dxf>
    <dxf>
      <fill>
        <patternFill>
          <bgColor theme="2" tint="-0.749961851863155"/>
        </patternFill>
      </fill>
      <border>
        <right style="thin">
          <color theme="1" tint="4.9989318521683403E-2"/>
        </right>
        <top style="thin">
          <color theme="1" tint="4.9989318521683403E-2"/>
        </top>
        <bottom style="thin">
          <color theme="1" tint="4.9989318521683403E-2"/>
        </bottom>
        <vertical/>
        <horizontal/>
      </border>
    </dxf>
    <dxf>
      <border>
        <right/>
        <bottom/>
        <vertical/>
        <horizontal/>
      </border>
    </dxf>
    <dxf>
      <font>
        <color theme="1" tint="0.24994659260841701"/>
      </font>
    </dxf>
    <dxf>
      <border>
        <right/>
        <vertical/>
        <horizontal/>
      </border>
    </dxf>
    <dxf>
      <fill>
        <patternFill>
          <bgColor theme="2" tint="-0.749961851863155"/>
        </patternFill>
      </fill>
      <border>
        <left style="thin">
          <color theme="1" tint="4.9989318521683403E-2"/>
        </left>
        <top style="thin">
          <color theme="1" tint="4.9989318521683403E-2"/>
        </top>
        <bottom style="thin">
          <color theme="1" tint="4.9989318521683403E-2"/>
        </bottom>
        <vertical/>
        <horizontal/>
      </border>
    </dxf>
    <dxf>
      <fill>
        <patternFill>
          <bgColor theme="2" tint="-0.749961851863155"/>
        </patternFill>
      </fill>
      <border>
        <right style="thin">
          <color theme="1" tint="4.9989318521683403E-2"/>
        </right>
        <bottom style="thin">
          <color theme="1" tint="4.9989318521683403E-2"/>
        </bottom>
        <vertical/>
        <horizontal/>
      </border>
    </dxf>
    <dxf>
      <font>
        <color theme="1" tint="0.24994659260841701"/>
      </font>
    </dxf>
    <dxf>
      <border>
        <right/>
        <vertical/>
        <horizontal/>
      </border>
    </dxf>
    <dxf>
      <border>
        <bottom/>
        <vertical/>
        <horizontal/>
      </border>
    </dxf>
    <dxf>
      <border>
        <right/>
        <bottom/>
        <vertical/>
        <horizontal/>
      </border>
    </dxf>
    <dxf>
      <border>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border>
        <right/>
        <vertical/>
        <horizontal/>
      </border>
    </dxf>
    <dxf>
      <border>
        <right/>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font>
        <color theme="1" tint="0.24994659260841701"/>
      </font>
    </dxf>
    <dxf>
      <font>
        <color theme="1" tint="0.24994659260841701"/>
      </font>
    </dxf>
    <dxf>
      <fill>
        <patternFill>
          <bgColor theme="2" tint="-0.749961851863155"/>
        </patternFill>
      </fill>
      <border>
        <right style="thin">
          <color theme="1" tint="4.9989318521683403E-2"/>
        </right>
        <top style="thin">
          <color theme="1" tint="4.9989318521683403E-2"/>
        </top>
        <bottom style="thin">
          <color theme="1" tint="4.9989318521683403E-2"/>
        </bottom>
        <vertical/>
        <horizontal/>
      </border>
    </dxf>
    <dxf>
      <border>
        <right/>
        <bottom/>
        <vertical/>
        <horizontal/>
      </border>
    </dxf>
    <dxf>
      <font>
        <color theme="1" tint="0.24994659260841701"/>
      </font>
    </dxf>
    <dxf>
      <border>
        <right/>
        <vertical/>
        <horizontal/>
      </border>
    </dxf>
    <dxf>
      <fill>
        <patternFill>
          <bgColor theme="2" tint="-0.749961851863155"/>
        </patternFill>
      </fill>
      <border>
        <left style="thin">
          <color theme="1" tint="4.9989318521683403E-2"/>
        </left>
        <top style="thin">
          <color theme="1" tint="4.9989318521683403E-2"/>
        </top>
        <bottom style="thin">
          <color theme="1" tint="4.9989318521683403E-2"/>
        </bottom>
        <vertical/>
        <horizontal/>
      </border>
    </dxf>
    <dxf>
      <fill>
        <patternFill>
          <bgColor theme="2" tint="-0.749961851863155"/>
        </patternFill>
      </fill>
      <border>
        <right style="thin">
          <color theme="1" tint="4.9989318521683403E-2"/>
        </right>
        <bottom style="thin">
          <color theme="1" tint="4.9989318521683403E-2"/>
        </bottom>
        <vertical/>
        <horizontal/>
      </border>
    </dxf>
    <dxf>
      <font>
        <color theme="1" tint="0.24994659260841701"/>
      </font>
    </dxf>
    <dxf>
      <border>
        <right/>
        <vertical/>
        <horizontal/>
      </border>
    </dxf>
    <dxf>
      <border>
        <bottom/>
        <vertical/>
        <horizontal/>
      </border>
    </dxf>
    <dxf>
      <border>
        <right/>
        <bottom/>
        <vertical/>
        <horizontal/>
      </border>
    </dxf>
    <dxf>
      <border>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border>
        <right/>
        <vertical/>
        <horizontal/>
      </border>
    </dxf>
    <dxf>
      <border>
        <right/>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font>
        <color theme="1" tint="0.24994659260841701"/>
      </font>
    </dxf>
    <dxf>
      <font>
        <color theme="1" tint="0.24994659260841701"/>
      </font>
    </dxf>
    <dxf>
      <fill>
        <patternFill>
          <bgColor theme="2" tint="-0.749961851863155"/>
        </patternFill>
      </fill>
      <border>
        <right style="thin">
          <color theme="1" tint="4.9989318521683403E-2"/>
        </right>
        <top style="thin">
          <color theme="1" tint="4.9989318521683403E-2"/>
        </top>
        <bottom style="thin">
          <color theme="1" tint="4.9989318521683403E-2"/>
        </bottom>
        <vertical/>
        <horizontal/>
      </border>
    </dxf>
    <dxf>
      <border>
        <right/>
        <bottom/>
        <vertical/>
        <horizontal/>
      </border>
    </dxf>
    <dxf>
      <font>
        <color theme="1" tint="0.24994659260841701"/>
      </font>
    </dxf>
    <dxf>
      <border>
        <right/>
        <vertical/>
        <horizontal/>
      </border>
    </dxf>
    <dxf>
      <fill>
        <patternFill>
          <bgColor theme="2" tint="-0.749961851863155"/>
        </patternFill>
      </fill>
      <border>
        <left style="thin">
          <color theme="1" tint="4.9989318521683403E-2"/>
        </left>
        <top style="thin">
          <color theme="1" tint="4.9989318521683403E-2"/>
        </top>
        <bottom style="thin">
          <color theme="1" tint="4.9989318521683403E-2"/>
        </bottom>
        <vertical/>
        <horizontal/>
      </border>
    </dxf>
    <dxf>
      <fill>
        <patternFill>
          <bgColor theme="2" tint="-0.749961851863155"/>
        </patternFill>
      </fill>
      <border>
        <right style="thin">
          <color theme="1" tint="4.9989318521683403E-2"/>
        </right>
        <bottom style="thin">
          <color theme="1" tint="4.9989318521683403E-2"/>
        </bottom>
        <vertical/>
        <horizontal/>
      </border>
    </dxf>
    <dxf>
      <font>
        <color theme="1" tint="0.24994659260841701"/>
      </font>
    </dxf>
    <dxf>
      <border>
        <right/>
        <vertical/>
        <horizontal/>
      </border>
    </dxf>
    <dxf>
      <border>
        <bottom/>
        <vertical/>
        <horizontal/>
      </border>
    </dxf>
    <dxf>
      <border>
        <right/>
        <bottom/>
        <vertical/>
        <horizontal/>
      </border>
    </dxf>
    <dxf>
      <border>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border>
        <right/>
        <vertical/>
        <horizontal/>
      </border>
    </dxf>
    <dxf>
      <border>
        <right/>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font>
        <color theme="1" tint="0.24994659260841701"/>
      </font>
    </dxf>
    <dxf>
      <font>
        <color theme="1" tint="0.24994659260841701"/>
      </font>
    </dxf>
    <dxf>
      <fill>
        <patternFill>
          <bgColor theme="2" tint="-0.749961851863155"/>
        </patternFill>
      </fill>
      <border>
        <right style="thin">
          <color theme="1" tint="4.9989318521683403E-2"/>
        </right>
        <top style="thin">
          <color theme="1" tint="4.9989318521683403E-2"/>
        </top>
        <bottom style="thin">
          <color theme="1" tint="4.9989318521683403E-2"/>
        </bottom>
        <vertical/>
        <horizontal/>
      </border>
    </dxf>
    <dxf>
      <border>
        <right/>
        <bottom/>
        <vertical/>
        <horizontal/>
      </border>
    </dxf>
    <dxf>
      <font>
        <color theme="1" tint="0.24994659260841701"/>
      </font>
    </dxf>
    <dxf>
      <border>
        <right/>
        <vertical/>
        <horizontal/>
      </border>
    </dxf>
    <dxf>
      <fill>
        <patternFill>
          <bgColor theme="2" tint="-0.749961851863155"/>
        </patternFill>
      </fill>
      <border>
        <left style="thin">
          <color theme="1" tint="4.9989318521683403E-2"/>
        </left>
        <top style="thin">
          <color theme="1" tint="4.9989318521683403E-2"/>
        </top>
        <bottom style="thin">
          <color theme="1" tint="4.9989318521683403E-2"/>
        </bottom>
        <vertical/>
        <horizontal/>
      </border>
    </dxf>
    <dxf>
      <fill>
        <patternFill>
          <bgColor theme="2" tint="-0.749961851863155"/>
        </patternFill>
      </fill>
      <border>
        <right style="thin">
          <color theme="1" tint="4.9989318521683403E-2"/>
        </right>
        <bottom style="thin">
          <color theme="1" tint="4.9989318521683403E-2"/>
        </bottom>
        <vertical/>
        <horizontal/>
      </border>
    </dxf>
    <dxf>
      <font>
        <color theme="1" tint="0.24994659260841701"/>
      </font>
    </dxf>
    <dxf>
      <border>
        <right/>
        <vertical/>
        <horizontal/>
      </border>
    </dxf>
    <dxf>
      <border>
        <bottom/>
        <vertical/>
        <horizontal/>
      </border>
    </dxf>
    <dxf>
      <border>
        <right/>
        <bottom/>
        <vertical/>
        <horizontal/>
      </border>
    </dxf>
    <dxf>
      <border>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border>
        <right/>
        <vertical/>
        <horizontal/>
      </border>
    </dxf>
    <dxf>
      <border>
        <right/>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font>
        <color theme="1" tint="0.24994659260841701"/>
      </font>
    </dxf>
    <dxf>
      <font>
        <color theme="1" tint="0.24994659260841701"/>
      </font>
    </dxf>
    <dxf>
      <fill>
        <patternFill>
          <bgColor theme="2" tint="-0.749961851863155"/>
        </patternFill>
      </fill>
      <border>
        <right style="thin">
          <color theme="1" tint="4.9989318521683403E-2"/>
        </right>
        <top style="thin">
          <color theme="1" tint="4.9989318521683403E-2"/>
        </top>
        <bottom style="thin">
          <color theme="1" tint="4.9989318521683403E-2"/>
        </bottom>
        <vertical/>
        <horizontal/>
      </border>
    </dxf>
    <dxf>
      <border>
        <right/>
        <bottom/>
        <vertical/>
        <horizontal/>
      </border>
    </dxf>
    <dxf>
      <font>
        <color theme="1" tint="0.24994659260841701"/>
      </font>
    </dxf>
    <dxf>
      <border>
        <right/>
        <vertical/>
        <horizontal/>
      </border>
    </dxf>
    <dxf>
      <fill>
        <patternFill>
          <bgColor theme="2" tint="-0.749961851863155"/>
        </patternFill>
      </fill>
      <border>
        <left style="thin">
          <color theme="1" tint="4.9989318521683403E-2"/>
        </left>
        <top style="thin">
          <color theme="1" tint="4.9989318521683403E-2"/>
        </top>
        <bottom style="thin">
          <color theme="1" tint="4.9989318521683403E-2"/>
        </bottom>
        <vertical/>
        <horizontal/>
      </border>
    </dxf>
    <dxf>
      <fill>
        <patternFill>
          <bgColor theme="2" tint="-0.749961851863155"/>
        </patternFill>
      </fill>
      <border>
        <right style="thin">
          <color theme="1" tint="4.9989318521683403E-2"/>
        </right>
        <bottom style="thin">
          <color theme="1" tint="4.9989318521683403E-2"/>
        </bottom>
        <vertical/>
        <horizontal/>
      </border>
    </dxf>
    <dxf>
      <font>
        <color theme="1" tint="0.24994659260841701"/>
      </font>
    </dxf>
    <dxf>
      <border>
        <right/>
        <vertical/>
        <horizontal/>
      </border>
    </dxf>
    <dxf>
      <border>
        <bottom/>
        <vertical/>
        <horizontal/>
      </border>
    </dxf>
    <dxf>
      <border>
        <right/>
        <bottom/>
        <vertical/>
        <horizontal/>
      </border>
    </dxf>
    <dxf>
      <border>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border>
        <right/>
        <vertical/>
        <horizontal/>
      </border>
    </dxf>
    <dxf>
      <border>
        <right/>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font>
        <color theme="1" tint="0.24994659260841701"/>
      </font>
    </dxf>
    <dxf>
      <font>
        <color theme="1" tint="0.24994659260841701"/>
      </font>
    </dxf>
    <dxf>
      <fill>
        <patternFill>
          <bgColor theme="2" tint="-0.749961851863155"/>
        </patternFill>
      </fill>
      <border>
        <right style="thin">
          <color theme="1" tint="4.9989318521683403E-2"/>
        </right>
        <top style="thin">
          <color theme="1" tint="4.9989318521683403E-2"/>
        </top>
        <bottom style="thin">
          <color theme="1" tint="4.9989318521683403E-2"/>
        </bottom>
        <vertical/>
        <horizontal/>
      </border>
    </dxf>
    <dxf>
      <border>
        <right/>
        <bottom/>
        <vertical/>
        <horizontal/>
      </border>
    </dxf>
    <dxf>
      <font>
        <color theme="1" tint="0.24994659260841701"/>
      </font>
    </dxf>
    <dxf>
      <border>
        <right/>
        <vertical/>
        <horizontal/>
      </border>
    </dxf>
    <dxf>
      <fill>
        <patternFill>
          <bgColor theme="2" tint="-0.749961851863155"/>
        </patternFill>
      </fill>
      <border>
        <left style="thin">
          <color theme="1" tint="4.9989318521683403E-2"/>
        </left>
        <top style="thin">
          <color theme="1" tint="4.9989318521683403E-2"/>
        </top>
        <bottom style="thin">
          <color theme="1" tint="4.9989318521683403E-2"/>
        </bottom>
        <vertical/>
        <horizontal/>
      </border>
    </dxf>
    <dxf>
      <fill>
        <patternFill>
          <bgColor theme="2" tint="-0.749961851863155"/>
        </patternFill>
      </fill>
      <border>
        <right style="thin">
          <color theme="1" tint="4.9989318521683403E-2"/>
        </right>
        <bottom style="thin">
          <color theme="1" tint="4.9989318521683403E-2"/>
        </bottom>
        <vertical/>
        <horizontal/>
      </border>
    </dxf>
    <dxf>
      <font>
        <color theme="1" tint="0.24994659260841701"/>
      </font>
    </dxf>
    <dxf>
      <border>
        <right/>
        <vertical/>
        <horizontal/>
      </border>
    </dxf>
    <dxf>
      <border>
        <bottom/>
        <vertical/>
        <horizontal/>
      </border>
    </dxf>
    <dxf>
      <border>
        <right/>
        <bottom/>
        <vertical/>
        <horizontal/>
      </border>
    </dxf>
    <dxf>
      <border>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border>
        <right/>
        <vertical/>
        <horizontal/>
      </border>
    </dxf>
    <dxf>
      <border>
        <right/>
        <bottom/>
        <vertical/>
        <horizontal/>
      </border>
    </dxf>
    <dxf>
      <fill>
        <patternFill>
          <bgColor theme="2" tint="-0.749961851863155"/>
        </patternFill>
      </fill>
      <border>
        <left style="thin">
          <color theme="1" tint="4.9989318521683403E-2"/>
        </left>
        <right style="thin">
          <color theme="1" tint="4.9989318521683403E-2"/>
        </right>
        <top style="thin">
          <color theme="1" tint="4.9989318521683403E-2"/>
        </top>
        <bottom style="thin">
          <color theme="1" tint="4.9989318521683403E-2"/>
        </bottom>
      </border>
    </dxf>
    <dxf>
      <font>
        <color theme="0"/>
      </font>
    </dxf>
    <dxf>
      <font>
        <color theme="0"/>
      </font>
    </dxf>
    <dxf>
      <font>
        <color theme="0"/>
      </font>
    </dxf>
    <dxf>
      <font>
        <color theme="0"/>
      </font>
    </dxf>
    <dxf>
      <font>
        <color theme="0"/>
      </font>
    </dxf>
    <dxf>
      <font>
        <color theme="0"/>
      </font>
    </dxf>
    <dxf>
      <font>
        <color theme="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0"/>
      </font>
    </dxf>
    <dxf>
      <font>
        <color theme="0"/>
      </font>
    </dxf>
    <dxf>
      <font>
        <color theme="0"/>
      </font>
    </dxf>
    <dxf>
      <font>
        <color theme="0"/>
      </font>
    </dxf>
    <dxf>
      <font>
        <color theme="0"/>
      </font>
    </dxf>
    <dxf>
      <font>
        <color theme="1" tint="0.14996795556505021"/>
      </font>
    </dxf>
    <dxf>
      <font>
        <color theme="0"/>
      </font>
    </dxf>
    <dxf>
      <font>
        <color theme="1" tint="0.14996795556505021"/>
      </font>
    </dxf>
    <dxf>
      <font>
        <color theme="1" tint="0.14996795556505021"/>
      </font>
    </dxf>
    <dxf>
      <font>
        <color theme="1" tint="0.14996795556505021"/>
      </font>
    </dxf>
    <dxf>
      <font>
        <color theme="1" tint="0.14996795556505021"/>
      </font>
    </dxf>
    <dxf>
      <font>
        <color theme="1" tint="0.14996795556505021"/>
      </font>
    </dxf>
    <dxf>
      <font>
        <color theme="1" tint="4.9989318521683403E-2"/>
      </font>
    </dxf>
    <dxf>
      <font>
        <color theme="1"/>
      </font>
      <fill>
        <patternFill>
          <bgColor theme="0"/>
        </patternFill>
      </fill>
    </dxf>
    <dxf>
      <font>
        <color theme="1"/>
      </font>
      <fill>
        <patternFill>
          <bgColor theme="0"/>
        </patternFill>
      </fill>
      <border>
        <right style="thin">
          <color theme="1" tint="0.14996795556505021"/>
        </right>
      </border>
    </dxf>
    <dxf>
      <font>
        <color theme="0" tint="-0.24994659260841701"/>
      </font>
    </dxf>
    <dxf>
      <font>
        <color theme="0" tint="-0.24994659260841701"/>
      </font>
    </dxf>
    <dxf>
      <font>
        <color theme="0" tint="-0.499984740745262"/>
      </font>
      <fill>
        <patternFill>
          <bgColor theme="0" tint="-0.34998626667073579"/>
        </patternFill>
      </fill>
    </dxf>
    <dxf>
      <font>
        <color theme="0"/>
      </font>
      <fill>
        <patternFill>
          <bgColor theme="1"/>
        </patternFill>
      </fill>
    </dxf>
    <dxf>
      <font>
        <color theme="0" tint="-0.499984740745262"/>
      </font>
      <fill>
        <patternFill>
          <bgColor theme="0" tint="-0.34998626667073579"/>
        </patternFill>
      </fill>
    </dxf>
    <dxf>
      <font>
        <color theme="0"/>
      </font>
      <fill>
        <patternFill>
          <bgColor theme="1"/>
        </patternFill>
      </fill>
    </dxf>
    <dxf>
      <font>
        <color theme="0" tint="-0.499984740745262"/>
      </font>
      <fill>
        <patternFill>
          <bgColor theme="0" tint="-0.34998626667073579"/>
        </patternFill>
      </fill>
    </dxf>
    <dxf>
      <font>
        <color theme="0"/>
      </font>
      <fill>
        <patternFill>
          <bgColor theme="1"/>
        </patternFill>
      </fill>
    </dxf>
    <dxf>
      <font>
        <color theme="0" tint="-0.499984740745262"/>
      </font>
      <fill>
        <patternFill>
          <bgColor theme="0" tint="-0.34998626667073579"/>
        </patternFill>
      </fill>
    </dxf>
    <dxf>
      <font>
        <color theme="0"/>
      </font>
      <fill>
        <patternFill>
          <bgColor theme="1"/>
        </patternFill>
      </fill>
    </dxf>
    <dxf>
      <font>
        <color theme="0" tint="-0.499984740745262"/>
      </font>
      <fill>
        <patternFill>
          <bgColor theme="0" tint="-0.34998626667073579"/>
        </patternFill>
      </fill>
    </dxf>
    <dxf>
      <font>
        <color theme="0"/>
      </font>
      <fill>
        <patternFill>
          <bgColor theme="1"/>
        </patternFill>
      </fill>
    </dxf>
    <dxf>
      <fill>
        <patternFill>
          <bgColor theme="2"/>
        </patternFill>
      </fill>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theme="0"/>
      </font>
      <fill>
        <patternFill>
          <bgColor theme="1"/>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ont>
        <color theme="0"/>
      </font>
      <fill>
        <patternFill>
          <bgColor theme="1"/>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ont>
        <color theme="0"/>
      </font>
      <fill>
        <patternFill>
          <bgColor theme="1"/>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ont>
        <color theme="1"/>
      </font>
      <fill>
        <patternFill>
          <bgColor rgb="FFFF6600"/>
        </patternFill>
      </fill>
    </dxf>
    <dxf>
      <font>
        <color theme="0"/>
      </font>
      <fill>
        <patternFill>
          <bgColor theme="1"/>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theme="1"/>
      </font>
    </dxf>
    <dxf>
      <font>
        <b val="0"/>
        <i val="0"/>
        <color theme="0" tint="-0.499984740745262"/>
      </font>
      <fill>
        <patternFill>
          <bgColor theme="0" tint="-0.34998626667073579"/>
        </patternFill>
      </fill>
    </dxf>
    <dxf>
      <font>
        <color rgb="FFFF6600"/>
      </font>
    </dxf>
    <dxf>
      <font>
        <color theme="1"/>
      </font>
    </dxf>
    <dxf>
      <font>
        <b val="0"/>
        <i val="0"/>
        <color theme="0" tint="-0.499984740745262"/>
      </font>
      <fill>
        <patternFill>
          <bgColor theme="0" tint="-0.34998626667073579"/>
        </patternFill>
      </fill>
    </dxf>
    <dxf>
      <font>
        <color theme="0"/>
      </font>
      <fill>
        <patternFill>
          <bgColor theme="1"/>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ont>
        <b val="0"/>
        <i val="0"/>
        <color theme="0" tint="-0.499984740745262"/>
      </font>
      <fill>
        <patternFill>
          <bgColor theme="0" tint="-0.34998626667073579"/>
        </patternFill>
      </fill>
    </dxf>
    <dxf>
      <font>
        <color theme="0"/>
      </font>
      <fill>
        <patternFill>
          <bgColor theme="1"/>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ont>
        <b val="0"/>
        <i val="0"/>
        <color theme="0" tint="-0.499984740745262"/>
      </font>
      <fill>
        <patternFill>
          <bgColor theme="0" tint="-0.34998626667073579"/>
        </patternFill>
      </fill>
    </dxf>
    <dxf>
      <font>
        <color theme="0"/>
      </font>
      <fill>
        <patternFill>
          <bgColor theme="1"/>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ont>
        <b val="0"/>
        <i val="0"/>
        <color theme="0" tint="-0.499984740745262"/>
      </font>
      <fill>
        <patternFill>
          <bgColor theme="0" tint="-0.34998626667073579"/>
        </patternFill>
      </fill>
    </dxf>
    <dxf>
      <font>
        <color theme="1"/>
      </font>
      <fill>
        <patternFill>
          <bgColor rgb="FFFF6600"/>
        </patternFill>
      </fill>
    </dxf>
    <dxf>
      <font>
        <color theme="0"/>
      </font>
      <fill>
        <patternFill>
          <bgColor theme="1"/>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ont>
        <b val="0"/>
        <i val="0"/>
        <color theme="0" tint="-0.499984740745262"/>
      </font>
      <fill>
        <patternFill>
          <bgColor theme="0" tint="-0.34998626667073579"/>
        </patternFill>
      </fill>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theme="1"/>
      </font>
    </dxf>
    <dxf>
      <font>
        <b val="0"/>
        <i val="0"/>
        <color theme="0" tint="-0.499984740745262"/>
      </font>
      <fill>
        <patternFill>
          <bgColor theme="0" tint="-0.34998626667073579"/>
        </patternFill>
      </fill>
    </dxf>
    <dxf>
      <font>
        <color theme="1"/>
      </font>
    </dxf>
    <dxf>
      <font>
        <color theme="0"/>
      </font>
      <fill>
        <patternFill>
          <bgColor theme="1"/>
        </patternFill>
      </fill>
    </dxf>
    <dxf>
      <font>
        <color theme="0" tint="-0.499984740745262"/>
      </font>
      <fill>
        <patternFill>
          <bgColor theme="0" tint="-0.34998626667073579"/>
        </patternFill>
      </fill>
    </dxf>
    <dxf>
      <font>
        <color theme="0"/>
      </font>
      <fill>
        <patternFill>
          <bgColor theme="1"/>
        </patternFill>
      </fill>
    </dxf>
    <dxf>
      <font>
        <color theme="0" tint="-0.499984740745262"/>
      </font>
      <fill>
        <patternFill>
          <bgColor theme="0" tint="-0.34998626667073579"/>
        </patternFill>
      </fill>
    </dxf>
    <dxf>
      <font>
        <color theme="0" tint="-0.499984740745262"/>
      </font>
    </dxf>
    <dxf>
      <font>
        <color theme="1"/>
      </font>
    </dxf>
    <dxf>
      <font>
        <color theme="0"/>
      </font>
      <fill>
        <patternFill>
          <bgColor theme="1"/>
        </patternFill>
      </fill>
    </dxf>
    <dxf>
      <font>
        <color theme="0" tint="-0.499984740745262"/>
      </font>
      <fill>
        <patternFill>
          <bgColor theme="0" tint="-0.34998626667073579"/>
        </patternFill>
      </fill>
    </dxf>
    <dxf>
      <font>
        <color theme="0" tint="-0.499984740745262"/>
      </font>
      <fill>
        <patternFill>
          <bgColor theme="0" tint="-0.34998626667073579"/>
        </patternFill>
      </fill>
    </dxf>
    <dxf>
      <font>
        <color theme="0"/>
      </font>
      <fill>
        <patternFill>
          <bgColor theme="1"/>
        </patternFill>
      </fill>
    </dxf>
    <dxf>
      <font>
        <color theme="0" tint="-0.499984740745262"/>
      </font>
      <fill>
        <patternFill>
          <bgColor theme="0" tint="-0.34998626667073579"/>
        </patternFill>
      </fill>
    </dxf>
    <dxf>
      <font>
        <color theme="0"/>
      </font>
      <fill>
        <patternFill>
          <bgColor theme="1"/>
        </patternFill>
      </fill>
    </dxf>
    <dxf>
      <font>
        <color theme="0" tint="-0.499984740745262"/>
      </font>
      <fill>
        <patternFill>
          <bgColor theme="0" tint="-0.34998626667073579"/>
        </patternFill>
      </fill>
    </dxf>
    <dxf>
      <font>
        <color theme="0"/>
      </font>
      <fill>
        <patternFill>
          <bgColor theme="1"/>
        </patternFill>
      </fill>
    </dxf>
    <dxf>
      <font>
        <color theme="0" tint="-0.499984740745262"/>
      </font>
      <fill>
        <patternFill>
          <bgColor theme="0" tint="-0.34998626667073579"/>
        </patternFill>
      </fill>
    </dxf>
    <dxf>
      <font>
        <color theme="0"/>
      </font>
      <fill>
        <patternFill>
          <bgColor theme="1"/>
        </patternFill>
      </fill>
    </dxf>
    <dxf>
      <font>
        <color theme="0" tint="-0.499984740745262"/>
      </font>
      <fill>
        <patternFill>
          <bgColor theme="0" tint="-0.34998626667073579"/>
        </patternFill>
      </fill>
    </dxf>
    <dxf>
      <font>
        <color theme="0"/>
      </font>
      <fill>
        <patternFill>
          <bgColor theme="1"/>
        </patternFill>
      </fill>
    </dxf>
    <dxf>
      <font>
        <color theme="0"/>
      </font>
      <fill>
        <patternFill>
          <bgColor theme="1"/>
        </patternFill>
      </fill>
    </dxf>
    <dxf>
      <font>
        <color theme="0" tint="-0.499984740745262"/>
      </font>
      <fill>
        <patternFill>
          <bgColor theme="0" tint="-0.34998626667073579"/>
        </patternFill>
      </fill>
    </dxf>
    <dxf>
      <font>
        <color theme="0"/>
      </font>
      <fill>
        <patternFill>
          <bgColor theme="1"/>
        </patternFill>
      </fill>
    </dxf>
    <dxf>
      <font>
        <color theme="0" tint="-0.499984740745262"/>
      </font>
      <fill>
        <patternFill>
          <bgColor theme="0" tint="-0.34998626667073579"/>
        </patternFill>
      </fill>
    </dxf>
    <dxf>
      <font>
        <color theme="0"/>
      </font>
      <fill>
        <patternFill>
          <bgColor theme="1"/>
        </patternFill>
      </fill>
    </dxf>
    <dxf>
      <font>
        <color theme="0" tint="-0.499984740745262"/>
      </font>
      <fill>
        <patternFill>
          <bgColor theme="0" tint="-0.34998626667073579"/>
        </patternFill>
      </fill>
    </dxf>
    <dxf>
      <font>
        <color theme="0"/>
      </font>
      <fill>
        <patternFill>
          <bgColor theme="1"/>
        </patternFill>
      </fill>
    </dxf>
    <dxf>
      <font>
        <color theme="0" tint="-0.499984740745262"/>
      </font>
      <fill>
        <patternFill>
          <bgColor theme="0" tint="-0.34998626667073579"/>
        </patternFill>
      </fill>
    </dxf>
    <dxf>
      <font>
        <color theme="0"/>
      </font>
      <fill>
        <patternFill>
          <bgColor theme="1"/>
        </patternFill>
      </fill>
    </dxf>
    <dxf>
      <font>
        <color theme="0" tint="-0.499984740745262"/>
      </font>
      <fill>
        <patternFill>
          <bgColor theme="0" tint="-0.34998626667073579"/>
        </patternFill>
      </fill>
    </dxf>
    <dxf>
      <font>
        <color theme="0"/>
      </font>
      <fill>
        <patternFill>
          <bgColor theme="1"/>
        </patternFill>
      </fill>
    </dxf>
    <dxf>
      <font>
        <color theme="0" tint="-0.499984740745262"/>
      </font>
      <fill>
        <patternFill>
          <bgColor theme="0" tint="-0.34998626667073579"/>
        </patternFill>
      </fill>
    </dxf>
    <dxf>
      <font>
        <color theme="0"/>
      </font>
      <fill>
        <patternFill>
          <bgColor theme="1"/>
        </patternFill>
      </fill>
    </dxf>
    <dxf>
      <font>
        <color theme="0" tint="-0.499984740745262"/>
      </font>
      <fill>
        <patternFill>
          <bgColor theme="0" tint="-0.34998626667073579"/>
        </patternFill>
      </fill>
    </dxf>
    <dxf>
      <font>
        <b val="0"/>
        <i val="0"/>
        <color theme="0" tint="-0.499984740745262"/>
      </font>
      <fill>
        <patternFill>
          <bgColor theme="0" tint="-0.34998626667073579"/>
        </patternFill>
      </fill>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B0F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b val="0"/>
        <i val="0"/>
        <color theme="0" tint="-0.499984740745262"/>
      </font>
      <fill>
        <patternFill>
          <bgColor theme="0" tint="-0.34998626667073579"/>
        </patternFill>
      </fill>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AA71"/>
      </font>
    </dxf>
    <dxf>
      <font>
        <color rgb="FFFF5B5B"/>
      </font>
    </dxf>
    <dxf>
      <font>
        <color rgb="FFFF9B9B"/>
      </font>
    </dxf>
    <dxf>
      <font>
        <color rgb="FFFF97FF"/>
      </font>
    </dxf>
    <dxf>
      <font>
        <color rgb="FFD765FF"/>
      </font>
    </dxf>
    <dxf>
      <font>
        <color rgb="FFA54BFF"/>
      </font>
    </dxf>
    <dxf>
      <font>
        <color rgb="FF4FB4FF"/>
      </font>
    </dxf>
    <dxf>
      <font>
        <color rgb="FF69D8FF"/>
      </font>
    </dxf>
    <dxf>
      <font>
        <color rgb="FF2DFF8C"/>
      </font>
    </dxf>
    <dxf>
      <font>
        <color rgb="FFC0E399"/>
      </font>
    </dxf>
    <dxf>
      <font>
        <color rgb="FFFFFF00"/>
      </font>
    </dxf>
    <dxf>
      <font>
        <color rgb="FFFFD85B"/>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ont>
        <color theme="0"/>
      </font>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ont>
        <color theme="0"/>
      </font>
    </dxf>
    <dxf>
      <font>
        <color theme="0"/>
      </font>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ont>
        <color theme="0"/>
      </font>
    </dxf>
    <dxf>
      <font>
        <color theme="0"/>
      </font>
    </dxf>
    <dxf>
      <font>
        <color theme="0"/>
      </font>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ont>
        <color theme="0"/>
      </font>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ont>
        <color theme="0"/>
      </font>
    </dxf>
    <dxf>
      <font>
        <color theme="1"/>
      </font>
    </dxf>
    <dxf>
      <fill>
        <patternFill>
          <bgColor rgb="FFFF6600"/>
        </patternFill>
      </fill>
    </dxf>
    <dxf>
      <fill>
        <patternFill>
          <bgColor rgb="FFC00000"/>
        </patternFill>
      </fill>
    </dxf>
    <dxf>
      <fill>
        <patternFill>
          <bgColor rgb="FFFF0000"/>
        </patternFill>
      </fill>
    </dxf>
    <dxf>
      <fill>
        <patternFill>
          <bgColor rgb="FFFF00FF"/>
        </patternFill>
      </fill>
    </dxf>
    <dxf>
      <fill>
        <patternFill>
          <bgColor rgb="FF9900CC"/>
        </patternFill>
      </fill>
    </dxf>
    <dxf>
      <fill>
        <patternFill>
          <bgColor rgb="FF6600CC"/>
        </patternFill>
      </fill>
    </dxf>
    <dxf>
      <fill>
        <patternFill>
          <bgColor rgb="FF0070C0"/>
        </patternFill>
      </fill>
    </dxf>
    <dxf>
      <fill>
        <patternFill>
          <bgColor rgb="FF00B0F0"/>
        </patternFill>
      </fill>
    </dxf>
    <dxf>
      <fill>
        <patternFill>
          <bgColor rgb="FF00B050"/>
        </patternFill>
      </fill>
    </dxf>
    <dxf>
      <fill>
        <patternFill>
          <bgColor rgb="FF92D050"/>
        </patternFill>
      </fill>
    </dxf>
    <dxf>
      <fill>
        <patternFill>
          <bgColor rgb="FFEBE600"/>
        </patternFill>
      </fill>
    </dxf>
    <dxf>
      <fill>
        <patternFill>
          <bgColor rgb="FFFFC000"/>
        </patternFill>
      </fill>
    </dxf>
    <dxf>
      <fill>
        <patternFill>
          <bgColor theme="0" tint="-0.34998626667073579"/>
        </patternFill>
      </fill>
    </dxf>
    <dxf>
      <fill>
        <patternFill>
          <bgColor theme="1"/>
        </patternFill>
      </fill>
    </dxf>
    <dxf>
      <fill>
        <patternFill>
          <bgColor theme="0"/>
        </patternFill>
      </fill>
    </dxf>
    <dxf>
      <font>
        <color theme="0"/>
      </font>
    </dxf>
    <dxf>
      <font>
        <color theme="0"/>
      </font>
    </dxf>
    <dxf>
      <font>
        <color theme="0"/>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ill>
        <patternFill>
          <bgColor theme="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rgb="FFC00000"/>
      </font>
    </dxf>
    <dxf>
      <font>
        <color rgb="FFFF0000"/>
      </font>
    </dxf>
    <dxf>
      <font>
        <color rgb="FFFF00FF"/>
      </font>
    </dxf>
    <dxf>
      <font>
        <color rgb="FF9900CC"/>
      </font>
    </dxf>
    <dxf>
      <font>
        <color rgb="FF6600CC"/>
      </font>
    </dxf>
    <dxf>
      <font>
        <color rgb="FF0070C0"/>
      </font>
    </dxf>
    <dxf>
      <font>
        <color rgb="FF00B0F0"/>
      </font>
    </dxf>
    <dxf>
      <font>
        <color rgb="FF00B050"/>
      </font>
    </dxf>
    <dxf>
      <font>
        <color rgb="FF92D050"/>
      </font>
    </dxf>
    <dxf>
      <font>
        <color rgb="FFEBE600"/>
      </font>
    </dxf>
    <dxf>
      <font>
        <color rgb="FFFFC000"/>
      </font>
    </dxf>
    <dxf>
      <font>
        <color rgb="FFFF6600"/>
      </font>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1"/>
        </patternFill>
      </fill>
    </dxf>
    <dxf>
      <font>
        <color theme="0"/>
      </font>
      <fill>
        <patternFill>
          <bgColor theme="0" tint="-0.24994659260841701"/>
        </patternFill>
      </fill>
    </dxf>
    <dxf>
      <font>
        <color theme="0"/>
      </font>
      <fill>
        <patternFill>
          <bgColor theme="1"/>
        </patternFill>
      </fill>
    </dxf>
    <dxf>
      <font>
        <color theme="0"/>
      </font>
    </dxf>
    <dxf>
      <font>
        <color theme="0"/>
      </font>
      <fill>
        <patternFill>
          <bgColor theme="1"/>
        </patternFill>
      </fill>
    </dxf>
    <dxf>
      <font>
        <color theme="1"/>
      </font>
      <fill>
        <patternFill>
          <bgColor theme="0" tint="-0.24994659260841701"/>
        </patternFill>
      </fill>
    </dxf>
    <dxf>
      <font>
        <color theme="0"/>
      </font>
      <fill>
        <patternFill>
          <bgColor theme="1"/>
        </patternFill>
      </fill>
    </dxf>
    <dxf>
      <font>
        <color theme="1"/>
      </font>
      <fill>
        <patternFill>
          <bgColor theme="0" tint="-0.24994659260841701"/>
        </patternFill>
      </fill>
    </dxf>
    <dxf>
      <font>
        <color theme="0"/>
      </font>
      <fill>
        <patternFill>
          <bgColor theme="1"/>
        </patternFill>
      </fill>
    </dxf>
    <dxf>
      <font>
        <color theme="1"/>
      </font>
      <fill>
        <patternFill>
          <bgColor theme="0" tint="-0.24994659260841701"/>
        </patternFill>
      </fill>
    </dxf>
    <dxf>
      <font>
        <color theme="0"/>
      </font>
      <fill>
        <patternFill>
          <bgColor theme="1"/>
        </patternFill>
      </fill>
    </dxf>
    <dxf>
      <font>
        <color theme="1"/>
      </font>
    </dxf>
    <dxf>
      <border>
        <left style="medium">
          <color auto="1"/>
        </left>
        <right style="medium">
          <color auto="1"/>
        </right>
        <vertical style="medium">
          <color auto="1"/>
        </vertical>
      </border>
    </dxf>
    <dxf>
      <fill>
        <patternFill>
          <bgColor theme="0" tint="-0.14996795556505021"/>
        </patternFill>
      </fill>
    </dxf>
    <dxf>
      <fill>
        <patternFill>
          <fgColor theme="0" tint="-0.24994659260841701"/>
          <bgColor theme="0" tint="-0.34998626667073579"/>
        </patternFill>
      </fill>
    </dxf>
    <dxf>
      <font>
        <b/>
        <i val="0"/>
        <color theme="1"/>
      </font>
      <fill>
        <patternFill>
          <bgColor rgb="FFFF6600"/>
        </patternFill>
      </fill>
    </dxf>
    <dxf>
      <font>
        <b/>
        <i val="0"/>
        <color theme="0"/>
      </font>
      <fill>
        <patternFill>
          <bgColor rgb="FFFF6600"/>
        </patternFill>
      </fill>
    </dxf>
  </dxfs>
  <tableStyles count="1" defaultTableStyle="TableStyleMedium2" defaultPivotStyle="PivotStyleLight16">
    <tableStyle name="Gameplan07" pivot="0" count="5" xr9:uid="{77C3C80C-262D-4F73-88C4-95F7142267AD}">
      <tableStyleElement type="headerRow" dxfId="5840"/>
      <tableStyleElement type="totalRow" dxfId="5839"/>
      <tableStyleElement type="firstRowStripe" dxfId="5838"/>
      <tableStyleElement type="secondRowStripe" dxfId="5837"/>
      <tableStyleElement type="firstColumnStripe" dxfId="5836"/>
    </tableStyle>
  </tableStyles>
  <colors>
    <mruColors>
      <color rgb="FFFF6600"/>
      <color rgb="FFFF00FF"/>
      <color rgb="FF9900CC"/>
      <color rgb="FF969696"/>
      <color rgb="FF9D9D9D"/>
      <color rgb="FF6600CC"/>
      <color rgb="FF919191"/>
      <color rgb="FFCFCFCF"/>
      <color rgb="FFC0C0C0"/>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 Target="richData/rdrichvalue.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solidFill>
          <a:srgbClr val="000000">
            <a:alpha val="30196"/>
          </a:srgbClr>
        </a:solidFill>
        <a:ln>
          <a:noFill/>
        </a:ln>
        <a:effectLst/>
        <a:sp3d/>
      </c:spPr>
    </c:sideWall>
    <c:backWall>
      <c:thickness val="0"/>
      <c:spPr>
        <a:solidFill>
          <a:srgbClr val="000000">
            <a:alpha val="30196"/>
          </a:srgbClr>
        </a:solidFill>
        <a:ln>
          <a:noFill/>
        </a:ln>
        <a:effectLst/>
        <a:sp3d/>
      </c:spPr>
    </c:backWall>
    <c:plotArea>
      <c:layout>
        <c:manualLayout>
          <c:layoutTarget val="inner"/>
          <c:xMode val="edge"/>
          <c:yMode val="edge"/>
          <c:x val="7.820920822397201E-2"/>
          <c:y val="0.25487751375884393"/>
          <c:w val="0.87720745844269465"/>
          <c:h val="0.57913949238020646"/>
        </c:manualLayout>
      </c:layout>
      <c:bar3DChart>
        <c:barDir val="bar"/>
        <c:grouping val="clustered"/>
        <c:varyColors val="0"/>
        <c:ser>
          <c:idx val="0"/>
          <c:order val="0"/>
          <c:tx>
            <c:strRef>
              <c:f>data!$BZ$35</c:f>
              <c:strCache>
                <c:ptCount val="1"/>
              </c:strCache>
            </c:strRef>
          </c:tx>
          <c:spPr>
            <a:solidFill>
              <a:srgbClr val="000000">
                <a:alpha val="80000"/>
              </a:srgbClr>
            </a:solidFill>
            <a:ln>
              <a:solidFill>
                <a:schemeClr val="bg1"/>
              </a:solidFill>
            </a:ln>
            <a:effectLst/>
            <a:sp3d>
              <a:contourClr>
                <a:schemeClr val="bg1"/>
              </a:contourClr>
            </a:sp3d>
          </c:spPr>
          <c:invertIfNegative val="0"/>
          <c:dLbls>
            <c:dLbl>
              <c:idx val="0"/>
              <c:layout>
                <c:manualLayout>
                  <c:x val="-9.0277777777777776E-2"/>
                  <c:y val="3.232322203985626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F33-4F36-99CA-04763FDC1D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data!$BY$36</c:f>
              <c:strCache>
                <c:ptCount val="1"/>
                <c:pt idx="0">
                  <c:v>LVL</c:v>
                </c:pt>
              </c:strCache>
            </c:strRef>
          </c:cat>
          <c:val>
            <c:numRef>
              <c:f>data!$BZ$36</c:f>
              <c:numCache>
                <c:formatCode>General</c:formatCode>
                <c:ptCount val="1"/>
                <c:pt idx="0">
                  <c:v>0</c:v>
                </c:pt>
              </c:numCache>
            </c:numRef>
          </c:val>
          <c:extLst>
            <c:ext xmlns:c16="http://schemas.microsoft.com/office/drawing/2014/chart" uri="{C3380CC4-5D6E-409C-BE32-E72D297353CC}">
              <c16:uniqueId val="{00000001-AF33-4F36-99CA-04763FDC1DF9}"/>
            </c:ext>
          </c:extLst>
        </c:ser>
        <c:dLbls>
          <c:showLegendKey val="0"/>
          <c:showVal val="0"/>
          <c:showCatName val="0"/>
          <c:showSerName val="0"/>
          <c:showPercent val="0"/>
          <c:showBubbleSize val="0"/>
        </c:dLbls>
        <c:gapWidth val="150"/>
        <c:shape val="box"/>
        <c:axId val="1716674976"/>
        <c:axId val="1716672896"/>
        <c:axId val="0"/>
      </c:bar3DChart>
      <c:catAx>
        <c:axId val="1716674976"/>
        <c:scaling>
          <c:orientation val="minMax"/>
        </c:scaling>
        <c:delete val="1"/>
        <c:axPos val="l"/>
        <c:numFmt formatCode="General" sourceLinked="1"/>
        <c:majorTickMark val="none"/>
        <c:minorTickMark val="none"/>
        <c:tickLblPos val="nextTo"/>
        <c:crossAx val="1716672896"/>
        <c:crosses val="autoZero"/>
        <c:auto val="1"/>
        <c:lblAlgn val="ctr"/>
        <c:lblOffset val="100"/>
        <c:noMultiLvlLbl val="0"/>
      </c:catAx>
      <c:valAx>
        <c:axId val="1716672896"/>
        <c:scaling>
          <c:orientation val="minMax"/>
          <c:max val="41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6674976"/>
        <c:crosses val="autoZero"/>
        <c:crossBetween val="between"/>
        <c:majorUnit val="1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alpha val="50196"/>
      </a:srgb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r>
              <a:rPr lang="en-GB" sz="1000"/>
              <a:t>B O D Y</a:t>
            </a:r>
          </a:p>
        </c:rich>
      </c:tx>
      <c:overlay val="0"/>
      <c:spPr>
        <a:noFill/>
        <a:ln>
          <a:noFill/>
        </a:ln>
        <a:effectLst/>
      </c:spPr>
      <c:txPr>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endParaRPr lang="en-US"/>
        </a:p>
      </c:txPr>
    </c:title>
    <c:autoTitleDeleted val="0"/>
    <c:plotArea>
      <c:layout>
        <c:manualLayout>
          <c:layoutTarget val="inner"/>
          <c:xMode val="edge"/>
          <c:yMode val="edge"/>
          <c:x val="0.1535991576634316"/>
          <c:y val="0.16887262201168338"/>
          <c:w val="0.72835317096990781"/>
          <c:h val="0.7057840637113223"/>
        </c:manualLayout>
      </c:layout>
      <c:pieChart>
        <c:varyColors val="1"/>
        <c:ser>
          <c:idx val="0"/>
          <c:order val="0"/>
          <c:tx>
            <c:strRef>
              <c:f>data!$EM$55</c:f>
              <c:strCache>
                <c:ptCount val="1"/>
                <c:pt idx="0">
                  <c:v>MTH TOTAL</c:v>
                </c:pt>
              </c:strCache>
            </c:strRef>
          </c:tx>
          <c:spPr>
            <a:solidFill>
              <a:srgbClr val="FFFFFF">
                <a:alpha val="30196"/>
              </a:srgbClr>
            </a:solidFill>
            <a:ln w="19050">
              <a:solidFill>
                <a:schemeClr val="bg1"/>
              </a:solidFill>
            </a:ln>
            <a:effectLst/>
          </c:spPr>
          <c:dPt>
            <c:idx val="0"/>
            <c:bubble3D val="0"/>
            <c:spPr>
              <a:solidFill>
                <a:srgbClr val="FFFFFF">
                  <a:alpha val="30196"/>
                </a:srgbClr>
              </a:solidFill>
              <a:ln w="19050">
                <a:solidFill>
                  <a:schemeClr val="bg1"/>
                </a:solidFill>
              </a:ln>
              <a:effectLst/>
            </c:spPr>
            <c:extLst>
              <c:ext xmlns:c16="http://schemas.microsoft.com/office/drawing/2014/chart" uri="{C3380CC4-5D6E-409C-BE32-E72D297353CC}">
                <c16:uniqueId val="{00000001-FC0E-4526-BD98-BDAE781BA8E8}"/>
              </c:ext>
            </c:extLst>
          </c:dPt>
          <c:dPt>
            <c:idx val="1"/>
            <c:bubble3D val="0"/>
            <c:spPr>
              <a:solidFill>
                <a:srgbClr val="FFFFFF">
                  <a:alpha val="30196"/>
                </a:srgbClr>
              </a:solidFill>
              <a:ln w="19050">
                <a:solidFill>
                  <a:schemeClr val="bg1"/>
                </a:solidFill>
              </a:ln>
              <a:effectLst/>
            </c:spPr>
            <c:extLst>
              <c:ext xmlns:c16="http://schemas.microsoft.com/office/drawing/2014/chart" uri="{C3380CC4-5D6E-409C-BE32-E72D297353CC}">
                <c16:uniqueId val="{00000003-FC0E-4526-BD98-BDAE781BA8E8}"/>
              </c:ext>
            </c:extLst>
          </c:dPt>
          <c:dPt>
            <c:idx val="2"/>
            <c:bubble3D val="0"/>
            <c:spPr>
              <a:solidFill>
                <a:srgbClr val="FFFFFF">
                  <a:alpha val="30196"/>
                </a:srgbClr>
              </a:solidFill>
              <a:ln w="19050">
                <a:solidFill>
                  <a:schemeClr val="bg1"/>
                </a:solidFill>
              </a:ln>
              <a:effectLst/>
            </c:spPr>
            <c:extLst>
              <c:ext xmlns:c16="http://schemas.microsoft.com/office/drawing/2014/chart" uri="{C3380CC4-5D6E-409C-BE32-E72D297353CC}">
                <c16:uniqueId val="{00000005-FC0E-4526-BD98-BDAE781BA8E8}"/>
              </c:ext>
            </c:extLst>
          </c:dPt>
          <c:dPt>
            <c:idx val="3"/>
            <c:bubble3D val="0"/>
            <c:spPr>
              <a:solidFill>
                <a:srgbClr val="FFFFFF">
                  <a:alpha val="30196"/>
                </a:srgbClr>
              </a:solidFill>
              <a:ln w="19050">
                <a:solidFill>
                  <a:schemeClr val="bg1"/>
                </a:solidFill>
              </a:ln>
              <a:effectLst/>
            </c:spPr>
            <c:extLst>
              <c:ext xmlns:c16="http://schemas.microsoft.com/office/drawing/2014/chart" uri="{C3380CC4-5D6E-409C-BE32-E72D297353CC}">
                <c16:uniqueId val="{00000007-FC0E-4526-BD98-BDAE781BA8E8}"/>
              </c:ext>
            </c:extLst>
          </c:dPt>
          <c:dPt>
            <c:idx val="4"/>
            <c:bubble3D val="0"/>
            <c:spPr>
              <a:solidFill>
                <a:srgbClr val="FFFFFF">
                  <a:alpha val="30196"/>
                </a:srgbClr>
              </a:solidFill>
              <a:ln w="19050">
                <a:solidFill>
                  <a:schemeClr val="bg1"/>
                </a:solidFill>
              </a:ln>
              <a:effectLst/>
            </c:spPr>
            <c:extLst>
              <c:ext xmlns:c16="http://schemas.microsoft.com/office/drawing/2014/chart" uri="{C3380CC4-5D6E-409C-BE32-E72D297353CC}">
                <c16:uniqueId val="{00000009-FC0E-4526-BD98-BDAE781BA8E8}"/>
              </c:ext>
            </c:extLst>
          </c:dPt>
          <c:dPt>
            <c:idx val="5"/>
            <c:bubble3D val="0"/>
            <c:spPr>
              <a:solidFill>
                <a:srgbClr val="FFFFFF">
                  <a:alpha val="30196"/>
                </a:srgbClr>
              </a:solidFill>
              <a:ln w="19050">
                <a:solidFill>
                  <a:schemeClr val="bg1"/>
                </a:solidFill>
              </a:ln>
              <a:effectLst/>
            </c:spPr>
            <c:extLst>
              <c:ext xmlns:c16="http://schemas.microsoft.com/office/drawing/2014/chart" uri="{C3380CC4-5D6E-409C-BE32-E72D297353CC}">
                <c16:uniqueId val="{0000000B-FC0E-4526-BD98-BDAE781BA8E8}"/>
              </c:ext>
            </c:extLst>
          </c:dPt>
          <c:dPt>
            <c:idx val="6"/>
            <c:bubble3D val="0"/>
            <c:spPr>
              <a:solidFill>
                <a:srgbClr val="FFFFFF">
                  <a:alpha val="30196"/>
                </a:srgbClr>
              </a:solidFill>
              <a:ln w="19050">
                <a:solidFill>
                  <a:schemeClr val="bg1"/>
                </a:solidFill>
              </a:ln>
              <a:effectLst/>
            </c:spPr>
            <c:extLst>
              <c:ext xmlns:c16="http://schemas.microsoft.com/office/drawing/2014/chart" uri="{C3380CC4-5D6E-409C-BE32-E72D297353CC}">
                <c16:uniqueId val="{0000000D-FC0E-4526-BD98-BDAE781BA8E8}"/>
              </c:ext>
            </c:extLst>
          </c:dPt>
          <c:dPt>
            <c:idx val="7"/>
            <c:bubble3D val="0"/>
            <c:spPr>
              <a:solidFill>
                <a:srgbClr val="FFFFFF">
                  <a:alpha val="30196"/>
                </a:srgbClr>
              </a:solidFill>
              <a:ln w="19050">
                <a:solidFill>
                  <a:schemeClr val="bg1"/>
                </a:solidFill>
              </a:ln>
              <a:effectLst/>
            </c:spPr>
            <c:extLst>
              <c:ext xmlns:c16="http://schemas.microsoft.com/office/drawing/2014/chart" uri="{C3380CC4-5D6E-409C-BE32-E72D297353CC}">
                <c16:uniqueId val="{0000000F-FC0E-4526-BD98-BDAE781BA8E8}"/>
              </c:ext>
            </c:extLst>
          </c:dPt>
          <c:dPt>
            <c:idx val="8"/>
            <c:bubble3D val="0"/>
            <c:spPr>
              <a:solidFill>
                <a:srgbClr val="FFFFFF">
                  <a:alpha val="30196"/>
                </a:srgbClr>
              </a:solidFill>
              <a:ln w="19050">
                <a:solidFill>
                  <a:schemeClr val="bg1"/>
                </a:solidFill>
              </a:ln>
              <a:effectLst/>
            </c:spPr>
            <c:extLst>
              <c:ext xmlns:c16="http://schemas.microsoft.com/office/drawing/2014/chart" uri="{C3380CC4-5D6E-409C-BE32-E72D297353CC}">
                <c16:uniqueId val="{00000011-FC0E-4526-BD98-BDAE781BA8E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a:solidFill>
                    <a:schemeClr val="bg1"/>
                  </a:solidFill>
                </a:ln>
                <a:effectLst/>
              </c:spPr>
            </c:leaderLines>
            <c:extLst>
              <c:ext xmlns:c15="http://schemas.microsoft.com/office/drawing/2012/chart" uri="{CE6537A1-D6FC-4f65-9D91-7224C49458BB}"/>
            </c:extLst>
          </c:dLbls>
          <c:cat>
            <c:strRef>
              <c:f>data!$EN$54:$EV$54</c:f>
              <c:strCache>
                <c:ptCount val="9"/>
                <c:pt idx="0">
                  <c:v>BDY1</c:v>
                </c:pt>
                <c:pt idx="1">
                  <c:v>BDY2</c:v>
                </c:pt>
                <c:pt idx="2">
                  <c:v>BDY3</c:v>
                </c:pt>
                <c:pt idx="3">
                  <c:v>BDY4</c:v>
                </c:pt>
                <c:pt idx="4">
                  <c:v>BDY5</c:v>
                </c:pt>
                <c:pt idx="5">
                  <c:v>BDY6</c:v>
                </c:pt>
                <c:pt idx="6">
                  <c:v>BDY7</c:v>
                </c:pt>
                <c:pt idx="7">
                  <c:v>BDY8</c:v>
                </c:pt>
                <c:pt idx="8">
                  <c:v>BDY9</c:v>
                </c:pt>
              </c:strCache>
            </c:strRef>
          </c:cat>
          <c:val>
            <c:numRef>
              <c:f>data!$EN$55:$EV$55</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12-FC0E-4526-BD98-BDAE781BA8E8}"/>
            </c:ext>
          </c:extLst>
        </c:ser>
        <c:dLbls>
          <c:dLblPos val="bestFit"/>
          <c:showLegendKey val="0"/>
          <c:showVal val="0"/>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80808">
        <a:alpha val="50196"/>
      </a:srgb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r>
              <a:rPr lang="en-US" sz="1000"/>
              <a:t>M</a:t>
            </a:r>
            <a:r>
              <a:rPr lang="en-US" sz="1000" baseline="0"/>
              <a:t> I N D</a:t>
            </a:r>
            <a:endParaRPr lang="en-US" sz="1000"/>
          </a:p>
        </c:rich>
      </c:tx>
      <c:overlay val="0"/>
      <c:spPr>
        <a:noFill/>
        <a:ln>
          <a:noFill/>
        </a:ln>
        <a:effectLst/>
      </c:spPr>
      <c:txPr>
        <a:bodyPr rot="0" spcFirstLastPara="1" vertOverflow="ellipsis" vert="horz" wrap="square" anchor="ctr" anchorCtr="1"/>
        <a:lstStyle/>
        <a:p>
          <a:pPr>
            <a:defRPr sz="1000" b="1" i="0" u="none" strike="noStrike" kern="1200" cap="all" spc="100" normalizeH="0" baseline="0">
              <a:solidFill>
                <a:schemeClr val="lt1"/>
              </a:solidFill>
              <a:latin typeface="+mn-lt"/>
              <a:ea typeface="+mn-ea"/>
              <a:cs typeface="+mn-cs"/>
            </a:defRPr>
          </a:pPr>
          <a:endParaRPr lang="en-US"/>
        </a:p>
      </c:txPr>
    </c:title>
    <c:autoTitleDeleted val="0"/>
    <c:plotArea>
      <c:layout>
        <c:manualLayout>
          <c:layoutTarget val="inner"/>
          <c:xMode val="edge"/>
          <c:yMode val="edge"/>
          <c:x val="0.1535991576634316"/>
          <c:y val="0.16887262201168338"/>
          <c:w val="0.72835317096990781"/>
          <c:h val="0.7057840637113223"/>
        </c:manualLayout>
      </c:layout>
      <c:pieChart>
        <c:varyColors val="1"/>
        <c:ser>
          <c:idx val="0"/>
          <c:order val="0"/>
          <c:tx>
            <c:strRef>
              <c:f>data!$EB$55</c:f>
              <c:strCache>
                <c:ptCount val="1"/>
                <c:pt idx="0">
                  <c:v>MTH TOTAL</c:v>
                </c:pt>
              </c:strCache>
            </c:strRef>
          </c:tx>
          <c:spPr>
            <a:solidFill>
              <a:srgbClr val="FFFFFF">
                <a:alpha val="30196"/>
              </a:srgbClr>
            </a:solidFill>
            <a:ln w="19050">
              <a:solidFill>
                <a:schemeClr val="bg1"/>
              </a:solidFill>
            </a:ln>
            <a:effectLst/>
          </c:spPr>
          <c:dPt>
            <c:idx val="0"/>
            <c:bubble3D val="0"/>
            <c:spPr>
              <a:solidFill>
                <a:srgbClr val="FFFFFF">
                  <a:alpha val="30196"/>
                </a:srgbClr>
              </a:solidFill>
              <a:ln w="19050">
                <a:solidFill>
                  <a:schemeClr val="bg1"/>
                </a:solidFill>
              </a:ln>
              <a:effectLst/>
            </c:spPr>
            <c:extLst>
              <c:ext xmlns:c16="http://schemas.microsoft.com/office/drawing/2014/chart" uri="{C3380CC4-5D6E-409C-BE32-E72D297353CC}">
                <c16:uniqueId val="{00000001-648B-4A26-8620-2AF909DAD66F}"/>
              </c:ext>
            </c:extLst>
          </c:dPt>
          <c:dPt>
            <c:idx val="1"/>
            <c:bubble3D val="0"/>
            <c:spPr>
              <a:solidFill>
                <a:srgbClr val="FFFFFF">
                  <a:alpha val="30196"/>
                </a:srgbClr>
              </a:solidFill>
              <a:ln w="19050">
                <a:solidFill>
                  <a:schemeClr val="bg1"/>
                </a:solidFill>
              </a:ln>
              <a:effectLst/>
            </c:spPr>
            <c:extLst>
              <c:ext xmlns:c16="http://schemas.microsoft.com/office/drawing/2014/chart" uri="{C3380CC4-5D6E-409C-BE32-E72D297353CC}">
                <c16:uniqueId val="{00000003-648B-4A26-8620-2AF909DAD66F}"/>
              </c:ext>
            </c:extLst>
          </c:dPt>
          <c:dPt>
            <c:idx val="2"/>
            <c:bubble3D val="0"/>
            <c:spPr>
              <a:solidFill>
                <a:srgbClr val="FFFFFF">
                  <a:alpha val="30196"/>
                </a:srgbClr>
              </a:solidFill>
              <a:ln w="19050">
                <a:solidFill>
                  <a:schemeClr val="bg1"/>
                </a:solidFill>
              </a:ln>
              <a:effectLst/>
            </c:spPr>
            <c:extLst>
              <c:ext xmlns:c16="http://schemas.microsoft.com/office/drawing/2014/chart" uri="{C3380CC4-5D6E-409C-BE32-E72D297353CC}">
                <c16:uniqueId val="{00000005-648B-4A26-8620-2AF909DAD66F}"/>
              </c:ext>
            </c:extLst>
          </c:dPt>
          <c:dPt>
            <c:idx val="3"/>
            <c:bubble3D val="0"/>
            <c:spPr>
              <a:solidFill>
                <a:srgbClr val="FFFFFF">
                  <a:alpha val="30196"/>
                </a:srgbClr>
              </a:solidFill>
              <a:ln w="19050">
                <a:solidFill>
                  <a:schemeClr val="bg1"/>
                </a:solidFill>
              </a:ln>
              <a:effectLst/>
            </c:spPr>
            <c:extLst>
              <c:ext xmlns:c16="http://schemas.microsoft.com/office/drawing/2014/chart" uri="{C3380CC4-5D6E-409C-BE32-E72D297353CC}">
                <c16:uniqueId val="{00000007-648B-4A26-8620-2AF909DAD66F}"/>
              </c:ext>
            </c:extLst>
          </c:dPt>
          <c:dPt>
            <c:idx val="4"/>
            <c:bubble3D val="0"/>
            <c:spPr>
              <a:solidFill>
                <a:srgbClr val="FFFFFF">
                  <a:alpha val="30196"/>
                </a:srgbClr>
              </a:solidFill>
              <a:ln w="19050">
                <a:solidFill>
                  <a:schemeClr val="bg1"/>
                </a:solidFill>
              </a:ln>
              <a:effectLst/>
            </c:spPr>
            <c:extLst>
              <c:ext xmlns:c16="http://schemas.microsoft.com/office/drawing/2014/chart" uri="{C3380CC4-5D6E-409C-BE32-E72D297353CC}">
                <c16:uniqueId val="{00000009-648B-4A26-8620-2AF909DAD66F}"/>
              </c:ext>
            </c:extLst>
          </c:dPt>
          <c:dPt>
            <c:idx val="5"/>
            <c:bubble3D val="0"/>
            <c:spPr>
              <a:solidFill>
                <a:srgbClr val="FFFFFF">
                  <a:alpha val="30196"/>
                </a:srgbClr>
              </a:solidFill>
              <a:ln w="19050">
                <a:solidFill>
                  <a:schemeClr val="bg1"/>
                </a:solidFill>
              </a:ln>
              <a:effectLst/>
            </c:spPr>
            <c:extLst>
              <c:ext xmlns:c16="http://schemas.microsoft.com/office/drawing/2014/chart" uri="{C3380CC4-5D6E-409C-BE32-E72D297353CC}">
                <c16:uniqueId val="{0000000B-648B-4A26-8620-2AF909DAD66F}"/>
              </c:ext>
            </c:extLst>
          </c:dPt>
          <c:dPt>
            <c:idx val="6"/>
            <c:bubble3D val="0"/>
            <c:spPr>
              <a:solidFill>
                <a:srgbClr val="FFFFFF">
                  <a:alpha val="30196"/>
                </a:srgbClr>
              </a:solidFill>
              <a:ln w="19050">
                <a:solidFill>
                  <a:schemeClr val="bg1"/>
                </a:solidFill>
              </a:ln>
              <a:effectLst/>
            </c:spPr>
            <c:extLst>
              <c:ext xmlns:c16="http://schemas.microsoft.com/office/drawing/2014/chart" uri="{C3380CC4-5D6E-409C-BE32-E72D297353CC}">
                <c16:uniqueId val="{0000000D-648B-4A26-8620-2AF909DAD66F}"/>
              </c:ext>
            </c:extLst>
          </c:dPt>
          <c:dPt>
            <c:idx val="7"/>
            <c:bubble3D val="0"/>
            <c:spPr>
              <a:solidFill>
                <a:srgbClr val="FFFFFF">
                  <a:alpha val="30196"/>
                </a:srgbClr>
              </a:solidFill>
              <a:ln w="19050">
                <a:solidFill>
                  <a:schemeClr val="bg1"/>
                </a:solidFill>
              </a:ln>
              <a:effectLst/>
            </c:spPr>
            <c:extLst>
              <c:ext xmlns:c16="http://schemas.microsoft.com/office/drawing/2014/chart" uri="{C3380CC4-5D6E-409C-BE32-E72D297353CC}">
                <c16:uniqueId val="{0000000F-648B-4A26-8620-2AF909DAD66F}"/>
              </c:ext>
            </c:extLst>
          </c:dPt>
          <c:dPt>
            <c:idx val="8"/>
            <c:bubble3D val="0"/>
            <c:spPr>
              <a:solidFill>
                <a:srgbClr val="FFFFFF">
                  <a:alpha val="30196"/>
                </a:srgbClr>
              </a:solidFill>
              <a:ln w="19050">
                <a:solidFill>
                  <a:schemeClr val="bg1"/>
                </a:solidFill>
              </a:ln>
              <a:effectLst/>
            </c:spPr>
            <c:extLst>
              <c:ext xmlns:c16="http://schemas.microsoft.com/office/drawing/2014/chart" uri="{C3380CC4-5D6E-409C-BE32-E72D297353CC}">
                <c16:uniqueId val="{00000011-648B-4A26-8620-2AF909DAD66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a:solidFill>
                    <a:schemeClr val="bg1"/>
                  </a:solidFill>
                </a:ln>
                <a:effectLst/>
              </c:spPr>
            </c:leaderLines>
            <c:extLst>
              <c:ext xmlns:c15="http://schemas.microsoft.com/office/drawing/2012/chart" uri="{CE6537A1-D6FC-4f65-9D91-7224C49458BB}"/>
            </c:extLst>
          </c:dLbls>
          <c:cat>
            <c:strRef>
              <c:f>data!$EC$54:$EK$54</c:f>
              <c:strCache>
                <c:ptCount val="9"/>
                <c:pt idx="0">
                  <c:v>MND1</c:v>
                </c:pt>
                <c:pt idx="1">
                  <c:v>MND2</c:v>
                </c:pt>
                <c:pt idx="2">
                  <c:v>MND3</c:v>
                </c:pt>
                <c:pt idx="3">
                  <c:v>MND4</c:v>
                </c:pt>
                <c:pt idx="4">
                  <c:v>MND5</c:v>
                </c:pt>
                <c:pt idx="5">
                  <c:v>MND6</c:v>
                </c:pt>
                <c:pt idx="6">
                  <c:v>MND7</c:v>
                </c:pt>
                <c:pt idx="7">
                  <c:v>MND8</c:v>
                </c:pt>
                <c:pt idx="8">
                  <c:v>MND9</c:v>
                </c:pt>
              </c:strCache>
            </c:strRef>
          </c:cat>
          <c:val>
            <c:numRef>
              <c:f>data!$EC$55:$EK$55</c:f>
              <c:numCache>
                <c:formatCode>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12-648B-4A26-8620-2AF909DAD66F}"/>
            </c:ext>
          </c:extLst>
        </c:ser>
        <c:dLbls>
          <c:dLblPos val="bestFit"/>
          <c:showLegendKey val="0"/>
          <c:showVal val="0"/>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80808">
        <a:alpha val="49804"/>
      </a:srgb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600" b="0" i="0" u="none" strike="noStrike" kern="1200" spc="0" baseline="0">
                <a:solidFill>
                  <a:schemeClr val="bg1">
                    <a:lumMod val="75000"/>
                  </a:schemeClr>
                </a:solidFill>
                <a:latin typeface="+mn-lt"/>
                <a:ea typeface="+mn-ea"/>
                <a:cs typeface="+mn-cs"/>
              </a:defRPr>
            </a:pPr>
            <a:r>
              <a:rPr lang="en-GB" sz="600">
                <a:solidFill>
                  <a:schemeClr val="bg1">
                    <a:lumMod val="75000"/>
                  </a:schemeClr>
                </a:solidFill>
              </a:rPr>
              <a:t> REWARD</a:t>
            </a:r>
            <a:r>
              <a:rPr lang="en-GB" sz="600" baseline="0">
                <a:solidFill>
                  <a:schemeClr val="bg1">
                    <a:lumMod val="75000"/>
                  </a:schemeClr>
                </a:solidFill>
              </a:rPr>
              <a:t> CHEST</a:t>
            </a:r>
            <a:endParaRPr lang="en-GB" sz="600">
              <a:solidFill>
                <a:schemeClr val="bg1">
                  <a:lumMod val="75000"/>
                </a:schemeClr>
              </a:solidFill>
            </a:endParaRPr>
          </a:p>
        </c:rich>
      </c:tx>
      <c:layout>
        <c:manualLayout>
          <c:xMode val="edge"/>
          <c:yMode val="edge"/>
          <c:x val="0.40154097292142538"/>
          <c:y val="0.13425974246466296"/>
        </c:manualLayout>
      </c:layout>
      <c:overlay val="0"/>
      <c:spPr>
        <a:noFill/>
        <a:ln>
          <a:noFill/>
        </a:ln>
        <a:effectLst/>
      </c:spPr>
      <c:txPr>
        <a:bodyPr rot="0" spcFirstLastPara="1" vertOverflow="ellipsis" vert="horz" wrap="square" anchor="ctr" anchorCtr="1"/>
        <a:lstStyle/>
        <a:p>
          <a:pPr>
            <a:defRPr sz="600" b="0" i="0" u="none" strike="noStrike" kern="1200" spc="0" baseline="0">
              <a:solidFill>
                <a:schemeClr val="bg1">
                  <a:lumMod val="7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7623113427301375"/>
          <c:y val="0.18127893104271053"/>
          <c:w val="0.47283721723737449"/>
          <c:h val="0.78172955653270615"/>
        </c:manualLayout>
      </c:layout>
      <c:bar3DChart>
        <c:barDir val="col"/>
        <c:grouping val="clustered"/>
        <c:varyColors val="0"/>
        <c:ser>
          <c:idx val="0"/>
          <c:order val="0"/>
          <c:spPr>
            <a:solidFill>
              <a:srgbClr val="FFFFFF">
                <a:alpha val="50196"/>
              </a:srgbClr>
            </a:solidFill>
            <a:ln>
              <a:solidFill>
                <a:schemeClr val="bg1"/>
              </a:solidFill>
            </a:ln>
            <a:effectLst/>
            <a:sp3d>
              <a:contourClr>
                <a:schemeClr val="bg1"/>
              </a:contourClr>
            </a:sp3d>
          </c:spPr>
          <c:invertIfNegative val="0"/>
          <c:val>
            <c:numRef>
              <c:f>data!$I$49</c:f>
              <c:numCache>
                <c:formatCode>"£"#,##0</c:formatCode>
                <c:ptCount val="1"/>
                <c:pt idx="0">
                  <c:v>0</c:v>
                </c:pt>
              </c:numCache>
            </c:numRef>
          </c:val>
          <c:extLst xmlns:c15="http://schemas.microsoft.com/office/drawing/2012/chart">
            <c:ext xmlns:c16="http://schemas.microsoft.com/office/drawing/2014/chart" uri="{C3380CC4-5D6E-409C-BE32-E72D297353CC}">
              <c16:uniqueId val="{00000001-B66B-4B3B-929E-3B7D89DDDD8F}"/>
            </c:ext>
          </c:extLst>
        </c:ser>
        <c:dLbls>
          <c:showLegendKey val="0"/>
          <c:showVal val="0"/>
          <c:showCatName val="0"/>
          <c:showSerName val="0"/>
          <c:showPercent val="0"/>
          <c:showBubbleSize val="0"/>
        </c:dLbls>
        <c:gapWidth val="150"/>
        <c:shape val="box"/>
        <c:axId val="1995418240"/>
        <c:axId val="1995434880"/>
        <c:axId val="0"/>
        <c:extLst/>
      </c:bar3DChart>
      <c:catAx>
        <c:axId val="1995418240"/>
        <c:scaling>
          <c:orientation val="minMax"/>
        </c:scaling>
        <c:delete val="1"/>
        <c:axPos val="b"/>
        <c:numFmt formatCode="General" sourceLinked="1"/>
        <c:majorTickMark val="none"/>
        <c:minorTickMark val="none"/>
        <c:tickLblPos val="nextTo"/>
        <c:crossAx val="1995434880"/>
        <c:crosses val="autoZero"/>
        <c:auto val="1"/>
        <c:lblAlgn val="ctr"/>
        <c:lblOffset val="100"/>
        <c:noMultiLvlLbl val="0"/>
      </c:catAx>
      <c:valAx>
        <c:axId val="1995434880"/>
        <c:scaling>
          <c:orientation val="minMax"/>
          <c:max val="600"/>
          <c:min val="0"/>
        </c:scaling>
        <c:delete val="0"/>
        <c:axPos val="l"/>
        <c:majorGridlines>
          <c:spPr>
            <a:ln w="9525" cap="flat" cmpd="sng" algn="ctr">
              <a:solidFill>
                <a:schemeClr val="tx1">
                  <a:lumMod val="65000"/>
                  <a:lumOff val="3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mn-lt"/>
                <a:ea typeface="+mn-ea"/>
                <a:cs typeface="+mn-cs"/>
              </a:defRPr>
            </a:pPr>
            <a:endParaRPr lang="en-US"/>
          </a:p>
        </c:txPr>
        <c:crossAx val="1995418240"/>
        <c:crosses val="autoZero"/>
        <c:crossBetween val="between"/>
        <c:majorUnit val="100"/>
        <c:minorUnit val="50"/>
      </c:valAx>
      <c:spPr>
        <a:noFill/>
        <a:ln>
          <a:noFill/>
        </a:ln>
        <a:effectLst/>
      </c:spPr>
    </c:plotArea>
    <c:plotVisOnly val="1"/>
    <c:dispBlanksAs val="gap"/>
    <c:showDLblsOverMax val="0"/>
  </c:chart>
  <c:spPr>
    <a:solidFill>
      <a:srgbClr val="000000">
        <a:alpha val="50196"/>
      </a:srgb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752732003957007"/>
          <c:y val="0.15757575757575756"/>
          <c:w val="0.65834374349690261"/>
          <c:h val="0.61857249661974067"/>
        </c:manualLayout>
      </c:layout>
      <c:barChart>
        <c:barDir val="bar"/>
        <c:grouping val="clustered"/>
        <c:varyColors val="0"/>
        <c:ser>
          <c:idx val="0"/>
          <c:order val="0"/>
          <c:spPr>
            <a:solidFill>
              <a:srgbClr val="FFFFFF">
                <a:alpha val="50196"/>
              </a:srgbClr>
            </a:solidFill>
            <a:ln>
              <a:solidFill>
                <a:schemeClr val="bg1"/>
              </a:solidFill>
            </a:ln>
            <a:effectLst/>
          </c:spPr>
          <c:invertIfNegative val="0"/>
          <c:cat>
            <c:strRef>
              <c:f>data!$E$49:$E$54</c:f>
              <c:strCache>
                <c:ptCount val="6"/>
                <c:pt idx="0">
                  <c:v>DEC</c:v>
                </c:pt>
                <c:pt idx="1">
                  <c:v>JAN</c:v>
                </c:pt>
                <c:pt idx="2">
                  <c:v>FEB</c:v>
                </c:pt>
                <c:pt idx="3">
                  <c:v>MAR</c:v>
                </c:pt>
                <c:pt idx="4">
                  <c:v>APR</c:v>
                </c:pt>
                <c:pt idx="5">
                  <c:v>MAY</c:v>
                </c:pt>
              </c:strCache>
            </c:strRef>
          </c:cat>
          <c:val>
            <c:numRef>
              <c:f>data!$F$49:$F$54</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8567-4E50-A140-57858FFF9BA1}"/>
            </c:ext>
          </c:extLst>
        </c:ser>
        <c:dLbls>
          <c:showLegendKey val="0"/>
          <c:showVal val="0"/>
          <c:showCatName val="0"/>
          <c:showSerName val="0"/>
          <c:showPercent val="0"/>
          <c:showBubbleSize val="0"/>
        </c:dLbls>
        <c:gapWidth val="182"/>
        <c:axId val="1715984192"/>
        <c:axId val="1715985440"/>
      </c:barChart>
      <c:catAx>
        <c:axId val="1715984192"/>
        <c:scaling>
          <c:orientation val="maxMin"/>
        </c:scaling>
        <c:delete val="0"/>
        <c:axPos val="l"/>
        <c:numFmt formatCode="General" sourceLinked="1"/>
        <c:majorTickMark val="none"/>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600" b="0" i="0" u="none" strike="noStrike" kern="1200" baseline="0">
                <a:solidFill>
                  <a:schemeClr val="bg1">
                    <a:lumMod val="65000"/>
                  </a:schemeClr>
                </a:solidFill>
                <a:latin typeface="+mn-lt"/>
                <a:ea typeface="+mn-ea"/>
                <a:cs typeface="+mn-cs"/>
              </a:defRPr>
            </a:pPr>
            <a:endParaRPr lang="en-US"/>
          </a:p>
        </c:txPr>
        <c:crossAx val="1715985440"/>
        <c:crosses val="autoZero"/>
        <c:auto val="0"/>
        <c:lblAlgn val="ctr"/>
        <c:lblOffset val="100"/>
        <c:noMultiLvlLbl val="0"/>
      </c:catAx>
      <c:valAx>
        <c:axId val="1715985440"/>
        <c:scaling>
          <c:orientation val="minMax"/>
          <c:min val="0"/>
        </c:scaling>
        <c:delete val="0"/>
        <c:axPos val="t"/>
        <c:majorGridlines>
          <c:spPr>
            <a:ln w="9525" cap="flat" cmpd="sng" algn="ctr">
              <a:solidFill>
                <a:schemeClr val="tx1">
                  <a:lumMod val="65000"/>
                  <a:lumOff val="35000"/>
                </a:schemeClr>
              </a:solidFill>
              <a:round/>
            </a:ln>
            <a:effectLst/>
          </c:spPr>
        </c:majorGridlines>
        <c:numFmt formatCode="#,##0" sourceLinked="0"/>
        <c:majorTickMark val="none"/>
        <c:minorTickMark val="none"/>
        <c:tickLblPos val="high"/>
        <c:spPr>
          <a:noFill/>
          <a:ln>
            <a:noFill/>
          </a:ln>
          <a:effectLst/>
        </c:spPr>
        <c:txPr>
          <a:bodyPr rot="-60000000" spcFirstLastPara="1" vertOverflow="ellipsis" vert="horz" wrap="square" anchor="ctr" anchorCtr="1"/>
          <a:lstStyle/>
          <a:p>
            <a:pPr>
              <a:defRPr sz="700" b="0" i="0" u="none" strike="noStrike" kern="1200" baseline="0">
                <a:solidFill>
                  <a:schemeClr val="tx1">
                    <a:lumMod val="50000"/>
                    <a:lumOff val="50000"/>
                  </a:schemeClr>
                </a:solidFill>
                <a:latin typeface="+mn-lt"/>
                <a:ea typeface="+mn-ea"/>
                <a:cs typeface="+mn-cs"/>
              </a:defRPr>
            </a:pPr>
            <a:endParaRPr lang="en-US"/>
          </a:p>
        </c:txPr>
        <c:crossAx val="1715984192"/>
        <c:crosses val="autoZero"/>
        <c:crossBetween val="between"/>
        <c:majorUnit val="5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0000">
        <a:alpha val="50196"/>
      </a:srgb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90014405406016"/>
          <c:y val="5.8949534717251249E-2"/>
          <c:w val="0.7731762658401421"/>
          <c:h val="0.72762288236697681"/>
        </c:manualLayout>
      </c:layout>
      <c:barChart>
        <c:barDir val="col"/>
        <c:grouping val="clustered"/>
        <c:varyColors val="0"/>
        <c:ser>
          <c:idx val="0"/>
          <c:order val="0"/>
          <c:tx>
            <c:strRef>
              <c:f>data!$B$41</c:f>
              <c:strCache>
                <c:ptCount val="1"/>
                <c:pt idx="0">
                  <c:v>MTH</c:v>
                </c:pt>
              </c:strCache>
            </c:strRef>
          </c:tx>
          <c:spPr>
            <a:solidFill>
              <a:srgbClr val="FFFFFF">
                <a:alpha val="50196"/>
              </a:srgbClr>
            </a:solidFill>
            <a:ln>
              <a:solidFill>
                <a:schemeClr val="bg1"/>
              </a:solidFill>
            </a:ln>
            <a:effectLst/>
          </c:spPr>
          <c:invertIfNegative val="0"/>
          <c:val>
            <c:numRef>
              <c:f>data!$B$42</c:f>
              <c:numCache>
                <c:formatCode>"£"#,##0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data!#REF!</c15:sqref>
                        </c15:formulaRef>
                      </c:ext>
                    </c:extLst>
                  </c:multiLvlStrRef>
                </c15:cat>
              </c15:filteredCategoryTitle>
            </c:ext>
            <c:ext xmlns:c16="http://schemas.microsoft.com/office/drawing/2014/chart" uri="{C3380CC4-5D6E-409C-BE32-E72D297353CC}">
              <c16:uniqueId val="{00000000-132C-47F4-9FDC-94D1C0889221}"/>
            </c:ext>
          </c:extLst>
        </c:ser>
        <c:dLbls>
          <c:showLegendKey val="0"/>
          <c:showVal val="0"/>
          <c:showCatName val="0"/>
          <c:showSerName val="0"/>
          <c:showPercent val="0"/>
          <c:showBubbleSize val="0"/>
        </c:dLbls>
        <c:gapWidth val="150"/>
        <c:axId val="1716674976"/>
        <c:axId val="1716672896"/>
      </c:barChart>
      <c:catAx>
        <c:axId val="1716674976"/>
        <c:scaling>
          <c:orientation val="minMax"/>
        </c:scaling>
        <c:delete val="1"/>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bg1"/>
                    </a:solidFill>
                  </a:rPr>
                  <a:t> LOOT</a:t>
                </a:r>
              </a:p>
            </c:rich>
          </c:tx>
          <c:layout>
            <c:manualLayout>
              <c:xMode val="edge"/>
              <c:yMode val="edge"/>
              <c:x val="0.46889827091157316"/>
              <c:y val="0.8317798280892673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crossAx val="1716672896"/>
        <c:crosses val="autoZero"/>
        <c:auto val="1"/>
        <c:lblAlgn val="ctr"/>
        <c:lblOffset val="100"/>
        <c:noMultiLvlLbl val="0"/>
      </c:catAx>
      <c:valAx>
        <c:axId val="1716672896"/>
        <c:scaling>
          <c:orientation val="minMax"/>
          <c:max val="200"/>
          <c:min val="0"/>
        </c:scaling>
        <c:delete val="0"/>
        <c:axPos val="l"/>
        <c:majorGridlines>
          <c:spPr>
            <a:ln w="9525" cap="flat" cmpd="sng" algn="ctr">
              <a:solidFill>
                <a:schemeClr val="tx1">
                  <a:lumMod val="65000"/>
                  <a:lumOff val="3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mn-lt"/>
                <a:ea typeface="+mn-ea"/>
                <a:cs typeface="+mn-cs"/>
              </a:defRPr>
            </a:pPr>
            <a:endParaRPr lang="en-US"/>
          </a:p>
        </c:txPr>
        <c:crossAx val="1716674976"/>
        <c:crosses val="autoZero"/>
        <c:crossBetween val="between"/>
        <c:majorUnit val="25"/>
        <c:minorUnit val="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alpha val="50196"/>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146915299847448"/>
          <c:y val="0.10214045887628891"/>
          <c:w val="0.65537317450703281"/>
          <c:h val="0.68455702411278618"/>
        </c:manualLayout>
      </c:layout>
      <c:barChart>
        <c:barDir val="col"/>
        <c:grouping val="clustered"/>
        <c:varyColors val="0"/>
        <c:ser>
          <c:idx val="0"/>
          <c:order val="0"/>
          <c:tx>
            <c:strRef>
              <c:f>data!$DX$21</c:f>
              <c:strCache>
                <c:ptCount val="1"/>
                <c:pt idx="0">
                  <c:v>GAMING</c:v>
                </c:pt>
              </c:strCache>
            </c:strRef>
          </c:tx>
          <c:spPr>
            <a:solidFill>
              <a:schemeClr val="bg1">
                <a:alpha val="60000"/>
              </a:schemeClr>
            </a:solidFill>
            <a:ln>
              <a:solidFill>
                <a:schemeClr val="bg1"/>
              </a:solidFill>
            </a:ln>
            <a:effectLst/>
          </c:spPr>
          <c:invertIfNegative val="0"/>
          <c:cat>
            <c:strRef>
              <c:f>data!$DV$22</c:f>
              <c:strCache>
                <c:ptCount val="1"/>
                <c:pt idx="0">
                  <c:v>TOTAL HRS</c:v>
                </c:pt>
              </c:strCache>
            </c:strRef>
          </c:cat>
          <c:val>
            <c:numRef>
              <c:f>data!$DX$22</c:f>
              <c:numCache>
                <c:formatCode>0</c:formatCode>
                <c:ptCount val="1"/>
                <c:pt idx="0">
                  <c:v>0</c:v>
                </c:pt>
              </c:numCache>
            </c:numRef>
          </c:val>
          <c:extLst>
            <c:ext xmlns:c16="http://schemas.microsoft.com/office/drawing/2014/chart" uri="{C3380CC4-5D6E-409C-BE32-E72D297353CC}">
              <c16:uniqueId val="{00000000-C78B-44A9-9826-F135485E0417}"/>
            </c:ext>
          </c:extLst>
        </c:ser>
        <c:ser>
          <c:idx val="1"/>
          <c:order val="1"/>
          <c:tx>
            <c:strRef>
              <c:f>data!$DY$21</c:f>
              <c:strCache>
                <c:ptCount val="1"/>
                <c:pt idx="0">
                  <c:v>TV</c:v>
                </c:pt>
              </c:strCache>
            </c:strRef>
          </c:tx>
          <c:spPr>
            <a:solidFill>
              <a:schemeClr val="bg1">
                <a:lumMod val="50000"/>
                <a:alpha val="60000"/>
              </a:schemeClr>
            </a:solidFill>
            <a:ln>
              <a:solidFill>
                <a:schemeClr val="bg1">
                  <a:lumMod val="50000"/>
                </a:schemeClr>
              </a:solidFill>
            </a:ln>
            <a:effectLst/>
          </c:spPr>
          <c:invertIfNegative val="0"/>
          <c:cat>
            <c:strRef>
              <c:f>data!$DV$22</c:f>
              <c:strCache>
                <c:ptCount val="1"/>
                <c:pt idx="0">
                  <c:v>TOTAL HRS</c:v>
                </c:pt>
              </c:strCache>
            </c:strRef>
          </c:cat>
          <c:val>
            <c:numRef>
              <c:f>data!$DY$22</c:f>
              <c:numCache>
                <c:formatCode>0</c:formatCode>
                <c:ptCount val="1"/>
                <c:pt idx="0">
                  <c:v>0</c:v>
                </c:pt>
              </c:numCache>
            </c:numRef>
          </c:val>
          <c:extLst>
            <c:ext xmlns:c16="http://schemas.microsoft.com/office/drawing/2014/chart" uri="{C3380CC4-5D6E-409C-BE32-E72D297353CC}">
              <c16:uniqueId val="{00000001-C78B-44A9-9826-F135485E0417}"/>
            </c:ext>
          </c:extLst>
        </c:ser>
        <c:ser>
          <c:idx val="2"/>
          <c:order val="2"/>
          <c:tx>
            <c:strRef>
              <c:f>data!$DZ$21</c:f>
              <c:strCache>
                <c:ptCount val="1"/>
                <c:pt idx="0">
                  <c:v>FILM</c:v>
                </c:pt>
              </c:strCache>
            </c:strRef>
          </c:tx>
          <c:spPr>
            <a:solidFill>
              <a:schemeClr val="tx1">
                <a:lumMod val="95000"/>
                <a:lumOff val="5000"/>
                <a:alpha val="60000"/>
              </a:schemeClr>
            </a:solidFill>
            <a:ln>
              <a:solidFill>
                <a:schemeClr val="tx1">
                  <a:lumMod val="75000"/>
                  <a:lumOff val="25000"/>
                </a:schemeClr>
              </a:solidFill>
            </a:ln>
            <a:effectLst/>
          </c:spPr>
          <c:invertIfNegative val="0"/>
          <c:cat>
            <c:strRef>
              <c:f>data!$DV$22</c:f>
              <c:strCache>
                <c:ptCount val="1"/>
                <c:pt idx="0">
                  <c:v>TOTAL HRS</c:v>
                </c:pt>
              </c:strCache>
            </c:strRef>
          </c:cat>
          <c:val>
            <c:numRef>
              <c:f>data!$DZ$22</c:f>
              <c:numCache>
                <c:formatCode>0</c:formatCode>
                <c:ptCount val="1"/>
                <c:pt idx="0">
                  <c:v>0</c:v>
                </c:pt>
              </c:numCache>
            </c:numRef>
          </c:val>
          <c:extLst>
            <c:ext xmlns:c16="http://schemas.microsoft.com/office/drawing/2014/chart" uri="{C3380CC4-5D6E-409C-BE32-E72D297353CC}">
              <c16:uniqueId val="{00000002-C78B-44A9-9826-F135485E0417}"/>
            </c:ext>
          </c:extLst>
        </c:ser>
        <c:dLbls>
          <c:showLegendKey val="0"/>
          <c:showVal val="0"/>
          <c:showCatName val="0"/>
          <c:showSerName val="0"/>
          <c:showPercent val="0"/>
          <c:showBubbleSize val="0"/>
        </c:dLbls>
        <c:gapWidth val="219"/>
        <c:overlap val="-27"/>
        <c:axId val="1967005951"/>
        <c:axId val="1967004287"/>
      </c:barChart>
      <c:catAx>
        <c:axId val="1967005951"/>
        <c:scaling>
          <c:orientation val="minMax"/>
        </c:scaling>
        <c:delete val="1"/>
        <c:axPos val="b"/>
        <c:numFmt formatCode="General" sourceLinked="1"/>
        <c:majorTickMark val="none"/>
        <c:minorTickMark val="none"/>
        <c:tickLblPos val="nextTo"/>
        <c:crossAx val="1967004287"/>
        <c:crosses val="autoZero"/>
        <c:auto val="1"/>
        <c:lblAlgn val="ctr"/>
        <c:lblOffset val="100"/>
        <c:noMultiLvlLbl val="0"/>
      </c:catAx>
      <c:valAx>
        <c:axId val="1967004287"/>
        <c:scaling>
          <c:orientation val="minMax"/>
          <c:max val="40"/>
        </c:scaling>
        <c:delete val="0"/>
        <c:axPos val="l"/>
        <c:majorGridlines>
          <c:spPr>
            <a:ln w="9525" cap="flat" cmpd="sng" algn="ctr">
              <a:solidFill>
                <a:schemeClr val="tx1">
                  <a:lumMod val="65000"/>
                  <a:lumOff val="3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bg1">
                        <a:lumMod val="50000"/>
                      </a:schemeClr>
                    </a:solidFill>
                    <a:latin typeface="+mn-lt"/>
                    <a:ea typeface="+mn-ea"/>
                    <a:cs typeface="+mn-cs"/>
                  </a:defRPr>
                </a:pPr>
                <a:r>
                  <a:rPr lang="en-GB" baseline="0">
                    <a:solidFill>
                      <a:schemeClr val="bg1">
                        <a:lumMod val="50000"/>
                      </a:schemeClr>
                    </a:solidFill>
                  </a:rPr>
                  <a:t>HRS</a:t>
                </a:r>
              </a:p>
            </c:rich>
          </c:tx>
          <c:layout>
            <c:manualLayout>
              <c:xMode val="edge"/>
              <c:yMode val="edge"/>
              <c:x val="0.12223390848707089"/>
              <c:y val="0.8221841706406418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bg1">
                      <a:lumMod val="50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1967005951"/>
        <c:crosses val="autoZero"/>
        <c:crossBetween val="between"/>
        <c:majorUnit val="5"/>
        <c:minorUnit val="5"/>
      </c:valAx>
      <c:spPr>
        <a:noFill/>
        <a:ln>
          <a:noFill/>
        </a:ln>
        <a:effectLst/>
      </c:spPr>
    </c:plotArea>
    <c:legend>
      <c:legendPos val="b"/>
      <c:layout>
        <c:manualLayout>
          <c:xMode val="edge"/>
          <c:yMode val="edge"/>
          <c:x val="0.30057439935392694"/>
          <c:y val="0.82465213541784299"/>
          <c:w val="0.52491576847950006"/>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000000">
        <a:alpha val="50196"/>
      </a:srgb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146915299847448"/>
          <c:y val="0.46897997466403202"/>
          <c:w val="0.64794698820779772"/>
          <c:h val="0.37335460893226075"/>
        </c:manualLayout>
      </c:layout>
      <c:barChart>
        <c:barDir val="bar"/>
        <c:grouping val="clustered"/>
        <c:varyColors val="0"/>
        <c:ser>
          <c:idx val="0"/>
          <c:order val="0"/>
          <c:tx>
            <c:strRef>
              <c:f>data!$DV$25</c:f>
              <c:strCache>
                <c:ptCount val="1"/>
                <c:pt idx="0">
                  <c:v>TOTAL HRS</c:v>
                </c:pt>
              </c:strCache>
            </c:strRef>
          </c:tx>
          <c:spPr>
            <a:solidFill>
              <a:schemeClr val="bg1">
                <a:lumMod val="75000"/>
                <a:alpha val="50196"/>
              </a:schemeClr>
            </a:solidFill>
            <a:ln>
              <a:noFill/>
            </a:ln>
            <a:effectLst/>
          </c:spPr>
          <c:invertIfNegative val="0"/>
          <c:dPt>
            <c:idx val="0"/>
            <c:invertIfNegative val="0"/>
            <c:bubble3D val="0"/>
            <c:spPr>
              <a:solidFill>
                <a:schemeClr val="bg1">
                  <a:alpha val="50196"/>
                </a:schemeClr>
              </a:solidFill>
              <a:ln>
                <a:solidFill>
                  <a:schemeClr val="tx1">
                    <a:lumMod val="65000"/>
                    <a:lumOff val="35000"/>
                  </a:schemeClr>
                </a:solidFill>
              </a:ln>
              <a:effectLst/>
            </c:spPr>
            <c:extLst>
              <c:ext xmlns:c16="http://schemas.microsoft.com/office/drawing/2014/chart" uri="{C3380CC4-5D6E-409C-BE32-E72D297353CC}">
                <c16:uniqueId val="{00000000-E2A6-416C-9F82-A1D2DB5886DD}"/>
              </c:ext>
            </c:extLst>
          </c:dPt>
          <c:dPt>
            <c:idx val="1"/>
            <c:invertIfNegative val="0"/>
            <c:bubble3D val="0"/>
            <c:spPr>
              <a:solidFill>
                <a:schemeClr val="bg1">
                  <a:lumMod val="50000"/>
                  <a:alpha val="50196"/>
                </a:schemeClr>
              </a:solidFill>
              <a:ln>
                <a:solidFill>
                  <a:schemeClr val="tx1">
                    <a:lumMod val="65000"/>
                    <a:lumOff val="35000"/>
                  </a:schemeClr>
                </a:solidFill>
              </a:ln>
              <a:effectLst/>
            </c:spPr>
            <c:extLst>
              <c:ext xmlns:c16="http://schemas.microsoft.com/office/drawing/2014/chart" uri="{C3380CC4-5D6E-409C-BE32-E72D297353CC}">
                <c16:uniqueId val="{00000001-E2A6-416C-9F82-A1D2DB5886DD}"/>
              </c:ext>
            </c:extLst>
          </c:dPt>
          <c:dPt>
            <c:idx val="2"/>
            <c:invertIfNegative val="0"/>
            <c:bubble3D val="0"/>
            <c:spPr>
              <a:solidFill>
                <a:schemeClr val="tx1">
                  <a:alpha val="50196"/>
                </a:schemeClr>
              </a:solidFill>
              <a:ln>
                <a:solidFill>
                  <a:schemeClr val="tx1">
                    <a:lumMod val="85000"/>
                    <a:lumOff val="15000"/>
                  </a:schemeClr>
                </a:solidFill>
              </a:ln>
              <a:effectLst/>
            </c:spPr>
            <c:extLst>
              <c:ext xmlns:c16="http://schemas.microsoft.com/office/drawing/2014/chart" uri="{C3380CC4-5D6E-409C-BE32-E72D297353CC}">
                <c16:uniqueId val="{00000002-E2A6-416C-9F82-A1D2DB5886DD}"/>
              </c:ext>
            </c:extLst>
          </c:dPt>
          <c:cat>
            <c:strRef>
              <c:f>data!$DX$24:$DZ$24</c:f>
              <c:strCache>
                <c:ptCount val="3"/>
                <c:pt idx="0">
                  <c:v>GAMING</c:v>
                </c:pt>
                <c:pt idx="1">
                  <c:v>TV</c:v>
                </c:pt>
                <c:pt idx="2">
                  <c:v>FILM</c:v>
                </c:pt>
              </c:strCache>
            </c:strRef>
          </c:cat>
          <c:val>
            <c:numRef>
              <c:f>data!$DX$25:$DZ$25</c:f>
              <c:numCache>
                <c:formatCode>0</c:formatCode>
                <c:ptCount val="3"/>
                <c:pt idx="0">
                  <c:v>7</c:v>
                </c:pt>
                <c:pt idx="1">
                  <c:v>34</c:v>
                </c:pt>
                <c:pt idx="2">
                  <c:v>18</c:v>
                </c:pt>
              </c:numCache>
            </c:numRef>
          </c:val>
          <c:extLst>
            <c:ext xmlns:c16="http://schemas.microsoft.com/office/drawing/2014/chart" uri="{C3380CC4-5D6E-409C-BE32-E72D297353CC}">
              <c16:uniqueId val="{00000000-A192-4E2D-966E-8581DC10FD08}"/>
            </c:ext>
          </c:extLst>
        </c:ser>
        <c:dLbls>
          <c:showLegendKey val="0"/>
          <c:showVal val="0"/>
          <c:showCatName val="0"/>
          <c:showSerName val="0"/>
          <c:showPercent val="0"/>
          <c:showBubbleSize val="0"/>
        </c:dLbls>
        <c:gapWidth val="219"/>
        <c:axId val="1967005951"/>
        <c:axId val="1967004287"/>
      </c:barChart>
      <c:catAx>
        <c:axId val="1967005951"/>
        <c:scaling>
          <c:orientation val="maxMin"/>
        </c:scaling>
        <c:delete val="0"/>
        <c:axPos val="l"/>
        <c:numFmt formatCode="General" sourceLinked="1"/>
        <c:majorTickMark val="out"/>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mn-lt"/>
                <a:ea typeface="+mn-ea"/>
                <a:cs typeface="+mn-cs"/>
              </a:defRPr>
            </a:pPr>
            <a:endParaRPr lang="en-US"/>
          </a:p>
        </c:txPr>
        <c:crossAx val="1967004287"/>
        <c:crosses val="autoZero"/>
        <c:auto val="1"/>
        <c:lblAlgn val="ctr"/>
        <c:lblOffset val="100"/>
        <c:noMultiLvlLbl val="0"/>
      </c:catAx>
      <c:valAx>
        <c:axId val="1967004287"/>
        <c:scaling>
          <c:orientation val="minMax"/>
        </c:scaling>
        <c:delete val="0"/>
        <c:axPos val="t"/>
        <c:majorGridlines>
          <c:spPr>
            <a:ln w="9525" cap="flat" cmpd="sng" algn="ctr">
              <a:solidFill>
                <a:schemeClr val="tx1">
                  <a:lumMod val="65000"/>
                  <a:lumOff val="35000"/>
                </a:schemeClr>
              </a:solidFill>
              <a:round/>
            </a:ln>
            <a:effectLst/>
          </c:spPr>
        </c:majorGridlines>
        <c:title>
          <c:tx>
            <c:rich>
              <a:bodyPr rot="0" spcFirstLastPara="1" vertOverflow="ellipsis" vert="horz" wrap="square" anchor="ctr" anchorCtr="1"/>
              <a:lstStyle/>
              <a:p>
                <a:pPr>
                  <a:defRPr sz="700" b="0" i="0" u="none" strike="noStrike" kern="1200" baseline="0">
                    <a:solidFill>
                      <a:schemeClr val="bg1">
                        <a:lumMod val="65000"/>
                      </a:schemeClr>
                    </a:solidFill>
                    <a:latin typeface="+mn-lt"/>
                    <a:ea typeface="+mn-ea"/>
                    <a:cs typeface="+mn-cs"/>
                  </a:defRPr>
                </a:pPr>
                <a:r>
                  <a:rPr lang="en-GB" sz="700">
                    <a:solidFill>
                      <a:schemeClr val="bg1">
                        <a:lumMod val="65000"/>
                      </a:schemeClr>
                    </a:solidFill>
                  </a:rPr>
                  <a:t>HOURS</a:t>
                </a:r>
                <a:r>
                  <a:rPr lang="en-GB" sz="700" baseline="0">
                    <a:solidFill>
                      <a:schemeClr val="bg1">
                        <a:lumMod val="65000"/>
                      </a:schemeClr>
                    </a:solidFill>
                  </a:rPr>
                  <a:t> LAST MONTH</a:t>
                </a:r>
                <a:endParaRPr lang="en-GB" sz="700">
                  <a:solidFill>
                    <a:schemeClr val="bg1">
                      <a:lumMod val="65000"/>
                    </a:schemeClr>
                  </a:solidFill>
                </a:endParaRPr>
              </a:p>
            </c:rich>
          </c:tx>
          <c:overlay val="0"/>
          <c:spPr>
            <a:noFill/>
            <a:ln>
              <a:noFill/>
            </a:ln>
            <a:effectLst/>
          </c:spPr>
          <c:txPr>
            <a:bodyPr rot="0" spcFirstLastPara="1" vertOverflow="ellipsis" vert="horz" wrap="square" anchor="ctr" anchorCtr="1"/>
            <a:lstStyle/>
            <a:p>
              <a:pPr>
                <a:defRPr sz="700" b="0" i="0" u="none" strike="noStrike" kern="1200" baseline="0">
                  <a:solidFill>
                    <a:schemeClr val="bg1">
                      <a:lumMod val="6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lumMod val="50000"/>
                  </a:schemeClr>
                </a:solidFill>
                <a:latin typeface="+mn-lt"/>
                <a:ea typeface="+mn-ea"/>
                <a:cs typeface="+mn-cs"/>
              </a:defRPr>
            </a:pPr>
            <a:endParaRPr lang="en-US"/>
          </a:p>
        </c:txPr>
        <c:crossAx val="1967005951"/>
        <c:crosses val="autoZero"/>
        <c:crossBetween val="between"/>
        <c:majorUnit val="5"/>
        <c:minorUnit val="5"/>
      </c:valAx>
      <c:spPr>
        <a:noFill/>
        <a:ln>
          <a:noFill/>
        </a:ln>
        <a:effectLst/>
      </c:spPr>
    </c:plotArea>
    <c:plotVisOnly val="1"/>
    <c:dispBlanksAs val="gap"/>
    <c:showDLblsOverMax val="0"/>
  </c:chart>
  <c:spPr>
    <a:solidFill>
      <a:srgbClr val="000000">
        <a:alpha val="50196"/>
      </a:srgb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lumMod val="75000"/>
                  </a:schemeClr>
                </a:solidFill>
                <a:latin typeface="+mn-lt"/>
                <a:ea typeface="+mn-ea"/>
                <a:cs typeface="+mn-cs"/>
              </a:defRPr>
            </a:pPr>
            <a:r>
              <a:rPr lang="en-GB" b="1">
                <a:solidFill>
                  <a:schemeClr val="bg1">
                    <a:lumMod val="75000"/>
                  </a:schemeClr>
                </a:solidFill>
              </a:rPr>
              <a:t>MIND</a:t>
            </a:r>
          </a:p>
        </c:rich>
      </c:tx>
      <c:layout>
        <c:manualLayout>
          <c:xMode val="edge"/>
          <c:yMode val="edge"/>
          <c:x val="0.4801571349633928"/>
          <c:y val="1.196510496250373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lumMod val="75000"/>
                </a:schemeClr>
              </a:solidFill>
              <a:latin typeface="+mn-lt"/>
              <a:ea typeface="+mn-ea"/>
              <a:cs typeface="+mn-cs"/>
            </a:defRPr>
          </a:pPr>
          <a:endParaRPr lang="en-US"/>
        </a:p>
      </c:txPr>
    </c:title>
    <c:autoTitleDeleted val="0"/>
    <c:plotArea>
      <c:layout>
        <c:manualLayout>
          <c:layoutTarget val="inner"/>
          <c:xMode val="edge"/>
          <c:yMode val="edge"/>
          <c:x val="2.773264864706812E-2"/>
          <c:y val="9.9924361727511332E-2"/>
          <c:w val="0.96448335405442731"/>
          <c:h val="0.75098997852541161"/>
        </c:manualLayout>
      </c:layout>
      <c:barChart>
        <c:barDir val="col"/>
        <c:grouping val="clustered"/>
        <c:varyColors val="0"/>
        <c:ser>
          <c:idx val="0"/>
          <c:order val="0"/>
          <c:tx>
            <c:strRef>
              <c:f>data!$CZ$21</c:f>
              <c:strCache>
                <c:ptCount val="1"/>
                <c:pt idx="0">
                  <c:v>MND1</c:v>
                </c:pt>
              </c:strCache>
            </c:strRef>
          </c:tx>
          <c:spPr>
            <a:solidFill>
              <a:srgbClr val="00B0F0"/>
            </a:solidFill>
            <a:ln>
              <a:noFill/>
            </a:ln>
            <a:effectLst/>
          </c:spPr>
          <c:invertIfNegative val="0"/>
          <c:cat>
            <c:strRef>
              <c:f>data!$CY$22:$CY$33</c:f>
              <c:strCache>
                <c:ptCount val="12"/>
                <c:pt idx="0">
                  <c:v>JAN</c:v>
                </c:pt>
                <c:pt idx="1">
                  <c:v>FEB</c:v>
                </c:pt>
                <c:pt idx="2">
                  <c:v>MAR</c:v>
                </c:pt>
                <c:pt idx="3">
                  <c:v>APR</c:v>
                </c:pt>
                <c:pt idx="4">
                  <c:v>MAY</c:v>
                </c:pt>
                <c:pt idx="5">
                  <c:v>JUNE</c:v>
                </c:pt>
                <c:pt idx="6">
                  <c:v>JULY</c:v>
                </c:pt>
                <c:pt idx="7">
                  <c:v>AUG</c:v>
                </c:pt>
                <c:pt idx="8">
                  <c:v>SEP</c:v>
                </c:pt>
                <c:pt idx="9">
                  <c:v>OCT</c:v>
                </c:pt>
                <c:pt idx="10">
                  <c:v>NOV</c:v>
                </c:pt>
                <c:pt idx="11">
                  <c:v>DEC</c:v>
                </c:pt>
              </c:strCache>
            </c:strRef>
          </c:cat>
          <c:val>
            <c:numRef>
              <c:f>data!$CZ$22:$CZ$33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060-42F9-A633-77CA05D4BE9B}"/>
            </c:ext>
          </c:extLst>
        </c:ser>
        <c:ser>
          <c:idx val="1"/>
          <c:order val="1"/>
          <c:tx>
            <c:strRef>
              <c:f>data!$DA$21</c:f>
              <c:strCache>
                <c:ptCount val="1"/>
                <c:pt idx="0">
                  <c:v>MND2</c:v>
                </c:pt>
              </c:strCache>
            </c:strRef>
          </c:tx>
          <c:spPr>
            <a:solidFill>
              <a:srgbClr val="00B050"/>
            </a:solidFill>
            <a:ln>
              <a:noFill/>
            </a:ln>
            <a:effectLst/>
          </c:spPr>
          <c:invertIfNegative val="0"/>
          <c:cat>
            <c:strRef>
              <c:f>data!$CY$22:$CY$33</c:f>
              <c:strCache>
                <c:ptCount val="12"/>
                <c:pt idx="0">
                  <c:v>JAN</c:v>
                </c:pt>
                <c:pt idx="1">
                  <c:v>FEB</c:v>
                </c:pt>
                <c:pt idx="2">
                  <c:v>MAR</c:v>
                </c:pt>
                <c:pt idx="3">
                  <c:v>APR</c:v>
                </c:pt>
                <c:pt idx="4">
                  <c:v>MAY</c:v>
                </c:pt>
                <c:pt idx="5">
                  <c:v>JUNE</c:v>
                </c:pt>
                <c:pt idx="6">
                  <c:v>JULY</c:v>
                </c:pt>
                <c:pt idx="7">
                  <c:v>AUG</c:v>
                </c:pt>
                <c:pt idx="8">
                  <c:v>SEP</c:v>
                </c:pt>
                <c:pt idx="9">
                  <c:v>OCT</c:v>
                </c:pt>
                <c:pt idx="10">
                  <c:v>NOV</c:v>
                </c:pt>
                <c:pt idx="11">
                  <c:v>DEC</c:v>
                </c:pt>
              </c:strCache>
            </c:strRef>
          </c:cat>
          <c:val>
            <c:numRef>
              <c:f>data!$DA$22:$DA$33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A060-42F9-A633-77CA05D4BE9B}"/>
            </c:ext>
          </c:extLst>
        </c:ser>
        <c:ser>
          <c:idx val="2"/>
          <c:order val="2"/>
          <c:tx>
            <c:strRef>
              <c:f>data!$DB$21</c:f>
              <c:strCache>
                <c:ptCount val="1"/>
                <c:pt idx="0">
                  <c:v>MND3</c:v>
                </c:pt>
              </c:strCache>
            </c:strRef>
          </c:tx>
          <c:spPr>
            <a:solidFill>
              <a:srgbClr val="FFC000"/>
            </a:solidFill>
            <a:ln>
              <a:noFill/>
            </a:ln>
            <a:effectLst/>
          </c:spPr>
          <c:invertIfNegative val="0"/>
          <c:cat>
            <c:strRef>
              <c:f>data!$CY$22:$CY$33</c:f>
              <c:strCache>
                <c:ptCount val="12"/>
                <c:pt idx="0">
                  <c:v>JAN</c:v>
                </c:pt>
                <c:pt idx="1">
                  <c:v>FEB</c:v>
                </c:pt>
                <c:pt idx="2">
                  <c:v>MAR</c:v>
                </c:pt>
                <c:pt idx="3">
                  <c:v>APR</c:v>
                </c:pt>
                <c:pt idx="4">
                  <c:v>MAY</c:v>
                </c:pt>
                <c:pt idx="5">
                  <c:v>JUNE</c:v>
                </c:pt>
                <c:pt idx="6">
                  <c:v>JULY</c:v>
                </c:pt>
                <c:pt idx="7">
                  <c:v>AUG</c:v>
                </c:pt>
                <c:pt idx="8">
                  <c:v>SEP</c:v>
                </c:pt>
                <c:pt idx="9">
                  <c:v>OCT</c:v>
                </c:pt>
                <c:pt idx="10">
                  <c:v>NOV</c:v>
                </c:pt>
                <c:pt idx="11">
                  <c:v>DEC</c:v>
                </c:pt>
              </c:strCache>
            </c:strRef>
          </c:cat>
          <c:val>
            <c:numRef>
              <c:f>data!$DB$22:$DB$33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A060-42F9-A633-77CA05D4BE9B}"/>
            </c:ext>
          </c:extLst>
        </c:ser>
        <c:ser>
          <c:idx val="3"/>
          <c:order val="3"/>
          <c:tx>
            <c:strRef>
              <c:f>data!$DC$21</c:f>
              <c:strCache>
                <c:ptCount val="1"/>
                <c:pt idx="0">
                  <c:v>MND4</c:v>
                </c:pt>
              </c:strCache>
            </c:strRef>
          </c:tx>
          <c:spPr>
            <a:solidFill>
              <a:srgbClr val="FF6600"/>
            </a:solidFill>
            <a:ln>
              <a:noFill/>
            </a:ln>
            <a:effectLst/>
          </c:spPr>
          <c:invertIfNegative val="0"/>
          <c:cat>
            <c:strRef>
              <c:f>data!$CY$22:$CY$33</c:f>
              <c:strCache>
                <c:ptCount val="12"/>
                <c:pt idx="0">
                  <c:v>JAN</c:v>
                </c:pt>
                <c:pt idx="1">
                  <c:v>FEB</c:v>
                </c:pt>
                <c:pt idx="2">
                  <c:v>MAR</c:v>
                </c:pt>
                <c:pt idx="3">
                  <c:v>APR</c:v>
                </c:pt>
                <c:pt idx="4">
                  <c:v>MAY</c:v>
                </c:pt>
                <c:pt idx="5">
                  <c:v>JUNE</c:v>
                </c:pt>
                <c:pt idx="6">
                  <c:v>JULY</c:v>
                </c:pt>
                <c:pt idx="7">
                  <c:v>AUG</c:v>
                </c:pt>
                <c:pt idx="8">
                  <c:v>SEP</c:v>
                </c:pt>
                <c:pt idx="9">
                  <c:v>OCT</c:v>
                </c:pt>
                <c:pt idx="10">
                  <c:v>NOV</c:v>
                </c:pt>
                <c:pt idx="11">
                  <c:v>DEC</c:v>
                </c:pt>
              </c:strCache>
            </c:strRef>
          </c:cat>
          <c:val>
            <c:numRef>
              <c:f>data!$DC$22:$DC$33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A060-42F9-A633-77CA05D4BE9B}"/>
            </c:ext>
          </c:extLst>
        </c:ser>
        <c:ser>
          <c:idx val="4"/>
          <c:order val="4"/>
          <c:tx>
            <c:strRef>
              <c:f>data!$DD$21</c:f>
              <c:strCache>
                <c:ptCount val="1"/>
                <c:pt idx="0">
                  <c:v>MND5</c:v>
                </c:pt>
              </c:strCache>
            </c:strRef>
          </c:tx>
          <c:spPr>
            <a:solidFill>
              <a:srgbClr val="C00000"/>
            </a:solidFill>
            <a:ln>
              <a:noFill/>
            </a:ln>
            <a:effectLst/>
          </c:spPr>
          <c:invertIfNegative val="0"/>
          <c:cat>
            <c:strRef>
              <c:f>data!$CY$22:$CY$33</c:f>
              <c:strCache>
                <c:ptCount val="12"/>
                <c:pt idx="0">
                  <c:v>JAN</c:v>
                </c:pt>
                <c:pt idx="1">
                  <c:v>FEB</c:v>
                </c:pt>
                <c:pt idx="2">
                  <c:v>MAR</c:v>
                </c:pt>
                <c:pt idx="3">
                  <c:v>APR</c:v>
                </c:pt>
                <c:pt idx="4">
                  <c:v>MAY</c:v>
                </c:pt>
                <c:pt idx="5">
                  <c:v>JUNE</c:v>
                </c:pt>
                <c:pt idx="6">
                  <c:v>JULY</c:v>
                </c:pt>
                <c:pt idx="7">
                  <c:v>AUG</c:v>
                </c:pt>
                <c:pt idx="8">
                  <c:v>SEP</c:v>
                </c:pt>
                <c:pt idx="9">
                  <c:v>OCT</c:v>
                </c:pt>
                <c:pt idx="10">
                  <c:v>NOV</c:v>
                </c:pt>
                <c:pt idx="11">
                  <c:v>DEC</c:v>
                </c:pt>
              </c:strCache>
            </c:strRef>
          </c:cat>
          <c:val>
            <c:numRef>
              <c:f>data!$DD$22:$DD$33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A060-42F9-A633-77CA05D4BE9B}"/>
            </c:ext>
          </c:extLst>
        </c:ser>
        <c:ser>
          <c:idx val="5"/>
          <c:order val="5"/>
          <c:tx>
            <c:strRef>
              <c:f>data!$DE$21</c:f>
              <c:strCache>
                <c:ptCount val="1"/>
                <c:pt idx="0">
                  <c:v>MND6</c:v>
                </c:pt>
              </c:strCache>
            </c:strRef>
          </c:tx>
          <c:spPr>
            <a:solidFill>
              <a:srgbClr val="FF0000"/>
            </a:solidFill>
            <a:ln>
              <a:noFill/>
            </a:ln>
            <a:effectLst/>
          </c:spPr>
          <c:invertIfNegative val="0"/>
          <c:cat>
            <c:strRef>
              <c:f>data!$CY$22:$CY$33</c:f>
              <c:strCache>
                <c:ptCount val="12"/>
                <c:pt idx="0">
                  <c:v>JAN</c:v>
                </c:pt>
                <c:pt idx="1">
                  <c:v>FEB</c:v>
                </c:pt>
                <c:pt idx="2">
                  <c:v>MAR</c:v>
                </c:pt>
                <c:pt idx="3">
                  <c:v>APR</c:v>
                </c:pt>
                <c:pt idx="4">
                  <c:v>MAY</c:v>
                </c:pt>
                <c:pt idx="5">
                  <c:v>JUNE</c:v>
                </c:pt>
                <c:pt idx="6">
                  <c:v>JULY</c:v>
                </c:pt>
                <c:pt idx="7">
                  <c:v>AUG</c:v>
                </c:pt>
                <c:pt idx="8">
                  <c:v>SEP</c:v>
                </c:pt>
                <c:pt idx="9">
                  <c:v>OCT</c:v>
                </c:pt>
                <c:pt idx="10">
                  <c:v>NOV</c:v>
                </c:pt>
                <c:pt idx="11">
                  <c:v>DEC</c:v>
                </c:pt>
              </c:strCache>
            </c:strRef>
          </c:cat>
          <c:val>
            <c:numRef>
              <c:f>data!$DE$22:$DE$33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A060-42F9-A633-77CA05D4BE9B}"/>
            </c:ext>
          </c:extLst>
        </c:ser>
        <c:ser>
          <c:idx val="6"/>
          <c:order val="6"/>
          <c:tx>
            <c:strRef>
              <c:f>data!$DF$21</c:f>
              <c:strCache>
                <c:ptCount val="1"/>
                <c:pt idx="0">
                  <c:v>MND7</c:v>
                </c:pt>
              </c:strCache>
            </c:strRef>
          </c:tx>
          <c:spPr>
            <a:solidFill>
              <a:srgbClr val="FF00FF"/>
            </a:solidFill>
            <a:ln>
              <a:noFill/>
            </a:ln>
            <a:effectLst/>
          </c:spPr>
          <c:invertIfNegative val="0"/>
          <c:cat>
            <c:strRef>
              <c:f>data!$CY$22:$CY$33</c:f>
              <c:strCache>
                <c:ptCount val="12"/>
                <c:pt idx="0">
                  <c:v>JAN</c:v>
                </c:pt>
                <c:pt idx="1">
                  <c:v>FEB</c:v>
                </c:pt>
                <c:pt idx="2">
                  <c:v>MAR</c:v>
                </c:pt>
                <c:pt idx="3">
                  <c:v>APR</c:v>
                </c:pt>
                <c:pt idx="4">
                  <c:v>MAY</c:v>
                </c:pt>
                <c:pt idx="5">
                  <c:v>JUNE</c:v>
                </c:pt>
                <c:pt idx="6">
                  <c:v>JULY</c:v>
                </c:pt>
                <c:pt idx="7">
                  <c:v>AUG</c:v>
                </c:pt>
                <c:pt idx="8">
                  <c:v>SEP</c:v>
                </c:pt>
                <c:pt idx="9">
                  <c:v>OCT</c:v>
                </c:pt>
                <c:pt idx="10">
                  <c:v>NOV</c:v>
                </c:pt>
                <c:pt idx="11">
                  <c:v>DEC</c:v>
                </c:pt>
              </c:strCache>
            </c:strRef>
          </c:cat>
          <c:val>
            <c:numRef>
              <c:f>data!$DF$22:$DF$33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A060-42F9-A633-77CA05D4BE9B}"/>
            </c:ext>
          </c:extLst>
        </c:ser>
        <c:ser>
          <c:idx val="7"/>
          <c:order val="7"/>
          <c:tx>
            <c:strRef>
              <c:f>data!$DG$21</c:f>
              <c:strCache>
                <c:ptCount val="1"/>
                <c:pt idx="0">
                  <c:v>MND8</c:v>
                </c:pt>
              </c:strCache>
            </c:strRef>
          </c:tx>
          <c:spPr>
            <a:solidFill>
              <a:srgbClr val="9900CC"/>
            </a:solidFill>
            <a:ln>
              <a:noFill/>
            </a:ln>
            <a:effectLst/>
          </c:spPr>
          <c:invertIfNegative val="0"/>
          <c:cat>
            <c:strRef>
              <c:f>data!$CY$22:$CY$33</c:f>
              <c:strCache>
                <c:ptCount val="12"/>
                <c:pt idx="0">
                  <c:v>JAN</c:v>
                </c:pt>
                <c:pt idx="1">
                  <c:v>FEB</c:v>
                </c:pt>
                <c:pt idx="2">
                  <c:v>MAR</c:v>
                </c:pt>
                <c:pt idx="3">
                  <c:v>APR</c:v>
                </c:pt>
                <c:pt idx="4">
                  <c:v>MAY</c:v>
                </c:pt>
                <c:pt idx="5">
                  <c:v>JUNE</c:v>
                </c:pt>
                <c:pt idx="6">
                  <c:v>JULY</c:v>
                </c:pt>
                <c:pt idx="7">
                  <c:v>AUG</c:v>
                </c:pt>
                <c:pt idx="8">
                  <c:v>SEP</c:v>
                </c:pt>
                <c:pt idx="9">
                  <c:v>OCT</c:v>
                </c:pt>
                <c:pt idx="10">
                  <c:v>NOV</c:v>
                </c:pt>
                <c:pt idx="11">
                  <c:v>DEC</c:v>
                </c:pt>
              </c:strCache>
            </c:strRef>
          </c:cat>
          <c:val>
            <c:numRef>
              <c:f>data!$DG$22:$DG$33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7-A060-42F9-A633-77CA05D4BE9B}"/>
            </c:ext>
          </c:extLst>
        </c:ser>
        <c:ser>
          <c:idx val="8"/>
          <c:order val="8"/>
          <c:tx>
            <c:strRef>
              <c:f>data!$DH$21</c:f>
              <c:strCache>
                <c:ptCount val="1"/>
                <c:pt idx="0">
                  <c:v>MND9</c:v>
                </c:pt>
              </c:strCache>
            </c:strRef>
          </c:tx>
          <c:spPr>
            <a:solidFill>
              <a:srgbClr val="0070C0"/>
            </a:solidFill>
            <a:ln>
              <a:noFill/>
            </a:ln>
            <a:effectLst/>
          </c:spPr>
          <c:invertIfNegative val="0"/>
          <c:cat>
            <c:strRef>
              <c:f>data!$CY$22:$CY$33</c:f>
              <c:strCache>
                <c:ptCount val="12"/>
                <c:pt idx="0">
                  <c:v>JAN</c:v>
                </c:pt>
                <c:pt idx="1">
                  <c:v>FEB</c:v>
                </c:pt>
                <c:pt idx="2">
                  <c:v>MAR</c:v>
                </c:pt>
                <c:pt idx="3">
                  <c:v>APR</c:v>
                </c:pt>
                <c:pt idx="4">
                  <c:v>MAY</c:v>
                </c:pt>
                <c:pt idx="5">
                  <c:v>JUNE</c:v>
                </c:pt>
                <c:pt idx="6">
                  <c:v>JULY</c:v>
                </c:pt>
                <c:pt idx="7">
                  <c:v>AUG</c:v>
                </c:pt>
                <c:pt idx="8">
                  <c:v>SEP</c:v>
                </c:pt>
                <c:pt idx="9">
                  <c:v>OCT</c:v>
                </c:pt>
                <c:pt idx="10">
                  <c:v>NOV</c:v>
                </c:pt>
                <c:pt idx="11">
                  <c:v>DEC</c:v>
                </c:pt>
              </c:strCache>
            </c:strRef>
          </c:cat>
          <c:val>
            <c:numRef>
              <c:f>data!$DH$22:$DH$33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A060-42F9-A633-77CA05D4BE9B}"/>
            </c:ext>
          </c:extLst>
        </c:ser>
        <c:dLbls>
          <c:showLegendKey val="0"/>
          <c:showVal val="0"/>
          <c:showCatName val="0"/>
          <c:showSerName val="0"/>
          <c:showPercent val="0"/>
          <c:showBubbleSize val="0"/>
        </c:dLbls>
        <c:gapWidth val="219"/>
        <c:overlap val="-27"/>
        <c:axId val="1707419520"/>
        <c:axId val="1707420352"/>
      </c:barChart>
      <c:catAx>
        <c:axId val="17074195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lumMod val="75000"/>
                  </a:schemeClr>
                </a:solidFill>
                <a:latin typeface="+mn-lt"/>
                <a:ea typeface="+mn-ea"/>
                <a:cs typeface="+mn-cs"/>
              </a:defRPr>
            </a:pPr>
            <a:endParaRPr lang="en-US"/>
          </a:p>
        </c:txPr>
        <c:crossAx val="1707420352"/>
        <c:crosses val="autoZero"/>
        <c:auto val="1"/>
        <c:lblAlgn val="ctr"/>
        <c:lblOffset val="100"/>
        <c:noMultiLvlLbl val="0"/>
      </c:catAx>
      <c:valAx>
        <c:axId val="1707420352"/>
        <c:scaling>
          <c:orientation val="minMax"/>
          <c:max val="40"/>
        </c:scaling>
        <c:delete val="1"/>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crossAx val="1707419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lumMod val="75000"/>
                  </a:schemeClr>
                </a:solidFill>
                <a:latin typeface="+mn-lt"/>
                <a:ea typeface="+mn-ea"/>
                <a:cs typeface="+mn-cs"/>
              </a:defRPr>
            </a:pPr>
            <a:r>
              <a:rPr lang="en-GB" b="1">
                <a:solidFill>
                  <a:schemeClr val="bg1">
                    <a:lumMod val="75000"/>
                  </a:schemeClr>
                </a:solidFill>
              </a:rPr>
              <a:t>BODY</a:t>
            </a:r>
          </a:p>
        </c:rich>
      </c:tx>
      <c:layout>
        <c:manualLayout>
          <c:xMode val="edge"/>
          <c:yMode val="edge"/>
          <c:x val="0.4728952150211993"/>
          <c:y val="8.5559935206202132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lumMod val="75000"/>
                </a:schemeClr>
              </a:solidFill>
              <a:latin typeface="+mn-lt"/>
              <a:ea typeface="+mn-ea"/>
              <a:cs typeface="+mn-cs"/>
            </a:defRPr>
          </a:pPr>
          <a:endParaRPr lang="en-US"/>
        </a:p>
      </c:txPr>
    </c:title>
    <c:autoTitleDeleted val="0"/>
    <c:plotArea>
      <c:layout>
        <c:manualLayout>
          <c:layoutTarget val="inner"/>
          <c:xMode val="edge"/>
          <c:yMode val="edge"/>
          <c:x val="3.2719563900666264E-2"/>
          <c:y val="9.9924361727511332E-2"/>
          <c:w val="0.93704174798662987"/>
          <c:h val="0.75098997852541161"/>
        </c:manualLayout>
      </c:layout>
      <c:barChart>
        <c:barDir val="col"/>
        <c:grouping val="clustered"/>
        <c:varyColors val="0"/>
        <c:ser>
          <c:idx val="0"/>
          <c:order val="0"/>
          <c:tx>
            <c:strRef>
              <c:f>data!$DL$21</c:f>
              <c:strCache>
                <c:ptCount val="1"/>
                <c:pt idx="0">
                  <c:v>BDY1</c:v>
                </c:pt>
              </c:strCache>
            </c:strRef>
          </c:tx>
          <c:spPr>
            <a:solidFill>
              <a:srgbClr val="0070C0"/>
            </a:solidFill>
            <a:ln>
              <a:noFill/>
            </a:ln>
            <a:effectLst/>
          </c:spPr>
          <c:invertIfNegative val="0"/>
          <c:cat>
            <c:strRef>
              <c:f>data!$DK$22:$DK$33</c:f>
              <c:strCache>
                <c:ptCount val="12"/>
                <c:pt idx="0">
                  <c:v>JAN</c:v>
                </c:pt>
                <c:pt idx="1">
                  <c:v>FEB</c:v>
                </c:pt>
                <c:pt idx="2">
                  <c:v>MAR</c:v>
                </c:pt>
                <c:pt idx="3">
                  <c:v>APR</c:v>
                </c:pt>
                <c:pt idx="4">
                  <c:v>MAY</c:v>
                </c:pt>
                <c:pt idx="5">
                  <c:v>JUNE</c:v>
                </c:pt>
                <c:pt idx="6">
                  <c:v>JULY</c:v>
                </c:pt>
                <c:pt idx="7">
                  <c:v>AUG</c:v>
                </c:pt>
                <c:pt idx="8">
                  <c:v>SEP</c:v>
                </c:pt>
                <c:pt idx="9">
                  <c:v>OCT</c:v>
                </c:pt>
                <c:pt idx="10">
                  <c:v>NOV</c:v>
                </c:pt>
                <c:pt idx="11">
                  <c:v>DEC</c:v>
                </c:pt>
              </c:strCache>
            </c:strRef>
          </c:cat>
          <c:val>
            <c:numRef>
              <c:f>data!$DL$22:$DL$33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5A3A-4946-A82D-0283B062FC50}"/>
            </c:ext>
          </c:extLst>
        </c:ser>
        <c:ser>
          <c:idx val="1"/>
          <c:order val="1"/>
          <c:tx>
            <c:strRef>
              <c:f>data!$DM$21</c:f>
              <c:strCache>
                <c:ptCount val="1"/>
                <c:pt idx="0">
                  <c:v>BDY2</c:v>
                </c:pt>
              </c:strCache>
            </c:strRef>
          </c:tx>
          <c:spPr>
            <a:solidFill>
              <a:srgbClr val="9900CC"/>
            </a:solidFill>
            <a:ln>
              <a:noFill/>
            </a:ln>
            <a:effectLst/>
          </c:spPr>
          <c:invertIfNegative val="0"/>
          <c:cat>
            <c:strRef>
              <c:f>data!$DK$22:$DK$33</c:f>
              <c:strCache>
                <c:ptCount val="12"/>
                <c:pt idx="0">
                  <c:v>JAN</c:v>
                </c:pt>
                <c:pt idx="1">
                  <c:v>FEB</c:v>
                </c:pt>
                <c:pt idx="2">
                  <c:v>MAR</c:v>
                </c:pt>
                <c:pt idx="3">
                  <c:v>APR</c:v>
                </c:pt>
                <c:pt idx="4">
                  <c:v>MAY</c:v>
                </c:pt>
                <c:pt idx="5">
                  <c:v>JUNE</c:v>
                </c:pt>
                <c:pt idx="6">
                  <c:v>JULY</c:v>
                </c:pt>
                <c:pt idx="7">
                  <c:v>AUG</c:v>
                </c:pt>
                <c:pt idx="8">
                  <c:v>SEP</c:v>
                </c:pt>
                <c:pt idx="9">
                  <c:v>OCT</c:v>
                </c:pt>
                <c:pt idx="10">
                  <c:v>NOV</c:v>
                </c:pt>
                <c:pt idx="11">
                  <c:v>DEC</c:v>
                </c:pt>
              </c:strCache>
            </c:strRef>
          </c:cat>
          <c:val>
            <c:numRef>
              <c:f>data!$DM$22:$DM$33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5A3A-4946-A82D-0283B062FC50}"/>
            </c:ext>
          </c:extLst>
        </c:ser>
        <c:ser>
          <c:idx val="2"/>
          <c:order val="2"/>
          <c:tx>
            <c:strRef>
              <c:f>data!$DN$21</c:f>
              <c:strCache>
                <c:ptCount val="1"/>
                <c:pt idx="0">
                  <c:v>BDY3</c:v>
                </c:pt>
              </c:strCache>
            </c:strRef>
          </c:tx>
          <c:spPr>
            <a:solidFill>
              <a:srgbClr val="FF00FF"/>
            </a:solidFill>
            <a:ln>
              <a:noFill/>
            </a:ln>
            <a:effectLst/>
          </c:spPr>
          <c:invertIfNegative val="0"/>
          <c:cat>
            <c:strRef>
              <c:f>data!$DK$22:$DK$33</c:f>
              <c:strCache>
                <c:ptCount val="12"/>
                <c:pt idx="0">
                  <c:v>JAN</c:v>
                </c:pt>
                <c:pt idx="1">
                  <c:v>FEB</c:v>
                </c:pt>
                <c:pt idx="2">
                  <c:v>MAR</c:v>
                </c:pt>
                <c:pt idx="3">
                  <c:v>APR</c:v>
                </c:pt>
                <c:pt idx="4">
                  <c:v>MAY</c:v>
                </c:pt>
                <c:pt idx="5">
                  <c:v>JUNE</c:v>
                </c:pt>
                <c:pt idx="6">
                  <c:v>JULY</c:v>
                </c:pt>
                <c:pt idx="7">
                  <c:v>AUG</c:v>
                </c:pt>
                <c:pt idx="8">
                  <c:v>SEP</c:v>
                </c:pt>
                <c:pt idx="9">
                  <c:v>OCT</c:v>
                </c:pt>
                <c:pt idx="10">
                  <c:v>NOV</c:v>
                </c:pt>
                <c:pt idx="11">
                  <c:v>DEC</c:v>
                </c:pt>
              </c:strCache>
            </c:strRef>
          </c:cat>
          <c:val>
            <c:numRef>
              <c:f>data!$DN$22:$DN$33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5A3A-4946-A82D-0283B062FC50}"/>
            </c:ext>
          </c:extLst>
        </c:ser>
        <c:ser>
          <c:idx val="3"/>
          <c:order val="3"/>
          <c:tx>
            <c:strRef>
              <c:f>data!$DO$21</c:f>
              <c:strCache>
                <c:ptCount val="1"/>
                <c:pt idx="0">
                  <c:v>BDY4</c:v>
                </c:pt>
              </c:strCache>
            </c:strRef>
          </c:tx>
          <c:spPr>
            <a:solidFill>
              <a:srgbClr val="FF0000"/>
            </a:solidFill>
            <a:ln>
              <a:noFill/>
            </a:ln>
            <a:effectLst/>
          </c:spPr>
          <c:invertIfNegative val="0"/>
          <c:cat>
            <c:strRef>
              <c:f>data!$DK$22:$DK$33</c:f>
              <c:strCache>
                <c:ptCount val="12"/>
                <c:pt idx="0">
                  <c:v>JAN</c:v>
                </c:pt>
                <c:pt idx="1">
                  <c:v>FEB</c:v>
                </c:pt>
                <c:pt idx="2">
                  <c:v>MAR</c:v>
                </c:pt>
                <c:pt idx="3">
                  <c:v>APR</c:v>
                </c:pt>
                <c:pt idx="4">
                  <c:v>MAY</c:v>
                </c:pt>
                <c:pt idx="5">
                  <c:v>JUNE</c:v>
                </c:pt>
                <c:pt idx="6">
                  <c:v>JULY</c:v>
                </c:pt>
                <c:pt idx="7">
                  <c:v>AUG</c:v>
                </c:pt>
                <c:pt idx="8">
                  <c:v>SEP</c:v>
                </c:pt>
                <c:pt idx="9">
                  <c:v>OCT</c:v>
                </c:pt>
                <c:pt idx="10">
                  <c:v>NOV</c:v>
                </c:pt>
                <c:pt idx="11">
                  <c:v>DEC</c:v>
                </c:pt>
              </c:strCache>
            </c:strRef>
          </c:cat>
          <c:val>
            <c:numRef>
              <c:f>data!$DO$22:$DO$33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5A3A-4946-A82D-0283B062FC50}"/>
            </c:ext>
          </c:extLst>
        </c:ser>
        <c:ser>
          <c:idx val="4"/>
          <c:order val="4"/>
          <c:tx>
            <c:strRef>
              <c:f>data!$DP$21</c:f>
              <c:strCache>
                <c:ptCount val="1"/>
                <c:pt idx="0">
                  <c:v>BDY5</c:v>
                </c:pt>
              </c:strCache>
            </c:strRef>
          </c:tx>
          <c:spPr>
            <a:solidFill>
              <a:srgbClr val="C00000"/>
            </a:solidFill>
            <a:ln>
              <a:noFill/>
            </a:ln>
            <a:effectLst/>
          </c:spPr>
          <c:invertIfNegative val="0"/>
          <c:cat>
            <c:strRef>
              <c:f>data!$DK$22:$DK$33</c:f>
              <c:strCache>
                <c:ptCount val="12"/>
                <c:pt idx="0">
                  <c:v>JAN</c:v>
                </c:pt>
                <c:pt idx="1">
                  <c:v>FEB</c:v>
                </c:pt>
                <c:pt idx="2">
                  <c:v>MAR</c:v>
                </c:pt>
                <c:pt idx="3">
                  <c:v>APR</c:v>
                </c:pt>
                <c:pt idx="4">
                  <c:v>MAY</c:v>
                </c:pt>
                <c:pt idx="5">
                  <c:v>JUNE</c:v>
                </c:pt>
                <c:pt idx="6">
                  <c:v>JULY</c:v>
                </c:pt>
                <c:pt idx="7">
                  <c:v>AUG</c:v>
                </c:pt>
                <c:pt idx="8">
                  <c:v>SEP</c:v>
                </c:pt>
                <c:pt idx="9">
                  <c:v>OCT</c:v>
                </c:pt>
                <c:pt idx="10">
                  <c:v>NOV</c:v>
                </c:pt>
                <c:pt idx="11">
                  <c:v>DEC</c:v>
                </c:pt>
              </c:strCache>
            </c:strRef>
          </c:cat>
          <c:val>
            <c:numRef>
              <c:f>data!$DP$22:$DP$33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5A3A-4946-A82D-0283B062FC50}"/>
            </c:ext>
          </c:extLst>
        </c:ser>
        <c:ser>
          <c:idx val="5"/>
          <c:order val="5"/>
          <c:tx>
            <c:strRef>
              <c:f>data!$DQ$21</c:f>
              <c:strCache>
                <c:ptCount val="1"/>
                <c:pt idx="0">
                  <c:v>BDY6</c:v>
                </c:pt>
              </c:strCache>
            </c:strRef>
          </c:tx>
          <c:spPr>
            <a:solidFill>
              <a:srgbClr val="FF6600"/>
            </a:solidFill>
            <a:ln>
              <a:noFill/>
            </a:ln>
            <a:effectLst/>
          </c:spPr>
          <c:invertIfNegative val="0"/>
          <c:cat>
            <c:strRef>
              <c:f>data!$DK$22:$DK$33</c:f>
              <c:strCache>
                <c:ptCount val="12"/>
                <c:pt idx="0">
                  <c:v>JAN</c:v>
                </c:pt>
                <c:pt idx="1">
                  <c:v>FEB</c:v>
                </c:pt>
                <c:pt idx="2">
                  <c:v>MAR</c:v>
                </c:pt>
                <c:pt idx="3">
                  <c:v>APR</c:v>
                </c:pt>
                <c:pt idx="4">
                  <c:v>MAY</c:v>
                </c:pt>
                <c:pt idx="5">
                  <c:v>JUNE</c:v>
                </c:pt>
                <c:pt idx="6">
                  <c:v>JULY</c:v>
                </c:pt>
                <c:pt idx="7">
                  <c:v>AUG</c:v>
                </c:pt>
                <c:pt idx="8">
                  <c:v>SEP</c:v>
                </c:pt>
                <c:pt idx="9">
                  <c:v>OCT</c:v>
                </c:pt>
                <c:pt idx="10">
                  <c:v>NOV</c:v>
                </c:pt>
                <c:pt idx="11">
                  <c:v>DEC</c:v>
                </c:pt>
              </c:strCache>
            </c:strRef>
          </c:cat>
          <c:val>
            <c:numRef>
              <c:f>data!$DQ$22:$DQ$33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5A3A-4946-A82D-0283B062FC50}"/>
            </c:ext>
          </c:extLst>
        </c:ser>
        <c:ser>
          <c:idx val="6"/>
          <c:order val="6"/>
          <c:tx>
            <c:strRef>
              <c:f>data!$DR$21</c:f>
              <c:strCache>
                <c:ptCount val="1"/>
                <c:pt idx="0">
                  <c:v>BDY7</c:v>
                </c:pt>
              </c:strCache>
            </c:strRef>
          </c:tx>
          <c:spPr>
            <a:solidFill>
              <a:srgbClr val="FFC000"/>
            </a:solidFill>
            <a:ln>
              <a:noFill/>
            </a:ln>
            <a:effectLst/>
          </c:spPr>
          <c:invertIfNegative val="0"/>
          <c:cat>
            <c:strRef>
              <c:f>data!$DK$22:$DK$33</c:f>
              <c:strCache>
                <c:ptCount val="12"/>
                <c:pt idx="0">
                  <c:v>JAN</c:v>
                </c:pt>
                <c:pt idx="1">
                  <c:v>FEB</c:v>
                </c:pt>
                <c:pt idx="2">
                  <c:v>MAR</c:v>
                </c:pt>
                <c:pt idx="3">
                  <c:v>APR</c:v>
                </c:pt>
                <c:pt idx="4">
                  <c:v>MAY</c:v>
                </c:pt>
                <c:pt idx="5">
                  <c:v>JUNE</c:v>
                </c:pt>
                <c:pt idx="6">
                  <c:v>JULY</c:v>
                </c:pt>
                <c:pt idx="7">
                  <c:v>AUG</c:v>
                </c:pt>
                <c:pt idx="8">
                  <c:v>SEP</c:v>
                </c:pt>
                <c:pt idx="9">
                  <c:v>OCT</c:v>
                </c:pt>
                <c:pt idx="10">
                  <c:v>NOV</c:v>
                </c:pt>
                <c:pt idx="11">
                  <c:v>DEC</c:v>
                </c:pt>
              </c:strCache>
            </c:strRef>
          </c:cat>
          <c:val>
            <c:numRef>
              <c:f>data!$DR$22:$DR$33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5A3A-4946-A82D-0283B062FC50}"/>
            </c:ext>
          </c:extLst>
        </c:ser>
        <c:ser>
          <c:idx val="7"/>
          <c:order val="7"/>
          <c:tx>
            <c:strRef>
              <c:f>data!$DS$21</c:f>
              <c:strCache>
                <c:ptCount val="1"/>
                <c:pt idx="0">
                  <c:v>BDY8</c:v>
                </c:pt>
              </c:strCache>
            </c:strRef>
          </c:tx>
          <c:spPr>
            <a:solidFill>
              <a:srgbClr val="00B050"/>
            </a:solidFill>
            <a:ln>
              <a:noFill/>
            </a:ln>
            <a:effectLst/>
          </c:spPr>
          <c:invertIfNegative val="0"/>
          <c:cat>
            <c:strRef>
              <c:f>data!$DK$22:$DK$33</c:f>
              <c:strCache>
                <c:ptCount val="12"/>
                <c:pt idx="0">
                  <c:v>JAN</c:v>
                </c:pt>
                <c:pt idx="1">
                  <c:v>FEB</c:v>
                </c:pt>
                <c:pt idx="2">
                  <c:v>MAR</c:v>
                </c:pt>
                <c:pt idx="3">
                  <c:v>APR</c:v>
                </c:pt>
                <c:pt idx="4">
                  <c:v>MAY</c:v>
                </c:pt>
                <c:pt idx="5">
                  <c:v>JUNE</c:v>
                </c:pt>
                <c:pt idx="6">
                  <c:v>JULY</c:v>
                </c:pt>
                <c:pt idx="7">
                  <c:v>AUG</c:v>
                </c:pt>
                <c:pt idx="8">
                  <c:v>SEP</c:v>
                </c:pt>
                <c:pt idx="9">
                  <c:v>OCT</c:v>
                </c:pt>
                <c:pt idx="10">
                  <c:v>NOV</c:v>
                </c:pt>
                <c:pt idx="11">
                  <c:v>DEC</c:v>
                </c:pt>
              </c:strCache>
            </c:strRef>
          </c:cat>
          <c:val>
            <c:numRef>
              <c:f>data!$DS$22:$DS$33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7-5A3A-4946-A82D-0283B062FC50}"/>
            </c:ext>
          </c:extLst>
        </c:ser>
        <c:ser>
          <c:idx val="8"/>
          <c:order val="8"/>
          <c:tx>
            <c:strRef>
              <c:f>data!$DT$21</c:f>
              <c:strCache>
                <c:ptCount val="1"/>
                <c:pt idx="0">
                  <c:v>BDY9</c:v>
                </c:pt>
              </c:strCache>
            </c:strRef>
          </c:tx>
          <c:spPr>
            <a:solidFill>
              <a:srgbClr val="00B0F0"/>
            </a:solidFill>
            <a:ln>
              <a:noFill/>
            </a:ln>
            <a:effectLst/>
          </c:spPr>
          <c:invertIfNegative val="0"/>
          <c:cat>
            <c:strRef>
              <c:f>data!$DK$22:$DK$33</c:f>
              <c:strCache>
                <c:ptCount val="12"/>
                <c:pt idx="0">
                  <c:v>JAN</c:v>
                </c:pt>
                <c:pt idx="1">
                  <c:v>FEB</c:v>
                </c:pt>
                <c:pt idx="2">
                  <c:v>MAR</c:v>
                </c:pt>
                <c:pt idx="3">
                  <c:v>APR</c:v>
                </c:pt>
                <c:pt idx="4">
                  <c:v>MAY</c:v>
                </c:pt>
                <c:pt idx="5">
                  <c:v>JUNE</c:v>
                </c:pt>
                <c:pt idx="6">
                  <c:v>JULY</c:v>
                </c:pt>
                <c:pt idx="7">
                  <c:v>AUG</c:v>
                </c:pt>
                <c:pt idx="8">
                  <c:v>SEP</c:v>
                </c:pt>
                <c:pt idx="9">
                  <c:v>OCT</c:v>
                </c:pt>
                <c:pt idx="10">
                  <c:v>NOV</c:v>
                </c:pt>
                <c:pt idx="11">
                  <c:v>DEC</c:v>
                </c:pt>
              </c:strCache>
            </c:strRef>
          </c:cat>
          <c:val>
            <c:numRef>
              <c:f>data!$DT$22:$DT$33</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5A3A-4946-A82D-0283B062FC50}"/>
            </c:ext>
          </c:extLst>
        </c:ser>
        <c:dLbls>
          <c:showLegendKey val="0"/>
          <c:showVal val="0"/>
          <c:showCatName val="0"/>
          <c:showSerName val="0"/>
          <c:showPercent val="0"/>
          <c:showBubbleSize val="0"/>
        </c:dLbls>
        <c:gapWidth val="219"/>
        <c:overlap val="-27"/>
        <c:axId val="1707419520"/>
        <c:axId val="1707420352"/>
      </c:barChart>
      <c:catAx>
        <c:axId val="17074195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lumMod val="75000"/>
                  </a:schemeClr>
                </a:solidFill>
                <a:latin typeface="+mn-lt"/>
                <a:ea typeface="+mn-ea"/>
                <a:cs typeface="+mn-cs"/>
              </a:defRPr>
            </a:pPr>
            <a:endParaRPr lang="en-US"/>
          </a:p>
        </c:txPr>
        <c:crossAx val="1707420352"/>
        <c:crosses val="autoZero"/>
        <c:auto val="1"/>
        <c:lblAlgn val="ctr"/>
        <c:lblOffset val="100"/>
        <c:noMultiLvlLbl val="0"/>
      </c:catAx>
      <c:valAx>
        <c:axId val="1707420352"/>
        <c:scaling>
          <c:orientation val="minMax"/>
          <c:max val="4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bg1">
                        <a:lumMod val="75000"/>
                      </a:schemeClr>
                    </a:solidFill>
                    <a:latin typeface="+mn-lt"/>
                    <a:ea typeface="+mn-ea"/>
                    <a:cs typeface="+mn-cs"/>
                  </a:defRPr>
                </a:pPr>
                <a:r>
                  <a:rPr lang="en-GB" b="1" baseline="0">
                    <a:solidFill>
                      <a:schemeClr val="bg1">
                        <a:lumMod val="75000"/>
                      </a:schemeClr>
                    </a:solidFill>
                  </a:rPr>
                  <a:t>HRS</a:t>
                </a:r>
              </a:p>
            </c:rich>
          </c:tx>
          <c:layout>
            <c:manualLayout>
              <c:xMode val="edge"/>
              <c:yMode val="edge"/>
              <c:x val="1.4245014245014246E-3"/>
              <c:y val="0.89410878467571109"/>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bg1">
                      <a:lumMod val="75000"/>
                    </a:schemeClr>
                  </a:solidFill>
                  <a:latin typeface="+mn-lt"/>
                  <a:ea typeface="+mn-ea"/>
                  <a:cs typeface="+mn-cs"/>
                </a:defRPr>
              </a:pPr>
              <a:endParaRPr lang="en-US"/>
            </a:p>
          </c:txPr>
        </c:title>
        <c:numFmt formatCode="0" sourceLinked="1"/>
        <c:majorTickMark val="none"/>
        <c:minorTickMark val="none"/>
        <c:tickLblPos val="low"/>
        <c:spPr>
          <a:noFill/>
          <a:ln>
            <a:noFill/>
          </a:ln>
          <a:effectLst/>
        </c:spPr>
        <c:txPr>
          <a:bodyPr rot="-5400000" spcFirstLastPara="1" vertOverflow="ellipsis"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1707419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5"/>
      <c:rotY val="0"/>
      <c:depthPercent val="100"/>
      <c:rAngAx val="0"/>
      <c:perspective val="1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9991185869962317E-2"/>
          <c:y val="2.1066191112036062E-2"/>
          <c:w val="0.89340666421534143"/>
          <c:h val="0.95532886747365531"/>
        </c:manualLayout>
      </c:layout>
      <c:area3DChart>
        <c:grouping val="standard"/>
        <c:varyColors val="0"/>
        <c:ser>
          <c:idx val="0"/>
          <c:order val="0"/>
          <c:tx>
            <c:strRef>
              <c:f>data!$EC$161</c:f>
              <c:strCache>
                <c:ptCount val="1"/>
                <c:pt idx="0">
                  <c:v>MND1</c:v>
                </c:pt>
              </c:strCache>
            </c:strRef>
          </c:tx>
          <c:spPr>
            <a:solidFill>
              <a:srgbClr val="FFFFFF">
                <a:alpha val="50196"/>
              </a:srgbClr>
            </a:solidFill>
            <a:ln w="19050">
              <a:solidFill>
                <a:srgbClr val="00B0F0"/>
              </a:solidFill>
            </a:ln>
            <a:effectLst>
              <a:outerShdw blurRad="57150" dist="19050" dir="5400000" algn="ctr" rotWithShape="0">
                <a:srgbClr val="000000">
                  <a:alpha val="63000"/>
                </a:srgbClr>
              </a:outerShdw>
            </a:effectLst>
            <a:sp3d contourW="19050">
              <a:contourClr>
                <a:srgbClr val="00B0F0"/>
              </a:contourClr>
            </a:sp3d>
          </c:spPr>
          <c:cat>
            <c:numRef>
              <c:f>data!$EB$162:$EB$190</c:f>
              <c:numCache>
                <c:formatCode>0</c:formatCode>
                <c:ptCount val="29"/>
                <c:pt idx="0" formatCode="General">
                  <c:v>0</c:v>
                </c:pt>
                <c:pt idx="1">
                  <c:v>1</c:v>
                </c:pt>
                <c:pt idx="2" formatCode="General">
                  <c:v>2</c:v>
                </c:pt>
                <c:pt idx="3">
                  <c:v>3</c:v>
                </c:pt>
                <c:pt idx="4" formatCode="General">
                  <c:v>4</c:v>
                </c:pt>
                <c:pt idx="5">
                  <c:v>5</c:v>
                </c:pt>
                <c:pt idx="6" formatCode="General">
                  <c:v>6</c:v>
                </c:pt>
                <c:pt idx="7">
                  <c:v>7</c:v>
                </c:pt>
                <c:pt idx="8" formatCode="General">
                  <c:v>8</c:v>
                </c:pt>
                <c:pt idx="9">
                  <c:v>9</c:v>
                </c:pt>
                <c:pt idx="10" formatCode="General">
                  <c:v>10</c:v>
                </c:pt>
                <c:pt idx="11">
                  <c:v>11</c:v>
                </c:pt>
                <c:pt idx="12" formatCode="General">
                  <c:v>12</c:v>
                </c:pt>
                <c:pt idx="13">
                  <c:v>13</c:v>
                </c:pt>
                <c:pt idx="14" formatCode="General">
                  <c:v>14</c:v>
                </c:pt>
                <c:pt idx="15">
                  <c:v>15</c:v>
                </c:pt>
                <c:pt idx="16" formatCode="General">
                  <c:v>16</c:v>
                </c:pt>
                <c:pt idx="17">
                  <c:v>17</c:v>
                </c:pt>
                <c:pt idx="18" formatCode="General">
                  <c:v>18</c:v>
                </c:pt>
                <c:pt idx="19">
                  <c:v>19</c:v>
                </c:pt>
                <c:pt idx="20" formatCode="General">
                  <c:v>20</c:v>
                </c:pt>
                <c:pt idx="21">
                  <c:v>21</c:v>
                </c:pt>
                <c:pt idx="22" formatCode="General">
                  <c:v>22</c:v>
                </c:pt>
                <c:pt idx="23">
                  <c:v>23</c:v>
                </c:pt>
                <c:pt idx="24" formatCode="General">
                  <c:v>24</c:v>
                </c:pt>
                <c:pt idx="25">
                  <c:v>25</c:v>
                </c:pt>
                <c:pt idx="26" formatCode="General">
                  <c:v>26</c:v>
                </c:pt>
                <c:pt idx="27">
                  <c:v>27</c:v>
                </c:pt>
                <c:pt idx="28" formatCode="General">
                  <c:v>28</c:v>
                </c:pt>
              </c:numCache>
            </c:numRef>
          </c:cat>
          <c:val>
            <c:numRef>
              <c:f>data!$EC$162:$EC$190</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3552-48D4-8028-22AC0DC0443A}"/>
            </c:ext>
          </c:extLst>
        </c:ser>
        <c:ser>
          <c:idx val="1"/>
          <c:order val="1"/>
          <c:tx>
            <c:strRef>
              <c:f>data!$ED$161</c:f>
              <c:strCache>
                <c:ptCount val="1"/>
                <c:pt idx="0">
                  <c:v>MND2</c:v>
                </c:pt>
              </c:strCache>
            </c:strRef>
          </c:tx>
          <c:spPr>
            <a:solidFill>
              <a:srgbClr val="FFFFFF">
                <a:alpha val="50196"/>
              </a:srgbClr>
            </a:solidFill>
            <a:ln w="19050">
              <a:solidFill>
                <a:srgbClr val="00B050"/>
              </a:solidFill>
            </a:ln>
            <a:effectLst>
              <a:outerShdw blurRad="57150" dist="19050" dir="5400000" algn="ctr" rotWithShape="0">
                <a:srgbClr val="000000">
                  <a:alpha val="63000"/>
                </a:srgbClr>
              </a:outerShdw>
            </a:effectLst>
            <a:sp3d contourW="19050">
              <a:contourClr>
                <a:srgbClr val="00B050"/>
              </a:contourClr>
            </a:sp3d>
          </c:spPr>
          <c:cat>
            <c:numRef>
              <c:f>data!$EB$162:$EB$190</c:f>
              <c:numCache>
                <c:formatCode>0</c:formatCode>
                <c:ptCount val="29"/>
                <c:pt idx="0" formatCode="General">
                  <c:v>0</c:v>
                </c:pt>
                <c:pt idx="1">
                  <c:v>1</c:v>
                </c:pt>
                <c:pt idx="2" formatCode="General">
                  <c:v>2</c:v>
                </c:pt>
                <c:pt idx="3">
                  <c:v>3</c:v>
                </c:pt>
                <c:pt idx="4" formatCode="General">
                  <c:v>4</c:v>
                </c:pt>
                <c:pt idx="5">
                  <c:v>5</c:v>
                </c:pt>
                <c:pt idx="6" formatCode="General">
                  <c:v>6</c:v>
                </c:pt>
                <c:pt idx="7">
                  <c:v>7</c:v>
                </c:pt>
                <c:pt idx="8" formatCode="General">
                  <c:v>8</c:v>
                </c:pt>
                <c:pt idx="9">
                  <c:v>9</c:v>
                </c:pt>
                <c:pt idx="10" formatCode="General">
                  <c:v>10</c:v>
                </c:pt>
                <c:pt idx="11">
                  <c:v>11</c:v>
                </c:pt>
                <c:pt idx="12" formatCode="General">
                  <c:v>12</c:v>
                </c:pt>
                <c:pt idx="13">
                  <c:v>13</c:v>
                </c:pt>
                <c:pt idx="14" formatCode="General">
                  <c:v>14</c:v>
                </c:pt>
                <c:pt idx="15">
                  <c:v>15</c:v>
                </c:pt>
                <c:pt idx="16" formatCode="General">
                  <c:v>16</c:v>
                </c:pt>
                <c:pt idx="17">
                  <c:v>17</c:v>
                </c:pt>
                <c:pt idx="18" formatCode="General">
                  <c:v>18</c:v>
                </c:pt>
                <c:pt idx="19">
                  <c:v>19</c:v>
                </c:pt>
                <c:pt idx="20" formatCode="General">
                  <c:v>20</c:v>
                </c:pt>
                <c:pt idx="21">
                  <c:v>21</c:v>
                </c:pt>
                <c:pt idx="22" formatCode="General">
                  <c:v>22</c:v>
                </c:pt>
                <c:pt idx="23">
                  <c:v>23</c:v>
                </c:pt>
                <c:pt idx="24" formatCode="General">
                  <c:v>24</c:v>
                </c:pt>
                <c:pt idx="25">
                  <c:v>25</c:v>
                </c:pt>
                <c:pt idx="26" formatCode="General">
                  <c:v>26</c:v>
                </c:pt>
                <c:pt idx="27">
                  <c:v>27</c:v>
                </c:pt>
                <c:pt idx="28" formatCode="General">
                  <c:v>28</c:v>
                </c:pt>
              </c:numCache>
            </c:numRef>
          </c:cat>
          <c:val>
            <c:numRef>
              <c:f>data!$ED$162:$ED$190</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1-3552-48D4-8028-22AC0DC0443A}"/>
            </c:ext>
          </c:extLst>
        </c:ser>
        <c:ser>
          <c:idx val="2"/>
          <c:order val="2"/>
          <c:tx>
            <c:strRef>
              <c:f>data!$EE$161</c:f>
              <c:strCache>
                <c:ptCount val="1"/>
                <c:pt idx="0">
                  <c:v>MND3</c:v>
                </c:pt>
              </c:strCache>
            </c:strRef>
          </c:tx>
          <c:spPr>
            <a:solidFill>
              <a:srgbClr val="FFFFFF">
                <a:alpha val="50196"/>
              </a:srgbClr>
            </a:solidFill>
            <a:ln w="19050">
              <a:solidFill>
                <a:srgbClr val="FFC000"/>
              </a:solidFill>
            </a:ln>
            <a:effectLst>
              <a:outerShdw blurRad="57150" dist="19050" dir="5400000" algn="ctr" rotWithShape="0">
                <a:srgbClr val="000000">
                  <a:alpha val="63000"/>
                </a:srgbClr>
              </a:outerShdw>
            </a:effectLst>
            <a:sp3d contourW="19050">
              <a:contourClr>
                <a:srgbClr val="FFC000"/>
              </a:contourClr>
            </a:sp3d>
          </c:spPr>
          <c:cat>
            <c:numRef>
              <c:f>data!$EB$162:$EB$190</c:f>
              <c:numCache>
                <c:formatCode>0</c:formatCode>
                <c:ptCount val="29"/>
                <c:pt idx="0" formatCode="General">
                  <c:v>0</c:v>
                </c:pt>
                <c:pt idx="1">
                  <c:v>1</c:v>
                </c:pt>
                <c:pt idx="2" formatCode="General">
                  <c:v>2</c:v>
                </c:pt>
                <c:pt idx="3">
                  <c:v>3</c:v>
                </c:pt>
                <c:pt idx="4" formatCode="General">
                  <c:v>4</c:v>
                </c:pt>
                <c:pt idx="5">
                  <c:v>5</c:v>
                </c:pt>
                <c:pt idx="6" formatCode="General">
                  <c:v>6</c:v>
                </c:pt>
                <c:pt idx="7">
                  <c:v>7</c:v>
                </c:pt>
                <c:pt idx="8" formatCode="General">
                  <c:v>8</c:v>
                </c:pt>
                <c:pt idx="9">
                  <c:v>9</c:v>
                </c:pt>
                <c:pt idx="10" formatCode="General">
                  <c:v>10</c:v>
                </c:pt>
                <c:pt idx="11">
                  <c:v>11</c:v>
                </c:pt>
                <c:pt idx="12" formatCode="General">
                  <c:v>12</c:v>
                </c:pt>
                <c:pt idx="13">
                  <c:v>13</c:v>
                </c:pt>
                <c:pt idx="14" formatCode="General">
                  <c:v>14</c:v>
                </c:pt>
                <c:pt idx="15">
                  <c:v>15</c:v>
                </c:pt>
                <c:pt idx="16" formatCode="General">
                  <c:v>16</c:v>
                </c:pt>
                <c:pt idx="17">
                  <c:v>17</c:v>
                </c:pt>
                <c:pt idx="18" formatCode="General">
                  <c:v>18</c:v>
                </c:pt>
                <c:pt idx="19">
                  <c:v>19</c:v>
                </c:pt>
                <c:pt idx="20" formatCode="General">
                  <c:v>20</c:v>
                </c:pt>
                <c:pt idx="21">
                  <c:v>21</c:v>
                </c:pt>
                <c:pt idx="22" formatCode="General">
                  <c:v>22</c:v>
                </c:pt>
                <c:pt idx="23">
                  <c:v>23</c:v>
                </c:pt>
                <c:pt idx="24" formatCode="General">
                  <c:v>24</c:v>
                </c:pt>
                <c:pt idx="25">
                  <c:v>25</c:v>
                </c:pt>
                <c:pt idx="26" formatCode="General">
                  <c:v>26</c:v>
                </c:pt>
                <c:pt idx="27">
                  <c:v>27</c:v>
                </c:pt>
                <c:pt idx="28" formatCode="General">
                  <c:v>28</c:v>
                </c:pt>
              </c:numCache>
            </c:numRef>
          </c:cat>
          <c:val>
            <c:numRef>
              <c:f>data!$EE$162:$EE$190</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2-3552-48D4-8028-22AC0DC0443A}"/>
            </c:ext>
          </c:extLst>
        </c:ser>
        <c:ser>
          <c:idx val="3"/>
          <c:order val="3"/>
          <c:tx>
            <c:strRef>
              <c:f>data!$EF$161</c:f>
              <c:strCache>
                <c:ptCount val="1"/>
                <c:pt idx="0">
                  <c:v>MND4</c:v>
                </c:pt>
              </c:strCache>
            </c:strRef>
          </c:tx>
          <c:spPr>
            <a:solidFill>
              <a:srgbClr val="FFFFFF">
                <a:alpha val="50196"/>
              </a:srgbClr>
            </a:solidFill>
            <a:ln w="19050">
              <a:solidFill>
                <a:srgbClr val="FF6600"/>
              </a:solidFill>
            </a:ln>
            <a:effectLst>
              <a:outerShdw blurRad="57150" dist="19050" dir="5400000" algn="ctr" rotWithShape="0">
                <a:srgbClr val="000000">
                  <a:alpha val="63000"/>
                </a:srgbClr>
              </a:outerShdw>
            </a:effectLst>
            <a:sp3d contourW="19050">
              <a:contourClr>
                <a:srgbClr val="FF6600"/>
              </a:contourClr>
            </a:sp3d>
          </c:spPr>
          <c:cat>
            <c:numRef>
              <c:f>data!$EB$162:$EB$190</c:f>
              <c:numCache>
                <c:formatCode>0</c:formatCode>
                <c:ptCount val="29"/>
                <c:pt idx="0" formatCode="General">
                  <c:v>0</c:v>
                </c:pt>
                <c:pt idx="1">
                  <c:v>1</c:v>
                </c:pt>
                <c:pt idx="2" formatCode="General">
                  <c:v>2</c:v>
                </c:pt>
                <c:pt idx="3">
                  <c:v>3</c:v>
                </c:pt>
                <c:pt idx="4" formatCode="General">
                  <c:v>4</c:v>
                </c:pt>
                <c:pt idx="5">
                  <c:v>5</c:v>
                </c:pt>
                <c:pt idx="6" formatCode="General">
                  <c:v>6</c:v>
                </c:pt>
                <c:pt idx="7">
                  <c:v>7</c:v>
                </c:pt>
                <c:pt idx="8" formatCode="General">
                  <c:v>8</c:v>
                </c:pt>
                <c:pt idx="9">
                  <c:v>9</c:v>
                </c:pt>
                <c:pt idx="10" formatCode="General">
                  <c:v>10</c:v>
                </c:pt>
                <c:pt idx="11">
                  <c:v>11</c:v>
                </c:pt>
                <c:pt idx="12" formatCode="General">
                  <c:v>12</c:v>
                </c:pt>
                <c:pt idx="13">
                  <c:v>13</c:v>
                </c:pt>
                <c:pt idx="14" formatCode="General">
                  <c:v>14</c:v>
                </c:pt>
                <c:pt idx="15">
                  <c:v>15</c:v>
                </c:pt>
                <c:pt idx="16" formatCode="General">
                  <c:v>16</c:v>
                </c:pt>
                <c:pt idx="17">
                  <c:v>17</c:v>
                </c:pt>
                <c:pt idx="18" formatCode="General">
                  <c:v>18</c:v>
                </c:pt>
                <c:pt idx="19">
                  <c:v>19</c:v>
                </c:pt>
                <c:pt idx="20" formatCode="General">
                  <c:v>20</c:v>
                </c:pt>
                <c:pt idx="21">
                  <c:v>21</c:v>
                </c:pt>
                <c:pt idx="22" formatCode="General">
                  <c:v>22</c:v>
                </c:pt>
                <c:pt idx="23">
                  <c:v>23</c:v>
                </c:pt>
                <c:pt idx="24" formatCode="General">
                  <c:v>24</c:v>
                </c:pt>
                <c:pt idx="25">
                  <c:v>25</c:v>
                </c:pt>
                <c:pt idx="26" formatCode="General">
                  <c:v>26</c:v>
                </c:pt>
                <c:pt idx="27">
                  <c:v>27</c:v>
                </c:pt>
                <c:pt idx="28" formatCode="General">
                  <c:v>28</c:v>
                </c:pt>
              </c:numCache>
            </c:numRef>
          </c:cat>
          <c:val>
            <c:numRef>
              <c:f>data!$EF$162:$EF$190</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3-3552-48D4-8028-22AC0DC0443A}"/>
            </c:ext>
          </c:extLst>
        </c:ser>
        <c:ser>
          <c:idx val="4"/>
          <c:order val="4"/>
          <c:tx>
            <c:strRef>
              <c:f>data!$EG$161</c:f>
              <c:strCache>
                <c:ptCount val="1"/>
                <c:pt idx="0">
                  <c:v>MND5</c:v>
                </c:pt>
              </c:strCache>
            </c:strRef>
          </c:tx>
          <c:spPr>
            <a:solidFill>
              <a:srgbClr val="FFFFFF">
                <a:alpha val="50196"/>
              </a:srgbClr>
            </a:solidFill>
            <a:ln w="19050">
              <a:solidFill>
                <a:srgbClr val="C00000"/>
              </a:solidFill>
            </a:ln>
            <a:effectLst>
              <a:outerShdw blurRad="57150" dist="19050" dir="5400000" algn="ctr" rotWithShape="0">
                <a:srgbClr val="000000">
                  <a:alpha val="63000"/>
                </a:srgbClr>
              </a:outerShdw>
            </a:effectLst>
            <a:sp3d contourW="19050">
              <a:contourClr>
                <a:srgbClr val="C00000"/>
              </a:contourClr>
            </a:sp3d>
          </c:spPr>
          <c:cat>
            <c:numRef>
              <c:f>data!$EB$162:$EB$190</c:f>
              <c:numCache>
                <c:formatCode>0</c:formatCode>
                <c:ptCount val="29"/>
                <c:pt idx="0" formatCode="General">
                  <c:v>0</c:v>
                </c:pt>
                <c:pt idx="1">
                  <c:v>1</c:v>
                </c:pt>
                <c:pt idx="2" formatCode="General">
                  <c:v>2</c:v>
                </c:pt>
                <c:pt idx="3">
                  <c:v>3</c:v>
                </c:pt>
                <c:pt idx="4" formatCode="General">
                  <c:v>4</c:v>
                </c:pt>
                <c:pt idx="5">
                  <c:v>5</c:v>
                </c:pt>
                <c:pt idx="6" formatCode="General">
                  <c:v>6</c:v>
                </c:pt>
                <c:pt idx="7">
                  <c:v>7</c:v>
                </c:pt>
                <c:pt idx="8" formatCode="General">
                  <c:v>8</c:v>
                </c:pt>
                <c:pt idx="9">
                  <c:v>9</c:v>
                </c:pt>
                <c:pt idx="10" formatCode="General">
                  <c:v>10</c:v>
                </c:pt>
                <c:pt idx="11">
                  <c:v>11</c:v>
                </c:pt>
                <c:pt idx="12" formatCode="General">
                  <c:v>12</c:v>
                </c:pt>
                <c:pt idx="13">
                  <c:v>13</c:v>
                </c:pt>
                <c:pt idx="14" formatCode="General">
                  <c:v>14</c:v>
                </c:pt>
                <c:pt idx="15">
                  <c:v>15</c:v>
                </c:pt>
                <c:pt idx="16" formatCode="General">
                  <c:v>16</c:v>
                </c:pt>
                <c:pt idx="17">
                  <c:v>17</c:v>
                </c:pt>
                <c:pt idx="18" formatCode="General">
                  <c:v>18</c:v>
                </c:pt>
                <c:pt idx="19">
                  <c:v>19</c:v>
                </c:pt>
                <c:pt idx="20" formatCode="General">
                  <c:v>20</c:v>
                </c:pt>
                <c:pt idx="21">
                  <c:v>21</c:v>
                </c:pt>
                <c:pt idx="22" formatCode="General">
                  <c:v>22</c:v>
                </c:pt>
                <c:pt idx="23">
                  <c:v>23</c:v>
                </c:pt>
                <c:pt idx="24" formatCode="General">
                  <c:v>24</c:v>
                </c:pt>
                <c:pt idx="25">
                  <c:v>25</c:v>
                </c:pt>
                <c:pt idx="26" formatCode="General">
                  <c:v>26</c:v>
                </c:pt>
                <c:pt idx="27">
                  <c:v>27</c:v>
                </c:pt>
                <c:pt idx="28" formatCode="General">
                  <c:v>28</c:v>
                </c:pt>
              </c:numCache>
            </c:numRef>
          </c:cat>
          <c:val>
            <c:numRef>
              <c:f>data!$EG$162:$EG$190</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4-3552-48D4-8028-22AC0DC0443A}"/>
            </c:ext>
          </c:extLst>
        </c:ser>
        <c:ser>
          <c:idx val="5"/>
          <c:order val="5"/>
          <c:tx>
            <c:strRef>
              <c:f>data!$EH$161</c:f>
              <c:strCache>
                <c:ptCount val="1"/>
                <c:pt idx="0">
                  <c:v>MND6</c:v>
                </c:pt>
              </c:strCache>
            </c:strRef>
          </c:tx>
          <c:spPr>
            <a:solidFill>
              <a:srgbClr val="FFFFFF">
                <a:alpha val="50196"/>
              </a:srgbClr>
            </a:solidFill>
            <a:ln w="19050">
              <a:solidFill>
                <a:srgbClr val="FF0000"/>
              </a:solidFill>
            </a:ln>
            <a:effectLst>
              <a:outerShdw blurRad="57150" dist="19050" dir="5400000" algn="ctr" rotWithShape="0">
                <a:srgbClr val="000000">
                  <a:alpha val="63000"/>
                </a:srgbClr>
              </a:outerShdw>
            </a:effectLst>
            <a:sp3d contourW="19050">
              <a:contourClr>
                <a:srgbClr val="FF0000"/>
              </a:contourClr>
            </a:sp3d>
          </c:spPr>
          <c:cat>
            <c:numRef>
              <c:f>data!$EB$162:$EB$190</c:f>
              <c:numCache>
                <c:formatCode>0</c:formatCode>
                <c:ptCount val="29"/>
                <c:pt idx="0" formatCode="General">
                  <c:v>0</c:v>
                </c:pt>
                <c:pt idx="1">
                  <c:v>1</c:v>
                </c:pt>
                <c:pt idx="2" formatCode="General">
                  <c:v>2</c:v>
                </c:pt>
                <c:pt idx="3">
                  <c:v>3</c:v>
                </c:pt>
                <c:pt idx="4" formatCode="General">
                  <c:v>4</c:v>
                </c:pt>
                <c:pt idx="5">
                  <c:v>5</c:v>
                </c:pt>
                <c:pt idx="6" formatCode="General">
                  <c:v>6</c:v>
                </c:pt>
                <c:pt idx="7">
                  <c:v>7</c:v>
                </c:pt>
                <c:pt idx="8" formatCode="General">
                  <c:v>8</c:v>
                </c:pt>
                <c:pt idx="9">
                  <c:v>9</c:v>
                </c:pt>
                <c:pt idx="10" formatCode="General">
                  <c:v>10</c:v>
                </c:pt>
                <c:pt idx="11">
                  <c:v>11</c:v>
                </c:pt>
                <c:pt idx="12" formatCode="General">
                  <c:v>12</c:v>
                </c:pt>
                <c:pt idx="13">
                  <c:v>13</c:v>
                </c:pt>
                <c:pt idx="14" formatCode="General">
                  <c:v>14</c:v>
                </c:pt>
                <c:pt idx="15">
                  <c:v>15</c:v>
                </c:pt>
                <c:pt idx="16" formatCode="General">
                  <c:v>16</c:v>
                </c:pt>
                <c:pt idx="17">
                  <c:v>17</c:v>
                </c:pt>
                <c:pt idx="18" formatCode="General">
                  <c:v>18</c:v>
                </c:pt>
                <c:pt idx="19">
                  <c:v>19</c:v>
                </c:pt>
                <c:pt idx="20" formatCode="General">
                  <c:v>20</c:v>
                </c:pt>
                <c:pt idx="21">
                  <c:v>21</c:v>
                </c:pt>
                <c:pt idx="22" formatCode="General">
                  <c:v>22</c:v>
                </c:pt>
                <c:pt idx="23">
                  <c:v>23</c:v>
                </c:pt>
                <c:pt idx="24" formatCode="General">
                  <c:v>24</c:v>
                </c:pt>
                <c:pt idx="25">
                  <c:v>25</c:v>
                </c:pt>
                <c:pt idx="26" formatCode="General">
                  <c:v>26</c:v>
                </c:pt>
                <c:pt idx="27">
                  <c:v>27</c:v>
                </c:pt>
                <c:pt idx="28" formatCode="General">
                  <c:v>28</c:v>
                </c:pt>
              </c:numCache>
            </c:numRef>
          </c:cat>
          <c:val>
            <c:numRef>
              <c:f>data!$EH$162:$EH$190</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5-3552-48D4-8028-22AC0DC0443A}"/>
            </c:ext>
          </c:extLst>
        </c:ser>
        <c:ser>
          <c:idx val="6"/>
          <c:order val="6"/>
          <c:tx>
            <c:strRef>
              <c:f>data!$EI$161</c:f>
              <c:strCache>
                <c:ptCount val="1"/>
                <c:pt idx="0">
                  <c:v>MND7</c:v>
                </c:pt>
              </c:strCache>
            </c:strRef>
          </c:tx>
          <c:spPr>
            <a:solidFill>
              <a:srgbClr val="FFFFFF">
                <a:alpha val="50196"/>
              </a:srgbClr>
            </a:solidFill>
            <a:ln w="19050">
              <a:solidFill>
                <a:srgbClr val="FF00FF"/>
              </a:solidFill>
            </a:ln>
            <a:effectLst>
              <a:outerShdw blurRad="57150" dist="19050" dir="5400000" algn="ctr" rotWithShape="0">
                <a:srgbClr val="000000">
                  <a:alpha val="63000"/>
                </a:srgbClr>
              </a:outerShdw>
            </a:effectLst>
            <a:sp3d contourW="19050">
              <a:contourClr>
                <a:srgbClr val="FF00FF"/>
              </a:contourClr>
            </a:sp3d>
          </c:spPr>
          <c:cat>
            <c:numRef>
              <c:f>data!$EB$162:$EB$190</c:f>
              <c:numCache>
                <c:formatCode>0</c:formatCode>
                <c:ptCount val="29"/>
                <c:pt idx="0" formatCode="General">
                  <c:v>0</c:v>
                </c:pt>
                <c:pt idx="1">
                  <c:v>1</c:v>
                </c:pt>
                <c:pt idx="2" formatCode="General">
                  <c:v>2</c:v>
                </c:pt>
                <c:pt idx="3">
                  <c:v>3</c:v>
                </c:pt>
                <c:pt idx="4" formatCode="General">
                  <c:v>4</c:v>
                </c:pt>
                <c:pt idx="5">
                  <c:v>5</c:v>
                </c:pt>
                <c:pt idx="6" formatCode="General">
                  <c:v>6</c:v>
                </c:pt>
                <c:pt idx="7">
                  <c:v>7</c:v>
                </c:pt>
                <c:pt idx="8" formatCode="General">
                  <c:v>8</c:v>
                </c:pt>
                <c:pt idx="9">
                  <c:v>9</c:v>
                </c:pt>
                <c:pt idx="10" formatCode="General">
                  <c:v>10</c:v>
                </c:pt>
                <c:pt idx="11">
                  <c:v>11</c:v>
                </c:pt>
                <c:pt idx="12" formatCode="General">
                  <c:v>12</c:v>
                </c:pt>
                <c:pt idx="13">
                  <c:v>13</c:v>
                </c:pt>
                <c:pt idx="14" formatCode="General">
                  <c:v>14</c:v>
                </c:pt>
                <c:pt idx="15">
                  <c:v>15</c:v>
                </c:pt>
                <c:pt idx="16" formatCode="General">
                  <c:v>16</c:v>
                </c:pt>
                <c:pt idx="17">
                  <c:v>17</c:v>
                </c:pt>
                <c:pt idx="18" formatCode="General">
                  <c:v>18</c:v>
                </c:pt>
                <c:pt idx="19">
                  <c:v>19</c:v>
                </c:pt>
                <c:pt idx="20" formatCode="General">
                  <c:v>20</c:v>
                </c:pt>
                <c:pt idx="21">
                  <c:v>21</c:v>
                </c:pt>
                <c:pt idx="22" formatCode="General">
                  <c:v>22</c:v>
                </c:pt>
                <c:pt idx="23">
                  <c:v>23</c:v>
                </c:pt>
                <c:pt idx="24" formatCode="General">
                  <c:v>24</c:v>
                </c:pt>
                <c:pt idx="25">
                  <c:v>25</c:v>
                </c:pt>
                <c:pt idx="26" formatCode="General">
                  <c:v>26</c:v>
                </c:pt>
                <c:pt idx="27">
                  <c:v>27</c:v>
                </c:pt>
                <c:pt idx="28" formatCode="General">
                  <c:v>28</c:v>
                </c:pt>
              </c:numCache>
            </c:numRef>
          </c:cat>
          <c:val>
            <c:numRef>
              <c:f>data!$EI$162:$EI$190</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6-3552-48D4-8028-22AC0DC0443A}"/>
            </c:ext>
          </c:extLst>
        </c:ser>
        <c:ser>
          <c:idx val="7"/>
          <c:order val="7"/>
          <c:tx>
            <c:strRef>
              <c:f>data!$EJ$161</c:f>
              <c:strCache>
                <c:ptCount val="1"/>
                <c:pt idx="0">
                  <c:v>MND8</c:v>
                </c:pt>
              </c:strCache>
            </c:strRef>
          </c:tx>
          <c:spPr>
            <a:solidFill>
              <a:srgbClr val="FFFFFF">
                <a:alpha val="50196"/>
              </a:srgbClr>
            </a:solidFill>
            <a:ln w="19050">
              <a:solidFill>
                <a:srgbClr val="9900CC"/>
              </a:solidFill>
            </a:ln>
            <a:effectLst>
              <a:outerShdw blurRad="57150" dist="19050" dir="5400000" algn="ctr" rotWithShape="0">
                <a:srgbClr val="000000">
                  <a:alpha val="63000"/>
                </a:srgbClr>
              </a:outerShdw>
            </a:effectLst>
            <a:sp3d contourW="19050">
              <a:contourClr>
                <a:srgbClr val="9900CC"/>
              </a:contourClr>
            </a:sp3d>
          </c:spPr>
          <c:cat>
            <c:numRef>
              <c:f>data!$EB$162:$EB$190</c:f>
              <c:numCache>
                <c:formatCode>0</c:formatCode>
                <c:ptCount val="29"/>
                <c:pt idx="0" formatCode="General">
                  <c:v>0</c:v>
                </c:pt>
                <c:pt idx="1">
                  <c:v>1</c:v>
                </c:pt>
                <c:pt idx="2" formatCode="General">
                  <c:v>2</c:v>
                </c:pt>
                <c:pt idx="3">
                  <c:v>3</c:v>
                </c:pt>
                <c:pt idx="4" formatCode="General">
                  <c:v>4</c:v>
                </c:pt>
                <c:pt idx="5">
                  <c:v>5</c:v>
                </c:pt>
                <c:pt idx="6" formatCode="General">
                  <c:v>6</c:v>
                </c:pt>
                <c:pt idx="7">
                  <c:v>7</c:v>
                </c:pt>
                <c:pt idx="8" formatCode="General">
                  <c:v>8</c:v>
                </c:pt>
                <c:pt idx="9">
                  <c:v>9</c:v>
                </c:pt>
                <c:pt idx="10" formatCode="General">
                  <c:v>10</c:v>
                </c:pt>
                <c:pt idx="11">
                  <c:v>11</c:v>
                </c:pt>
                <c:pt idx="12" formatCode="General">
                  <c:v>12</c:v>
                </c:pt>
                <c:pt idx="13">
                  <c:v>13</c:v>
                </c:pt>
                <c:pt idx="14" formatCode="General">
                  <c:v>14</c:v>
                </c:pt>
                <c:pt idx="15">
                  <c:v>15</c:v>
                </c:pt>
                <c:pt idx="16" formatCode="General">
                  <c:v>16</c:v>
                </c:pt>
                <c:pt idx="17">
                  <c:v>17</c:v>
                </c:pt>
                <c:pt idx="18" formatCode="General">
                  <c:v>18</c:v>
                </c:pt>
                <c:pt idx="19">
                  <c:v>19</c:v>
                </c:pt>
                <c:pt idx="20" formatCode="General">
                  <c:v>20</c:v>
                </c:pt>
                <c:pt idx="21">
                  <c:v>21</c:v>
                </c:pt>
                <c:pt idx="22" formatCode="General">
                  <c:v>22</c:v>
                </c:pt>
                <c:pt idx="23">
                  <c:v>23</c:v>
                </c:pt>
                <c:pt idx="24" formatCode="General">
                  <c:v>24</c:v>
                </c:pt>
                <c:pt idx="25">
                  <c:v>25</c:v>
                </c:pt>
                <c:pt idx="26" formatCode="General">
                  <c:v>26</c:v>
                </c:pt>
                <c:pt idx="27">
                  <c:v>27</c:v>
                </c:pt>
                <c:pt idx="28" formatCode="General">
                  <c:v>28</c:v>
                </c:pt>
              </c:numCache>
            </c:numRef>
          </c:cat>
          <c:val>
            <c:numRef>
              <c:f>data!$EJ$162:$EJ$190</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7-3552-48D4-8028-22AC0DC0443A}"/>
            </c:ext>
          </c:extLst>
        </c:ser>
        <c:ser>
          <c:idx val="8"/>
          <c:order val="8"/>
          <c:tx>
            <c:strRef>
              <c:f>data!$EK$161</c:f>
              <c:strCache>
                <c:ptCount val="1"/>
                <c:pt idx="0">
                  <c:v>MND9</c:v>
                </c:pt>
              </c:strCache>
            </c:strRef>
          </c:tx>
          <c:spPr>
            <a:solidFill>
              <a:srgbClr val="FFFFFF">
                <a:alpha val="50196"/>
              </a:srgbClr>
            </a:solidFill>
            <a:ln w="19050">
              <a:solidFill>
                <a:srgbClr val="0070C0"/>
              </a:solidFill>
            </a:ln>
            <a:effectLst>
              <a:outerShdw blurRad="57150" dist="19050" dir="5400000" algn="ctr" rotWithShape="0">
                <a:srgbClr val="000000">
                  <a:alpha val="63000"/>
                </a:srgbClr>
              </a:outerShdw>
            </a:effectLst>
            <a:sp3d contourW="19050">
              <a:contourClr>
                <a:srgbClr val="0070C0"/>
              </a:contourClr>
            </a:sp3d>
          </c:spPr>
          <c:cat>
            <c:numRef>
              <c:f>data!$EB$162:$EB$190</c:f>
              <c:numCache>
                <c:formatCode>0</c:formatCode>
                <c:ptCount val="29"/>
                <c:pt idx="0" formatCode="General">
                  <c:v>0</c:v>
                </c:pt>
                <c:pt idx="1">
                  <c:v>1</c:v>
                </c:pt>
                <c:pt idx="2" formatCode="General">
                  <c:v>2</c:v>
                </c:pt>
                <c:pt idx="3">
                  <c:v>3</c:v>
                </c:pt>
                <c:pt idx="4" formatCode="General">
                  <c:v>4</c:v>
                </c:pt>
                <c:pt idx="5">
                  <c:v>5</c:v>
                </c:pt>
                <c:pt idx="6" formatCode="General">
                  <c:v>6</c:v>
                </c:pt>
                <c:pt idx="7">
                  <c:v>7</c:v>
                </c:pt>
                <c:pt idx="8" formatCode="General">
                  <c:v>8</c:v>
                </c:pt>
                <c:pt idx="9">
                  <c:v>9</c:v>
                </c:pt>
                <c:pt idx="10" formatCode="General">
                  <c:v>10</c:v>
                </c:pt>
                <c:pt idx="11">
                  <c:v>11</c:v>
                </c:pt>
                <c:pt idx="12" formatCode="General">
                  <c:v>12</c:v>
                </c:pt>
                <c:pt idx="13">
                  <c:v>13</c:v>
                </c:pt>
                <c:pt idx="14" formatCode="General">
                  <c:v>14</c:v>
                </c:pt>
                <c:pt idx="15">
                  <c:v>15</c:v>
                </c:pt>
                <c:pt idx="16" formatCode="General">
                  <c:v>16</c:v>
                </c:pt>
                <c:pt idx="17">
                  <c:v>17</c:v>
                </c:pt>
                <c:pt idx="18" formatCode="General">
                  <c:v>18</c:v>
                </c:pt>
                <c:pt idx="19">
                  <c:v>19</c:v>
                </c:pt>
                <c:pt idx="20" formatCode="General">
                  <c:v>20</c:v>
                </c:pt>
                <c:pt idx="21">
                  <c:v>21</c:v>
                </c:pt>
                <c:pt idx="22" formatCode="General">
                  <c:v>22</c:v>
                </c:pt>
                <c:pt idx="23">
                  <c:v>23</c:v>
                </c:pt>
                <c:pt idx="24" formatCode="General">
                  <c:v>24</c:v>
                </c:pt>
                <c:pt idx="25">
                  <c:v>25</c:v>
                </c:pt>
                <c:pt idx="26" formatCode="General">
                  <c:v>26</c:v>
                </c:pt>
                <c:pt idx="27">
                  <c:v>27</c:v>
                </c:pt>
                <c:pt idx="28" formatCode="General">
                  <c:v>28</c:v>
                </c:pt>
              </c:numCache>
            </c:numRef>
          </c:cat>
          <c:val>
            <c:numRef>
              <c:f>data!$EK$162:$EK$190</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2-08B6-45F2-BAA0-135938E687B1}"/>
            </c:ext>
          </c:extLst>
        </c:ser>
        <c:dLbls>
          <c:showLegendKey val="0"/>
          <c:showVal val="0"/>
          <c:showCatName val="0"/>
          <c:showSerName val="0"/>
          <c:showPercent val="0"/>
          <c:showBubbleSize val="0"/>
        </c:dLbls>
        <c:axId val="1593296640"/>
        <c:axId val="1593297056"/>
        <c:axId val="1780311088"/>
      </c:area3DChart>
      <c:dateAx>
        <c:axId val="1593296640"/>
        <c:scaling>
          <c:orientation val="minMax"/>
        </c:scaling>
        <c:delete val="1"/>
        <c:axPos val="b"/>
        <c:numFmt formatCode="General" sourceLinked="1"/>
        <c:majorTickMark val="out"/>
        <c:minorTickMark val="none"/>
        <c:tickLblPos val="nextTo"/>
        <c:crossAx val="1593297056"/>
        <c:crosses val="autoZero"/>
        <c:auto val="0"/>
        <c:lblOffset val="100"/>
        <c:baseTimeUnit val="days"/>
      </c:dateAx>
      <c:valAx>
        <c:axId val="1593297056"/>
        <c:scaling>
          <c:orientation val="minMax"/>
        </c:scaling>
        <c:delete val="0"/>
        <c:axPos val="l"/>
        <c:majorGridlines>
          <c:spPr>
            <a:ln w="9525" cap="flat" cmpd="sng" algn="ctr">
              <a:solidFill>
                <a:schemeClr val="bg1">
                  <a:lumMod val="85000"/>
                </a:schemeClr>
              </a:solidFill>
              <a:round/>
            </a:ln>
            <a:effectLst/>
          </c:spPr>
        </c:majorGridlines>
        <c:minorGridlines>
          <c:spPr>
            <a:ln w="3175">
              <a:solidFill>
                <a:schemeClr val="tx1">
                  <a:lumMod val="65000"/>
                  <a:lumOff val="35000"/>
                </a:schemeClr>
              </a:solidFill>
            </a:ln>
            <a:effectLst/>
          </c:spPr>
        </c:min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bg1"/>
                </a:solidFill>
                <a:latin typeface="+mn-lt"/>
                <a:ea typeface="+mn-ea"/>
                <a:cs typeface="+mn-cs"/>
              </a:defRPr>
            </a:pPr>
            <a:endParaRPr lang="en-US"/>
          </a:p>
        </c:txPr>
        <c:crossAx val="1593296640"/>
        <c:crosses val="autoZero"/>
        <c:crossBetween val="midCat"/>
        <c:majorUnit val="30"/>
        <c:minorUnit val="10"/>
      </c:valAx>
      <c:serAx>
        <c:axId val="1780311088"/>
        <c:scaling>
          <c:orientation val="minMax"/>
        </c:scaling>
        <c:delete val="1"/>
        <c:axPos val="b"/>
        <c:majorTickMark val="out"/>
        <c:minorTickMark val="none"/>
        <c:tickLblPos val="nextTo"/>
        <c:crossAx val="1593297056"/>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lang="en-US" sz="10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5"/>
      <c:rotY val="359"/>
      <c:depthPercent val="100"/>
      <c:rAngAx val="0"/>
      <c:perspective val="1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7152647130709272E-3"/>
          <c:y val="1.5851427662451286E-2"/>
          <c:w val="0.91276777902762174"/>
          <c:h val="0.96815929163952608"/>
        </c:manualLayout>
      </c:layout>
      <c:area3DChart>
        <c:grouping val="standard"/>
        <c:varyColors val="0"/>
        <c:ser>
          <c:idx val="0"/>
          <c:order val="0"/>
          <c:tx>
            <c:strRef>
              <c:f>data!$EN$161</c:f>
              <c:strCache>
                <c:ptCount val="1"/>
                <c:pt idx="0">
                  <c:v>BDY9</c:v>
                </c:pt>
              </c:strCache>
            </c:strRef>
          </c:tx>
          <c:spPr>
            <a:solidFill>
              <a:srgbClr val="FFFFFF">
                <a:alpha val="50196"/>
              </a:srgbClr>
            </a:solidFill>
            <a:ln w="19050">
              <a:solidFill>
                <a:srgbClr val="00B0F0"/>
              </a:solidFill>
            </a:ln>
            <a:effectLst>
              <a:outerShdw blurRad="57150" dist="19050" dir="5400000" algn="ctr" rotWithShape="0">
                <a:srgbClr val="000000">
                  <a:alpha val="63000"/>
                </a:srgbClr>
              </a:outerShdw>
            </a:effectLst>
            <a:sp3d contourW="19050">
              <a:contourClr>
                <a:srgbClr val="00B0F0"/>
              </a:contourClr>
            </a:sp3d>
          </c:spPr>
          <c:cat>
            <c:numRef>
              <c:f>data!$EM$162:$EM$190</c:f>
              <c:numCache>
                <c:formatCode>0</c:formatCode>
                <c:ptCount val="29"/>
                <c:pt idx="0" formatCode="General">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numCache>
            </c:numRef>
          </c:cat>
          <c:val>
            <c:numRef>
              <c:f>data!$EN$162:$EN$190</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0-14F6-4BAE-AD8E-7CA1F754A31F}"/>
            </c:ext>
          </c:extLst>
        </c:ser>
        <c:ser>
          <c:idx val="1"/>
          <c:order val="1"/>
          <c:tx>
            <c:strRef>
              <c:f>data!$EO$161</c:f>
              <c:strCache>
                <c:ptCount val="1"/>
                <c:pt idx="0">
                  <c:v>BDY8</c:v>
                </c:pt>
              </c:strCache>
            </c:strRef>
          </c:tx>
          <c:spPr>
            <a:solidFill>
              <a:srgbClr val="FFFFFF">
                <a:alpha val="50196"/>
              </a:srgbClr>
            </a:solidFill>
            <a:ln w="19050">
              <a:solidFill>
                <a:srgbClr val="00B050"/>
              </a:solidFill>
            </a:ln>
            <a:effectLst>
              <a:outerShdw blurRad="57150" dist="19050" dir="5400000" algn="ctr" rotWithShape="0">
                <a:srgbClr val="000000">
                  <a:alpha val="63000"/>
                </a:srgbClr>
              </a:outerShdw>
            </a:effectLst>
            <a:sp3d contourW="19050">
              <a:contourClr>
                <a:srgbClr val="00B050"/>
              </a:contourClr>
            </a:sp3d>
          </c:spPr>
          <c:cat>
            <c:numRef>
              <c:f>data!$EM$162:$EM$190</c:f>
              <c:numCache>
                <c:formatCode>0</c:formatCode>
                <c:ptCount val="29"/>
                <c:pt idx="0" formatCode="General">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numCache>
            </c:numRef>
          </c:cat>
          <c:val>
            <c:numRef>
              <c:f>data!$EO$162:$EO$190</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1-14F6-4BAE-AD8E-7CA1F754A31F}"/>
            </c:ext>
          </c:extLst>
        </c:ser>
        <c:ser>
          <c:idx val="2"/>
          <c:order val="2"/>
          <c:tx>
            <c:strRef>
              <c:f>data!$EP$161</c:f>
              <c:strCache>
                <c:ptCount val="1"/>
                <c:pt idx="0">
                  <c:v>BDY7</c:v>
                </c:pt>
              </c:strCache>
            </c:strRef>
          </c:tx>
          <c:spPr>
            <a:solidFill>
              <a:srgbClr val="FFFFFF">
                <a:alpha val="50196"/>
              </a:srgbClr>
            </a:solidFill>
            <a:ln w="19050">
              <a:solidFill>
                <a:srgbClr val="FFC000"/>
              </a:solidFill>
            </a:ln>
            <a:effectLst>
              <a:outerShdw blurRad="57150" dist="19050" dir="5400000" algn="ctr" rotWithShape="0">
                <a:srgbClr val="000000">
                  <a:alpha val="63000"/>
                </a:srgbClr>
              </a:outerShdw>
            </a:effectLst>
            <a:sp3d contourW="19050">
              <a:contourClr>
                <a:srgbClr val="FFC000"/>
              </a:contourClr>
            </a:sp3d>
          </c:spPr>
          <c:cat>
            <c:numRef>
              <c:f>data!$EM$162:$EM$190</c:f>
              <c:numCache>
                <c:formatCode>0</c:formatCode>
                <c:ptCount val="29"/>
                <c:pt idx="0" formatCode="General">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numCache>
            </c:numRef>
          </c:cat>
          <c:val>
            <c:numRef>
              <c:f>data!$EP$162:$EP$190</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2-14F6-4BAE-AD8E-7CA1F754A31F}"/>
            </c:ext>
          </c:extLst>
        </c:ser>
        <c:ser>
          <c:idx val="3"/>
          <c:order val="3"/>
          <c:tx>
            <c:strRef>
              <c:f>data!$EQ$161</c:f>
              <c:strCache>
                <c:ptCount val="1"/>
                <c:pt idx="0">
                  <c:v>BDY6</c:v>
                </c:pt>
              </c:strCache>
            </c:strRef>
          </c:tx>
          <c:spPr>
            <a:solidFill>
              <a:srgbClr val="FFFFFF">
                <a:alpha val="50196"/>
              </a:srgbClr>
            </a:solidFill>
            <a:ln w="19050">
              <a:solidFill>
                <a:srgbClr val="FF6600"/>
              </a:solidFill>
            </a:ln>
            <a:effectLst>
              <a:outerShdw blurRad="57150" dist="19050" dir="5400000" algn="ctr" rotWithShape="0">
                <a:srgbClr val="000000">
                  <a:alpha val="63000"/>
                </a:srgbClr>
              </a:outerShdw>
            </a:effectLst>
            <a:sp3d contourW="19050">
              <a:contourClr>
                <a:srgbClr val="FF6600"/>
              </a:contourClr>
            </a:sp3d>
          </c:spPr>
          <c:cat>
            <c:numRef>
              <c:f>data!$EM$162:$EM$190</c:f>
              <c:numCache>
                <c:formatCode>0</c:formatCode>
                <c:ptCount val="29"/>
                <c:pt idx="0" formatCode="General">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numCache>
            </c:numRef>
          </c:cat>
          <c:val>
            <c:numRef>
              <c:f>data!$EQ$162:$EQ$190</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3-14F6-4BAE-AD8E-7CA1F754A31F}"/>
            </c:ext>
          </c:extLst>
        </c:ser>
        <c:ser>
          <c:idx val="4"/>
          <c:order val="4"/>
          <c:tx>
            <c:strRef>
              <c:f>data!$ER$161</c:f>
              <c:strCache>
                <c:ptCount val="1"/>
                <c:pt idx="0">
                  <c:v>BDY5</c:v>
                </c:pt>
              </c:strCache>
            </c:strRef>
          </c:tx>
          <c:spPr>
            <a:solidFill>
              <a:srgbClr val="FFFFFF">
                <a:alpha val="50196"/>
              </a:srgbClr>
            </a:solidFill>
            <a:ln w="19050">
              <a:solidFill>
                <a:srgbClr val="C00000"/>
              </a:solidFill>
            </a:ln>
            <a:effectLst>
              <a:outerShdw blurRad="57150" dist="19050" dir="5400000" algn="ctr" rotWithShape="0">
                <a:srgbClr val="000000">
                  <a:alpha val="63000"/>
                </a:srgbClr>
              </a:outerShdw>
            </a:effectLst>
            <a:sp3d contourW="19050">
              <a:contourClr>
                <a:srgbClr val="C00000"/>
              </a:contourClr>
            </a:sp3d>
          </c:spPr>
          <c:cat>
            <c:numRef>
              <c:f>data!$EM$162:$EM$190</c:f>
              <c:numCache>
                <c:formatCode>0</c:formatCode>
                <c:ptCount val="29"/>
                <c:pt idx="0" formatCode="General">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numCache>
            </c:numRef>
          </c:cat>
          <c:val>
            <c:numRef>
              <c:f>data!$ER$162:$ER$190</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4-14F6-4BAE-AD8E-7CA1F754A31F}"/>
            </c:ext>
          </c:extLst>
        </c:ser>
        <c:ser>
          <c:idx val="5"/>
          <c:order val="5"/>
          <c:tx>
            <c:strRef>
              <c:f>data!$ES$161</c:f>
              <c:strCache>
                <c:ptCount val="1"/>
                <c:pt idx="0">
                  <c:v>BDY4</c:v>
                </c:pt>
              </c:strCache>
            </c:strRef>
          </c:tx>
          <c:spPr>
            <a:solidFill>
              <a:srgbClr val="FFFFFF">
                <a:alpha val="50196"/>
              </a:srgbClr>
            </a:solidFill>
            <a:ln w="19050">
              <a:solidFill>
                <a:srgbClr val="FF0000"/>
              </a:solidFill>
            </a:ln>
            <a:effectLst>
              <a:outerShdw blurRad="57150" dist="19050" dir="5400000" algn="ctr" rotWithShape="0">
                <a:srgbClr val="000000">
                  <a:alpha val="63000"/>
                </a:srgbClr>
              </a:outerShdw>
            </a:effectLst>
            <a:sp3d contourW="19050">
              <a:contourClr>
                <a:srgbClr val="FF0000"/>
              </a:contourClr>
            </a:sp3d>
          </c:spPr>
          <c:cat>
            <c:numRef>
              <c:f>data!$EM$162:$EM$190</c:f>
              <c:numCache>
                <c:formatCode>0</c:formatCode>
                <c:ptCount val="29"/>
                <c:pt idx="0" formatCode="General">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numCache>
            </c:numRef>
          </c:cat>
          <c:val>
            <c:numRef>
              <c:f>data!$ES$162:$ES$190</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5-14F6-4BAE-AD8E-7CA1F754A31F}"/>
            </c:ext>
          </c:extLst>
        </c:ser>
        <c:ser>
          <c:idx val="6"/>
          <c:order val="6"/>
          <c:tx>
            <c:strRef>
              <c:f>data!$ET$161</c:f>
              <c:strCache>
                <c:ptCount val="1"/>
                <c:pt idx="0">
                  <c:v>BDY3</c:v>
                </c:pt>
              </c:strCache>
            </c:strRef>
          </c:tx>
          <c:spPr>
            <a:solidFill>
              <a:srgbClr val="FFFFFF">
                <a:alpha val="50196"/>
              </a:srgbClr>
            </a:solidFill>
            <a:ln w="19050">
              <a:solidFill>
                <a:srgbClr val="FF00FF"/>
              </a:solidFill>
            </a:ln>
            <a:effectLst>
              <a:outerShdw blurRad="57150" dist="19050" dir="5400000" algn="ctr" rotWithShape="0">
                <a:srgbClr val="000000">
                  <a:alpha val="63000"/>
                </a:srgbClr>
              </a:outerShdw>
            </a:effectLst>
            <a:sp3d contourW="19050">
              <a:contourClr>
                <a:srgbClr val="FF00FF"/>
              </a:contourClr>
            </a:sp3d>
          </c:spPr>
          <c:cat>
            <c:numRef>
              <c:f>data!$EM$162:$EM$190</c:f>
              <c:numCache>
                <c:formatCode>0</c:formatCode>
                <c:ptCount val="29"/>
                <c:pt idx="0" formatCode="General">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numCache>
            </c:numRef>
          </c:cat>
          <c:val>
            <c:numRef>
              <c:f>data!$ET$162:$ET$190</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6-14F6-4BAE-AD8E-7CA1F754A31F}"/>
            </c:ext>
          </c:extLst>
        </c:ser>
        <c:ser>
          <c:idx val="7"/>
          <c:order val="7"/>
          <c:tx>
            <c:strRef>
              <c:f>data!$EU$161</c:f>
              <c:strCache>
                <c:ptCount val="1"/>
                <c:pt idx="0">
                  <c:v>BDY2</c:v>
                </c:pt>
              </c:strCache>
            </c:strRef>
          </c:tx>
          <c:spPr>
            <a:solidFill>
              <a:srgbClr val="FFFFFF">
                <a:alpha val="50196"/>
              </a:srgbClr>
            </a:solidFill>
            <a:ln w="19050">
              <a:solidFill>
                <a:srgbClr val="9900CC"/>
              </a:solidFill>
            </a:ln>
            <a:effectLst>
              <a:outerShdw blurRad="57150" dist="19050" dir="5400000" algn="ctr" rotWithShape="0">
                <a:srgbClr val="000000">
                  <a:alpha val="63000"/>
                </a:srgbClr>
              </a:outerShdw>
            </a:effectLst>
            <a:sp3d contourW="19050">
              <a:contourClr>
                <a:srgbClr val="9900CC"/>
              </a:contourClr>
            </a:sp3d>
          </c:spPr>
          <c:cat>
            <c:numRef>
              <c:f>data!$EM$162:$EM$190</c:f>
              <c:numCache>
                <c:formatCode>0</c:formatCode>
                <c:ptCount val="29"/>
                <c:pt idx="0" formatCode="General">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numCache>
            </c:numRef>
          </c:cat>
          <c:val>
            <c:numRef>
              <c:f>data!$EU$162:$EU$190</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7-14F6-4BAE-AD8E-7CA1F754A31F}"/>
            </c:ext>
          </c:extLst>
        </c:ser>
        <c:ser>
          <c:idx val="8"/>
          <c:order val="8"/>
          <c:tx>
            <c:strRef>
              <c:f>data!$EV$161</c:f>
              <c:strCache>
                <c:ptCount val="1"/>
                <c:pt idx="0">
                  <c:v>BDY1</c:v>
                </c:pt>
              </c:strCache>
            </c:strRef>
          </c:tx>
          <c:spPr>
            <a:solidFill>
              <a:srgbClr val="FFFFFF">
                <a:alpha val="50196"/>
              </a:srgbClr>
            </a:solidFill>
            <a:ln w="19050">
              <a:solidFill>
                <a:srgbClr val="0070C0"/>
              </a:solidFill>
            </a:ln>
            <a:effectLst>
              <a:outerShdw blurRad="57150" dist="19050" dir="5400000" algn="ctr" rotWithShape="0">
                <a:srgbClr val="000000">
                  <a:alpha val="63000"/>
                </a:srgbClr>
              </a:outerShdw>
            </a:effectLst>
            <a:sp3d contourW="19050">
              <a:contourClr>
                <a:srgbClr val="0070C0"/>
              </a:contourClr>
            </a:sp3d>
          </c:spPr>
          <c:cat>
            <c:numRef>
              <c:f>data!$EM$162:$EM$190</c:f>
              <c:numCache>
                <c:formatCode>0</c:formatCode>
                <c:ptCount val="29"/>
                <c:pt idx="0" formatCode="General">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numCache>
            </c:numRef>
          </c:cat>
          <c:val>
            <c:numRef>
              <c:f>data!$EV$162:$EV$190</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extLst>
            <c:ext xmlns:c16="http://schemas.microsoft.com/office/drawing/2014/chart" uri="{C3380CC4-5D6E-409C-BE32-E72D297353CC}">
              <c16:uniqueId val="{00000008-14F6-4BAE-AD8E-7CA1F754A31F}"/>
            </c:ext>
          </c:extLst>
        </c:ser>
        <c:dLbls>
          <c:showLegendKey val="0"/>
          <c:showVal val="0"/>
          <c:showCatName val="0"/>
          <c:showSerName val="0"/>
          <c:showPercent val="0"/>
          <c:showBubbleSize val="0"/>
        </c:dLbls>
        <c:axId val="1593296640"/>
        <c:axId val="1593297056"/>
        <c:axId val="1780311088"/>
      </c:area3DChart>
      <c:dateAx>
        <c:axId val="1593296640"/>
        <c:scaling>
          <c:orientation val="minMax"/>
        </c:scaling>
        <c:delete val="1"/>
        <c:axPos val="b"/>
        <c:numFmt formatCode="General" sourceLinked="1"/>
        <c:majorTickMark val="out"/>
        <c:minorTickMark val="none"/>
        <c:tickLblPos val="nextTo"/>
        <c:crossAx val="1593297056"/>
        <c:crosses val="autoZero"/>
        <c:auto val="0"/>
        <c:lblOffset val="100"/>
        <c:baseTimeUnit val="days"/>
      </c:dateAx>
      <c:valAx>
        <c:axId val="1593297056"/>
        <c:scaling>
          <c:orientation val="minMax"/>
        </c:scaling>
        <c:delete val="0"/>
        <c:axPos val="l"/>
        <c:majorGridlines>
          <c:spPr>
            <a:ln w="0" cap="flat" cmpd="sng" algn="ctr">
              <a:solidFill>
                <a:schemeClr val="bg1">
                  <a:lumMod val="75000"/>
                </a:schemeClr>
              </a:solidFill>
              <a:round/>
            </a:ln>
            <a:effectLst/>
          </c:spPr>
        </c:majorGridlines>
        <c:minorGridlines>
          <c:spPr>
            <a:ln w="3175">
              <a:solidFill>
                <a:schemeClr val="tx1">
                  <a:lumMod val="65000"/>
                  <a:lumOff val="35000"/>
                </a:schemeClr>
              </a:solidFill>
            </a:ln>
            <a:effectLst/>
          </c:spPr>
        </c:minorGridlines>
        <c:numFmt formatCode="0" sourceLinked="1"/>
        <c:majorTickMark val="out"/>
        <c:minorTickMark val="none"/>
        <c:tickLblPos val="high"/>
        <c:spPr>
          <a:noFill/>
          <a:ln>
            <a:noFill/>
          </a:ln>
          <a:effectLst>
            <a:glow rad="63500">
              <a:schemeClr val="accent1">
                <a:satMod val="175000"/>
                <a:alpha val="40000"/>
              </a:schemeClr>
            </a:glow>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93296640"/>
        <c:crosses val="autoZero"/>
        <c:crossBetween val="midCat"/>
        <c:majorUnit val="30"/>
        <c:minorUnit val="10"/>
      </c:valAx>
      <c:serAx>
        <c:axId val="1780311088"/>
        <c:scaling>
          <c:orientation val="minMax"/>
        </c:scaling>
        <c:delete val="1"/>
        <c:axPos val="b"/>
        <c:majorTickMark val="out"/>
        <c:minorTickMark val="none"/>
        <c:tickLblPos val="nextTo"/>
        <c:crossAx val="1593297056"/>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861217135274316"/>
          <c:y val="0.10108387450691393"/>
          <c:w val="0.6960310574055093"/>
          <c:h val="0.70392562844706796"/>
        </c:manualLayout>
      </c:layout>
      <c:lineChart>
        <c:grouping val="standard"/>
        <c:varyColors val="0"/>
        <c:ser>
          <c:idx val="0"/>
          <c:order val="0"/>
          <c:spPr>
            <a:ln w="12700" cap="rnd">
              <a:solidFill>
                <a:schemeClr val="bg1"/>
              </a:solidFill>
            </a:ln>
            <a:effectLst>
              <a:glow rad="152400">
                <a:schemeClr val="bg1">
                  <a:alpha val="20000"/>
                </a:schemeClr>
              </a:glow>
            </a:effectLst>
          </c:spPr>
          <c:marker>
            <c:symbol val="circle"/>
            <c:size val="4"/>
            <c:spPr>
              <a:solidFill>
                <a:schemeClr val="bg1"/>
              </a:solidFill>
              <a:ln w="41275">
                <a:solidFill>
                  <a:schemeClr val="bg1"/>
                </a:solidFill>
              </a:ln>
              <a:effectLst>
                <a:glow rad="152400">
                  <a:schemeClr val="bg1">
                    <a:alpha val="20000"/>
                  </a:schemeClr>
                </a:glow>
              </a:effectLst>
            </c:spPr>
          </c:marker>
          <c:cat>
            <c:multiLvlStrRef>
              <c:f>data!$BK$24:$BK$34</c:f>
            </c:multiLvlStrRef>
          </c:cat>
          <c:val>
            <c:numRef>
              <c:f>data!$BL$24:$BL$34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0-6C43-4523-8E58-2B535774AC0A}"/>
            </c:ext>
          </c:extLst>
        </c:ser>
        <c:dLbls>
          <c:showLegendKey val="0"/>
          <c:showVal val="0"/>
          <c:showCatName val="0"/>
          <c:showSerName val="0"/>
          <c:showPercent val="0"/>
          <c:showBubbleSize val="0"/>
        </c:dLbls>
        <c:marker val="1"/>
        <c:smooth val="0"/>
        <c:axId val="404663967"/>
        <c:axId val="404649823"/>
      </c:lineChart>
      <c:catAx>
        <c:axId val="404663967"/>
        <c:scaling>
          <c:orientation val="minMax"/>
        </c:scaling>
        <c:delete val="0"/>
        <c:axPos val="b"/>
        <c:majorGridlines>
          <c:spPr>
            <a:ln w="9525" cap="flat" cmpd="sng" algn="ctr">
              <a:solidFill>
                <a:schemeClr val="tx1">
                  <a:lumMod val="85000"/>
                  <a:lumOff val="1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r>
                  <a:rPr lang="en-GB">
                    <a:solidFill>
                      <a:schemeClr val="bg1"/>
                    </a:solidFill>
                  </a:rPr>
                  <a:t>GAMEPLAN</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649823"/>
        <c:crosses val="autoZero"/>
        <c:auto val="1"/>
        <c:lblAlgn val="ctr"/>
        <c:lblOffset val="100"/>
        <c:noMultiLvlLbl val="0"/>
      </c:catAx>
      <c:valAx>
        <c:axId val="404649823"/>
        <c:scaling>
          <c:orientation val="minMax"/>
        </c:scaling>
        <c:delete val="0"/>
        <c:axPos val="l"/>
        <c:majorGridlines>
          <c:spPr>
            <a:ln w="9525" cap="flat" cmpd="sng" algn="ctr">
              <a:solidFill>
                <a:schemeClr val="tx1">
                  <a:lumMod val="65000"/>
                  <a:lumOff val="3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bg1"/>
                    </a:solidFill>
                    <a:latin typeface="+mn-lt"/>
                    <a:ea typeface="+mn-ea"/>
                    <a:cs typeface="+mn-cs"/>
                  </a:defRPr>
                </a:pPr>
                <a:r>
                  <a:rPr lang="en-GB">
                    <a:solidFill>
                      <a:schemeClr val="bg1"/>
                    </a:solidFill>
                  </a:rPr>
                  <a:t>LVL</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663967"/>
        <c:crosses val="autoZero"/>
        <c:crossBetween val="between"/>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038286125703044E-2"/>
          <c:y val="0.10502059969776505"/>
          <c:w val="0.91095101557616653"/>
          <c:h val="0.70564861210530505"/>
        </c:manualLayout>
      </c:layout>
      <c:barChart>
        <c:barDir val="col"/>
        <c:grouping val="clustered"/>
        <c:varyColors val="0"/>
        <c:ser>
          <c:idx val="0"/>
          <c:order val="0"/>
          <c:tx>
            <c:strRef>
              <c:f>data!$DA$36</c:f>
              <c:strCache>
                <c:ptCount val="1"/>
                <c:pt idx="0">
                  <c:v>MONTH</c:v>
                </c:pt>
              </c:strCache>
            </c:strRef>
          </c:tx>
          <c:spPr>
            <a:solidFill>
              <a:schemeClr val="bg1">
                <a:lumMod val="50000"/>
                <a:alpha val="50196"/>
              </a:schemeClr>
            </a:solidFill>
            <a:ln>
              <a:solidFill>
                <a:schemeClr val="bg1">
                  <a:lumMod val="50000"/>
                </a:schemeClr>
              </a:solidFill>
            </a:ln>
            <a:effectLst/>
          </c:spPr>
          <c:invertIfNegative val="0"/>
          <c:cat>
            <c:strRef>
              <c:f>data!$DC$35:$DT$35</c:f>
              <c:strCache>
                <c:ptCount val="18"/>
                <c:pt idx="0">
                  <c:v>MND1</c:v>
                </c:pt>
                <c:pt idx="1">
                  <c:v>MND2</c:v>
                </c:pt>
                <c:pt idx="2">
                  <c:v>MND3</c:v>
                </c:pt>
                <c:pt idx="3">
                  <c:v>MND4</c:v>
                </c:pt>
                <c:pt idx="4">
                  <c:v>MND5</c:v>
                </c:pt>
                <c:pt idx="5">
                  <c:v>MND6</c:v>
                </c:pt>
                <c:pt idx="6">
                  <c:v>MND7</c:v>
                </c:pt>
                <c:pt idx="7">
                  <c:v>MND8</c:v>
                </c:pt>
                <c:pt idx="8">
                  <c:v>MND9</c:v>
                </c:pt>
                <c:pt idx="9">
                  <c:v>BDY1</c:v>
                </c:pt>
                <c:pt idx="10">
                  <c:v>BDY2</c:v>
                </c:pt>
                <c:pt idx="11">
                  <c:v>BDY3</c:v>
                </c:pt>
                <c:pt idx="12">
                  <c:v>BDY4</c:v>
                </c:pt>
                <c:pt idx="13">
                  <c:v>BDY5</c:v>
                </c:pt>
                <c:pt idx="14">
                  <c:v>BDY6</c:v>
                </c:pt>
                <c:pt idx="15">
                  <c:v>BDY7</c:v>
                </c:pt>
                <c:pt idx="16">
                  <c:v>BDY8</c:v>
                </c:pt>
                <c:pt idx="17">
                  <c:v>BDY9</c:v>
                </c:pt>
              </c:strCache>
            </c:strRef>
          </c:cat>
          <c:val>
            <c:numRef>
              <c:f>data!$DC$36:$DT$36</c:f>
              <c:numCache>
                <c:formatCode>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0-F908-4CD4-98ED-C9499918C9E5}"/>
            </c:ext>
          </c:extLst>
        </c:ser>
        <c:ser>
          <c:idx val="1"/>
          <c:order val="1"/>
          <c:tx>
            <c:strRef>
              <c:f>data!$DA$37</c:f>
              <c:strCache>
                <c:ptCount val="1"/>
                <c:pt idx="0">
                  <c:v>MONTH</c:v>
                </c:pt>
              </c:strCache>
            </c:strRef>
          </c:tx>
          <c:spPr>
            <a:solidFill>
              <a:srgbClr val="FFFFFF">
                <a:alpha val="50196"/>
              </a:srgbClr>
            </a:solidFill>
            <a:ln>
              <a:solidFill>
                <a:schemeClr val="bg1"/>
              </a:solidFill>
            </a:ln>
            <a:effectLst/>
          </c:spPr>
          <c:invertIfNegative val="0"/>
          <c:cat>
            <c:strRef>
              <c:f>data!$DC$35:$DT$35</c:f>
              <c:strCache>
                <c:ptCount val="18"/>
                <c:pt idx="0">
                  <c:v>MND1</c:v>
                </c:pt>
                <c:pt idx="1">
                  <c:v>MND2</c:v>
                </c:pt>
                <c:pt idx="2">
                  <c:v>MND3</c:v>
                </c:pt>
                <c:pt idx="3">
                  <c:v>MND4</c:v>
                </c:pt>
                <c:pt idx="4">
                  <c:v>MND5</c:v>
                </c:pt>
                <c:pt idx="5">
                  <c:v>MND6</c:v>
                </c:pt>
                <c:pt idx="6">
                  <c:v>MND7</c:v>
                </c:pt>
                <c:pt idx="7">
                  <c:v>MND8</c:v>
                </c:pt>
                <c:pt idx="8">
                  <c:v>MND9</c:v>
                </c:pt>
                <c:pt idx="9">
                  <c:v>BDY1</c:v>
                </c:pt>
                <c:pt idx="10">
                  <c:v>BDY2</c:v>
                </c:pt>
                <c:pt idx="11">
                  <c:v>BDY3</c:v>
                </c:pt>
                <c:pt idx="12">
                  <c:v>BDY4</c:v>
                </c:pt>
                <c:pt idx="13">
                  <c:v>BDY5</c:v>
                </c:pt>
                <c:pt idx="14">
                  <c:v>BDY6</c:v>
                </c:pt>
                <c:pt idx="15">
                  <c:v>BDY7</c:v>
                </c:pt>
                <c:pt idx="16">
                  <c:v>BDY8</c:v>
                </c:pt>
                <c:pt idx="17">
                  <c:v>BDY9</c:v>
                </c:pt>
              </c:strCache>
            </c:strRef>
          </c:cat>
          <c:val>
            <c:numRef>
              <c:f>data!$DC$37:$DT$37</c:f>
              <c:numCache>
                <c:formatCode>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1-F908-4CD4-98ED-C9499918C9E5}"/>
            </c:ext>
          </c:extLst>
        </c:ser>
        <c:dLbls>
          <c:showLegendKey val="0"/>
          <c:showVal val="0"/>
          <c:showCatName val="0"/>
          <c:showSerName val="0"/>
          <c:showPercent val="0"/>
          <c:showBubbleSize val="0"/>
        </c:dLbls>
        <c:gapWidth val="219"/>
        <c:overlap val="-27"/>
        <c:axId val="1028147215"/>
        <c:axId val="1028148879"/>
      </c:barChart>
      <c:catAx>
        <c:axId val="1028147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1028148879"/>
        <c:crosses val="autoZero"/>
        <c:auto val="1"/>
        <c:lblAlgn val="ctr"/>
        <c:lblOffset val="100"/>
        <c:noMultiLvlLbl val="0"/>
      </c:catAx>
      <c:valAx>
        <c:axId val="1028148879"/>
        <c:scaling>
          <c:orientation val="minMax"/>
        </c:scaling>
        <c:delete val="0"/>
        <c:axPos val="l"/>
        <c:majorGridlines>
          <c:spPr>
            <a:ln w="9525" cap="flat" cmpd="sng" algn="ctr">
              <a:solidFill>
                <a:schemeClr val="tx1">
                  <a:lumMod val="75000"/>
                  <a:lumOff val="2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XP</a:t>
                </a:r>
              </a:p>
            </c:rich>
          </c:tx>
          <c:layout>
            <c:manualLayout>
              <c:xMode val="edge"/>
              <c:yMode val="edge"/>
              <c:x val="1.6990217464966217E-2"/>
              <c:y val="0.8490469574634399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1028147215"/>
        <c:crosses val="autoZero"/>
        <c:crossBetween val="between"/>
        <c:majorUnit val="600"/>
        <c:minorUnit val="60"/>
      </c:valAx>
      <c:spPr>
        <a:noFill/>
        <a:ln>
          <a:noFill/>
        </a:ln>
        <a:effectLst/>
      </c:spPr>
    </c:plotArea>
    <c:legend>
      <c:legendPos val="b"/>
      <c:legendEntry>
        <c:idx val="0"/>
        <c:txPr>
          <a:bodyPr rot="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ayout>
        <c:manualLayout>
          <c:xMode val="edge"/>
          <c:yMode val="edge"/>
          <c:x val="0.44223355036932799"/>
          <c:y val="0.88376185410831187"/>
          <c:w val="0.10284450387546945"/>
          <c:h val="5.790481480991142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40"/>
      <c:rotY val="0"/>
      <c:depthPercent val="100"/>
      <c:rAngAx val="0"/>
      <c:perspective val="1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1.1730203472848351E-2"/>
          <c:y val="6.8739910586153016E-2"/>
          <c:w val="0.9511844965502888"/>
          <c:h val="0.89067601319356204"/>
        </c:manualLayout>
      </c:layout>
      <c:area3DChart>
        <c:grouping val="standard"/>
        <c:varyColors val="0"/>
        <c:ser>
          <c:idx val="0"/>
          <c:order val="0"/>
          <c:tx>
            <c:strRef>
              <c:f>data!$EC$21</c:f>
              <c:strCache>
                <c:ptCount val="1"/>
                <c:pt idx="0">
                  <c:v>MND1</c:v>
                </c:pt>
              </c:strCache>
            </c:strRef>
          </c:tx>
          <c:spPr>
            <a:solidFill>
              <a:srgbClr val="FFFFFF">
                <a:alpha val="50196"/>
              </a:srgbClr>
            </a:solidFill>
            <a:ln>
              <a:solidFill>
                <a:srgbClr val="00B0F0"/>
              </a:solidFill>
            </a:ln>
            <a:effectLst>
              <a:outerShdw blurRad="57150" dist="19050" dir="5400000" algn="ctr" rotWithShape="0">
                <a:srgbClr val="000000">
                  <a:alpha val="63000"/>
                </a:srgbClr>
              </a:outerShdw>
            </a:effectLst>
            <a:sp3d>
              <a:contourClr>
                <a:srgbClr val="00B0F0"/>
              </a:contourClr>
            </a:sp3d>
          </c:spPr>
          <c:cat>
            <c:numRef>
              <c:f>data!$EB$22:$EB$52</c:f>
              <c:numCache>
                <c:formatCode>0</c:formatCode>
                <c:ptCount val="31"/>
                <c:pt idx="0">
                  <c:v>31</c:v>
                </c:pt>
                <c:pt idx="1">
                  <c:v>30</c:v>
                </c:pt>
                <c:pt idx="2">
                  <c:v>29</c:v>
                </c:pt>
                <c:pt idx="3">
                  <c:v>28</c:v>
                </c:pt>
                <c:pt idx="4">
                  <c:v>27</c:v>
                </c:pt>
                <c:pt idx="5">
                  <c:v>26</c:v>
                </c:pt>
                <c:pt idx="6">
                  <c:v>25</c:v>
                </c:pt>
                <c:pt idx="7">
                  <c:v>24</c:v>
                </c:pt>
                <c:pt idx="8">
                  <c:v>23</c:v>
                </c:pt>
                <c:pt idx="9">
                  <c:v>22</c:v>
                </c:pt>
                <c:pt idx="10">
                  <c:v>21</c:v>
                </c:pt>
                <c:pt idx="11">
                  <c:v>20</c:v>
                </c:pt>
                <c:pt idx="12">
                  <c:v>19</c:v>
                </c:pt>
                <c:pt idx="13">
                  <c:v>18</c:v>
                </c:pt>
                <c:pt idx="14">
                  <c:v>17</c:v>
                </c:pt>
                <c:pt idx="15">
                  <c:v>16</c:v>
                </c:pt>
                <c:pt idx="16">
                  <c:v>15</c:v>
                </c:pt>
                <c:pt idx="17">
                  <c:v>14</c:v>
                </c:pt>
                <c:pt idx="18">
                  <c:v>13</c:v>
                </c:pt>
                <c:pt idx="19">
                  <c:v>12</c:v>
                </c:pt>
                <c:pt idx="20">
                  <c:v>11</c:v>
                </c:pt>
                <c:pt idx="21">
                  <c:v>10</c:v>
                </c:pt>
                <c:pt idx="22">
                  <c:v>9</c:v>
                </c:pt>
                <c:pt idx="23">
                  <c:v>8</c:v>
                </c:pt>
                <c:pt idx="24">
                  <c:v>7</c:v>
                </c:pt>
                <c:pt idx="25">
                  <c:v>6</c:v>
                </c:pt>
                <c:pt idx="26">
                  <c:v>5</c:v>
                </c:pt>
                <c:pt idx="27">
                  <c:v>4</c:v>
                </c:pt>
                <c:pt idx="28">
                  <c:v>3</c:v>
                </c:pt>
                <c:pt idx="29">
                  <c:v>2</c:v>
                </c:pt>
                <c:pt idx="30">
                  <c:v>1</c:v>
                </c:pt>
              </c:numCache>
            </c:numRef>
          </c:cat>
          <c:val>
            <c:numRef>
              <c:f>data!$EC$22:$EC$52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A5E3-4106-BCD1-0B0661D2D1A1}"/>
            </c:ext>
          </c:extLst>
        </c:ser>
        <c:ser>
          <c:idx val="1"/>
          <c:order val="1"/>
          <c:tx>
            <c:strRef>
              <c:f>data!$ED$21</c:f>
              <c:strCache>
                <c:ptCount val="1"/>
                <c:pt idx="0">
                  <c:v>MND2</c:v>
                </c:pt>
              </c:strCache>
            </c:strRef>
          </c:tx>
          <c:spPr>
            <a:solidFill>
              <a:srgbClr val="FFFFFF">
                <a:alpha val="50196"/>
              </a:srgbClr>
            </a:solidFill>
            <a:ln>
              <a:solidFill>
                <a:srgbClr val="00B050"/>
              </a:solidFill>
            </a:ln>
            <a:effectLst>
              <a:outerShdw blurRad="57150" dist="19050" dir="5400000" algn="ctr" rotWithShape="0">
                <a:srgbClr val="000000">
                  <a:alpha val="63000"/>
                </a:srgbClr>
              </a:outerShdw>
            </a:effectLst>
            <a:sp3d>
              <a:contourClr>
                <a:srgbClr val="00B050"/>
              </a:contourClr>
            </a:sp3d>
          </c:spPr>
          <c:cat>
            <c:numRef>
              <c:f>data!$EB$22:$EB$52</c:f>
              <c:numCache>
                <c:formatCode>0</c:formatCode>
                <c:ptCount val="31"/>
                <c:pt idx="0">
                  <c:v>31</c:v>
                </c:pt>
                <c:pt idx="1">
                  <c:v>30</c:v>
                </c:pt>
                <c:pt idx="2">
                  <c:v>29</c:v>
                </c:pt>
                <c:pt idx="3">
                  <c:v>28</c:v>
                </c:pt>
                <c:pt idx="4">
                  <c:v>27</c:v>
                </c:pt>
                <c:pt idx="5">
                  <c:v>26</c:v>
                </c:pt>
                <c:pt idx="6">
                  <c:v>25</c:v>
                </c:pt>
                <c:pt idx="7">
                  <c:v>24</c:v>
                </c:pt>
                <c:pt idx="8">
                  <c:v>23</c:v>
                </c:pt>
                <c:pt idx="9">
                  <c:v>22</c:v>
                </c:pt>
                <c:pt idx="10">
                  <c:v>21</c:v>
                </c:pt>
                <c:pt idx="11">
                  <c:v>20</c:v>
                </c:pt>
                <c:pt idx="12">
                  <c:v>19</c:v>
                </c:pt>
                <c:pt idx="13">
                  <c:v>18</c:v>
                </c:pt>
                <c:pt idx="14">
                  <c:v>17</c:v>
                </c:pt>
                <c:pt idx="15">
                  <c:v>16</c:v>
                </c:pt>
                <c:pt idx="16">
                  <c:v>15</c:v>
                </c:pt>
                <c:pt idx="17">
                  <c:v>14</c:v>
                </c:pt>
                <c:pt idx="18">
                  <c:v>13</c:v>
                </c:pt>
                <c:pt idx="19">
                  <c:v>12</c:v>
                </c:pt>
                <c:pt idx="20">
                  <c:v>11</c:v>
                </c:pt>
                <c:pt idx="21">
                  <c:v>10</c:v>
                </c:pt>
                <c:pt idx="22">
                  <c:v>9</c:v>
                </c:pt>
                <c:pt idx="23">
                  <c:v>8</c:v>
                </c:pt>
                <c:pt idx="24">
                  <c:v>7</c:v>
                </c:pt>
                <c:pt idx="25">
                  <c:v>6</c:v>
                </c:pt>
                <c:pt idx="26">
                  <c:v>5</c:v>
                </c:pt>
                <c:pt idx="27">
                  <c:v>4</c:v>
                </c:pt>
                <c:pt idx="28">
                  <c:v>3</c:v>
                </c:pt>
                <c:pt idx="29">
                  <c:v>2</c:v>
                </c:pt>
                <c:pt idx="30">
                  <c:v>1</c:v>
                </c:pt>
              </c:numCache>
            </c:numRef>
          </c:cat>
          <c:val>
            <c:numRef>
              <c:f>data!$ED$22:$ED$52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A5E3-4106-BCD1-0B0661D2D1A1}"/>
            </c:ext>
          </c:extLst>
        </c:ser>
        <c:ser>
          <c:idx val="2"/>
          <c:order val="2"/>
          <c:tx>
            <c:strRef>
              <c:f>data!$EE$21</c:f>
              <c:strCache>
                <c:ptCount val="1"/>
                <c:pt idx="0">
                  <c:v>MND3</c:v>
                </c:pt>
              </c:strCache>
            </c:strRef>
          </c:tx>
          <c:spPr>
            <a:solidFill>
              <a:srgbClr val="FFFFFF">
                <a:alpha val="50196"/>
              </a:srgbClr>
            </a:solidFill>
            <a:ln>
              <a:solidFill>
                <a:srgbClr val="FFC000"/>
              </a:solidFill>
            </a:ln>
            <a:effectLst>
              <a:outerShdw blurRad="57150" dist="19050" dir="5400000" algn="ctr" rotWithShape="0">
                <a:srgbClr val="000000">
                  <a:alpha val="63000"/>
                </a:srgbClr>
              </a:outerShdw>
            </a:effectLst>
            <a:sp3d>
              <a:contourClr>
                <a:srgbClr val="FFC000"/>
              </a:contourClr>
            </a:sp3d>
          </c:spPr>
          <c:cat>
            <c:numRef>
              <c:f>data!$EB$22:$EB$52</c:f>
              <c:numCache>
                <c:formatCode>0</c:formatCode>
                <c:ptCount val="31"/>
                <c:pt idx="0">
                  <c:v>31</c:v>
                </c:pt>
                <c:pt idx="1">
                  <c:v>30</c:v>
                </c:pt>
                <c:pt idx="2">
                  <c:v>29</c:v>
                </c:pt>
                <c:pt idx="3">
                  <c:v>28</c:v>
                </c:pt>
                <c:pt idx="4">
                  <c:v>27</c:v>
                </c:pt>
                <c:pt idx="5">
                  <c:v>26</c:v>
                </c:pt>
                <c:pt idx="6">
                  <c:v>25</c:v>
                </c:pt>
                <c:pt idx="7">
                  <c:v>24</c:v>
                </c:pt>
                <c:pt idx="8">
                  <c:v>23</c:v>
                </c:pt>
                <c:pt idx="9">
                  <c:v>22</c:v>
                </c:pt>
                <c:pt idx="10">
                  <c:v>21</c:v>
                </c:pt>
                <c:pt idx="11">
                  <c:v>20</c:v>
                </c:pt>
                <c:pt idx="12">
                  <c:v>19</c:v>
                </c:pt>
                <c:pt idx="13">
                  <c:v>18</c:v>
                </c:pt>
                <c:pt idx="14">
                  <c:v>17</c:v>
                </c:pt>
                <c:pt idx="15">
                  <c:v>16</c:v>
                </c:pt>
                <c:pt idx="16">
                  <c:v>15</c:v>
                </c:pt>
                <c:pt idx="17">
                  <c:v>14</c:v>
                </c:pt>
                <c:pt idx="18">
                  <c:v>13</c:v>
                </c:pt>
                <c:pt idx="19">
                  <c:v>12</c:v>
                </c:pt>
                <c:pt idx="20">
                  <c:v>11</c:v>
                </c:pt>
                <c:pt idx="21">
                  <c:v>10</c:v>
                </c:pt>
                <c:pt idx="22">
                  <c:v>9</c:v>
                </c:pt>
                <c:pt idx="23">
                  <c:v>8</c:v>
                </c:pt>
                <c:pt idx="24">
                  <c:v>7</c:v>
                </c:pt>
                <c:pt idx="25">
                  <c:v>6</c:v>
                </c:pt>
                <c:pt idx="26">
                  <c:v>5</c:v>
                </c:pt>
                <c:pt idx="27">
                  <c:v>4</c:v>
                </c:pt>
                <c:pt idx="28">
                  <c:v>3</c:v>
                </c:pt>
                <c:pt idx="29">
                  <c:v>2</c:v>
                </c:pt>
                <c:pt idx="30">
                  <c:v>1</c:v>
                </c:pt>
              </c:numCache>
            </c:numRef>
          </c:cat>
          <c:val>
            <c:numRef>
              <c:f>data!$EE$22:$EE$52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A5E3-4106-BCD1-0B0661D2D1A1}"/>
            </c:ext>
          </c:extLst>
        </c:ser>
        <c:ser>
          <c:idx val="3"/>
          <c:order val="3"/>
          <c:tx>
            <c:strRef>
              <c:f>data!$EF$21</c:f>
              <c:strCache>
                <c:ptCount val="1"/>
                <c:pt idx="0">
                  <c:v>MND4</c:v>
                </c:pt>
              </c:strCache>
            </c:strRef>
          </c:tx>
          <c:spPr>
            <a:solidFill>
              <a:srgbClr val="FFFFFF">
                <a:alpha val="50196"/>
              </a:srgbClr>
            </a:solidFill>
            <a:ln>
              <a:solidFill>
                <a:srgbClr val="FF6600"/>
              </a:solidFill>
            </a:ln>
            <a:effectLst>
              <a:outerShdw blurRad="57150" dist="19050" dir="5400000" algn="ctr" rotWithShape="0">
                <a:srgbClr val="000000">
                  <a:alpha val="63000"/>
                </a:srgbClr>
              </a:outerShdw>
            </a:effectLst>
            <a:sp3d>
              <a:contourClr>
                <a:srgbClr val="FF6600"/>
              </a:contourClr>
            </a:sp3d>
          </c:spPr>
          <c:cat>
            <c:numRef>
              <c:f>data!$EB$22:$EB$52</c:f>
              <c:numCache>
                <c:formatCode>0</c:formatCode>
                <c:ptCount val="31"/>
                <c:pt idx="0">
                  <c:v>31</c:v>
                </c:pt>
                <c:pt idx="1">
                  <c:v>30</c:v>
                </c:pt>
                <c:pt idx="2">
                  <c:v>29</c:v>
                </c:pt>
                <c:pt idx="3">
                  <c:v>28</c:v>
                </c:pt>
                <c:pt idx="4">
                  <c:v>27</c:v>
                </c:pt>
                <c:pt idx="5">
                  <c:v>26</c:v>
                </c:pt>
                <c:pt idx="6">
                  <c:v>25</c:v>
                </c:pt>
                <c:pt idx="7">
                  <c:v>24</c:v>
                </c:pt>
                <c:pt idx="8">
                  <c:v>23</c:v>
                </c:pt>
                <c:pt idx="9">
                  <c:v>22</c:v>
                </c:pt>
                <c:pt idx="10">
                  <c:v>21</c:v>
                </c:pt>
                <c:pt idx="11">
                  <c:v>20</c:v>
                </c:pt>
                <c:pt idx="12">
                  <c:v>19</c:v>
                </c:pt>
                <c:pt idx="13">
                  <c:v>18</c:v>
                </c:pt>
                <c:pt idx="14">
                  <c:v>17</c:v>
                </c:pt>
                <c:pt idx="15">
                  <c:v>16</c:v>
                </c:pt>
                <c:pt idx="16">
                  <c:v>15</c:v>
                </c:pt>
                <c:pt idx="17">
                  <c:v>14</c:v>
                </c:pt>
                <c:pt idx="18">
                  <c:v>13</c:v>
                </c:pt>
                <c:pt idx="19">
                  <c:v>12</c:v>
                </c:pt>
                <c:pt idx="20">
                  <c:v>11</c:v>
                </c:pt>
                <c:pt idx="21">
                  <c:v>10</c:v>
                </c:pt>
                <c:pt idx="22">
                  <c:v>9</c:v>
                </c:pt>
                <c:pt idx="23">
                  <c:v>8</c:v>
                </c:pt>
                <c:pt idx="24">
                  <c:v>7</c:v>
                </c:pt>
                <c:pt idx="25">
                  <c:v>6</c:v>
                </c:pt>
                <c:pt idx="26">
                  <c:v>5</c:v>
                </c:pt>
                <c:pt idx="27">
                  <c:v>4</c:v>
                </c:pt>
                <c:pt idx="28">
                  <c:v>3</c:v>
                </c:pt>
                <c:pt idx="29">
                  <c:v>2</c:v>
                </c:pt>
                <c:pt idx="30">
                  <c:v>1</c:v>
                </c:pt>
              </c:numCache>
            </c:numRef>
          </c:cat>
          <c:val>
            <c:numRef>
              <c:f>data!$EF$22:$EF$52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A5E3-4106-BCD1-0B0661D2D1A1}"/>
            </c:ext>
          </c:extLst>
        </c:ser>
        <c:ser>
          <c:idx val="4"/>
          <c:order val="4"/>
          <c:tx>
            <c:strRef>
              <c:f>data!$EG$21</c:f>
              <c:strCache>
                <c:ptCount val="1"/>
                <c:pt idx="0">
                  <c:v>MND5</c:v>
                </c:pt>
              </c:strCache>
            </c:strRef>
          </c:tx>
          <c:spPr>
            <a:solidFill>
              <a:srgbClr val="FFFFFF">
                <a:alpha val="50196"/>
              </a:srgbClr>
            </a:solidFill>
            <a:ln>
              <a:solidFill>
                <a:srgbClr val="C00000"/>
              </a:solidFill>
            </a:ln>
            <a:effectLst>
              <a:outerShdw blurRad="57150" dist="19050" dir="5400000" algn="ctr" rotWithShape="0">
                <a:srgbClr val="000000">
                  <a:alpha val="63000"/>
                </a:srgbClr>
              </a:outerShdw>
            </a:effectLst>
            <a:sp3d>
              <a:contourClr>
                <a:srgbClr val="C00000"/>
              </a:contourClr>
            </a:sp3d>
          </c:spPr>
          <c:cat>
            <c:numRef>
              <c:f>data!$EB$22:$EB$52</c:f>
              <c:numCache>
                <c:formatCode>0</c:formatCode>
                <c:ptCount val="31"/>
                <c:pt idx="0">
                  <c:v>31</c:v>
                </c:pt>
                <c:pt idx="1">
                  <c:v>30</c:v>
                </c:pt>
                <c:pt idx="2">
                  <c:v>29</c:v>
                </c:pt>
                <c:pt idx="3">
                  <c:v>28</c:v>
                </c:pt>
                <c:pt idx="4">
                  <c:v>27</c:v>
                </c:pt>
                <c:pt idx="5">
                  <c:v>26</c:v>
                </c:pt>
                <c:pt idx="6">
                  <c:v>25</c:v>
                </c:pt>
                <c:pt idx="7">
                  <c:v>24</c:v>
                </c:pt>
                <c:pt idx="8">
                  <c:v>23</c:v>
                </c:pt>
                <c:pt idx="9">
                  <c:v>22</c:v>
                </c:pt>
                <c:pt idx="10">
                  <c:v>21</c:v>
                </c:pt>
                <c:pt idx="11">
                  <c:v>20</c:v>
                </c:pt>
                <c:pt idx="12">
                  <c:v>19</c:v>
                </c:pt>
                <c:pt idx="13">
                  <c:v>18</c:v>
                </c:pt>
                <c:pt idx="14">
                  <c:v>17</c:v>
                </c:pt>
                <c:pt idx="15">
                  <c:v>16</c:v>
                </c:pt>
                <c:pt idx="16">
                  <c:v>15</c:v>
                </c:pt>
                <c:pt idx="17">
                  <c:v>14</c:v>
                </c:pt>
                <c:pt idx="18">
                  <c:v>13</c:v>
                </c:pt>
                <c:pt idx="19">
                  <c:v>12</c:v>
                </c:pt>
                <c:pt idx="20">
                  <c:v>11</c:v>
                </c:pt>
                <c:pt idx="21">
                  <c:v>10</c:v>
                </c:pt>
                <c:pt idx="22">
                  <c:v>9</c:v>
                </c:pt>
                <c:pt idx="23">
                  <c:v>8</c:v>
                </c:pt>
                <c:pt idx="24">
                  <c:v>7</c:v>
                </c:pt>
                <c:pt idx="25">
                  <c:v>6</c:v>
                </c:pt>
                <c:pt idx="26">
                  <c:v>5</c:v>
                </c:pt>
                <c:pt idx="27">
                  <c:v>4</c:v>
                </c:pt>
                <c:pt idx="28">
                  <c:v>3</c:v>
                </c:pt>
                <c:pt idx="29">
                  <c:v>2</c:v>
                </c:pt>
                <c:pt idx="30">
                  <c:v>1</c:v>
                </c:pt>
              </c:numCache>
            </c:numRef>
          </c:cat>
          <c:val>
            <c:numRef>
              <c:f>data!$EG$22:$EG$52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4-A5E3-4106-BCD1-0B0661D2D1A1}"/>
            </c:ext>
          </c:extLst>
        </c:ser>
        <c:ser>
          <c:idx val="5"/>
          <c:order val="5"/>
          <c:tx>
            <c:strRef>
              <c:f>data!$EH$21</c:f>
              <c:strCache>
                <c:ptCount val="1"/>
                <c:pt idx="0">
                  <c:v>MND6</c:v>
                </c:pt>
              </c:strCache>
            </c:strRef>
          </c:tx>
          <c:spPr>
            <a:solidFill>
              <a:srgbClr val="FFFFFF">
                <a:alpha val="50196"/>
              </a:srgbClr>
            </a:solidFill>
            <a:ln>
              <a:solidFill>
                <a:srgbClr val="FF0000"/>
              </a:solidFill>
            </a:ln>
            <a:effectLst>
              <a:outerShdw blurRad="57150" dist="19050" dir="5400000" algn="ctr" rotWithShape="0">
                <a:srgbClr val="000000">
                  <a:alpha val="63000"/>
                </a:srgbClr>
              </a:outerShdw>
            </a:effectLst>
            <a:sp3d>
              <a:contourClr>
                <a:srgbClr val="FF0000"/>
              </a:contourClr>
            </a:sp3d>
          </c:spPr>
          <c:cat>
            <c:numRef>
              <c:f>data!$EB$22:$EB$52</c:f>
              <c:numCache>
                <c:formatCode>0</c:formatCode>
                <c:ptCount val="31"/>
                <c:pt idx="0">
                  <c:v>31</c:v>
                </c:pt>
                <c:pt idx="1">
                  <c:v>30</c:v>
                </c:pt>
                <c:pt idx="2">
                  <c:v>29</c:v>
                </c:pt>
                <c:pt idx="3">
                  <c:v>28</c:v>
                </c:pt>
                <c:pt idx="4">
                  <c:v>27</c:v>
                </c:pt>
                <c:pt idx="5">
                  <c:v>26</c:v>
                </c:pt>
                <c:pt idx="6">
                  <c:v>25</c:v>
                </c:pt>
                <c:pt idx="7">
                  <c:v>24</c:v>
                </c:pt>
                <c:pt idx="8">
                  <c:v>23</c:v>
                </c:pt>
                <c:pt idx="9">
                  <c:v>22</c:v>
                </c:pt>
                <c:pt idx="10">
                  <c:v>21</c:v>
                </c:pt>
                <c:pt idx="11">
                  <c:v>20</c:v>
                </c:pt>
                <c:pt idx="12">
                  <c:v>19</c:v>
                </c:pt>
                <c:pt idx="13">
                  <c:v>18</c:v>
                </c:pt>
                <c:pt idx="14">
                  <c:v>17</c:v>
                </c:pt>
                <c:pt idx="15">
                  <c:v>16</c:v>
                </c:pt>
                <c:pt idx="16">
                  <c:v>15</c:v>
                </c:pt>
                <c:pt idx="17">
                  <c:v>14</c:v>
                </c:pt>
                <c:pt idx="18">
                  <c:v>13</c:v>
                </c:pt>
                <c:pt idx="19">
                  <c:v>12</c:v>
                </c:pt>
                <c:pt idx="20">
                  <c:v>11</c:v>
                </c:pt>
                <c:pt idx="21">
                  <c:v>10</c:v>
                </c:pt>
                <c:pt idx="22">
                  <c:v>9</c:v>
                </c:pt>
                <c:pt idx="23">
                  <c:v>8</c:v>
                </c:pt>
                <c:pt idx="24">
                  <c:v>7</c:v>
                </c:pt>
                <c:pt idx="25">
                  <c:v>6</c:v>
                </c:pt>
                <c:pt idx="26">
                  <c:v>5</c:v>
                </c:pt>
                <c:pt idx="27">
                  <c:v>4</c:v>
                </c:pt>
                <c:pt idx="28">
                  <c:v>3</c:v>
                </c:pt>
                <c:pt idx="29">
                  <c:v>2</c:v>
                </c:pt>
                <c:pt idx="30">
                  <c:v>1</c:v>
                </c:pt>
              </c:numCache>
            </c:numRef>
          </c:cat>
          <c:val>
            <c:numRef>
              <c:f>data!$EH$22:$EH$52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5-A5E3-4106-BCD1-0B0661D2D1A1}"/>
            </c:ext>
          </c:extLst>
        </c:ser>
        <c:ser>
          <c:idx val="6"/>
          <c:order val="6"/>
          <c:tx>
            <c:strRef>
              <c:f>data!$EI$21</c:f>
              <c:strCache>
                <c:ptCount val="1"/>
                <c:pt idx="0">
                  <c:v>MND7</c:v>
                </c:pt>
              </c:strCache>
            </c:strRef>
          </c:tx>
          <c:spPr>
            <a:solidFill>
              <a:srgbClr val="FFFFFF">
                <a:alpha val="50196"/>
              </a:srgbClr>
            </a:solidFill>
            <a:ln>
              <a:solidFill>
                <a:srgbClr val="FF00FF"/>
              </a:solidFill>
            </a:ln>
            <a:effectLst>
              <a:outerShdw blurRad="57150" dist="19050" dir="5400000" algn="ctr" rotWithShape="0">
                <a:srgbClr val="000000">
                  <a:alpha val="63000"/>
                </a:srgbClr>
              </a:outerShdw>
            </a:effectLst>
            <a:sp3d>
              <a:contourClr>
                <a:srgbClr val="FF00FF"/>
              </a:contourClr>
            </a:sp3d>
          </c:spPr>
          <c:cat>
            <c:numRef>
              <c:f>data!$EB$22:$EB$52</c:f>
              <c:numCache>
                <c:formatCode>0</c:formatCode>
                <c:ptCount val="31"/>
                <c:pt idx="0">
                  <c:v>31</c:v>
                </c:pt>
                <c:pt idx="1">
                  <c:v>30</c:v>
                </c:pt>
                <c:pt idx="2">
                  <c:v>29</c:v>
                </c:pt>
                <c:pt idx="3">
                  <c:v>28</c:v>
                </c:pt>
                <c:pt idx="4">
                  <c:v>27</c:v>
                </c:pt>
                <c:pt idx="5">
                  <c:v>26</c:v>
                </c:pt>
                <c:pt idx="6">
                  <c:v>25</c:v>
                </c:pt>
                <c:pt idx="7">
                  <c:v>24</c:v>
                </c:pt>
                <c:pt idx="8">
                  <c:v>23</c:v>
                </c:pt>
                <c:pt idx="9">
                  <c:v>22</c:v>
                </c:pt>
                <c:pt idx="10">
                  <c:v>21</c:v>
                </c:pt>
                <c:pt idx="11">
                  <c:v>20</c:v>
                </c:pt>
                <c:pt idx="12">
                  <c:v>19</c:v>
                </c:pt>
                <c:pt idx="13">
                  <c:v>18</c:v>
                </c:pt>
                <c:pt idx="14">
                  <c:v>17</c:v>
                </c:pt>
                <c:pt idx="15">
                  <c:v>16</c:v>
                </c:pt>
                <c:pt idx="16">
                  <c:v>15</c:v>
                </c:pt>
                <c:pt idx="17">
                  <c:v>14</c:v>
                </c:pt>
                <c:pt idx="18">
                  <c:v>13</c:v>
                </c:pt>
                <c:pt idx="19">
                  <c:v>12</c:v>
                </c:pt>
                <c:pt idx="20">
                  <c:v>11</c:v>
                </c:pt>
                <c:pt idx="21">
                  <c:v>10</c:v>
                </c:pt>
                <c:pt idx="22">
                  <c:v>9</c:v>
                </c:pt>
                <c:pt idx="23">
                  <c:v>8</c:v>
                </c:pt>
                <c:pt idx="24">
                  <c:v>7</c:v>
                </c:pt>
                <c:pt idx="25">
                  <c:v>6</c:v>
                </c:pt>
                <c:pt idx="26">
                  <c:v>5</c:v>
                </c:pt>
                <c:pt idx="27">
                  <c:v>4</c:v>
                </c:pt>
                <c:pt idx="28">
                  <c:v>3</c:v>
                </c:pt>
                <c:pt idx="29">
                  <c:v>2</c:v>
                </c:pt>
                <c:pt idx="30">
                  <c:v>1</c:v>
                </c:pt>
              </c:numCache>
            </c:numRef>
          </c:cat>
          <c:val>
            <c:numRef>
              <c:f>data!$EI$22:$EI$52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6-A5E3-4106-BCD1-0B0661D2D1A1}"/>
            </c:ext>
          </c:extLst>
        </c:ser>
        <c:ser>
          <c:idx val="7"/>
          <c:order val="7"/>
          <c:tx>
            <c:strRef>
              <c:f>data!$EJ$21</c:f>
              <c:strCache>
                <c:ptCount val="1"/>
                <c:pt idx="0">
                  <c:v>MND8</c:v>
                </c:pt>
              </c:strCache>
            </c:strRef>
          </c:tx>
          <c:spPr>
            <a:solidFill>
              <a:srgbClr val="FFFFFF">
                <a:alpha val="50196"/>
              </a:srgbClr>
            </a:solidFill>
            <a:ln>
              <a:solidFill>
                <a:srgbClr val="9900CC"/>
              </a:solidFill>
            </a:ln>
            <a:effectLst>
              <a:outerShdw blurRad="57150" dist="19050" dir="5400000" algn="ctr" rotWithShape="0">
                <a:srgbClr val="000000">
                  <a:alpha val="63000"/>
                </a:srgbClr>
              </a:outerShdw>
            </a:effectLst>
            <a:sp3d>
              <a:contourClr>
                <a:srgbClr val="9900CC"/>
              </a:contourClr>
            </a:sp3d>
          </c:spPr>
          <c:cat>
            <c:numRef>
              <c:f>data!$EB$22:$EB$52</c:f>
              <c:numCache>
                <c:formatCode>0</c:formatCode>
                <c:ptCount val="31"/>
                <c:pt idx="0">
                  <c:v>31</c:v>
                </c:pt>
                <c:pt idx="1">
                  <c:v>30</c:v>
                </c:pt>
                <c:pt idx="2">
                  <c:v>29</c:v>
                </c:pt>
                <c:pt idx="3">
                  <c:v>28</c:v>
                </c:pt>
                <c:pt idx="4">
                  <c:v>27</c:v>
                </c:pt>
                <c:pt idx="5">
                  <c:v>26</c:v>
                </c:pt>
                <c:pt idx="6">
                  <c:v>25</c:v>
                </c:pt>
                <c:pt idx="7">
                  <c:v>24</c:v>
                </c:pt>
                <c:pt idx="8">
                  <c:v>23</c:v>
                </c:pt>
                <c:pt idx="9">
                  <c:v>22</c:v>
                </c:pt>
                <c:pt idx="10">
                  <c:v>21</c:v>
                </c:pt>
                <c:pt idx="11">
                  <c:v>20</c:v>
                </c:pt>
                <c:pt idx="12">
                  <c:v>19</c:v>
                </c:pt>
                <c:pt idx="13">
                  <c:v>18</c:v>
                </c:pt>
                <c:pt idx="14">
                  <c:v>17</c:v>
                </c:pt>
                <c:pt idx="15">
                  <c:v>16</c:v>
                </c:pt>
                <c:pt idx="16">
                  <c:v>15</c:v>
                </c:pt>
                <c:pt idx="17">
                  <c:v>14</c:v>
                </c:pt>
                <c:pt idx="18">
                  <c:v>13</c:v>
                </c:pt>
                <c:pt idx="19">
                  <c:v>12</c:v>
                </c:pt>
                <c:pt idx="20">
                  <c:v>11</c:v>
                </c:pt>
                <c:pt idx="21">
                  <c:v>10</c:v>
                </c:pt>
                <c:pt idx="22">
                  <c:v>9</c:v>
                </c:pt>
                <c:pt idx="23">
                  <c:v>8</c:v>
                </c:pt>
                <c:pt idx="24">
                  <c:v>7</c:v>
                </c:pt>
                <c:pt idx="25">
                  <c:v>6</c:v>
                </c:pt>
                <c:pt idx="26">
                  <c:v>5</c:v>
                </c:pt>
                <c:pt idx="27">
                  <c:v>4</c:v>
                </c:pt>
                <c:pt idx="28">
                  <c:v>3</c:v>
                </c:pt>
                <c:pt idx="29">
                  <c:v>2</c:v>
                </c:pt>
                <c:pt idx="30">
                  <c:v>1</c:v>
                </c:pt>
              </c:numCache>
            </c:numRef>
          </c:cat>
          <c:val>
            <c:numRef>
              <c:f>data!$EJ$22:$EJ$52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7-A5E3-4106-BCD1-0B0661D2D1A1}"/>
            </c:ext>
          </c:extLst>
        </c:ser>
        <c:ser>
          <c:idx val="8"/>
          <c:order val="8"/>
          <c:tx>
            <c:strRef>
              <c:f>data!$EK$21</c:f>
              <c:strCache>
                <c:ptCount val="1"/>
                <c:pt idx="0">
                  <c:v>MND9</c:v>
                </c:pt>
              </c:strCache>
            </c:strRef>
          </c:tx>
          <c:spPr>
            <a:solidFill>
              <a:srgbClr val="FFFFFF">
                <a:alpha val="50196"/>
              </a:srgbClr>
            </a:solidFill>
            <a:ln>
              <a:solidFill>
                <a:srgbClr val="0070C0"/>
              </a:solidFill>
            </a:ln>
            <a:effectLst>
              <a:outerShdw blurRad="57150" dist="19050" dir="5400000" algn="ctr" rotWithShape="0">
                <a:srgbClr val="000000">
                  <a:alpha val="63000"/>
                </a:srgbClr>
              </a:outerShdw>
            </a:effectLst>
            <a:sp3d>
              <a:contourClr>
                <a:srgbClr val="0070C0"/>
              </a:contourClr>
            </a:sp3d>
          </c:spPr>
          <c:cat>
            <c:numRef>
              <c:f>data!$EB$22:$EB$52</c:f>
              <c:numCache>
                <c:formatCode>0</c:formatCode>
                <c:ptCount val="31"/>
                <c:pt idx="0">
                  <c:v>31</c:v>
                </c:pt>
                <c:pt idx="1">
                  <c:v>30</c:v>
                </c:pt>
                <c:pt idx="2">
                  <c:v>29</c:v>
                </c:pt>
                <c:pt idx="3">
                  <c:v>28</c:v>
                </c:pt>
                <c:pt idx="4">
                  <c:v>27</c:v>
                </c:pt>
                <c:pt idx="5">
                  <c:v>26</c:v>
                </c:pt>
                <c:pt idx="6">
                  <c:v>25</c:v>
                </c:pt>
                <c:pt idx="7">
                  <c:v>24</c:v>
                </c:pt>
                <c:pt idx="8">
                  <c:v>23</c:v>
                </c:pt>
                <c:pt idx="9">
                  <c:v>22</c:v>
                </c:pt>
                <c:pt idx="10">
                  <c:v>21</c:v>
                </c:pt>
                <c:pt idx="11">
                  <c:v>20</c:v>
                </c:pt>
                <c:pt idx="12">
                  <c:v>19</c:v>
                </c:pt>
                <c:pt idx="13">
                  <c:v>18</c:v>
                </c:pt>
                <c:pt idx="14">
                  <c:v>17</c:v>
                </c:pt>
                <c:pt idx="15">
                  <c:v>16</c:v>
                </c:pt>
                <c:pt idx="16">
                  <c:v>15</c:v>
                </c:pt>
                <c:pt idx="17">
                  <c:v>14</c:v>
                </c:pt>
                <c:pt idx="18">
                  <c:v>13</c:v>
                </c:pt>
                <c:pt idx="19">
                  <c:v>12</c:v>
                </c:pt>
                <c:pt idx="20">
                  <c:v>11</c:v>
                </c:pt>
                <c:pt idx="21">
                  <c:v>10</c:v>
                </c:pt>
                <c:pt idx="22">
                  <c:v>9</c:v>
                </c:pt>
                <c:pt idx="23">
                  <c:v>8</c:v>
                </c:pt>
                <c:pt idx="24">
                  <c:v>7</c:v>
                </c:pt>
                <c:pt idx="25">
                  <c:v>6</c:v>
                </c:pt>
                <c:pt idx="26">
                  <c:v>5</c:v>
                </c:pt>
                <c:pt idx="27">
                  <c:v>4</c:v>
                </c:pt>
                <c:pt idx="28">
                  <c:v>3</c:v>
                </c:pt>
                <c:pt idx="29">
                  <c:v>2</c:v>
                </c:pt>
                <c:pt idx="30">
                  <c:v>1</c:v>
                </c:pt>
              </c:numCache>
            </c:numRef>
          </c:cat>
          <c:val>
            <c:numRef>
              <c:f>data!$EK$22:$EK$52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8-A5E3-4106-BCD1-0B0661D2D1A1}"/>
            </c:ext>
          </c:extLst>
        </c:ser>
        <c:dLbls>
          <c:showLegendKey val="0"/>
          <c:showVal val="0"/>
          <c:showCatName val="0"/>
          <c:showSerName val="0"/>
          <c:showPercent val="0"/>
          <c:showBubbleSize val="0"/>
        </c:dLbls>
        <c:axId val="1593296640"/>
        <c:axId val="1593297056"/>
        <c:axId val="1780311088"/>
      </c:area3DChart>
      <c:dateAx>
        <c:axId val="1593296640"/>
        <c:scaling>
          <c:orientation val="minMax"/>
        </c:scaling>
        <c:delete val="0"/>
        <c:axPos val="b"/>
        <c:numFmt formatCode="0"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593297056"/>
        <c:crosses val="autoZero"/>
        <c:auto val="0"/>
        <c:lblOffset val="100"/>
        <c:baseTimeUnit val="days"/>
      </c:dateAx>
      <c:valAx>
        <c:axId val="1593297056"/>
        <c:scaling>
          <c:orientation val="minMax"/>
          <c:max val="180"/>
        </c:scaling>
        <c:delete val="0"/>
        <c:axPos val="l"/>
        <c:majorGridlines>
          <c:spPr>
            <a:ln w="9525" cap="flat" cmpd="sng" algn="ctr">
              <a:solidFill>
                <a:schemeClr val="tx1">
                  <a:lumMod val="85000"/>
                  <a:lumOff val="15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tx1">
                        <a:lumMod val="85000"/>
                        <a:lumOff val="15000"/>
                      </a:schemeClr>
                    </a:solidFill>
                    <a:latin typeface="+mn-lt"/>
                    <a:ea typeface="+mn-ea"/>
                    <a:cs typeface="+mn-cs"/>
                  </a:defRPr>
                </a:pPr>
                <a:r>
                  <a:rPr lang="en-GB" baseline="0">
                    <a:solidFill>
                      <a:schemeClr val="tx1">
                        <a:lumMod val="85000"/>
                        <a:lumOff val="15000"/>
                      </a:schemeClr>
                    </a:solidFill>
                  </a:rPr>
                  <a:t>XP</a:t>
                </a:r>
              </a:p>
            </c:rich>
          </c:tx>
          <c:layout>
            <c:manualLayout>
              <c:xMode val="edge"/>
              <c:yMode val="edge"/>
              <c:x val="0.94171489871345426"/>
              <c:y val="0.63873114966029687"/>
            </c:manualLayout>
          </c:layout>
          <c:overlay val="0"/>
          <c:spPr>
            <a:noFill/>
            <a:ln>
              <a:noFill/>
            </a:ln>
            <a:effectLst/>
          </c:spPr>
          <c:txPr>
            <a:bodyPr rot="-5400000" spcFirstLastPara="1" vertOverflow="ellipsis" vert="horz" wrap="square" anchor="ctr" anchorCtr="1"/>
            <a:lstStyle/>
            <a:p>
              <a:pPr>
                <a:defRPr sz="900" b="1" i="0" u="none" strike="noStrike" kern="1200" cap="all" baseline="0">
                  <a:solidFill>
                    <a:schemeClr val="tx1">
                      <a:lumMod val="85000"/>
                      <a:lumOff val="15000"/>
                    </a:schemeClr>
                  </a:solidFill>
                  <a:latin typeface="+mn-lt"/>
                  <a:ea typeface="+mn-ea"/>
                  <a:cs typeface="+mn-cs"/>
                </a:defRPr>
              </a:pPr>
              <a:endParaRPr lang="en-US"/>
            </a:p>
          </c:txPr>
        </c:title>
        <c:numFmt formatCode="0" sourceLinked="1"/>
        <c:majorTickMark val="none"/>
        <c:minorTickMark val="none"/>
        <c:tickLblPos val="high"/>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85000"/>
                    <a:lumOff val="15000"/>
                  </a:schemeClr>
                </a:solidFill>
                <a:latin typeface="+mn-lt"/>
                <a:ea typeface="+mn-ea"/>
                <a:cs typeface="+mn-cs"/>
              </a:defRPr>
            </a:pPr>
            <a:endParaRPr lang="en-US"/>
          </a:p>
        </c:txPr>
        <c:crossAx val="1593296640"/>
        <c:crosses val="autoZero"/>
        <c:crossBetween val="midCat"/>
        <c:majorUnit val="30"/>
        <c:minorUnit val="10"/>
      </c:valAx>
      <c:serAx>
        <c:axId val="1780311088"/>
        <c:scaling>
          <c:orientation val="minMax"/>
        </c:scaling>
        <c:delete val="1"/>
        <c:axPos val="b"/>
        <c:majorTickMark val="out"/>
        <c:minorTickMark val="none"/>
        <c:tickLblPos val="nextTo"/>
        <c:crossAx val="1593297056"/>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40"/>
      <c:rotY val="180"/>
      <c:depthPercent val="100"/>
      <c:rAngAx val="0"/>
      <c:perspective val="1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1.4121919106437252E-2"/>
          <c:y val="5.946693531995368E-2"/>
          <c:w val="0.95015467026192291"/>
          <c:h val="0.89968397889657736"/>
        </c:manualLayout>
      </c:layout>
      <c:area3DChart>
        <c:grouping val="standard"/>
        <c:varyColors val="0"/>
        <c:ser>
          <c:idx val="0"/>
          <c:order val="0"/>
          <c:tx>
            <c:strRef>
              <c:f>data!$EN$21</c:f>
              <c:strCache>
                <c:ptCount val="1"/>
                <c:pt idx="0">
                  <c:v>BDY1</c:v>
                </c:pt>
              </c:strCache>
            </c:strRef>
          </c:tx>
          <c:spPr>
            <a:solidFill>
              <a:srgbClr val="FFFFFF">
                <a:alpha val="50196"/>
              </a:srgbClr>
            </a:solidFill>
            <a:ln>
              <a:solidFill>
                <a:srgbClr val="0070C0"/>
              </a:solidFill>
            </a:ln>
            <a:effectLst>
              <a:outerShdw blurRad="57150" dist="19050" dir="5400000" algn="ctr" rotWithShape="0">
                <a:srgbClr val="000000">
                  <a:alpha val="63000"/>
                </a:srgbClr>
              </a:outerShdw>
            </a:effectLst>
            <a:sp3d>
              <a:contourClr>
                <a:srgbClr val="0070C0"/>
              </a:contourClr>
            </a:sp3d>
          </c:spPr>
          <c:cat>
            <c:numRef>
              <c:f>data!$EM$22:$EM$52</c:f>
              <c:numCache>
                <c:formatCode>0</c:formatCode>
                <c:ptCount val="31"/>
                <c:pt idx="0">
                  <c:v>31</c:v>
                </c:pt>
                <c:pt idx="1">
                  <c:v>30</c:v>
                </c:pt>
                <c:pt idx="2">
                  <c:v>29</c:v>
                </c:pt>
                <c:pt idx="3">
                  <c:v>28</c:v>
                </c:pt>
                <c:pt idx="4">
                  <c:v>27</c:v>
                </c:pt>
                <c:pt idx="5">
                  <c:v>26</c:v>
                </c:pt>
                <c:pt idx="6">
                  <c:v>25</c:v>
                </c:pt>
                <c:pt idx="7">
                  <c:v>24</c:v>
                </c:pt>
                <c:pt idx="8">
                  <c:v>23</c:v>
                </c:pt>
                <c:pt idx="9">
                  <c:v>22</c:v>
                </c:pt>
                <c:pt idx="10">
                  <c:v>21</c:v>
                </c:pt>
                <c:pt idx="11">
                  <c:v>20</c:v>
                </c:pt>
                <c:pt idx="12">
                  <c:v>19</c:v>
                </c:pt>
                <c:pt idx="13">
                  <c:v>18</c:v>
                </c:pt>
                <c:pt idx="14">
                  <c:v>17</c:v>
                </c:pt>
                <c:pt idx="15">
                  <c:v>16</c:v>
                </c:pt>
                <c:pt idx="16">
                  <c:v>15</c:v>
                </c:pt>
                <c:pt idx="17">
                  <c:v>14</c:v>
                </c:pt>
                <c:pt idx="18">
                  <c:v>13</c:v>
                </c:pt>
                <c:pt idx="19">
                  <c:v>12</c:v>
                </c:pt>
                <c:pt idx="20">
                  <c:v>11</c:v>
                </c:pt>
                <c:pt idx="21">
                  <c:v>10</c:v>
                </c:pt>
                <c:pt idx="22">
                  <c:v>9</c:v>
                </c:pt>
                <c:pt idx="23">
                  <c:v>8</c:v>
                </c:pt>
                <c:pt idx="24">
                  <c:v>7</c:v>
                </c:pt>
                <c:pt idx="25">
                  <c:v>6</c:v>
                </c:pt>
                <c:pt idx="26">
                  <c:v>5</c:v>
                </c:pt>
                <c:pt idx="27">
                  <c:v>4</c:v>
                </c:pt>
                <c:pt idx="28">
                  <c:v>3</c:v>
                </c:pt>
                <c:pt idx="29">
                  <c:v>2</c:v>
                </c:pt>
                <c:pt idx="30">
                  <c:v>1</c:v>
                </c:pt>
              </c:numCache>
            </c:numRef>
          </c:cat>
          <c:val>
            <c:numRef>
              <c:f>data!$EN$22:$EN$52</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8F32-4C53-9A0F-607F4328235E}"/>
            </c:ext>
          </c:extLst>
        </c:ser>
        <c:ser>
          <c:idx val="1"/>
          <c:order val="1"/>
          <c:tx>
            <c:strRef>
              <c:f>data!$EO$21</c:f>
              <c:strCache>
                <c:ptCount val="1"/>
                <c:pt idx="0">
                  <c:v>BDY2</c:v>
                </c:pt>
              </c:strCache>
            </c:strRef>
          </c:tx>
          <c:spPr>
            <a:solidFill>
              <a:srgbClr val="FFFFFF">
                <a:alpha val="50196"/>
              </a:srgbClr>
            </a:solidFill>
            <a:ln>
              <a:solidFill>
                <a:srgbClr val="9900CC"/>
              </a:solidFill>
            </a:ln>
            <a:effectLst>
              <a:outerShdw blurRad="57150" dist="19050" dir="5400000" algn="ctr" rotWithShape="0">
                <a:srgbClr val="000000">
                  <a:alpha val="63000"/>
                </a:srgbClr>
              </a:outerShdw>
            </a:effectLst>
            <a:sp3d>
              <a:contourClr>
                <a:srgbClr val="9900CC"/>
              </a:contourClr>
            </a:sp3d>
          </c:spPr>
          <c:cat>
            <c:numRef>
              <c:f>data!$EM$22:$EM$52</c:f>
              <c:numCache>
                <c:formatCode>0</c:formatCode>
                <c:ptCount val="31"/>
                <c:pt idx="0">
                  <c:v>31</c:v>
                </c:pt>
                <c:pt idx="1">
                  <c:v>30</c:v>
                </c:pt>
                <c:pt idx="2">
                  <c:v>29</c:v>
                </c:pt>
                <c:pt idx="3">
                  <c:v>28</c:v>
                </c:pt>
                <c:pt idx="4">
                  <c:v>27</c:v>
                </c:pt>
                <c:pt idx="5">
                  <c:v>26</c:v>
                </c:pt>
                <c:pt idx="6">
                  <c:v>25</c:v>
                </c:pt>
                <c:pt idx="7">
                  <c:v>24</c:v>
                </c:pt>
                <c:pt idx="8">
                  <c:v>23</c:v>
                </c:pt>
                <c:pt idx="9">
                  <c:v>22</c:v>
                </c:pt>
                <c:pt idx="10">
                  <c:v>21</c:v>
                </c:pt>
                <c:pt idx="11">
                  <c:v>20</c:v>
                </c:pt>
                <c:pt idx="12">
                  <c:v>19</c:v>
                </c:pt>
                <c:pt idx="13">
                  <c:v>18</c:v>
                </c:pt>
                <c:pt idx="14">
                  <c:v>17</c:v>
                </c:pt>
                <c:pt idx="15">
                  <c:v>16</c:v>
                </c:pt>
                <c:pt idx="16">
                  <c:v>15</c:v>
                </c:pt>
                <c:pt idx="17">
                  <c:v>14</c:v>
                </c:pt>
                <c:pt idx="18">
                  <c:v>13</c:v>
                </c:pt>
                <c:pt idx="19">
                  <c:v>12</c:v>
                </c:pt>
                <c:pt idx="20">
                  <c:v>11</c:v>
                </c:pt>
                <c:pt idx="21">
                  <c:v>10</c:v>
                </c:pt>
                <c:pt idx="22">
                  <c:v>9</c:v>
                </c:pt>
                <c:pt idx="23">
                  <c:v>8</c:v>
                </c:pt>
                <c:pt idx="24">
                  <c:v>7</c:v>
                </c:pt>
                <c:pt idx="25">
                  <c:v>6</c:v>
                </c:pt>
                <c:pt idx="26">
                  <c:v>5</c:v>
                </c:pt>
                <c:pt idx="27">
                  <c:v>4</c:v>
                </c:pt>
                <c:pt idx="28">
                  <c:v>3</c:v>
                </c:pt>
                <c:pt idx="29">
                  <c:v>2</c:v>
                </c:pt>
                <c:pt idx="30">
                  <c:v>1</c:v>
                </c:pt>
              </c:numCache>
            </c:numRef>
          </c:cat>
          <c:val>
            <c:numRef>
              <c:f>data!$EO$22:$EO$52</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8F32-4C53-9A0F-607F4328235E}"/>
            </c:ext>
          </c:extLst>
        </c:ser>
        <c:ser>
          <c:idx val="2"/>
          <c:order val="2"/>
          <c:tx>
            <c:strRef>
              <c:f>data!$EP$21</c:f>
              <c:strCache>
                <c:ptCount val="1"/>
                <c:pt idx="0">
                  <c:v>BDY3</c:v>
                </c:pt>
              </c:strCache>
            </c:strRef>
          </c:tx>
          <c:spPr>
            <a:solidFill>
              <a:srgbClr val="FFFFFF">
                <a:alpha val="50196"/>
              </a:srgbClr>
            </a:solidFill>
            <a:ln>
              <a:solidFill>
                <a:srgbClr val="FF00FF"/>
              </a:solidFill>
            </a:ln>
            <a:effectLst>
              <a:outerShdw blurRad="57150" dist="19050" dir="5400000" algn="ctr" rotWithShape="0">
                <a:srgbClr val="000000">
                  <a:alpha val="63000"/>
                </a:srgbClr>
              </a:outerShdw>
            </a:effectLst>
            <a:sp3d>
              <a:contourClr>
                <a:srgbClr val="FF00FF"/>
              </a:contourClr>
            </a:sp3d>
          </c:spPr>
          <c:cat>
            <c:numRef>
              <c:f>data!$EM$22:$EM$52</c:f>
              <c:numCache>
                <c:formatCode>0</c:formatCode>
                <c:ptCount val="31"/>
                <c:pt idx="0">
                  <c:v>31</c:v>
                </c:pt>
                <c:pt idx="1">
                  <c:v>30</c:v>
                </c:pt>
                <c:pt idx="2">
                  <c:v>29</c:v>
                </c:pt>
                <c:pt idx="3">
                  <c:v>28</c:v>
                </c:pt>
                <c:pt idx="4">
                  <c:v>27</c:v>
                </c:pt>
                <c:pt idx="5">
                  <c:v>26</c:v>
                </c:pt>
                <c:pt idx="6">
                  <c:v>25</c:v>
                </c:pt>
                <c:pt idx="7">
                  <c:v>24</c:v>
                </c:pt>
                <c:pt idx="8">
                  <c:v>23</c:v>
                </c:pt>
                <c:pt idx="9">
                  <c:v>22</c:v>
                </c:pt>
                <c:pt idx="10">
                  <c:v>21</c:v>
                </c:pt>
                <c:pt idx="11">
                  <c:v>20</c:v>
                </c:pt>
                <c:pt idx="12">
                  <c:v>19</c:v>
                </c:pt>
                <c:pt idx="13">
                  <c:v>18</c:v>
                </c:pt>
                <c:pt idx="14">
                  <c:v>17</c:v>
                </c:pt>
                <c:pt idx="15">
                  <c:v>16</c:v>
                </c:pt>
                <c:pt idx="16">
                  <c:v>15</c:v>
                </c:pt>
                <c:pt idx="17">
                  <c:v>14</c:v>
                </c:pt>
                <c:pt idx="18">
                  <c:v>13</c:v>
                </c:pt>
                <c:pt idx="19">
                  <c:v>12</c:v>
                </c:pt>
                <c:pt idx="20">
                  <c:v>11</c:v>
                </c:pt>
                <c:pt idx="21">
                  <c:v>10</c:v>
                </c:pt>
                <c:pt idx="22">
                  <c:v>9</c:v>
                </c:pt>
                <c:pt idx="23">
                  <c:v>8</c:v>
                </c:pt>
                <c:pt idx="24">
                  <c:v>7</c:v>
                </c:pt>
                <c:pt idx="25">
                  <c:v>6</c:v>
                </c:pt>
                <c:pt idx="26">
                  <c:v>5</c:v>
                </c:pt>
                <c:pt idx="27">
                  <c:v>4</c:v>
                </c:pt>
                <c:pt idx="28">
                  <c:v>3</c:v>
                </c:pt>
                <c:pt idx="29">
                  <c:v>2</c:v>
                </c:pt>
                <c:pt idx="30">
                  <c:v>1</c:v>
                </c:pt>
              </c:numCache>
            </c:numRef>
          </c:cat>
          <c:val>
            <c:numRef>
              <c:f>data!$EP$22:$EP$52</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8F32-4C53-9A0F-607F4328235E}"/>
            </c:ext>
          </c:extLst>
        </c:ser>
        <c:ser>
          <c:idx val="3"/>
          <c:order val="3"/>
          <c:tx>
            <c:strRef>
              <c:f>data!$EQ$21</c:f>
              <c:strCache>
                <c:ptCount val="1"/>
                <c:pt idx="0">
                  <c:v>BDY4</c:v>
                </c:pt>
              </c:strCache>
            </c:strRef>
          </c:tx>
          <c:spPr>
            <a:solidFill>
              <a:srgbClr val="FFFFFF">
                <a:alpha val="50196"/>
              </a:srgbClr>
            </a:solidFill>
            <a:ln>
              <a:solidFill>
                <a:srgbClr val="FF0000"/>
              </a:solidFill>
            </a:ln>
            <a:effectLst>
              <a:outerShdw blurRad="57150" dist="19050" dir="5400000" algn="ctr" rotWithShape="0">
                <a:srgbClr val="000000">
                  <a:alpha val="63000"/>
                </a:srgbClr>
              </a:outerShdw>
            </a:effectLst>
            <a:sp3d>
              <a:contourClr>
                <a:srgbClr val="FF0000"/>
              </a:contourClr>
            </a:sp3d>
          </c:spPr>
          <c:cat>
            <c:numRef>
              <c:f>data!$EM$22:$EM$52</c:f>
              <c:numCache>
                <c:formatCode>0</c:formatCode>
                <c:ptCount val="31"/>
                <c:pt idx="0">
                  <c:v>31</c:v>
                </c:pt>
                <c:pt idx="1">
                  <c:v>30</c:v>
                </c:pt>
                <c:pt idx="2">
                  <c:v>29</c:v>
                </c:pt>
                <c:pt idx="3">
                  <c:v>28</c:v>
                </c:pt>
                <c:pt idx="4">
                  <c:v>27</c:v>
                </c:pt>
                <c:pt idx="5">
                  <c:v>26</c:v>
                </c:pt>
                <c:pt idx="6">
                  <c:v>25</c:v>
                </c:pt>
                <c:pt idx="7">
                  <c:v>24</c:v>
                </c:pt>
                <c:pt idx="8">
                  <c:v>23</c:v>
                </c:pt>
                <c:pt idx="9">
                  <c:v>22</c:v>
                </c:pt>
                <c:pt idx="10">
                  <c:v>21</c:v>
                </c:pt>
                <c:pt idx="11">
                  <c:v>20</c:v>
                </c:pt>
                <c:pt idx="12">
                  <c:v>19</c:v>
                </c:pt>
                <c:pt idx="13">
                  <c:v>18</c:v>
                </c:pt>
                <c:pt idx="14">
                  <c:v>17</c:v>
                </c:pt>
                <c:pt idx="15">
                  <c:v>16</c:v>
                </c:pt>
                <c:pt idx="16">
                  <c:v>15</c:v>
                </c:pt>
                <c:pt idx="17">
                  <c:v>14</c:v>
                </c:pt>
                <c:pt idx="18">
                  <c:v>13</c:v>
                </c:pt>
                <c:pt idx="19">
                  <c:v>12</c:v>
                </c:pt>
                <c:pt idx="20">
                  <c:v>11</c:v>
                </c:pt>
                <c:pt idx="21">
                  <c:v>10</c:v>
                </c:pt>
                <c:pt idx="22">
                  <c:v>9</c:v>
                </c:pt>
                <c:pt idx="23">
                  <c:v>8</c:v>
                </c:pt>
                <c:pt idx="24">
                  <c:v>7</c:v>
                </c:pt>
                <c:pt idx="25">
                  <c:v>6</c:v>
                </c:pt>
                <c:pt idx="26">
                  <c:v>5</c:v>
                </c:pt>
                <c:pt idx="27">
                  <c:v>4</c:v>
                </c:pt>
                <c:pt idx="28">
                  <c:v>3</c:v>
                </c:pt>
                <c:pt idx="29">
                  <c:v>2</c:v>
                </c:pt>
                <c:pt idx="30">
                  <c:v>1</c:v>
                </c:pt>
              </c:numCache>
            </c:numRef>
          </c:cat>
          <c:val>
            <c:numRef>
              <c:f>data!$EQ$22:$EQ$52</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8F32-4C53-9A0F-607F4328235E}"/>
            </c:ext>
          </c:extLst>
        </c:ser>
        <c:ser>
          <c:idx val="4"/>
          <c:order val="4"/>
          <c:tx>
            <c:strRef>
              <c:f>data!$ER$21</c:f>
              <c:strCache>
                <c:ptCount val="1"/>
                <c:pt idx="0">
                  <c:v>BDY5</c:v>
                </c:pt>
              </c:strCache>
            </c:strRef>
          </c:tx>
          <c:spPr>
            <a:solidFill>
              <a:srgbClr val="FFFFFF">
                <a:alpha val="50196"/>
              </a:srgbClr>
            </a:solidFill>
            <a:ln>
              <a:solidFill>
                <a:srgbClr val="C00000"/>
              </a:solidFill>
            </a:ln>
            <a:effectLst>
              <a:outerShdw blurRad="57150" dist="19050" dir="5400000" algn="ctr" rotWithShape="0">
                <a:srgbClr val="000000">
                  <a:alpha val="63000"/>
                </a:srgbClr>
              </a:outerShdw>
            </a:effectLst>
            <a:sp3d>
              <a:contourClr>
                <a:srgbClr val="C00000"/>
              </a:contourClr>
            </a:sp3d>
          </c:spPr>
          <c:cat>
            <c:numRef>
              <c:f>data!$EM$22:$EM$52</c:f>
              <c:numCache>
                <c:formatCode>0</c:formatCode>
                <c:ptCount val="31"/>
                <c:pt idx="0">
                  <c:v>31</c:v>
                </c:pt>
                <c:pt idx="1">
                  <c:v>30</c:v>
                </c:pt>
                <c:pt idx="2">
                  <c:v>29</c:v>
                </c:pt>
                <c:pt idx="3">
                  <c:v>28</c:v>
                </c:pt>
                <c:pt idx="4">
                  <c:v>27</c:v>
                </c:pt>
                <c:pt idx="5">
                  <c:v>26</c:v>
                </c:pt>
                <c:pt idx="6">
                  <c:v>25</c:v>
                </c:pt>
                <c:pt idx="7">
                  <c:v>24</c:v>
                </c:pt>
                <c:pt idx="8">
                  <c:v>23</c:v>
                </c:pt>
                <c:pt idx="9">
                  <c:v>22</c:v>
                </c:pt>
                <c:pt idx="10">
                  <c:v>21</c:v>
                </c:pt>
                <c:pt idx="11">
                  <c:v>20</c:v>
                </c:pt>
                <c:pt idx="12">
                  <c:v>19</c:v>
                </c:pt>
                <c:pt idx="13">
                  <c:v>18</c:v>
                </c:pt>
                <c:pt idx="14">
                  <c:v>17</c:v>
                </c:pt>
                <c:pt idx="15">
                  <c:v>16</c:v>
                </c:pt>
                <c:pt idx="16">
                  <c:v>15</c:v>
                </c:pt>
                <c:pt idx="17">
                  <c:v>14</c:v>
                </c:pt>
                <c:pt idx="18">
                  <c:v>13</c:v>
                </c:pt>
                <c:pt idx="19">
                  <c:v>12</c:v>
                </c:pt>
                <c:pt idx="20">
                  <c:v>11</c:v>
                </c:pt>
                <c:pt idx="21">
                  <c:v>10</c:v>
                </c:pt>
                <c:pt idx="22">
                  <c:v>9</c:v>
                </c:pt>
                <c:pt idx="23">
                  <c:v>8</c:v>
                </c:pt>
                <c:pt idx="24">
                  <c:v>7</c:v>
                </c:pt>
                <c:pt idx="25">
                  <c:v>6</c:v>
                </c:pt>
                <c:pt idx="26">
                  <c:v>5</c:v>
                </c:pt>
                <c:pt idx="27">
                  <c:v>4</c:v>
                </c:pt>
                <c:pt idx="28">
                  <c:v>3</c:v>
                </c:pt>
                <c:pt idx="29">
                  <c:v>2</c:v>
                </c:pt>
                <c:pt idx="30">
                  <c:v>1</c:v>
                </c:pt>
              </c:numCache>
            </c:numRef>
          </c:cat>
          <c:val>
            <c:numRef>
              <c:f>data!$ER$22:$ER$52</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4-8F32-4C53-9A0F-607F4328235E}"/>
            </c:ext>
          </c:extLst>
        </c:ser>
        <c:ser>
          <c:idx val="5"/>
          <c:order val="5"/>
          <c:tx>
            <c:strRef>
              <c:f>data!$ES$21</c:f>
              <c:strCache>
                <c:ptCount val="1"/>
                <c:pt idx="0">
                  <c:v>BDY6</c:v>
                </c:pt>
              </c:strCache>
            </c:strRef>
          </c:tx>
          <c:spPr>
            <a:solidFill>
              <a:schemeClr val="bg1">
                <a:alpha val="50000"/>
              </a:schemeClr>
            </a:solidFill>
            <a:ln>
              <a:solidFill>
                <a:srgbClr val="FF6600"/>
              </a:solidFill>
            </a:ln>
            <a:effectLst>
              <a:outerShdw blurRad="57150" dist="19050" dir="5400000" algn="ctr" rotWithShape="0">
                <a:srgbClr val="000000">
                  <a:alpha val="63000"/>
                </a:srgbClr>
              </a:outerShdw>
            </a:effectLst>
            <a:sp3d>
              <a:contourClr>
                <a:srgbClr val="FF6600"/>
              </a:contourClr>
            </a:sp3d>
          </c:spPr>
          <c:cat>
            <c:numRef>
              <c:f>data!$EM$22:$EM$52</c:f>
              <c:numCache>
                <c:formatCode>0</c:formatCode>
                <c:ptCount val="31"/>
                <c:pt idx="0">
                  <c:v>31</c:v>
                </c:pt>
                <c:pt idx="1">
                  <c:v>30</c:v>
                </c:pt>
                <c:pt idx="2">
                  <c:v>29</c:v>
                </c:pt>
                <c:pt idx="3">
                  <c:v>28</c:v>
                </c:pt>
                <c:pt idx="4">
                  <c:v>27</c:v>
                </c:pt>
                <c:pt idx="5">
                  <c:v>26</c:v>
                </c:pt>
                <c:pt idx="6">
                  <c:v>25</c:v>
                </c:pt>
                <c:pt idx="7">
                  <c:v>24</c:v>
                </c:pt>
                <c:pt idx="8">
                  <c:v>23</c:v>
                </c:pt>
                <c:pt idx="9">
                  <c:v>22</c:v>
                </c:pt>
                <c:pt idx="10">
                  <c:v>21</c:v>
                </c:pt>
                <c:pt idx="11">
                  <c:v>20</c:v>
                </c:pt>
                <c:pt idx="12">
                  <c:v>19</c:v>
                </c:pt>
                <c:pt idx="13">
                  <c:v>18</c:v>
                </c:pt>
                <c:pt idx="14">
                  <c:v>17</c:v>
                </c:pt>
                <c:pt idx="15">
                  <c:v>16</c:v>
                </c:pt>
                <c:pt idx="16">
                  <c:v>15</c:v>
                </c:pt>
                <c:pt idx="17">
                  <c:v>14</c:v>
                </c:pt>
                <c:pt idx="18">
                  <c:v>13</c:v>
                </c:pt>
                <c:pt idx="19">
                  <c:v>12</c:v>
                </c:pt>
                <c:pt idx="20">
                  <c:v>11</c:v>
                </c:pt>
                <c:pt idx="21">
                  <c:v>10</c:v>
                </c:pt>
                <c:pt idx="22">
                  <c:v>9</c:v>
                </c:pt>
                <c:pt idx="23">
                  <c:v>8</c:v>
                </c:pt>
                <c:pt idx="24">
                  <c:v>7</c:v>
                </c:pt>
                <c:pt idx="25">
                  <c:v>6</c:v>
                </c:pt>
                <c:pt idx="26">
                  <c:v>5</c:v>
                </c:pt>
                <c:pt idx="27">
                  <c:v>4</c:v>
                </c:pt>
                <c:pt idx="28">
                  <c:v>3</c:v>
                </c:pt>
                <c:pt idx="29">
                  <c:v>2</c:v>
                </c:pt>
                <c:pt idx="30">
                  <c:v>1</c:v>
                </c:pt>
              </c:numCache>
            </c:numRef>
          </c:cat>
          <c:val>
            <c:numRef>
              <c:f>data!$ES$22:$ES$52</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5-8F32-4C53-9A0F-607F4328235E}"/>
            </c:ext>
          </c:extLst>
        </c:ser>
        <c:ser>
          <c:idx val="6"/>
          <c:order val="6"/>
          <c:tx>
            <c:strRef>
              <c:f>data!$ET$21</c:f>
              <c:strCache>
                <c:ptCount val="1"/>
                <c:pt idx="0">
                  <c:v>BDY7</c:v>
                </c:pt>
              </c:strCache>
            </c:strRef>
          </c:tx>
          <c:spPr>
            <a:solidFill>
              <a:schemeClr val="bg1">
                <a:alpha val="50196"/>
              </a:schemeClr>
            </a:solidFill>
            <a:ln>
              <a:solidFill>
                <a:srgbClr val="FFC000"/>
              </a:solidFill>
            </a:ln>
            <a:effectLst>
              <a:outerShdw blurRad="57150" dist="19050" dir="5400000" algn="ctr" rotWithShape="0">
                <a:srgbClr val="000000">
                  <a:alpha val="63000"/>
                </a:srgbClr>
              </a:outerShdw>
            </a:effectLst>
            <a:sp3d>
              <a:contourClr>
                <a:srgbClr val="FFC000"/>
              </a:contourClr>
            </a:sp3d>
          </c:spPr>
          <c:cat>
            <c:numRef>
              <c:f>data!$EM$22:$EM$52</c:f>
              <c:numCache>
                <c:formatCode>0</c:formatCode>
                <c:ptCount val="31"/>
                <c:pt idx="0">
                  <c:v>31</c:v>
                </c:pt>
                <c:pt idx="1">
                  <c:v>30</c:v>
                </c:pt>
                <c:pt idx="2">
                  <c:v>29</c:v>
                </c:pt>
                <c:pt idx="3">
                  <c:v>28</c:v>
                </c:pt>
                <c:pt idx="4">
                  <c:v>27</c:v>
                </c:pt>
                <c:pt idx="5">
                  <c:v>26</c:v>
                </c:pt>
                <c:pt idx="6">
                  <c:v>25</c:v>
                </c:pt>
                <c:pt idx="7">
                  <c:v>24</c:v>
                </c:pt>
                <c:pt idx="8">
                  <c:v>23</c:v>
                </c:pt>
                <c:pt idx="9">
                  <c:v>22</c:v>
                </c:pt>
                <c:pt idx="10">
                  <c:v>21</c:v>
                </c:pt>
                <c:pt idx="11">
                  <c:v>20</c:v>
                </c:pt>
                <c:pt idx="12">
                  <c:v>19</c:v>
                </c:pt>
                <c:pt idx="13">
                  <c:v>18</c:v>
                </c:pt>
                <c:pt idx="14">
                  <c:v>17</c:v>
                </c:pt>
                <c:pt idx="15">
                  <c:v>16</c:v>
                </c:pt>
                <c:pt idx="16">
                  <c:v>15</c:v>
                </c:pt>
                <c:pt idx="17">
                  <c:v>14</c:v>
                </c:pt>
                <c:pt idx="18">
                  <c:v>13</c:v>
                </c:pt>
                <c:pt idx="19">
                  <c:v>12</c:v>
                </c:pt>
                <c:pt idx="20">
                  <c:v>11</c:v>
                </c:pt>
                <c:pt idx="21">
                  <c:v>10</c:v>
                </c:pt>
                <c:pt idx="22">
                  <c:v>9</c:v>
                </c:pt>
                <c:pt idx="23">
                  <c:v>8</c:v>
                </c:pt>
                <c:pt idx="24">
                  <c:v>7</c:v>
                </c:pt>
                <c:pt idx="25">
                  <c:v>6</c:v>
                </c:pt>
                <c:pt idx="26">
                  <c:v>5</c:v>
                </c:pt>
                <c:pt idx="27">
                  <c:v>4</c:v>
                </c:pt>
                <c:pt idx="28">
                  <c:v>3</c:v>
                </c:pt>
                <c:pt idx="29">
                  <c:v>2</c:v>
                </c:pt>
                <c:pt idx="30">
                  <c:v>1</c:v>
                </c:pt>
              </c:numCache>
            </c:numRef>
          </c:cat>
          <c:val>
            <c:numRef>
              <c:f>data!$ET$22:$ET$52</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6-8F32-4C53-9A0F-607F4328235E}"/>
            </c:ext>
          </c:extLst>
        </c:ser>
        <c:ser>
          <c:idx val="7"/>
          <c:order val="7"/>
          <c:tx>
            <c:strRef>
              <c:f>data!$EU$21</c:f>
              <c:strCache>
                <c:ptCount val="1"/>
                <c:pt idx="0">
                  <c:v>BDY8</c:v>
                </c:pt>
              </c:strCache>
            </c:strRef>
          </c:tx>
          <c:spPr>
            <a:solidFill>
              <a:schemeClr val="bg1">
                <a:alpha val="50196"/>
              </a:schemeClr>
            </a:solidFill>
            <a:ln>
              <a:solidFill>
                <a:srgbClr val="00B050"/>
              </a:solidFill>
            </a:ln>
            <a:effectLst>
              <a:outerShdw blurRad="57150" dist="19050" dir="5400000" algn="ctr" rotWithShape="0">
                <a:srgbClr val="000000">
                  <a:alpha val="63000"/>
                </a:srgbClr>
              </a:outerShdw>
            </a:effectLst>
            <a:sp3d>
              <a:contourClr>
                <a:srgbClr val="00B050"/>
              </a:contourClr>
            </a:sp3d>
          </c:spPr>
          <c:cat>
            <c:numRef>
              <c:f>data!$EM$22:$EM$52</c:f>
              <c:numCache>
                <c:formatCode>0</c:formatCode>
                <c:ptCount val="31"/>
                <c:pt idx="0">
                  <c:v>31</c:v>
                </c:pt>
                <c:pt idx="1">
                  <c:v>30</c:v>
                </c:pt>
                <c:pt idx="2">
                  <c:v>29</c:v>
                </c:pt>
                <c:pt idx="3">
                  <c:v>28</c:v>
                </c:pt>
                <c:pt idx="4">
                  <c:v>27</c:v>
                </c:pt>
                <c:pt idx="5">
                  <c:v>26</c:v>
                </c:pt>
                <c:pt idx="6">
                  <c:v>25</c:v>
                </c:pt>
                <c:pt idx="7">
                  <c:v>24</c:v>
                </c:pt>
                <c:pt idx="8">
                  <c:v>23</c:v>
                </c:pt>
                <c:pt idx="9">
                  <c:v>22</c:v>
                </c:pt>
                <c:pt idx="10">
                  <c:v>21</c:v>
                </c:pt>
                <c:pt idx="11">
                  <c:v>20</c:v>
                </c:pt>
                <c:pt idx="12">
                  <c:v>19</c:v>
                </c:pt>
                <c:pt idx="13">
                  <c:v>18</c:v>
                </c:pt>
                <c:pt idx="14">
                  <c:v>17</c:v>
                </c:pt>
                <c:pt idx="15">
                  <c:v>16</c:v>
                </c:pt>
                <c:pt idx="16">
                  <c:v>15</c:v>
                </c:pt>
                <c:pt idx="17">
                  <c:v>14</c:v>
                </c:pt>
                <c:pt idx="18">
                  <c:v>13</c:v>
                </c:pt>
                <c:pt idx="19">
                  <c:v>12</c:v>
                </c:pt>
                <c:pt idx="20">
                  <c:v>11</c:v>
                </c:pt>
                <c:pt idx="21">
                  <c:v>10</c:v>
                </c:pt>
                <c:pt idx="22">
                  <c:v>9</c:v>
                </c:pt>
                <c:pt idx="23">
                  <c:v>8</c:v>
                </c:pt>
                <c:pt idx="24">
                  <c:v>7</c:v>
                </c:pt>
                <c:pt idx="25">
                  <c:v>6</c:v>
                </c:pt>
                <c:pt idx="26">
                  <c:v>5</c:v>
                </c:pt>
                <c:pt idx="27">
                  <c:v>4</c:v>
                </c:pt>
                <c:pt idx="28">
                  <c:v>3</c:v>
                </c:pt>
                <c:pt idx="29">
                  <c:v>2</c:v>
                </c:pt>
                <c:pt idx="30">
                  <c:v>1</c:v>
                </c:pt>
              </c:numCache>
            </c:numRef>
          </c:cat>
          <c:val>
            <c:numRef>
              <c:f>data!$EU$22:$EU$52</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7-8F32-4C53-9A0F-607F4328235E}"/>
            </c:ext>
          </c:extLst>
        </c:ser>
        <c:ser>
          <c:idx val="8"/>
          <c:order val="8"/>
          <c:tx>
            <c:strRef>
              <c:f>data!$EV$21</c:f>
              <c:strCache>
                <c:ptCount val="1"/>
                <c:pt idx="0">
                  <c:v>BDY9</c:v>
                </c:pt>
              </c:strCache>
            </c:strRef>
          </c:tx>
          <c:spPr>
            <a:solidFill>
              <a:schemeClr val="bg1">
                <a:alpha val="50196"/>
              </a:schemeClr>
            </a:solidFill>
            <a:ln>
              <a:solidFill>
                <a:srgbClr val="00B0F0"/>
              </a:solidFill>
            </a:ln>
            <a:effectLst>
              <a:outerShdw blurRad="57150" dist="19050" dir="5400000" algn="ctr" rotWithShape="0">
                <a:srgbClr val="000000">
                  <a:alpha val="63000"/>
                </a:srgbClr>
              </a:outerShdw>
            </a:effectLst>
            <a:sp3d>
              <a:contourClr>
                <a:srgbClr val="00B0F0"/>
              </a:contourClr>
            </a:sp3d>
          </c:spPr>
          <c:cat>
            <c:numRef>
              <c:f>data!$EM$22:$EM$52</c:f>
              <c:numCache>
                <c:formatCode>0</c:formatCode>
                <c:ptCount val="31"/>
                <c:pt idx="0">
                  <c:v>31</c:v>
                </c:pt>
                <c:pt idx="1">
                  <c:v>30</c:v>
                </c:pt>
                <c:pt idx="2">
                  <c:v>29</c:v>
                </c:pt>
                <c:pt idx="3">
                  <c:v>28</c:v>
                </c:pt>
                <c:pt idx="4">
                  <c:v>27</c:v>
                </c:pt>
                <c:pt idx="5">
                  <c:v>26</c:v>
                </c:pt>
                <c:pt idx="6">
                  <c:v>25</c:v>
                </c:pt>
                <c:pt idx="7">
                  <c:v>24</c:v>
                </c:pt>
                <c:pt idx="8">
                  <c:v>23</c:v>
                </c:pt>
                <c:pt idx="9">
                  <c:v>22</c:v>
                </c:pt>
                <c:pt idx="10">
                  <c:v>21</c:v>
                </c:pt>
                <c:pt idx="11">
                  <c:v>20</c:v>
                </c:pt>
                <c:pt idx="12">
                  <c:v>19</c:v>
                </c:pt>
                <c:pt idx="13">
                  <c:v>18</c:v>
                </c:pt>
                <c:pt idx="14">
                  <c:v>17</c:v>
                </c:pt>
                <c:pt idx="15">
                  <c:v>16</c:v>
                </c:pt>
                <c:pt idx="16">
                  <c:v>15</c:v>
                </c:pt>
                <c:pt idx="17">
                  <c:v>14</c:v>
                </c:pt>
                <c:pt idx="18">
                  <c:v>13</c:v>
                </c:pt>
                <c:pt idx="19">
                  <c:v>12</c:v>
                </c:pt>
                <c:pt idx="20">
                  <c:v>11</c:v>
                </c:pt>
                <c:pt idx="21">
                  <c:v>10</c:v>
                </c:pt>
                <c:pt idx="22">
                  <c:v>9</c:v>
                </c:pt>
                <c:pt idx="23">
                  <c:v>8</c:v>
                </c:pt>
                <c:pt idx="24">
                  <c:v>7</c:v>
                </c:pt>
                <c:pt idx="25">
                  <c:v>6</c:v>
                </c:pt>
                <c:pt idx="26">
                  <c:v>5</c:v>
                </c:pt>
                <c:pt idx="27">
                  <c:v>4</c:v>
                </c:pt>
                <c:pt idx="28">
                  <c:v>3</c:v>
                </c:pt>
                <c:pt idx="29">
                  <c:v>2</c:v>
                </c:pt>
                <c:pt idx="30">
                  <c:v>1</c:v>
                </c:pt>
              </c:numCache>
            </c:numRef>
          </c:cat>
          <c:val>
            <c:numRef>
              <c:f>data!$EV$22:$EV$52</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8-8F32-4C53-9A0F-607F4328235E}"/>
            </c:ext>
          </c:extLst>
        </c:ser>
        <c:dLbls>
          <c:showLegendKey val="0"/>
          <c:showVal val="0"/>
          <c:showCatName val="0"/>
          <c:showSerName val="0"/>
          <c:showPercent val="0"/>
          <c:showBubbleSize val="0"/>
        </c:dLbls>
        <c:axId val="1593296640"/>
        <c:axId val="1593297056"/>
        <c:axId val="1780311088"/>
      </c:area3DChart>
      <c:dateAx>
        <c:axId val="1593296640"/>
        <c:scaling>
          <c:orientation val="maxMin"/>
        </c:scaling>
        <c:delete val="0"/>
        <c:axPos val="b"/>
        <c:numFmt formatCode="0" sourceLinked="1"/>
        <c:majorTickMark val="out"/>
        <c:minorTickMark val="none"/>
        <c:tickLblPos val="low"/>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593297056"/>
        <c:crosses val="autoZero"/>
        <c:auto val="0"/>
        <c:lblOffset val="100"/>
        <c:baseTimeUnit val="days"/>
      </c:dateAx>
      <c:valAx>
        <c:axId val="1593297056"/>
        <c:scaling>
          <c:orientation val="minMax"/>
          <c:max val="180"/>
        </c:scaling>
        <c:delete val="0"/>
        <c:axPos val="l"/>
        <c:majorGridlines>
          <c:spPr>
            <a:ln w="9525" cap="flat" cmpd="sng" algn="ctr">
              <a:solidFill>
                <a:schemeClr val="tx1">
                  <a:lumMod val="85000"/>
                  <a:lumOff val="15000"/>
                </a:schemeClr>
              </a:solidFill>
              <a:round/>
            </a:ln>
            <a:effectLst/>
          </c:spPr>
        </c:majorGridlines>
        <c:numFmt formatCode="General" sourceLinked="1"/>
        <c:majorTickMark val="none"/>
        <c:minorTickMark val="none"/>
        <c:tickLblPos val="high"/>
        <c:spPr>
          <a:noFill/>
          <a:ln>
            <a:noFill/>
          </a:ln>
          <a:effectLst/>
        </c:spPr>
        <c:txPr>
          <a:bodyPr rot="0" spcFirstLastPara="1" vertOverflow="ellipsis" wrap="square" anchor="ctr" anchorCtr="0"/>
          <a:lstStyle/>
          <a:p>
            <a:pPr>
              <a:defRPr sz="900" b="0" i="0" u="none" strike="noStrike" kern="1200" baseline="0">
                <a:solidFill>
                  <a:schemeClr val="tx1">
                    <a:lumMod val="85000"/>
                    <a:lumOff val="15000"/>
                  </a:schemeClr>
                </a:solidFill>
                <a:latin typeface="+mn-lt"/>
                <a:ea typeface="+mn-ea"/>
                <a:cs typeface="+mn-cs"/>
              </a:defRPr>
            </a:pPr>
            <a:endParaRPr lang="en-US"/>
          </a:p>
        </c:txPr>
        <c:crossAx val="1593296640"/>
        <c:crosses val="autoZero"/>
        <c:crossBetween val="midCat"/>
        <c:majorUnit val="30"/>
        <c:minorUnit val="10"/>
      </c:valAx>
      <c:serAx>
        <c:axId val="1780311088"/>
        <c:scaling>
          <c:orientation val="minMax"/>
        </c:scaling>
        <c:delete val="1"/>
        <c:axPos val="b"/>
        <c:title>
          <c:tx>
            <c:rich>
              <a:bodyPr rot="-5400000" spcFirstLastPara="1" vertOverflow="ellipsis" wrap="square" anchor="ctr" anchorCtr="1"/>
              <a:lstStyle/>
              <a:p>
                <a:pPr>
                  <a:defRPr sz="900" b="1" i="0" u="none" strike="noStrike" kern="1200" cap="all" baseline="0">
                    <a:solidFill>
                      <a:schemeClr val="tx1">
                        <a:lumMod val="85000"/>
                        <a:lumOff val="15000"/>
                      </a:schemeClr>
                    </a:solidFill>
                    <a:latin typeface="+mn-lt"/>
                    <a:ea typeface="+mn-ea"/>
                    <a:cs typeface="+mn-cs"/>
                  </a:defRPr>
                </a:pPr>
                <a:r>
                  <a:rPr lang="en-GB" baseline="0">
                    <a:solidFill>
                      <a:schemeClr val="tx1">
                        <a:lumMod val="85000"/>
                        <a:lumOff val="15000"/>
                      </a:schemeClr>
                    </a:solidFill>
                  </a:rPr>
                  <a:t>XP</a:t>
                </a:r>
              </a:p>
            </c:rich>
          </c:tx>
          <c:layout>
            <c:manualLayout>
              <c:xMode val="edge"/>
              <c:yMode val="edge"/>
              <c:x val="0.9423319815922927"/>
              <c:y val="0.64347634937592602"/>
            </c:manualLayout>
          </c:layout>
          <c:overlay val="0"/>
          <c:spPr>
            <a:noFill/>
            <a:ln>
              <a:noFill/>
            </a:ln>
            <a:effectLst/>
          </c:spPr>
          <c:txPr>
            <a:bodyPr rot="-5400000" spcFirstLastPara="1" vertOverflow="ellipsis" wrap="square" anchor="ctr" anchorCtr="1"/>
            <a:lstStyle/>
            <a:p>
              <a:pPr>
                <a:defRPr sz="900" b="1" i="0" u="none" strike="noStrike" kern="1200" cap="all" baseline="0">
                  <a:solidFill>
                    <a:schemeClr val="tx1">
                      <a:lumMod val="85000"/>
                      <a:lumOff val="15000"/>
                    </a:schemeClr>
                  </a:solidFill>
                  <a:latin typeface="+mn-lt"/>
                  <a:ea typeface="+mn-ea"/>
                  <a:cs typeface="+mn-cs"/>
                </a:defRPr>
              </a:pPr>
              <a:endParaRPr lang="en-US"/>
            </a:p>
          </c:txPr>
        </c:title>
        <c:majorTickMark val="out"/>
        <c:minorTickMark val="none"/>
        <c:tickLblPos val="nextTo"/>
        <c:crossAx val="1593297056"/>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11.xml"/><Relationship Id="rId18" Type="http://schemas.openxmlformats.org/officeDocument/2006/relationships/chart" Target="../charts/chart16.xml"/><Relationship Id="rId3" Type="http://schemas.openxmlformats.org/officeDocument/2006/relationships/image" Target="../media/image4.png"/><Relationship Id="rId7" Type="http://schemas.openxmlformats.org/officeDocument/2006/relationships/chart" Target="../charts/chart5.xml"/><Relationship Id="rId12" Type="http://schemas.openxmlformats.org/officeDocument/2006/relationships/chart" Target="../charts/chart10.xml"/><Relationship Id="rId17" Type="http://schemas.openxmlformats.org/officeDocument/2006/relationships/chart" Target="../charts/chart15.xml"/><Relationship Id="rId2" Type="http://schemas.openxmlformats.org/officeDocument/2006/relationships/chart" Target="../charts/chart1.xml"/><Relationship Id="rId16" Type="http://schemas.openxmlformats.org/officeDocument/2006/relationships/chart" Target="../charts/chart14.xml"/><Relationship Id="rId1" Type="http://schemas.openxmlformats.org/officeDocument/2006/relationships/image" Target="../media/image3.jpg"/><Relationship Id="rId6" Type="http://schemas.openxmlformats.org/officeDocument/2006/relationships/chart" Target="../charts/chart4.xml"/><Relationship Id="rId11" Type="http://schemas.openxmlformats.org/officeDocument/2006/relationships/chart" Target="../charts/chart9.xml"/><Relationship Id="rId5" Type="http://schemas.openxmlformats.org/officeDocument/2006/relationships/chart" Target="../charts/chart3.xml"/><Relationship Id="rId15" Type="http://schemas.openxmlformats.org/officeDocument/2006/relationships/chart" Target="../charts/chart13.xml"/><Relationship Id="rId10" Type="http://schemas.openxmlformats.org/officeDocument/2006/relationships/chart" Target="../charts/chart8.xml"/><Relationship Id="rId4" Type="http://schemas.openxmlformats.org/officeDocument/2006/relationships/chart" Target="../charts/chart2.xml"/><Relationship Id="rId9" Type="http://schemas.openxmlformats.org/officeDocument/2006/relationships/chart" Target="../charts/chart7.xml"/><Relationship Id="rId1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10</xdr:row>
      <xdr:rowOff>57149</xdr:rowOff>
    </xdr:from>
    <xdr:to>
      <xdr:col>17</xdr:col>
      <xdr:colOff>15995</xdr:colOff>
      <xdr:row>18</xdr:row>
      <xdr:rowOff>666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 y="2152649"/>
          <a:ext cx="3220205" cy="1617109"/>
        </a:xfrm>
        <a:prstGeom prst="rect">
          <a:avLst/>
        </a:prstGeom>
        <a:effectLst/>
      </xdr:spPr>
    </xdr:pic>
    <xdr:clientData/>
  </xdr:twoCellAnchor>
  <xdr:twoCellAnchor>
    <xdr:from>
      <xdr:col>1</xdr:col>
      <xdr:colOff>1</xdr:colOff>
      <xdr:row>65</xdr:row>
      <xdr:rowOff>0</xdr:rowOff>
    </xdr:from>
    <xdr:to>
      <xdr:col>19</xdr:col>
      <xdr:colOff>0</xdr:colOff>
      <xdr:row>130</xdr:row>
      <xdr:rowOff>0</xdr:rowOff>
    </xdr:to>
    <xdr:sp macro="" textlink="">
      <xdr:nvSpPr>
        <xdr:cNvPr id="6" name="TextBox 5">
          <a:extLst>
            <a:ext uri="{FF2B5EF4-FFF2-40B4-BE49-F238E27FC236}">
              <a16:creationId xmlns:a16="http://schemas.microsoft.com/office/drawing/2014/main" id="{BA229248-A4D4-4144-8842-D36465DE7F6E}"/>
            </a:ext>
          </a:extLst>
        </xdr:cNvPr>
        <xdr:cNvSpPr txBox="1">
          <a:spLocks/>
        </xdr:cNvSpPr>
      </xdr:nvSpPr>
      <xdr:spPr>
        <a:xfrm>
          <a:off x="228601" y="13620750"/>
          <a:ext cx="4114799" cy="13620750"/>
        </a:xfrm>
        <a:prstGeom prst="rect">
          <a:avLst/>
        </a:prstGeom>
        <a:noFill/>
        <a:ln w="22225">
          <a:noFill/>
        </a:ln>
      </xdr:spPr>
      <xdr:style>
        <a:lnRef idx="0">
          <a:scrgbClr r="0" g="0" b="0"/>
        </a:lnRef>
        <a:fillRef idx="0">
          <a:scrgbClr r="0" g="0" b="0"/>
        </a:fillRef>
        <a:effectRef idx="0">
          <a:scrgbClr r="0" g="0" b="0"/>
        </a:effectRef>
        <a:fontRef idx="minor">
          <a:schemeClr val="tx1"/>
        </a:fontRef>
      </xdr:style>
      <xdr:txBody>
        <a:bodyPr vertOverflow="clip" horzOverflow="clip" wrap="square" lIns="252000" rIns="252000" rtlCol="0" anchor="t">
          <a:noAutofit/>
        </a:bodyPr>
        <a:lstStyle/>
        <a:p>
          <a:pPr marL="0" indent="0"/>
          <a:endParaRPr lang="en-GB" sz="1200">
            <a:solidFill>
              <a:schemeClr val="tx1"/>
            </a:solidFill>
            <a:latin typeface="+mn-lt"/>
            <a:ea typeface="+mn-ea"/>
            <a:cs typeface="+mn-cs"/>
          </a:endParaRPr>
        </a:p>
        <a:p>
          <a:pPr marL="0" indent="0"/>
          <a:r>
            <a:rPr lang="en-GB" sz="1200" b="1" u="none" baseline="0">
              <a:solidFill>
                <a:schemeClr val="tx1"/>
              </a:solidFill>
              <a:latin typeface="+mn-lt"/>
              <a:ea typeface="+mn-ea"/>
              <a:cs typeface="+mn-cs"/>
            </a:rPr>
            <a:t>Beginning a New Game</a:t>
          </a:r>
        </a:p>
        <a:p>
          <a:pPr marL="0" indent="0"/>
          <a:r>
            <a:rPr lang="en-GB" sz="1200" b="0" u="none" baseline="0">
              <a:solidFill>
                <a:schemeClr val="tx1"/>
              </a:solidFill>
              <a:latin typeface="+mn-lt"/>
              <a:ea typeface="+mn-ea"/>
              <a:cs typeface="+mn-cs"/>
            </a:rPr>
            <a:t>Follow the </a:t>
          </a:r>
          <a:r>
            <a:rPr lang="en-GB" sz="1200" b="0" u="sng" baseline="0">
              <a:solidFill>
                <a:schemeClr val="tx1"/>
              </a:solidFill>
              <a:latin typeface="+mn-lt"/>
              <a:ea typeface="+mn-ea"/>
              <a:cs typeface="+mn-cs"/>
            </a:rPr>
            <a:t>steps 1-10</a:t>
          </a:r>
          <a:r>
            <a:rPr lang="en-GB" sz="1200" b="0" u="none" baseline="0">
              <a:solidFill>
                <a:schemeClr val="tx1"/>
              </a:solidFill>
              <a:latin typeface="+mn-lt"/>
              <a:ea typeface="+mn-ea"/>
              <a:cs typeface="+mn-cs"/>
            </a:rPr>
            <a:t>, entering the data in the sections indicated by the coloured numbered symbols.</a:t>
          </a:r>
        </a:p>
        <a:p>
          <a:pPr marL="0" indent="0"/>
          <a:endParaRPr lang="en-GB" sz="1200" b="0" u="none" baseline="0">
            <a:solidFill>
              <a:schemeClr val="tx1"/>
            </a:solidFill>
            <a:latin typeface="+mn-lt"/>
            <a:ea typeface="+mn-ea"/>
            <a:cs typeface="+mn-cs"/>
          </a:endParaRPr>
        </a:p>
        <a:p>
          <a:pPr marL="0" indent="0"/>
          <a:r>
            <a:rPr lang="en-GB" sz="1200" b="1" u="none" baseline="0">
              <a:solidFill>
                <a:schemeClr val="tx1"/>
              </a:solidFill>
              <a:latin typeface="+mn-lt"/>
              <a:ea typeface="+mn-ea"/>
              <a:cs typeface="+mn-cs"/>
            </a:rPr>
            <a:t>Game</a:t>
          </a:r>
        </a:p>
        <a:p>
          <a:pPr marL="228600" indent="-228600">
            <a:buClr>
              <a:schemeClr val="tx1"/>
            </a:buClr>
            <a:buFont typeface="+mj-lt"/>
            <a:buAutoNum type="arabicPeriod"/>
          </a:pPr>
          <a:r>
            <a:rPr lang="en-GB" sz="1200" b="0" u="none" baseline="0">
              <a:solidFill>
                <a:schemeClr val="tx1"/>
              </a:solidFill>
              <a:latin typeface="+mn-lt"/>
              <a:ea typeface="+mn-ea"/>
              <a:cs typeface="+mn-cs"/>
            </a:rPr>
            <a:t>Select whether this is the first playthrough or higher. </a:t>
          </a:r>
        </a:p>
        <a:p>
          <a:pPr marL="228600" indent="-228600">
            <a:buClr>
              <a:schemeClr val="tx1"/>
            </a:buClr>
            <a:buFont typeface="+mj-lt"/>
            <a:buAutoNum type="arabicPeriod"/>
          </a:pPr>
          <a:endParaRPr lang="en-GB" sz="1200" b="0" u="none" baseline="0">
            <a:solidFill>
              <a:schemeClr val="tx1"/>
            </a:solidFill>
            <a:latin typeface="+mn-lt"/>
            <a:ea typeface="+mn-ea"/>
            <a:cs typeface="+mn-cs"/>
          </a:endParaRPr>
        </a:p>
        <a:p>
          <a:pPr marL="0" indent="0">
            <a:buClr>
              <a:schemeClr val="tx1"/>
            </a:buClr>
            <a:buFont typeface="Arial" panose="020B0604020202020204" pitchFamily="34" charset="0"/>
            <a:buNone/>
          </a:pPr>
          <a:r>
            <a:rPr lang="en-GB" sz="1200" b="1" u="none" baseline="0">
              <a:solidFill>
                <a:schemeClr val="tx1"/>
              </a:solidFill>
              <a:latin typeface="+mn-lt"/>
              <a:ea typeface="+mn-ea"/>
              <a:cs typeface="+mn-cs"/>
            </a:rPr>
            <a:t>Difficulty</a:t>
          </a:r>
        </a:p>
        <a:p>
          <a:pPr marL="228600" indent="-228600">
            <a:buClr>
              <a:schemeClr val="tx1"/>
            </a:buClr>
            <a:buFont typeface="+mj-lt"/>
            <a:buAutoNum type="arabicPeriod" startAt="2"/>
          </a:pPr>
          <a:r>
            <a:rPr lang="en-GB" sz="1200" b="0" u="none" baseline="0">
              <a:solidFill>
                <a:schemeClr val="tx1"/>
              </a:solidFill>
              <a:latin typeface="+mn-lt"/>
              <a:ea typeface="+mn-ea"/>
              <a:cs typeface="+mn-cs"/>
            </a:rPr>
            <a:t>Select a difficulty level. </a:t>
          </a:r>
        </a:p>
        <a:p>
          <a:pPr marL="228600" indent="-228600">
            <a:buClr>
              <a:schemeClr val="tx1"/>
            </a:buClr>
            <a:buFont typeface="+mj-lt"/>
            <a:buAutoNum type="arabicPeriod" startAt="2"/>
          </a:pPr>
          <a:endParaRPr lang="en-GB" sz="1200" b="0" u="none" baseline="0">
            <a:solidFill>
              <a:schemeClr val="tx1"/>
            </a:solidFill>
            <a:latin typeface="+mn-lt"/>
            <a:ea typeface="+mn-ea"/>
            <a:cs typeface="+mn-cs"/>
          </a:endParaRPr>
        </a:p>
        <a:p>
          <a:pPr marL="0" indent="0">
            <a:buClr>
              <a:schemeClr val="tx1"/>
            </a:buClr>
            <a:buFont typeface="Arial" panose="020B0604020202020204" pitchFamily="34" charset="0"/>
            <a:buNone/>
          </a:pPr>
          <a:r>
            <a:rPr lang="en-GB" sz="1200" b="1" u="none" baseline="0">
              <a:solidFill>
                <a:schemeClr val="tx1"/>
              </a:solidFill>
              <a:latin typeface="+mn-lt"/>
              <a:ea typeface="+mn-ea"/>
              <a:cs typeface="+mn-cs"/>
            </a:rPr>
            <a:t>Player</a:t>
          </a:r>
        </a:p>
        <a:p>
          <a:pPr marL="228600" indent="-228600">
            <a:buClr>
              <a:schemeClr val="tx1"/>
            </a:buClr>
            <a:buFont typeface="+mj-lt"/>
            <a:buAutoNum type="arabicPeriod" startAt="3"/>
          </a:pPr>
          <a:r>
            <a:rPr lang="en-GB" sz="1200" b="0" u="none" baseline="0">
              <a:solidFill>
                <a:schemeClr val="tx1"/>
              </a:solidFill>
              <a:latin typeface="+mn-lt"/>
              <a:ea typeface="+mn-ea"/>
              <a:cs typeface="+mn-cs"/>
            </a:rPr>
            <a:t>Enter date of birth. </a:t>
          </a:r>
        </a:p>
        <a:p>
          <a:pPr marL="228600" indent="-228600">
            <a:buClr>
              <a:schemeClr val="tx1"/>
            </a:buClr>
            <a:buFont typeface="+mj-lt"/>
            <a:buAutoNum type="arabicPeriod" startAt="3"/>
          </a:pPr>
          <a:r>
            <a:rPr lang="en-GB" sz="1200" b="0" u="none" baseline="0">
              <a:solidFill>
                <a:schemeClr val="tx1"/>
              </a:solidFill>
              <a:latin typeface="+mn-lt"/>
              <a:ea typeface="+mn-ea"/>
              <a:cs typeface="+mn-cs"/>
            </a:rPr>
            <a:t>Enter surname.</a:t>
          </a:r>
        </a:p>
        <a:p>
          <a:pPr marL="228600" indent="-228600">
            <a:buClr>
              <a:schemeClr val="tx1"/>
            </a:buClr>
            <a:buFont typeface="+mj-lt"/>
            <a:buAutoNum type="arabicPeriod" startAt="3"/>
          </a:pPr>
          <a:r>
            <a:rPr lang="en-GB" sz="1200" b="0" u="none" baseline="0">
              <a:solidFill>
                <a:schemeClr val="tx1"/>
              </a:solidFill>
              <a:latin typeface="+mn-lt"/>
              <a:ea typeface="+mn-ea"/>
              <a:cs typeface="+mn-cs"/>
            </a:rPr>
            <a:t>Enter middle name (or leave blank). </a:t>
          </a:r>
        </a:p>
        <a:p>
          <a:pPr marL="228600" indent="-228600">
            <a:buClr>
              <a:schemeClr val="tx1"/>
            </a:buClr>
            <a:buFont typeface="+mj-lt"/>
            <a:buAutoNum type="arabicPeriod" startAt="3"/>
          </a:pPr>
          <a:r>
            <a:rPr lang="en-GB" sz="1200" b="0" u="none" baseline="0">
              <a:solidFill>
                <a:schemeClr val="tx1"/>
              </a:solidFill>
              <a:latin typeface="+mn-lt"/>
              <a:ea typeface="+mn-ea"/>
              <a:cs typeface="+mn-cs"/>
            </a:rPr>
            <a:t>Enter first name. </a:t>
          </a:r>
        </a:p>
        <a:p>
          <a:pPr marL="228600" indent="-228600">
            <a:buClr>
              <a:schemeClr val="tx1"/>
            </a:buClr>
            <a:buFont typeface="+mj-lt"/>
            <a:buAutoNum type="arabicPeriod" startAt="3"/>
          </a:pPr>
          <a:endParaRPr lang="en-GB" sz="1200" b="0" u="none" baseline="0">
            <a:solidFill>
              <a:schemeClr val="tx1"/>
            </a:solidFill>
            <a:latin typeface="+mn-lt"/>
            <a:ea typeface="+mn-ea"/>
            <a:cs typeface="+mn-cs"/>
          </a:endParaRPr>
        </a:p>
        <a:p>
          <a:pPr marL="0" indent="0">
            <a:buClr>
              <a:schemeClr val="tx1"/>
            </a:buClr>
            <a:buFont typeface="Arial" panose="020B0604020202020204" pitchFamily="34" charset="0"/>
            <a:buNone/>
          </a:pPr>
          <a:r>
            <a:rPr lang="en-GB" sz="1200" b="1" u="none" baseline="0">
              <a:solidFill>
                <a:schemeClr val="tx1"/>
              </a:solidFill>
              <a:latin typeface="+mn-lt"/>
              <a:ea typeface="+mn-ea"/>
              <a:cs typeface="+mn-cs"/>
            </a:rPr>
            <a:t>Gameplan</a:t>
          </a:r>
        </a:p>
        <a:p>
          <a:pPr marL="228600" indent="-228600">
            <a:buClr>
              <a:schemeClr val="tx1"/>
            </a:buClr>
            <a:buFont typeface="+mj-lt"/>
            <a:buAutoNum type="arabicPeriod" startAt="7"/>
          </a:pPr>
          <a:r>
            <a:rPr lang="en-GB" sz="1200" b="0" u="none" baseline="0">
              <a:solidFill>
                <a:schemeClr val="tx1"/>
              </a:solidFill>
              <a:latin typeface="+mn-lt"/>
              <a:ea typeface="+mn-ea"/>
              <a:cs typeface="+mn-cs"/>
            </a:rPr>
            <a:t>Enter the date starting this playthrough.</a:t>
          </a:r>
        </a:p>
        <a:p>
          <a:pPr marL="228600" indent="-228600">
            <a:buClr>
              <a:schemeClr val="tx1"/>
            </a:buClr>
            <a:buFont typeface="+mj-lt"/>
            <a:buAutoNum type="arabicPeriod" startAt="7"/>
          </a:pPr>
          <a:r>
            <a:rPr lang="en-GB" sz="1200" b="0" u="none" baseline="0">
              <a:solidFill>
                <a:schemeClr val="tx1"/>
              </a:solidFill>
              <a:latin typeface="+mn-lt"/>
              <a:ea typeface="+mn-ea"/>
              <a:cs typeface="+mn-cs"/>
            </a:rPr>
            <a:t>Select the year. </a:t>
          </a:r>
        </a:p>
        <a:p>
          <a:pPr marL="228600" indent="-228600">
            <a:buClr>
              <a:schemeClr val="tx1"/>
            </a:buClr>
            <a:buFont typeface="+mj-lt"/>
            <a:buAutoNum type="arabicPeriod" startAt="7"/>
          </a:pPr>
          <a:r>
            <a:rPr lang="en-GB" sz="1200" b="0" u="none" baseline="0">
              <a:solidFill>
                <a:schemeClr val="tx1"/>
              </a:solidFill>
              <a:latin typeface="+mn-lt"/>
              <a:ea typeface="+mn-ea"/>
              <a:cs typeface="+mn-cs"/>
            </a:rPr>
            <a:t>Select the month number.</a:t>
          </a:r>
        </a:p>
        <a:p>
          <a:pPr marL="228600" indent="-228600">
            <a:buClr>
              <a:schemeClr val="tx1"/>
            </a:buClr>
            <a:buFont typeface="+mj-lt"/>
            <a:buAutoNum type="arabicPeriod" startAt="7"/>
          </a:pPr>
          <a:r>
            <a:rPr lang="en-GB" sz="1200" b="0" u="none" baseline="0">
              <a:solidFill>
                <a:schemeClr val="tx1"/>
              </a:solidFill>
              <a:latin typeface="+mn-lt"/>
              <a:ea typeface="+mn-ea"/>
              <a:cs typeface="+mn-cs"/>
            </a:rPr>
            <a:t>Select the gameplan number as 1. </a:t>
          </a:r>
          <a:endParaRPr lang="en-GB" sz="1200" b="1" u="none" baseline="0">
            <a:solidFill>
              <a:schemeClr val="tx1"/>
            </a:solidFill>
            <a:latin typeface="+mn-lt"/>
            <a:ea typeface="+mn-ea"/>
            <a:cs typeface="+mn-cs"/>
          </a:endParaRPr>
        </a:p>
        <a:p>
          <a:endParaRPr lang="en-GB" sz="1200" baseline="0">
            <a:solidFill>
              <a:schemeClr val="tx1"/>
            </a:solidFill>
            <a:effectLst/>
            <a:latin typeface="+mn-lt"/>
            <a:ea typeface="+mn-ea"/>
            <a:cs typeface="+mn-cs"/>
          </a:endParaRPr>
        </a:p>
        <a:p>
          <a:r>
            <a:rPr lang="en-GB" sz="1200" b="1" baseline="0">
              <a:solidFill>
                <a:schemeClr val="tx1"/>
              </a:solidFill>
              <a:effectLst/>
              <a:latin typeface="+mn-lt"/>
              <a:ea typeface="+mn-ea"/>
              <a:cs typeface="+mn-cs"/>
            </a:rPr>
            <a:t>Personal Quest</a:t>
          </a:r>
        </a:p>
        <a:p>
          <a:r>
            <a:rPr lang="en-GB" sz="1200" b="0" baseline="0">
              <a:solidFill>
                <a:schemeClr val="tx1"/>
              </a:solidFill>
              <a:effectLst/>
              <a:latin typeface="+mn-lt"/>
              <a:ea typeface="+mn-ea"/>
              <a:cs typeface="+mn-cs"/>
            </a:rPr>
            <a:t>Within the text shapes on the mountain image enter a short title/description of aims, ambitions or dreams:</a:t>
          </a:r>
        </a:p>
        <a:p>
          <a:pPr marL="171450" indent="-171450">
            <a:buFont typeface="Arial" panose="020B0604020202020204" pitchFamily="34" charset="0"/>
            <a:buChar char="•"/>
          </a:pPr>
          <a:r>
            <a:rPr lang="en-GB" sz="1200" baseline="0">
              <a:solidFill>
                <a:schemeClr val="tx1"/>
              </a:solidFill>
              <a:effectLst/>
              <a:latin typeface="+mn-lt"/>
              <a:ea typeface="+mn-ea"/>
              <a:cs typeface="+mn-cs"/>
            </a:rPr>
            <a:t>Enter </a:t>
          </a:r>
          <a:r>
            <a:rPr lang="en-GB" sz="1200" u="sng" baseline="0">
              <a:solidFill>
                <a:schemeClr val="tx1"/>
              </a:solidFill>
              <a:effectLst/>
              <a:latin typeface="+mn-lt"/>
              <a:ea typeface="+mn-ea"/>
              <a:cs typeface="+mn-cs"/>
            </a:rPr>
            <a:t>the primary</a:t>
          </a:r>
          <a:r>
            <a:rPr lang="en-GB" sz="1200" u="none" baseline="0">
              <a:solidFill>
                <a:schemeClr val="tx1"/>
              </a:solidFill>
              <a:effectLst/>
              <a:latin typeface="+mn-lt"/>
              <a:ea typeface="+mn-ea"/>
              <a:cs typeface="+mn-cs"/>
            </a:rPr>
            <a:t> quest.</a:t>
          </a:r>
        </a:p>
        <a:p>
          <a:pPr marL="171450" indent="-171450">
            <a:buFont typeface="Arial" panose="020B0604020202020204" pitchFamily="34" charset="0"/>
            <a:buChar char="•"/>
          </a:pPr>
          <a:r>
            <a:rPr lang="en-GB" sz="1200" u="none" baseline="0">
              <a:solidFill>
                <a:schemeClr val="tx1"/>
              </a:solidFill>
              <a:effectLst/>
              <a:latin typeface="+mn-lt"/>
              <a:ea typeface="+mn-ea"/>
              <a:cs typeface="+mn-cs"/>
            </a:rPr>
            <a:t>Enter </a:t>
          </a:r>
          <a:r>
            <a:rPr lang="en-GB" sz="1200" u="sng" baseline="0">
              <a:solidFill>
                <a:schemeClr val="tx1"/>
              </a:solidFill>
              <a:effectLst/>
              <a:latin typeface="+mn-lt"/>
              <a:ea typeface="+mn-ea"/>
              <a:cs typeface="+mn-cs"/>
            </a:rPr>
            <a:t>three secondary</a:t>
          </a:r>
          <a:r>
            <a:rPr lang="en-GB" sz="1200" u="none" baseline="0">
              <a:solidFill>
                <a:schemeClr val="tx1"/>
              </a:solidFill>
              <a:effectLst/>
              <a:latin typeface="+mn-lt"/>
              <a:ea typeface="+mn-ea"/>
              <a:cs typeface="+mn-cs"/>
            </a:rPr>
            <a:t> quest.</a:t>
          </a:r>
        </a:p>
        <a:p>
          <a:pPr marL="171450" indent="-171450">
            <a:buFont typeface="Arial" panose="020B0604020202020204" pitchFamily="34" charset="0"/>
            <a:buChar char="•"/>
          </a:pPr>
          <a:r>
            <a:rPr lang="en-GB" sz="1200" u="none" baseline="0">
              <a:solidFill>
                <a:schemeClr val="tx1"/>
              </a:solidFill>
              <a:effectLst/>
              <a:latin typeface="+mn-lt"/>
              <a:ea typeface="+mn-ea"/>
              <a:cs typeface="+mn-cs"/>
            </a:rPr>
            <a:t>Enter </a:t>
          </a:r>
          <a:r>
            <a:rPr lang="en-GB" sz="1200" u="sng" baseline="0">
              <a:solidFill>
                <a:schemeClr val="tx1"/>
              </a:solidFill>
              <a:effectLst/>
              <a:latin typeface="+mn-lt"/>
              <a:ea typeface="+mn-ea"/>
              <a:cs typeface="+mn-cs"/>
            </a:rPr>
            <a:t>five supplementary</a:t>
          </a:r>
          <a:r>
            <a:rPr lang="en-GB" sz="1200" u="none" baseline="0">
              <a:solidFill>
                <a:schemeClr val="tx1"/>
              </a:solidFill>
              <a:effectLst/>
              <a:latin typeface="+mn-lt"/>
              <a:ea typeface="+mn-ea"/>
              <a:cs typeface="+mn-cs"/>
            </a:rPr>
            <a:t> quests</a:t>
          </a:r>
          <a:r>
            <a:rPr lang="en-GB" sz="1200" baseline="0">
              <a:solidFill>
                <a:schemeClr val="tx1"/>
              </a:solidFill>
              <a:effectLst/>
              <a:latin typeface="+mn-lt"/>
              <a:ea typeface="+mn-ea"/>
              <a:cs typeface="+mn-cs"/>
            </a:rPr>
            <a:t>.</a:t>
          </a:r>
        </a:p>
        <a:p>
          <a:r>
            <a:rPr lang="en-GB" sz="1200" baseline="0">
              <a:solidFill>
                <a:schemeClr val="tx1"/>
              </a:solidFill>
              <a:effectLst/>
              <a:latin typeface="+mn-lt"/>
              <a:ea typeface="+mn-ea"/>
              <a:cs typeface="+mn-cs"/>
            </a:rPr>
            <a:t>Update and change these as needed throughout the playthrough.</a:t>
          </a:r>
        </a:p>
        <a:p>
          <a:endParaRPr lang="en-GB" sz="1200" baseline="0">
            <a:solidFill>
              <a:schemeClr val="bg1">
                <a:lumMod val="65000"/>
              </a:schemeClr>
            </a:solidFill>
            <a:effectLst/>
            <a:latin typeface="+mn-lt"/>
            <a:ea typeface="+mn-ea"/>
            <a:cs typeface="+mn-cs"/>
          </a:endParaRPr>
        </a:p>
        <a:p>
          <a:r>
            <a:rPr lang="en-GB" sz="1200" b="1" baseline="0">
              <a:solidFill>
                <a:schemeClr val="tx1"/>
              </a:solidFill>
              <a:effectLst/>
              <a:latin typeface="+mn-lt"/>
              <a:ea typeface="+mn-ea"/>
              <a:cs typeface="+mn-cs"/>
            </a:rPr>
            <a:t>Tutorial and Theory </a:t>
          </a:r>
        </a:p>
        <a:p>
          <a:r>
            <a:rPr lang="en-GB" sz="1200" baseline="0">
              <a:solidFill>
                <a:schemeClr val="tx1"/>
              </a:solidFill>
              <a:effectLst/>
              <a:latin typeface="+mn-lt"/>
              <a:ea typeface="+mn-ea"/>
              <a:cs typeface="+mn-cs"/>
            </a:rPr>
            <a:t>Read these sections for more detail on the use of the gameplan, as well as the ideas behind it. Alternatively, come back to this later.</a:t>
          </a:r>
        </a:p>
        <a:p>
          <a:endParaRPr lang="en-GB" sz="1200" baseline="0">
            <a:solidFill>
              <a:schemeClr val="bg1">
                <a:lumMod val="65000"/>
              </a:schemeClr>
            </a:solidFill>
            <a:effectLst/>
            <a:latin typeface="+mn-lt"/>
            <a:ea typeface="+mn-ea"/>
            <a:cs typeface="+mn-cs"/>
          </a:endParaRPr>
        </a:p>
        <a:p>
          <a:r>
            <a:rPr lang="en-GB" sz="1200" b="1" baseline="0">
              <a:solidFill>
                <a:schemeClr val="tx1"/>
              </a:solidFill>
              <a:effectLst/>
              <a:latin typeface="+mn-lt"/>
              <a:ea typeface="+mn-ea"/>
              <a:cs typeface="+mn-cs"/>
            </a:rPr>
            <a:t>Help</a:t>
          </a:r>
        </a:p>
        <a:p>
          <a:r>
            <a:rPr lang="en-GB" sz="1200" baseline="0">
              <a:solidFill>
                <a:schemeClr val="tx1"/>
              </a:solidFill>
              <a:effectLst/>
              <a:latin typeface="+mn-lt"/>
              <a:ea typeface="+mn-ea"/>
              <a:cs typeface="+mn-cs"/>
            </a:rPr>
            <a:t>Select the help text or symbol in the central section above to begin a short guide initiating exploration. </a:t>
          </a:r>
        </a:p>
        <a:p>
          <a:endParaRPr lang="en-GB" sz="1200" baseline="0">
            <a:solidFill>
              <a:schemeClr val="bg1">
                <a:lumMod val="65000"/>
              </a:schemeClr>
            </a:solidFill>
            <a:effectLst/>
            <a:latin typeface="+mn-lt"/>
            <a:ea typeface="+mn-ea"/>
            <a:cs typeface="+mn-cs"/>
          </a:endParaRPr>
        </a:p>
        <a:p>
          <a:r>
            <a:rPr lang="en-GB" sz="1200" u="sng" baseline="0">
              <a:solidFill>
                <a:schemeClr val="tx1"/>
              </a:solidFill>
              <a:effectLst/>
              <a:latin typeface="+mn-lt"/>
              <a:ea typeface="+mn-ea"/>
              <a:cs typeface="+mn-cs"/>
            </a:rPr>
            <a:t>The gameplan is now ready to begin the playthrough.</a:t>
          </a:r>
        </a:p>
        <a:p>
          <a:endParaRPr lang="en-GB" sz="1200" u="sng" baseline="0">
            <a:solidFill>
              <a:schemeClr val="tx1"/>
            </a:solidFill>
            <a:effectLst/>
            <a:latin typeface="+mn-lt"/>
            <a:ea typeface="+mn-ea"/>
            <a:cs typeface="+mn-cs"/>
          </a:endParaRPr>
        </a:p>
        <a:p>
          <a:pPr marL="0" indent="0"/>
          <a:endParaRPr lang="en-GB" sz="1200" u="sng" baseline="0">
            <a:solidFill>
              <a:schemeClr val="tx1"/>
            </a:solidFill>
            <a:latin typeface="+mn-lt"/>
            <a:ea typeface="+mn-ea"/>
            <a:cs typeface="+mn-cs"/>
          </a:endParaRPr>
        </a:p>
        <a:p>
          <a:pPr marL="0" indent="0"/>
          <a:endParaRPr lang="en-GB" sz="1200" baseline="0">
            <a:solidFill>
              <a:schemeClr val="tx1"/>
            </a:solidFill>
            <a:latin typeface="+mn-lt"/>
            <a:ea typeface="+mn-ea"/>
            <a:cs typeface="+mn-cs"/>
          </a:endParaRPr>
        </a:p>
        <a:p>
          <a:pPr marL="0" indent="0"/>
          <a:endParaRPr lang="en-GB" sz="1200">
            <a:solidFill>
              <a:schemeClr val="tx1"/>
            </a:solidFill>
            <a:latin typeface="+mn-lt"/>
            <a:ea typeface="+mn-ea"/>
            <a:cs typeface="+mn-cs"/>
          </a:endParaRPr>
        </a:p>
        <a:p>
          <a:pPr marL="0" indent="0"/>
          <a:endParaRPr lang="en-GB" sz="1200" baseline="0">
            <a:solidFill>
              <a:schemeClr val="tx1"/>
            </a:solidFill>
            <a:latin typeface="+mn-lt"/>
            <a:ea typeface="+mn-ea"/>
            <a:cs typeface="+mn-cs"/>
          </a:endParaRPr>
        </a:p>
        <a:p>
          <a:pPr marL="0" indent="0"/>
          <a:endParaRPr lang="en-GB" sz="1200" baseline="0">
            <a:solidFill>
              <a:schemeClr val="tx1"/>
            </a:solidFill>
            <a:latin typeface="+mn-lt"/>
            <a:ea typeface="+mn-ea"/>
            <a:cs typeface="+mn-cs"/>
          </a:endParaRPr>
        </a:p>
        <a:p>
          <a:pPr marL="0" indent="0"/>
          <a:endParaRPr lang="en-GB" sz="1200" baseline="0">
            <a:solidFill>
              <a:schemeClr val="tx1"/>
            </a:solidFill>
            <a:latin typeface="+mn-lt"/>
            <a:ea typeface="+mn-ea"/>
            <a:cs typeface="+mn-cs"/>
          </a:endParaRPr>
        </a:p>
        <a:p>
          <a:pPr marL="0" indent="0"/>
          <a:endParaRPr lang="en-GB" sz="1200" baseline="0">
            <a:solidFill>
              <a:schemeClr val="tx1"/>
            </a:solidFill>
            <a:latin typeface="+mn-lt"/>
            <a:ea typeface="+mn-ea"/>
            <a:cs typeface="+mn-cs"/>
          </a:endParaRPr>
        </a:p>
        <a:p>
          <a:pPr marL="0" indent="0"/>
          <a:endParaRPr lang="en-GB" sz="1200" baseline="0">
            <a:solidFill>
              <a:schemeClr val="tx1"/>
            </a:solidFill>
            <a:latin typeface="+mn-lt"/>
            <a:ea typeface="+mn-ea"/>
            <a:cs typeface="+mn-cs"/>
          </a:endParaRPr>
        </a:p>
        <a:p>
          <a:pPr marL="0" indent="0"/>
          <a:endParaRPr lang="en-GB" sz="1200" baseline="0">
            <a:solidFill>
              <a:schemeClr val="tx1"/>
            </a:solidFill>
            <a:latin typeface="+mn-lt"/>
            <a:ea typeface="+mn-ea"/>
            <a:cs typeface="+mn-cs"/>
          </a:endParaRPr>
        </a:p>
        <a:p>
          <a:pPr marL="0" indent="0"/>
          <a:endParaRPr lang="en-GB" sz="1200" baseline="0">
            <a:solidFill>
              <a:schemeClr val="tx1"/>
            </a:solidFill>
            <a:latin typeface="+mn-lt"/>
            <a:ea typeface="+mn-ea"/>
            <a:cs typeface="+mn-cs"/>
          </a:endParaRPr>
        </a:p>
        <a:p>
          <a:pPr marL="0" indent="0"/>
          <a:endParaRPr lang="en-GB" sz="1200" baseline="0">
            <a:solidFill>
              <a:schemeClr val="tx1"/>
            </a:solidFill>
            <a:latin typeface="+mn-lt"/>
            <a:ea typeface="+mn-ea"/>
            <a:cs typeface="+mn-cs"/>
          </a:endParaRPr>
        </a:p>
        <a:p>
          <a:pPr marL="0" indent="0"/>
          <a:endParaRPr lang="en-GB" sz="1200">
            <a:solidFill>
              <a:schemeClr val="tx1"/>
            </a:solidFill>
            <a:latin typeface="+mn-lt"/>
            <a:ea typeface="+mn-ea"/>
            <a:cs typeface="+mn-cs"/>
          </a:endParaRPr>
        </a:p>
        <a:p>
          <a:pPr marL="0" indent="0"/>
          <a:endParaRPr lang="en-GB" sz="1200">
            <a:solidFill>
              <a:schemeClr val="tx1"/>
            </a:solidFill>
            <a:latin typeface="+mn-lt"/>
            <a:ea typeface="+mn-ea"/>
            <a:cs typeface="+mn-cs"/>
          </a:endParaRPr>
        </a:p>
        <a:p>
          <a:pPr marL="0" indent="0"/>
          <a:endParaRPr lang="en-GB" sz="1200">
            <a:solidFill>
              <a:schemeClr val="tx1"/>
            </a:solidFill>
            <a:latin typeface="+mn-lt"/>
            <a:ea typeface="+mn-ea"/>
            <a:cs typeface="+mn-cs"/>
          </a:endParaRPr>
        </a:p>
        <a:p>
          <a:pPr marL="0" indent="0"/>
          <a:r>
            <a:rPr lang="en-GB" sz="1200">
              <a:solidFill>
                <a:schemeClr val="tx1"/>
              </a:solidFill>
              <a:latin typeface="+mn-lt"/>
              <a:ea typeface="+mn-ea"/>
              <a:cs typeface="+mn-cs"/>
            </a:rPr>
            <a:t> </a:t>
          </a:r>
        </a:p>
        <a:p>
          <a:pPr marL="0" indent="0"/>
          <a:endParaRPr lang="en-GB" sz="1200">
            <a:solidFill>
              <a:schemeClr val="tx1"/>
            </a:solidFill>
            <a:latin typeface="+mn-lt"/>
            <a:ea typeface="+mn-ea"/>
            <a:cs typeface="+mn-cs"/>
          </a:endParaRPr>
        </a:p>
        <a:p>
          <a:pPr marL="0" indent="0"/>
          <a:endParaRPr lang="en-GB" sz="1200">
            <a:solidFill>
              <a:schemeClr val="tx1"/>
            </a:solidFill>
            <a:latin typeface="+mn-lt"/>
            <a:ea typeface="+mn-ea"/>
            <a:cs typeface="+mn-cs"/>
          </a:endParaRPr>
        </a:p>
        <a:p>
          <a:pPr marL="0" indent="0"/>
          <a:endParaRPr lang="en-GB" sz="1200">
            <a:solidFill>
              <a:schemeClr val="tx1"/>
            </a:solidFill>
            <a:latin typeface="+mn-lt"/>
            <a:ea typeface="+mn-ea"/>
            <a:cs typeface="+mn-cs"/>
          </a:endParaRPr>
        </a:p>
        <a:p>
          <a:pPr marL="0" indent="0"/>
          <a:endParaRPr lang="en-GB" sz="1200">
            <a:solidFill>
              <a:schemeClr val="tx1"/>
            </a:solidFill>
            <a:latin typeface="+mn-lt"/>
            <a:ea typeface="+mn-ea"/>
            <a:cs typeface="+mn-cs"/>
          </a:endParaRPr>
        </a:p>
        <a:p>
          <a:pPr marL="0" indent="0"/>
          <a:endParaRPr lang="en-GB" sz="1200">
            <a:solidFill>
              <a:schemeClr val="tx1"/>
            </a:solidFill>
            <a:latin typeface="+mn-lt"/>
            <a:ea typeface="+mn-ea"/>
            <a:cs typeface="+mn-cs"/>
          </a:endParaRPr>
        </a:p>
        <a:p>
          <a:pPr marL="0" indent="0"/>
          <a:endParaRPr lang="en-GB" sz="1200">
            <a:solidFill>
              <a:schemeClr val="tx1"/>
            </a:solidFill>
            <a:latin typeface="+mn-lt"/>
            <a:ea typeface="+mn-ea"/>
            <a:cs typeface="+mn-cs"/>
          </a:endParaRPr>
        </a:p>
        <a:p>
          <a:pPr marL="0" indent="0"/>
          <a:endParaRPr lang="en-GB" sz="1200">
            <a:solidFill>
              <a:schemeClr val="tx1"/>
            </a:solidFill>
            <a:latin typeface="+mn-lt"/>
            <a:ea typeface="+mn-ea"/>
            <a:cs typeface="+mn-cs"/>
          </a:endParaRPr>
        </a:p>
      </xdr:txBody>
    </xdr:sp>
    <xdr:clientData/>
  </xdr:twoCellAnchor>
  <xdr:twoCellAnchor>
    <xdr:from>
      <xdr:col>19</xdr:col>
      <xdr:colOff>0</xdr:colOff>
      <xdr:row>1</xdr:row>
      <xdr:rowOff>0</xdr:rowOff>
    </xdr:from>
    <xdr:to>
      <xdr:col>78</xdr:col>
      <xdr:colOff>0</xdr:colOff>
      <xdr:row>36</xdr:row>
      <xdr:rowOff>209546</xdr:rowOff>
    </xdr:to>
    <xdr:sp macro="" textlink="$AJ$454">
      <xdr:nvSpPr>
        <xdr:cNvPr id="5" name="TextBox 4">
          <a:extLst>
            <a:ext uri="{FF2B5EF4-FFF2-40B4-BE49-F238E27FC236}">
              <a16:creationId xmlns:a16="http://schemas.microsoft.com/office/drawing/2014/main" id="{E41927B7-45AB-4EEE-9F7B-160E19ACFC99}"/>
            </a:ext>
          </a:extLst>
        </xdr:cNvPr>
        <xdr:cNvSpPr txBox="1">
          <a:spLocks/>
        </xdr:cNvSpPr>
      </xdr:nvSpPr>
      <xdr:spPr>
        <a:xfrm>
          <a:off x="4343400" y="209550"/>
          <a:ext cx="13487400" cy="7543796"/>
        </a:xfrm>
        <a:prstGeom prst="rect">
          <a:avLst/>
        </a:prstGeom>
        <a:blipFill dpi="0" rotWithShape="1">
          <a:blip xmlns:r="http://schemas.openxmlformats.org/officeDocument/2006/relationships" r:embed="rId2">
            <a:alphaModFix amt="35000"/>
          </a:blip>
          <a:srcRect/>
          <a:stretch>
            <a:fillRect r="-3006"/>
          </a:stretch>
        </a:blipFill>
        <a:ln w="12700">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1CAC96BE-EF17-4147-B556-50A459849DB9}" type="TxLink">
            <a:rPr lang="en-US" sz="700" b="0" i="0" u="none" strike="noStrike" baseline="0">
              <a:solidFill>
                <a:srgbClr val="000000"/>
              </a:solidFill>
              <a:latin typeface="Agency FB"/>
              <a:ea typeface="+mn-ea"/>
              <a:cs typeface="+mn-cs"/>
            </a:rPr>
            <a:pPr marL="0" indent="0" algn="l"/>
            <a:t> </a:t>
          </a:fld>
          <a:endParaRPr lang="en-GB" sz="800" b="1" baseline="0">
            <a:solidFill>
              <a:schemeClr val="bg1"/>
            </a:solidFill>
            <a:latin typeface="+mn-lt"/>
            <a:ea typeface="+mn-ea"/>
            <a:cs typeface="+mn-cs"/>
          </a:endParaRPr>
        </a:p>
      </xdr:txBody>
    </xdr:sp>
    <xdr:clientData/>
  </xdr:twoCellAnchor>
  <xdr:twoCellAnchor>
    <xdr:from>
      <xdr:col>54</xdr:col>
      <xdr:colOff>0</xdr:colOff>
      <xdr:row>27</xdr:row>
      <xdr:rowOff>0</xdr:rowOff>
    </xdr:from>
    <xdr:to>
      <xdr:col>63</xdr:col>
      <xdr:colOff>1800</xdr:colOff>
      <xdr:row>31</xdr:row>
      <xdr:rowOff>600</xdr:rowOff>
    </xdr:to>
    <xdr:sp macro="" textlink="" fLocksText="0">
      <xdr:nvSpPr>
        <xdr:cNvPr id="61" name="TextBox 60">
          <a:extLst>
            <a:ext uri="{FF2B5EF4-FFF2-40B4-BE49-F238E27FC236}">
              <a16:creationId xmlns:a16="http://schemas.microsoft.com/office/drawing/2014/main" id="{A8E15FC2-5AF6-1BC1-71D9-5A82170D25EA}"/>
            </a:ext>
          </a:extLst>
        </xdr:cNvPr>
        <xdr:cNvSpPr txBox="1"/>
      </xdr:nvSpPr>
      <xdr:spPr>
        <a:xfrm>
          <a:off x="12344400" y="5657850"/>
          <a:ext cx="2059200" cy="838800"/>
        </a:xfrm>
        <a:prstGeom prst="rect">
          <a:avLst/>
        </a:prstGeom>
        <a:solidFill>
          <a:srgbClr val="FFFFFF">
            <a:alpha val="30196"/>
          </a:srgbClr>
        </a:solidFill>
        <a:ln w="19050">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ctr"/>
          <a:r>
            <a:rPr lang="en-GB" sz="1200" b="1" baseline="0">
              <a:solidFill>
                <a:schemeClr val="tx1">
                  <a:lumMod val="65000"/>
                  <a:lumOff val="35000"/>
                </a:schemeClr>
              </a:solidFill>
              <a:latin typeface="+mn-lt"/>
              <a:ea typeface="+mn-ea"/>
              <a:cs typeface="+mn-cs"/>
            </a:rPr>
            <a:t>SECONDARY QUEST</a:t>
          </a:r>
        </a:p>
        <a:p>
          <a:pPr marL="0" indent="0" algn="ctr"/>
          <a:r>
            <a:rPr lang="en-GB" sz="1200" b="1" baseline="0">
              <a:solidFill>
                <a:schemeClr val="tx1">
                  <a:lumMod val="65000"/>
                  <a:lumOff val="35000"/>
                </a:schemeClr>
              </a:solidFill>
              <a:latin typeface="+mn-lt"/>
              <a:ea typeface="+mn-ea"/>
              <a:cs typeface="+mn-cs"/>
            </a:rPr>
            <a:t>DETAILS</a:t>
          </a:r>
        </a:p>
      </xdr:txBody>
    </xdr:sp>
    <xdr:clientData/>
  </xdr:twoCellAnchor>
  <xdr:twoCellAnchor>
    <xdr:from>
      <xdr:col>34</xdr:col>
      <xdr:colOff>0</xdr:colOff>
      <xdr:row>27</xdr:row>
      <xdr:rowOff>0</xdr:rowOff>
    </xdr:from>
    <xdr:to>
      <xdr:col>43</xdr:col>
      <xdr:colOff>1800</xdr:colOff>
      <xdr:row>31</xdr:row>
      <xdr:rowOff>600</xdr:rowOff>
    </xdr:to>
    <xdr:sp macro="" textlink="" fLocksText="0">
      <xdr:nvSpPr>
        <xdr:cNvPr id="62" name="TextBox 61">
          <a:extLst>
            <a:ext uri="{FF2B5EF4-FFF2-40B4-BE49-F238E27FC236}">
              <a16:creationId xmlns:a16="http://schemas.microsoft.com/office/drawing/2014/main" id="{93F1DC56-FA3E-9DBC-3AF4-5582774F00C8}"/>
            </a:ext>
          </a:extLst>
        </xdr:cNvPr>
        <xdr:cNvSpPr txBox="1"/>
      </xdr:nvSpPr>
      <xdr:spPr>
        <a:xfrm>
          <a:off x="7772400" y="5657850"/>
          <a:ext cx="2059200" cy="838800"/>
        </a:xfrm>
        <a:prstGeom prst="rect">
          <a:avLst/>
        </a:prstGeom>
        <a:solidFill>
          <a:srgbClr val="FFFFFF">
            <a:alpha val="30196"/>
          </a:srgbClr>
        </a:solidFill>
        <a:ln w="19050">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ctr"/>
          <a:r>
            <a:rPr lang="en-GB" sz="1200" b="1" baseline="0">
              <a:solidFill>
                <a:schemeClr val="tx1">
                  <a:lumMod val="65000"/>
                  <a:lumOff val="35000"/>
                </a:schemeClr>
              </a:solidFill>
              <a:latin typeface="+mn-lt"/>
              <a:ea typeface="+mn-ea"/>
              <a:cs typeface="+mn-cs"/>
            </a:rPr>
            <a:t>SECONDARY QUEST</a:t>
          </a:r>
        </a:p>
        <a:p>
          <a:pPr marL="0" indent="0" algn="ctr"/>
          <a:r>
            <a:rPr lang="en-GB" sz="1200" b="1" baseline="0">
              <a:solidFill>
                <a:schemeClr val="tx1">
                  <a:lumMod val="65000"/>
                  <a:lumOff val="35000"/>
                </a:schemeClr>
              </a:solidFill>
              <a:latin typeface="+mn-lt"/>
              <a:ea typeface="+mn-ea"/>
              <a:cs typeface="+mn-cs"/>
            </a:rPr>
            <a:t>DETAILS</a:t>
          </a:r>
        </a:p>
      </xdr:txBody>
    </xdr:sp>
    <xdr:clientData/>
  </xdr:twoCellAnchor>
  <xdr:twoCellAnchor>
    <xdr:from>
      <xdr:col>24</xdr:col>
      <xdr:colOff>0</xdr:colOff>
      <xdr:row>31</xdr:row>
      <xdr:rowOff>208950</xdr:rowOff>
    </xdr:from>
    <xdr:to>
      <xdr:col>33</xdr:col>
      <xdr:colOff>1800</xdr:colOff>
      <xdr:row>36</xdr:row>
      <xdr:rowOff>0</xdr:rowOff>
    </xdr:to>
    <xdr:sp macro="" textlink="" fLocksText="0">
      <xdr:nvSpPr>
        <xdr:cNvPr id="63" name="TextBox 62">
          <a:extLst>
            <a:ext uri="{FF2B5EF4-FFF2-40B4-BE49-F238E27FC236}">
              <a16:creationId xmlns:a16="http://schemas.microsoft.com/office/drawing/2014/main" id="{41EDB4AC-6019-07C9-2BC1-1905F6669A4E}"/>
            </a:ext>
          </a:extLst>
        </xdr:cNvPr>
        <xdr:cNvSpPr txBox="1"/>
      </xdr:nvSpPr>
      <xdr:spPr>
        <a:xfrm>
          <a:off x="5486400" y="6705000"/>
          <a:ext cx="2059200" cy="838800"/>
        </a:xfrm>
        <a:prstGeom prst="rect">
          <a:avLst/>
        </a:prstGeom>
        <a:solidFill>
          <a:srgbClr val="FFFFFF">
            <a:alpha val="30196"/>
          </a:srgbClr>
        </a:solidFill>
        <a:ln w="19050">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ctr"/>
          <a:r>
            <a:rPr lang="en-GB" sz="1200" b="1" baseline="0">
              <a:solidFill>
                <a:schemeClr val="bg1">
                  <a:lumMod val="50000"/>
                </a:schemeClr>
              </a:solidFill>
              <a:latin typeface="+mn-lt"/>
              <a:ea typeface="+mn-ea"/>
              <a:cs typeface="+mn-cs"/>
            </a:rPr>
            <a:t>SUPPLEMENTARY QUEST</a:t>
          </a:r>
        </a:p>
        <a:p>
          <a:pPr marL="0" indent="0" algn="ctr"/>
          <a:r>
            <a:rPr lang="en-GB" sz="1200" b="1" baseline="0">
              <a:solidFill>
                <a:schemeClr val="bg1">
                  <a:lumMod val="50000"/>
                </a:schemeClr>
              </a:solidFill>
              <a:latin typeface="+mn-lt"/>
              <a:ea typeface="+mn-ea"/>
              <a:cs typeface="+mn-cs"/>
            </a:rPr>
            <a:t>DETAILS</a:t>
          </a:r>
        </a:p>
      </xdr:txBody>
    </xdr:sp>
    <xdr:clientData/>
  </xdr:twoCellAnchor>
  <xdr:twoCellAnchor>
    <xdr:from>
      <xdr:col>44</xdr:col>
      <xdr:colOff>1801</xdr:colOff>
      <xdr:row>22</xdr:row>
      <xdr:rowOff>0</xdr:rowOff>
    </xdr:from>
    <xdr:to>
      <xdr:col>53</xdr:col>
      <xdr:colOff>3601</xdr:colOff>
      <xdr:row>26</xdr:row>
      <xdr:rowOff>600</xdr:rowOff>
    </xdr:to>
    <xdr:sp macro="" textlink="" fLocksText="0">
      <xdr:nvSpPr>
        <xdr:cNvPr id="64" name="TextBox 63">
          <a:extLst>
            <a:ext uri="{FF2B5EF4-FFF2-40B4-BE49-F238E27FC236}">
              <a16:creationId xmlns:a16="http://schemas.microsoft.com/office/drawing/2014/main" id="{13C2BC91-78B8-D63F-FEDE-049EB18E53C2}"/>
            </a:ext>
          </a:extLst>
        </xdr:cNvPr>
        <xdr:cNvSpPr txBox="1"/>
      </xdr:nvSpPr>
      <xdr:spPr>
        <a:xfrm>
          <a:off x="10060201" y="4610100"/>
          <a:ext cx="2059200" cy="838800"/>
        </a:xfrm>
        <a:prstGeom prst="rect">
          <a:avLst/>
        </a:prstGeom>
        <a:solidFill>
          <a:srgbClr val="FFFFFF">
            <a:alpha val="30196"/>
          </a:srgbClr>
        </a:solidFill>
        <a:ln w="19050">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ctr"/>
          <a:r>
            <a:rPr lang="en-GB" sz="1200" b="1" baseline="0">
              <a:solidFill>
                <a:schemeClr val="tx1"/>
              </a:solidFill>
              <a:latin typeface="+mn-lt"/>
              <a:ea typeface="+mn-ea"/>
              <a:cs typeface="+mn-cs"/>
            </a:rPr>
            <a:t>PRIMAY QUEST</a:t>
          </a:r>
        </a:p>
        <a:p>
          <a:pPr marL="0" indent="0" algn="ctr"/>
          <a:r>
            <a:rPr lang="en-GB" sz="1200" b="1" baseline="0">
              <a:solidFill>
                <a:schemeClr val="tx1"/>
              </a:solidFill>
              <a:latin typeface="+mn-lt"/>
              <a:ea typeface="+mn-ea"/>
              <a:cs typeface="+mn-cs"/>
            </a:rPr>
            <a:t>DETAILS</a:t>
          </a:r>
        </a:p>
      </xdr:txBody>
    </xdr:sp>
    <xdr:clientData/>
  </xdr:twoCellAnchor>
  <xdr:twoCellAnchor>
    <xdr:from>
      <xdr:col>44</xdr:col>
      <xdr:colOff>1</xdr:colOff>
      <xdr:row>27</xdr:row>
      <xdr:rowOff>600</xdr:rowOff>
    </xdr:from>
    <xdr:to>
      <xdr:col>53</xdr:col>
      <xdr:colOff>1801</xdr:colOff>
      <xdr:row>31</xdr:row>
      <xdr:rowOff>1200</xdr:rowOff>
    </xdr:to>
    <xdr:sp macro="" textlink="" fLocksText="0">
      <xdr:nvSpPr>
        <xdr:cNvPr id="65" name="TextBox 64">
          <a:extLst>
            <a:ext uri="{FF2B5EF4-FFF2-40B4-BE49-F238E27FC236}">
              <a16:creationId xmlns:a16="http://schemas.microsoft.com/office/drawing/2014/main" id="{D6E5573B-FD6F-1C8D-B3D0-627095FE1B40}"/>
            </a:ext>
          </a:extLst>
        </xdr:cNvPr>
        <xdr:cNvSpPr txBox="1"/>
      </xdr:nvSpPr>
      <xdr:spPr>
        <a:xfrm>
          <a:off x="10058401" y="5658450"/>
          <a:ext cx="2059200" cy="838800"/>
        </a:xfrm>
        <a:prstGeom prst="rect">
          <a:avLst/>
        </a:prstGeom>
        <a:solidFill>
          <a:srgbClr val="FFFFFF">
            <a:alpha val="30196"/>
          </a:srgbClr>
        </a:solidFill>
        <a:ln w="19050">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ctr"/>
          <a:r>
            <a:rPr lang="en-GB" sz="1200" b="1" baseline="0">
              <a:solidFill>
                <a:schemeClr val="tx1">
                  <a:lumMod val="65000"/>
                  <a:lumOff val="35000"/>
                </a:schemeClr>
              </a:solidFill>
              <a:latin typeface="+mn-lt"/>
              <a:ea typeface="+mn-ea"/>
              <a:cs typeface="+mn-cs"/>
            </a:rPr>
            <a:t>SECONDARY QUEST</a:t>
          </a:r>
        </a:p>
        <a:p>
          <a:pPr marL="0" indent="0" algn="ctr"/>
          <a:r>
            <a:rPr lang="en-GB" sz="1200" b="1" baseline="0">
              <a:solidFill>
                <a:schemeClr val="tx1">
                  <a:lumMod val="65000"/>
                  <a:lumOff val="35000"/>
                </a:schemeClr>
              </a:solidFill>
              <a:latin typeface="+mn-lt"/>
              <a:ea typeface="+mn-ea"/>
              <a:cs typeface="+mn-cs"/>
            </a:rPr>
            <a:t>DETAILS</a:t>
          </a:r>
        </a:p>
      </xdr:txBody>
    </xdr:sp>
    <xdr:clientData/>
  </xdr:twoCellAnchor>
  <xdr:twoCellAnchor>
    <xdr:from>
      <xdr:col>34</xdr:col>
      <xdr:colOff>0</xdr:colOff>
      <xdr:row>31</xdr:row>
      <xdr:rowOff>208950</xdr:rowOff>
    </xdr:from>
    <xdr:to>
      <xdr:col>43</xdr:col>
      <xdr:colOff>1800</xdr:colOff>
      <xdr:row>36</xdr:row>
      <xdr:rowOff>0</xdr:rowOff>
    </xdr:to>
    <xdr:sp macro="" textlink="" fLocksText="0">
      <xdr:nvSpPr>
        <xdr:cNvPr id="66" name="TextBox 65">
          <a:extLst>
            <a:ext uri="{FF2B5EF4-FFF2-40B4-BE49-F238E27FC236}">
              <a16:creationId xmlns:a16="http://schemas.microsoft.com/office/drawing/2014/main" id="{13AD31CB-8465-AEAC-77CB-E8B359322F0D}"/>
            </a:ext>
          </a:extLst>
        </xdr:cNvPr>
        <xdr:cNvSpPr txBox="1"/>
      </xdr:nvSpPr>
      <xdr:spPr>
        <a:xfrm>
          <a:off x="7772400" y="6705000"/>
          <a:ext cx="2059200" cy="838800"/>
        </a:xfrm>
        <a:prstGeom prst="rect">
          <a:avLst/>
        </a:prstGeom>
        <a:solidFill>
          <a:srgbClr val="FFFFFF">
            <a:alpha val="30196"/>
          </a:srgbClr>
        </a:solidFill>
        <a:ln w="19050">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ctr"/>
          <a:r>
            <a:rPr lang="en-GB" sz="1200" b="1" baseline="0">
              <a:solidFill>
                <a:schemeClr val="bg1">
                  <a:lumMod val="50000"/>
                </a:schemeClr>
              </a:solidFill>
              <a:latin typeface="+mn-lt"/>
              <a:ea typeface="+mn-ea"/>
              <a:cs typeface="+mn-cs"/>
            </a:rPr>
            <a:t>SUPPLEMENTARY QUEST</a:t>
          </a:r>
        </a:p>
        <a:p>
          <a:pPr marL="0" indent="0" algn="ctr"/>
          <a:r>
            <a:rPr lang="en-GB" sz="1200" b="1" baseline="0">
              <a:solidFill>
                <a:schemeClr val="bg1">
                  <a:lumMod val="50000"/>
                </a:schemeClr>
              </a:solidFill>
              <a:latin typeface="+mn-lt"/>
              <a:ea typeface="+mn-ea"/>
              <a:cs typeface="+mn-cs"/>
            </a:rPr>
            <a:t>DETAILS</a:t>
          </a:r>
        </a:p>
      </xdr:txBody>
    </xdr:sp>
    <xdr:clientData/>
  </xdr:twoCellAnchor>
  <xdr:twoCellAnchor>
    <xdr:from>
      <xdr:col>54</xdr:col>
      <xdr:colOff>1800</xdr:colOff>
      <xdr:row>31</xdr:row>
      <xdr:rowOff>208950</xdr:rowOff>
    </xdr:from>
    <xdr:to>
      <xdr:col>63</xdr:col>
      <xdr:colOff>3600</xdr:colOff>
      <xdr:row>36</xdr:row>
      <xdr:rowOff>0</xdr:rowOff>
    </xdr:to>
    <xdr:sp macro="" textlink="" fLocksText="0">
      <xdr:nvSpPr>
        <xdr:cNvPr id="67" name="TextBox 66">
          <a:extLst>
            <a:ext uri="{FF2B5EF4-FFF2-40B4-BE49-F238E27FC236}">
              <a16:creationId xmlns:a16="http://schemas.microsoft.com/office/drawing/2014/main" id="{F501951A-D7DA-A09A-0EBE-CF8818D5C835}"/>
            </a:ext>
          </a:extLst>
        </xdr:cNvPr>
        <xdr:cNvSpPr txBox="1"/>
      </xdr:nvSpPr>
      <xdr:spPr>
        <a:xfrm>
          <a:off x="12346200" y="6705000"/>
          <a:ext cx="2059200" cy="838800"/>
        </a:xfrm>
        <a:prstGeom prst="rect">
          <a:avLst/>
        </a:prstGeom>
        <a:solidFill>
          <a:srgbClr val="FFFFFF">
            <a:alpha val="30196"/>
          </a:srgbClr>
        </a:solidFill>
        <a:ln w="19050">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ctr"/>
          <a:r>
            <a:rPr lang="en-GB" sz="1200" b="1" baseline="0">
              <a:solidFill>
                <a:schemeClr val="bg1">
                  <a:lumMod val="50000"/>
                </a:schemeClr>
              </a:solidFill>
              <a:latin typeface="+mn-lt"/>
              <a:ea typeface="+mn-ea"/>
              <a:cs typeface="+mn-cs"/>
            </a:rPr>
            <a:t>SUPPLEMENTARY QUEST</a:t>
          </a:r>
        </a:p>
        <a:p>
          <a:pPr marL="0" indent="0" algn="ctr"/>
          <a:r>
            <a:rPr lang="en-GB" sz="1200" b="1" baseline="0">
              <a:solidFill>
                <a:schemeClr val="bg1">
                  <a:lumMod val="50000"/>
                </a:schemeClr>
              </a:solidFill>
              <a:latin typeface="+mn-lt"/>
              <a:ea typeface="+mn-ea"/>
              <a:cs typeface="+mn-cs"/>
            </a:rPr>
            <a:t>DETAILS</a:t>
          </a:r>
        </a:p>
      </xdr:txBody>
    </xdr:sp>
    <xdr:clientData/>
  </xdr:twoCellAnchor>
  <xdr:twoCellAnchor>
    <xdr:from>
      <xdr:col>64</xdr:col>
      <xdr:colOff>1800</xdr:colOff>
      <xdr:row>31</xdr:row>
      <xdr:rowOff>208950</xdr:rowOff>
    </xdr:from>
    <xdr:to>
      <xdr:col>73</xdr:col>
      <xdr:colOff>3600</xdr:colOff>
      <xdr:row>36</xdr:row>
      <xdr:rowOff>0</xdr:rowOff>
    </xdr:to>
    <xdr:sp macro="" textlink="" fLocksText="0">
      <xdr:nvSpPr>
        <xdr:cNvPr id="68" name="TextBox 67">
          <a:extLst>
            <a:ext uri="{FF2B5EF4-FFF2-40B4-BE49-F238E27FC236}">
              <a16:creationId xmlns:a16="http://schemas.microsoft.com/office/drawing/2014/main" id="{FFE00BE3-D956-CB43-4051-A9C17678E017}"/>
            </a:ext>
          </a:extLst>
        </xdr:cNvPr>
        <xdr:cNvSpPr txBox="1"/>
      </xdr:nvSpPr>
      <xdr:spPr>
        <a:xfrm>
          <a:off x="14632200" y="6705000"/>
          <a:ext cx="2059200" cy="838800"/>
        </a:xfrm>
        <a:prstGeom prst="rect">
          <a:avLst/>
        </a:prstGeom>
        <a:solidFill>
          <a:srgbClr val="FFFFFF">
            <a:alpha val="30196"/>
          </a:srgbClr>
        </a:solidFill>
        <a:ln w="19050">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ctr"/>
          <a:r>
            <a:rPr lang="en-GB" sz="1200" b="1" baseline="0">
              <a:solidFill>
                <a:schemeClr val="bg1">
                  <a:lumMod val="50000"/>
                </a:schemeClr>
              </a:solidFill>
              <a:latin typeface="+mn-lt"/>
              <a:ea typeface="+mn-ea"/>
              <a:cs typeface="+mn-cs"/>
            </a:rPr>
            <a:t>SUPPLEMENTARY QUEST</a:t>
          </a:r>
        </a:p>
        <a:p>
          <a:pPr marL="0" indent="0" algn="ctr"/>
          <a:r>
            <a:rPr lang="en-GB" sz="1200" b="1" baseline="0">
              <a:solidFill>
                <a:schemeClr val="bg1">
                  <a:lumMod val="50000"/>
                </a:schemeClr>
              </a:solidFill>
              <a:latin typeface="+mn-lt"/>
              <a:ea typeface="+mn-ea"/>
              <a:cs typeface="+mn-cs"/>
            </a:rPr>
            <a:t>DETAILS</a:t>
          </a:r>
        </a:p>
      </xdr:txBody>
    </xdr:sp>
    <xdr:clientData/>
  </xdr:twoCellAnchor>
  <xdr:twoCellAnchor>
    <xdr:from>
      <xdr:col>44</xdr:col>
      <xdr:colOff>1801</xdr:colOff>
      <xdr:row>31</xdr:row>
      <xdr:rowOff>208950</xdr:rowOff>
    </xdr:from>
    <xdr:to>
      <xdr:col>53</xdr:col>
      <xdr:colOff>3601</xdr:colOff>
      <xdr:row>36</xdr:row>
      <xdr:rowOff>0</xdr:rowOff>
    </xdr:to>
    <xdr:sp macro="" textlink="" fLocksText="0">
      <xdr:nvSpPr>
        <xdr:cNvPr id="69" name="TextBox 68">
          <a:extLst>
            <a:ext uri="{FF2B5EF4-FFF2-40B4-BE49-F238E27FC236}">
              <a16:creationId xmlns:a16="http://schemas.microsoft.com/office/drawing/2014/main" id="{CD7CBD8F-9FA2-F567-F005-E6A190ABEACE}"/>
            </a:ext>
          </a:extLst>
        </xdr:cNvPr>
        <xdr:cNvSpPr txBox="1"/>
      </xdr:nvSpPr>
      <xdr:spPr>
        <a:xfrm>
          <a:off x="10060201" y="6705000"/>
          <a:ext cx="2059200" cy="838800"/>
        </a:xfrm>
        <a:prstGeom prst="rect">
          <a:avLst/>
        </a:prstGeom>
        <a:solidFill>
          <a:srgbClr val="FFFFFF">
            <a:alpha val="30196"/>
          </a:srgbClr>
        </a:solidFill>
        <a:ln w="19050">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ctr"/>
          <a:r>
            <a:rPr lang="en-GB" sz="1200" b="1" baseline="0">
              <a:solidFill>
                <a:schemeClr val="bg1">
                  <a:lumMod val="50000"/>
                </a:schemeClr>
              </a:solidFill>
              <a:latin typeface="+mn-lt"/>
              <a:ea typeface="+mn-ea"/>
              <a:cs typeface="+mn-cs"/>
            </a:rPr>
            <a:t>SUPPLEMENTARY QUEST</a:t>
          </a:r>
        </a:p>
        <a:p>
          <a:pPr marL="0" indent="0" algn="ctr"/>
          <a:r>
            <a:rPr lang="en-GB" sz="1200" b="1" baseline="0">
              <a:solidFill>
                <a:schemeClr val="bg1">
                  <a:lumMod val="50000"/>
                </a:schemeClr>
              </a:solidFill>
              <a:latin typeface="+mn-lt"/>
              <a:ea typeface="+mn-ea"/>
              <a:cs typeface="+mn-cs"/>
            </a:rPr>
            <a:t>DETAILS</a:t>
          </a:r>
        </a:p>
      </xdr:txBody>
    </xdr:sp>
    <xdr:clientData/>
  </xdr:twoCellAnchor>
  <xdr:twoCellAnchor>
    <xdr:from>
      <xdr:col>43</xdr:col>
      <xdr:colOff>1800</xdr:colOff>
      <xdr:row>16</xdr:row>
      <xdr:rowOff>104775</xdr:rowOff>
    </xdr:from>
    <xdr:to>
      <xdr:col>54</xdr:col>
      <xdr:colOff>1800</xdr:colOff>
      <xdr:row>18</xdr:row>
      <xdr:rowOff>104775</xdr:rowOff>
    </xdr:to>
    <xdr:sp macro="" textlink="">
      <xdr:nvSpPr>
        <xdr:cNvPr id="60" name="TextBox 59">
          <a:extLst>
            <a:ext uri="{FF2B5EF4-FFF2-40B4-BE49-F238E27FC236}">
              <a16:creationId xmlns:a16="http://schemas.microsoft.com/office/drawing/2014/main" id="{F4DC40B7-B9B0-A936-C00E-C2603B82D588}"/>
            </a:ext>
          </a:extLst>
        </xdr:cNvPr>
        <xdr:cNvSpPr txBox="1"/>
      </xdr:nvSpPr>
      <xdr:spPr>
        <a:xfrm>
          <a:off x="9831600" y="3457575"/>
          <a:ext cx="2514600" cy="419100"/>
        </a:xfrm>
        <a:prstGeom prst="rect">
          <a:avLst/>
        </a:prstGeom>
        <a:noFill/>
        <a:ln w="19050">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ctr"/>
          <a:r>
            <a:rPr lang="en-GB" sz="2200" b="1" baseline="0">
              <a:solidFill>
                <a:schemeClr val="tx1"/>
              </a:solidFill>
              <a:latin typeface="+mn-lt"/>
              <a:ea typeface="+mn-ea"/>
              <a:cs typeface="+mn-cs"/>
            </a:rPr>
            <a:t>Q    U    E    S    T </a:t>
          </a:r>
        </a:p>
      </xdr:txBody>
    </xdr:sp>
    <xdr:clientData/>
  </xdr:twoCellAnchor>
  <xdr:twoCellAnchor>
    <xdr:from>
      <xdr:col>60</xdr:col>
      <xdr:colOff>1</xdr:colOff>
      <xdr:row>65</xdr:row>
      <xdr:rowOff>0</xdr:rowOff>
    </xdr:from>
    <xdr:to>
      <xdr:col>78</xdr:col>
      <xdr:colOff>0</xdr:colOff>
      <xdr:row>130</xdr:row>
      <xdr:rowOff>0</xdr:rowOff>
    </xdr:to>
    <xdr:sp macro="" textlink="">
      <xdr:nvSpPr>
        <xdr:cNvPr id="7" name="TextBox 6">
          <a:extLst>
            <a:ext uri="{FF2B5EF4-FFF2-40B4-BE49-F238E27FC236}">
              <a16:creationId xmlns:a16="http://schemas.microsoft.com/office/drawing/2014/main" id="{01E0A9A5-6F09-42F0-9D04-6067D2819505}"/>
            </a:ext>
          </a:extLst>
        </xdr:cNvPr>
        <xdr:cNvSpPr txBox="1">
          <a:spLocks/>
        </xdr:cNvSpPr>
      </xdr:nvSpPr>
      <xdr:spPr>
        <a:xfrm>
          <a:off x="13716001" y="13620750"/>
          <a:ext cx="4114799" cy="13620750"/>
        </a:xfrm>
        <a:prstGeom prst="rect">
          <a:avLst/>
        </a:prstGeom>
        <a:noFill/>
        <a:ln w="22225">
          <a:noFill/>
        </a:ln>
      </xdr:spPr>
      <xdr:style>
        <a:lnRef idx="0">
          <a:scrgbClr r="0" g="0" b="0"/>
        </a:lnRef>
        <a:fillRef idx="0">
          <a:scrgbClr r="0" g="0" b="0"/>
        </a:fillRef>
        <a:effectRef idx="0">
          <a:scrgbClr r="0" g="0" b="0"/>
        </a:effectRef>
        <a:fontRef idx="minor">
          <a:schemeClr val="tx1"/>
        </a:fontRef>
      </xdr:style>
      <xdr:txBody>
        <a:bodyPr vertOverflow="clip" horzOverflow="clip" wrap="square" lIns="252000" rIns="252000" rtlCol="0" anchor="t">
          <a:noAutofit/>
        </a:bodyPr>
        <a:lstStyle/>
        <a:p>
          <a:pPr marL="0" indent="0">
            <a:buFont typeface="Arial" panose="020B0604020202020204" pitchFamily="34" charset="0"/>
            <a:buNone/>
          </a:pPr>
          <a:endParaRPr lang="en-GB" sz="1200" b="1" baseline="0">
            <a:solidFill>
              <a:schemeClr val="tx1"/>
            </a:solidFill>
            <a:latin typeface="+mn-lt"/>
            <a:ea typeface="+mn-ea"/>
            <a:cs typeface="+mn-cs"/>
          </a:endParaRPr>
        </a:p>
        <a:p>
          <a:pPr marL="0" indent="0">
            <a:buFont typeface="Wingdings" panose="05000000000000000000" pitchFamily="2" charset="2"/>
            <a:buNone/>
          </a:pPr>
          <a:r>
            <a:rPr lang="en-GB" sz="1200" b="1" baseline="0">
              <a:solidFill>
                <a:schemeClr val="tx1"/>
              </a:solidFill>
              <a:latin typeface="+mn-lt"/>
              <a:ea typeface="+mn-ea"/>
              <a:cs typeface="+mn-cs"/>
            </a:rPr>
            <a:t>Loot Transfer</a:t>
          </a:r>
        </a:p>
        <a:p>
          <a:pPr marL="0" indent="0">
            <a:buFont typeface="Wingdings" panose="05000000000000000000" pitchFamily="2" charset="2"/>
            <a:buNone/>
          </a:pPr>
          <a:r>
            <a:rPr lang="en-GB" sz="1200" b="0" baseline="0">
              <a:solidFill>
                <a:schemeClr val="tx1"/>
              </a:solidFill>
              <a:latin typeface="+mn-lt"/>
              <a:ea typeface="+mn-ea"/>
              <a:cs typeface="+mn-cs"/>
            </a:rPr>
            <a:t>Transfer end of month </a:t>
          </a:r>
          <a:r>
            <a:rPr lang="en-GB" sz="1200" b="0" u="sng" baseline="0">
              <a:solidFill>
                <a:schemeClr val="tx1"/>
              </a:solidFill>
              <a:latin typeface="+mn-lt"/>
              <a:ea typeface="+mn-ea"/>
              <a:cs typeface="+mn-cs"/>
            </a:rPr>
            <a:t>loot sum</a:t>
          </a:r>
          <a:r>
            <a:rPr lang="en-GB" sz="1200" b="0" baseline="0">
              <a:solidFill>
                <a:schemeClr val="tx1"/>
              </a:solidFill>
              <a:latin typeface="+mn-lt"/>
              <a:ea typeface="+mn-ea"/>
              <a:cs typeface="+mn-cs"/>
            </a:rPr>
            <a:t> to bank savings account.</a:t>
          </a:r>
        </a:p>
        <a:p>
          <a:pPr marL="0" indent="0">
            <a:buFont typeface="Wingdings" panose="05000000000000000000" pitchFamily="2" charset="2"/>
            <a:buNone/>
          </a:pPr>
          <a:endParaRPr lang="en-GB" sz="1200" b="0" baseline="0">
            <a:solidFill>
              <a:schemeClr val="tx1"/>
            </a:solidFill>
            <a:latin typeface="+mn-lt"/>
            <a:ea typeface="+mn-ea"/>
            <a:cs typeface="+mn-cs"/>
          </a:endParaRPr>
        </a:p>
        <a:p>
          <a:pPr marL="0" indent="0">
            <a:buFont typeface="Wingdings" panose="05000000000000000000" pitchFamily="2" charset="2"/>
            <a:buNone/>
          </a:pPr>
          <a:r>
            <a:rPr lang="en-GB" sz="1200" b="1" baseline="0">
              <a:solidFill>
                <a:schemeClr val="tx1"/>
              </a:solidFill>
              <a:latin typeface="+mn-lt"/>
              <a:ea typeface="+mn-ea"/>
              <a:cs typeface="+mn-cs"/>
            </a:rPr>
            <a:t>New Gameplan File</a:t>
          </a:r>
        </a:p>
        <a:p>
          <a:pPr marL="0" indent="0">
            <a:buFont typeface="Wingdings" panose="05000000000000000000" pitchFamily="2" charset="2"/>
            <a:buNone/>
          </a:pPr>
          <a:r>
            <a:rPr lang="en-GB" sz="1200" b="0" baseline="0">
              <a:solidFill>
                <a:schemeClr val="tx1"/>
              </a:solidFill>
              <a:latin typeface="+mn-lt"/>
              <a:ea typeface="+mn-ea"/>
              <a:cs typeface="+mn-cs"/>
            </a:rPr>
            <a:t>While in current Gameplan save as a new Excel workbook document, "</a:t>
          </a:r>
          <a:r>
            <a:rPr lang="en-GB" sz="1200" b="0" u="sng" baseline="0">
              <a:solidFill>
                <a:schemeClr val="tx1"/>
              </a:solidFill>
              <a:latin typeface="+mn-lt"/>
              <a:ea typeface="+mn-ea"/>
              <a:cs typeface="+mn-cs"/>
            </a:rPr>
            <a:t>20YY-MM-MMM-Gameplan.xlsxm</a:t>
          </a:r>
          <a:r>
            <a:rPr lang="en-GB" sz="1200" b="0" baseline="0">
              <a:solidFill>
                <a:schemeClr val="tx1"/>
              </a:solidFill>
              <a:latin typeface="+mn-lt"/>
              <a:ea typeface="+mn-ea"/>
              <a:cs typeface="+mn-cs"/>
            </a:rPr>
            <a:t>".</a:t>
          </a:r>
        </a:p>
        <a:p>
          <a:pPr marL="0" indent="0">
            <a:buFont typeface="Wingdings" panose="05000000000000000000" pitchFamily="2" charset="2"/>
            <a:buNone/>
          </a:pPr>
          <a:r>
            <a:rPr lang="en-GB" sz="1200" b="0" baseline="0">
              <a:solidFill>
                <a:schemeClr val="tx1"/>
              </a:solidFill>
              <a:latin typeface="+mn-lt"/>
              <a:ea typeface="+mn-ea"/>
              <a:cs typeface="+mn-cs"/>
            </a:rPr>
            <a:t>Edit desktop shortcut to link to new month workbook.</a:t>
          </a:r>
        </a:p>
        <a:p>
          <a:pPr marL="0" indent="0">
            <a:buFont typeface="Wingdings" panose="05000000000000000000" pitchFamily="2" charset="2"/>
            <a:buNone/>
          </a:pPr>
          <a:r>
            <a:rPr lang="en-GB" sz="1200" b="0" baseline="0">
              <a:solidFill>
                <a:schemeClr val="tx1"/>
              </a:solidFill>
              <a:latin typeface="+mn-lt"/>
              <a:ea typeface="+mn-ea"/>
              <a:cs typeface="+mn-cs"/>
            </a:rPr>
            <a:t>Open new Gameplan workbook for the new month. </a:t>
          </a:r>
        </a:p>
        <a:p>
          <a:pPr marL="0" indent="0">
            <a:buFont typeface="Wingdings" panose="05000000000000000000" pitchFamily="2" charset="2"/>
            <a:buNone/>
          </a:pPr>
          <a:endParaRPr lang="en-GB" sz="1200" b="0" baseline="0">
            <a:solidFill>
              <a:schemeClr val="tx1"/>
            </a:solidFill>
            <a:latin typeface="+mn-lt"/>
            <a:ea typeface="+mn-ea"/>
            <a:cs typeface="+mn-cs"/>
          </a:endParaRPr>
        </a:p>
        <a:p>
          <a:pPr marL="0" indent="0">
            <a:buFont typeface="Wingdings" panose="05000000000000000000" pitchFamily="2" charset="2"/>
            <a:buNone/>
          </a:pPr>
          <a:r>
            <a:rPr lang="en-GB" sz="1200" b="1" baseline="0">
              <a:solidFill>
                <a:schemeClr val="tx1"/>
              </a:solidFill>
              <a:latin typeface="+mn-lt"/>
              <a:ea typeface="+mn-ea"/>
              <a:cs typeface="+mn-cs"/>
            </a:rPr>
            <a:t>Completed Missions Record</a:t>
          </a:r>
        </a:p>
        <a:p>
          <a:pPr marL="0" indent="0">
            <a:buFont typeface="Wingdings" panose="05000000000000000000" pitchFamily="2" charset="2"/>
            <a:buNone/>
          </a:pPr>
          <a:r>
            <a:rPr lang="en-GB" sz="1200" b="0" baseline="0">
              <a:solidFill>
                <a:schemeClr val="tx1"/>
              </a:solidFill>
              <a:latin typeface="+mn-lt"/>
              <a:ea typeface="+mn-ea"/>
              <a:cs typeface="+mn-cs"/>
            </a:rPr>
            <a:t>For new months February to December:</a:t>
          </a:r>
        </a:p>
        <a:p>
          <a:pPr marL="171450" indent="-171450">
            <a:buFont typeface="Arial" panose="020B0604020202020204" pitchFamily="34" charset="0"/>
            <a:buChar char="•"/>
          </a:pPr>
          <a:r>
            <a:rPr lang="en-GB" sz="1200" b="0" baseline="0">
              <a:solidFill>
                <a:schemeClr val="tx1"/>
              </a:solidFill>
              <a:latin typeface="+mn-lt"/>
              <a:ea typeface="+mn-ea"/>
              <a:cs typeface="+mn-cs"/>
            </a:rPr>
            <a:t>Copy and paste details of any </a:t>
          </a:r>
          <a:r>
            <a:rPr lang="en-GB" sz="1200" b="0" u="sng" baseline="0">
              <a:solidFill>
                <a:schemeClr val="tx1"/>
              </a:solidFill>
              <a:latin typeface="+mn-lt"/>
              <a:ea typeface="+mn-ea"/>
              <a:cs typeface="+mn-cs"/>
            </a:rPr>
            <a:t>repeating, singular or skill</a:t>
          </a:r>
          <a:r>
            <a:rPr lang="en-GB" sz="1200" b="0" baseline="0">
              <a:solidFill>
                <a:schemeClr val="tx1"/>
              </a:solidFill>
              <a:latin typeface="+mn-lt"/>
              <a:ea typeface="+mn-ea"/>
              <a:cs typeface="+mn-cs"/>
            </a:rPr>
            <a:t> </a:t>
          </a:r>
          <a:r>
            <a:rPr lang="en-GB" sz="1200" b="0" u="sng" baseline="0">
              <a:solidFill>
                <a:schemeClr val="tx1"/>
              </a:solidFill>
              <a:latin typeface="+mn-lt"/>
              <a:ea typeface="+mn-ea"/>
              <a:cs typeface="+mn-cs"/>
            </a:rPr>
            <a:t>missions</a:t>
          </a:r>
          <a:r>
            <a:rPr lang="en-GB" sz="1200" b="0" baseline="0">
              <a:solidFill>
                <a:schemeClr val="tx1"/>
              </a:solidFill>
              <a:latin typeface="+mn-lt"/>
              <a:ea typeface="+mn-ea"/>
              <a:cs typeface="+mn-cs"/>
            </a:rPr>
            <a:t> completed during month just passed to the </a:t>
          </a:r>
          <a:r>
            <a:rPr lang="en-GB" sz="1200" b="0" u="sng" baseline="0">
              <a:solidFill>
                <a:schemeClr val="tx1"/>
              </a:solidFill>
              <a:latin typeface="+mn-lt"/>
              <a:ea typeface="+mn-ea"/>
              <a:cs typeface="+mn-cs"/>
            </a:rPr>
            <a:t>'20YY Complete So Far</a:t>
          </a:r>
          <a:r>
            <a:rPr lang="en-GB" sz="1200" b="0" baseline="0">
              <a:solidFill>
                <a:schemeClr val="tx1"/>
              </a:solidFill>
              <a:latin typeface="+mn-lt"/>
              <a:ea typeface="+mn-ea"/>
              <a:cs typeface="+mn-cs"/>
            </a:rPr>
            <a:t>' section. </a:t>
          </a:r>
        </a:p>
        <a:p>
          <a:pPr marL="0" indent="0">
            <a:buFont typeface="Arial" panose="020B0604020202020204" pitchFamily="34" charset="0"/>
            <a:buNone/>
          </a:pPr>
          <a:r>
            <a:rPr lang="en-GB" sz="1200" b="0" baseline="0">
              <a:solidFill>
                <a:schemeClr val="tx1"/>
              </a:solidFill>
              <a:latin typeface="+mn-lt"/>
              <a:ea typeface="+mn-ea"/>
              <a:cs typeface="+mn-cs"/>
            </a:rPr>
            <a:t>For the month of January starting a new year:</a:t>
          </a:r>
        </a:p>
        <a:p>
          <a:pPr marL="171450" indent="-171450">
            <a:buFont typeface="Arial" panose="020B0604020202020204" pitchFamily="34" charset="0"/>
            <a:buChar char="•"/>
          </a:pPr>
          <a:r>
            <a:rPr lang="en-GB" sz="1200" b="0" baseline="0">
              <a:solidFill>
                <a:schemeClr val="tx1"/>
              </a:solidFill>
              <a:latin typeface="+mn-lt"/>
              <a:ea typeface="+mn-ea"/>
              <a:cs typeface="+mn-cs"/>
            </a:rPr>
            <a:t>Delete and clear all missions from the </a:t>
          </a:r>
          <a:r>
            <a:rPr lang="en-GB" sz="1200" b="0" u="sng" baseline="0">
              <a:solidFill>
                <a:schemeClr val="tx1"/>
              </a:solidFill>
              <a:latin typeface="+mn-lt"/>
              <a:ea typeface="+mn-ea"/>
              <a:cs typeface="+mn-cs"/>
            </a:rPr>
            <a:t>'20YY Complete So Far</a:t>
          </a:r>
          <a:r>
            <a:rPr lang="en-GB" sz="1200" b="0" baseline="0">
              <a:solidFill>
                <a:schemeClr val="tx1"/>
              </a:solidFill>
              <a:latin typeface="+mn-lt"/>
              <a:ea typeface="+mn-ea"/>
              <a:cs typeface="+mn-cs"/>
            </a:rPr>
            <a:t>' section.</a:t>
          </a:r>
        </a:p>
        <a:p>
          <a:pPr marL="171450" indent="-171450">
            <a:buFont typeface="Arial" panose="020B0604020202020204" pitchFamily="34" charset="0"/>
            <a:buChar char="•"/>
          </a:pPr>
          <a:endParaRPr lang="en-GB" sz="1200" b="0" baseline="0">
            <a:solidFill>
              <a:schemeClr val="tx1"/>
            </a:solidFill>
            <a:latin typeface="+mn-lt"/>
            <a:ea typeface="+mn-ea"/>
            <a:cs typeface="+mn-cs"/>
          </a:endParaRPr>
        </a:p>
        <a:p>
          <a:pPr marL="0" indent="0">
            <a:buFont typeface="Arial" panose="020B0604020202020204" pitchFamily="34" charset="0"/>
            <a:buNone/>
          </a:pPr>
          <a:r>
            <a:rPr lang="en-GB" sz="1200" b="1" baseline="0">
              <a:solidFill>
                <a:schemeClr val="tx1"/>
              </a:solidFill>
              <a:latin typeface="+mn-lt"/>
              <a:ea typeface="+mn-ea"/>
              <a:cs typeface="+mn-cs"/>
            </a:rPr>
            <a:t>Completed Narratives in Journey</a:t>
          </a:r>
        </a:p>
        <a:p>
          <a:pPr marL="0" indent="0">
            <a:buFont typeface="Arial" panose="020B0604020202020204" pitchFamily="34" charset="0"/>
            <a:buNone/>
          </a:pPr>
          <a:r>
            <a:rPr lang="en-GB" sz="1200" b="0" baseline="0">
              <a:solidFill>
                <a:schemeClr val="tx1"/>
              </a:solidFill>
              <a:latin typeface="+mn-lt"/>
              <a:ea typeface="+mn-ea"/>
              <a:cs typeface="+mn-cs"/>
            </a:rPr>
            <a:t>Delete all details of completed books, audiobooks, etc.</a:t>
          </a:r>
        </a:p>
        <a:p>
          <a:pPr marL="171450" indent="-171450">
            <a:buFont typeface="Arial" panose="020B0604020202020204" pitchFamily="34" charset="0"/>
            <a:buChar char="•"/>
          </a:pPr>
          <a:endParaRPr lang="en-GB" sz="1200" b="0" baseline="0">
            <a:solidFill>
              <a:schemeClr val="tx1"/>
            </a:solidFill>
            <a:latin typeface="+mn-lt"/>
            <a:ea typeface="+mn-ea"/>
            <a:cs typeface="+mn-cs"/>
          </a:endParaRPr>
        </a:p>
        <a:p>
          <a:pPr marL="0" indent="0">
            <a:buFont typeface="Arial" panose="020B0604020202020204" pitchFamily="34" charset="0"/>
            <a:buNone/>
          </a:pPr>
          <a:r>
            <a:rPr lang="en-GB" sz="1200" b="1" baseline="0">
              <a:solidFill>
                <a:schemeClr val="tx1"/>
              </a:solidFill>
              <a:latin typeface="+mn-lt"/>
              <a:ea typeface="+mn-ea"/>
              <a:cs typeface="+mn-cs"/>
            </a:rPr>
            <a:t>New Month Details</a:t>
          </a:r>
        </a:p>
        <a:p>
          <a:pPr marL="0" indent="0">
            <a:buFont typeface="Arial" panose="020B0604020202020204" pitchFamily="34" charset="0"/>
            <a:buNone/>
          </a:pPr>
          <a:r>
            <a:rPr lang="en-GB" sz="1200" b="0" baseline="0">
              <a:solidFill>
                <a:schemeClr val="tx1"/>
              </a:solidFill>
              <a:latin typeface="+mn-lt"/>
              <a:ea typeface="+mn-ea"/>
              <a:cs typeface="+mn-cs"/>
            </a:rPr>
            <a:t>Manual input new: </a:t>
          </a:r>
        </a:p>
        <a:p>
          <a:pPr marL="171450" indent="-171450">
            <a:buFont typeface="Arial" panose="020B0604020202020204" pitchFamily="34" charset="0"/>
            <a:buChar char="•"/>
          </a:pPr>
          <a:r>
            <a:rPr lang="en-GB" sz="1200" b="0" u="sng" baseline="0">
              <a:solidFill>
                <a:schemeClr val="tx1"/>
              </a:solidFill>
              <a:latin typeface="+mn-lt"/>
              <a:ea typeface="+mn-ea"/>
              <a:cs typeface="+mn-cs"/>
            </a:rPr>
            <a:t>Gameplan</a:t>
          </a:r>
          <a:r>
            <a:rPr lang="en-GB" sz="1200" b="0" baseline="0">
              <a:solidFill>
                <a:schemeClr val="tx1"/>
              </a:solidFill>
              <a:latin typeface="+mn-lt"/>
              <a:ea typeface="+mn-ea"/>
              <a:cs typeface="+mn-cs"/>
            </a:rPr>
            <a:t> number.</a:t>
          </a:r>
        </a:p>
        <a:p>
          <a:pPr marL="171450" indent="-171450">
            <a:buFont typeface="Arial" panose="020B0604020202020204" pitchFamily="34" charset="0"/>
            <a:buChar char="•"/>
          </a:pPr>
          <a:r>
            <a:rPr lang="en-GB" sz="1200" b="0" u="sng" baseline="0">
              <a:solidFill>
                <a:schemeClr val="tx1"/>
              </a:solidFill>
              <a:latin typeface="+mn-lt"/>
              <a:ea typeface="+mn-ea"/>
              <a:cs typeface="+mn-cs"/>
            </a:rPr>
            <a:t>Month</a:t>
          </a:r>
          <a:r>
            <a:rPr lang="en-GB" sz="1200" b="0" baseline="0">
              <a:solidFill>
                <a:schemeClr val="tx1"/>
              </a:solidFill>
              <a:latin typeface="+mn-lt"/>
              <a:ea typeface="+mn-ea"/>
              <a:cs typeface="+mn-cs"/>
            </a:rPr>
            <a:t> number.</a:t>
          </a:r>
        </a:p>
        <a:p>
          <a:pPr marL="171450" indent="-171450">
            <a:buFont typeface="Arial" panose="020B0604020202020204" pitchFamily="34" charset="0"/>
            <a:buChar char="•"/>
          </a:pPr>
          <a:r>
            <a:rPr lang="en-GB" sz="1200" b="0" u="sng" baseline="0">
              <a:solidFill>
                <a:schemeClr val="tx1"/>
              </a:solidFill>
              <a:latin typeface="+mn-lt"/>
              <a:ea typeface="+mn-ea"/>
              <a:cs typeface="+mn-cs"/>
            </a:rPr>
            <a:t>Year</a:t>
          </a:r>
          <a:r>
            <a:rPr lang="en-GB" sz="1200" b="0" baseline="0">
              <a:solidFill>
                <a:schemeClr val="tx1"/>
              </a:solidFill>
              <a:latin typeface="+mn-lt"/>
              <a:ea typeface="+mn-ea"/>
              <a:cs typeface="+mn-cs"/>
            </a:rPr>
            <a:t> number.</a:t>
          </a:r>
        </a:p>
        <a:p>
          <a:pPr marL="0" indent="0">
            <a:buFont typeface="Wingdings" panose="05000000000000000000" pitchFamily="2" charset="2"/>
            <a:buNone/>
          </a:pPr>
          <a:endParaRPr lang="en-GB" sz="1200" b="0" baseline="0">
            <a:solidFill>
              <a:schemeClr val="tx1"/>
            </a:solidFill>
            <a:latin typeface="+mn-lt"/>
            <a:ea typeface="+mn-ea"/>
            <a:cs typeface="+mn-cs"/>
          </a:endParaRPr>
        </a:p>
        <a:p>
          <a:pPr marL="0" indent="0">
            <a:buFont typeface="Wingdings" panose="05000000000000000000" pitchFamily="2" charset="2"/>
            <a:buNone/>
          </a:pPr>
          <a:r>
            <a:rPr lang="en-GB" sz="1200" b="1" baseline="0">
              <a:solidFill>
                <a:schemeClr val="tx1"/>
              </a:solidFill>
              <a:latin typeface="+mn-lt"/>
              <a:ea typeface="+mn-ea"/>
              <a:cs typeface="+mn-cs"/>
            </a:rPr>
            <a:t>Automated Data Changeover</a:t>
          </a:r>
        </a:p>
        <a:p>
          <a:pPr marL="0" indent="0">
            <a:buFont typeface="Wingdings" panose="05000000000000000000" pitchFamily="2" charset="2"/>
            <a:buNone/>
          </a:pPr>
          <a:r>
            <a:rPr lang="en-GB" sz="1200" b="0" baseline="0">
              <a:solidFill>
                <a:schemeClr val="tx1"/>
              </a:solidFill>
              <a:latin typeface="+mn-lt"/>
              <a:ea typeface="+mn-ea"/>
              <a:cs typeface="+mn-cs"/>
            </a:rPr>
            <a:t>Go to the </a:t>
          </a:r>
          <a:r>
            <a:rPr lang="en-GB" sz="1200" b="0" u="sng" baseline="0">
              <a:solidFill>
                <a:schemeClr val="tx1"/>
              </a:solidFill>
              <a:latin typeface="+mn-lt"/>
              <a:ea typeface="+mn-ea"/>
              <a:cs typeface="+mn-cs"/>
            </a:rPr>
            <a:t>data</a:t>
          </a:r>
          <a:r>
            <a:rPr lang="en-GB" sz="1200" b="0" baseline="0">
              <a:solidFill>
                <a:schemeClr val="tx1"/>
              </a:solidFill>
              <a:latin typeface="+mn-lt"/>
              <a:ea typeface="+mn-ea"/>
              <a:cs typeface="+mn-cs"/>
            </a:rPr>
            <a:t> sheet.</a:t>
          </a:r>
        </a:p>
        <a:p>
          <a:pPr marL="0" indent="0">
            <a:buFont typeface="Wingdings" panose="05000000000000000000" pitchFamily="2" charset="2"/>
            <a:buNone/>
          </a:pPr>
          <a:r>
            <a:rPr lang="en-GB" sz="1200" b="0" baseline="0">
              <a:solidFill>
                <a:schemeClr val="tx1"/>
              </a:solidFill>
              <a:latin typeface="+mn-lt"/>
              <a:ea typeface="+mn-ea"/>
              <a:cs typeface="+mn-cs"/>
            </a:rPr>
            <a:t>Follow and complete all instructions. </a:t>
          </a:r>
        </a:p>
        <a:p>
          <a:pPr marL="0" indent="0">
            <a:buFont typeface="Wingdings" panose="05000000000000000000" pitchFamily="2" charset="2"/>
            <a:buNone/>
          </a:pPr>
          <a:endParaRPr lang="en-GB" sz="1200" b="0" baseline="0">
            <a:solidFill>
              <a:schemeClr val="tx1"/>
            </a:solidFill>
            <a:latin typeface="+mn-lt"/>
            <a:ea typeface="+mn-ea"/>
            <a:cs typeface="+mn-cs"/>
          </a:endParaRPr>
        </a:p>
        <a:p>
          <a:pPr marL="0" indent="0">
            <a:buFont typeface="Wingdings" panose="05000000000000000000" pitchFamily="2" charset="2"/>
            <a:buNone/>
          </a:pPr>
          <a:r>
            <a:rPr lang="en-GB" sz="1200" b="1" baseline="0">
              <a:solidFill>
                <a:schemeClr val="tx1"/>
              </a:solidFill>
              <a:latin typeface="+mn-lt"/>
              <a:ea typeface="+mn-ea"/>
              <a:cs typeface="+mn-cs"/>
            </a:rPr>
            <a:t>Change Difficulty Level</a:t>
          </a:r>
        </a:p>
        <a:p>
          <a:pPr marL="0" indent="0">
            <a:buFont typeface="Wingdings" panose="05000000000000000000" pitchFamily="2" charset="2"/>
            <a:buNone/>
          </a:pPr>
          <a:r>
            <a:rPr lang="en-GB" sz="1200" b="0" baseline="0">
              <a:solidFill>
                <a:schemeClr val="tx1"/>
              </a:solidFill>
              <a:latin typeface="+mn-lt"/>
              <a:ea typeface="+mn-ea"/>
              <a:cs typeface="+mn-cs"/>
            </a:rPr>
            <a:t>Select a different difficulty level if seeking a higher or lesser challenge, or simply leave as is.</a:t>
          </a:r>
        </a:p>
        <a:p>
          <a:pPr marL="0" indent="0">
            <a:buFont typeface="Wingdings" panose="05000000000000000000" pitchFamily="2" charset="2"/>
            <a:buNone/>
          </a:pPr>
          <a:endParaRPr lang="en-GB" sz="1200" b="0" baseline="0">
            <a:solidFill>
              <a:schemeClr val="tx1"/>
            </a:solidFill>
            <a:latin typeface="+mn-lt"/>
            <a:ea typeface="+mn-ea"/>
            <a:cs typeface="+mn-cs"/>
          </a:endParaRPr>
        </a:p>
        <a:p>
          <a:pPr marL="0" indent="0">
            <a:buFont typeface="Wingdings" panose="05000000000000000000" pitchFamily="2" charset="2"/>
            <a:buNone/>
          </a:pPr>
          <a:r>
            <a:rPr lang="en-GB" sz="1200" b="0" u="sng" baseline="0">
              <a:solidFill>
                <a:schemeClr val="tx1"/>
              </a:solidFill>
              <a:latin typeface="+mn-lt"/>
              <a:ea typeface="+mn-ea"/>
              <a:cs typeface="+mn-cs"/>
            </a:rPr>
            <a:t>The gameplan for the new month is now ready for use. </a:t>
          </a:r>
        </a:p>
        <a:p>
          <a:pPr marL="228600" indent="-228600">
            <a:buFont typeface="Wingdings" panose="05000000000000000000" pitchFamily="2" charset="2"/>
            <a:buChar char="§"/>
          </a:pPr>
          <a:endParaRPr lang="en-GB" sz="1200" baseline="0">
            <a:solidFill>
              <a:schemeClr val="tx1"/>
            </a:solidFill>
            <a:latin typeface="+mn-lt"/>
            <a:ea typeface="+mn-ea"/>
            <a:cs typeface="+mn-cs"/>
          </a:endParaRPr>
        </a:p>
        <a:p>
          <a:pPr marL="228600" indent="-228600">
            <a:buFont typeface="Wingdings" panose="05000000000000000000" pitchFamily="2" charset="2"/>
            <a:buChar char="§"/>
          </a:pPr>
          <a:endParaRPr lang="en-GB" sz="1200" baseline="0">
            <a:solidFill>
              <a:schemeClr val="tx1"/>
            </a:solidFill>
            <a:latin typeface="+mn-lt"/>
            <a:ea typeface="+mn-ea"/>
            <a:cs typeface="+mn-cs"/>
          </a:endParaRPr>
        </a:p>
        <a:p>
          <a:pPr marL="0" indent="0"/>
          <a:endParaRPr lang="en-GB" sz="1200" baseline="0">
            <a:solidFill>
              <a:schemeClr val="tx1"/>
            </a:solidFill>
            <a:latin typeface="+mn-lt"/>
            <a:ea typeface="+mn-ea"/>
            <a:cs typeface="+mn-cs"/>
          </a:endParaRPr>
        </a:p>
        <a:p>
          <a:pPr marL="0" indent="0"/>
          <a:endParaRPr lang="en-GB" sz="1200">
            <a:solidFill>
              <a:schemeClr val="tx1"/>
            </a:solidFill>
            <a:latin typeface="+mn-lt"/>
            <a:ea typeface="+mn-ea"/>
            <a:cs typeface="+mn-cs"/>
          </a:endParaRPr>
        </a:p>
        <a:p>
          <a:pPr marL="0" indent="0"/>
          <a:endParaRPr lang="en-GB" sz="1200" baseline="0">
            <a:solidFill>
              <a:schemeClr val="tx1"/>
            </a:solidFill>
            <a:latin typeface="+mn-lt"/>
            <a:ea typeface="+mn-ea"/>
            <a:cs typeface="+mn-cs"/>
          </a:endParaRPr>
        </a:p>
        <a:p>
          <a:pPr marL="0" indent="0"/>
          <a:endParaRPr lang="en-GB" sz="1200" baseline="0">
            <a:solidFill>
              <a:schemeClr val="tx1"/>
            </a:solidFill>
            <a:latin typeface="+mn-lt"/>
            <a:ea typeface="+mn-ea"/>
            <a:cs typeface="+mn-cs"/>
          </a:endParaRPr>
        </a:p>
        <a:p>
          <a:pPr marL="0" indent="0"/>
          <a:endParaRPr lang="en-GB" sz="1200" baseline="0">
            <a:solidFill>
              <a:schemeClr val="tx1"/>
            </a:solidFill>
            <a:latin typeface="+mn-lt"/>
            <a:ea typeface="+mn-ea"/>
            <a:cs typeface="+mn-cs"/>
          </a:endParaRPr>
        </a:p>
        <a:p>
          <a:pPr marL="0" indent="0"/>
          <a:endParaRPr lang="en-GB" sz="1200" baseline="0">
            <a:solidFill>
              <a:schemeClr val="tx1"/>
            </a:solidFill>
            <a:latin typeface="+mn-lt"/>
            <a:ea typeface="+mn-ea"/>
            <a:cs typeface="+mn-cs"/>
          </a:endParaRPr>
        </a:p>
        <a:p>
          <a:pPr marL="0" indent="0"/>
          <a:endParaRPr lang="en-GB" sz="1200" baseline="0">
            <a:solidFill>
              <a:schemeClr val="tx1"/>
            </a:solidFill>
            <a:latin typeface="+mn-lt"/>
            <a:ea typeface="+mn-ea"/>
            <a:cs typeface="+mn-cs"/>
          </a:endParaRPr>
        </a:p>
        <a:p>
          <a:pPr marL="0" indent="0"/>
          <a:endParaRPr lang="en-GB" sz="1200" baseline="0">
            <a:solidFill>
              <a:schemeClr val="tx1"/>
            </a:solidFill>
            <a:latin typeface="+mn-lt"/>
            <a:ea typeface="+mn-ea"/>
            <a:cs typeface="+mn-cs"/>
          </a:endParaRPr>
        </a:p>
        <a:p>
          <a:pPr marL="0" indent="0"/>
          <a:endParaRPr lang="en-GB" sz="1200" baseline="0">
            <a:solidFill>
              <a:schemeClr val="tx1"/>
            </a:solidFill>
            <a:latin typeface="+mn-lt"/>
            <a:ea typeface="+mn-ea"/>
            <a:cs typeface="+mn-cs"/>
          </a:endParaRPr>
        </a:p>
        <a:p>
          <a:pPr marL="0" indent="0"/>
          <a:endParaRPr lang="en-GB" sz="1200" baseline="0">
            <a:solidFill>
              <a:schemeClr val="tx1"/>
            </a:solidFill>
            <a:latin typeface="+mn-lt"/>
            <a:ea typeface="+mn-ea"/>
            <a:cs typeface="+mn-cs"/>
          </a:endParaRPr>
        </a:p>
        <a:p>
          <a:pPr marL="0" indent="0"/>
          <a:endParaRPr lang="en-GB" sz="1200">
            <a:solidFill>
              <a:schemeClr val="tx1"/>
            </a:solidFill>
            <a:latin typeface="+mn-lt"/>
            <a:ea typeface="+mn-ea"/>
            <a:cs typeface="+mn-cs"/>
          </a:endParaRPr>
        </a:p>
        <a:p>
          <a:pPr marL="0" indent="0"/>
          <a:endParaRPr lang="en-GB" sz="1200">
            <a:solidFill>
              <a:schemeClr val="tx1"/>
            </a:solidFill>
            <a:latin typeface="+mn-lt"/>
            <a:ea typeface="+mn-ea"/>
            <a:cs typeface="+mn-cs"/>
          </a:endParaRPr>
        </a:p>
        <a:p>
          <a:pPr marL="0" indent="0"/>
          <a:endParaRPr lang="en-GB" sz="1200">
            <a:solidFill>
              <a:schemeClr val="tx1"/>
            </a:solidFill>
            <a:latin typeface="+mn-lt"/>
            <a:ea typeface="+mn-ea"/>
            <a:cs typeface="+mn-cs"/>
          </a:endParaRPr>
        </a:p>
        <a:p>
          <a:pPr marL="0" indent="0"/>
          <a:r>
            <a:rPr lang="en-GB" sz="1200">
              <a:solidFill>
                <a:schemeClr val="tx1"/>
              </a:solidFill>
              <a:latin typeface="+mn-lt"/>
              <a:ea typeface="+mn-ea"/>
              <a:cs typeface="+mn-cs"/>
            </a:rPr>
            <a:t> </a:t>
          </a:r>
        </a:p>
        <a:p>
          <a:pPr marL="0" indent="0"/>
          <a:endParaRPr lang="en-GB" sz="1200">
            <a:solidFill>
              <a:schemeClr val="tx1"/>
            </a:solidFill>
            <a:latin typeface="+mn-lt"/>
            <a:ea typeface="+mn-ea"/>
            <a:cs typeface="+mn-cs"/>
          </a:endParaRPr>
        </a:p>
        <a:p>
          <a:pPr marL="0" indent="0"/>
          <a:endParaRPr lang="en-GB" sz="1200">
            <a:solidFill>
              <a:schemeClr val="tx1"/>
            </a:solidFill>
            <a:latin typeface="+mn-lt"/>
            <a:ea typeface="+mn-ea"/>
            <a:cs typeface="+mn-cs"/>
          </a:endParaRPr>
        </a:p>
        <a:p>
          <a:pPr marL="0" indent="0"/>
          <a:endParaRPr lang="en-GB" sz="1200">
            <a:solidFill>
              <a:schemeClr val="tx1"/>
            </a:solidFill>
            <a:latin typeface="+mn-lt"/>
            <a:ea typeface="+mn-ea"/>
            <a:cs typeface="+mn-cs"/>
          </a:endParaRPr>
        </a:p>
        <a:p>
          <a:pPr marL="0" indent="0"/>
          <a:endParaRPr lang="en-GB" sz="1200">
            <a:solidFill>
              <a:schemeClr val="tx1"/>
            </a:solidFill>
            <a:latin typeface="+mn-lt"/>
            <a:ea typeface="+mn-ea"/>
            <a:cs typeface="+mn-cs"/>
          </a:endParaRPr>
        </a:p>
        <a:p>
          <a:pPr marL="0" indent="0"/>
          <a:endParaRPr lang="en-GB" sz="1200">
            <a:solidFill>
              <a:schemeClr val="tx1"/>
            </a:solidFill>
            <a:latin typeface="+mn-lt"/>
            <a:ea typeface="+mn-ea"/>
            <a:cs typeface="+mn-cs"/>
          </a:endParaRPr>
        </a:p>
        <a:p>
          <a:pPr marL="0" indent="0"/>
          <a:endParaRPr lang="en-GB" sz="1200">
            <a:solidFill>
              <a:schemeClr val="tx1"/>
            </a:solidFill>
            <a:latin typeface="+mn-lt"/>
            <a:ea typeface="+mn-ea"/>
            <a:cs typeface="+mn-cs"/>
          </a:endParaRPr>
        </a:p>
        <a:p>
          <a:pPr marL="0" indent="0"/>
          <a:endParaRPr lang="en-GB" sz="1200">
            <a:solidFill>
              <a:schemeClr val="tx1"/>
            </a:solidFill>
            <a:latin typeface="+mn-lt"/>
            <a:ea typeface="+mn-ea"/>
            <a:cs typeface="+mn-cs"/>
          </a:endParaRPr>
        </a:p>
      </xdr:txBody>
    </xdr:sp>
    <xdr:clientData/>
  </xdr:twoCellAnchor>
  <xdr:twoCellAnchor>
    <xdr:from>
      <xdr:col>21</xdr:col>
      <xdr:colOff>1</xdr:colOff>
      <xdr:row>65</xdr:row>
      <xdr:rowOff>0</xdr:rowOff>
    </xdr:from>
    <xdr:to>
      <xdr:col>39</xdr:col>
      <xdr:colOff>0</xdr:colOff>
      <xdr:row>130</xdr:row>
      <xdr:rowOff>0</xdr:rowOff>
    </xdr:to>
    <xdr:sp macro="" textlink="">
      <xdr:nvSpPr>
        <xdr:cNvPr id="3" name="TextBox 2">
          <a:extLst>
            <a:ext uri="{FF2B5EF4-FFF2-40B4-BE49-F238E27FC236}">
              <a16:creationId xmlns:a16="http://schemas.microsoft.com/office/drawing/2014/main" id="{991E54EC-F53B-400F-BF37-BCA6805E714B}"/>
            </a:ext>
          </a:extLst>
        </xdr:cNvPr>
        <xdr:cNvSpPr txBox="1">
          <a:spLocks/>
        </xdr:cNvSpPr>
      </xdr:nvSpPr>
      <xdr:spPr>
        <a:xfrm>
          <a:off x="4800601" y="13620750"/>
          <a:ext cx="4114799" cy="13620750"/>
        </a:xfrm>
        <a:prstGeom prst="rect">
          <a:avLst/>
        </a:prstGeom>
        <a:noFill/>
        <a:ln w="22225">
          <a:noFill/>
        </a:ln>
      </xdr:spPr>
      <xdr:style>
        <a:lnRef idx="0">
          <a:scrgbClr r="0" g="0" b="0"/>
        </a:lnRef>
        <a:fillRef idx="0">
          <a:scrgbClr r="0" g="0" b="0"/>
        </a:fillRef>
        <a:effectRef idx="0">
          <a:scrgbClr r="0" g="0" b="0"/>
        </a:effectRef>
        <a:fontRef idx="minor">
          <a:schemeClr val="tx1"/>
        </a:fontRef>
      </xdr:style>
      <xdr:txBody>
        <a:bodyPr vertOverflow="clip" horzOverflow="clip" wrap="square" lIns="486000" tIns="46800" rIns="36000" rtlCol="0" anchor="t">
          <a:noAutofit/>
        </a:bodyPr>
        <a:lstStyle/>
        <a:p>
          <a:pPr marL="0" indent="0"/>
          <a:endParaRPr lang="en-GB" sz="1000" b="0" baseline="0">
            <a:solidFill>
              <a:schemeClr val="tx1"/>
            </a:solidFill>
            <a:latin typeface="+mn-lt"/>
            <a:ea typeface="+mn-ea"/>
            <a:cs typeface="+mn-cs"/>
          </a:endParaRPr>
        </a:p>
        <a:p>
          <a:pPr marL="0" indent="0"/>
          <a:r>
            <a:rPr lang="en-GB" sz="1000" b="1" baseline="0">
              <a:solidFill>
                <a:schemeClr val="tx1"/>
              </a:solidFill>
              <a:latin typeface="+mn-lt"/>
              <a:ea typeface="+mn-ea"/>
              <a:cs typeface="+mn-cs"/>
            </a:rPr>
            <a:t>Getting Started</a:t>
          </a:r>
        </a:p>
        <a:p>
          <a:pPr marL="0" indent="0"/>
          <a:r>
            <a:rPr lang="en-GB" sz="1000" b="0" baseline="0">
              <a:solidFill>
                <a:schemeClr val="tx1"/>
              </a:solidFill>
              <a:latin typeface="+mn-lt"/>
              <a:ea typeface="+mn-ea"/>
              <a:cs typeface="+mn-cs"/>
            </a:rPr>
            <a:t>The key to using and making the most of the gameplan is through the player tracking their actions, then entering this information daily. The player must decide which actions to track based on the real world skills they would like to improve </a:t>
          </a:r>
        </a:p>
        <a:p>
          <a:pPr marL="0" indent="0"/>
          <a:endParaRPr lang="en-GB" sz="1000" b="0" baseline="0">
            <a:solidFill>
              <a:schemeClr val="tx1"/>
            </a:solidFill>
            <a:latin typeface="+mn-lt"/>
            <a:ea typeface="+mn-ea"/>
            <a:cs typeface="+mn-cs"/>
          </a:endParaRPr>
        </a:p>
        <a:p>
          <a:pPr marL="0" indent="0"/>
          <a:r>
            <a:rPr lang="en-GB" sz="1000" b="1" baseline="0">
              <a:solidFill>
                <a:schemeClr val="tx1"/>
              </a:solidFill>
              <a:latin typeface="+mn-lt"/>
              <a:ea typeface="+mn-ea"/>
              <a:cs typeface="+mn-cs"/>
            </a:rPr>
            <a:t>Skills</a:t>
          </a:r>
        </a:p>
        <a:p>
          <a:pPr marL="0" indent="0"/>
          <a:r>
            <a:rPr lang="en-GB" sz="1000" b="0" baseline="0">
              <a:solidFill>
                <a:schemeClr val="tx1"/>
              </a:solidFill>
              <a:latin typeface="+mn-lt"/>
              <a:ea typeface="+mn-ea"/>
              <a:cs typeface="+mn-cs"/>
            </a:rPr>
            <a:t>The player can choose eighteen skills, split into two main pillars, mind and body. These skills can be any action at all, such as habits, things to start or increase, new or old learning, training or abilities, or anything else the player would like to work on.</a:t>
          </a:r>
        </a:p>
        <a:p>
          <a:pPr marL="171450" indent="-171450">
            <a:buFont typeface="Arial" panose="020B0604020202020204" pitchFamily="34" charset="0"/>
            <a:buChar char="•"/>
          </a:pPr>
          <a:r>
            <a:rPr lang="en-GB" sz="1000" b="0" baseline="0">
              <a:solidFill>
                <a:schemeClr val="tx1"/>
              </a:solidFill>
              <a:latin typeface="+mn-lt"/>
              <a:ea typeface="+mn-ea"/>
              <a:cs typeface="+mn-cs"/>
            </a:rPr>
            <a:t>Each skill should be something that improves the player's life or is driving them towards their primary quest, secondary quests or supplementary quests. </a:t>
          </a:r>
        </a:p>
        <a:p>
          <a:pPr marL="171450" indent="-171450">
            <a:buFont typeface="Arial" panose="020B0604020202020204" pitchFamily="34" charset="0"/>
            <a:buChar char="•"/>
          </a:pPr>
          <a:r>
            <a:rPr lang="en-GB" sz="1000" b="0" baseline="0">
              <a:solidFill>
                <a:schemeClr val="tx1"/>
              </a:solidFill>
              <a:latin typeface="+mn-lt"/>
              <a:ea typeface="+mn-ea"/>
              <a:cs typeface="+mn-cs"/>
            </a:rPr>
            <a:t>Mind skills should be anything that is more thought or intellect based, or is primarily cerebral.</a:t>
          </a:r>
        </a:p>
        <a:p>
          <a:pPr marL="171450" indent="-171450">
            <a:buFont typeface="Arial" panose="020B0604020202020204" pitchFamily="34" charset="0"/>
            <a:buChar char="•"/>
          </a:pPr>
          <a:r>
            <a:rPr lang="en-GB" sz="1000" b="0" baseline="0">
              <a:solidFill>
                <a:schemeClr val="tx1"/>
              </a:solidFill>
              <a:latin typeface="+mn-lt"/>
              <a:ea typeface="+mn-ea"/>
              <a:cs typeface="+mn-cs"/>
            </a:rPr>
            <a:t>Body skills should be anything that involves using the body or is more grounded, or is primarily physical. </a:t>
          </a:r>
        </a:p>
        <a:p>
          <a:pPr marL="171450" indent="-171450">
            <a:buFont typeface="Arial" panose="020B0604020202020204" pitchFamily="34" charset="0"/>
            <a:buChar char="•"/>
          </a:pPr>
          <a:r>
            <a:rPr lang="en-GB" sz="1000" b="0" baseline="0">
              <a:solidFill>
                <a:schemeClr val="tx1"/>
              </a:solidFill>
              <a:latin typeface="+mn-lt"/>
              <a:ea typeface="+mn-ea"/>
              <a:cs typeface="+mn-cs"/>
            </a:rPr>
            <a:t>Any skill that could fit it in either side is placed at the player's discretion.</a:t>
          </a:r>
        </a:p>
        <a:p>
          <a:pPr marL="0" indent="0"/>
          <a:endParaRPr lang="en-GB" sz="1000" b="0" baseline="0">
            <a:solidFill>
              <a:schemeClr val="tx1"/>
            </a:solidFill>
            <a:latin typeface="+mn-lt"/>
            <a:ea typeface="+mn-ea"/>
            <a:cs typeface="+mn-cs"/>
          </a:endParaRPr>
        </a:p>
        <a:p>
          <a:pPr marL="0" indent="0"/>
          <a:r>
            <a:rPr lang="en-GB" sz="1000" b="1" baseline="0">
              <a:solidFill>
                <a:schemeClr val="tx1"/>
              </a:solidFill>
              <a:latin typeface="+mn-lt"/>
              <a:ea typeface="+mn-ea"/>
              <a:cs typeface="+mn-cs"/>
            </a:rPr>
            <a:t>XP Rules</a:t>
          </a:r>
        </a:p>
        <a:p>
          <a:pPr marL="0" indent="0"/>
          <a:r>
            <a:rPr lang="en-GB" sz="1000" b="0" baseline="0">
              <a:solidFill>
                <a:schemeClr val="tx1"/>
              </a:solidFill>
              <a:latin typeface="+mn-lt"/>
              <a:ea typeface="+mn-ea"/>
              <a:cs typeface="+mn-cs"/>
            </a:rPr>
            <a:t>Rules for how much XP is gained per action are entirely flexible and decided by the player. To think about:</a:t>
          </a:r>
        </a:p>
        <a:p>
          <a:pPr marL="171450" indent="-171450">
            <a:buFont typeface="Arial" panose="020B0604020202020204" pitchFamily="34" charset="0"/>
            <a:buChar char="•"/>
          </a:pPr>
          <a:r>
            <a:rPr lang="en-GB" sz="1000" b="0" baseline="0">
              <a:solidFill>
                <a:schemeClr val="tx1"/>
              </a:solidFill>
              <a:latin typeface="+mn-lt"/>
              <a:ea typeface="+mn-ea"/>
              <a:cs typeface="+mn-cs"/>
            </a:rPr>
            <a:t>How fast levelling up will happen.</a:t>
          </a:r>
        </a:p>
        <a:p>
          <a:pPr marL="171450" indent="-171450">
            <a:buFont typeface="Arial" panose="020B0604020202020204" pitchFamily="34" charset="0"/>
            <a:buChar char="•"/>
          </a:pPr>
          <a:r>
            <a:rPr lang="en-GB" sz="1000" b="0" baseline="0">
              <a:solidFill>
                <a:schemeClr val="tx1"/>
              </a:solidFill>
              <a:latin typeface="+mn-lt"/>
              <a:ea typeface="+mn-ea"/>
              <a:cs typeface="+mn-cs"/>
            </a:rPr>
            <a:t>Based on time versus amount of effort versus quality of action.</a:t>
          </a:r>
        </a:p>
        <a:p>
          <a:pPr marL="0" indent="0"/>
          <a:endParaRPr lang="en-GB" sz="1000" b="0" baseline="0">
            <a:solidFill>
              <a:schemeClr val="tx1"/>
            </a:solidFill>
            <a:latin typeface="+mn-lt"/>
            <a:ea typeface="+mn-ea"/>
            <a:cs typeface="+mn-cs"/>
          </a:endParaRPr>
        </a:p>
        <a:p>
          <a:pPr marL="0" indent="0"/>
          <a:r>
            <a:rPr lang="en-GB" sz="1000" b="1" baseline="0">
              <a:solidFill>
                <a:schemeClr val="tx1"/>
              </a:solidFill>
              <a:latin typeface="+mn-lt"/>
              <a:ea typeface="+mn-ea"/>
              <a:cs typeface="+mn-cs"/>
            </a:rPr>
            <a:t>Tracking Data</a:t>
          </a:r>
        </a:p>
        <a:p>
          <a:pPr marL="0" indent="0"/>
          <a:r>
            <a:rPr lang="en-GB" sz="1000" b="0" baseline="0">
              <a:solidFill>
                <a:schemeClr val="tx1"/>
              </a:solidFill>
              <a:latin typeface="+mn-lt"/>
              <a:ea typeface="+mn-ea"/>
              <a:cs typeface="+mn-cs"/>
            </a:rPr>
            <a:t>Making notes on actions in physical and/or digital notebooks. Then transferring this data to the gameplan at least once a day.</a:t>
          </a:r>
        </a:p>
        <a:p>
          <a:pPr marL="0" indent="0"/>
          <a:r>
            <a:rPr lang="en-GB" sz="1000" b="0" baseline="0">
              <a:solidFill>
                <a:schemeClr val="tx1"/>
              </a:solidFill>
              <a:latin typeface="+mn-lt"/>
              <a:ea typeface="+mn-ea"/>
              <a:cs typeface="+mn-cs"/>
            </a:rPr>
            <a:t>Recommendations for note taking:</a:t>
          </a:r>
        </a:p>
        <a:p>
          <a:pPr marL="171450" indent="-171450">
            <a:buFont typeface="Arial" panose="020B0604020202020204" pitchFamily="34" charset="0"/>
            <a:buChar char="•"/>
          </a:pPr>
          <a:r>
            <a:rPr lang="en-GB" sz="1000" b="0" baseline="0">
              <a:solidFill>
                <a:schemeClr val="tx1"/>
              </a:solidFill>
              <a:latin typeface="+mn-lt"/>
              <a:ea typeface="+mn-ea"/>
              <a:cs typeface="+mn-cs"/>
            </a:rPr>
            <a:t>Phone note app: Samsung notes, using colour coded letters and setting up the note as a widget.</a:t>
          </a:r>
        </a:p>
        <a:p>
          <a:pPr marL="171450" indent="-171450">
            <a:buFont typeface="Arial" panose="020B0604020202020204" pitchFamily="34" charset="0"/>
            <a:buChar char="•"/>
          </a:pPr>
          <a:r>
            <a:rPr lang="en-GB" sz="1000" b="0" baseline="0">
              <a:solidFill>
                <a:schemeClr val="tx1"/>
              </a:solidFill>
              <a:latin typeface="+mn-lt"/>
              <a:ea typeface="+mn-ea"/>
              <a:cs typeface="+mn-cs"/>
            </a:rPr>
            <a:t>Pocket notebook: Field Notes 48-Page Memo Book, graph.</a:t>
          </a:r>
        </a:p>
        <a:p>
          <a:pPr marL="171450" indent="-171450">
            <a:buFont typeface="Arial" panose="020B0604020202020204" pitchFamily="34" charset="0"/>
            <a:buChar char="•"/>
          </a:pPr>
          <a:r>
            <a:rPr lang="en-GB" sz="1000" b="0" baseline="0">
              <a:solidFill>
                <a:schemeClr val="tx1"/>
              </a:solidFill>
              <a:latin typeface="+mn-lt"/>
              <a:ea typeface="+mn-ea"/>
              <a:cs typeface="+mn-cs"/>
            </a:rPr>
            <a:t>Large yearly notebook: Leuchtturm1917, A4, dotted.</a:t>
          </a:r>
        </a:p>
        <a:p>
          <a:pPr marL="0" indent="0"/>
          <a:endParaRPr lang="en-GB" sz="1000" b="0" baseline="0">
            <a:solidFill>
              <a:schemeClr val="tx1"/>
            </a:solidFill>
            <a:latin typeface="+mn-lt"/>
            <a:ea typeface="+mn-ea"/>
            <a:cs typeface="+mn-cs"/>
          </a:endParaRPr>
        </a:p>
        <a:p>
          <a:pPr marL="0" indent="0"/>
          <a:r>
            <a:rPr lang="en-GB" sz="1000" b="1" baseline="0">
              <a:solidFill>
                <a:schemeClr val="tx1"/>
              </a:solidFill>
              <a:latin typeface="+mn-lt"/>
              <a:ea typeface="+mn-ea"/>
              <a:cs typeface="+mn-cs"/>
            </a:rPr>
            <a:t>Changing Difficulty</a:t>
          </a:r>
        </a:p>
        <a:p>
          <a:pPr marL="0" indent="0"/>
          <a:r>
            <a:rPr lang="en-GB" sz="1000" b="0" baseline="0">
              <a:solidFill>
                <a:schemeClr val="tx1"/>
              </a:solidFill>
              <a:latin typeface="+mn-lt"/>
              <a:ea typeface="+mn-ea"/>
              <a:cs typeface="+mn-cs"/>
            </a:rPr>
            <a:t>Change up difficulty each month in line with how relaxed the player wants the month to be or how challenging they want the month to be. Recommended to change only at the beginning of the month. Changing mid-month while possible, will alter any life hearts gained or lost so far.</a:t>
          </a:r>
        </a:p>
        <a:p>
          <a:pPr marL="0" indent="0"/>
          <a:endParaRPr lang="en-GB" sz="1000" b="0" baseline="0">
            <a:solidFill>
              <a:schemeClr val="tx1"/>
            </a:solidFill>
            <a:latin typeface="+mn-lt"/>
            <a:ea typeface="+mn-ea"/>
            <a:cs typeface="+mn-cs"/>
          </a:endParaRPr>
        </a:p>
        <a:p>
          <a:pPr marL="0" indent="0"/>
          <a:r>
            <a:rPr lang="en-GB" sz="1000" b="1" baseline="0">
              <a:solidFill>
                <a:schemeClr val="tx1"/>
              </a:solidFill>
              <a:latin typeface="+mn-lt"/>
              <a:ea typeface="+mn-ea"/>
              <a:cs typeface="+mn-cs"/>
            </a:rPr>
            <a:t>Booty Items</a:t>
          </a:r>
        </a:p>
        <a:p>
          <a:pPr marL="0" indent="0"/>
          <a:r>
            <a:rPr lang="en-GB" sz="1000" b="0" baseline="0">
              <a:solidFill>
                <a:schemeClr val="tx1"/>
              </a:solidFill>
              <a:latin typeface="+mn-lt"/>
              <a:ea typeface="+mn-ea"/>
              <a:cs typeface="+mn-cs"/>
            </a:rPr>
            <a:t>These are random items rewarded to the player as they perform certain actions within the gameplan. When they appear randomises each month. The player can then use these items either to enhance their playthrough or as real world gifts to themself. </a:t>
          </a:r>
        </a:p>
        <a:p>
          <a:pPr marL="0" indent="0"/>
          <a:endParaRPr lang="en-GB" sz="1000" b="0" baseline="0">
            <a:solidFill>
              <a:schemeClr val="tx1"/>
            </a:solidFill>
            <a:latin typeface="+mn-lt"/>
            <a:ea typeface="+mn-ea"/>
            <a:cs typeface="+mn-cs"/>
          </a:endParaRPr>
        </a:p>
        <a:p>
          <a:pPr marL="0" indent="0"/>
          <a:r>
            <a:rPr lang="en-GB" sz="1000" b="1" baseline="0">
              <a:solidFill>
                <a:schemeClr val="tx1"/>
              </a:solidFill>
              <a:latin typeface="+mn-lt"/>
              <a:ea typeface="+mn-ea"/>
              <a:cs typeface="+mn-cs"/>
            </a:rPr>
            <a:t>Loot</a:t>
          </a:r>
        </a:p>
        <a:p>
          <a:pPr marL="0" indent="0"/>
          <a:r>
            <a:rPr lang="en-GB" sz="1000" b="0" baseline="0">
              <a:solidFill>
                <a:schemeClr val="tx1"/>
              </a:solidFill>
              <a:latin typeface="+mn-lt"/>
              <a:ea typeface="+mn-ea"/>
              <a:cs typeface="+mn-cs"/>
            </a:rPr>
            <a:t>This is the sum of money rewarded to the player for achieving level ups and completing objectives or challenges. The sum is intended to be a real amount of money transferred to a savings account to then serve as a monetry reward.</a:t>
          </a:r>
        </a:p>
        <a:p>
          <a:pPr marL="0" indent="0"/>
          <a:endParaRPr lang="en-GB" sz="1000" b="0" baseline="0">
            <a:solidFill>
              <a:schemeClr val="tx1"/>
            </a:solidFill>
            <a:latin typeface="+mn-lt"/>
            <a:ea typeface="+mn-ea"/>
            <a:cs typeface="+mn-cs"/>
          </a:endParaRPr>
        </a:p>
        <a:p>
          <a:pPr marL="0" indent="0"/>
          <a:r>
            <a:rPr lang="en-GB" sz="1000" b="1" baseline="0">
              <a:solidFill>
                <a:schemeClr val="tx1"/>
              </a:solidFill>
              <a:latin typeface="+mn-lt"/>
              <a:ea typeface="+mn-ea"/>
              <a:cs typeface="+mn-cs"/>
            </a:rPr>
            <a:t>Reward Chest</a:t>
          </a:r>
        </a:p>
        <a:p>
          <a:pPr marL="0" indent="0"/>
          <a:r>
            <a:rPr lang="en-GB" sz="1000" b="0" baseline="0">
              <a:solidFill>
                <a:schemeClr val="tx1"/>
              </a:solidFill>
              <a:latin typeface="+mn-lt"/>
              <a:ea typeface="+mn-ea"/>
              <a:cs typeface="+mn-cs"/>
            </a:rPr>
            <a:t>This is where loot sums throughout the year are gathered. It becomes available to the player for spending midway through the year and at the end of the year. </a:t>
          </a:r>
        </a:p>
        <a:p>
          <a:pPr marL="0" indent="0"/>
          <a:endParaRPr lang="en-GB" sz="1000" b="0" baseline="0">
            <a:solidFill>
              <a:schemeClr val="tx1"/>
            </a:solidFill>
            <a:latin typeface="+mn-lt"/>
            <a:ea typeface="+mn-ea"/>
            <a:cs typeface="+mn-cs"/>
          </a:endParaRPr>
        </a:p>
        <a:p>
          <a:pPr marL="0" indent="0"/>
          <a:r>
            <a:rPr lang="en-GB" sz="1000" b="1" baseline="0">
              <a:solidFill>
                <a:schemeClr val="tx1"/>
              </a:solidFill>
              <a:latin typeface="+mn-lt"/>
              <a:ea typeface="+mn-ea"/>
              <a:cs typeface="+mn-cs"/>
            </a:rPr>
            <a:t>The Endgame</a:t>
          </a:r>
        </a:p>
        <a:p>
          <a:pPr marL="0" indent="0"/>
          <a:r>
            <a:rPr lang="en-GB" sz="1000" b="0" baseline="0">
              <a:solidFill>
                <a:schemeClr val="tx1"/>
              </a:solidFill>
              <a:latin typeface="+mn-lt"/>
              <a:ea typeface="+mn-ea"/>
              <a:cs typeface="+mn-cs"/>
            </a:rPr>
            <a:t>A playthrough ends when Level 414 is achieved. This is the sum total of all skills being maxed out (ie. reaching skill level 23). However as some skills may go beyond the max, 414 can be reached without hitting the maximum in all skills. A player may choose whether to continue the playthrough until all skills are at the max going beyond level 414 if necessary, or they can choose to move on to a new playthrough. If a player chooses to end a playthrough before hitting 414, any funds in the treasury or reward chest are forfeited. Additionally, New Game Plus etc, can only be selected once a full playthrough to level 414 is completed.</a:t>
          </a:r>
        </a:p>
        <a:p>
          <a:pPr marL="0" indent="0"/>
          <a:endParaRPr lang="en-GB" sz="1000" b="0" baseline="0">
            <a:solidFill>
              <a:schemeClr val="tx1"/>
            </a:solidFill>
            <a:latin typeface="+mn-lt"/>
            <a:ea typeface="+mn-ea"/>
            <a:cs typeface="+mn-cs"/>
          </a:endParaRPr>
        </a:p>
        <a:p>
          <a:pPr marL="0" indent="0"/>
          <a:r>
            <a:rPr lang="en-GB" sz="1000" b="1" baseline="0">
              <a:solidFill>
                <a:schemeClr val="tx1"/>
              </a:solidFill>
              <a:latin typeface="+mn-lt"/>
              <a:ea typeface="+mn-ea"/>
              <a:cs typeface="+mn-cs"/>
            </a:rPr>
            <a:t>The Treasury</a:t>
          </a:r>
        </a:p>
        <a:p>
          <a:pPr marL="0" indent="0"/>
          <a:r>
            <a:rPr lang="en-GB" sz="1000" b="0" baseline="0">
              <a:solidFill>
                <a:schemeClr val="tx1"/>
              </a:solidFill>
              <a:latin typeface="+mn-lt"/>
              <a:ea typeface="+mn-ea"/>
              <a:cs typeface="+mn-cs"/>
            </a:rPr>
            <a:t>Once completing a playthrough by hitting level 414, all funds in the treasury are available to spend. This is the final reward for completing a playthrough of the gameplan. </a:t>
          </a:r>
        </a:p>
        <a:p>
          <a:pPr marL="0" indent="0"/>
          <a:endParaRPr lang="en-GB" sz="1000" b="0" baseline="0">
            <a:solidFill>
              <a:schemeClr val="tx1"/>
            </a:solidFill>
            <a:latin typeface="+mn-lt"/>
            <a:ea typeface="+mn-ea"/>
            <a:cs typeface="+mn-cs"/>
          </a:endParaRPr>
        </a:p>
        <a:p>
          <a:pPr marL="0" indent="0"/>
          <a:r>
            <a:rPr lang="en-GB" sz="1000" b="1" baseline="0">
              <a:solidFill>
                <a:schemeClr val="tx1"/>
              </a:solidFill>
              <a:latin typeface="+mn-lt"/>
              <a:ea typeface="+mn-ea"/>
              <a:cs typeface="+mn-cs"/>
            </a:rPr>
            <a:t>New Game Plus</a:t>
          </a:r>
        </a:p>
        <a:p>
          <a:pPr marL="0" indent="0"/>
          <a:r>
            <a:rPr lang="en-GB" sz="1000" b="0" baseline="0">
              <a:solidFill>
                <a:schemeClr val="tx1"/>
              </a:solidFill>
              <a:latin typeface="+mn-lt"/>
              <a:ea typeface="+mn-ea"/>
              <a:cs typeface="+mn-cs"/>
            </a:rPr>
            <a:t>Once a playthrough is complete the player can start all over again either with the same skills and quest or changing things up.</a:t>
          </a:r>
        </a:p>
        <a:p>
          <a:pPr marL="0" indent="0"/>
          <a:endParaRPr lang="en-GB" sz="1000" b="0">
            <a:solidFill>
              <a:schemeClr val="tx1"/>
            </a:solidFill>
            <a:latin typeface="+mn-lt"/>
            <a:ea typeface="+mn-ea"/>
            <a:cs typeface="+mn-cs"/>
          </a:endParaRPr>
        </a:p>
        <a:p>
          <a:pPr marL="0" indent="0"/>
          <a:endParaRPr lang="en-GB" sz="1000" b="0">
            <a:solidFill>
              <a:schemeClr val="tx1"/>
            </a:solidFill>
            <a:latin typeface="+mn-lt"/>
            <a:ea typeface="+mn-ea"/>
            <a:cs typeface="+mn-cs"/>
          </a:endParaRPr>
        </a:p>
        <a:p>
          <a:pPr marL="0" indent="0"/>
          <a:endParaRPr lang="en-GB" sz="1000" b="0" baseline="0">
            <a:solidFill>
              <a:schemeClr val="tx1"/>
            </a:solidFill>
            <a:latin typeface="+mn-lt"/>
            <a:ea typeface="+mn-ea"/>
            <a:cs typeface="+mn-cs"/>
          </a:endParaRPr>
        </a:p>
        <a:p>
          <a:pPr marL="0" indent="0"/>
          <a:endParaRPr lang="en-GB" sz="1000" b="0" baseline="0">
            <a:solidFill>
              <a:schemeClr val="tx1"/>
            </a:solidFill>
            <a:latin typeface="+mn-lt"/>
            <a:ea typeface="+mn-ea"/>
            <a:cs typeface="+mn-cs"/>
          </a:endParaRPr>
        </a:p>
        <a:p>
          <a:pPr marL="0" indent="0"/>
          <a:endParaRPr lang="en-GB" sz="1000" b="0" baseline="0">
            <a:solidFill>
              <a:schemeClr val="tx1"/>
            </a:solidFill>
            <a:latin typeface="+mn-lt"/>
            <a:ea typeface="+mn-ea"/>
            <a:cs typeface="+mn-cs"/>
          </a:endParaRPr>
        </a:p>
        <a:p>
          <a:pPr marL="0" indent="0"/>
          <a:endParaRPr lang="en-GB" sz="1000" b="0" baseline="0">
            <a:solidFill>
              <a:schemeClr val="tx1"/>
            </a:solidFill>
            <a:latin typeface="+mn-lt"/>
            <a:ea typeface="+mn-ea"/>
            <a:cs typeface="+mn-cs"/>
          </a:endParaRPr>
        </a:p>
        <a:p>
          <a:pPr marL="0" indent="0"/>
          <a:endParaRPr lang="en-GB" sz="1000" b="0" baseline="0">
            <a:solidFill>
              <a:schemeClr val="tx1"/>
            </a:solidFill>
            <a:latin typeface="+mn-lt"/>
            <a:ea typeface="+mn-ea"/>
            <a:cs typeface="+mn-cs"/>
          </a:endParaRPr>
        </a:p>
        <a:p>
          <a:pPr marL="0" indent="0"/>
          <a:endParaRPr lang="en-GB" sz="1000" b="0" baseline="0">
            <a:solidFill>
              <a:schemeClr val="tx1"/>
            </a:solidFill>
            <a:latin typeface="+mn-lt"/>
            <a:ea typeface="+mn-ea"/>
            <a:cs typeface="+mn-cs"/>
          </a:endParaRPr>
        </a:p>
        <a:p>
          <a:pPr marL="0" indent="0"/>
          <a:endParaRPr lang="en-GB" sz="1000" b="0" baseline="0">
            <a:solidFill>
              <a:schemeClr val="tx1"/>
            </a:solidFill>
            <a:latin typeface="+mn-lt"/>
            <a:ea typeface="+mn-ea"/>
            <a:cs typeface="+mn-cs"/>
          </a:endParaRPr>
        </a:p>
        <a:p>
          <a:pPr marL="0" indent="0"/>
          <a:endParaRPr lang="en-GB" sz="1000" b="0" baseline="0">
            <a:solidFill>
              <a:schemeClr val="tx1"/>
            </a:solidFill>
            <a:latin typeface="+mn-lt"/>
            <a:ea typeface="+mn-ea"/>
            <a:cs typeface="+mn-cs"/>
          </a:endParaRPr>
        </a:p>
        <a:p>
          <a:pPr marL="0" indent="0"/>
          <a:endParaRPr lang="en-GB" sz="1000" b="0">
            <a:solidFill>
              <a:schemeClr val="tx1"/>
            </a:solidFill>
            <a:latin typeface="+mn-lt"/>
            <a:ea typeface="+mn-ea"/>
            <a:cs typeface="+mn-cs"/>
          </a:endParaRPr>
        </a:p>
        <a:p>
          <a:pPr marL="0" indent="0"/>
          <a:endParaRPr lang="en-GB" sz="1000" b="0">
            <a:solidFill>
              <a:schemeClr val="tx1"/>
            </a:solidFill>
            <a:latin typeface="+mn-lt"/>
            <a:ea typeface="+mn-ea"/>
            <a:cs typeface="+mn-cs"/>
          </a:endParaRPr>
        </a:p>
        <a:p>
          <a:pPr marL="0" indent="0"/>
          <a:endParaRPr lang="en-GB" sz="1000" b="0">
            <a:solidFill>
              <a:schemeClr val="tx1"/>
            </a:solidFill>
            <a:latin typeface="+mn-lt"/>
            <a:ea typeface="+mn-ea"/>
            <a:cs typeface="+mn-cs"/>
          </a:endParaRPr>
        </a:p>
        <a:p>
          <a:pPr marL="0" indent="0"/>
          <a:r>
            <a:rPr lang="en-GB" sz="1000" b="0">
              <a:solidFill>
                <a:schemeClr val="tx1"/>
              </a:solidFill>
              <a:latin typeface="+mn-lt"/>
              <a:ea typeface="+mn-ea"/>
              <a:cs typeface="+mn-cs"/>
            </a:rPr>
            <a:t> </a:t>
          </a:r>
        </a:p>
        <a:p>
          <a:pPr marL="0" indent="0"/>
          <a:endParaRPr lang="en-GB" sz="1000" b="0">
            <a:solidFill>
              <a:schemeClr val="tx1"/>
            </a:solidFill>
            <a:latin typeface="+mn-lt"/>
            <a:ea typeface="+mn-ea"/>
            <a:cs typeface="+mn-cs"/>
          </a:endParaRPr>
        </a:p>
        <a:p>
          <a:pPr marL="0" indent="0"/>
          <a:endParaRPr lang="en-GB" sz="1000" b="0">
            <a:solidFill>
              <a:schemeClr val="tx1"/>
            </a:solidFill>
            <a:latin typeface="+mn-lt"/>
            <a:ea typeface="+mn-ea"/>
            <a:cs typeface="+mn-cs"/>
          </a:endParaRPr>
        </a:p>
        <a:p>
          <a:pPr marL="0" indent="0"/>
          <a:endParaRPr lang="en-GB" sz="1000" b="0">
            <a:solidFill>
              <a:schemeClr val="tx1"/>
            </a:solidFill>
            <a:latin typeface="+mn-lt"/>
            <a:ea typeface="+mn-ea"/>
            <a:cs typeface="+mn-cs"/>
          </a:endParaRPr>
        </a:p>
        <a:p>
          <a:pPr marL="0" indent="0"/>
          <a:endParaRPr lang="en-GB" sz="1000" b="0">
            <a:solidFill>
              <a:schemeClr val="tx1"/>
            </a:solidFill>
            <a:latin typeface="+mn-lt"/>
            <a:ea typeface="+mn-ea"/>
            <a:cs typeface="+mn-cs"/>
          </a:endParaRPr>
        </a:p>
        <a:p>
          <a:pPr marL="0" indent="0"/>
          <a:endParaRPr lang="en-GB" sz="1000" b="0">
            <a:solidFill>
              <a:schemeClr val="tx1"/>
            </a:solidFill>
            <a:latin typeface="+mn-lt"/>
            <a:ea typeface="+mn-ea"/>
            <a:cs typeface="+mn-cs"/>
          </a:endParaRPr>
        </a:p>
        <a:p>
          <a:pPr marL="0" indent="0"/>
          <a:endParaRPr lang="en-GB" sz="1000" b="0">
            <a:solidFill>
              <a:schemeClr val="tx1"/>
            </a:solidFill>
            <a:latin typeface="+mn-lt"/>
            <a:ea typeface="+mn-ea"/>
            <a:cs typeface="+mn-cs"/>
          </a:endParaRPr>
        </a:p>
        <a:p>
          <a:pPr marL="0" indent="0"/>
          <a:endParaRPr lang="en-GB" sz="1000" b="0">
            <a:solidFill>
              <a:schemeClr val="tx1"/>
            </a:solidFill>
            <a:latin typeface="+mn-lt"/>
            <a:ea typeface="+mn-ea"/>
            <a:cs typeface="+mn-cs"/>
          </a:endParaRPr>
        </a:p>
      </xdr:txBody>
    </xdr:sp>
    <xdr:clientData/>
  </xdr:twoCellAnchor>
  <xdr:twoCellAnchor>
    <xdr:from>
      <xdr:col>40</xdr:col>
      <xdr:colOff>0</xdr:colOff>
      <xdr:row>65</xdr:row>
      <xdr:rowOff>0</xdr:rowOff>
    </xdr:from>
    <xdr:to>
      <xdr:col>57</xdr:col>
      <xdr:colOff>228599</xdr:colOff>
      <xdr:row>130</xdr:row>
      <xdr:rowOff>0</xdr:rowOff>
    </xdr:to>
    <xdr:sp macro="" textlink="">
      <xdr:nvSpPr>
        <xdr:cNvPr id="9" name="TextBox 8">
          <a:extLst>
            <a:ext uri="{FF2B5EF4-FFF2-40B4-BE49-F238E27FC236}">
              <a16:creationId xmlns:a16="http://schemas.microsoft.com/office/drawing/2014/main" id="{AFD27B30-2FCA-42D4-822D-CAB757FD74F4}"/>
            </a:ext>
          </a:extLst>
        </xdr:cNvPr>
        <xdr:cNvSpPr txBox="1">
          <a:spLocks/>
        </xdr:cNvSpPr>
      </xdr:nvSpPr>
      <xdr:spPr>
        <a:xfrm>
          <a:off x="9144000" y="13620750"/>
          <a:ext cx="4114799" cy="13620750"/>
        </a:xfrm>
        <a:prstGeom prst="rect">
          <a:avLst/>
        </a:prstGeom>
        <a:noFill/>
        <a:ln w="22225">
          <a:noFill/>
        </a:ln>
      </xdr:spPr>
      <xdr:style>
        <a:lnRef idx="0">
          <a:scrgbClr r="0" g="0" b="0"/>
        </a:lnRef>
        <a:fillRef idx="0">
          <a:scrgbClr r="0" g="0" b="0"/>
        </a:fillRef>
        <a:effectRef idx="0">
          <a:scrgbClr r="0" g="0" b="0"/>
        </a:effectRef>
        <a:fontRef idx="minor">
          <a:schemeClr val="tx1"/>
        </a:fontRef>
      </xdr:style>
      <xdr:txBody>
        <a:bodyPr vertOverflow="clip" horzOverflow="clip" wrap="square" lIns="36000" tIns="46800" rIns="360000" rtlCol="0" anchor="t">
          <a:noAutofit/>
        </a:bodyPr>
        <a:lstStyle/>
        <a:p>
          <a:pPr marL="0" indent="0"/>
          <a:endParaRPr lang="en-GB" sz="1000" b="1" baseline="0">
            <a:solidFill>
              <a:schemeClr val="tx1"/>
            </a:solidFill>
            <a:latin typeface="+mn-lt"/>
            <a:ea typeface="+mn-ea"/>
            <a:cs typeface="+mn-cs"/>
          </a:endParaRPr>
        </a:p>
        <a:p>
          <a:pPr marL="0" indent="0">
            <a:buFont typeface="Arial" panose="020B0604020202020204" pitchFamily="34" charset="0"/>
            <a:buNone/>
          </a:pPr>
          <a:r>
            <a:rPr lang="en-GB" sz="1000" b="1" baseline="0">
              <a:solidFill>
                <a:schemeClr val="tx1"/>
              </a:solidFill>
              <a:latin typeface="+mn-lt"/>
              <a:ea typeface="+mn-ea"/>
              <a:cs typeface="+mn-cs"/>
            </a:rPr>
            <a:t>About the Gameplan</a:t>
          </a:r>
        </a:p>
        <a:p>
          <a:pPr marL="171450" indent="-171450">
            <a:buFont typeface="Arial" panose="020B0604020202020204" pitchFamily="34" charset="0"/>
            <a:buChar char="•"/>
          </a:pPr>
          <a:r>
            <a:rPr lang="en-GB" sz="1000" b="0" baseline="0">
              <a:solidFill>
                <a:schemeClr val="tx1"/>
              </a:solidFill>
              <a:latin typeface="+mn-lt"/>
              <a:ea typeface="+mn-ea"/>
              <a:cs typeface="+mn-cs"/>
            </a:rPr>
            <a:t>It is a tool for planning and tracking every aspect of life while gamifying actions to motivate and reward the player.  </a:t>
          </a:r>
          <a:endParaRPr lang="en-GB" sz="1000" b="1" baseline="0">
            <a:solidFill>
              <a:schemeClr val="tx1"/>
            </a:solidFill>
            <a:latin typeface="+mn-lt"/>
            <a:ea typeface="+mn-ea"/>
            <a:cs typeface="+mn-cs"/>
          </a:endParaRPr>
        </a:p>
        <a:p>
          <a:pPr marL="171450" indent="-171450">
            <a:buFont typeface="Arial" panose="020B0604020202020204" pitchFamily="34" charset="0"/>
            <a:buChar char="•"/>
          </a:pPr>
          <a:r>
            <a:rPr lang="en-GB" sz="1000" b="0" baseline="0">
              <a:solidFill>
                <a:schemeClr val="tx1"/>
              </a:solidFill>
              <a:latin typeface="+mn-lt"/>
              <a:ea typeface="+mn-ea"/>
              <a:cs typeface="+mn-cs"/>
            </a:rPr>
            <a:t>It is for anyone interested in self-development and/or analysing both how to they currently live and how to craft a vision for their life. </a:t>
          </a:r>
          <a:endParaRPr lang="en-GB" sz="1000" b="1" baseline="0">
            <a:solidFill>
              <a:schemeClr val="tx1"/>
            </a:solidFill>
            <a:latin typeface="+mn-lt"/>
            <a:ea typeface="+mn-ea"/>
            <a:cs typeface="+mn-cs"/>
          </a:endParaRPr>
        </a:p>
        <a:p>
          <a:pPr marL="171450" indent="-171450">
            <a:buFont typeface="Arial" panose="020B0604020202020204" pitchFamily="34" charset="0"/>
            <a:buChar char="•"/>
          </a:pPr>
          <a:r>
            <a:rPr lang="en-GB" sz="1000" b="0" baseline="0">
              <a:solidFill>
                <a:schemeClr val="tx1"/>
              </a:solidFill>
              <a:latin typeface="+mn-lt"/>
              <a:ea typeface="+mn-ea"/>
              <a:cs typeface="+mn-cs"/>
            </a:rPr>
            <a:t>It can function as a habit tracker, planner, calendar, journal, goal setter, to-do list and organiser. </a:t>
          </a:r>
          <a:endParaRPr lang="en-GB" sz="1000" b="1" baseline="0">
            <a:solidFill>
              <a:schemeClr val="tx1"/>
            </a:solidFill>
            <a:latin typeface="+mn-lt"/>
            <a:ea typeface="+mn-ea"/>
            <a:cs typeface="+mn-cs"/>
          </a:endParaRPr>
        </a:p>
        <a:p>
          <a:pPr marL="171450" indent="-171450">
            <a:buFont typeface="Arial" panose="020B0604020202020204" pitchFamily="34" charset="0"/>
            <a:buChar char="•"/>
          </a:pPr>
          <a:r>
            <a:rPr lang="en-GB" sz="1000" b="0" baseline="0">
              <a:solidFill>
                <a:schemeClr val="tx1"/>
              </a:solidFill>
              <a:latin typeface="+mn-lt"/>
              <a:ea typeface="+mn-ea"/>
              <a:cs typeface="+mn-cs"/>
            </a:rPr>
            <a:t>It is used by the player choosing their main goals to reach and skills to work on, then inputting their activity data. </a:t>
          </a:r>
        </a:p>
        <a:p>
          <a:pPr marL="0" indent="0">
            <a:buFont typeface="Arial" panose="020B0604020202020204" pitchFamily="34" charset="0"/>
            <a:buNone/>
          </a:pPr>
          <a:endParaRPr lang="en-GB" sz="1000" b="1" baseline="0">
            <a:solidFill>
              <a:schemeClr val="tx1"/>
            </a:solidFill>
            <a:latin typeface="+mn-lt"/>
            <a:ea typeface="+mn-ea"/>
            <a:cs typeface="+mn-cs"/>
          </a:endParaRPr>
        </a:p>
        <a:p>
          <a:pPr marL="0" indent="0">
            <a:buFont typeface="Arial" panose="020B0604020202020204" pitchFamily="34" charset="0"/>
            <a:buNone/>
          </a:pPr>
          <a:r>
            <a:rPr lang="en-GB" sz="1000" b="1" baseline="0">
              <a:solidFill>
                <a:schemeClr val="tx1"/>
              </a:solidFill>
              <a:latin typeface="+mn-lt"/>
              <a:ea typeface="+mn-ea"/>
              <a:cs typeface="+mn-cs"/>
            </a:rPr>
            <a:t>The Ethos of the Gameplan</a:t>
          </a:r>
        </a:p>
        <a:p>
          <a:pPr marL="0" indent="0">
            <a:buFont typeface="Arial" panose="020B0604020202020204" pitchFamily="34" charset="0"/>
            <a:buNone/>
          </a:pPr>
          <a:r>
            <a:rPr lang="en-GB" sz="1000" baseline="0">
              <a:solidFill>
                <a:schemeClr val="tx1"/>
              </a:solidFill>
              <a:latin typeface="+mn-lt"/>
              <a:ea typeface="+mn-ea"/>
              <a:cs typeface="+mn-cs"/>
            </a:rPr>
            <a:t>The gameplan has been designed to be an all encompassing space for a person to examine and plan their life, working much like a pause menu in an RPG video game containing all of  the stats and activities of the player character. However the skills the user progresses are real life skills and their rewards can be real life too. In reality, the body and mind are tracking and being shaped by daily actions, but a person is often not aware of this. Through the gameplan a player can closely observe what actions they are doing, how they are progressing and what to change or what to keep up in order to live life as best as possible and in line with their individuals wants, needs and capabilities.</a:t>
          </a:r>
        </a:p>
        <a:p>
          <a:pPr marL="0" indent="0">
            <a:buFont typeface="Arial" panose="020B0604020202020204" pitchFamily="34" charset="0"/>
            <a:buNone/>
          </a:pPr>
          <a:endParaRPr lang="en-GB" sz="1000" baseline="0">
            <a:solidFill>
              <a:schemeClr val="tx1"/>
            </a:solidFill>
            <a:latin typeface="+mn-lt"/>
            <a:ea typeface="+mn-ea"/>
            <a:cs typeface="+mn-cs"/>
          </a:endParaRPr>
        </a:p>
        <a:p>
          <a:pPr marL="0" indent="0">
            <a:buFont typeface="Arial" panose="020B0604020202020204" pitchFamily="34" charset="0"/>
            <a:buNone/>
          </a:pPr>
          <a:r>
            <a:rPr lang="en-GB" sz="1000" b="1" baseline="0">
              <a:solidFill>
                <a:schemeClr val="tx1"/>
              </a:solidFill>
              <a:latin typeface="+mn-lt"/>
              <a:ea typeface="+mn-ea"/>
              <a:cs typeface="+mn-cs"/>
            </a:rPr>
            <a:t>The Idea Behind Each Sheet</a:t>
          </a:r>
        </a:p>
        <a:p>
          <a:pPr marL="171450" indent="-171450">
            <a:buFont typeface="Arial" panose="020B0604020202020204" pitchFamily="34" charset="0"/>
            <a:buChar char="•"/>
          </a:pPr>
          <a:r>
            <a:rPr lang="en-GB" sz="1000" baseline="0">
              <a:solidFill>
                <a:schemeClr val="tx1"/>
              </a:solidFill>
              <a:latin typeface="+mn-lt"/>
              <a:ea typeface="+mn-ea"/>
              <a:cs typeface="+mn-cs"/>
            </a:rPr>
            <a:t>^ : The start sheet for inputing initial info. The main mountain image with changing icons is a representation of progress made, with a central space to create and update quests, ie. the player's overal vision for the outcome of the gameplan.</a:t>
          </a:r>
        </a:p>
        <a:p>
          <a:pPr marL="171450" indent="-171450">
            <a:buFont typeface="Arial" panose="020B0604020202020204" pitchFamily="34" charset="0"/>
            <a:buChar char="•"/>
          </a:pPr>
          <a:r>
            <a:rPr lang="en-GB" sz="1000" baseline="0">
              <a:solidFill>
                <a:schemeClr val="tx1"/>
              </a:solidFill>
              <a:latin typeface="+mn-lt"/>
              <a:ea typeface="+mn-ea"/>
              <a:cs typeface="+mn-cs"/>
            </a:rPr>
            <a:t>HUD: This is a visual dashboard for everything the player is doing and has done in the gameplan, a way to see progress visually and better understand the actions taken. </a:t>
          </a:r>
        </a:p>
        <a:p>
          <a:pPr marL="171450" indent="-171450">
            <a:buFont typeface="Arial" panose="020B0604020202020204" pitchFamily="34" charset="0"/>
            <a:buChar char="•"/>
          </a:pPr>
          <a:r>
            <a:rPr lang="en-GB" sz="1000" baseline="0">
              <a:solidFill>
                <a:schemeClr val="tx1"/>
              </a:solidFill>
              <a:latin typeface="+mn-lt"/>
              <a:ea typeface="+mn-ea"/>
              <a:cs typeface="+mn-cs"/>
            </a:rPr>
            <a:t>LOGS: Where the player can write logs with thoughts on anything and everything, or follow journalling prompt questions or exercises. There is a space for writing out logs within the shapes or to make note of where a handwritten journal or audiolog has been done. </a:t>
          </a:r>
        </a:p>
        <a:p>
          <a:pPr marL="171450" indent="-171450">
            <a:buFont typeface="Arial" panose="020B0604020202020204" pitchFamily="34" charset="0"/>
            <a:buChar char="•"/>
          </a:pPr>
          <a:r>
            <a:rPr lang="en-GB" sz="1000" baseline="0">
              <a:solidFill>
                <a:schemeClr val="tx1"/>
              </a:solidFill>
              <a:latin typeface="+mn-lt"/>
              <a:ea typeface="+mn-ea"/>
              <a:cs typeface="+mn-cs"/>
            </a:rPr>
            <a:t>PLANS: This serves as a simple calendar for the month and planner for the year, as well as expanding on this by allowing for a basic overview of the years and even decades. </a:t>
          </a:r>
        </a:p>
        <a:p>
          <a:pPr marL="171450" indent="-171450">
            <a:buFont typeface="Arial" panose="020B0604020202020204" pitchFamily="34" charset="0"/>
            <a:buChar char="•"/>
          </a:pPr>
          <a:r>
            <a:rPr lang="en-GB" sz="1000" baseline="0">
              <a:solidFill>
                <a:schemeClr val="tx1"/>
              </a:solidFill>
              <a:latin typeface="+mn-lt"/>
              <a:ea typeface="+mn-ea"/>
              <a:cs typeface="+mn-cs"/>
            </a:rPr>
            <a:t>NOTES: Designed as a place to gather all thoughts, ideas and vital things to remember. By keeping notes all in one place the aim is to never lose an idea and stay on track with what to do now and to do next. </a:t>
          </a:r>
        </a:p>
        <a:p>
          <a:pPr marL="171450" indent="-171450">
            <a:buFont typeface="Arial" panose="020B0604020202020204" pitchFamily="34" charset="0"/>
            <a:buChar char="•"/>
          </a:pPr>
          <a:r>
            <a:rPr lang="en-GB" sz="1000" baseline="0">
              <a:solidFill>
                <a:schemeClr val="tx1"/>
              </a:solidFill>
              <a:latin typeface="+mn-lt"/>
              <a:ea typeface="+mn-ea"/>
              <a:cs typeface="+mn-cs"/>
            </a:rPr>
            <a:t>TIMINGS: A way to plan out the day and the week in detail, aimed at creating a visual and interactive planner using shapes. </a:t>
          </a:r>
        </a:p>
        <a:p>
          <a:pPr marL="171450" indent="-171450">
            <a:buFont typeface="Arial" panose="020B0604020202020204" pitchFamily="34" charset="0"/>
            <a:buChar char="•"/>
          </a:pPr>
          <a:r>
            <a:rPr lang="en-GB" sz="1000" baseline="0">
              <a:solidFill>
                <a:schemeClr val="tx1"/>
              </a:solidFill>
              <a:latin typeface="+mn-lt"/>
              <a:ea typeface="+mn-ea"/>
              <a:cs typeface="+mn-cs"/>
            </a:rPr>
            <a:t>MISSIONS: An elaborate to do list, aimed at breaking down tasks and keeping focus by highlighted the fastest tasks and keeping track of deadlines. </a:t>
          </a:r>
        </a:p>
        <a:p>
          <a:pPr marL="171450" indent="-171450">
            <a:buFont typeface="Arial" panose="020B0604020202020204" pitchFamily="34" charset="0"/>
            <a:buChar char="•"/>
          </a:pPr>
          <a:r>
            <a:rPr lang="en-GB" sz="1000" baseline="0">
              <a:solidFill>
                <a:schemeClr val="tx1"/>
              </a:solidFill>
              <a:latin typeface="+mn-lt"/>
              <a:ea typeface="+mn-ea"/>
              <a:cs typeface="+mn-cs"/>
            </a:rPr>
            <a:t>ACTIONS: This is the core of the gameplan, where all XP for actions done is entered. It works as a hub for seeing vital info about the gameplan and current goals, with some inspiring quotes showing to help the player feel positive and motivated. </a:t>
          </a:r>
        </a:p>
        <a:p>
          <a:pPr marL="171450" indent="-171450">
            <a:buFont typeface="Arial" panose="020B0604020202020204" pitchFamily="34" charset="0"/>
            <a:buChar char="•"/>
          </a:pPr>
          <a:r>
            <a:rPr lang="en-GB" sz="1000" baseline="0">
              <a:solidFill>
                <a:schemeClr val="tx1"/>
              </a:solidFill>
              <a:latin typeface="+mn-lt"/>
              <a:ea typeface="+mn-ea"/>
              <a:cs typeface="+mn-cs"/>
            </a:rPr>
            <a:t>PROGRESS: The secondary core showing current progress and stats in all areas of the gameplan. The objectives and challenges are designed to give specific focus and intention to actions done. </a:t>
          </a:r>
        </a:p>
        <a:p>
          <a:pPr marL="171450" indent="-171450">
            <a:buFont typeface="Arial" panose="020B0604020202020204" pitchFamily="34" charset="0"/>
            <a:buChar char="•"/>
          </a:pPr>
          <a:r>
            <a:rPr lang="en-GB" sz="1000" baseline="0">
              <a:solidFill>
                <a:schemeClr val="tx1"/>
              </a:solidFill>
              <a:latin typeface="+mn-lt"/>
              <a:ea typeface="+mn-ea"/>
              <a:cs typeface="+mn-cs"/>
            </a:rPr>
            <a:t>JOURNEY: A place for examining overall wellbeing, both mental and physical and ensure the player is both engaging with the world via adventures and interacting with other people via connections. The dice roll activity system is a way to get going and do something when feeling lost or indecisive. </a:t>
          </a:r>
        </a:p>
        <a:p>
          <a:pPr marL="171450" indent="-171450">
            <a:buFont typeface="Arial" panose="020B0604020202020204" pitchFamily="34" charset="0"/>
            <a:buChar char="•"/>
          </a:pPr>
          <a:r>
            <a:rPr lang="en-GB" sz="1000" baseline="0">
              <a:solidFill>
                <a:schemeClr val="tx1"/>
              </a:solidFill>
              <a:latin typeface="+mn-lt"/>
              <a:ea typeface="+mn-ea"/>
              <a:cs typeface="+mn-cs"/>
            </a:rPr>
            <a:t>BOUNTY: For rewarding the player both with random items and sums of money, so as to encourage consistency with habits and actiions.</a:t>
          </a:r>
        </a:p>
        <a:p>
          <a:pPr marL="171450" indent="-171450">
            <a:buFont typeface="Arial" panose="020B0604020202020204" pitchFamily="34" charset="0"/>
            <a:buChar char="•"/>
          </a:pPr>
          <a:r>
            <a:rPr lang="en-GB" sz="1000" baseline="0">
              <a:solidFill>
                <a:schemeClr val="tx1"/>
              </a:solidFill>
              <a:latin typeface="+mn-lt"/>
              <a:ea typeface="+mn-ea"/>
              <a:cs typeface="+mn-cs"/>
            </a:rPr>
            <a:t>MONEY: To organise spending and keep an eye on finances. The merchant area is designed to allow flexiblity to booty items gained giving the opportunity to trade them. </a:t>
          </a:r>
        </a:p>
        <a:p>
          <a:pPr marL="171450" indent="-171450">
            <a:buFont typeface="Arial" panose="020B0604020202020204" pitchFamily="34" charset="0"/>
            <a:buChar char="•"/>
          </a:pPr>
          <a:r>
            <a:rPr lang="en-GB" sz="1000" baseline="0">
              <a:solidFill>
                <a:schemeClr val="tx1"/>
              </a:solidFill>
              <a:latin typeface="+mn-lt"/>
              <a:ea typeface="+mn-ea"/>
              <a:cs typeface="+mn-cs"/>
            </a:rPr>
            <a:t>VICTORY: A space for acknowledging and celebrating small milestones, wins and positive things done. It serves as a reminder of successes small and large along the journey of life and through using the gameplan.</a:t>
          </a:r>
        </a:p>
        <a:p>
          <a:pPr marL="171450" indent="-171450">
            <a:buFont typeface="Arial" panose="020B0604020202020204" pitchFamily="34" charset="0"/>
            <a:buChar char="•"/>
          </a:pPr>
          <a:r>
            <a:rPr lang="en-GB" sz="1000" baseline="0">
              <a:solidFill>
                <a:schemeClr val="tx1"/>
              </a:solidFill>
              <a:latin typeface="+mn-lt"/>
              <a:ea typeface="+mn-ea"/>
              <a:cs typeface="+mn-cs"/>
            </a:rPr>
            <a:t>RESPITE: Intended to encourage quality over quantity of media. To create limits and stick to them, and only select media really worth consuming. </a:t>
          </a:r>
        </a:p>
        <a:p>
          <a:pPr marL="171450" indent="-171450">
            <a:buFont typeface="Arial" panose="020B0604020202020204" pitchFamily="34" charset="0"/>
            <a:buChar char="•"/>
          </a:pPr>
          <a:r>
            <a:rPr lang="en-GB" sz="1000" baseline="0">
              <a:solidFill>
                <a:schemeClr val="tx1"/>
              </a:solidFill>
              <a:latin typeface="+mn-lt"/>
              <a:ea typeface="+mn-ea"/>
              <a:cs typeface="+mn-cs"/>
            </a:rPr>
            <a:t>GUIDE: An area to put useful info or plans that do not fit anywhere else. It is also a place for collecting life lessons and useful wisdom.</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18</xdr:col>
      <xdr:colOff>228598</xdr:colOff>
      <xdr:row>1</xdr:row>
      <xdr:rowOff>0</xdr:rowOff>
    </xdr:from>
    <xdr:to>
      <xdr:col>77</xdr:col>
      <xdr:colOff>228599</xdr:colOff>
      <xdr:row>37</xdr:row>
      <xdr:rowOff>0</xdr:rowOff>
    </xdr:to>
    <xdr:sp macro="" textlink="$AJ$452">
      <xdr:nvSpPr>
        <xdr:cNvPr id="7" name="TextBox 6">
          <a:extLst>
            <a:ext uri="{FF2B5EF4-FFF2-40B4-BE49-F238E27FC236}">
              <a16:creationId xmlns:a16="http://schemas.microsoft.com/office/drawing/2014/main" id="{F882D655-8034-4231-9BC8-58A489E55A7A}"/>
            </a:ext>
          </a:extLst>
        </xdr:cNvPr>
        <xdr:cNvSpPr txBox="1">
          <a:spLocks/>
        </xdr:cNvSpPr>
      </xdr:nvSpPr>
      <xdr:spPr>
        <a:xfrm>
          <a:off x="4343398" y="209550"/>
          <a:ext cx="13487401" cy="7543800"/>
        </a:xfrm>
        <a:prstGeom prst="rect">
          <a:avLst/>
        </a:prstGeom>
        <a:blipFill dpi="0" rotWithShape="1">
          <a:blip xmlns:r="http://schemas.openxmlformats.org/officeDocument/2006/relationships" r:embed="rId1">
            <a:alphaModFix amt="50000"/>
          </a:blip>
          <a:srcRect/>
          <a:stretch>
            <a:fillRect r="-3006"/>
          </a:stretch>
        </a:blipFill>
        <a:ln w="12700">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1CAC96BE-EF17-4147-B556-50A459849DB9}" type="TxLink">
            <a:rPr lang="en-US" sz="700" b="0" i="0" u="none" strike="noStrike" baseline="0">
              <a:solidFill>
                <a:srgbClr val="000000"/>
              </a:solidFill>
              <a:latin typeface="Agency FB"/>
              <a:ea typeface="+mn-ea"/>
              <a:cs typeface="+mn-cs"/>
            </a:rPr>
            <a:pPr marL="0" indent="0" algn="l"/>
            <a:t> </a:t>
          </a:fld>
          <a:endParaRPr lang="en-GB" sz="800" b="1" baseline="0">
            <a:solidFill>
              <a:schemeClr val="bg1"/>
            </a:solidFill>
            <a:latin typeface="+mn-lt"/>
            <a:ea typeface="+mn-ea"/>
            <a:cs typeface="+mn-cs"/>
          </a:endParaRPr>
        </a:p>
      </xdr:txBody>
    </xdr:sp>
    <xdr:clientData/>
  </xdr:twoCellAnchor>
  <xdr:twoCellAnchor>
    <xdr:from>
      <xdr:col>20</xdr:col>
      <xdr:colOff>0</xdr:colOff>
      <xdr:row>2</xdr:row>
      <xdr:rowOff>0</xdr:rowOff>
    </xdr:from>
    <xdr:to>
      <xdr:col>77</xdr:col>
      <xdr:colOff>0</xdr:colOff>
      <xdr:row>20</xdr:row>
      <xdr:rowOff>0</xdr:rowOff>
    </xdr:to>
    <xdr:sp macro="" textlink="">
      <xdr:nvSpPr>
        <xdr:cNvPr id="13" name="TextBox 12">
          <a:extLst>
            <a:ext uri="{FF2B5EF4-FFF2-40B4-BE49-F238E27FC236}">
              <a16:creationId xmlns:a16="http://schemas.microsoft.com/office/drawing/2014/main" id="{A9932F0C-B975-463E-9C35-BE957173F840}"/>
            </a:ext>
          </a:extLst>
        </xdr:cNvPr>
        <xdr:cNvSpPr txBox="1">
          <a:spLocks/>
        </xdr:cNvSpPr>
      </xdr:nvSpPr>
      <xdr:spPr>
        <a:xfrm>
          <a:off x="4572000" y="419100"/>
          <a:ext cx="13030200" cy="3771900"/>
        </a:xfrm>
        <a:prstGeom prst="rect">
          <a:avLst/>
        </a:prstGeom>
        <a:solidFill>
          <a:schemeClr val="tx1">
            <a:alpha val="50196"/>
          </a:schemeClr>
        </a:solidFill>
        <a:ln w="12700">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lvl="0"/>
          <a:endParaRPr lang="en-GB" sz="1000">
            <a:solidFill>
              <a:schemeClr val="bg1"/>
            </a:solidFill>
          </a:endParaRPr>
        </a:p>
      </xdr:txBody>
    </xdr:sp>
    <xdr:clientData/>
  </xdr:twoCellAnchor>
  <xdr:twoCellAnchor>
    <xdr:from>
      <xdr:col>2</xdr:col>
      <xdr:colOff>9525</xdr:colOff>
      <xdr:row>21</xdr:row>
      <xdr:rowOff>0</xdr:rowOff>
    </xdr:from>
    <xdr:to>
      <xdr:col>18</xdr:col>
      <xdr:colOff>0</xdr:colOff>
      <xdr:row>36</xdr:row>
      <xdr:rowOff>1</xdr:rowOff>
    </xdr:to>
    <xdr:graphicFrame macro="">
      <xdr:nvGraphicFramePr>
        <xdr:cNvPr id="11" name="Chart 1">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0</xdr:colOff>
      <xdr:row>10</xdr:row>
      <xdr:rowOff>64454</xdr:rowOff>
    </xdr:from>
    <xdr:to>
      <xdr:col>17</xdr:col>
      <xdr:colOff>11431</xdr:colOff>
      <xdr:row>18</xdr:row>
      <xdr:rowOff>0</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85800" y="2159954"/>
          <a:ext cx="3209926" cy="1611946"/>
        </a:xfrm>
        <a:prstGeom prst="rect">
          <a:avLst/>
        </a:prstGeom>
      </xdr:spPr>
    </xdr:pic>
    <xdr:clientData/>
  </xdr:twoCellAnchor>
  <xdr:twoCellAnchor>
    <xdr:from>
      <xdr:col>20</xdr:col>
      <xdr:colOff>0</xdr:colOff>
      <xdr:row>21</xdr:row>
      <xdr:rowOff>10208</xdr:rowOff>
    </xdr:from>
    <xdr:to>
      <xdr:col>77</xdr:col>
      <xdr:colOff>509</xdr:colOff>
      <xdr:row>36</xdr:row>
      <xdr:rowOff>32657</xdr:rowOff>
    </xdr:to>
    <xdr:grpSp>
      <xdr:nvGrpSpPr>
        <xdr:cNvPr id="12" name="Group 11">
          <a:extLst>
            <a:ext uri="{FF2B5EF4-FFF2-40B4-BE49-F238E27FC236}">
              <a16:creationId xmlns:a16="http://schemas.microsoft.com/office/drawing/2014/main" id="{D1128B19-A098-CE53-BB7B-25564596C2D4}"/>
            </a:ext>
          </a:extLst>
        </xdr:cNvPr>
        <xdr:cNvGrpSpPr/>
      </xdr:nvGrpSpPr>
      <xdr:grpSpPr>
        <a:xfrm>
          <a:off x="4572000" y="4410758"/>
          <a:ext cx="13030709" cy="3165699"/>
          <a:chOff x="4572000" y="4410758"/>
          <a:chExt cx="13030709" cy="3165699"/>
        </a:xfrm>
      </xdr:grpSpPr>
      <xdr:grpSp>
        <xdr:nvGrpSpPr>
          <xdr:cNvPr id="56" name="Group 55">
            <a:extLst>
              <a:ext uri="{FF2B5EF4-FFF2-40B4-BE49-F238E27FC236}">
                <a16:creationId xmlns:a16="http://schemas.microsoft.com/office/drawing/2014/main" id="{00000000-0008-0000-0100-000038000000}"/>
              </a:ext>
            </a:extLst>
          </xdr:cNvPr>
          <xdr:cNvGrpSpPr/>
        </xdr:nvGrpSpPr>
        <xdr:grpSpPr>
          <a:xfrm>
            <a:off x="7772401" y="4433205"/>
            <a:ext cx="6629399" cy="3143252"/>
            <a:chOff x="7772401" y="4400548"/>
            <a:chExt cx="6629399" cy="3143252"/>
          </a:xfrm>
        </xdr:grpSpPr>
        <xdr:graphicFrame macro="">
          <xdr:nvGraphicFramePr>
            <xdr:cNvPr id="64" name="Chart 63">
              <a:extLst>
                <a:ext uri="{FF2B5EF4-FFF2-40B4-BE49-F238E27FC236}">
                  <a16:creationId xmlns:a16="http://schemas.microsoft.com/office/drawing/2014/main" id="{00000000-0008-0000-0100-000040000000}"/>
                </a:ext>
              </a:extLst>
            </xdr:cNvPr>
            <xdr:cNvGraphicFramePr>
              <a:graphicFrameLocks/>
            </xdr:cNvGraphicFramePr>
          </xdr:nvGraphicFramePr>
          <xdr:xfrm>
            <a:off x="11077575" y="4400548"/>
            <a:ext cx="3324225" cy="3143250"/>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65" name="Chart 2">
              <a:extLst>
                <a:ext uri="{FF2B5EF4-FFF2-40B4-BE49-F238E27FC236}">
                  <a16:creationId xmlns:a16="http://schemas.microsoft.com/office/drawing/2014/main" id="{00000000-0008-0000-0100-000041000000}"/>
                </a:ext>
              </a:extLst>
            </xdr:cNvPr>
            <xdr:cNvGraphicFramePr>
              <a:graphicFrameLocks/>
            </xdr:cNvGraphicFramePr>
          </xdr:nvGraphicFramePr>
          <xdr:xfrm>
            <a:off x="7772401" y="4400550"/>
            <a:ext cx="3305174" cy="3143250"/>
          </xdr:xfrm>
          <a:graphic>
            <a:graphicData uri="http://schemas.openxmlformats.org/drawingml/2006/chart">
              <c:chart xmlns:c="http://schemas.openxmlformats.org/drawingml/2006/chart" xmlns:r="http://schemas.openxmlformats.org/officeDocument/2006/relationships" r:id="rId5"/>
            </a:graphicData>
          </a:graphic>
        </xdr:graphicFrame>
      </xdr:grpSp>
      <xdr:grpSp>
        <xdr:nvGrpSpPr>
          <xdr:cNvPr id="9" name="Group 8">
            <a:extLst>
              <a:ext uri="{FF2B5EF4-FFF2-40B4-BE49-F238E27FC236}">
                <a16:creationId xmlns:a16="http://schemas.microsoft.com/office/drawing/2014/main" id="{723FC075-78C7-3EFF-5C9D-AAE12A905AB3}"/>
              </a:ext>
            </a:extLst>
          </xdr:cNvPr>
          <xdr:cNvGrpSpPr/>
        </xdr:nvGrpSpPr>
        <xdr:grpSpPr>
          <a:xfrm>
            <a:off x="4572000" y="4430238"/>
            <a:ext cx="2971801" cy="3146218"/>
            <a:chOff x="4572000" y="4430238"/>
            <a:chExt cx="2971801" cy="3146218"/>
          </a:xfrm>
        </xdr:grpSpPr>
        <xdr:graphicFrame macro="">
          <xdr:nvGraphicFramePr>
            <xdr:cNvPr id="4" name="Chart 1">
              <a:extLst>
                <a:ext uri="{FF2B5EF4-FFF2-40B4-BE49-F238E27FC236}">
                  <a16:creationId xmlns:a16="http://schemas.microsoft.com/office/drawing/2014/main" id="{1E795251-53E5-751C-1834-9F94178D16AD}"/>
                </a:ext>
              </a:extLst>
            </xdr:cNvPr>
            <xdr:cNvGraphicFramePr/>
          </xdr:nvGraphicFramePr>
          <xdr:xfrm>
            <a:off x="6172200" y="4430238"/>
            <a:ext cx="1371601" cy="1437162"/>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62" name="Chart 2">
              <a:extLst>
                <a:ext uri="{FF2B5EF4-FFF2-40B4-BE49-F238E27FC236}">
                  <a16:creationId xmlns:a16="http://schemas.microsoft.com/office/drawing/2014/main" id="{00000000-0008-0000-0100-00003E000000}"/>
                </a:ext>
              </a:extLst>
            </xdr:cNvPr>
            <xdr:cNvGraphicFramePr>
              <a:graphicFrameLocks/>
            </xdr:cNvGraphicFramePr>
          </xdr:nvGraphicFramePr>
          <xdr:xfrm>
            <a:off x="4572001" y="4433206"/>
            <a:ext cx="1600199" cy="143419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63" name="Chart 1">
              <a:extLst>
                <a:ext uri="{FF2B5EF4-FFF2-40B4-BE49-F238E27FC236}">
                  <a16:creationId xmlns:a16="http://schemas.microsoft.com/office/drawing/2014/main" id="{00000000-0008-0000-0100-00003F000000}"/>
                </a:ext>
              </a:extLst>
            </xdr:cNvPr>
            <xdr:cNvGraphicFramePr>
              <a:graphicFrameLocks/>
            </xdr:cNvGraphicFramePr>
          </xdr:nvGraphicFramePr>
          <xdr:xfrm>
            <a:off x="4572000" y="5867399"/>
            <a:ext cx="2971801" cy="1709057"/>
          </xdr:xfrm>
          <a:graphic>
            <a:graphicData uri="http://schemas.openxmlformats.org/drawingml/2006/chart">
              <c:chart xmlns:c="http://schemas.openxmlformats.org/drawingml/2006/chart" xmlns:r="http://schemas.openxmlformats.org/officeDocument/2006/relationships" r:id="rId8"/>
            </a:graphicData>
          </a:graphic>
        </xdr:graphicFrame>
      </xdr:grpSp>
      <xdr:grpSp>
        <xdr:nvGrpSpPr>
          <xdr:cNvPr id="6" name="Group 5">
            <a:extLst>
              <a:ext uri="{FF2B5EF4-FFF2-40B4-BE49-F238E27FC236}">
                <a16:creationId xmlns:a16="http://schemas.microsoft.com/office/drawing/2014/main" id="{8F3AFABA-8B76-138B-9E04-77625B0611AC}"/>
              </a:ext>
            </a:extLst>
          </xdr:cNvPr>
          <xdr:cNvGrpSpPr/>
        </xdr:nvGrpSpPr>
        <xdr:grpSpPr>
          <a:xfrm>
            <a:off x="14630909" y="4410758"/>
            <a:ext cx="2971800" cy="3151124"/>
            <a:chOff x="19000640" y="4564379"/>
            <a:chExt cx="3087464" cy="3273335"/>
          </a:xfrm>
        </xdr:grpSpPr>
        <xdr:graphicFrame macro="">
          <xdr:nvGraphicFramePr>
            <xdr:cNvPr id="32" name="Chart 2">
              <a:extLst>
                <a:ext uri="{FF2B5EF4-FFF2-40B4-BE49-F238E27FC236}">
                  <a16:creationId xmlns:a16="http://schemas.microsoft.com/office/drawing/2014/main" id="{CB3C094D-F7B4-4C16-87B7-4AF46791105A}"/>
                </a:ext>
              </a:extLst>
            </xdr:cNvPr>
            <xdr:cNvGraphicFramePr>
              <a:graphicFrameLocks/>
            </xdr:cNvGraphicFramePr>
          </xdr:nvGraphicFramePr>
          <xdr:xfrm>
            <a:off x="19000640" y="5660571"/>
            <a:ext cx="3087464" cy="2177143"/>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3" name="Chart 2">
              <a:extLst>
                <a:ext uri="{FF2B5EF4-FFF2-40B4-BE49-F238E27FC236}">
                  <a16:creationId xmlns:a16="http://schemas.microsoft.com/office/drawing/2014/main" id="{0FB2EC38-9AE7-45C9-BB88-D95611282FE6}"/>
                </a:ext>
              </a:extLst>
            </xdr:cNvPr>
            <xdr:cNvGraphicFramePr>
              <a:graphicFrameLocks/>
            </xdr:cNvGraphicFramePr>
          </xdr:nvGraphicFramePr>
          <xdr:xfrm>
            <a:off x="19000640" y="4564379"/>
            <a:ext cx="3087464" cy="1096192"/>
          </xdr:xfrm>
          <a:graphic>
            <a:graphicData uri="http://schemas.openxmlformats.org/drawingml/2006/chart">
              <c:chart xmlns:c="http://schemas.openxmlformats.org/drawingml/2006/chart" xmlns:r="http://schemas.openxmlformats.org/officeDocument/2006/relationships" r:id="rId10"/>
            </a:graphicData>
          </a:graphic>
        </xdr:graphicFrame>
      </xdr:grpSp>
    </xdr:grpSp>
    <xdr:clientData/>
  </xdr:twoCellAnchor>
  <xdr:twoCellAnchor>
    <xdr:from>
      <xdr:col>1</xdr:col>
      <xdr:colOff>0</xdr:colOff>
      <xdr:row>77</xdr:row>
      <xdr:rowOff>95250</xdr:rowOff>
    </xdr:from>
    <xdr:to>
      <xdr:col>78</xdr:col>
      <xdr:colOff>0</xdr:colOff>
      <xdr:row>113</xdr:row>
      <xdr:rowOff>0</xdr:rowOff>
    </xdr:to>
    <xdr:grpSp>
      <xdr:nvGrpSpPr>
        <xdr:cNvPr id="14" name="Group 13">
          <a:extLst>
            <a:ext uri="{FF2B5EF4-FFF2-40B4-BE49-F238E27FC236}">
              <a16:creationId xmlns:a16="http://schemas.microsoft.com/office/drawing/2014/main" id="{450E5248-D4C3-07B3-FA79-805B7C455155}"/>
            </a:ext>
          </a:extLst>
        </xdr:cNvPr>
        <xdr:cNvGrpSpPr/>
      </xdr:nvGrpSpPr>
      <xdr:grpSpPr>
        <a:xfrm>
          <a:off x="228600" y="16230600"/>
          <a:ext cx="17602200" cy="7448550"/>
          <a:chOff x="228600" y="15886759"/>
          <a:chExt cx="17602200" cy="6084572"/>
        </a:xfrm>
      </xdr:grpSpPr>
      <xdr:graphicFrame macro="">
        <xdr:nvGraphicFramePr>
          <xdr:cNvPr id="15" name="Chart 2">
            <a:extLst>
              <a:ext uri="{FF2B5EF4-FFF2-40B4-BE49-F238E27FC236}">
                <a16:creationId xmlns:a16="http://schemas.microsoft.com/office/drawing/2014/main" id="{00000000-0008-0000-0100-00000F000000}"/>
              </a:ext>
            </a:extLst>
          </xdr:cNvPr>
          <xdr:cNvGraphicFramePr>
            <a:graphicFrameLocks/>
          </xdr:cNvGraphicFramePr>
        </xdr:nvGraphicFramePr>
        <xdr:xfrm>
          <a:off x="228600" y="15886759"/>
          <a:ext cx="8686800" cy="6069369"/>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Chart 2">
            <a:extLst>
              <a:ext uri="{FF2B5EF4-FFF2-40B4-BE49-F238E27FC236}">
                <a16:creationId xmlns:a16="http://schemas.microsoft.com/office/drawing/2014/main" id="{00000000-0008-0000-0100-000010000000}"/>
              </a:ext>
            </a:extLst>
          </xdr:cNvPr>
          <xdr:cNvGraphicFramePr>
            <a:graphicFrameLocks/>
          </xdr:cNvGraphicFramePr>
        </xdr:nvGraphicFramePr>
        <xdr:xfrm>
          <a:off x="8915400" y="15908694"/>
          <a:ext cx="8915400" cy="6062637"/>
        </xdr:xfrm>
        <a:graphic>
          <a:graphicData uri="http://schemas.openxmlformats.org/drawingml/2006/chart">
            <c:chart xmlns:c="http://schemas.openxmlformats.org/drawingml/2006/chart" xmlns:r="http://schemas.openxmlformats.org/officeDocument/2006/relationships" r:id="rId12"/>
          </a:graphicData>
        </a:graphic>
      </xdr:graphicFrame>
      <xdr:sp macro="" textlink="'^'!$BK$55">
        <xdr:nvSpPr>
          <xdr:cNvPr id="5" name="TextBox 4">
            <a:extLst>
              <a:ext uri="{FF2B5EF4-FFF2-40B4-BE49-F238E27FC236}">
                <a16:creationId xmlns:a16="http://schemas.microsoft.com/office/drawing/2014/main" id="{30BBD654-9909-433A-96D0-58D4D148F9D8}"/>
              </a:ext>
            </a:extLst>
          </xdr:cNvPr>
          <xdr:cNvSpPr txBox="1"/>
        </xdr:nvSpPr>
        <xdr:spPr>
          <a:xfrm>
            <a:off x="8458200" y="15944850"/>
            <a:ext cx="1143000" cy="3044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fld id="{259E9EA6-A85A-4C79-9C14-D39D17F632DB}" type="TxLink">
              <a:rPr lang="en-US" sz="2000" b="1" i="0" u="none" strike="noStrike">
                <a:solidFill>
                  <a:schemeClr val="tx1"/>
                </a:solidFill>
                <a:latin typeface="Calibri"/>
                <a:cs typeface="Calibri"/>
              </a:rPr>
              <a:pPr algn="ctr"/>
              <a:t>YYYY</a:t>
            </a:fld>
            <a:endParaRPr lang="en-GB" sz="2000" b="1">
              <a:solidFill>
                <a:schemeClr val="tx1"/>
              </a:solidFill>
            </a:endParaRPr>
          </a:p>
        </xdr:txBody>
      </xdr:sp>
    </xdr:grpSp>
    <xdr:clientData/>
  </xdr:twoCellAnchor>
  <xdr:twoCellAnchor>
    <xdr:from>
      <xdr:col>19</xdr:col>
      <xdr:colOff>9524</xdr:colOff>
      <xdr:row>0</xdr:row>
      <xdr:rowOff>38100</xdr:rowOff>
    </xdr:from>
    <xdr:to>
      <xdr:col>78</xdr:col>
      <xdr:colOff>28575</xdr:colOff>
      <xdr:row>22</xdr:row>
      <xdr:rowOff>104775</xdr:rowOff>
    </xdr:to>
    <xdr:grpSp>
      <xdr:nvGrpSpPr>
        <xdr:cNvPr id="8" name="Group 7">
          <a:extLst>
            <a:ext uri="{FF2B5EF4-FFF2-40B4-BE49-F238E27FC236}">
              <a16:creationId xmlns:a16="http://schemas.microsoft.com/office/drawing/2014/main" id="{BCCC3EED-37F8-720B-E158-3E8B468A446F}"/>
            </a:ext>
          </a:extLst>
        </xdr:cNvPr>
        <xdr:cNvGrpSpPr/>
      </xdr:nvGrpSpPr>
      <xdr:grpSpPr>
        <a:xfrm>
          <a:off x="4352924" y="38100"/>
          <a:ext cx="13506451" cy="4676775"/>
          <a:chOff x="4512622" y="11225301"/>
          <a:chExt cx="13819344" cy="5641463"/>
        </a:xfrm>
      </xdr:grpSpPr>
      <xdr:graphicFrame macro="">
        <xdr:nvGraphicFramePr>
          <xdr:cNvPr id="2" name="Chart 2">
            <a:extLst>
              <a:ext uri="{FF2B5EF4-FFF2-40B4-BE49-F238E27FC236}">
                <a16:creationId xmlns:a16="http://schemas.microsoft.com/office/drawing/2014/main" id="{619C2F34-0DC7-4CE2-B9D8-30ABB5E70190}"/>
              </a:ext>
            </a:extLst>
          </xdr:cNvPr>
          <xdr:cNvGraphicFramePr>
            <a:graphicFrameLocks/>
          </xdr:cNvGraphicFramePr>
        </xdr:nvGraphicFramePr>
        <xdr:xfrm>
          <a:off x="4512622" y="11225301"/>
          <a:ext cx="7125195" cy="564146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9" name="Chart 2">
            <a:extLst>
              <a:ext uri="{FF2B5EF4-FFF2-40B4-BE49-F238E27FC236}">
                <a16:creationId xmlns:a16="http://schemas.microsoft.com/office/drawing/2014/main" id="{F87F8001-9819-4A7D-99D2-243292945A09}"/>
              </a:ext>
            </a:extLst>
          </xdr:cNvPr>
          <xdr:cNvGraphicFramePr>
            <a:graphicFrameLocks/>
          </xdr:cNvGraphicFramePr>
        </xdr:nvGraphicFramePr>
        <xdr:xfrm>
          <a:off x="11400312" y="11225301"/>
          <a:ext cx="6931654" cy="5595791"/>
        </xdr:xfrm>
        <a:graphic>
          <a:graphicData uri="http://schemas.openxmlformats.org/drawingml/2006/chart">
            <c:chart xmlns:c="http://schemas.openxmlformats.org/drawingml/2006/chart" xmlns:r="http://schemas.openxmlformats.org/officeDocument/2006/relationships" r:id="rId14"/>
          </a:graphicData>
        </a:graphic>
      </xdr:graphicFrame>
      <xdr:sp macro="" textlink="$CE$20">
        <xdr:nvSpPr>
          <xdr:cNvPr id="21" name="TextBox 19">
            <a:extLst>
              <a:ext uri="{FF2B5EF4-FFF2-40B4-BE49-F238E27FC236}">
                <a16:creationId xmlns:a16="http://schemas.microsoft.com/office/drawing/2014/main" id="{13882159-6EC2-EC8B-645D-A8D2ED052B8D}"/>
              </a:ext>
            </a:extLst>
          </xdr:cNvPr>
          <xdr:cNvSpPr txBox="1"/>
        </xdr:nvSpPr>
        <xdr:spPr>
          <a:xfrm>
            <a:off x="10379509" y="11683026"/>
            <a:ext cx="2105062" cy="503499"/>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ctr">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fld id="{58C1648A-9C1E-497B-9959-E60B7C794D13}" type="TxLink">
              <a:rPr lang="en-US" sz="1400" b="1" i="0" u="none" strike="noStrike">
                <a:solidFill>
                  <a:srgbClr val="D9D9D9"/>
                </a:solidFill>
                <a:latin typeface="+mn-lt"/>
              </a:rPr>
              <a:pPr algn="ctr"/>
              <a:t>T O D A Y</a:t>
            </a:fld>
            <a:endParaRPr lang="en-GB" sz="1400" b="1">
              <a:solidFill>
                <a:schemeClr val="bg1"/>
              </a:solidFill>
              <a:latin typeface="+mn-lt"/>
            </a:endParaRPr>
          </a:p>
        </xdr:txBody>
      </xdr:sp>
    </xdr:grpSp>
    <xdr:clientData/>
  </xdr:twoCellAnchor>
  <xdr:twoCellAnchor>
    <xdr:from>
      <xdr:col>1</xdr:col>
      <xdr:colOff>0</xdr:colOff>
      <xdr:row>61</xdr:row>
      <xdr:rowOff>0</xdr:rowOff>
    </xdr:from>
    <xdr:to>
      <xdr:col>77</xdr:col>
      <xdr:colOff>209550</xdr:colOff>
      <xdr:row>75</xdr:row>
      <xdr:rowOff>209549</xdr:rowOff>
    </xdr:to>
    <xdr:grpSp>
      <xdr:nvGrpSpPr>
        <xdr:cNvPr id="20" name="Group 19">
          <a:extLst>
            <a:ext uri="{FF2B5EF4-FFF2-40B4-BE49-F238E27FC236}">
              <a16:creationId xmlns:a16="http://schemas.microsoft.com/office/drawing/2014/main" id="{6823D240-9331-F733-DD09-6137715D526F}"/>
            </a:ext>
          </a:extLst>
        </xdr:cNvPr>
        <xdr:cNvGrpSpPr/>
      </xdr:nvGrpSpPr>
      <xdr:grpSpPr>
        <a:xfrm>
          <a:off x="228600" y="12782550"/>
          <a:ext cx="17583150" cy="3143249"/>
          <a:chOff x="247650" y="8382001"/>
          <a:chExt cx="17583150" cy="3143249"/>
        </a:xfrm>
      </xdr:grpSpPr>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247650" y="8382543"/>
          <a:ext cx="4119082" cy="3142707"/>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22" name="Chart 1">
            <a:extLst>
              <a:ext uri="{FF2B5EF4-FFF2-40B4-BE49-F238E27FC236}">
                <a16:creationId xmlns:a16="http://schemas.microsoft.com/office/drawing/2014/main" id="{3A5FDD89-C1EC-43A7-8AE5-32355A33B8BC}"/>
              </a:ext>
            </a:extLst>
          </xdr:cNvPr>
          <xdr:cNvGraphicFramePr>
            <a:graphicFrameLocks/>
          </xdr:cNvGraphicFramePr>
        </xdr:nvGraphicFramePr>
        <xdr:xfrm>
          <a:off x="4181475" y="8382001"/>
          <a:ext cx="13649325" cy="3143249"/>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2</xdr:col>
      <xdr:colOff>0</xdr:colOff>
      <xdr:row>21</xdr:row>
      <xdr:rowOff>0</xdr:rowOff>
    </xdr:from>
    <xdr:to>
      <xdr:col>18</xdr:col>
      <xdr:colOff>0</xdr:colOff>
      <xdr:row>24</xdr:row>
      <xdr:rowOff>0</xdr:rowOff>
    </xdr:to>
    <xdr:sp macro="" textlink="ACTIONS!$AK$2">
      <xdr:nvSpPr>
        <xdr:cNvPr id="10" name="Rectangle 9">
          <a:extLst>
            <a:ext uri="{FF2B5EF4-FFF2-40B4-BE49-F238E27FC236}">
              <a16:creationId xmlns:a16="http://schemas.microsoft.com/office/drawing/2014/main" id="{46E2CA94-6071-D5E1-3035-385798747C1D}"/>
            </a:ext>
          </a:extLst>
        </xdr:cNvPr>
        <xdr:cNvSpPr/>
      </xdr:nvSpPr>
      <xdr:spPr>
        <a:xfrm>
          <a:off x="457200" y="4400550"/>
          <a:ext cx="3657600" cy="6286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26E10F9-956D-47D5-BF9A-DCDAC1AC9C62}" type="TxLink">
            <a:rPr lang="en-US" sz="1400" b="1" i="0" u="none" strike="noStrike">
              <a:solidFill>
                <a:schemeClr val="tx1"/>
              </a:solidFill>
              <a:latin typeface="+mn-lt"/>
            </a:rPr>
            <a:pPr algn="ctr"/>
            <a:t>L V L</a:t>
          </a:fld>
          <a:endParaRPr lang="en-GB" sz="1100">
            <a:solidFill>
              <a:schemeClr val="tx1"/>
            </a:solidFill>
            <a:latin typeface="+mn-lt"/>
          </a:endParaRPr>
        </a:p>
      </xdr:txBody>
    </xdr:sp>
    <xdr:clientData/>
  </xdr:twoCellAnchor>
  <xdr:twoCellAnchor>
    <xdr:from>
      <xdr:col>37</xdr:col>
      <xdr:colOff>0</xdr:colOff>
      <xdr:row>148</xdr:row>
      <xdr:rowOff>46399</xdr:rowOff>
    </xdr:from>
    <xdr:to>
      <xdr:col>42</xdr:col>
      <xdr:colOff>0</xdr:colOff>
      <xdr:row>150</xdr:row>
      <xdr:rowOff>0</xdr:rowOff>
    </xdr:to>
    <xdr:sp macro="" textlink="">
      <xdr:nvSpPr>
        <xdr:cNvPr id="18" name="TextBox 17">
          <a:extLst>
            <a:ext uri="{FF2B5EF4-FFF2-40B4-BE49-F238E27FC236}">
              <a16:creationId xmlns:a16="http://schemas.microsoft.com/office/drawing/2014/main" id="{1FD15709-553C-4D07-99C0-5A6BEFB9BC9A}"/>
            </a:ext>
          </a:extLst>
        </xdr:cNvPr>
        <xdr:cNvSpPr txBox="1"/>
      </xdr:nvSpPr>
      <xdr:spPr>
        <a:xfrm>
          <a:off x="8458200" y="30850249"/>
          <a:ext cx="1143000" cy="3727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algn="ctr"/>
          <a:r>
            <a:rPr lang="en-US" sz="2000" b="1" i="0" u="none" strike="noStrike">
              <a:solidFill>
                <a:schemeClr val="tx1"/>
              </a:solidFill>
              <a:latin typeface="Calibri"/>
              <a:cs typeface="Calibri"/>
            </a:rPr>
            <a:t>LVLS</a:t>
          </a:r>
        </a:p>
      </xdr:txBody>
    </xdr:sp>
    <xdr:clientData/>
  </xdr:twoCellAnchor>
  <xdr:twoCellAnchor>
    <xdr:from>
      <xdr:col>19</xdr:col>
      <xdr:colOff>0</xdr:colOff>
      <xdr:row>36</xdr:row>
      <xdr:rowOff>194359</xdr:rowOff>
    </xdr:from>
    <xdr:to>
      <xdr:col>76</xdr:col>
      <xdr:colOff>142875</xdr:colOff>
      <xdr:row>64</xdr:row>
      <xdr:rowOff>19050</xdr:rowOff>
    </xdr:to>
    <xdr:grpSp>
      <xdr:nvGrpSpPr>
        <xdr:cNvPr id="27" name="Group 26">
          <a:extLst>
            <a:ext uri="{FF2B5EF4-FFF2-40B4-BE49-F238E27FC236}">
              <a16:creationId xmlns:a16="http://schemas.microsoft.com/office/drawing/2014/main" id="{20985227-35BE-4467-7F58-958F9672C4F8}"/>
            </a:ext>
          </a:extLst>
        </xdr:cNvPr>
        <xdr:cNvGrpSpPr/>
      </xdr:nvGrpSpPr>
      <xdr:grpSpPr>
        <a:xfrm>
          <a:off x="4343400" y="7738159"/>
          <a:ext cx="13173075" cy="5692091"/>
          <a:chOff x="4343400" y="7738159"/>
          <a:chExt cx="13173075" cy="5692091"/>
        </a:xfrm>
      </xdr:grpSpPr>
      <xdr:graphicFrame macro="">
        <xdr:nvGraphicFramePr>
          <xdr:cNvPr id="61" name="Chart 2">
            <a:extLst>
              <a:ext uri="{FF2B5EF4-FFF2-40B4-BE49-F238E27FC236}">
                <a16:creationId xmlns:a16="http://schemas.microsoft.com/office/drawing/2014/main" id="{00000000-0008-0000-0100-00003D000000}"/>
              </a:ext>
            </a:extLst>
          </xdr:cNvPr>
          <xdr:cNvGraphicFramePr>
            <a:graphicFrameLocks/>
          </xdr:cNvGraphicFramePr>
        </xdr:nvGraphicFramePr>
        <xdr:xfrm>
          <a:off x="4343400" y="7738159"/>
          <a:ext cx="6644614" cy="5673041"/>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26" name="Chart 2">
            <a:extLst>
              <a:ext uri="{FF2B5EF4-FFF2-40B4-BE49-F238E27FC236}">
                <a16:creationId xmlns:a16="http://schemas.microsoft.com/office/drawing/2014/main" id="{0F8B57AF-8F85-4BD0-BF70-5CFDC23E405B}"/>
              </a:ext>
            </a:extLst>
          </xdr:cNvPr>
          <xdr:cNvGraphicFramePr>
            <a:graphicFrameLocks/>
          </xdr:cNvGraphicFramePr>
        </xdr:nvGraphicFramePr>
        <xdr:xfrm>
          <a:off x="10902289" y="7781925"/>
          <a:ext cx="6614186" cy="5648325"/>
        </xdr:xfrm>
        <a:graphic>
          <a:graphicData uri="http://schemas.openxmlformats.org/drawingml/2006/chart">
            <c:chart xmlns:c="http://schemas.openxmlformats.org/drawingml/2006/chart" xmlns:r="http://schemas.openxmlformats.org/officeDocument/2006/relationships" r:id="rId18"/>
          </a:graphicData>
        </a:graphic>
      </xdr:graphicFrame>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226800</xdr:colOff>
      <xdr:row>47</xdr:row>
      <xdr:rowOff>206132</xdr:rowOff>
    </xdr:from>
    <xdr:to>
      <xdr:col>20</xdr:col>
      <xdr:colOff>0</xdr:colOff>
      <xdr:row>51</xdr:row>
      <xdr:rowOff>0</xdr:rowOff>
    </xdr:to>
    <xdr:sp macro="" textlink="" fLocksText="0">
      <xdr:nvSpPr>
        <xdr:cNvPr id="12" name="TextBox 11">
          <a:extLst>
            <a:ext uri="{FF2B5EF4-FFF2-40B4-BE49-F238E27FC236}">
              <a16:creationId xmlns:a16="http://schemas.microsoft.com/office/drawing/2014/main" id="{07D396AD-3146-4BFD-A412-1A7880EDB5ED}"/>
            </a:ext>
          </a:extLst>
        </xdr:cNvPr>
        <xdr:cNvSpPr txBox="1"/>
      </xdr:nvSpPr>
      <xdr:spPr>
        <a:xfrm>
          <a:off x="684000" y="10054982"/>
          <a:ext cx="3888000" cy="632068"/>
        </a:xfrm>
        <a:prstGeom prst="rect">
          <a:avLst/>
        </a:prstGeom>
        <a:solidFill>
          <a:schemeClr val="tx1">
            <a:lumMod val="75000"/>
            <a:lumOff val="25000"/>
            <a:alpha val="8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bg1"/>
              </a:solidFill>
              <a:latin typeface="+mn-lt"/>
              <a:ea typeface="+mn-ea"/>
              <a:cs typeface="+mn-cs"/>
            </a:rPr>
            <a:t>JOURNAL: TITLE</a:t>
          </a:r>
        </a:p>
        <a:p>
          <a:pPr marL="0" indent="0"/>
          <a:r>
            <a:rPr lang="en-GB" sz="1200" b="0" u="none" baseline="0">
              <a:solidFill>
                <a:schemeClr val="bg1"/>
              </a:solidFill>
              <a:latin typeface="+mn-lt"/>
              <a:ea typeface="+mn-ea"/>
              <a:cs typeface="+mn-cs"/>
            </a:rPr>
            <a:t>ddd DDdd TT:TT</a:t>
          </a:r>
        </a:p>
        <a:p>
          <a:pPr marL="0" indent="0" algn="l"/>
          <a:r>
            <a:rPr lang="en-GB" sz="1200" b="0" u="none" baseline="0">
              <a:solidFill>
                <a:schemeClr val="bg1"/>
              </a:solidFill>
              <a:latin typeface="+mn-lt"/>
              <a:ea typeface="+mn-ea"/>
              <a:cs typeface="+mn-cs"/>
            </a:rPr>
            <a:t>_________________________________________________</a:t>
          </a:r>
        </a:p>
        <a:p>
          <a:pPr marL="0" indent="0" algn="l"/>
          <a:endParaRPr lang="en-GB" sz="1100" b="0" u="none" baseline="0">
            <a:solidFill>
              <a:schemeClr val="bg1"/>
            </a:solidFill>
            <a:latin typeface="+mn-lt"/>
            <a:ea typeface="+mn-ea"/>
            <a:cs typeface="+mn-cs"/>
          </a:endParaRPr>
        </a:p>
        <a:p>
          <a:pPr marL="0" indent="0" algn="l"/>
          <a:r>
            <a:rPr lang="en-GB" sz="1100" b="0" u="none" baseline="0">
              <a:solidFill>
                <a:schemeClr val="bg1"/>
              </a:solidFill>
              <a:latin typeface="+mn-lt"/>
              <a:ea typeface="+mn-ea"/>
              <a:cs typeface="+mn-cs"/>
            </a:rPr>
            <a:t>See journal/diary/notebook X, on page X.</a:t>
          </a:r>
        </a:p>
        <a:p>
          <a:pPr marL="0" indent="0"/>
          <a:endParaRPr lang="en-GB" sz="1200" b="1" u="none" baseline="0">
            <a:solidFill>
              <a:schemeClr val="bg1"/>
            </a:solidFill>
            <a:latin typeface="+mn-lt"/>
            <a:ea typeface="+mn-ea"/>
            <a:cs typeface="+mn-cs"/>
          </a:endParaRPr>
        </a:p>
      </xdr:txBody>
    </xdr:sp>
    <xdr:clientData fLocksWithSheet="0"/>
  </xdr:twoCellAnchor>
  <xdr:twoCellAnchor>
    <xdr:from>
      <xdr:col>3</xdr:col>
      <xdr:colOff>0</xdr:colOff>
      <xdr:row>60</xdr:row>
      <xdr:rowOff>0</xdr:rowOff>
    </xdr:from>
    <xdr:to>
      <xdr:col>20</xdr:col>
      <xdr:colOff>1800</xdr:colOff>
      <xdr:row>63</xdr:row>
      <xdr:rowOff>1350</xdr:rowOff>
    </xdr:to>
    <xdr:sp macro="" textlink="" fLocksText="0">
      <xdr:nvSpPr>
        <xdr:cNvPr id="27" name="TextBox 26">
          <a:extLst>
            <a:ext uri="{FF2B5EF4-FFF2-40B4-BE49-F238E27FC236}">
              <a16:creationId xmlns:a16="http://schemas.microsoft.com/office/drawing/2014/main" id="{8C62822A-38A3-1BAF-0E81-697798F5D35C}"/>
            </a:ext>
          </a:extLst>
        </xdr:cNvPr>
        <xdr:cNvSpPr txBox="1"/>
      </xdr:nvSpPr>
      <xdr:spPr>
        <a:xfrm>
          <a:off x="685800" y="1257300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ysClr val="windowText" lastClr="000000"/>
              </a:solidFill>
              <a:latin typeface="+mn-lt"/>
              <a:ea typeface="+mn-ea"/>
              <a:cs typeface="+mn-cs"/>
            </a:rPr>
            <a:t>MORNING REFLECTION</a:t>
          </a:r>
        </a:p>
        <a:p>
          <a:pPr marL="0" marR="0" lvl="0" indent="0" defTabSz="914400" eaLnBrk="1" fontAlgn="auto" latinLnBrk="0" hangingPunct="1">
            <a:lnSpc>
              <a:spcPct val="100000"/>
            </a:lnSpc>
            <a:spcBef>
              <a:spcPts val="0"/>
            </a:spcBef>
            <a:spcAft>
              <a:spcPts val="0"/>
            </a:spcAft>
            <a:buClrTx/>
            <a:buSzTx/>
            <a:buFontTx/>
            <a:buNone/>
            <a:tabLst/>
            <a:defRPr/>
          </a:pPr>
          <a:r>
            <a:rPr lang="en-GB" sz="1200" b="0" baseline="0">
              <a:solidFill>
                <a:schemeClr val="tx1"/>
              </a:solidFill>
              <a:effectLst/>
              <a:latin typeface="+mn-lt"/>
              <a:ea typeface="+mn-ea"/>
              <a:cs typeface="+mn-cs"/>
            </a:rPr>
            <a:t>ddd DDdd TT:TT</a:t>
          </a:r>
          <a:endParaRPr lang="en-GB" sz="1200" b="1" u="none" baseline="0">
            <a:solidFill>
              <a:sysClr val="windowText" lastClr="000000"/>
            </a:solidFill>
            <a:latin typeface="+mn-lt"/>
            <a:ea typeface="+mn-ea"/>
            <a:cs typeface="+mn-cs"/>
          </a:endParaRPr>
        </a:p>
        <a:p>
          <a:pPr marL="0" indent="0" algn="l"/>
          <a:r>
            <a:rPr lang="en-GB" sz="1200" b="0" u="none" baseline="0">
              <a:solidFill>
                <a:sysClr val="windowText" lastClr="000000"/>
              </a:solidFill>
              <a:latin typeface="+mn-lt"/>
              <a:ea typeface="+mn-ea"/>
              <a:cs typeface="+mn-cs"/>
            </a:rPr>
            <a:t>_________________________________________________</a:t>
          </a:r>
        </a:p>
        <a:p>
          <a:pPr marL="0" indent="0"/>
          <a:endParaRPr lang="en-GB" sz="1100" b="1" u="none" baseline="0">
            <a:solidFill>
              <a:sysClr val="windowText" lastClr="000000"/>
            </a:solidFill>
            <a:latin typeface="+mn-lt"/>
            <a:ea typeface="+mn-ea"/>
            <a:cs typeface="+mn-cs"/>
          </a:endParaRPr>
        </a:p>
        <a:p>
          <a:pPr marL="0" indent="0"/>
          <a:r>
            <a:rPr lang="en-GB" sz="1100" b="1" u="none" baseline="0">
              <a:solidFill>
                <a:sysClr val="windowText" lastClr="000000"/>
              </a:solidFill>
              <a:latin typeface="+mn-lt"/>
              <a:ea typeface="+mn-ea"/>
              <a:cs typeface="+mn-cs"/>
            </a:rPr>
            <a:t>1. Brain Dump. </a:t>
          </a:r>
        </a:p>
        <a:p>
          <a:pPr marL="0" indent="0"/>
          <a:endParaRPr lang="en-GB" sz="1100" b="1" u="none" baseline="0">
            <a:solidFill>
              <a:sysClr val="windowText" lastClr="000000"/>
            </a:solidFill>
            <a:latin typeface="+mn-lt"/>
            <a:ea typeface="+mn-ea"/>
            <a:cs typeface="+mn-cs"/>
          </a:endParaRPr>
        </a:p>
        <a:p>
          <a:pPr marL="0" indent="0"/>
          <a:r>
            <a:rPr lang="en-GB" sz="1100" b="1" u="none" baseline="0">
              <a:solidFill>
                <a:sysClr val="windowText" lastClr="000000"/>
              </a:solidFill>
              <a:latin typeface="+mn-lt"/>
              <a:ea typeface="+mn-ea"/>
              <a:cs typeface="+mn-cs"/>
            </a:rPr>
            <a:t>Write stream of consciousness for 5-30 mins.</a:t>
          </a:r>
          <a:endParaRPr lang="en-GB" sz="1100" b="0" u="none" baseline="0">
            <a:solidFill>
              <a:sysClr val="windowText" lastClr="000000"/>
            </a:solidFill>
            <a:latin typeface="+mn-lt"/>
            <a:ea typeface="+mn-ea"/>
            <a:cs typeface="+mn-cs"/>
          </a:endParaRPr>
        </a:p>
        <a:p>
          <a:pPr marL="0" indent="0"/>
          <a:r>
            <a:rPr lang="en-GB" sz="1100" b="0" u="none" baseline="0">
              <a:solidFill>
                <a:sysClr val="windowText" lastClr="000000"/>
              </a:solidFill>
              <a:latin typeface="+mn-lt"/>
              <a:ea typeface="+mn-ea"/>
              <a:cs typeface="+mn-cs"/>
            </a:rPr>
            <a:t>Write.</a:t>
          </a:r>
        </a:p>
        <a:p>
          <a:pPr marL="0" indent="0"/>
          <a:endParaRPr lang="en-GB" sz="1100" b="0" u="none" baseline="0">
            <a:solidFill>
              <a:sysClr val="windowText" lastClr="000000"/>
            </a:solidFill>
            <a:latin typeface="+mn-lt"/>
            <a:ea typeface="+mn-ea"/>
            <a:cs typeface="+mn-cs"/>
          </a:endParaRPr>
        </a:p>
        <a:p>
          <a:pPr marL="0" indent="0"/>
          <a:r>
            <a:rPr lang="en-GB" sz="1100" b="1" u="none" baseline="0">
              <a:solidFill>
                <a:sysClr val="windowText" lastClr="000000"/>
              </a:solidFill>
              <a:latin typeface="+mn-lt"/>
              <a:ea typeface="+mn-ea"/>
              <a:cs typeface="+mn-cs"/>
            </a:rPr>
            <a:t>2. Socratic Questioning. </a:t>
          </a:r>
        </a:p>
        <a:p>
          <a:pPr marL="0" indent="0"/>
          <a:endParaRPr lang="en-GB" sz="1100" b="1" u="none" baseline="0">
            <a:solidFill>
              <a:sysClr val="windowText" lastClr="000000"/>
            </a:solidFill>
            <a:latin typeface="+mn-lt"/>
            <a:ea typeface="+mn-ea"/>
            <a:cs typeface="+mn-cs"/>
          </a:endParaRPr>
        </a:p>
        <a:p>
          <a:pPr marL="0" indent="0"/>
          <a:r>
            <a:rPr lang="en-GB" sz="1100" b="1" u="none" baseline="0">
              <a:solidFill>
                <a:sysClr val="windowText" lastClr="000000"/>
              </a:solidFill>
              <a:latin typeface="+mn-lt"/>
              <a:ea typeface="+mn-ea"/>
              <a:cs typeface="+mn-cs"/>
            </a:rPr>
            <a:t>Do I have any limiting beliefs popping up, if so:</a:t>
          </a:r>
          <a:endParaRPr lang="en-GB" sz="1100" b="0" u="none" baseline="0">
            <a:solidFill>
              <a:sysClr val="windowText" lastClr="000000"/>
            </a:solidFill>
            <a:latin typeface="+mn-lt"/>
            <a:ea typeface="+mn-ea"/>
            <a:cs typeface="+mn-cs"/>
          </a:endParaRPr>
        </a:p>
        <a:p>
          <a:pPr marL="0" indent="0">
            <a:buFont typeface="Arial" panose="020B0604020202020204" pitchFamily="34" charset="0"/>
            <a:buNone/>
          </a:pPr>
          <a:r>
            <a:rPr lang="en-GB" sz="1100" b="1" u="none" baseline="0">
              <a:solidFill>
                <a:sysClr val="windowText" lastClr="000000"/>
              </a:solidFill>
              <a:latin typeface="+mn-lt"/>
              <a:ea typeface="+mn-ea"/>
              <a:cs typeface="+mn-cs"/>
            </a:rPr>
            <a:t>What is the evidence for this thought?</a:t>
          </a:r>
        </a:p>
        <a:p>
          <a:pPr marL="0" indent="0">
            <a:buFont typeface="Arial" panose="020B0604020202020204" pitchFamily="34" charset="0"/>
            <a:buNone/>
          </a:pPr>
          <a:r>
            <a:rPr lang="en-GB" sz="1100" b="0" u="none" baseline="0">
              <a:solidFill>
                <a:sysClr val="windowText" lastClr="000000"/>
              </a:solidFill>
              <a:latin typeface="+mn-lt"/>
              <a:ea typeface="+mn-ea"/>
              <a:cs typeface="+mn-cs"/>
            </a:rPr>
            <a:t>Answer.</a:t>
          </a:r>
        </a:p>
        <a:p>
          <a:pPr marL="0" indent="0">
            <a:buFont typeface="Arial" panose="020B0604020202020204" pitchFamily="34" charset="0"/>
            <a:buNone/>
          </a:pPr>
          <a:endParaRPr lang="en-GB" sz="1100" b="1" u="none" baseline="0">
            <a:solidFill>
              <a:sysClr val="windowText" lastClr="000000"/>
            </a:solidFill>
            <a:latin typeface="+mn-lt"/>
            <a:ea typeface="+mn-ea"/>
            <a:cs typeface="+mn-cs"/>
          </a:endParaRPr>
        </a:p>
        <a:p>
          <a:pPr marL="0" indent="0">
            <a:buFont typeface="Arial" panose="020B0604020202020204" pitchFamily="34" charset="0"/>
            <a:buNone/>
          </a:pPr>
          <a:r>
            <a:rPr lang="en-GB" sz="1100" b="1" u="none" baseline="0">
              <a:solidFill>
                <a:sysClr val="windowText" lastClr="000000"/>
              </a:solidFill>
              <a:latin typeface="+mn-lt"/>
              <a:ea typeface="+mn-ea"/>
              <a:cs typeface="+mn-cs"/>
            </a:rPr>
            <a:t>Could I be making any assumptions here?</a:t>
          </a:r>
        </a:p>
        <a:p>
          <a:pPr marL="0" indent="0">
            <a:buFont typeface="Arial" panose="020B0604020202020204" pitchFamily="34" charset="0"/>
            <a:buNone/>
          </a:pPr>
          <a:r>
            <a:rPr lang="en-GB" sz="1100" b="0" u="none" baseline="0">
              <a:solidFill>
                <a:sysClr val="windowText" lastClr="000000"/>
              </a:solidFill>
              <a:latin typeface="+mn-lt"/>
              <a:ea typeface="+mn-ea"/>
              <a:cs typeface="+mn-cs"/>
            </a:rPr>
            <a:t>Answer.</a:t>
          </a:r>
        </a:p>
        <a:p>
          <a:pPr marL="0" indent="0">
            <a:buFont typeface="Arial" panose="020B0604020202020204" pitchFamily="34" charset="0"/>
            <a:buNone/>
          </a:pPr>
          <a:endParaRPr lang="en-GB" sz="1100" b="0" u="none" baseline="0">
            <a:solidFill>
              <a:sysClr val="windowText" lastClr="000000"/>
            </a:solidFill>
            <a:latin typeface="+mn-lt"/>
            <a:ea typeface="+mn-ea"/>
            <a:cs typeface="+mn-cs"/>
          </a:endParaRPr>
        </a:p>
        <a:p>
          <a:pPr marL="0" indent="0">
            <a:buFont typeface="Arial" panose="020B0604020202020204" pitchFamily="34" charset="0"/>
            <a:buNone/>
          </a:pPr>
          <a:r>
            <a:rPr lang="en-GB" sz="1100" b="1" u="none" baseline="0">
              <a:solidFill>
                <a:sysClr val="windowText" lastClr="000000"/>
              </a:solidFill>
              <a:latin typeface="+mn-lt"/>
              <a:ea typeface="+mn-ea"/>
              <a:cs typeface="+mn-cs"/>
            </a:rPr>
            <a:t>Is this thought based on an emotional reaction or the evidence in front of me?</a:t>
          </a:r>
        </a:p>
        <a:p>
          <a:pPr marL="0" indent="0">
            <a:buFont typeface="Arial" panose="020B0604020202020204" pitchFamily="34" charset="0"/>
            <a:buNone/>
          </a:pPr>
          <a:r>
            <a:rPr lang="en-GB" sz="1100" b="0" u="none" baseline="0">
              <a:solidFill>
                <a:sysClr val="windowText" lastClr="000000"/>
              </a:solidFill>
              <a:latin typeface="+mn-lt"/>
              <a:ea typeface="+mn-ea"/>
              <a:cs typeface="+mn-cs"/>
            </a:rPr>
            <a:t>Answer.</a:t>
          </a:r>
        </a:p>
        <a:p>
          <a:pPr marL="0" indent="0"/>
          <a:r>
            <a:rPr lang="en-GB" sz="1100" b="0" u="none" baseline="0">
              <a:solidFill>
                <a:sysClr val="windowText" lastClr="000000"/>
              </a:solidFill>
              <a:latin typeface="+mn-lt"/>
              <a:ea typeface="+mn-ea"/>
              <a:cs typeface="+mn-cs"/>
            </a:rPr>
            <a:t> </a:t>
          </a:r>
        </a:p>
        <a:p>
          <a:pPr marL="0" indent="0"/>
          <a:r>
            <a:rPr lang="en-GB" sz="1100" b="1" u="none" baseline="0">
              <a:solidFill>
                <a:sysClr val="windowText" lastClr="000000"/>
              </a:solidFill>
              <a:latin typeface="+mn-lt"/>
              <a:ea typeface="+mn-ea"/>
              <a:cs typeface="+mn-cs"/>
            </a:rPr>
            <a:t>3. Because Statements</a:t>
          </a:r>
        </a:p>
        <a:p>
          <a:pPr marL="0" indent="0"/>
          <a:endParaRPr lang="en-GB" sz="1100" b="0" u="none" baseline="0">
            <a:solidFill>
              <a:sysClr val="windowText" lastClr="000000"/>
            </a:solidFill>
            <a:latin typeface="+mn-lt"/>
            <a:ea typeface="+mn-ea"/>
            <a:cs typeface="+mn-cs"/>
          </a:endParaRPr>
        </a:p>
        <a:p>
          <a:pPr marL="0" indent="0"/>
          <a:r>
            <a:rPr lang="en-GB" sz="1100" b="1" u="none" baseline="0">
              <a:solidFill>
                <a:sysClr val="windowText" lastClr="000000"/>
              </a:solidFill>
              <a:latin typeface="+mn-lt"/>
              <a:ea typeface="+mn-ea"/>
              <a:cs typeface="+mn-cs"/>
            </a:rPr>
            <a:t>Challenge any limiting beliefs by building a case for the opposite of your limiting belief:</a:t>
          </a:r>
        </a:p>
        <a:p>
          <a:pPr marL="0" indent="0"/>
          <a:r>
            <a:rPr lang="en-GB" sz="1100" b="1" u="none" baseline="0">
              <a:solidFill>
                <a:sysClr val="windowText" lastClr="000000"/>
              </a:solidFill>
              <a:latin typeface="+mn-lt"/>
              <a:ea typeface="+mn-ea"/>
              <a:cs typeface="+mn-cs"/>
            </a:rPr>
            <a:t>[the belief you want to challenge] </a:t>
          </a:r>
        </a:p>
        <a:p>
          <a:pPr marL="0" indent="0"/>
          <a:r>
            <a:rPr lang="en-GB" sz="1100" b="1" u="none" baseline="0">
              <a:solidFill>
                <a:sysClr val="windowText" lastClr="000000"/>
              </a:solidFill>
              <a:latin typeface="+mn-lt"/>
              <a:ea typeface="+mn-ea"/>
              <a:cs typeface="+mn-cs"/>
            </a:rPr>
            <a:t>+ [a statement of the opposite] </a:t>
          </a:r>
        </a:p>
        <a:p>
          <a:pPr marL="0" indent="0"/>
          <a:r>
            <a:rPr lang="en-GB" sz="1100" b="1" u="none" baseline="0">
              <a:solidFill>
                <a:sysClr val="windowText" lastClr="000000"/>
              </a:solidFill>
              <a:latin typeface="+mn-lt"/>
              <a:ea typeface="+mn-ea"/>
              <a:cs typeface="+mn-cs"/>
            </a:rPr>
            <a:t>+ [because] + [a reason why the opposite statement is true]</a:t>
          </a:r>
        </a:p>
        <a:p>
          <a:pPr marL="0" indent="0"/>
          <a:r>
            <a:rPr lang="en-GB" sz="1100" b="0" u="none" baseline="0">
              <a:solidFill>
                <a:sysClr val="windowText" lastClr="000000"/>
              </a:solidFill>
              <a:latin typeface="+mn-lt"/>
              <a:ea typeface="+mn-ea"/>
              <a:cs typeface="+mn-cs"/>
            </a:rPr>
            <a:t>Write.</a:t>
          </a:r>
        </a:p>
        <a:p>
          <a:pPr marL="0" indent="0"/>
          <a:endParaRPr lang="en-GB" sz="1100" b="0" u="none" baseline="0">
            <a:solidFill>
              <a:sysClr val="windowText" lastClr="000000"/>
            </a:solidFill>
            <a:latin typeface="+mn-lt"/>
            <a:ea typeface="+mn-ea"/>
            <a:cs typeface="+mn-cs"/>
          </a:endParaRPr>
        </a:p>
        <a:p>
          <a:pPr marL="0" indent="0"/>
          <a:r>
            <a:rPr lang="en-GB" sz="1100" b="1" u="none" baseline="0">
              <a:solidFill>
                <a:sysClr val="windowText" lastClr="000000"/>
              </a:solidFill>
              <a:latin typeface="+mn-lt"/>
              <a:ea typeface="+mn-ea"/>
              <a:cs typeface="+mn-cs"/>
            </a:rPr>
            <a:t>4. Focus on Today</a:t>
          </a:r>
        </a:p>
        <a:p>
          <a:pPr marL="0" indent="0"/>
          <a:endParaRPr lang="en-GB" sz="1100" b="1" u="none" baseline="0">
            <a:solidFill>
              <a:sysClr val="windowText" lastClr="000000"/>
            </a:solidFill>
            <a:latin typeface="+mn-lt"/>
            <a:ea typeface="+mn-ea"/>
            <a:cs typeface="+mn-cs"/>
          </a:endParaRPr>
        </a:p>
        <a:p>
          <a:pPr marL="0" indent="0"/>
          <a:r>
            <a:rPr lang="en-GB" sz="1100" b="1" u="none" baseline="0">
              <a:solidFill>
                <a:sysClr val="windowText" lastClr="000000"/>
              </a:solidFill>
              <a:latin typeface="+mn-lt"/>
              <a:ea typeface="+mn-ea"/>
              <a:cs typeface="+mn-cs"/>
            </a:rPr>
            <a:t>Consider each task for the day and ask myself:</a:t>
          </a:r>
        </a:p>
        <a:p>
          <a:pPr marL="0" indent="0">
            <a:buFont typeface="Arial" panose="020B0604020202020204" pitchFamily="34" charset="0"/>
            <a:buNone/>
          </a:pPr>
          <a:r>
            <a:rPr lang="en-GB" sz="1100" b="1" u="none" baseline="0">
              <a:solidFill>
                <a:sysClr val="windowText" lastClr="000000"/>
              </a:solidFill>
              <a:latin typeface="+mn-lt"/>
              <a:ea typeface="+mn-ea"/>
              <a:cs typeface="+mn-cs"/>
            </a:rPr>
            <a:t>Why is it important? Why am I doing it? Why is it a priority?</a:t>
          </a:r>
        </a:p>
        <a:p>
          <a:pPr marL="171450" indent="-171450">
            <a:buFont typeface="Arial" panose="020B0604020202020204" pitchFamily="34" charset="0"/>
            <a:buChar char="•"/>
          </a:pPr>
          <a:r>
            <a:rPr lang="en-GB" sz="1100" b="0" u="none" baseline="0">
              <a:solidFill>
                <a:sysClr val="windowText" lastClr="000000"/>
              </a:solidFill>
              <a:latin typeface="+mn-lt"/>
              <a:ea typeface="+mn-ea"/>
              <a:cs typeface="+mn-cs"/>
            </a:rPr>
            <a:t>First.</a:t>
          </a:r>
        </a:p>
        <a:p>
          <a:pPr marL="171450" indent="-171450">
            <a:buFont typeface="Arial" panose="020B0604020202020204" pitchFamily="34" charset="0"/>
            <a:buChar char="•"/>
          </a:pPr>
          <a:r>
            <a:rPr lang="en-GB" sz="1100" b="0" u="none" baseline="0">
              <a:solidFill>
                <a:sysClr val="windowText" lastClr="000000"/>
              </a:solidFill>
              <a:latin typeface="+mn-lt"/>
              <a:ea typeface="+mn-ea"/>
              <a:cs typeface="+mn-cs"/>
            </a:rPr>
            <a:t>Next.</a:t>
          </a:r>
        </a:p>
        <a:p>
          <a:pPr marL="171450" indent="-171450">
            <a:buFont typeface="Arial" panose="020B0604020202020204" pitchFamily="34" charset="0"/>
            <a:buChar char="•"/>
          </a:pPr>
          <a:r>
            <a:rPr lang="en-GB" sz="1100" b="0" u="none" baseline="0">
              <a:solidFill>
                <a:sysClr val="windowText" lastClr="000000"/>
              </a:solidFill>
              <a:latin typeface="+mn-lt"/>
              <a:ea typeface="+mn-ea"/>
              <a:cs typeface="+mn-cs"/>
            </a:rPr>
            <a:t>Etc.</a:t>
          </a:r>
        </a:p>
        <a:p>
          <a:pPr marL="0" indent="0">
            <a:buFont typeface="Arial" panose="020B0604020202020204" pitchFamily="34" charset="0"/>
            <a:buNone/>
          </a:pPr>
          <a:endParaRPr lang="en-GB" sz="1100" b="0" u="none" baseline="0">
            <a:solidFill>
              <a:sysClr val="windowText" lastClr="000000"/>
            </a:solidFill>
            <a:latin typeface="+mn-lt"/>
            <a:ea typeface="+mn-ea"/>
            <a:cs typeface="+mn-cs"/>
          </a:endParaRPr>
        </a:p>
        <a:p>
          <a:pPr marL="0" indent="0"/>
          <a:r>
            <a:rPr lang="en-GB" sz="1100" b="1" u="none" baseline="0">
              <a:solidFill>
                <a:sysClr val="windowText" lastClr="000000"/>
              </a:solidFill>
              <a:latin typeface="+mn-lt"/>
              <a:ea typeface="+mn-ea"/>
              <a:cs typeface="+mn-cs"/>
            </a:rPr>
            <a:t>What is the one thing I can complete today? </a:t>
          </a:r>
        </a:p>
        <a:p>
          <a:pPr marL="0" indent="0"/>
          <a:r>
            <a:rPr lang="en-GB" sz="1100" b="0" u="none" baseline="0">
              <a:solidFill>
                <a:sysClr val="windowText" lastClr="000000"/>
              </a:solidFill>
              <a:latin typeface="+mn-lt"/>
              <a:ea typeface="+mn-ea"/>
              <a:cs typeface="+mn-cs"/>
            </a:rPr>
            <a:t>Answer.</a:t>
          </a:r>
        </a:p>
        <a:p>
          <a:pPr marL="0" indent="0"/>
          <a:endParaRPr lang="en-GB" sz="1100" b="0" u="none" baseline="0">
            <a:solidFill>
              <a:sysClr val="windowText" lastClr="000000"/>
            </a:solidFill>
            <a:latin typeface="+mn-lt"/>
            <a:ea typeface="+mn-ea"/>
            <a:cs typeface="+mn-cs"/>
          </a:endParaRPr>
        </a:p>
        <a:p>
          <a:pPr marL="0" indent="0"/>
          <a:endParaRPr lang="en-GB" sz="1200" b="0" u="none" baseline="0">
            <a:solidFill>
              <a:sysClr val="windowText" lastClr="000000"/>
            </a:solidFill>
            <a:latin typeface="+mn-lt"/>
            <a:ea typeface="+mn-ea"/>
            <a:cs typeface="+mn-cs"/>
          </a:endParaRPr>
        </a:p>
        <a:p>
          <a:pPr marL="0" indent="0"/>
          <a:endParaRPr lang="en-GB" sz="1200" b="0" u="none" baseline="0">
            <a:solidFill>
              <a:sysClr val="windowText" lastClr="000000"/>
            </a:solidFill>
            <a:latin typeface="+mn-lt"/>
            <a:ea typeface="+mn-ea"/>
            <a:cs typeface="+mn-cs"/>
          </a:endParaRPr>
        </a:p>
      </xdr:txBody>
    </xdr:sp>
    <xdr:clientData fLocksWithSheet="0"/>
  </xdr:twoCellAnchor>
  <xdr:twoCellAnchor>
    <xdr:from>
      <xdr:col>3</xdr:col>
      <xdr:colOff>0</xdr:colOff>
      <xdr:row>63</xdr:row>
      <xdr:rowOff>1350</xdr:rowOff>
    </xdr:from>
    <xdr:to>
      <xdr:col>20</xdr:col>
      <xdr:colOff>1800</xdr:colOff>
      <xdr:row>66</xdr:row>
      <xdr:rowOff>2700</xdr:rowOff>
    </xdr:to>
    <xdr:sp macro="" textlink="" fLocksText="0">
      <xdr:nvSpPr>
        <xdr:cNvPr id="28" name="TextBox 27">
          <a:extLst>
            <a:ext uri="{FF2B5EF4-FFF2-40B4-BE49-F238E27FC236}">
              <a16:creationId xmlns:a16="http://schemas.microsoft.com/office/drawing/2014/main" id="{497039EA-E1B0-8C03-AA07-CEE4AB20CF1C}"/>
            </a:ext>
          </a:extLst>
        </xdr:cNvPr>
        <xdr:cNvSpPr txBox="1"/>
      </xdr:nvSpPr>
      <xdr:spPr>
        <a:xfrm>
          <a:off x="685800" y="1320300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EVENING REFLECTION</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pPr marL="0" indent="0"/>
          <a:endParaRPr lang="en-GB" sz="1100" b="0" u="none" baseline="0">
            <a:solidFill>
              <a:schemeClr val="tx1"/>
            </a:solidFill>
            <a:latin typeface="+mn-lt"/>
            <a:ea typeface="+mn-ea"/>
            <a:cs typeface="+mn-cs"/>
          </a:endParaRPr>
        </a:p>
        <a:p>
          <a:pPr marL="0" indent="0"/>
          <a:r>
            <a:rPr lang="en-GB" sz="1100" b="1" u="none" baseline="0">
              <a:solidFill>
                <a:schemeClr val="tx1"/>
              </a:solidFill>
              <a:latin typeface="+mn-lt"/>
              <a:ea typeface="+mn-ea"/>
              <a:cs typeface="+mn-cs"/>
            </a:rPr>
            <a:t>Help myself unwind and unburden my mind.</a:t>
          </a:r>
        </a:p>
        <a:p>
          <a:pPr marL="0" indent="0"/>
          <a:endParaRPr lang="en-GB" sz="1100" b="1" u="none" baseline="0">
            <a:solidFill>
              <a:schemeClr val="tx1"/>
            </a:solidFill>
            <a:latin typeface="+mn-lt"/>
            <a:ea typeface="+mn-ea"/>
            <a:cs typeface="+mn-cs"/>
          </a:endParaRPr>
        </a:p>
        <a:p>
          <a:pPr marL="0" indent="0">
            <a:buSzPct val="100000"/>
            <a:buFont typeface="Arial" panose="020B0604020202020204" pitchFamily="34" charset="0"/>
            <a:buNone/>
          </a:pPr>
          <a:r>
            <a:rPr lang="en-GB" sz="1100" b="1" u="none" baseline="0">
              <a:solidFill>
                <a:schemeClr val="tx1"/>
              </a:solidFill>
              <a:latin typeface="+mn-lt"/>
              <a:ea typeface="+mn-ea"/>
              <a:cs typeface="+mn-cs"/>
            </a:rPr>
            <a:t>Is there anything troubling me today?</a:t>
          </a:r>
        </a:p>
        <a:p>
          <a:pPr marL="0" indent="0">
            <a:buSzPct val="100000"/>
            <a:buFont typeface="Arial" panose="020B0604020202020204" pitchFamily="34" charset="0"/>
            <a:buNone/>
          </a:pPr>
          <a:r>
            <a:rPr lang="en-GB" sz="1100" b="0" u="none" baseline="0">
              <a:solidFill>
                <a:schemeClr val="tx1"/>
              </a:solidFill>
              <a:latin typeface="+mn-lt"/>
              <a:ea typeface="+mn-ea"/>
              <a:cs typeface="+mn-cs"/>
            </a:rPr>
            <a:t>Answer.</a:t>
          </a:r>
        </a:p>
        <a:p>
          <a:pPr marL="0" indent="0">
            <a:buSzPct val="100000"/>
            <a:buFont typeface="Arial" panose="020B0604020202020204" pitchFamily="34" charset="0"/>
            <a:buNone/>
          </a:pPr>
          <a:endParaRPr lang="en-GB" sz="1100" b="0" u="none" baseline="0">
            <a:solidFill>
              <a:schemeClr val="tx1"/>
            </a:solidFill>
            <a:latin typeface="+mn-lt"/>
            <a:ea typeface="+mn-ea"/>
            <a:cs typeface="+mn-cs"/>
          </a:endParaRPr>
        </a:p>
        <a:p>
          <a:pPr marL="0" indent="0">
            <a:buSzPct val="100000"/>
            <a:buFont typeface="Arial" panose="020B0604020202020204" pitchFamily="34" charset="0"/>
            <a:buNone/>
          </a:pPr>
          <a:r>
            <a:rPr lang="en-GB" sz="1100" b="1" u="none" baseline="0">
              <a:solidFill>
                <a:schemeClr val="tx1"/>
              </a:solidFill>
              <a:latin typeface="+mn-lt"/>
              <a:ea typeface="+mn-ea"/>
              <a:cs typeface="+mn-cs"/>
            </a:rPr>
            <a:t>Is there anything playing on my mind?</a:t>
          </a:r>
        </a:p>
        <a:p>
          <a:pPr marL="0" indent="0">
            <a:buSzPct val="100000"/>
            <a:buFont typeface="Arial" panose="020B0604020202020204" pitchFamily="34" charset="0"/>
            <a:buNone/>
          </a:pPr>
          <a:r>
            <a:rPr lang="en-GB" sz="1100" b="0" u="none" baseline="0">
              <a:solidFill>
                <a:schemeClr val="tx1"/>
              </a:solidFill>
              <a:latin typeface="+mn-lt"/>
              <a:ea typeface="+mn-ea"/>
              <a:cs typeface="+mn-cs"/>
            </a:rPr>
            <a:t>Answer.</a:t>
          </a:r>
        </a:p>
        <a:p>
          <a:pPr marL="0" indent="0">
            <a:buSzPct val="100000"/>
            <a:buFont typeface="Arial" panose="020B0604020202020204" pitchFamily="34" charset="0"/>
            <a:buNone/>
          </a:pPr>
          <a:endParaRPr lang="en-GB" sz="1100" b="0" u="none" baseline="0">
            <a:solidFill>
              <a:schemeClr val="tx1"/>
            </a:solidFill>
            <a:latin typeface="+mn-lt"/>
            <a:ea typeface="+mn-ea"/>
            <a:cs typeface="+mn-cs"/>
          </a:endParaRPr>
        </a:p>
        <a:p>
          <a:pPr marL="0" indent="0">
            <a:buSzPct val="100000"/>
            <a:buFont typeface="Arial" panose="020B0604020202020204" pitchFamily="34" charset="0"/>
            <a:buNone/>
          </a:pPr>
          <a:r>
            <a:rPr lang="en-GB" sz="1100" b="1" u="none" baseline="0">
              <a:solidFill>
                <a:schemeClr val="tx1"/>
              </a:solidFill>
              <a:latin typeface="+mn-lt"/>
              <a:ea typeface="+mn-ea"/>
              <a:cs typeface="+mn-cs"/>
            </a:rPr>
            <a:t>Is there something I have disliked about my day?</a:t>
          </a:r>
        </a:p>
        <a:p>
          <a:pPr marL="0" indent="0">
            <a:buSzPct val="100000"/>
            <a:buFont typeface="Arial" panose="020B0604020202020204" pitchFamily="34" charset="0"/>
            <a:buNone/>
          </a:pPr>
          <a:r>
            <a:rPr lang="en-GB" sz="1100" b="0" u="none" baseline="0">
              <a:solidFill>
                <a:schemeClr val="tx1"/>
              </a:solidFill>
              <a:latin typeface="+mn-lt"/>
              <a:ea typeface="+mn-ea"/>
              <a:cs typeface="+mn-cs"/>
            </a:rPr>
            <a:t>Answer.</a:t>
          </a:r>
        </a:p>
        <a:p>
          <a:pPr marL="0" indent="0">
            <a:buSzPct val="100000"/>
            <a:buFont typeface="Arial" panose="020B0604020202020204" pitchFamily="34" charset="0"/>
            <a:buNone/>
          </a:pPr>
          <a:endParaRPr lang="en-GB" sz="1100" b="0" u="none" baseline="0">
            <a:solidFill>
              <a:schemeClr val="tx1"/>
            </a:solidFill>
            <a:latin typeface="+mn-lt"/>
            <a:ea typeface="+mn-ea"/>
            <a:cs typeface="+mn-cs"/>
          </a:endParaRPr>
        </a:p>
        <a:p>
          <a:pPr marL="0" indent="0">
            <a:buSzPct val="100000"/>
            <a:buFont typeface="Arial" panose="020B0604020202020204" pitchFamily="34" charset="0"/>
            <a:buNone/>
          </a:pPr>
          <a:r>
            <a:rPr lang="en-GB" sz="1100" b="1" u="none" baseline="0">
              <a:solidFill>
                <a:schemeClr val="tx1"/>
              </a:solidFill>
              <a:latin typeface="+mn-lt"/>
              <a:ea typeface="+mn-ea"/>
              <a:cs typeface="+mn-cs"/>
            </a:rPr>
            <a:t>What have I enjoyed during the day?</a:t>
          </a:r>
        </a:p>
        <a:p>
          <a:pPr marL="0" indent="0">
            <a:buSzPct val="100000"/>
            <a:buFont typeface="Arial" panose="020B0604020202020204" pitchFamily="34" charset="0"/>
            <a:buNone/>
          </a:pPr>
          <a:r>
            <a:rPr lang="en-GB" sz="1100" b="0" u="none" baseline="0">
              <a:solidFill>
                <a:schemeClr val="tx1"/>
              </a:solidFill>
              <a:latin typeface="+mn-lt"/>
              <a:ea typeface="+mn-ea"/>
              <a:cs typeface="+mn-cs"/>
            </a:rPr>
            <a:t>Answer.</a:t>
          </a:r>
        </a:p>
        <a:p>
          <a:pPr marL="0" indent="0">
            <a:buSzPct val="100000"/>
            <a:buFont typeface="Arial" panose="020B0604020202020204" pitchFamily="34" charset="0"/>
            <a:buNone/>
          </a:pPr>
          <a:endParaRPr lang="en-GB" sz="1100" b="0" u="none" baseline="0">
            <a:solidFill>
              <a:schemeClr val="tx1"/>
            </a:solidFill>
            <a:latin typeface="+mn-lt"/>
            <a:ea typeface="+mn-ea"/>
            <a:cs typeface="+mn-cs"/>
          </a:endParaRPr>
        </a:p>
        <a:p>
          <a:pPr marL="0" indent="0">
            <a:buSzPct val="100000"/>
            <a:buFont typeface="Arial" panose="020B0604020202020204" pitchFamily="34" charset="0"/>
            <a:buNone/>
          </a:pPr>
          <a:r>
            <a:rPr lang="en-GB" sz="1100" b="1" u="none" baseline="0">
              <a:solidFill>
                <a:schemeClr val="tx1"/>
              </a:solidFill>
              <a:latin typeface="+mn-lt"/>
              <a:ea typeface="+mn-ea"/>
              <a:cs typeface="+mn-cs"/>
            </a:rPr>
            <a:t>What do I feel I have I achieved today?</a:t>
          </a:r>
        </a:p>
        <a:p>
          <a:pPr marL="0" indent="0">
            <a:buSzPct val="100000"/>
            <a:buFont typeface="Arial" panose="020B0604020202020204" pitchFamily="34" charset="0"/>
            <a:buNone/>
          </a:pPr>
          <a:r>
            <a:rPr lang="en-GB" sz="1100" b="0" u="none" baseline="0">
              <a:solidFill>
                <a:schemeClr val="tx1"/>
              </a:solidFill>
              <a:latin typeface="+mn-lt"/>
              <a:ea typeface="+mn-ea"/>
              <a:cs typeface="+mn-cs"/>
            </a:rPr>
            <a:t>Answer.</a:t>
          </a:r>
        </a:p>
        <a:p>
          <a:pPr marL="0" indent="0">
            <a:buSzPct val="100000"/>
            <a:buFont typeface="Arial" panose="020B0604020202020204" pitchFamily="34" charset="0"/>
            <a:buNone/>
          </a:pPr>
          <a:endParaRPr lang="en-GB" sz="1100" b="0" u="none" baseline="0">
            <a:solidFill>
              <a:schemeClr val="tx1"/>
            </a:solidFill>
            <a:latin typeface="+mn-lt"/>
            <a:ea typeface="+mn-ea"/>
            <a:cs typeface="+mn-cs"/>
          </a:endParaRPr>
        </a:p>
        <a:p>
          <a:pPr marL="0" indent="0">
            <a:buSzPct val="100000"/>
            <a:buFont typeface="Arial" panose="020B0604020202020204" pitchFamily="34" charset="0"/>
            <a:buNone/>
          </a:pPr>
          <a:r>
            <a:rPr lang="en-GB" sz="1100" b="1" u="none" baseline="0">
              <a:solidFill>
                <a:schemeClr val="tx1"/>
              </a:solidFill>
              <a:latin typeface="+mn-lt"/>
              <a:ea typeface="+mn-ea"/>
              <a:cs typeface="+mn-cs"/>
            </a:rPr>
            <a:t>What am I grateful for today?</a:t>
          </a:r>
        </a:p>
        <a:p>
          <a:pPr marL="0" indent="0">
            <a:buSzPct val="100000"/>
            <a:buFont typeface="Arial" panose="020B0604020202020204" pitchFamily="34" charset="0"/>
            <a:buNone/>
          </a:pPr>
          <a:r>
            <a:rPr lang="en-GB" sz="1100" b="0" u="none" baseline="0">
              <a:solidFill>
                <a:schemeClr val="tx1"/>
              </a:solidFill>
              <a:latin typeface="+mn-lt"/>
              <a:ea typeface="+mn-ea"/>
              <a:cs typeface="+mn-cs"/>
            </a:rPr>
            <a:t>Answer.</a:t>
          </a:r>
        </a:p>
        <a:p>
          <a:pPr marL="0" indent="0">
            <a:buSzPct val="100000"/>
            <a:buFont typeface="Arial" panose="020B0604020202020204" pitchFamily="34" charset="0"/>
            <a:buNone/>
          </a:pPr>
          <a:endParaRPr lang="en-GB" sz="1100" b="0" u="none" baseline="0">
            <a:solidFill>
              <a:schemeClr val="tx1"/>
            </a:solidFill>
            <a:latin typeface="+mn-lt"/>
            <a:ea typeface="+mn-ea"/>
            <a:cs typeface="+mn-cs"/>
          </a:endParaRPr>
        </a:p>
        <a:p>
          <a:pPr marL="0" indent="0">
            <a:buSzPct val="100000"/>
            <a:buFont typeface="Arial" panose="020B0604020202020204" pitchFamily="34" charset="0"/>
            <a:buNone/>
          </a:pPr>
          <a:r>
            <a:rPr lang="en-GB" sz="1100" b="1" u="none" baseline="0">
              <a:solidFill>
                <a:schemeClr val="tx1"/>
              </a:solidFill>
              <a:latin typeface="+mn-lt"/>
              <a:ea typeface="+mn-ea"/>
              <a:cs typeface="+mn-cs"/>
            </a:rPr>
            <a:t>How am I feeling overall?</a:t>
          </a:r>
        </a:p>
        <a:p>
          <a:pPr marL="0" indent="0">
            <a:buSzPct val="100000"/>
            <a:buFont typeface="Arial" panose="020B0604020202020204" pitchFamily="34" charset="0"/>
            <a:buNone/>
          </a:pPr>
          <a:r>
            <a:rPr lang="en-GB" sz="1100" b="0" u="none" baseline="0">
              <a:solidFill>
                <a:schemeClr val="tx1"/>
              </a:solidFill>
              <a:latin typeface="+mn-lt"/>
              <a:ea typeface="+mn-ea"/>
              <a:cs typeface="+mn-cs"/>
            </a:rPr>
            <a:t>Answer.</a:t>
          </a:r>
        </a:p>
        <a:p>
          <a:pPr marL="0" indent="0"/>
          <a:endParaRPr lang="en-GB" sz="1000" b="0" u="none" baseline="0">
            <a:solidFill>
              <a:schemeClr val="tx1"/>
            </a:solidFill>
            <a:latin typeface="+mn-lt"/>
            <a:ea typeface="+mn-ea"/>
            <a:cs typeface="+mn-cs"/>
          </a:endParaRPr>
        </a:p>
      </xdr:txBody>
    </xdr:sp>
    <xdr:clientData fLocksWithSheet="0"/>
  </xdr:twoCellAnchor>
  <xdr:twoCellAnchor>
    <xdr:from>
      <xdr:col>3</xdr:col>
      <xdr:colOff>1800</xdr:colOff>
      <xdr:row>66</xdr:row>
      <xdr:rowOff>1350</xdr:rowOff>
    </xdr:from>
    <xdr:to>
      <xdr:col>20</xdr:col>
      <xdr:colOff>3600</xdr:colOff>
      <xdr:row>69</xdr:row>
      <xdr:rowOff>2700</xdr:rowOff>
    </xdr:to>
    <xdr:sp macro="" textlink="" fLocksText="0">
      <xdr:nvSpPr>
        <xdr:cNvPr id="30" name="TextBox 29">
          <a:extLst>
            <a:ext uri="{FF2B5EF4-FFF2-40B4-BE49-F238E27FC236}">
              <a16:creationId xmlns:a16="http://schemas.microsoft.com/office/drawing/2014/main" id="{252D3A1F-FB47-F403-970F-A36B367F055E}"/>
            </a:ext>
          </a:extLst>
        </xdr:cNvPr>
        <xdr:cNvSpPr txBox="1"/>
      </xdr:nvSpPr>
      <xdr:spPr>
        <a:xfrm>
          <a:off x="687600" y="1383165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ysClr val="windowText" lastClr="000000"/>
              </a:solidFill>
              <a:latin typeface="+mn-lt"/>
              <a:ea typeface="+mn-ea"/>
              <a:cs typeface="+mn-cs"/>
            </a:rPr>
            <a:t>WEEKLY REFLECTION</a:t>
          </a:r>
        </a:p>
        <a:p>
          <a:pPr marL="0" indent="0"/>
          <a:r>
            <a:rPr lang="en-GB" sz="1200" b="0" u="none" baseline="0">
              <a:solidFill>
                <a:sysClr val="windowText" lastClr="000000"/>
              </a:solidFill>
              <a:latin typeface="+mn-lt"/>
              <a:ea typeface="+mn-ea"/>
              <a:cs typeface="+mn-cs"/>
            </a:rPr>
            <a:t>ddd DDdd TT:TT</a:t>
          </a:r>
        </a:p>
        <a:p>
          <a:pPr marL="0" indent="0" algn="l"/>
          <a:r>
            <a:rPr lang="en-GB" sz="1200" b="0" u="none" baseline="0">
              <a:solidFill>
                <a:sysClr val="windowText" lastClr="000000"/>
              </a:solidFill>
              <a:latin typeface="+mn-lt"/>
              <a:ea typeface="+mn-ea"/>
              <a:cs typeface="+mn-cs"/>
            </a:rPr>
            <a:t>_________________________________________________</a:t>
          </a:r>
        </a:p>
        <a:p>
          <a:pPr marL="0" indent="0"/>
          <a:endParaRPr lang="en-GB" sz="1100" b="0" u="none" baseline="0">
            <a:solidFill>
              <a:sysClr val="windowText" lastClr="000000"/>
            </a:solidFill>
            <a:latin typeface="+mn-lt"/>
            <a:ea typeface="+mn-ea"/>
            <a:cs typeface="+mn-cs"/>
          </a:endParaRPr>
        </a:p>
        <a:p>
          <a:pPr marL="0" indent="0"/>
          <a:r>
            <a:rPr lang="en-GB" sz="1100" b="1" u="none" baseline="0">
              <a:solidFill>
                <a:sysClr val="windowText" lastClr="000000"/>
              </a:solidFill>
              <a:latin typeface="+mn-lt"/>
              <a:ea typeface="+mn-ea"/>
              <a:cs typeface="+mn-cs"/>
            </a:rPr>
            <a:t>Questions to relfect on:</a:t>
          </a:r>
        </a:p>
        <a:p>
          <a:pPr marL="0" indent="0"/>
          <a:endParaRPr lang="en-GB" sz="1100" b="0" u="none" baseline="0">
            <a:solidFill>
              <a:sysClr val="windowText" lastClr="000000"/>
            </a:solidFill>
            <a:latin typeface="+mn-lt"/>
            <a:ea typeface="+mn-ea"/>
            <a:cs typeface="+mn-cs"/>
          </a:endParaRPr>
        </a:p>
        <a:p>
          <a:pPr marL="0" indent="0">
            <a:buFont typeface="Arial" panose="020B0604020202020204" pitchFamily="34" charset="0"/>
            <a:buNone/>
          </a:pPr>
          <a:r>
            <a:rPr lang="en-GB" sz="1100" b="1" u="none" baseline="0">
              <a:solidFill>
                <a:sysClr val="windowText" lastClr="000000"/>
              </a:solidFill>
              <a:latin typeface="+mn-lt"/>
              <a:ea typeface="+mn-ea"/>
              <a:cs typeface="+mn-cs"/>
            </a:rPr>
            <a:t>What am I grateful for in my life?</a:t>
          </a:r>
        </a:p>
        <a:p>
          <a:pPr marL="0" indent="0">
            <a:buFont typeface="Arial" panose="020B0604020202020204" pitchFamily="34" charset="0"/>
            <a:buNone/>
          </a:pPr>
          <a:r>
            <a:rPr lang="en-GB" sz="1100" b="0" u="none" baseline="0">
              <a:solidFill>
                <a:sysClr val="windowText" lastClr="000000"/>
              </a:solidFill>
              <a:latin typeface="+mn-lt"/>
              <a:ea typeface="+mn-ea"/>
              <a:cs typeface="+mn-cs"/>
            </a:rPr>
            <a:t>Answer.</a:t>
          </a:r>
        </a:p>
        <a:p>
          <a:pPr marL="0" indent="0">
            <a:buFont typeface="Arial" panose="020B0604020202020204" pitchFamily="34" charset="0"/>
            <a:buNone/>
          </a:pPr>
          <a:endParaRPr lang="en-GB" sz="1100" b="0" u="none" baseline="0">
            <a:solidFill>
              <a:sysClr val="windowText" lastClr="000000"/>
            </a:solidFill>
            <a:latin typeface="+mn-lt"/>
            <a:ea typeface="+mn-ea"/>
            <a:cs typeface="+mn-cs"/>
          </a:endParaRPr>
        </a:p>
        <a:p>
          <a:pPr marL="0" indent="0">
            <a:buFont typeface="Arial" panose="020B0604020202020204" pitchFamily="34" charset="0"/>
            <a:buNone/>
          </a:pPr>
          <a:r>
            <a:rPr lang="en-GB" sz="1100" b="1" u="none" baseline="0">
              <a:solidFill>
                <a:sysClr val="windowText" lastClr="000000"/>
              </a:solidFill>
              <a:latin typeface="+mn-lt"/>
              <a:ea typeface="+mn-ea"/>
              <a:cs typeface="+mn-cs"/>
            </a:rPr>
            <a:t>What and how am I thinking? (Am I thinking positively or negatively, or about one thing or many things?)</a:t>
          </a:r>
        </a:p>
        <a:p>
          <a:pPr marL="0" indent="0">
            <a:buFont typeface="Arial" panose="020B0604020202020204" pitchFamily="34" charset="0"/>
            <a:buNone/>
          </a:pPr>
          <a:r>
            <a:rPr lang="en-GB" sz="1100" b="0" u="none" baseline="0">
              <a:solidFill>
                <a:sysClr val="windowText" lastClr="000000"/>
              </a:solidFill>
              <a:latin typeface="+mn-lt"/>
              <a:ea typeface="+mn-ea"/>
              <a:cs typeface="+mn-cs"/>
            </a:rPr>
            <a:t>Answer.</a:t>
          </a:r>
        </a:p>
        <a:p>
          <a:pPr marL="0" indent="0">
            <a:buFont typeface="Arial" panose="020B0604020202020204" pitchFamily="34" charset="0"/>
            <a:buNone/>
          </a:pPr>
          <a:endParaRPr lang="en-GB" sz="1100" b="0" u="none" baseline="0">
            <a:solidFill>
              <a:sysClr val="windowText" lastClr="000000"/>
            </a:solidFill>
            <a:latin typeface="+mn-lt"/>
            <a:ea typeface="+mn-ea"/>
            <a:cs typeface="+mn-cs"/>
          </a:endParaRPr>
        </a:p>
        <a:p>
          <a:pPr marL="0" indent="0">
            <a:buFont typeface="Arial" panose="020B0604020202020204" pitchFamily="34" charset="0"/>
            <a:buNone/>
          </a:pPr>
          <a:r>
            <a:rPr lang="en-GB" sz="1100" b="1" u="none" baseline="0">
              <a:solidFill>
                <a:sysClr val="windowText" lastClr="000000"/>
              </a:solidFill>
              <a:latin typeface="+mn-lt"/>
              <a:ea typeface="+mn-ea"/>
              <a:cs typeface="+mn-cs"/>
            </a:rPr>
            <a:t>Am I acting according to my principles?</a:t>
          </a:r>
        </a:p>
        <a:p>
          <a:pPr marL="0" indent="0">
            <a:buFont typeface="Arial" panose="020B0604020202020204" pitchFamily="34" charset="0"/>
            <a:buNone/>
          </a:pPr>
          <a:r>
            <a:rPr lang="en-GB" sz="1100" b="0" u="none" baseline="0">
              <a:solidFill>
                <a:sysClr val="windowText" lastClr="000000"/>
              </a:solidFill>
              <a:latin typeface="+mn-lt"/>
              <a:ea typeface="+mn-ea"/>
              <a:cs typeface="+mn-cs"/>
            </a:rPr>
            <a:t>Answer.</a:t>
          </a:r>
        </a:p>
        <a:p>
          <a:pPr marL="0" indent="0">
            <a:buFont typeface="Arial" panose="020B0604020202020204" pitchFamily="34" charset="0"/>
            <a:buNone/>
          </a:pPr>
          <a:endParaRPr lang="en-GB" sz="1100" b="0" u="none" baseline="0">
            <a:solidFill>
              <a:sysClr val="windowText" lastClr="000000"/>
            </a:solidFill>
            <a:latin typeface="+mn-lt"/>
            <a:ea typeface="+mn-ea"/>
            <a:cs typeface="+mn-cs"/>
          </a:endParaRPr>
        </a:p>
        <a:p>
          <a:pPr marL="0" indent="0">
            <a:buFont typeface="Arial" panose="020B0604020202020204" pitchFamily="34" charset="0"/>
            <a:buNone/>
          </a:pPr>
          <a:r>
            <a:rPr lang="en-GB" sz="1100" b="1" u="none" baseline="0">
              <a:solidFill>
                <a:sysClr val="windowText" lastClr="000000"/>
              </a:solidFill>
              <a:latin typeface="+mn-lt"/>
              <a:ea typeface="+mn-ea"/>
              <a:cs typeface="+mn-cs"/>
            </a:rPr>
            <a:t>What am I doing? (Is what I'm spending my time on creating the life I want to live? Are they things that elevate and nurture me or that I'm passionate about?)</a:t>
          </a:r>
        </a:p>
        <a:p>
          <a:pPr marL="0" indent="0">
            <a:buFont typeface="Arial" panose="020B0604020202020204" pitchFamily="34" charset="0"/>
            <a:buNone/>
          </a:pPr>
          <a:r>
            <a:rPr lang="en-GB" sz="1100" b="0" u="none" baseline="0">
              <a:solidFill>
                <a:sysClr val="windowText" lastClr="000000"/>
              </a:solidFill>
              <a:latin typeface="+mn-lt"/>
              <a:ea typeface="+mn-ea"/>
              <a:cs typeface="+mn-cs"/>
            </a:rPr>
            <a:t>Answer.</a:t>
          </a:r>
        </a:p>
        <a:p>
          <a:pPr marL="0" indent="0">
            <a:buFont typeface="Arial" panose="020B0604020202020204" pitchFamily="34" charset="0"/>
            <a:buNone/>
          </a:pPr>
          <a:endParaRPr lang="en-GB" sz="1100" b="0" u="none" baseline="0">
            <a:solidFill>
              <a:sysClr val="windowText" lastClr="000000"/>
            </a:solidFill>
            <a:latin typeface="+mn-lt"/>
            <a:ea typeface="+mn-ea"/>
            <a:cs typeface="+mn-cs"/>
          </a:endParaRPr>
        </a:p>
        <a:p>
          <a:pPr marL="0" indent="0">
            <a:buFont typeface="Arial" panose="020B0604020202020204" pitchFamily="34" charset="0"/>
            <a:buNone/>
          </a:pPr>
          <a:r>
            <a:rPr lang="en-GB" sz="1100" b="1" u="none" baseline="0">
              <a:solidFill>
                <a:sysClr val="windowText" lastClr="000000"/>
              </a:solidFill>
              <a:latin typeface="+mn-lt"/>
              <a:ea typeface="+mn-ea"/>
              <a:cs typeface="+mn-cs"/>
            </a:rPr>
            <a:t>Where am I spending my time and who am I spending it with?</a:t>
          </a:r>
        </a:p>
        <a:p>
          <a:pPr marL="0" indent="0">
            <a:buFont typeface="Arial" panose="020B0604020202020204" pitchFamily="34" charset="0"/>
            <a:buNone/>
          </a:pPr>
          <a:r>
            <a:rPr lang="en-GB" sz="1100" b="1" u="none" baseline="0">
              <a:solidFill>
                <a:sysClr val="windowText" lastClr="000000"/>
              </a:solidFill>
              <a:latin typeface="+mn-lt"/>
              <a:ea typeface="+mn-ea"/>
              <a:cs typeface="+mn-cs"/>
            </a:rPr>
            <a:t>Am I holding onto something I need to let go of? (These could be objects or habits or relationships or a job or even thought processes.)</a:t>
          </a:r>
        </a:p>
        <a:p>
          <a:pPr marL="0" indent="0">
            <a:buFont typeface="Arial" panose="020B0604020202020204" pitchFamily="34" charset="0"/>
            <a:buNone/>
          </a:pPr>
          <a:r>
            <a:rPr lang="en-GB" sz="1100" b="0" u="none" baseline="0">
              <a:solidFill>
                <a:sysClr val="windowText" lastClr="000000"/>
              </a:solidFill>
              <a:latin typeface="+mn-lt"/>
              <a:ea typeface="+mn-ea"/>
              <a:cs typeface="+mn-cs"/>
            </a:rPr>
            <a:t>Answer.</a:t>
          </a:r>
        </a:p>
        <a:p>
          <a:pPr marL="0" indent="0">
            <a:buFont typeface="Arial" panose="020B0604020202020204" pitchFamily="34" charset="0"/>
            <a:buNone/>
          </a:pPr>
          <a:endParaRPr lang="en-GB" sz="1100" b="0" u="none" baseline="0">
            <a:solidFill>
              <a:sysClr val="windowText" lastClr="000000"/>
            </a:solidFill>
            <a:latin typeface="+mn-lt"/>
            <a:ea typeface="+mn-ea"/>
            <a:cs typeface="+mn-cs"/>
          </a:endParaRPr>
        </a:p>
        <a:p>
          <a:pPr marL="0" indent="0">
            <a:buFont typeface="Arial" panose="020B0604020202020204" pitchFamily="34" charset="0"/>
            <a:buNone/>
          </a:pPr>
          <a:r>
            <a:rPr lang="en-GB" sz="1100" b="1" u="none" baseline="0">
              <a:solidFill>
                <a:sysClr val="windowText" lastClr="000000"/>
              </a:solidFill>
              <a:latin typeface="+mn-lt"/>
              <a:ea typeface="+mn-ea"/>
              <a:cs typeface="+mn-cs"/>
            </a:rPr>
            <a:t>Am I reacting or responding? (Am I doing knee-jerk actions or taking the time to think logically and act thoughtfully?)</a:t>
          </a:r>
        </a:p>
        <a:p>
          <a:pPr marL="0" indent="0">
            <a:buFont typeface="Arial" panose="020B0604020202020204" pitchFamily="34" charset="0"/>
            <a:buNone/>
          </a:pPr>
          <a:r>
            <a:rPr lang="en-GB" sz="1100" b="0" u="none" baseline="0">
              <a:solidFill>
                <a:sysClr val="windowText" lastClr="000000"/>
              </a:solidFill>
              <a:latin typeface="+mn-lt"/>
              <a:ea typeface="+mn-ea"/>
              <a:cs typeface="+mn-cs"/>
            </a:rPr>
            <a:t>Answer.</a:t>
          </a:r>
        </a:p>
        <a:p>
          <a:pPr marL="0" indent="0">
            <a:buFont typeface="Arial" panose="020B0604020202020204" pitchFamily="34" charset="0"/>
            <a:buNone/>
          </a:pPr>
          <a:endParaRPr lang="en-GB" sz="1100" b="0" u="none" baseline="0">
            <a:solidFill>
              <a:sysClr val="windowText" lastClr="000000"/>
            </a:solidFill>
            <a:latin typeface="+mn-lt"/>
            <a:ea typeface="+mn-ea"/>
            <a:cs typeface="+mn-cs"/>
          </a:endParaRPr>
        </a:p>
        <a:p>
          <a:pPr marL="0" indent="0">
            <a:buFont typeface="Arial" panose="020B0604020202020204" pitchFamily="34" charset="0"/>
            <a:buNone/>
          </a:pPr>
          <a:r>
            <a:rPr lang="en-GB" sz="1100" b="1" u="none" baseline="0">
              <a:solidFill>
                <a:sysClr val="windowText" lastClr="000000"/>
              </a:solidFill>
              <a:latin typeface="+mn-lt"/>
              <a:ea typeface="+mn-ea"/>
              <a:cs typeface="+mn-cs"/>
            </a:rPr>
            <a:t>Am I giving back?</a:t>
          </a:r>
        </a:p>
        <a:p>
          <a:pPr marL="0" indent="0">
            <a:buFont typeface="Arial" panose="020B0604020202020204" pitchFamily="34" charset="0"/>
            <a:buNone/>
          </a:pPr>
          <a:r>
            <a:rPr lang="en-GB" sz="1100" b="0" u="none" baseline="0">
              <a:solidFill>
                <a:sysClr val="windowText" lastClr="000000"/>
              </a:solidFill>
              <a:latin typeface="+mn-lt"/>
              <a:ea typeface="+mn-ea"/>
              <a:cs typeface="+mn-cs"/>
            </a:rPr>
            <a:t>Answer.</a:t>
          </a:r>
        </a:p>
        <a:p>
          <a:pPr marL="0" indent="0">
            <a:buFont typeface="Arial" panose="020B0604020202020204" pitchFamily="34" charset="0"/>
            <a:buNone/>
          </a:pPr>
          <a:endParaRPr lang="en-GB" sz="1100" b="0" u="none" baseline="0">
            <a:solidFill>
              <a:sysClr val="windowText" lastClr="000000"/>
            </a:solidFill>
            <a:latin typeface="+mn-lt"/>
            <a:ea typeface="+mn-ea"/>
            <a:cs typeface="+mn-cs"/>
          </a:endParaRPr>
        </a:p>
        <a:p>
          <a:pPr marL="0" indent="0">
            <a:buFont typeface="Arial" panose="020B0604020202020204" pitchFamily="34" charset="0"/>
            <a:buNone/>
          </a:pPr>
          <a:r>
            <a:rPr lang="en-GB" sz="1100" b="1" u="none" baseline="0">
              <a:solidFill>
                <a:sysClr val="windowText" lastClr="000000"/>
              </a:solidFill>
              <a:latin typeface="+mn-lt"/>
              <a:ea typeface="+mn-ea"/>
              <a:cs typeface="+mn-cs"/>
            </a:rPr>
            <a:t>Where am I heading?</a:t>
          </a:r>
        </a:p>
        <a:p>
          <a:pPr marL="0" indent="0">
            <a:buFont typeface="Arial" panose="020B0604020202020204" pitchFamily="34" charset="0"/>
            <a:buNone/>
          </a:pPr>
          <a:r>
            <a:rPr lang="en-GB" sz="1100" b="0" u="none" baseline="0">
              <a:solidFill>
                <a:sysClr val="windowText" lastClr="000000"/>
              </a:solidFill>
              <a:latin typeface="+mn-lt"/>
              <a:ea typeface="+mn-ea"/>
              <a:cs typeface="+mn-cs"/>
            </a:rPr>
            <a:t>Answer.</a:t>
          </a:r>
        </a:p>
        <a:p>
          <a:pPr marL="0" indent="0">
            <a:buFont typeface="Arial" panose="020B0604020202020204" pitchFamily="34" charset="0"/>
            <a:buNone/>
          </a:pPr>
          <a:endParaRPr lang="en-GB" sz="1100" b="0" u="none" baseline="0">
            <a:solidFill>
              <a:sysClr val="windowText" lastClr="000000"/>
            </a:solidFill>
            <a:latin typeface="+mn-lt"/>
            <a:ea typeface="+mn-ea"/>
            <a:cs typeface="+mn-cs"/>
          </a:endParaRPr>
        </a:p>
        <a:p>
          <a:pPr marL="0" indent="0"/>
          <a:endParaRPr lang="en-GB" sz="1100" b="0" u="none" baseline="0">
            <a:solidFill>
              <a:sysClr val="windowText" lastClr="000000"/>
            </a:solidFill>
            <a:latin typeface="+mn-lt"/>
            <a:ea typeface="+mn-ea"/>
            <a:cs typeface="+mn-cs"/>
          </a:endParaRPr>
        </a:p>
        <a:p>
          <a:pPr marL="0" indent="0"/>
          <a:endParaRPr lang="en-GB" sz="1100" b="0" u="none" baseline="0">
            <a:solidFill>
              <a:sysClr val="windowText" lastClr="000000"/>
            </a:solidFill>
            <a:latin typeface="+mn-lt"/>
            <a:ea typeface="+mn-ea"/>
            <a:cs typeface="+mn-cs"/>
          </a:endParaRPr>
        </a:p>
        <a:p>
          <a:pPr marL="0" indent="0"/>
          <a:r>
            <a:rPr lang="en-GB" sz="1000" b="0" u="none" baseline="0">
              <a:solidFill>
                <a:sysClr val="windowText" lastClr="000000"/>
              </a:solidFill>
              <a:latin typeface="+mn-lt"/>
              <a:ea typeface="+mn-ea"/>
              <a:cs typeface="+mn-cs"/>
            </a:rPr>
            <a:t> </a:t>
          </a:r>
        </a:p>
        <a:p>
          <a:pPr marL="0" indent="0"/>
          <a:endParaRPr lang="en-GB" sz="1200" b="0" u="none" baseline="0">
            <a:solidFill>
              <a:sysClr val="windowText" lastClr="000000"/>
            </a:solidFill>
            <a:latin typeface="+mn-lt"/>
            <a:ea typeface="+mn-ea"/>
            <a:cs typeface="+mn-cs"/>
          </a:endParaRPr>
        </a:p>
      </xdr:txBody>
    </xdr:sp>
    <xdr:clientData fLocksWithSheet="0"/>
  </xdr:twoCellAnchor>
  <xdr:twoCellAnchor>
    <xdr:from>
      <xdr:col>3</xdr:col>
      <xdr:colOff>0</xdr:colOff>
      <xdr:row>73</xdr:row>
      <xdr:rowOff>1350</xdr:rowOff>
    </xdr:from>
    <xdr:to>
      <xdr:col>20</xdr:col>
      <xdr:colOff>1800</xdr:colOff>
      <xdr:row>76</xdr:row>
      <xdr:rowOff>2700</xdr:rowOff>
    </xdr:to>
    <xdr:sp macro="" textlink="" fLocksText="0">
      <xdr:nvSpPr>
        <xdr:cNvPr id="31" name="TextBox 30">
          <a:extLst>
            <a:ext uri="{FF2B5EF4-FFF2-40B4-BE49-F238E27FC236}">
              <a16:creationId xmlns:a16="http://schemas.microsoft.com/office/drawing/2014/main" id="{A9D09516-DD41-15F1-E45C-CB32C442B983}"/>
            </a:ext>
          </a:extLst>
        </xdr:cNvPr>
        <xdr:cNvSpPr txBox="1"/>
      </xdr:nvSpPr>
      <xdr:spPr>
        <a:xfrm>
          <a:off x="685800" y="1529850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JOURNALLING FOR CLARITY</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endParaRPr lang="en-GB">
            <a:effectLst/>
          </a:endParaRPr>
        </a:p>
        <a:p>
          <a:r>
            <a:rPr lang="en-GB" sz="1100" b="0" i="1" baseline="0">
              <a:solidFill>
                <a:schemeClr val="tx1"/>
              </a:solidFill>
              <a:effectLst/>
              <a:latin typeface="+mn-lt"/>
              <a:ea typeface="+mn-ea"/>
              <a:cs typeface="+mn-cs"/>
            </a:rPr>
            <a:t>[based on video by struthless aka Campbell Walker]</a:t>
          </a:r>
          <a:endParaRPr lang="en-GB">
            <a:effectLst/>
          </a:endParaRP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A mind dump. Write anything - any and every thought.</a:t>
          </a:r>
        </a:p>
        <a:p>
          <a:pPr marL="0" indent="0"/>
          <a:endParaRPr lang="en-GB" sz="1100" b="0" u="none" baseline="0">
            <a:solidFill>
              <a:schemeClr val="tx1"/>
            </a:solidFill>
            <a:latin typeface="+mn-lt"/>
            <a:ea typeface="+mn-ea"/>
            <a:cs typeface="+mn-cs"/>
          </a:endParaRPr>
        </a:p>
        <a:p>
          <a:pPr marL="0" indent="0"/>
          <a:r>
            <a:rPr lang="en-GB" sz="1100" b="0" u="none" baseline="0">
              <a:solidFill>
                <a:schemeClr val="tx1"/>
              </a:solidFill>
              <a:latin typeface="+mn-lt"/>
              <a:ea typeface="+mn-ea"/>
              <a:cs typeface="+mn-cs"/>
            </a:rPr>
            <a:t>Write.</a:t>
          </a:r>
        </a:p>
      </xdr:txBody>
    </xdr:sp>
    <xdr:clientData fLocksWithSheet="0"/>
  </xdr:twoCellAnchor>
  <xdr:twoCellAnchor>
    <xdr:from>
      <xdr:col>3</xdr:col>
      <xdr:colOff>0</xdr:colOff>
      <xdr:row>76</xdr:row>
      <xdr:rowOff>1350</xdr:rowOff>
    </xdr:from>
    <xdr:to>
      <xdr:col>20</xdr:col>
      <xdr:colOff>1800</xdr:colOff>
      <xdr:row>79</xdr:row>
      <xdr:rowOff>2700</xdr:rowOff>
    </xdr:to>
    <xdr:sp macro="" textlink="" fLocksText="0">
      <xdr:nvSpPr>
        <xdr:cNvPr id="33" name="TextBox 32">
          <a:extLst>
            <a:ext uri="{FF2B5EF4-FFF2-40B4-BE49-F238E27FC236}">
              <a16:creationId xmlns:a16="http://schemas.microsoft.com/office/drawing/2014/main" id="{976E7FBE-5589-DE2F-1157-27F17887B475}"/>
            </a:ext>
          </a:extLst>
        </xdr:cNvPr>
        <xdr:cNvSpPr txBox="1"/>
      </xdr:nvSpPr>
      <xdr:spPr>
        <a:xfrm>
          <a:off x="685800" y="1592715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JOURNALLING FOR BREAKING YOUR MINDSET</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endParaRPr lang="en-GB">
            <a:effectLst/>
          </a:endParaRPr>
        </a:p>
        <a:p>
          <a:r>
            <a:rPr lang="en-GB" sz="1100" b="0" i="1" baseline="0">
              <a:solidFill>
                <a:schemeClr val="tx1"/>
              </a:solidFill>
              <a:effectLst/>
              <a:latin typeface="+mn-lt"/>
              <a:ea typeface="+mn-ea"/>
              <a:cs typeface="+mn-cs"/>
            </a:rPr>
            <a:t>[based on video by struthless aka Campbell Walker]</a:t>
          </a:r>
          <a:endParaRPr lang="en-GB">
            <a:effectLst/>
          </a:endParaRP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Imagine six impossible things.</a:t>
          </a:r>
        </a:p>
        <a:p>
          <a:pPr marL="285750" indent="-285750" algn="l">
            <a:buFont typeface="+mj-lt"/>
            <a:buAutoNum type="romanUcPeriod"/>
          </a:pPr>
          <a:r>
            <a:rPr lang="en-GB" sz="1100" b="0" u="none" baseline="0">
              <a:solidFill>
                <a:schemeClr val="tx1"/>
              </a:solidFill>
              <a:latin typeface="+mn-lt"/>
              <a:ea typeface="+mn-ea"/>
              <a:cs typeface="+mn-cs"/>
            </a:rPr>
            <a:t>One.</a:t>
          </a:r>
        </a:p>
        <a:p>
          <a:pPr marL="285750" indent="-285750" algn="l">
            <a:buFont typeface="+mj-lt"/>
            <a:buAutoNum type="romanUcPeriod"/>
          </a:pPr>
          <a:r>
            <a:rPr lang="en-GB" sz="1100" b="0" u="none" baseline="0">
              <a:solidFill>
                <a:schemeClr val="tx1"/>
              </a:solidFill>
              <a:latin typeface="+mn-lt"/>
              <a:ea typeface="+mn-ea"/>
              <a:cs typeface="+mn-cs"/>
            </a:rPr>
            <a:t>Two.</a:t>
          </a:r>
        </a:p>
        <a:p>
          <a:pPr marL="285750" indent="-285750" algn="l">
            <a:buFont typeface="+mj-lt"/>
            <a:buAutoNum type="romanUcPeriod"/>
          </a:pPr>
          <a:r>
            <a:rPr lang="en-GB" sz="1100" b="0" u="none" baseline="0">
              <a:solidFill>
                <a:schemeClr val="tx1"/>
              </a:solidFill>
              <a:latin typeface="+mn-lt"/>
              <a:ea typeface="+mn-ea"/>
              <a:cs typeface="+mn-cs"/>
            </a:rPr>
            <a:t>Three.</a:t>
          </a:r>
        </a:p>
        <a:p>
          <a:pPr marL="285750" indent="-285750" algn="l">
            <a:buFont typeface="+mj-lt"/>
            <a:buAutoNum type="romanUcPeriod"/>
          </a:pPr>
          <a:r>
            <a:rPr lang="en-GB" sz="1100" b="0" u="none" baseline="0">
              <a:solidFill>
                <a:schemeClr val="tx1"/>
              </a:solidFill>
              <a:latin typeface="+mn-lt"/>
              <a:ea typeface="+mn-ea"/>
              <a:cs typeface="+mn-cs"/>
            </a:rPr>
            <a:t>Four.</a:t>
          </a:r>
        </a:p>
        <a:p>
          <a:pPr marL="285750" indent="-285750" algn="l">
            <a:buFont typeface="+mj-lt"/>
            <a:buAutoNum type="romanUcPeriod"/>
          </a:pPr>
          <a:r>
            <a:rPr lang="en-GB" sz="1100" b="0" u="none" baseline="0">
              <a:solidFill>
                <a:schemeClr val="tx1"/>
              </a:solidFill>
              <a:latin typeface="+mn-lt"/>
              <a:ea typeface="+mn-ea"/>
              <a:cs typeface="+mn-cs"/>
            </a:rPr>
            <a:t>Five.</a:t>
          </a:r>
        </a:p>
        <a:p>
          <a:pPr marL="285750" indent="-285750" algn="l">
            <a:buFont typeface="+mj-lt"/>
            <a:buAutoNum type="romanUcPeriod"/>
          </a:pPr>
          <a:r>
            <a:rPr lang="en-GB" sz="1100" b="0" u="none" baseline="0">
              <a:solidFill>
                <a:schemeClr val="tx1"/>
              </a:solidFill>
              <a:latin typeface="+mn-lt"/>
              <a:ea typeface="+mn-ea"/>
              <a:cs typeface="+mn-cs"/>
            </a:rPr>
            <a:t>Six.</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How can I make someone else happy right now?</a:t>
          </a:r>
        </a:p>
        <a:p>
          <a:pPr marL="0" indent="0" algn="l"/>
          <a:r>
            <a:rPr lang="en-GB" sz="1100" b="0" u="none" baseline="0">
              <a:solidFill>
                <a:schemeClr val="tx1"/>
              </a:solidFill>
              <a:latin typeface="+mn-lt"/>
              <a:ea typeface="+mn-ea"/>
              <a:cs typeface="+mn-cs"/>
            </a:rPr>
            <a:t>Answer.</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What's something in my immediate environment that I have never noticed?</a:t>
          </a:r>
        </a:p>
        <a:p>
          <a:pPr marL="0" indent="0" algn="l"/>
          <a:r>
            <a:rPr lang="en-GB" sz="1100" b="0" u="none" baseline="0">
              <a:solidFill>
                <a:schemeClr val="tx1"/>
              </a:solidFill>
              <a:latin typeface="+mn-lt"/>
              <a:ea typeface="+mn-ea"/>
              <a:cs typeface="+mn-cs"/>
            </a:rPr>
            <a:t>Answer.</a:t>
          </a:r>
        </a:p>
        <a:p>
          <a:pPr marL="0" indent="0"/>
          <a:endParaRPr lang="en-GB" sz="1100" b="0" u="none" baseline="0">
            <a:solidFill>
              <a:schemeClr val="tx1"/>
            </a:solidFill>
            <a:latin typeface="+mn-lt"/>
            <a:ea typeface="+mn-ea"/>
            <a:cs typeface="+mn-cs"/>
          </a:endParaRPr>
        </a:p>
      </xdr:txBody>
    </xdr:sp>
    <xdr:clientData fLocksWithSheet="0"/>
  </xdr:twoCellAnchor>
  <xdr:twoCellAnchor>
    <xdr:from>
      <xdr:col>3</xdr:col>
      <xdr:colOff>0</xdr:colOff>
      <xdr:row>70</xdr:row>
      <xdr:rowOff>1350</xdr:rowOff>
    </xdr:from>
    <xdr:to>
      <xdr:col>20</xdr:col>
      <xdr:colOff>1800</xdr:colOff>
      <xdr:row>73</xdr:row>
      <xdr:rowOff>2700</xdr:rowOff>
    </xdr:to>
    <xdr:sp macro="" textlink="" fLocksText="0">
      <xdr:nvSpPr>
        <xdr:cNvPr id="34" name="TextBox 33">
          <a:extLst>
            <a:ext uri="{FF2B5EF4-FFF2-40B4-BE49-F238E27FC236}">
              <a16:creationId xmlns:a16="http://schemas.microsoft.com/office/drawing/2014/main" id="{DF386EBE-8452-43CD-8982-BB0B5000089E}"/>
            </a:ext>
          </a:extLst>
        </xdr:cNvPr>
        <xdr:cNvSpPr txBox="1"/>
      </xdr:nvSpPr>
      <xdr:spPr>
        <a:xfrm>
          <a:off x="685800" y="1466985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JOURNALLING FOR DAILY REFLECTIONS</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pPr marL="0" indent="0" algn="l"/>
          <a:endParaRPr lang="en-GB" sz="1100" b="0" u="none" baseline="0">
            <a:solidFill>
              <a:schemeClr val="tx1"/>
            </a:solidFill>
            <a:latin typeface="+mn-lt"/>
            <a:ea typeface="+mn-ea"/>
            <a:cs typeface="+mn-cs"/>
          </a:endParaRPr>
        </a:p>
        <a:p>
          <a:pPr marL="0" indent="0" algn="l"/>
          <a:r>
            <a:rPr lang="en-GB" sz="1100" b="0" i="1" u="none" baseline="0">
              <a:solidFill>
                <a:schemeClr val="tx1"/>
              </a:solidFill>
              <a:latin typeface="+mn-lt"/>
              <a:ea typeface="+mn-ea"/>
              <a:cs typeface="+mn-cs"/>
            </a:rPr>
            <a:t>[based on video by struthless aka Campbell Walker]</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What has excited me? </a:t>
          </a:r>
        </a:p>
        <a:p>
          <a:pPr marL="0" indent="0" algn="l"/>
          <a:r>
            <a:rPr lang="en-GB" sz="1100" b="0" u="none" baseline="0">
              <a:solidFill>
                <a:schemeClr val="tx1"/>
              </a:solidFill>
              <a:latin typeface="+mn-lt"/>
              <a:ea typeface="+mn-ea"/>
              <a:cs typeface="+mn-cs"/>
            </a:rPr>
            <a:t>Answer.</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What has drained me of energy?</a:t>
          </a:r>
        </a:p>
        <a:p>
          <a:pPr marL="0" indent="0" algn="l"/>
          <a:r>
            <a:rPr lang="en-GB" sz="1100" b="0" u="none" baseline="0">
              <a:solidFill>
                <a:schemeClr val="tx1"/>
              </a:solidFill>
              <a:latin typeface="+mn-lt"/>
              <a:ea typeface="+mn-ea"/>
              <a:cs typeface="+mn-cs"/>
            </a:rPr>
            <a:t>Answer.</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What have I learnt?</a:t>
          </a:r>
        </a:p>
        <a:p>
          <a:pPr marL="0" indent="0" algn="l"/>
          <a:r>
            <a:rPr lang="en-GB" sz="1100" b="0" u="none" baseline="0">
              <a:solidFill>
                <a:schemeClr val="tx1"/>
              </a:solidFill>
              <a:latin typeface="+mn-lt"/>
              <a:ea typeface="+mn-ea"/>
              <a:cs typeface="+mn-cs"/>
            </a:rPr>
            <a:t>Answer.</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What are ten things I'm grateful for?</a:t>
          </a:r>
        </a:p>
        <a:p>
          <a:pPr marL="0" indent="0" algn="l"/>
          <a:r>
            <a:rPr lang="en-GB" sz="1100" b="0" u="none" baseline="0">
              <a:solidFill>
                <a:schemeClr val="tx1"/>
              </a:solidFill>
              <a:latin typeface="+mn-lt"/>
              <a:ea typeface="+mn-ea"/>
              <a:cs typeface="+mn-cs"/>
            </a:rPr>
            <a:t>Answer.</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How have I pushed the needle forward?</a:t>
          </a:r>
        </a:p>
        <a:p>
          <a:pPr marL="0" indent="0"/>
          <a:r>
            <a:rPr lang="en-GB" sz="1100" b="0" u="none" baseline="0">
              <a:solidFill>
                <a:schemeClr val="tx1"/>
              </a:solidFill>
              <a:latin typeface="+mn-lt"/>
              <a:ea typeface="+mn-ea"/>
              <a:cs typeface="+mn-cs"/>
            </a:rPr>
            <a:t>Answer.</a:t>
          </a:r>
        </a:p>
        <a:p>
          <a:pPr marL="0" indent="0"/>
          <a:endParaRPr lang="en-GB" sz="1100" b="0" u="none" baseline="0">
            <a:solidFill>
              <a:schemeClr val="tx1"/>
            </a:solidFill>
            <a:latin typeface="+mn-lt"/>
            <a:ea typeface="+mn-ea"/>
            <a:cs typeface="+mn-cs"/>
          </a:endParaRPr>
        </a:p>
        <a:p>
          <a:pPr marL="0" indent="0"/>
          <a:endParaRPr lang="en-GB" sz="1100" b="0" u="none" baseline="0">
            <a:solidFill>
              <a:schemeClr val="tx1"/>
            </a:solidFill>
            <a:latin typeface="+mn-lt"/>
            <a:ea typeface="+mn-ea"/>
            <a:cs typeface="+mn-cs"/>
          </a:endParaRPr>
        </a:p>
      </xdr:txBody>
    </xdr:sp>
    <xdr:clientData fLocksWithSheet="0"/>
  </xdr:twoCellAnchor>
  <xdr:twoCellAnchor>
    <xdr:from>
      <xdr:col>3</xdr:col>
      <xdr:colOff>0</xdr:colOff>
      <xdr:row>79</xdr:row>
      <xdr:rowOff>1350</xdr:rowOff>
    </xdr:from>
    <xdr:to>
      <xdr:col>20</xdr:col>
      <xdr:colOff>1800</xdr:colOff>
      <xdr:row>82</xdr:row>
      <xdr:rowOff>2700</xdr:rowOff>
    </xdr:to>
    <xdr:sp macro="" textlink="" fLocksText="0">
      <xdr:nvSpPr>
        <xdr:cNvPr id="38" name="TextBox 37">
          <a:extLst>
            <a:ext uri="{FF2B5EF4-FFF2-40B4-BE49-F238E27FC236}">
              <a16:creationId xmlns:a16="http://schemas.microsoft.com/office/drawing/2014/main" id="{43C01C7C-E099-DB96-463E-3339146637D2}"/>
            </a:ext>
          </a:extLst>
        </xdr:cNvPr>
        <xdr:cNvSpPr txBox="1"/>
      </xdr:nvSpPr>
      <xdr:spPr>
        <a:xfrm>
          <a:off x="685800" y="1655580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JOURNALLING FOR A HABITS AND LIFESTYLE AUDIT</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endParaRPr lang="en-GB">
            <a:effectLst/>
          </a:endParaRPr>
        </a:p>
        <a:p>
          <a:r>
            <a:rPr lang="en-GB" sz="1100" b="0" i="1" baseline="0">
              <a:solidFill>
                <a:schemeClr val="tx1"/>
              </a:solidFill>
              <a:effectLst/>
              <a:latin typeface="+mn-lt"/>
              <a:ea typeface="+mn-ea"/>
              <a:cs typeface="+mn-cs"/>
            </a:rPr>
            <a:t>[based on video by struthless aka Campbell Walker]</a:t>
          </a:r>
          <a:endParaRPr lang="en-GB">
            <a:effectLst/>
          </a:endParaRP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Write a list of all habits and frequent activities. </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Thing.</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Next.</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Etc.</a:t>
          </a:r>
        </a:p>
        <a:p>
          <a:pPr marL="171450" indent="-171450" algn="l">
            <a:buFont typeface="Arial" panose="020B0604020202020204" pitchFamily="34" charset="0"/>
            <a:buChar char="•"/>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Now for each of the above add:</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1, if the thing gives a point to being the best version of myself.</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0, if the thing gives a point to being the worst version of myself.</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Count up the points:</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Total 1s = </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Total 0s =</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can I summarise from the above totals?</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xdr:txBody>
    </xdr:sp>
    <xdr:clientData fLocksWithSheet="0"/>
  </xdr:twoCellAnchor>
  <xdr:twoCellAnchor>
    <xdr:from>
      <xdr:col>3</xdr:col>
      <xdr:colOff>0</xdr:colOff>
      <xdr:row>82</xdr:row>
      <xdr:rowOff>1350</xdr:rowOff>
    </xdr:from>
    <xdr:to>
      <xdr:col>20</xdr:col>
      <xdr:colOff>1800</xdr:colOff>
      <xdr:row>85</xdr:row>
      <xdr:rowOff>2700</xdr:rowOff>
    </xdr:to>
    <xdr:sp macro="" textlink="" fLocksText="0">
      <xdr:nvSpPr>
        <xdr:cNvPr id="39" name="TextBox 38">
          <a:extLst>
            <a:ext uri="{FF2B5EF4-FFF2-40B4-BE49-F238E27FC236}">
              <a16:creationId xmlns:a16="http://schemas.microsoft.com/office/drawing/2014/main" id="{703F133C-2D5A-8D9F-B358-75D3DA431B1F}"/>
            </a:ext>
          </a:extLst>
        </xdr:cNvPr>
        <xdr:cNvSpPr txBox="1"/>
      </xdr:nvSpPr>
      <xdr:spPr>
        <a:xfrm>
          <a:off x="685800" y="1718445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JOURNALLING FOR WHEN BAD THINGS HAPPEN</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endParaRPr lang="en-GB">
            <a:effectLst/>
          </a:endParaRPr>
        </a:p>
        <a:p>
          <a:r>
            <a:rPr lang="en-GB" sz="1100" b="0" i="1" baseline="0">
              <a:solidFill>
                <a:schemeClr val="tx1"/>
              </a:solidFill>
              <a:effectLst/>
              <a:latin typeface="+mn-lt"/>
              <a:ea typeface="+mn-ea"/>
              <a:cs typeface="+mn-cs"/>
            </a:rPr>
            <a:t>[based on video by struthless aka Campbell Walker]</a:t>
          </a:r>
          <a:endParaRPr lang="en-GB">
            <a:effectLst/>
          </a:endParaRP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What happened objectively? </a:t>
          </a:r>
        </a:p>
        <a:p>
          <a:pPr marL="0" indent="0" algn="l"/>
          <a:r>
            <a:rPr lang="en-GB" sz="1100" b="0" u="none" baseline="0">
              <a:solidFill>
                <a:schemeClr val="tx1"/>
              </a:solidFill>
              <a:latin typeface="+mn-lt"/>
              <a:ea typeface="+mn-ea"/>
              <a:cs typeface="+mn-cs"/>
            </a:rPr>
            <a:t>Answer.</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What did I make it mean? </a:t>
          </a:r>
        </a:p>
        <a:p>
          <a:pPr marL="0" indent="0" algn="l"/>
          <a:r>
            <a:rPr lang="en-GB" sz="1100" b="0" u="none" baseline="0">
              <a:solidFill>
                <a:schemeClr val="tx1"/>
              </a:solidFill>
              <a:latin typeface="+mn-lt"/>
              <a:ea typeface="+mn-ea"/>
              <a:cs typeface="+mn-cs"/>
            </a:rPr>
            <a:t>Answer.</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How would I comfort a friend I loved if this happened to them?</a:t>
          </a:r>
        </a:p>
        <a:p>
          <a:pPr marL="0" indent="0" algn="l"/>
          <a:r>
            <a:rPr lang="en-GB" sz="1100" b="0" u="none" baseline="0">
              <a:solidFill>
                <a:schemeClr val="tx1"/>
              </a:solidFill>
              <a:latin typeface="+mn-lt"/>
              <a:ea typeface="+mn-ea"/>
              <a:cs typeface="+mn-cs"/>
            </a:rPr>
            <a:t>Answer.</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How is this the best thing that has ever happened to me?</a:t>
          </a:r>
        </a:p>
        <a:p>
          <a:pPr marL="0" indent="0"/>
          <a:r>
            <a:rPr lang="en-GB" sz="1100" b="0" u="none" baseline="0">
              <a:solidFill>
                <a:schemeClr val="tx1"/>
              </a:solidFill>
              <a:latin typeface="+mn-lt"/>
              <a:ea typeface="+mn-ea"/>
              <a:cs typeface="+mn-cs"/>
            </a:rPr>
            <a:t>Answer.</a:t>
          </a:r>
        </a:p>
      </xdr:txBody>
    </xdr:sp>
    <xdr:clientData fLocksWithSheet="0"/>
  </xdr:twoCellAnchor>
  <xdr:twoCellAnchor>
    <xdr:from>
      <xdr:col>3</xdr:col>
      <xdr:colOff>0</xdr:colOff>
      <xdr:row>85</xdr:row>
      <xdr:rowOff>1350</xdr:rowOff>
    </xdr:from>
    <xdr:to>
      <xdr:col>20</xdr:col>
      <xdr:colOff>1800</xdr:colOff>
      <xdr:row>88</xdr:row>
      <xdr:rowOff>2700</xdr:rowOff>
    </xdr:to>
    <xdr:sp macro="" textlink="" fLocksText="0">
      <xdr:nvSpPr>
        <xdr:cNvPr id="40" name="TextBox 39">
          <a:extLst>
            <a:ext uri="{FF2B5EF4-FFF2-40B4-BE49-F238E27FC236}">
              <a16:creationId xmlns:a16="http://schemas.microsoft.com/office/drawing/2014/main" id="{40617A26-CE94-A114-B6BD-E49E4FFC6E81}"/>
            </a:ext>
          </a:extLst>
        </xdr:cNvPr>
        <xdr:cNvSpPr txBox="1"/>
      </xdr:nvSpPr>
      <xdr:spPr>
        <a:xfrm>
          <a:off x="685800" y="1781310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JOURNALLING FOR ANXIETIES</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endParaRPr lang="en-GB">
            <a:effectLst/>
          </a:endParaRPr>
        </a:p>
        <a:p>
          <a:r>
            <a:rPr lang="en-GB" sz="1100" b="0" i="1" baseline="0">
              <a:solidFill>
                <a:schemeClr val="tx1"/>
              </a:solidFill>
              <a:effectLst/>
              <a:latin typeface="+mn-lt"/>
              <a:ea typeface="+mn-ea"/>
              <a:cs typeface="+mn-cs"/>
            </a:rPr>
            <a:t>[based on video by struthless aka Campbell Walker]</a:t>
          </a:r>
          <a:endParaRPr lang="en-GB">
            <a:effectLst/>
          </a:endParaRPr>
        </a:p>
        <a:p>
          <a:pPr marL="0" indent="0" algn="l"/>
          <a:endParaRPr lang="en-GB" sz="1100" b="0" u="none" baseline="0">
            <a:solidFill>
              <a:schemeClr val="tx1"/>
            </a:solidFill>
            <a:latin typeface="+mn-lt"/>
            <a:ea typeface="+mn-ea"/>
            <a:cs typeface="+mn-cs"/>
          </a:endParaRPr>
        </a:p>
        <a:p>
          <a:pPr marL="0" indent="0"/>
          <a:r>
            <a:rPr lang="en-GB" sz="1100" b="1" u="none" baseline="0">
              <a:solidFill>
                <a:schemeClr val="tx1"/>
              </a:solidFill>
              <a:latin typeface="+mn-lt"/>
              <a:ea typeface="+mn-ea"/>
              <a:cs typeface="+mn-cs"/>
            </a:rPr>
            <a:t>Write a list of my fears.</a:t>
          </a:r>
        </a:p>
        <a:p>
          <a:pPr marL="171450" indent="-171450">
            <a:buFont typeface="Arial" panose="020B0604020202020204" pitchFamily="34" charset="0"/>
            <a:buChar char="•"/>
          </a:pPr>
          <a:r>
            <a:rPr lang="en-GB" sz="1100" b="0" u="none" baseline="0">
              <a:solidFill>
                <a:schemeClr val="tx1"/>
              </a:solidFill>
              <a:latin typeface="+mn-lt"/>
              <a:ea typeface="+mn-ea"/>
              <a:cs typeface="+mn-cs"/>
            </a:rPr>
            <a:t>First.</a:t>
          </a:r>
        </a:p>
        <a:p>
          <a:pPr marL="171450" indent="-171450">
            <a:buFont typeface="Arial" panose="020B0604020202020204" pitchFamily="34" charset="0"/>
            <a:buChar char="•"/>
          </a:pPr>
          <a:r>
            <a:rPr lang="en-GB" sz="1100" b="0" u="none" baseline="0">
              <a:solidFill>
                <a:schemeClr val="tx1"/>
              </a:solidFill>
              <a:latin typeface="+mn-lt"/>
              <a:ea typeface="+mn-ea"/>
              <a:cs typeface="+mn-cs"/>
            </a:rPr>
            <a:t>Next.</a:t>
          </a:r>
        </a:p>
        <a:p>
          <a:pPr marL="171450" indent="-171450">
            <a:buFont typeface="Arial" panose="020B0604020202020204" pitchFamily="34" charset="0"/>
            <a:buChar char="•"/>
          </a:pPr>
          <a:r>
            <a:rPr lang="en-GB" sz="1100" b="0" u="none" baseline="0">
              <a:solidFill>
                <a:schemeClr val="tx1"/>
              </a:solidFill>
              <a:latin typeface="+mn-lt"/>
              <a:ea typeface="+mn-ea"/>
              <a:cs typeface="+mn-cs"/>
            </a:rPr>
            <a:t>Etc.</a:t>
          </a:r>
        </a:p>
        <a:p>
          <a:pPr marL="0" indent="0"/>
          <a:endParaRPr lang="en-GB" sz="1100" b="0" u="none" baseline="0">
            <a:solidFill>
              <a:schemeClr val="tx1"/>
            </a:solidFill>
            <a:latin typeface="+mn-lt"/>
            <a:ea typeface="+mn-ea"/>
            <a:cs typeface="+mn-cs"/>
          </a:endParaRPr>
        </a:p>
        <a:p>
          <a:pPr marL="0" indent="0"/>
          <a:r>
            <a:rPr lang="en-GB" sz="1100" b="1" u="none" baseline="0">
              <a:solidFill>
                <a:schemeClr val="tx1"/>
              </a:solidFill>
              <a:latin typeface="+mn-lt"/>
              <a:ea typeface="+mn-ea"/>
              <a:cs typeface="+mn-cs"/>
            </a:rPr>
            <a:t>For each of the above, add a possible fix.</a:t>
          </a:r>
        </a:p>
        <a:p>
          <a:pPr marL="0" indent="0"/>
          <a:endParaRPr lang="en-GB" sz="1100" b="1" u="none" baseline="0">
            <a:solidFill>
              <a:schemeClr val="tx1"/>
            </a:solidFill>
            <a:latin typeface="+mn-lt"/>
            <a:ea typeface="+mn-ea"/>
            <a:cs typeface="+mn-cs"/>
          </a:endParaRPr>
        </a:p>
        <a:p>
          <a:pPr marL="0" indent="0"/>
          <a:r>
            <a:rPr lang="en-GB" sz="1100" b="1" u="none" baseline="0">
              <a:solidFill>
                <a:schemeClr val="tx1"/>
              </a:solidFill>
              <a:latin typeface="+mn-lt"/>
              <a:ea typeface="+mn-ea"/>
              <a:cs typeface="+mn-cs"/>
            </a:rPr>
            <a:t>Finally, for each thing write the actual outcome I would bet on (if I had to).</a:t>
          </a:r>
        </a:p>
      </xdr:txBody>
    </xdr:sp>
    <xdr:clientData fLocksWithSheet="0"/>
  </xdr:twoCellAnchor>
  <xdr:twoCellAnchor>
    <xdr:from>
      <xdr:col>3</xdr:col>
      <xdr:colOff>0</xdr:colOff>
      <xdr:row>88</xdr:row>
      <xdr:rowOff>0</xdr:rowOff>
    </xdr:from>
    <xdr:to>
      <xdr:col>20</xdr:col>
      <xdr:colOff>1800</xdr:colOff>
      <xdr:row>91</xdr:row>
      <xdr:rowOff>1350</xdr:rowOff>
    </xdr:to>
    <xdr:sp macro="" textlink="" fLocksText="0">
      <xdr:nvSpPr>
        <xdr:cNvPr id="41" name="TextBox 40">
          <a:extLst>
            <a:ext uri="{FF2B5EF4-FFF2-40B4-BE49-F238E27FC236}">
              <a16:creationId xmlns:a16="http://schemas.microsoft.com/office/drawing/2014/main" id="{8D0E2379-233E-9185-540E-1D2FEFEF35D2}"/>
            </a:ext>
          </a:extLst>
        </xdr:cNvPr>
        <xdr:cNvSpPr txBox="1"/>
      </xdr:nvSpPr>
      <xdr:spPr>
        <a:xfrm>
          <a:off x="685800" y="1844040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JOURNALLING FOR YOUR TO-DO LIST AND DIRECTION</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endParaRPr lang="en-GB">
            <a:effectLst/>
          </a:endParaRPr>
        </a:p>
        <a:p>
          <a:r>
            <a:rPr lang="en-GB" sz="1100" b="0" i="1" baseline="0">
              <a:solidFill>
                <a:schemeClr val="tx1"/>
              </a:solidFill>
              <a:effectLst/>
              <a:latin typeface="+mn-lt"/>
              <a:ea typeface="+mn-ea"/>
              <a:cs typeface="+mn-cs"/>
            </a:rPr>
            <a:t>[based on video by struthless aka Campbell Walker]</a:t>
          </a:r>
          <a:endParaRPr lang="en-GB">
            <a:effectLst/>
          </a:endParaRP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List all the various obligations I have and all things I'd like to do right now.</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First.</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Next.</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Etc.</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Which of the above is non-negotiable? </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Thing.</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Which of the above is exciting? </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Thing. </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Which of the above, if done, would make everything else easier? </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Thing. </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Which of the above, if the opportunity was taken away from me, would I fight to get back?</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Thing.</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Which 20% of activities listed above are producing 80% of the results?</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Thing. </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Now make a new much shorter list of the things that stand-out as most important and valuable to me.</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First.</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Next.</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Etc.</a:t>
          </a:r>
        </a:p>
        <a:p>
          <a:pPr marL="0" indent="0"/>
          <a:endParaRPr lang="en-GB" sz="1100" b="0" u="none" baseline="0">
            <a:solidFill>
              <a:schemeClr val="tx1"/>
            </a:solidFill>
            <a:latin typeface="+mn-lt"/>
            <a:ea typeface="+mn-ea"/>
            <a:cs typeface="+mn-cs"/>
          </a:endParaRPr>
        </a:p>
      </xdr:txBody>
    </xdr:sp>
    <xdr:clientData fLocksWithSheet="0"/>
  </xdr:twoCellAnchor>
  <xdr:twoCellAnchor>
    <xdr:from>
      <xdr:col>3</xdr:col>
      <xdr:colOff>0</xdr:colOff>
      <xdr:row>91</xdr:row>
      <xdr:rowOff>1350</xdr:rowOff>
    </xdr:from>
    <xdr:to>
      <xdr:col>20</xdr:col>
      <xdr:colOff>1800</xdr:colOff>
      <xdr:row>94</xdr:row>
      <xdr:rowOff>2700</xdr:rowOff>
    </xdr:to>
    <xdr:sp macro="" textlink="" fLocksText="0">
      <xdr:nvSpPr>
        <xdr:cNvPr id="43" name="TextBox 42">
          <a:extLst>
            <a:ext uri="{FF2B5EF4-FFF2-40B4-BE49-F238E27FC236}">
              <a16:creationId xmlns:a16="http://schemas.microsoft.com/office/drawing/2014/main" id="{C22F2A0F-D1E1-9B39-2047-460BCE225A01}"/>
            </a:ext>
          </a:extLst>
        </xdr:cNvPr>
        <xdr:cNvSpPr txBox="1"/>
      </xdr:nvSpPr>
      <xdr:spPr>
        <a:xfrm>
          <a:off x="685800" y="1907040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JOURNALLING FOR DECISION MAKING</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endParaRPr lang="en-GB">
            <a:effectLst/>
          </a:endParaRPr>
        </a:p>
        <a:p>
          <a:r>
            <a:rPr lang="en-GB" sz="1100" b="0" i="1" baseline="0">
              <a:solidFill>
                <a:schemeClr val="tx1"/>
              </a:solidFill>
              <a:effectLst/>
              <a:latin typeface="+mn-lt"/>
              <a:ea typeface="+mn-ea"/>
              <a:cs typeface="+mn-cs"/>
            </a:rPr>
            <a:t>[based on video by struthless aka Campbell Walker]</a:t>
          </a:r>
          <a:endParaRPr lang="en-GB">
            <a:effectLst/>
          </a:endParaRP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A problem well-defined is a problem half solved.</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What is the decision/problem?</a:t>
          </a:r>
        </a:p>
        <a:p>
          <a:pPr marL="0" indent="0" algn="l"/>
          <a:r>
            <a:rPr lang="en-GB" sz="1100" b="0" u="none" baseline="0">
              <a:solidFill>
                <a:schemeClr val="tx1"/>
              </a:solidFill>
              <a:latin typeface="+mn-lt"/>
              <a:ea typeface="+mn-ea"/>
              <a:cs typeface="+mn-cs"/>
            </a:rPr>
            <a:t>Answer.</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What are the options?</a:t>
          </a:r>
        </a:p>
        <a:p>
          <a:pPr marL="0" indent="0" algn="l"/>
          <a:r>
            <a:rPr lang="en-GB" sz="1100" b="0" u="none" baseline="0">
              <a:solidFill>
                <a:schemeClr val="tx1"/>
              </a:solidFill>
              <a:latin typeface="+mn-lt"/>
              <a:ea typeface="+mn-ea"/>
              <a:cs typeface="+mn-cs"/>
            </a:rPr>
            <a:t>Answer.</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Are those options mutually exclusive? </a:t>
          </a:r>
        </a:p>
        <a:p>
          <a:pPr marL="0" indent="0" algn="l"/>
          <a:r>
            <a:rPr lang="en-GB" sz="1100" b="0" u="none" baseline="0">
              <a:solidFill>
                <a:schemeClr val="tx1"/>
              </a:solidFill>
              <a:latin typeface="+mn-lt"/>
              <a:ea typeface="+mn-ea"/>
              <a:cs typeface="+mn-cs"/>
            </a:rPr>
            <a:t>Answer.</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If I had to make this decision in 60 seconds, what would I choose?</a:t>
          </a:r>
        </a:p>
        <a:p>
          <a:pPr marL="0" indent="0" algn="l"/>
          <a:r>
            <a:rPr lang="en-GB" sz="1100" b="0" u="none" baseline="0">
              <a:solidFill>
                <a:schemeClr val="tx1"/>
              </a:solidFill>
              <a:latin typeface="+mn-lt"/>
              <a:ea typeface="+mn-ea"/>
              <a:cs typeface="+mn-cs"/>
            </a:rPr>
            <a:t>Answer.</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And then, could I live with the above outcome?</a:t>
          </a:r>
        </a:p>
        <a:p>
          <a:pPr marL="0" indent="0" algn="l"/>
          <a:r>
            <a:rPr lang="en-GB" sz="1100" b="0" u="none" baseline="0">
              <a:solidFill>
                <a:schemeClr val="tx1"/>
              </a:solidFill>
              <a:latin typeface="+mn-lt"/>
              <a:ea typeface="+mn-ea"/>
              <a:cs typeface="+mn-cs"/>
            </a:rPr>
            <a:t>Answer.</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What would this look like if it were easy?</a:t>
          </a:r>
        </a:p>
        <a:p>
          <a:pPr marL="0" indent="0" algn="l"/>
          <a:r>
            <a:rPr lang="en-GB" sz="1100" b="0" u="none" baseline="0">
              <a:solidFill>
                <a:schemeClr val="tx1"/>
              </a:solidFill>
              <a:latin typeface="+mn-lt"/>
              <a:ea typeface="+mn-ea"/>
              <a:cs typeface="+mn-cs"/>
            </a:rPr>
            <a:t>Answer.</a:t>
          </a:r>
        </a:p>
        <a:p>
          <a:pPr marL="0" indent="0"/>
          <a:endParaRPr lang="en-GB" sz="1100" b="0" u="none" baseline="0">
            <a:solidFill>
              <a:schemeClr val="tx1"/>
            </a:solidFill>
            <a:latin typeface="+mn-lt"/>
            <a:ea typeface="+mn-ea"/>
            <a:cs typeface="+mn-cs"/>
          </a:endParaRPr>
        </a:p>
      </xdr:txBody>
    </xdr:sp>
    <xdr:clientData fLocksWithSheet="0"/>
  </xdr:twoCellAnchor>
  <xdr:twoCellAnchor>
    <xdr:from>
      <xdr:col>3</xdr:col>
      <xdr:colOff>0</xdr:colOff>
      <xdr:row>94</xdr:row>
      <xdr:rowOff>1350</xdr:rowOff>
    </xdr:from>
    <xdr:to>
      <xdr:col>20</xdr:col>
      <xdr:colOff>1800</xdr:colOff>
      <xdr:row>97</xdr:row>
      <xdr:rowOff>2700</xdr:rowOff>
    </xdr:to>
    <xdr:sp macro="" textlink="" fLocksText="0">
      <xdr:nvSpPr>
        <xdr:cNvPr id="44" name="TextBox 43">
          <a:extLst>
            <a:ext uri="{FF2B5EF4-FFF2-40B4-BE49-F238E27FC236}">
              <a16:creationId xmlns:a16="http://schemas.microsoft.com/office/drawing/2014/main" id="{7D00569F-03D6-4DDA-1479-70A7B070C899}"/>
            </a:ext>
          </a:extLst>
        </xdr:cNvPr>
        <xdr:cNvSpPr txBox="1"/>
      </xdr:nvSpPr>
      <xdr:spPr>
        <a:xfrm>
          <a:off x="685800" y="1969905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JOURNALLING FOR DIRECTION IN LIFE</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endParaRPr lang="en-GB">
            <a:effectLst/>
          </a:endParaRPr>
        </a:p>
        <a:p>
          <a:r>
            <a:rPr lang="en-GB" sz="1100" b="0" i="1" baseline="0">
              <a:solidFill>
                <a:schemeClr val="tx1"/>
              </a:solidFill>
              <a:effectLst/>
              <a:latin typeface="+mn-lt"/>
              <a:ea typeface="+mn-ea"/>
              <a:cs typeface="+mn-cs"/>
            </a:rPr>
            <a:t>[based on video by struthless aka Campbell Walker]</a:t>
          </a:r>
          <a:endParaRPr lang="en-GB">
            <a:effectLst/>
          </a:endParaRP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Consider the various areas of my life: </a:t>
          </a:r>
        </a:p>
        <a:p>
          <a:pPr marL="0" indent="0" algn="l"/>
          <a:r>
            <a:rPr lang="en-GB" sz="1100" b="1" u="none" baseline="0">
              <a:solidFill>
                <a:schemeClr val="tx1"/>
              </a:solidFill>
              <a:latin typeface="+mn-lt"/>
              <a:ea typeface="+mn-ea"/>
              <a:cs typeface="+mn-cs"/>
            </a:rPr>
            <a:t>family, friends, work, fitness, lifestyle, bucket list, etc.</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Then ask: </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What did I want 5 years ago? </a:t>
          </a:r>
        </a:p>
        <a:p>
          <a:pPr marL="0" indent="0" algn="l"/>
          <a:r>
            <a:rPr lang="en-GB" sz="1100" b="0" u="none" baseline="0">
              <a:solidFill>
                <a:schemeClr val="tx1"/>
              </a:solidFill>
              <a:latin typeface="+mn-lt"/>
              <a:ea typeface="+mn-ea"/>
              <a:cs typeface="+mn-cs"/>
            </a:rPr>
            <a:t>Answer.</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What do I want now? </a:t>
          </a:r>
        </a:p>
        <a:p>
          <a:pPr marL="0" indent="0" algn="l"/>
          <a:r>
            <a:rPr lang="en-GB" sz="1100" b="0" u="none" baseline="0">
              <a:solidFill>
                <a:schemeClr val="tx1"/>
              </a:solidFill>
              <a:latin typeface="+mn-lt"/>
              <a:ea typeface="+mn-ea"/>
              <a:cs typeface="+mn-cs"/>
            </a:rPr>
            <a:t>Answer.</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What do I think I'll want in 5 years time? </a:t>
          </a:r>
        </a:p>
        <a:p>
          <a:pPr marL="0" indent="0" algn="l"/>
          <a:r>
            <a:rPr lang="en-GB" sz="1100" b="0" u="none" baseline="0">
              <a:solidFill>
                <a:schemeClr val="tx1"/>
              </a:solidFill>
              <a:latin typeface="+mn-lt"/>
              <a:ea typeface="+mn-ea"/>
              <a:cs typeface="+mn-cs"/>
            </a:rPr>
            <a:t>Answer.</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If I knew I couldn't fail, what would I do?</a:t>
          </a:r>
        </a:p>
        <a:p>
          <a:pPr marL="0" indent="0" algn="l"/>
          <a:r>
            <a:rPr lang="en-GB" sz="1100" b="0" u="none" baseline="0">
              <a:solidFill>
                <a:schemeClr val="tx1"/>
              </a:solidFill>
              <a:latin typeface="+mn-lt"/>
              <a:ea typeface="+mn-ea"/>
              <a:cs typeface="+mn-cs"/>
            </a:rPr>
            <a:t>Answer.</a:t>
          </a:r>
        </a:p>
        <a:p>
          <a:pPr marL="0" indent="0"/>
          <a:endParaRPr lang="en-GB" sz="1100" b="0" u="none" baseline="0">
            <a:solidFill>
              <a:schemeClr val="tx1"/>
            </a:solidFill>
            <a:latin typeface="+mn-lt"/>
            <a:ea typeface="+mn-ea"/>
            <a:cs typeface="+mn-cs"/>
          </a:endParaRPr>
        </a:p>
      </xdr:txBody>
    </xdr:sp>
    <xdr:clientData fLocksWithSheet="0"/>
  </xdr:twoCellAnchor>
  <xdr:twoCellAnchor>
    <xdr:from>
      <xdr:col>3</xdr:col>
      <xdr:colOff>0</xdr:colOff>
      <xdr:row>125</xdr:row>
      <xdr:rowOff>1350</xdr:rowOff>
    </xdr:from>
    <xdr:to>
      <xdr:col>20</xdr:col>
      <xdr:colOff>1800</xdr:colOff>
      <xdr:row>128</xdr:row>
      <xdr:rowOff>2700</xdr:rowOff>
    </xdr:to>
    <xdr:sp macro="" textlink="" fLocksText="0">
      <xdr:nvSpPr>
        <xdr:cNvPr id="11" name="TextBox 10">
          <a:extLst>
            <a:ext uri="{FF2B5EF4-FFF2-40B4-BE49-F238E27FC236}">
              <a16:creationId xmlns:a16="http://schemas.microsoft.com/office/drawing/2014/main" id="{F86B1525-F6A7-4555-B87D-8892682CB253}"/>
            </a:ext>
          </a:extLst>
        </xdr:cNvPr>
        <xdr:cNvSpPr txBox="1"/>
      </xdr:nvSpPr>
      <xdr:spPr>
        <a:xfrm>
          <a:off x="685800" y="26195100"/>
          <a:ext cx="3888000" cy="630000"/>
        </a:xfrm>
        <a:prstGeom prst="rect">
          <a:avLst/>
        </a:prstGeom>
        <a:solidFill>
          <a:srgbClr val="FFFFFF">
            <a:alpha val="85098"/>
          </a:srgb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ysClr val="windowText" lastClr="000000"/>
              </a:solidFill>
              <a:latin typeface="+mn-lt"/>
              <a:ea typeface="+mn-ea"/>
              <a:cs typeface="+mn-cs"/>
            </a:rPr>
            <a:t>QUESTIONS ABOUT MOVING INTO ACTION</a:t>
          </a:r>
        </a:p>
        <a:p>
          <a:pPr marL="0" indent="0"/>
          <a:r>
            <a:rPr lang="en-GB" sz="1200" b="0" u="none" baseline="0">
              <a:solidFill>
                <a:sysClr val="windowText" lastClr="000000"/>
              </a:solidFill>
              <a:latin typeface="+mn-lt"/>
              <a:ea typeface="+mn-ea"/>
              <a:cs typeface="+mn-cs"/>
            </a:rPr>
            <a:t>ddd DDdd TT:TT</a:t>
          </a:r>
          <a:endParaRPr lang="en-GB" sz="1200" b="1" u="none" baseline="0">
            <a:solidFill>
              <a:sysClr val="windowText" lastClr="000000"/>
            </a:solidFill>
            <a:latin typeface="+mn-lt"/>
            <a:ea typeface="+mn-ea"/>
            <a:cs typeface="+mn-cs"/>
          </a:endParaRPr>
        </a:p>
        <a:p>
          <a:pPr marL="0" indent="0" algn="l"/>
          <a:r>
            <a:rPr lang="en-GB" sz="1200" b="0" u="none" baseline="0">
              <a:solidFill>
                <a:sysClr val="windowText" lastClr="000000"/>
              </a:solidFill>
              <a:latin typeface="+mn-lt"/>
              <a:ea typeface="+mn-ea"/>
              <a:cs typeface="+mn-cs"/>
            </a:rPr>
            <a:t>_________________________________________________</a:t>
          </a: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If I looked exactly how I wanted to look physically right now, what exercise would I want to be doing daily and weekly?</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If I had all the money I needed, how would I choose to spend my days and keep myself occupied, or not?</a:t>
          </a:r>
        </a:p>
        <a:p>
          <a:pPr marL="0" indent="0" algn="l"/>
          <a:r>
            <a:rPr lang="en-GB" sz="1100" b="0" u="none" baseline="0">
              <a:solidFill>
                <a:sysClr val="windowText" lastClr="000000"/>
              </a:solidFill>
              <a:latin typeface="+mn-lt"/>
              <a:ea typeface="+mn-ea"/>
              <a:cs typeface="+mn-cs"/>
            </a:rPr>
            <a:t>Answer.</a:t>
          </a: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What are my strengths? - How often am I using them? - How could I use them more?</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What does happiness mean to me? - What is my philosophy on it?</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Am I procrastinating about anything (or everything)? </a:t>
          </a:r>
        </a:p>
        <a:p>
          <a:pPr marL="0" indent="0" algn="l"/>
          <a:r>
            <a:rPr lang="en-GB" sz="1100" b="1" u="none" baseline="0">
              <a:solidFill>
                <a:sysClr val="windowText" lastClr="000000"/>
              </a:solidFill>
              <a:latin typeface="+mn-lt"/>
              <a:ea typeface="+mn-ea"/>
              <a:cs typeface="+mn-cs"/>
            </a:rPr>
            <a:t>- Is this because of a fear of failure barrier?</a:t>
          </a:r>
        </a:p>
        <a:p>
          <a:pPr marL="0" indent="0" algn="l"/>
          <a:r>
            <a:rPr lang="en-GB" sz="1100" b="1" u="none" baseline="0">
              <a:solidFill>
                <a:sysClr val="windowText" lastClr="000000"/>
              </a:solidFill>
              <a:latin typeface="+mn-lt"/>
              <a:ea typeface="+mn-ea"/>
              <a:cs typeface="+mn-cs"/>
            </a:rPr>
            <a:t>- Is this because of a fear of succes barrier?</a:t>
          </a:r>
        </a:p>
        <a:p>
          <a:pPr marL="0" indent="0" algn="l"/>
          <a:r>
            <a:rPr lang="en-GB" sz="1100" b="1" u="none" baseline="0">
              <a:solidFill>
                <a:sysClr val="windowText" lastClr="000000"/>
              </a:solidFill>
              <a:latin typeface="+mn-lt"/>
              <a:ea typeface="+mn-ea"/>
              <a:cs typeface="+mn-cs"/>
            </a:rPr>
            <a:t>- Is this because of an overwhelm barrier?</a:t>
          </a:r>
        </a:p>
        <a:p>
          <a:r>
            <a:rPr lang="en-GB" sz="1100" b="1" u="none" baseline="0">
              <a:solidFill>
                <a:sysClr val="windowText" lastClr="000000"/>
              </a:solidFill>
              <a:latin typeface="+mn-lt"/>
              <a:ea typeface="+mn-ea"/>
              <a:cs typeface="+mn-cs"/>
            </a:rPr>
            <a:t>- Is this because of a result-oriented thinking barrier?</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What is my unrealistic goal?</a:t>
          </a:r>
        </a:p>
        <a:p>
          <a:pPr marL="0" indent="0" algn="l"/>
          <a:r>
            <a:rPr lang="en-GB" sz="1100" b="1" u="none" baseline="0">
              <a:solidFill>
                <a:sysClr val="windowText" lastClr="000000"/>
              </a:solidFill>
              <a:latin typeface="+mn-lt"/>
              <a:ea typeface="+mn-ea"/>
              <a:cs typeface="+mn-cs"/>
            </a:rPr>
            <a:t>- Is it something that other people could laugh at?</a:t>
          </a:r>
        </a:p>
        <a:p>
          <a:r>
            <a:rPr lang="en-GB" sz="1100" b="1" u="none" baseline="0">
              <a:solidFill>
                <a:sysClr val="windowText" lastClr="000000"/>
              </a:solidFill>
              <a:latin typeface="+mn-lt"/>
              <a:ea typeface="+mn-ea"/>
              <a:cs typeface="+mn-cs"/>
            </a:rPr>
            <a:t>- Is it something that nobody else is thinking is possible?</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Why don't I want to do the work that I want to do? </a:t>
          </a:r>
        </a:p>
        <a:p>
          <a:pPr marL="0" indent="0" algn="l"/>
          <a:r>
            <a:rPr lang="en-GB" sz="1100" b="1" u="none" baseline="0">
              <a:solidFill>
                <a:sysClr val="windowText" lastClr="000000"/>
              </a:solidFill>
              <a:latin typeface="+mn-lt"/>
              <a:ea typeface="+mn-ea"/>
              <a:cs typeface="+mn-cs"/>
            </a:rPr>
            <a:t>- Do I still believe in my main goal?</a:t>
          </a:r>
        </a:p>
        <a:p>
          <a:pPr marL="0" indent="0" algn="l"/>
          <a:r>
            <a:rPr lang="en-GB" sz="1100" b="1" u="none" baseline="0">
              <a:solidFill>
                <a:sysClr val="windowText" lastClr="000000"/>
              </a:solidFill>
              <a:latin typeface="+mn-lt"/>
              <a:ea typeface="+mn-ea"/>
              <a:cs typeface="+mn-cs"/>
            </a:rPr>
            <a:t>- Have I forgotten why something is my goal?</a:t>
          </a:r>
        </a:p>
        <a:p>
          <a:r>
            <a:rPr lang="en-GB" sz="1100" b="1" u="none" baseline="0">
              <a:solidFill>
                <a:sysClr val="windowText" lastClr="000000"/>
              </a:solidFill>
              <a:latin typeface="+mn-lt"/>
              <a:ea typeface="+mn-ea"/>
              <a:cs typeface="+mn-cs"/>
            </a:rPr>
            <a:t>- What is my why-how-what (in that order) for my main goal or dream?</a:t>
          </a:r>
          <a:endParaRPr lang="en-GB" b="1">
            <a:effectLst/>
          </a:endParaRPr>
        </a:p>
        <a:p>
          <a:r>
            <a:rPr lang="en-GB" sz="1100" b="0" baseline="0">
              <a:solidFill>
                <a:schemeClr val="tx1"/>
              </a:solidFill>
              <a:effectLst/>
              <a:latin typeface="+mn-lt"/>
              <a:ea typeface="+mn-ea"/>
              <a:cs typeface="+mn-cs"/>
            </a:rPr>
            <a:t>Answer.</a:t>
          </a:r>
          <a:endParaRPr lang="en-GB" sz="1100" b="0" u="none" baseline="0">
            <a:solidFill>
              <a:sysClr val="windowText" lastClr="000000"/>
            </a:solidFill>
            <a:latin typeface="+mn-lt"/>
            <a:ea typeface="+mn-ea"/>
            <a:cs typeface="+mn-cs"/>
          </a:endParaRPr>
        </a:p>
        <a:p>
          <a:pPr marL="0" indent="0" algn="l"/>
          <a:endParaRPr lang="en-GB" sz="1100" b="1"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What stops me form doing X?</a:t>
          </a:r>
        </a:p>
        <a:p>
          <a:pPr marL="0" indent="0" algn="l"/>
          <a:r>
            <a:rPr lang="en-GB" sz="1100" b="0" u="none" baseline="0">
              <a:solidFill>
                <a:sysClr val="windowText" lastClr="000000"/>
              </a:solidFill>
              <a:latin typeface="+mn-lt"/>
              <a:ea typeface="+mn-ea"/>
              <a:cs typeface="+mn-cs"/>
            </a:rPr>
            <a:t>Answer.</a:t>
          </a: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What did I want to do this week/last week that I haven't done/didn't do?</a:t>
          </a:r>
        </a:p>
        <a:p>
          <a:pPr marL="0" indent="0" algn="l"/>
          <a:r>
            <a:rPr lang="en-GB" sz="1100" b="0" u="none" baseline="0">
              <a:solidFill>
                <a:sysClr val="windowText" lastClr="000000"/>
              </a:solidFill>
              <a:latin typeface="+mn-lt"/>
              <a:ea typeface="+mn-ea"/>
              <a:cs typeface="+mn-cs"/>
            </a:rPr>
            <a:t>Answer.</a:t>
          </a: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Why didn't I do the above? - How can I help myself to commit to doing it next week?</a:t>
          </a:r>
        </a:p>
        <a:p>
          <a:pPr marL="0" indent="0" algn="l"/>
          <a:r>
            <a:rPr lang="en-GB" sz="1100" b="0" u="none" baseline="0">
              <a:solidFill>
                <a:sysClr val="windowText" lastClr="000000"/>
              </a:solidFill>
              <a:latin typeface="+mn-lt"/>
              <a:ea typeface="+mn-ea"/>
              <a:cs typeface="+mn-cs"/>
            </a:rPr>
            <a:t>Answer.</a:t>
          </a: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At what age do I wish I'd started doing X?</a:t>
          </a:r>
        </a:p>
        <a:p>
          <a:pPr marL="0" indent="0" algn="l"/>
          <a:r>
            <a:rPr lang="en-GB" sz="1100" b="0" u="none" baseline="0">
              <a:solidFill>
                <a:sysClr val="windowText" lastClr="000000"/>
              </a:solidFill>
              <a:latin typeface="+mn-lt"/>
              <a:ea typeface="+mn-ea"/>
              <a:cs typeface="+mn-cs"/>
            </a:rPr>
            <a:t>Answer.</a:t>
          </a: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If I were that age now, what would I be doing towards X? - How would I behave? - How would I act?</a:t>
          </a:r>
        </a:p>
        <a:p>
          <a:pPr marL="0" indent="0" algn="l"/>
          <a:r>
            <a:rPr lang="en-GB" sz="1100" b="0" u="none" baseline="0">
              <a:solidFill>
                <a:sysClr val="windowText" lastClr="000000"/>
              </a:solidFill>
              <a:latin typeface="+mn-lt"/>
              <a:ea typeface="+mn-ea"/>
              <a:cs typeface="+mn-cs"/>
            </a:rPr>
            <a:t>Answer. </a:t>
          </a:r>
        </a:p>
        <a:p>
          <a:pPr marL="0" indent="0" algn="l"/>
          <a:endParaRPr lang="en-GB" sz="1100" b="0" u="none" baseline="0">
            <a:solidFill>
              <a:sysClr val="windowText" lastClr="000000"/>
            </a:solidFill>
            <a:latin typeface="+mn-lt"/>
            <a:ea typeface="+mn-ea"/>
            <a:cs typeface="+mn-cs"/>
          </a:endParaRPr>
        </a:p>
        <a:p>
          <a:pPr marL="0" indent="0"/>
          <a:endParaRPr lang="en-GB" sz="1100" b="0" u="none" baseline="0">
            <a:solidFill>
              <a:sysClr val="windowText" lastClr="000000"/>
            </a:solidFill>
            <a:latin typeface="+mn-lt"/>
            <a:ea typeface="+mn-ea"/>
            <a:cs typeface="+mn-cs"/>
          </a:endParaRPr>
        </a:p>
      </xdr:txBody>
    </xdr:sp>
    <xdr:clientData fLocksWithSheet="0"/>
  </xdr:twoCellAnchor>
  <xdr:twoCellAnchor>
    <xdr:from>
      <xdr:col>3</xdr:col>
      <xdr:colOff>0</xdr:colOff>
      <xdr:row>116</xdr:row>
      <xdr:rowOff>1350</xdr:rowOff>
    </xdr:from>
    <xdr:to>
      <xdr:col>20</xdr:col>
      <xdr:colOff>1800</xdr:colOff>
      <xdr:row>119</xdr:row>
      <xdr:rowOff>2700</xdr:rowOff>
    </xdr:to>
    <xdr:sp macro="" textlink="" fLocksText="0">
      <xdr:nvSpPr>
        <xdr:cNvPr id="46" name="TextBox 45">
          <a:extLst>
            <a:ext uri="{FF2B5EF4-FFF2-40B4-BE49-F238E27FC236}">
              <a16:creationId xmlns:a16="http://schemas.microsoft.com/office/drawing/2014/main" id="{4DC4EA63-ABCF-D9D6-E6BF-DE6101FB74B3}"/>
            </a:ext>
          </a:extLst>
        </xdr:cNvPr>
        <xdr:cNvSpPr txBox="1"/>
      </xdr:nvSpPr>
      <xdr:spPr>
        <a:xfrm>
          <a:off x="685800" y="2430915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QUESTIONS ABOUT TAKING STOCK </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pPr marL="0" indent="0" algn="l"/>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would I do if I knew I couldn’t fail?</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is my dream life?</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advice would I give to someone in my situation?</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has been the biggest lesson I've learned in the past week?</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has been the biggest lesson I've learned in the past month?</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has been the biggest lesson you’ve learned in the past year?</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How can I achieve my five year plan in five months?</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If I had all the time and money in the world, what would I do?</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xdr:txBody>
    </xdr:sp>
    <xdr:clientData fLocksWithSheet="0"/>
  </xdr:twoCellAnchor>
  <xdr:twoCellAnchor>
    <xdr:from>
      <xdr:col>3</xdr:col>
      <xdr:colOff>0</xdr:colOff>
      <xdr:row>119</xdr:row>
      <xdr:rowOff>1350</xdr:rowOff>
    </xdr:from>
    <xdr:to>
      <xdr:col>20</xdr:col>
      <xdr:colOff>1800</xdr:colOff>
      <xdr:row>122</xdr:row>
      <xdr:rowOff>2700</xdr:rowOff>
    </xdr:to>
    <xdr:sp macro="" textlink="" fLocksText="0">
      <xdr:nvSpPr>
        <xdr:cNvPr id="47" name="TextBox 46">
          <a:extLst>
            <a:ext uri="{FF2B5EF4-FFF2-40B4-BE49-F238E27FC236}">
              <a16:creationId xmlns:a16="http://schemas.microsoft.com/office/drawing/2014/main" id="{07C99A3D-5164-3D02-DC46-38B3D78A7D5F}"/>
            </a:ext>
          </a:extLst>
        </xdr:cNvPr>
        <xdr:cNvSpPr txBox="1"/>
      </xdr:nvSpPr>
      <xdr:spPr>
        <a:xfrm>
          <a:off x="685800" y="2493780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QUESTIONS ABOUT CHANGE</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change do I want to make?</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am I afraid of?</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Where is fear holding me back?</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makes me most excited?</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Where could I add more fun to my life?</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does my dream day look like?</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How can I surprise my partner/friend/family?</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How can I surprise myself? - What one thing could I do that I never do and is out of character for me?</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one thing could I stop doing that could completely change my life?</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one thing could I start doing that could completely change my life?</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xdr:txBody>
    </xdr:sp>
    <xdr:clientData fLocksWithSheet="0"/>
  </xdr:twoCellAnchor>
  <xdr:twoCellAnchor>
    <xdr:from>
      <xdr:col>3</xdr:col>
      <xdr:colOff>0</xdr:colOff>
      <xdr:row>98</xdr:row>
      <xdr:rowOff>0</xdr:rowOff>
    </xdr:from>
    <xdr:to>
      <xdr:col>20</xdr:col>
      <xdr:colOff>1800</xdr:colOff>
      <xdr:row>101</xdr:row>
      <xdr:rowOff>1350</xdr:rowOff>
    </xdr:to>
    <xdr:sp macro="" textlink="" fLocksText="0">
      <xdr:nvSpPr>
        <xdr:cNvPr id="84" name="TextBox 83">
          <a:extLst>
            <a:ext uri="{FF2B5EF4-FFF2-40B4-BE49-F238E27FC236}">
              <a16:creationId xmlns:a16="http://schemas.microsoft.com/office/drawing/2014/main" id="{9B476EF7-A068-636A-C248-54DA127D3B40}"/>
            </a:ext>
          </a:extLst>
        </xdr:cNvPr>
        <xdr:cNvSpPr txBox="1"/>
      </xdr:nvSpPr>
      <xdr:spPr>
        <a:xfrm>
          <a:off x="685800" y="2053590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QUESTIONS ABOUT IDENTITY</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When do I feel most myself?</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1"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When do I feel least myself?</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1"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makes me happy?</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1"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How do I  think my close friends view me?</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How do I want them to view me?</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Who am I comparing myself to?</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Who are my role models?</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are my worst flaws that have caused me the most pain in the past? </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What are my best qualities that have helped me the most in the past? </a:t>
          </a:r>
          <a:endParaRPr lang="en-GB">
            <a:effectLst/>
          </a:endParaRPr>
        </a:p>
        <a:p>
          <a:r>
            <a:rPr lang="en-GB" sz="1100" b="0" baseline="0">
              <a:solidFill>
                <a:schemeClr val="tx1"/>
              </a:solidFill>
              <a:effectLst/>
              <a:latin typeface="+mn-lt"/>
              <a:ea typeface="+mn-ea"/>
              <a:cs typeface="+mn-cs"/>
            </a:rPr>
            <a:t>Answer.</a:t>
          </a:r>
          <a:endParaRPr lang="en-GB" sz="1100" b="0" u="none" baseline="0">
            <a:solidFill>
              <a:schemeClr val="tx1"/>
            </a:solidFill>
            <a:latin typeface="+mn-lt"/>
            <a:ea typeface="+mn-ea"/>
            <a:cs typeface="+mn-cs"/>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characteristics do I wish I had?</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How can I get those characteristics?</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If nothing changed in my day to day habits and activities, what would my life look like in ten years?</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Am I happy with how that life looks?</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xdr:txBody>
    </xdr:sp>
    <xdr:clientData fLocksWithSheet="0"/>
  </xdr:twoCellAnchor>
  <xdr:twoCellAnchor>
    <xdr:from>
      <xdr:col>3</xdr:col>
      <xdr:colOff>0</xdr:colOff>
      <xdr:row>104</xdr:row>
      <xdr:rowOff>1350</xdr:rowOff>
    </xdr:from>
    <xdr:to>
      <xdr:col>20</xdr:col>
      <xdr:colOff>1800</xdr:colOff>
      <xdr:row>107</xdr:row>
      <xdr:rowOff>2700</xdr:rowOff>
    </xdr:to>
    <xdr:sp macro="" textlink="" fLocksText="0">
      <xdr:nvSpPr>
        <xdr:cNvPr id="85" name="TextBox 84">
          <a:extLst>
            <a:ext uri="{FF2B5EF4-FFF2-40B4-BE49-F238E27FC236}">
              <a16:creationId xmlns:a16="http://schemas.microsoft.com/office/drawing/2014/main" id="{A790F737-E55E-3826-9CB2-3FD684AA89F2}"/>
            </a:ext>
          </a:extLst>
        </xdr:cNvPr>
        <xdr:cNvSpPr txBox="1"/>
      </xdr:nvSpPr>
      <xdr:spPr>
        <a:xfrm>
          <a:off x="685800" y="2179455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QUESTIONS ABOUT PROBLEMS</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is my biggest problem right now? </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How could begin solving my biggest problem?</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are ten solutions to the problem?</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Where do I need some help?</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are the 20% of tasks that give me 80% of the benefits?</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has been biggest waste of time, effort or money recently?</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has been the best investment of my time, effort or money recently?</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has been my worst mistake recently?</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has been my best achievement recently?</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xdr:txBody>
    </xdr:sp>
    <xdr:clientData fLocksWithSheet="0"/>
  </xdr:twoCellAnchor>
  <xdr:twoCellAnchor>
    <xdr:from>
      <xdr:col>3</xdr:col>
      <xdr:colOff>0</xdr:colOff>
      <xdr:row>101</xdr:row>
      <xdr:rowOff>0</xdr:rowOff>
    </xdr:from>
    <xdr:to>
      <xdr:col>20</xdr:col>
      <xdr:colOff>1800</xdr:colOff>
      <xdr:row>104</xdr:row>
      <xdr:rowOff>1350</xdr:rowOff>
    </xdr:to>
    <xdr:sp macro="" textlink="" fLocksText="0">
      <xdr:nvSpPr>
        <xdr:cNvPr id="86" name="TextBox 85">
          <a:extLst>
            <a:ext uri="{FF2B5EF4-FFF2-40B4-BE49-F238E27FC236}">
              <a16:creationId xmlns:a16="http://schemas.microsoft.com/office/drawing/2014/main" id="{57EBF936-6F35-435A-28DC-D234F7A276F7}"/>
            </a:ext>
          </a:extLst>
        </xdr:cNvPr>
        <xdr:cNvSpPr txBox="1"/>
      </xdr:nvSpPr>
      <xdr:spPr>
        <a:xfrm>
          <a:off x="685800" y="2116455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QUESTIONS ABOUT STATUS QUO</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Am I happy with my diet?</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Am I happy with my fitness?</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Am I happy with my relationship?</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Am I happy with my job?</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Am I happy with my finances?</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Am I happy with my mental health?</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am I finding a chore or my daily life? - What would it look like if it were easy and fun?</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is stopping me from being completely satisfied with what I already have?</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things about my life or myself am I most proud of?</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would my exact life situation be like if I had no [arms/legs/eyes/home/other]? </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things am I grateful for?</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xdr:txBody>
    </xdr:sp>
    <xdr:clientData fLocksWithSheet="0"/>
  </xdr:twoCellAnchor>
  <xdr:twoCellAnchor>
    <xdr:from>
      <xdr:col>3</xdr:col>
      <xdr:colOff>0</xdr:colOff>
      <xdr:row>122</xdr:row>
      <xdr:rowOff>1350</xdr:rowOff>
    </xdr:from>
    <xdr:to>
      <xdr:col>20</xdr:col>
      <xdr:colOff>1800</xdr:colOff>
      <xdr:row>125</xdr:row>
      <xdr:rowOff>2700</xdr:rowOff>
    </xdr:to>
    <xdr:sp macro="" textlink="" fLocksText="0">
      <xdr:nvSpPr>
        <xdr:cNvPr id="87" name="TextBox 86">
          <a:extLst>
            <a:ext uri="{FF2B5EF4-FFF2-40B4-BE49-F238E27FC236}">
              <a16:creationId xmlns:a16="http://schemas.microsoft.com/office/drawing/2014/main" id="{413E6143-C69E-AC1E-C3DC-650AE7D4823C}"/>
            </a:ext>
          </a:extLst>
        </xdr:cNvPr>
        <xdr:cNvSpPr txBox="1"/>
      </xdr:nvSpPr>
      <xdr:spPr>
        <a:xfrm>
          <a:off x="685800" y="2556645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QUESTIONS ABOUT AMBITION</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How could I get paid to do what I love?</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is something I’d love to learn?</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are the five or less things that I must do before I die?</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If I achieved all of my life goals, how would I feel?</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is the purpose of my life?</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If I could only share one message with the world, what would it be?</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xdr:txBody>
    </xdr:sp>
    <xdr:clientData fLocksWithSheet="0"/>
  </xdr:twoCellAnchor>
  <xdr:twoCellAnchor>
    <xdr:from>
      <xdr:col>3</xdr:col>
      <xdr:colOff>0</xdr:colOff>
      <xdr:row>110</xdr:row>
      <xdr:rowOff>0</xdr:rowOff>
    </xdr:from>
    <xdr:to>
      <xdr:col>20</xdr:col>
      <xdr:colOff>1800</xdr:colOff>
      <xdr:row>113</xdr:row>
      <xdr:rowOff>1350</xdr:rowOff>
    </xdr:to>
    <xdr:sp macro="" textlink="" fLocksText="0">
      <xdr:nvSpPr>
        <xdr:cNvPr id="91" name="TextBox 90">
          <a:extLst>
            <a:ext uri="{FF2B5EF4-FFF2-40B4-BE49-F238E27FC236}">
              <a16:creationId xmlns:a16="http://schemas.microsoft.com/office/drawing/2014/main" id="{385C0E57-2FD8-53E1-D3BE-130289158BB9}"/>
            </a:ext>
          </a:extLst>
        </xdr:cNvPr>
        <xdr:cNvSpPr txBox="1"/>
      </xdr:nvSpPr>
      <xdr:spPr>
        <a:xfrm>
          <a:off x="685800" y="2305050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QUESTIONS ABOUT FAMILY</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How would I feel if someone rang to say my [mother/father/brother/sister/other family member] had died?</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How would I feel if my [mother/father/brother/sister/other family member] were still alive now? - How might my life be different?</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would I say to my [mother/father/brother/sister/other family member] if they were here in front of me right now? -What do I think they would say to me? - How accurate am I in that guess?</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am I angry about regarding my family?</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am I angry about regarding my mother and father?</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am I angry about regarding my siblings or other family members?</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What other emotions come up regarding my family?</a:t>
          </a:r>
          <a:endParaRPr lang="en-GB">
            <a:effectLst/>
          </a:endParaRPr>
        </a:p>
        <a:p>
          <a:r>
            <a:rPr lang="en-GB" sz="1100" b="0" baseline="0">
              <a:solidFill>
                <a:schemeClr val="tx1"/>
              </a:solidFill>
              <a:effectLst/>
              <a:latin typeface="+mn-lt"/>
              <a:ea typeface="+mn-ea"/>
              <a:cs typeface="+mn-cs"/>
            </a:rPr>
            <a:t>Answer.</a:t>
          </a:r>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Where do I feel my family let me down?</a:t>
          </a:r>
          <a:endParaRPr lang="en-GB">
            <a:effectLst/>
          </a:endParaRPr>
        </a:p>
        <a:p>
          <a:r>
            <a:rPr lang="en-GB" sz="1100" b="0" baseline="0">
              <a:solidFill>
                <a:schemeClr val="tx1"/>
              </a:solidFill>
              <a:effectLst/>
              <a:latin typeface="+mn-lt"/>
              <a:ea typeface="+mn-ea"/>
              <a:cs typeface="+mn-cs"/>
            </a:rPr>
            <a:t>Answer.</a:t>
          </a:r>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What positive things can I say about my family and our experiences together?</a:t>
          </a:r>
          <a:endParaRPr lang="en-GB">
            <a:effectLst/>
          </a:endParaRPr>
        </a:p>
        <a:p>
          <a:r>
            <a:rPr lang="en-GB" sz="1100" b="0" baseline="0">
              <a:solidFill>
                <a:schemeClr val="tx1"/>
              </a:solidFill>
              <a:effectLst/>
              <a:latin typeface="+mn-lt"/>
              <a:ea typeface="+mn-ea"/>
              <a:cs typeface="+mn-cs"/>
            </a:rPr>
            <a:t>Answer.</a:t>
          </a:r>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What positive things can I say about my [mother/father/brother/sister/other family member]?</a:t>
          </a:r>
          <a:endParaRPr lang="en-GB">
            <a:effectLst/>
          </a:endParaRPr>
        </a:p>
        <a:p>
          <a:r>
            <a:rPr lang="en-GB" sz="1100" b="0" baseline="0">
              <a:solidFill>
                <a:schemeClr val="tx1"/>
              </a:solidFill>
              <a:effectLst/>
              <a:latin typeface="+mn-lt"/>
              <a:ea typeface="+mn-ea"/>
              <a:cs typeface="+mn-cs"/>
            </a:rPr>
            <a:t>Answer.</a:t>
          </a:r>
        </a:p>
        <a:p>
          <a:endParaRPr lang="en-GB" sz="1100" b="0" baseline="0">
            <a:solidFill>
              <a:schemeClr val="tx1"/>
            </a:solidFill>
            <a:effectLst/>
            <a:latin typeface="+mn-lt"/>
            <a:ea typeface="+mn-ea"/>
            <a:cs typeface="+mn-cs"/>
          </a:endParaRPr>
        </a:p>
        <a:p>
          <a:r>
            <a:rPr lang="en-GB" b="1">
              <a:effectLst/>
            </a:rPr>
            <a:t>What</a:t>
          </a:r>
          <a:r>
            <a:rPr lang="en-GB" b="1" baseline="0">
              <a:effectLst/>
            </a:rPr>
            <a:t> things do/did I very much like and miss about my [mother/father/brother/sister/other family member]</a:t>
          </a:r>
          <a:r>
            <a:rPr lang="en-GB" b="1">
              <a:effectLst/>
            </a:rPr>
            <a:t>?</a:t>
          </a:r>
        </a:p>
        <a:p>
          <a:r>
            <a:rPr lang="en-GB">
              <a:effectLst/>
            </a:rPr>
            <a:t>Answer.</a:t>
          </a:r>
        </a:p>
        <a:p>
          <a:endParaRPr lang="en-GB">
            <a:effectLst/>
          </a:endParaRPr>
        </a:p>
        <a:p>
          <a:r>
            <a:rPr lang="en-GB" b="1">
              <a:effectLst/>
            </a:rPr>
            <a:t>What things do/did I most definitely not like and miss about my [mother/father/brother/sister/other family member]?</a:t>
          </a:r>
        </a:p>
        <a:p>
          <a:r>
            <a:rPr lang="en-GB">
              <a:effectLst/>
            </a:rPr>
            <a:t>Answer.</a:t>
          </a:r>
        </a:p>
        <a:p>
          <a:endParaRPr lang="en-GB">
            <a:effectLst/>
          </a:endParaRPr>
        </a:p>
        <a:p>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xdr:txBody>
    </xdr:sp>
    <xdr:clientData fLocksWithSheet="0"/>
  </xdr:twoCellAnchor>
  <xdr:twoCellAnchor>
    <xdr:from>
      <xdr:col>3</xdr:col>
      <xdr:colOff>0</xdr:colOff>
      <xdr:row>113</xdr:row>
      <xdr:rowOff>1350</xdr:rowOff>
    </xdr:from>
    <xdr:to>
      <xdr:col>20</xdr:col>
      <xdr:colOff>1800</xdr:colOff>
      <xdr:row>116</xdr:row>
      <xdr:rowOff>2700</xdr:rowOff>
    </xdr:to>
    <xdr:sp macro="" textlink="" fLocksText="0">
      <xdr:nvSpPr>
        <xdr:cNvPr id="92" name="TextBox 91">
          <a:extLst>
            <a:ext uri="{FF2B5EF4-FFF2-40B4-BE49-F238E27FC236}">
              <a16:creationId xmlns:a16="http://schemas.microsoft.com/office/drawing/2014/main" id="{AF74DE2F-9AAB-8AD9-BDA1-7AC2B0AFF554}"/>
            </a:ext>
          </a:extLst>
        </xdr:cNvPr>
        <xdr:cNvSpPr txBox="1"/>
      </xdr:nvSpPr>
      <xdr:spPr>
        <a:xfrm>
          <a:off x="685800" y="2368050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QUESTIONS ABOUT DECISIONS &amp; REGRET</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do I feel are my poorest decisions made throughout my life?</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do I feel are my very best decisions made throughtout my life?</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things make me feel regret?</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things make me feel satisfied?</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can I do now, today or this week, to feel more satisfied with my life or move in a more positive direction?</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Where am I doing badly in my life and habits right now?</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Where am I doing well in my life and habits right now?</a:t>
          </a:r>
          <a:endParaRPr lang="en-GB">
            <a:effectLst/>
          </a:endParaRPr>
        </a:p>
        <a:p>
          <a:r>
            <a:rPr lang="en-GB" sz="1100" b="0" baseline="0">
              <a:solidFill>
                <a:schemeClr val="tx1"/>
              </a:solidFill>
              <a:effectLst/>
              <a:latin typeface="+mn-lt"/>
              <a:ea typeface="+mn-ea"/>
              <a:cs typeface="+mn-cs"/>
            </a:rPr>
            <a:t>Answer.</a:t>
          </a:r>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What is the one big thing I could change or improve in my life right now that would make everything else better or easier?</a:t>
          </a:r>
          <a:endParaRPr lang="en-GB">
            <a:effectLst/>
          </a:endParaRPr>
        </a:p>
        <a:p>
          <a:r>
            <a:rPr lang="en-GB" sz="1100" b="0" baseline="0">
              <a:solidFill>
                <a:schemeClr val="tx1"/>
              </a:solidFill>
              <a:effectLst/>
              <a:latin typeface="+mn-lt"/>
              <a:ea typeface="+mn-ea"/>
              <a:cs typeface="+mn-cs"/>
            </a:rPr>
            <a:t>Answer.</a:t>
          </a:r>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xdr:txBody>
    </xdr:sp>
    <xdr:clientData fLocksWithSheet="0"/>
  </xdr:twoCellAnchor>
  <xdr:twoCellAnchor>
    <xdr:from>
      <xdr:col>3</xdr:col>
      <xdr:colOff>0</xdr:colOff>
      <xdr:row>128</xdr:row>
      <xdr:rowOff>1350</xdr:rowOff>
    </xdr:from>
    <xdr:to>
      <xdr:col>20</xdr:col>
      <xdr:colOff>1800</xdr:colOff>
      <xdr:row>131</xdr:row>
      <xdr:rowOff>2700</xdr:rowOff>
    </xdr:to>
    <xdr:sp macro="" textlink="" fLocksText="0">
      <xdr:nvSpPr>
        <xdr:cNvPr id="23" name="TextBox 22">
          <a:extLst>
            <a:ext uri="{FF2B5EF4-FFF2-40B4-BE49-F238E27FC236}">
              <a16:creationId xmlns:a16="http://schemas.microsoft.com/office/drawing/2014/main" id="{A7FB7795-AF45-4BDF-8421-9A21FBA0CBA9}"/>
            </a:ext>
          </a:extLst>
        </xdr:cNvPr>
        <xdr:cNvSpPr txBox="1"/>
      </xdr:nvSpPr>
      <xdr:spPr>
        <a:xfrm>
          <a:off x="685800" y="2682375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QUESTIONS ABOUT WORK AND CAREER</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job do I really want to have by this time next year?</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Which jobs can I find on Linked In are closest in description to my chosen job? - What are the job titles (choose up to three)?</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How appealing do those job roles seem to me (after watching videos or doing research about the day to day of the role)? - Which one of these roles looks best to me?</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are the requirements for that one role? - Which key skills are listed in job adverts for that role?</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would be an ideal CV to get hired in a company in that role?</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Which three skills would I need to have to get that job?</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Which one of those three skills could I really focus on getting great at to help get me through the door at a company?</a:t>
          </a:r>
          <a:endParaRPr lang="en-GB">
            <a:effectLst/>
          </a:endParaRPr>
        </a:p>
        <a:p>
          <a:r>
            <a:rPr lang="en-GB" sz="1100" b="0" baseline="0">
              <a:solidFill>
                <a:schemeClr val="tx1"/>
              </a:solidFill>
              <a:effectLst/>
              <a:latin typeface="+mn-lt"/>
              <a:ea typeface="+mn-ea"/>
              <a:cs typeface="+mn-cs"/>
            </a:rPr>
            <a:t>Answer.</a:t>
          </a:r>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On my path to getting skilled, creating that ideal CV, what is the initial version of that I could achieve over the next three months?</a:t>
          </a:r>
          <a:endParaRPr lang="en-GB">
            <a:effectLst/>
          </a:endParaRPr>
        </a:p>
        <a:p>
          <a:r>
            <a:rPr lang="en-GB" sz="1100" b="0" baseline="0">
              <a:solidFill>
                <a:schemeClr val="tx1"/>
              </a:solidFill>
              <a:effectLst/>
              <a:latin typeface="+mn-lt"/>
              <a:ea typeface="+mn-ea"/>
              <a:cs typeface="+mn-cs"/>
            </a:rPr>
            <a:t>Answer.</a:t>
          </a:r>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What do I need to start doing today or this week to begin my path towards my chosen job?</a:t>
          </a:r>
          <a:endParaRPr lang="en-GB">
            <a:effectLst/>
          </a:endParaRPr>
        </a:p>
        <a:p>
          <a:r>
            <a:rPr lang="en-GB" sz="1100" b="0" baseline="0">
              <a:solidFill>
                <a:schemeClr val="tx1"/>
              </a:solidFill>
              <a:effectLst/>
              <a:latin typeface="+mn-lt"/>
              <a:ea typeface="+mn-ea"/>
              <a:cs typeface="+mn-cs"/>
            </a:rPr>
            <a:t>Answer.</a:t>
          </a:r>
          <a:endParaRPr lang="en-GB">
            <a:effectLst/>
          </a:endParaRPr>
        </a:p>
      </xdr:txBody>
    </xdr:sp>
    <xdr:clientData fLocksWithSheet="0"/>
  </xdr:twoCellAnchor>
  <xdr:twoCellAnchor>
    <xdr:from>
      <xdr:col>3</xdr:col>
      <xdr:colOff>0</xdr:colOff>
      <xdr:row>107</xdr:row>
      <xdr:rowOff>1350</xdr:rowOff>
    </xdr:from>
    <xdr:to>
      <xdr:col>20</xdr:col>
      <xdr:colOff>1800</xdr:colOff>
      <xdr:row>110</xdr:row>
      <xdr:rowOff>2700</xdr:rowOff>
    </xdr:to>
    <xdr:sp macro="" textlink="" fLocksText="0">
      <xdr:nvSpPr>
        <xdr:cNvPr id="60" name="TextBox 59">
          <a:extLst>
            <a:ext uri="{FF2B5EF4-FFF2-40B4-BE49-F238E27FC236}">
              <a16:creationId xmlns:a16="http://schemas.microsoft.com/office/drawing/2014/main" id="{5C498F14-E11A-4678-9437-07268615E0A0}"/>
            </a:ext>
          </a:extLst>
        </xdr:cNvPr>
        <xdr:cNvSpPr txBox="1"/>
      </xdr:nvSpPr>
      <xdr:spPr>
        <a:xfrm>
          <a:off x="685800" y="2242320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QUESTIONS ABOUT LETTING GO</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am I annoyed or angry about?</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Who am I annoyed or angry with?</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can I do about the things that have annoyed/angered me?</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would I say to the person I'm annoyed/angry with if I were totally unfiltered, allowed myself to vent and let it all out?</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How can I turn the above outpoor into something constructive to do or say to the person?</a:t>
          </a:r>
          <a:endParaRPr lang="en-GB">
            <a:effectLst/>
          </a:endParaRPr>
        </a:p>
        <a:p>
          <a:r>
            <a:rPr lang="en-GB" sz="1100" b="0" baseline="0">
              <a:solidFill>
                <a:schemeClr val="tx1"/>
              </a:solidFill>
              <a:effectLst/>
              <a:latin typeface="+mn-lt"/>
              <a:ea typeface="+mn-ea"/>
              <a:cs typeface="+mn-cs"/>
            </a:rPr>
            <a:t>Answer</a:t>
          </a:r>
          <a:endParaRPr lang="en-GB" sz="1100" b="0" u="none" baseline="0">
            <a:solidFill>
              <a:schemeClr val="tx1"/>
            </a:solidFill>
            <a:latin typeface="+mn-lt"/>
            <a:ea typeface="+mn-ea"/>
            <a:cs typeface="+mn-cs"/>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is the benefit of hanging onto my annoyance/anger?</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What can I gain if I just decide it's okay and let it go?</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What else could I let go of that is weighing me down?</a:t>
          </a:r>
          <a:endParaRPr lang="en-GB">
            <a:effectLst/>
          </a:endParaRPr>
        </a:p>
        <a:p>
          <a:r>
            <a:rPr lang="en-GB" sz="1100" b="0" baseline="0">
              <a:solidFill>
                <a:schemeClr val="tx1"/>
              </a:solidFill>
              <a:effectLst/>
              <a:latin typeface="+mn-lt"/>
              <a:ea typeface="+mn-ea"/>
              <a:cs typeface="+mn-cs"/>
            </a:rPr>
            <a:t>Answer.</a:t>
          </a:r>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What negativity has been imposed on me from others that I can choose to figuratively hand back to them and free myself of?</a:t>
          </a:r>
          <a:endParaRPr lang="en-GB">
            <a:effectLst/>
          </a:endParaRPr>
        </a:p>
        <a:p>
          <a:r>
            <a:rPr lang="en-GB" sz="1100" b="0" baseline="0">
              <a:solidFill>
                <a:schemeClr val="tx1"/>
              </a:solidFill>
              <a:effectLst/>
              <a:latin typeface="+mn-lt"/>
              <a:ea typeface="+mn-ea"/>
              <a:cs typeface="+mn-cs"/>
            </a:rPr>
            <a:t>Answer.</a:t>
          </a:r>
          <a:endParaRPr lang="en-GB">
            <a:effectLst/>
          </a:endParaRPr>
        </a:p>
      </xdr:txBody>
    </xdr:sp>
    <xdr:clientData fLocksWithSheet="0"/>
  </xdr:twoCellAnchor>
  <xdr:twoCellAnchor>
    <xdr:from>
      <xdr:col>3</xdr:col>
      <xdr:colOff>0</xdr:colOff>
      <xdr:row>156</xdr:row>
      <xdr:rowOff>1350</xdr:rowOff>
    </xdr:from>
    <xdr:to>
      <xdr:col>20</xdr:col>
      <xdr:colOff>1800</xdr:colOff>
      <xdr:row>159</xdr:row>
      <xdr:rowOff>2700</xdr:rowOff>
    </xdr:to>
    <xdr:sp macro="" textlink="" fLocksText="0">
      <xdr:nvSpPr>
        <xdr:cNvPr id="7" name="TextBox 6">
          <a:extLst>
            <a:ext uri="{FF2B5EF4-FFF2-40B4-BE49-F238E27FC236}">
              <a16:creationId xmlns:a16="http://schemas.microsoft.com/office/drawing/2014/main" id="{A4D913B5-27D2-4233-B3B3-F4DC7A813F1B}"/>
            </a:ext>
          </a:extLst>
        </xdr:cNvPr>
        <xdr:cNvSpPr txBox="1"/>
      </xdr:nvSpPr>
      <xdr:spPr>
        <a:xfrm>
          <a:off x="685800" y="32691150"/>
          <a:ext cx="3888000" cy="630000"/>
        </a:xfrm>
        <a:prstGeom prst="rect">
          <a:avLst/>
        </a:prstGeom>
        <a:solidFill>
          <a:srgbClr val="FFFFFF">
            <a:alpha val="85098"/>
          </a:srgb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ysClr val="windowText" lastClr="000000"/>
              </a:solidFill>
              <a:latin typeface="+mn-lt"/>
              <a:ea typeface="+mn-ea"/>
              <a:cs typeface="+mn-cs"/>
            </a:rPr>
            <a:t>EXERCISE ON SELF-VIEW AND BODY-IMAGE</a:t>
          </a:r>
        </a:p>
        <a:p>
          <a:pPr marL="0" indent="0"/>
          <a:r>
            <a:rPr lang="en-GB" sz="1200" b="0" u="none" baseline="0">
              <a:solidFill>
                <a:sysClr val="windowText" lastClr="000000"/>
              </a:solidFill>
              <a:latin typeface="+mn-lt"/>
              <a:ea typeface="+mn-ea"/>
              <a:cs typeface="+mn-cs"/>
            </a:rPr>
            <a:t>ddd DDdd TT:TT</a:t>
          </a:r>
          <a:endParaRPr lang="en-GB" sz="1200" b="1" u="none" baseline="0">
            <a:solidFill>
              <a:sysClr val="windowText" lastClr="000000"/>
            </a:solidFill>
            <a:latin typeface="+mn-lt"/>
            <a:ea typeface="+mn-ea"/>
            <a:cs typeface="+mn-cs"/>
          </a:endParaRPr>
        </a:p>
        <a:p>
          <a:pPr marL="0" indent="0" algn="l"/>
          <a:r>
            <a:rPr lang="en-GB" sz="1200" b="0" u="none" baseline="0">
              <a:solidFill>
                <a:sysClr val="windowText" lastClr="000000"/>
              </a:solidFill>
              <a:latin typeface="+mn-lt"/>
              <a:ea typeface="+mn-ea"/>
              <a:cs typeface="+mn-cs"/>
            </a:rPr>
            <a:t>_________________________________________________</a:t>
          </a:r>
        </a:p>
        <a:p>
          <a:pPr marL="0" indent="0" algn="l"/>
          <a:endParaRPr lang="en-GB" sz="1100" b="0" u="none" baseline="0">
            <a:solidFill>
              <a:sysClr val="windowText" lastClr="000000"/>
            </a:solidFill>
            <a:latin typeface="+mn-lt"/>
            <a:ea typeface="+mn-ea"/>
            <a:cs typeface="+mn-cs"/>
          </a:endParaRPr>
        </a:p>
        <a:p>
          <a:pPr marL="0" indent="0" algn="l"/>
          <a:r>
            <a:rPr lang="en-GB" sz="1100" b="0" i="1" u="none" baseline="0">
              <a:solidFill>
                <a:sysClr val="windowText" lastClr="000000"/>
              </a:solidFill>
              <a:latin typeface="+mn-lt"/>
              <a:ea typeface="+mn-ea"/>
              <a:cs typeface="+mn-cs"/>
            </a:rPr>
            <a:t>[based on a video by Julien Blanc]</a:t>
          </a:r>
        </a:p>
        <a:p>
          <a:pPr marL="0" indent="0" algn="l"/>
          <a:endParaRPr lang="en-GB" sz="1100" b="0" u="none" baseline="0">
            <a:solidFill>
              <a:sysClr val="windowText" lastClr="000000"/>
            </a:solidFill>
            <a:latin typeface="+mn-lt"/>
            <a:ea typeface="+mn-ea"/>
            <a:cs typeface="+mn-cs"/>
          </a:endParaRPr>
        </a:p>
        <a:p>
          <a:pPr marL="0" indent="0" algn="l"/>
          <a:r>
            <a:rPr lang="en-GB" sz="1100" b="0" i="1" u="none" baseline="0">
              <a:solidFill>
                <a:sysClr val="windowText" lastClr="000000"/>
              </a:solidFill>
              <a:latin typeface="+mn-lt"/>
              <a:ea typeface="+mn-ea"/>
              <a:cs typeface="+mn-cs"/>
            </a:rPr>
            <a:t>Think of neutral descriptions a person could use to describe their physical appearance, eg. </a:t>
          </a:r>
          <a:r>
            <a:rPr lang="en-GB" sz="1100" b="0" i="1" baseline="0">
              <a:solidFill>
                <a:schemeClr val="tx1"/>
              </a:solidFill>
              <a:effectLst/>
              <a:latin typeface="+mn-lt"/>
              <a:ea typeface="+mn-ea"/>
              <a:cs typeface="+mn-cs"/>
            </a:rPr>
            <a:t>I am tall/short, I am skinny/average buid, I have long hair/curly hair.</a:t>
          </a:r>
          <a:endParaRPr lang="en-GB" sz="1100" b="0" i="1" u="none" baseline="0">
            <a:solidFill>
              <a:sysClr val="windowText" lastClr="000000"/>
            </a:solidFill>
            <a:latin typeface="+mn-lt"/>
            <a:ea typeface="+mn-ea"/>
            <a:cs typeface="+mn-cs"/>
          </a:endParaRP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Write 5 neutral descriptions that I believe do apply to me:</a:t>
          </a:r>
        </a:p>
        <a:p>
          <a:pPr marL="228600" indent="-228600" algn="l">
            <a:buFont typeface="+mj-lt"/>
            <a:buAutoNum type="arabicPeriod"/>
          </a:pPr>
          <a:r>
            <a:rPr lang="en-GB" sz="1100" b="0" u="none" baseline="0">
              <a:solidFill>
                <a:sysClr val="windowText" lastClr="000000"/>
              </a:solidFill>
              <a:latin typeface="+mn-lt"/>
              <a:ea typeface="+mn-ea"/>
              <a:cs typeface="+mn-cs"/>
            </a:rPr>
            <a:t>One</a:t>
          </a:r>
        </a:p>
        <a:p>
          <a:pPr marL="228600" indent="-228600" algn="l">
            <a:buFont typeface="+mj-lt"/>
            <a:buAutoNum type="arabicPeriod"/>
          </a:pPr>
          <a:r>
            <a:rPr lang="en-GB" sz="1100" b="0" u="none" baseline="0">
              <a:solidFill>
                <a:sysClr val="windowText" lastClr="000000"/>
              </a:solidFill>
              <a:latin typeface="+mn-lt"/>
              <a:ea typeface="+mn-ea"/>
              <a:cs typeface="+mn-cs"/>
            </a:rPr>
            <a:t>Two</a:t>
          </a:r>
        </a:p>
        <a:p>
          <a:pPr marL="228600" indent="-228600" algn="l">
            <a:buFont typeface="+mj-lt"/>
            <a:buAutoNum type="arabicPeriod"/>
          </a:pPr>
          <a:r>
            <a:rPr lang="en-GB" sz="1100" b="0" u="none" baseline="0">
              <a:solidFill>
                <a:sysClr val="windowText" lastClr="000000"/>
              </a:solidFill>
              <a:latin typeface="+mn-lt"/>
              <a:ea typeface="+mn-ea"/>
              <a:cs typeface="+mn-cs"/>
            </a:rPr>
            <a:t>Three</a:t>
          </a:r>
        </a:p>
        <a:p>
          <a:pPr marL="228600" indent="-228600" algn="l">
            <a:buFont typeface="+mj-lt"/>
            <a:buAutoNum type="arabicPeriod"/>
          </a:pPr>
          <a:r>
            <a:rPr lang="en-GB" sz="1100" b="0" u="none" baseline="0">
              <a:solidFill>
                <a:sysClr val="windowText" lastClr="000000"/>
              </a:solidFill>
              <a:latin typeface="+mn-lt"/>
              <a:ea typeface="+mn-ea"/>
              <a:cs typeface="+mn-cs"/>
            </a:rPr>
            <a:t>Four</a:t>
          </a:r>
        </a:p>
        <a:p>
          <a:pPr marL="228600" indent="-228600" algn="l">
            <a:buFont typeface="+mj-lt"/>
            <a:buAutoNum type="arabicPeriod"/>
          </a:pPr>
          <a:r>
            <a:rPr lang="en-GB" sz="1100" b="0" u="none" baseline="0">
              <a:solidFill>
                <a:sysClr val="windowText" lastClr="000000"/>
              </a:solidFill>
              <a:latin typeface="+mn-lt"/>
              <a:ea typeface="+mn-ea"/>
              <a:cs typeface="+mn-cs"/>
            </a:rPr>
            <a:t>Five</a:t>
          </a:r>
        </a:p>
        <a:p>
          <a:pPr marL="0" indent="0" algn="l">
            <a:buFont typeface="Arial" panose="020B0604020202020204" pitchFamily="34" charset="0"/>
            <a:buNone/>
          </a:pPr>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Write 5 neutral descriptions that I believe do not apply to me:</a:t>
          </a:r>
        </a:p>
        <a:p>
          <a:pPr marL="228600" indent="-228600">
            <a:buFont typeface="+mj-lt"/>
            <a:buAutoNum type="arabicPeriod"/>
          </a:pPr>
          <a:r>
            <a:rPr lang="en-GB" sz="1100" b="0" baseline="0">
              <a:solidFill>
                <a:schemeClr val="tx1"/>
              </a:solidFill>
              <a:effectLst/>
              <a:latin typeface="+mn-lt"/>
              <a:ea typeface="+mn-ea"/>
              <a:cs typeface="+mn-cs"/>
            </a:rPr>
            <a:t>One</a:t>
          </a:r>
          <a:endParaRPr lang="en-GB" sz="1100">
            <a:effectLst/>
          </a:endParaRPr>
        </a:p>
        <a:p>
          <a:pPr marL="228600" indent="-228600">
            <a:buFont typeface="+mj-lt"/>
            <a:buAutoNum type="arabicPeriod"/>
          </a:pPr>
          <a:r>
            <a:rPr lang="en-GB" sz="1100" b="0" baseline="0">
              <a:solidFill>
                <a:schemeClr val="tx1"/>
              </a:solidFill>
              <a:effectLst/>
              <a:latin typeface="+mn-lt"/>
              <a:ea typeface="+mn-ea"/>
              <a:cs typeface="+mn-cs"/>
            </a:rPr>
            <a:t>Two</a:t>
          </a:r>
          <a:endParaRPr lang="en-GB">
            <a:effectLst/>
          </a:endParaRPr>
        </a:p>
        <a:p>
          <a:pPr marL="228600" indent="-228600">
            <a:buFont typeface="+mj-lt"/>
            <a:buAutoNum type="arabicPeriod"/>
          </a:pPr>
          <a:r>
            <a:rPr lang="en-GB" sz="1100" b="0" baseline="0">
              <a:solidFill>
                <a:schemeClr val="tx1"/>
              </a:solidFill>
              <a:effectLst/>
              <a:latin typeface="+mn-lt"/>
              <a:ea typeface="+mn-ea"/>
              <a:cs typeface="+mn-cs"/>
            </a:rPr>
            <a:t>Three</a:t>
          </a:r>
          <a:endParaRPr lang="en-GB">
            <a:effectLst/>
          </a:endParaRPr>
        </a:p>
        <a:p>
          <a:pPr marL="228600" indent="-228600">
            <a:buFont typeface="+mj-lt"/>
            <a:buAutoNum type="arabicPeriod"/>
          </a:pPr>
          <a:r>
            <a:rPr lang="en-GB" sz="1100" b="0" baseline="0">
              <a:solidFill>
                <a:schemeClr val="tx1"/>
              </a:solidFill>
              <a:effectLst/>
              <a:latin typeface="+mn-lt"/>
              <a:ea typeface="+mn-ea"/>
              <a:cs typeface="+mn-cs"/>
            </a:rPr>
            <a:t>Four</a:t>
          </a:r>
          <a:endParaRPr lang="en-GB">
            <a:effectLst/>
          </a:endParaRPr>
        </a:p>
        <a:p>
          <a:pPr marL="228600" indent="-228600">
            <a:buFont typeface="+mj-lt"/>
            <a:buAutoNum type="arabicPeriod"/>
          </a:pPr>
          <a:r>
            <a:rPr lang="en-GB" sz="1100" b="0" baseline="0">
              <a:solidFill>
                <a:schemeClr val="tx1"/>
              </a:solidFill>
              <a:effectLst/>
              <a:latin typeface="+mn-lt"/>
              <a:ea typeface="+mn-ea"/>
              <a:cs typeface="+mn-cs"/>
            </a:rPr>
            <a:t>Five</a:t>
          </a:r>
          <a:endParaRPr lang="en-GB">
            <a:effectLst/>
          </a:endParaRPr>
        </a:p>
        <a:p>
          <a:pPr marL="0" indent="0" algn="l">
            <a:buFont typeface="Arial" panose="020B0604020202020204" pitchFamily="34" charset="0"/>
            <a:buNone/>
          </a:pPr>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Now turn all of the about descriptions into insults.</a:t>
          </a: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Do-apply to me insults:</a:t>
          </a:r>
        </a:p>
        <a:p>
          <a:pPr marL="228600" indent="-228600" algn="l">
            <a:buFont typeface="+mj-lt"/>
            <a:buAutoNum type="arabicPeriod"/>
          </a:pPr>
          <a:r>
            <a:rPr lang="en-GB" sz="1100" b="0" u="none" baseline="0">
              <a:solidFill>
                <a:sysClr val="windowText" lastClr="000000"/>
              </a:solidFill>
              <a:latin typeface="+mn-lt"/>
              <a:ea typeface="+mn-ea"/>
              <a:cs typeface="+mn-cs"/>
            </a:rPr>
            <a:t>One</a:t>
          </a:r>
        </a:p>
        <a:p>
          <a:pPr marL="228600" indent="-228600" algn="l">
            <a:buFont typeface="+mj-lt"/>
            <a:buAutoNum type="arabicPeriod"/>
          </a:pPr>
          <a:r>
            <a:rPr lang="en-GB" sz="1100" b="0" u="none" baseline="0">
              <a:solidFill>
                <a:sysClr val="windowText" lastClr="000000"/>
              </a:solidFill>
              <a:latin typeface="+mn-lt"/>
              <a:ea typeface="+mn-ea"/>
              <a:cs typeface="+mn-cs"/>
            </a:rPr>
            <a:t>Two</a:t>
          </a:r>
        </a:p>
        <a:p>
          <a:pPr marL="228600" indent="-228600" algn="l">
            <a:buFont typeface="+mj-lt"/>
            <a:buAutoNum type="arabicPeriod"/>
          </a:pPr>
          <a:r>
            <a:rPr lang="en-GB" sz="1100" b="0" u="none" baseline="0">
              <a:solidFill>
                <a:sysClr val="windowText" lastClr="000000"/>
              </a:solidFill>
              <a:latin typeface="+mn-lt"/>
              <a:ea typeface="+mn-ea"/>
              <a:cs typeface="+mn-cs"/>
            </a:rPr>
            <a:t>Three</a:t>
          </a:r>
        </a:p>
        <a:p>
          <a:pPr marL="228600" indent="-228600" algn="l">
            <a:buFont typeface="+mj-lt"/>
            <a:buAutoNum type="arabicPeriod"/>
          </a:pPr>
          <a:r>
            <a:rPr lang="en-GB" sz="1100" b="0" u="none" baseline="0">
              <a:solidFill>
                <a:sysClr val="windowText" lastClr="000000"/>
              </a:solidFill>
              <a:latin typeface="+mn-lt"/>
              <a:ea typeface="+mn-ea"/>
              <a:cs typeface="+mn-cs"/>
            </a:rPr>
            <a:t>Four</a:t>
          </a:r>
        </a:p>
        <a:p>
          <a:pPr marL="228600" indent="-228600" algn="l">
            <a:buFont typeface="+mj-lt"/>
            <a:buAutoNum type="arabicPeriod"/>
          </a:pPr>
          <a:r>
            <a:rPr lang="en-GB" sz="1100" b="0" u="none" baseline="0">
              <a:solidFill>
                <a:sysClr val="windowText" lastClr="000000"/>
              </a:solidFill>
              <a:latin typeface="+mn-lt"/>
              <a:ea typeface="+mn-ea"/>
              <a:cs typeface="+mn-cs"/>
            </a:rPr>
            <a:t>Five</a:t>
          </a:r>
        </a:p>
        <a:p>
          <a:pPr marL="228600" indent="-228600" algn="l">
            <a:buFont typeface="+mj-lt"/>
            <a:buAutoNum type="arabicPeriod"/>
          </a:pPr>
          <a:endParaRPr lang="en-GB" sz="1100" b="0" u="none" baseline="0">
            <a:solidFill>
              <a:sysClr val="windowText" lastClr="000000"/>
            </a:solidFill>
            <a:latin typeface="+mn-lt"/>
            <a:ea typeface="+mn-ea"/>
            <a:cs typeface="+mn-cs"/>
          </a:endParaRPr>
        </a:p>
        <a:p>
          <a:r>
            <a:rPr lang="en-GB" sz="1100" b="1" baseline="0">
              <a:solidFill>
                <a:schemeClr val="tx1"/>
              </a:solidFill>
              <a:effectLst/>
              <a:latin typeface="+mn-lt"/>
              <a:ea typeface="+mn-ea"/>
              <a:cs typeface="+mn-cs"/>
            </a:rPr>
            <a:t>Do-not-apply to me insults:</a:t>
          </a:r>
          <a:endParaRPr lang="en-GB" b="1">
            <a:effectLst/>
          </a:endParaRPr>
        </a:p>
        <a:p>
          <a:pPr marL="228600" indent="-228600">
            <a:buFont typeface="+mj-lt"/>
            <a:buAutoNum type="arabicPeriod"/>
          </a:pPr>
          <a:r>
            <a:rPr lang="en-GB" sz="1100" b="0" baseline="0">
              <a:solidFill>
                <a:schemeClr val="tx1"/>
              </a:solidFill>
              <a:effectLst/>
              <a:latin typeface="+mn-lt"/>
              <a:ea typeface="+mn-ea"/>
              <a:cs typeface="+mn-cs"/>
            </a:rPr>
            <a:t>One</a:t>
          </a:r>
          <a:endParaRPr lang="en-GB">
            <a:effectLst/>
          </a:endParaRPr>
        </a:p>
        <a:p>
          <a:pPr marL="228600" indent="-228600">
            <a:buFont typeface="+mj-lt"/>
            <a:buAutoNum type="arabicPeriod"/>
          </a:pPr>
          <a:r>
            <a:rPr lang="en-GB" sz="1100" b="0" baseline="0">
              <a:solidFill>
                <a:schemeClr val="tx1"/>
              </a:solidFill>
              <a:effectLst/>
              <a:latin typeface="+mn-lt"/>
              <a:ea typeface="+mn-ea"/>
              <a:cs typeface="+mn-cs"/>
            </a:rPr>
            <a:t>Two</a:t>
          </a:r>
          <a:endParaRPr lang="en-GB">
            <a:effectLst/>
          </a:endParaRPr>
        </a:p>
        <a:p>
          <a:pPr marL="228600" indent="-228600">
            <a:buFont typeface="+mj-lt"/>
            <a:buAutoNum type="arabicPeriod"/>
          </a:pPr>
          <a:r>
            <a:rPr lang="en-GB" sz="1100" b="0" baseline="0">
              <a:solidFill>
                <a:schemeClr val="tx1"/>
              </a:solidFill>
              <a:effectLst/>
              <a:latin typeface="+mn-lt"/>
              <a:ea typeface="+mn-ea"/>
              <a:cs typeface="+mn-cs"/>
            </a:rPr>
            <a:t>Three</a:t>
          </a:r>
          <a:endParaRPr lang="en-GB">
            <a:effectLst/>
          </a:endParaRPr>
        </a:p>
        <a:p>
          <a:pPr marL="228600" indent="-228600">
            <a:buFont typeface="+mj-lt"/>
            <a:buAutoNum type="arabicPeriod"/>
          </a:pPr>
          <a:r>
            <a:rPr lang="en-GB" sz="1100" b="0" baseline="0">
              <a:solidFill>
                <a:schemeClr val="tx1"/>
              </a:solidFill>
              <a:effectLst/>
              <a:latin typeface="+mn-lt"/>
              <a:ea typeface="+mn-ea"/>
              <a:cs typeface="+mn-cs"/>
            </a:rPr>
            <a:t>Four</a:t>
          </a:r>
          <a:endParaRPr lang="en-GB">
            <a:effectLst/>
          </a:endParaRPr>
        </a:p>
        <a:p>
          <a:pPr marL="228600" indent="-228600">
            <a:buFont typeface="+mj-lt"/>
            <a:buAutoNum type="arabicPeriod"/>
          </a:pPr>
          <a:r>
            <a:rPr lang="en-GB" sz="1100" b="0" baseline="0">
              <a:solidFill>
                <a:schemeClr val="tx1"/>
              </a:solidFill>
              <a:effectLst/>
              <a:latin typeface="+mn-lt"/>
              <a:ea typeface="+mn-ea"/>
              <a:cs typeface="+mn-cs"/>
            </a:rPr>
            <a:t>Five</a:t>
          </a:r>
          <a:endParaRPr lang="en-GB">
            <a:effectLst/>
          </a:endParaRP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How would the do-not-apply insults make me feel if someone shouted them at me in the street? Or someone I just met said them to me at a party? Or a friend of mine said them to me?</a:t>
          </a:r>
        </a:p>
        <a:p>
          <a:pPr marL="0" indent="0" algn="l"/>
          <a:r>
            <a:rPr lang="en-GB" sz="1100" b="0" u="none" baseline="0">
              <a:solidFill>
                <a:sysClr val="windowText" lastClr="000000"/>
              </a:solidFill>
              <a:latin typeface="+mn-lt"/>
              <a:ea typeface="+mn-ea"/>
              <a:cs typeface="+mn-cs"/>
            </a:rPr>
            <a:t>Answer.</a:t>
          </a: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How would the do-apply insults make me feel if someone shouted them at me in the street? Or someone I just met said them to me at a party? Or a friend of mine said them to me?</a:t>
          </a:r>
        </a:p>
        <a:p>
          <a:pPr marL="0" indent="0" algn="l"/>
          <a:r>
            <a:rPr lang="en-GB" sz="1100" b="0" u="none" baseline="0">
              <a:solidFill>
                <a:sysClr val="windowText" lastClr="000000"/>
              </a:solidFill>
              <a:latin typeface="+mn-lt"/>
              <a:ea typeface="+mn-ea"/>
              <a:cs typeface="+mn-cs"/>
            </a:rPr>
            <a:t>Answer.</a:t>
          </a: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Now turn all of these into compliments.</a:t>
          </a:r>
        </a:p>
        <a:p>
          <a:pPr marL="0" indent="0" algn="l"/>
          <a:endParaRPr lang="en-GB" sz="1100" b="0" u="none" baseline="0">
            <a:solidFill>
              <a:sysClr val="windowText" lastClr="000000"/>
            </a:solidFill>
            <a:latin typeface="+mn-lt"/>
            <a:ea typeface="+mn-ea"/>
            <a:cs typeface="+mn-cs"/>
          </a:endParaRPr>
        </a:p>
        <a:p>
          <a:r>
            <a:rPr lang="en-GB" sz="1100" b="1" baseline="0">
              <a:solidFill>
                <a:schemeClr val="tx1"/>
              </a:solidFill>
              <a:effectLst/>
              <a:latin typeface="+mn-lt"/>
              <a:ea typeface="+mn-ea"/>
              <a:cs typeface="+mn-cs"/>
            </a:rPr>
            <a:t>Do-apply to me insults:</a:t>
          </a:r>
          <a:endParaRPr lang="en-GB" b="1">
            <a:effectLst/>
          </a:endParaRPr>
        </a:p>
        <a:p>
          <a:pPr marL="228600" indent="-228600">
            <a:buFont typeface="+mj-lt"/>
            <a:buAutoNum type="arabicPeriod"/>
          </a:pPr>
          <a:r>
            <a:rPr lang="en-GB" sz="1100" b="0" baseline="0">
              <a:solidFill>
                <a:schemeClr val="tx1"/>
              </a:solidFill>
              <a:effectLst/>
              <a:latin typeface="+mn-lt"/>
              <a:ea typeface="+mn-ea"/>
              <a:cs typeface="+mn-cs"/>
            </a:rPr>
            <a:t>One</a:t>
          </a:r>
          <a:endParaRPr lang="en-GB">
            <a:effectLst/>
          </a:endParaRPr>
        </a:p>
        <a:p>
          <a:pPr marL="228600" indent="-228600">
            <a:buFont typeface="+mj-lt"/>
            <a:buAutoNum type="arabicPeriod"/>
          </a:pPr>
          <a:r>
            <a:rPr lang="en-GB" sz="1100" b="0" baseline="0">
              <a:solidFill>
                <a:schemeClr val="tx1"/>
              </a:solidFill>
              <a:effectLst/>
              <a:latin typeface="+mn-lt"/>
              <a:ea typeface="+mn-ea"/>
              <a:cs typeface="+mn-cs"/>
            </a:rPr>
            <a:t>Two</a:t>
          </a:r>
          <a:endParaRPr lang="en-GB">
            <a:effectLst/>
          </a:endParaRPr>
        </a:p>
        <a:p>
          <a:pPr marL="228600" indent="-228600">
            <a:buFont typeface="+mj-lt"/>
            <a:buAutoNum type="arabicPeriod"/>
          </a:pPr>
          <a:r>
            <a:rPr lang="en-GB" sz="1100" b="0" baseline="0">
              <a:solidFill>
                <a:schemeClr val="tx1"/>
              </a:solidFill>
              <a:effectLst/>
              <a:latin typeface="+mn-lt"/>
              <a:ea typeface="+mn-ea"/>
              <a:cs typeface="+mn-cs"/>
            </a:rPr>
            <a:t>Three</a:t>
          </a:r>
          <a:endParaRPr lang="en-GB">
            <a:effectLst/>
          </a:endParaRPr>
        </a:p>
        <a:p>
          <a:pPr marL="228600" indent="-228600">
            <a:buFont typeface="+mj-lt"/>
            <a:buAutoNum type="arabicPeriod"/>
          </a:pPr>
          <a:r>
            <a:rPr lang="en-GB" sz="1100" b="0" baseline="0">
              <a:solidFill>
                <a:schemeClr val="tx1"/>
              </a:solidFill>
              <a:effectLst/>
              <a:latin typeface="+mn-lt"/>
              <a:ea typeface="+mn-ea"/>
              <a:cs typeface="+mn-cs"/>
            </a:rPr>
            <a:t>Four</a:t>
          </a:r>
          <a:endParaRPr lang="en-GB">
            <a:effectLst/>
          </a:endParaRPr>
        </a:p>
        <a:p>
          <a:pPr marL="228600" indent="-228600">
            <a:buFont typeface="+mj-lt"/>
            <a:buAutoNum type="arabicPeriod"/>
          </a:pPr>
          <a:r>
            <a:rPr lang="en-GB" sz="1100" b="0" baseline="0">
              <a:solidFill>
                <a:schemeClr val="tx1"/>
              </a:solidFill>
              <a:effectLst/>
              <a:latin typeface="+mn-lt"/>
              <a:ea typeface="+mn-ea"/>
              <a:cs typeface="+mn-cs"/>
            </a:rPr>
            <a:t>Five</a:t>
          </a:r>
        </a:p>
        <a:p>
          <a:endParaRPr lang="en-GB">
            <a:effectLst/>
          </a:endParaRPr>
        </a:p>
        <a:p>
          <a:r>
            <a:rPr lang="en-GB" sz="1100" b="1" baseline="0">
              <a:solidFill>
                <a:schemeClr val="tx1"/>
              </a:solidFill>
              <a:effectLst/>
              <a:latin typeface="+mn-lt"/>
              <a:ea typeface="+mn-ea"/>
              <a:cs typeface="+mn-cs"/>
            </a:rPr>
            <a:t>Do-not-apply to me insults:</a:t>
          </a:r>
          <a:endParaRPr lang="en-GB" b="1">
            <a:effectLst/>
          </a:endParaRPr>
        </a:p>
        <a:p>
          <a:pPr marL="228600" indent="-228600">
            <a:buFont typeface="+mj-lt"/>
            <a:buAutoNum type="arabicPeriod"/>
          </a:pPr>
          <a:r>
            <a:rPr lang="en-GB" sz="1100" b="0" baseline="0">
              <a:solidFill>
                <a:schemeClr val="tx1"/>
              </a:solidFill>
              <a:effectLst/>
              <a:latin typeface="+mn-lt"/>
              <a:ea typeface="+mn-ea"/>
              <a:cs typeface="+mn-cs"/>
            </a:rPr>
            <a:t>One</a:t>
          </a:r>
          <a:endParaRPr lang="en-GB">
            <a:effectLst/>
          </a:endParaRPr>
        </a:p>
        <a:p>
          <a:pPr marL="228600" indent="-228600">
            <a:buFont typeface="+mj-lt"/>
            <a:buAutoNum type="arabicPeriod"/>
          </a:pPr>
          <a:r>
            <a:rPr lang="en-GB" sz="1100" b="0" baseline="0">
              <a:solidFill>
                <a:schemeClr val="tx1"/>
              </a:solidFill>
              <a:effectLst/>
              <a:latin typeface="+mn-lt"/>
              <a:ea typeface="+mn-ea"/>
              <a:cs typeface="+mn-cs"/>
            </a:rPr>
            <a:t>Two</a:t>
          </a:r>
          <a:endParaRPr lang="en-GB">
            <a:effectLst/>
          </a:endParaRPr>
        </a:p>
        <a:p>
          <a:pPr marL="228600" indent="-228600">
            <a:buFont typeface="+mj-lt"/>
            <a:buAutoNum type="arabicPeriod"/>
          </a:pPr>
          <a:r>
            <a:rPr lang="en-GB" sz="1100" b="0" baseline="0">
              <a:solidFill>
                <a:schemeClr val="tx1"/>
              </a:solidFill>
              <a:effectLst/>
              <a:latin typeface="+mn-lt"/>
              <a:ea typeface="+mn-ea"/>
              <a:cs typeface="+mn-cs"/>
            </a:rPr>
            <a:t>Three</a:t>
          </a:r>
          <a:endParaRPr lang="en-GB">
            <a:effectLst/>
          </a:endParaRPr>
        </a:p>
        <a:p>
          <a:pPr marL="228600" indent="-228600">
            <a:buFont typeface="+mj-lt"/>
            <a:buAutoNum type="arabicPeriod"/>
          </a:pPr>
          <a:r>
            <a:rPr lang="en-GB" sz="1100" b="0" baseline="0">
              <a:solidFill>
                <a:schemeClr val="tx1"/>
              </a:solidFill>
              <a:effectLst/>
              <a:latin typeface="+mn-lt"/>
              <a:ea typeface="+mn-ea"/>
              <a:cs typeface="+mn-cs"/>
            </a:rPr>
            <a:t>Four</a:t>
          </a:r>
          <a:endParaRPr lang="en-GB">
            <a:effectLst/>
          </a:endParaRPr>
        </a:p>
        <a:p>
          <a:pPr marL="228600" indent="-228600">
            <a:buFont typeface="+mj-lt"/>
            <a:buAutoNum type="arabicPeriod"/>
          </a:pPr>
          <a:r>
            <a:rPr lang="en-GB" sz="1100" b="0" baseline="0">
              <a:solidFill>
                <a:schemeClr val="tx1"/>
              </a:solidFill>
              <a:effectLst/>
              <a:latin typeface="+mn-lt"/>
              <a:ea typeface="+mn-ea"/>
              <a:cs typeface="+mn-cs"/>
            </a:rPr>
            <a:t>Five</a:t>
          </a:r>
          <a:endParaRPr lang="en-GB">
            <a:effectLst/>
          </a:endParaRP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How would the do-not-apply compliments make me feel if someone shouted them at me in the street? Or someone I just met said them to me at a party? Or a friend of mine said them to me?</a:t>
          </a:r>
        </a:p>
        <a:p>
          <a:pPr marL="0" indent="0" algn="l"/>
          <a:r>
            <a:rPr lang="en-GB" sz="1100" b="0" u="none" baseline="0">
              <a:solidFill>
                <a:sysClr val="windowText" lastClr="000000"/>
              </a:solidFill>
              <a:latin typeface="+mn-lt"/>
              <a:ea typeface="+mn-ea"/>
              <a:cs typeface="+mn-cs"/>
            </a:rPr>
            <a:t>Answer.</a:t>
          </a: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How would the do-apply compliments make me feel if someone shouted them at me in the street? Or someone I just met said them to me at a party? Or a friend of mine said them to me?</a:t>
          </a:r>
        </a:p>
        <a:p>
          <a:pPr marL="0" indent="0" algn="l"/>
          <a:r>
            <a:rPr lang="en-GB" sz="1100" b="0" u="none" baseline="0">
              <a:solidFill>
                <a:sysClr val="windowText" lastClr="000000"/>
              </a:solidFill>
              <a:latin typeface="+mn-lt"/>
              <a:ea typeface="+mn-ea"/>
              <a:cs typeface="+mn-cs"/>
            </a:rPr>
            <a:t>Answer.</a:t>
          </a: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Thinking about every aspect of my physical appearance, head to toe. Write what I like about that part of me. Be only positive, believing it, and letting go of any resistence to that positive view.</a:t>
          </a:r>
        </a:p>
        <a:p>
          <a:pPr marL="0" indent="0" algn="l"/>
          <a:r>
            <a:rPr lang="en-GB" sz="1100" b="1" u="none" baseline="0">
              <a:solidFill>
                <a:sysClr val="windowText" lastClr="000000"/>
              </a:solidFill>
              <a:latin typeface="+mn-lt"/>
              <a:ea typeface="+mn-ea"/>
              <a:cs typeface="+mn-cs"/>
            </a:rPr>
            <a:t>Head:</a:t>
          </a:r>
          <a:r>
            <a:rPr lang="en-GB" sz="1100" b="0" u="none" baseline="0">
              <a:solidFill>
                <a:sysClr val="windowText" lastClr="000000"/>
              </a:solidFill>
              <a:latin typeface="+mn-lt"/>
              <a:ea typeface="+mn-ea"/>
              <a:cs typeface="+mn-cs"/>
            </a:rPr>
            <a:t>	Answer	</a:t>
          </a:r>
        </a:p>
        <a:p>
          <a:pPr marL="0" indent="0" algn="l"/>
          <a:r>
            <a:rPr lang="en-GB" sz="1100" b="1" u="none" baseline="0">
              <a:solidFill>
                <a:sysClr val="windowText" lastClr="000000"/>
              </a:solidFill>
              <a:latin typeface="+mn-lt"/>
              <a:ea typeface="+mn-ea"/>
              <a:cs typeface="+mn-cs"/>
            </a:rPr>
            <a:t>Face:</a:t>
          </a:r>
          <a:r>
            <a:rPr lang="en-GB" sz="1100" b="0" u="none" baseline="0">
              <a:solidFill>
                <a:sysClr val="windowText" lastClr="000000"/>
              </a:solidFill>
              <a:latin typeface="+mn-lt"/>
              <a:ea typeface="+mn-ea"/>
              <a:cs typeface="+mn-cs"/>
            </a:rPr>
            <a:t>	</a:t>
          </a:r>
          <a:r>
            <a:rPr lang="en-GB" sz="1100" b="0" baseline="0">
              <a:solidFill>
                <a:schemeClr val="tx1"/>
              </a:solidFill>
              <a:effectLst/>
              <a:latin typeface="+mn-lt"/>
              <a:ea typeface="+mn-ea"/>
              <a:cs typeface="+mn-cs"/>
            </a:rPr>
            <a:t>Answer</a:t>
          </a:r>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Eyes:</a:t>
          </a:r>
          <a:r>
            <a:rPr lang="en-GB" sz="1100" b="0" u="none" baseline="0">
              <a:solidFill>
                <a:sysClr val="windowText" lastClr="000000"/>
              </a:solidFill>
              <a:latin typeface="+mn-lt"/>
              <a:ea typeface="+mn-ea"/>
              <a:cs typeface="+mn-cs"/>
            </a:rPr>
            <a:t>	</a:t>
          </a:r>
          <a:r>
            <a:rPr lang="en-GB" sz="1100" b="0" baseline="0">
              <a:solidFill>
                <a:schemeClr val="tx1"/>
              </a:solidFill>
              <a:effectLst/>
              <a:latin typeface="+mn-lt"/>
              <a:ea typeface="+mn-ea"/>
              <a:cs typeface="+mn-cs"/>
            </a:rPr>
            <a:t>Answer</a:t>
          </a:r>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Ears:</a:t>
          </a:r>
          <a:r>
            <a:rPr lang="en-GB" sz="1100" b="0" u="none" baseline="0">
              <a:solidFill>
                <a:sysClr val="windowText" lastClr="000000"/>
              </a:solidFill>
              <a:latin typeface="+mn-lt"/>
              <a:ea typeface="+mn-ea"/>
              <a:cs typeface="+mn-cs"/>
            </a:rPr>
            <a:t>	</a:t>
          </a:r>
          <a:r>
            <a:rPr lang="en-GB" sz="1100" b="0" baseline="0">
              <a:solidFill>
                <a:schemeClr val="tx1"/>
              </a:solidFill>
              <a:effectLst/>
              <a:latin typeface="+mn-lt"/>
              <a:ea typeface="+mn-ea"/>
              <a:cs typeface="+mn-cs"/>
            </a:rPr>
            <a:t>Answer</a:t>
          </a:r>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Nose:</a:t>
          </a:r>
          <a:r>
            <a:rPr lang="en-GB" sz="1100" b="0" u="none" baseline="0">
              <a:solidFill>
                <a:sysClr val="windowText" lastClr="000000"/>
              </a:solidFill>
              <a:latin typeface="+mn-lt"/>
              <a:ea typeface="+mn-ea"/>
              <a:cs typeface="+mn-cs"/>
            </a:rPr>
            <a:t>	</a:t>
          </a:r>
          <a:r>
            <a:rPr lang="en-GB" sz="1100" b="0" baseline="0">
              <a:solidFill>
                <a:schemeClr val="tx1"/>
              </a:solidFill>
              <a:effectLst/>
              <a:latin typeface="+mn-lt"/>
              <a:ea typeface="+mn-ea"/>
              <a:cs typeface="+mn-cs"/>
            </a:rPr>
            <a:t>Answer</a:t>
          </a:r>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Mouth:</a:t>
          </a:r>
          <a:r>
            <a:rPr lang="en-GB" sz="1100" b="0" u="none" baseline="0">
              <a:solidFill>
                <a:sysClr val="windowText" lastClr="000000"/>
              </a:solidFill>
              <a:latin typeface="+mn-lt"/>
              <a:ea typeface="+mn-ea"/>
              <a:cs typeface="+mn-cs"/>
            </a:rPr>
            <a:t>	</a:t>
          </a:r>
          <a:r>
            <a:rPr lang="en-GB" sz="1100" b="0" baseline="0">
              <a:solidFill>
                <a:schemeClr val="tx1"/>
              </a:solidFill>
              <a:effectLst/>
              <a:latin typeface="+mn-lt"/>
              <a:ea typeface="+mn-ea"/>
              <a:cs typeface="+mn-cs"/>
            </a:rPr>
            <a:t>Answer</a:t>
          </a:r>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Neck:</a:t>
          </a:r>
          <a:r>
            <a:rPr lang="en-GB" sz="1100" b="0" u="none" baseline="0">
              <a:solidFill>
                <a:sysClr val="windowText" lastClr="000000"/>
              </a:solidFill>
              <a:latin typeface="+mn-lt"/>
              <a:ea typeface="+mn-ea"/>
              <a:cs typeface="+mn-cs"/>
            </a:rPr>
            <a:t>	</a:t>
          </a:r>
          <a:r>
            <a:rPr lang="en-GB" sz="1100" b="0" baseline="0">
              <a:solidFill>
                <a:schemeClr val="tx1"/>
              </a:solidFill>
              <a:effectLst/>
              <a:latin typeface="+mn-lt"/>
              <a:ea typeface="+mn-ea"/>
              <a:cs typeface="+mn-cs"/>
            </a:rPr>
            <a:t>Answer</a:t>
          </a:r>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Shoulders:</a:t>
          </a:r>
          <a:r>
            <a:rPr lang="en-GB" sz="1100" b="0" u="none" baseline="0">
              <a:solidFill>
                <a:sysClr val="windowText" lastClr="000000"/>
              </a:solidFill>
              <a:latin typeface="+mn-lt"/>
              <a:ea typeface="+mn-ea"/>
              <a:cs typeface="+mn-cs"/>
            </a:rPr>
            <a:t>	</a:t>
          </a:r>
          <a:r>
            <a:rPr lang="en-GB" sz="1100" b="0" baseline="0">
              <a:solidFill>
                <a:schemeClr val="tx1"/>
              </a:solidFill>
              <a:effectLst/>
              <a:latin typeface="+mn-lt"/>
              <a:ea typeface="+mn-ea"/>
              <a:cs typeface="+mn-cs"/>
            </a:rPr>
            <a:t>Answer</a:t>
          </a:r>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Back:</a:t>
          </a:r>
          <a:r>
            <a:rPr lang="en-GB" sz="1100" b="0" u="none" baseline="0">
              <a:solidFill>
                <a:sysClr val="windowText" lastClr="000000"/>
              </a:solidFill>
              <a:latin typeface="+mn-lt"/>
              <a:ea typeface="+mn-ea"/>
              <a:cs typeface="+mn-cs"/>
            </a:rPr>
            <a:t>	</a:t>
          </a:r>
          <a:r>
            <a:rPr lang="en-GB" sz="1100" b="0" baseline="0">
              <a:solidFill>
                <a:schemeClr val="tx1"/>
              </a:solidFill>
              <a:effectLst/>
              <a:latin typeface="+mn-lt"/>
              <a:ea typeface="+mn-ea"/>
              <a:cs typeface="+mn-cs"/>
            </a:rPr>
            <a:t>Answer</a:t>
          </a:r>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Arms:</a:t>
          </a:r>
          <a:r>
            <a:rPr lang="en-GB" sz="1100" b="0" u="none" baseline="0">
              <a:solidFill>
                <a:sysClr val="windowText" lastClr="000000"/>
              </a:solidFill>
              <a:latin typeface="+mn-lt"/>
              <a:ea typeface="+mn-ea"/>
              <a:cs typeface="+mn-cs"/>
            </a:rPr>
            <a:t>	</a:t>
          </a:r>
          <a:r>
            <a:rPr lang="en-GB" sz="1100" b="0" baseline="0">
              <a:solidFill>
                <a:schemeClr val="tx1"/>
              </a:solidFill>
              <a:effectLst/>
              <a:latin typeface="+mn-lt"/>
              <a:ea typeface="+mn-ea"/>
              <a:cs typeface="+mn-cs"/>
            </a:rPr>
            <a:t>Answer</a:t>
          </a:r>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Hands:</a:t>
          </a:r>
          <a:r>
            <a:rPr lang="en-GB" sz="1100" b="0" u="none" baseline="0">
              <a:solidFill>
                <a:sysClr val="windowText" lastClr="000000"/>
              </a:solidFill>
              <a:latin typeface="+mn-lt"/>
              <a:ea typeface="+mn-ea"/>
              <a:cs typeface="+mn-cs"/>
            </a:rPr>
            <a:t>	</a:t>
          </a:r>
          <a:r>
            <a:rPr lang="en-GB" sz="1100" b="0" baseline="0">
              <a:solidFill>
                <a:schemeClr val="tx1"/>
              </a:solidFill>
              <a:effectLst/>
              <a:latin typeface="+mn-lt"/>
              <a:ea typeface="+mn-ea"/>
              <a:cs typeface="+mn-cs"/>
            </a:rPr>
            <a:t>Answer</a:t>
          </a:r>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Chest:</a:t>
          </a:r>
          <a:r>
            <a:rPr lang="en-GB" sz="1100" b="0" u="none" baseline="0">
              <a:solidFill>
                <a:sysClr val="windowText" lastClr="000000"/>
              </a:solidFill>
              <a:latin typeface="+mn-lt"/>
              <a:ea typeface="+mn-ea"/>
              <a:cs typeface="+mn-cs"/>
            </a:rPr>
            <a:t>	</a:t>
          </a:r>
          <a:r>
            <a:rPr lang="en-GB" sz="1100" b="0" baseline="0">
              <a:solidFill>
                <a:schemeClr val="tx1"/>
              </a:solidFill>
              <a:effectLst/>
              <a:latin typeface="+mn-lt"/>
              <a:ea typeface="+mn-ea"/>
              <a:cs typeface="+mn-cs"/>
            </a:rPr>
            <a:t>Answer</a:t>
          </a:r>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Stomach</a:t>
          </a:r>
          <a:r>
            <a:rPr lang="en-GB" sz="1100" b="0" u="none" baseline="0">
              <a:solidFill>
                <a:sysClr val="windowText" lastClr="000000"/>
              </a:solidFill>
              <a:latin typeface="+mn-lt"/>
              <a:ea typeface="+mn-ea"/>
              <a:cs typeface="+mn-cs"/>
            </a:rPr>
            <a:t>:	</a:t>
          </a:r>
          <a:r>
            <a:rPr lang="en-GB" sz="1100" b="0" baseline="0">
              <a:solidFill>
                <a:schemeClr val="tx1"/>
              </a:solidFill>
              <a:effectLst/>
              <a:latin typeface="+mn-lt"/>
              <a:ea typeface="+mn-ea"/>
              <a:cs typeface="+mn-cs"/>
            </a:rPr>
            <a:t>Answer</a:t>
          </a:r>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Crotch:</a:t>
          </a:r>
          <a:r>
            <a:rPr lang="en-GB" sz="1100" b="0" u="none" baseline="0">
              <a:solidFill>
                <a:sysClr val="windowText" lastClr="000000"/>
              </a:solidFill>
              <a:latin typeface="+mn-lt"/>
              <a:ea typeface="+mn-ea"/>
              <a:cs typeface="+mn-cs"/>
            </a:rPr>
            <a:t>	</a:t>
          </a:r>
          <a:r>
            <a:rPr lang="en-GB" sz="1100" b="0" baseline="0">
              <a:solidFill>
                <a:schemeClr val="tx1"/>
              </a:solidFill>
              <a:effectLst/>
              <a:latin typeface="+mn-lt"/>
              <a:ea typeface="+mn-ea"/>
              <a:cs typeface="+mn-cs"/>
            </a:rPr>
            <a:t>Answer</a:t>
          </a:r>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Hips:</a:t>
          </a:r>
          <a:r>
            <a:rPr lang="en-GB" sz="1100" b="0" u="none" baseline="0">
              <a:solidFill>
                <a:sysClr val="windowText" lastClr="000000"/>
              </a:solidFill>
              <a:latin typeface="+mn-lt"/>
              <a:ea typeface="+mn-ea"/>
              <a:cs typeface="+mn-cs"/>
            </a:rPr>
            <a:t>	</a:t>
          </a:r>
          <a:r>
            <a:rPr lang="en-GB" sz="1100" b="0" baseline="0">
              <a:solidFill>
                <a:schemeClr val="tx1"/>
              </a:solidFill>
              <a:effectLst/>
              <a:latin typeface="+mn-lt"/>
              <a:ea typeface="+mn-ea"/>
              <a:cs typeface="+mn-cs"/>
            </a:rPr>
            <a:t>Answer</a:t>
          </a:r>
        </a:p>
        <a:p>
          <a:pPr marL="0" indent="0" algn="l"/>
          <a:r>
            <a:rPr lang="en-GB" sz="1100" b="1" u="none" baseline="0">
              <a:solidFill>
                <a:schemeClr val="tx1"/>
              </a:solidFill>
              <a:effectLst/>
              <a:latin typeface="+mn-lt"/>
              <a:ea typeface="+mn-ea"/>
              <a:cs typeface="+mn-cs"/>
            </a:rPr>
            <a:t>Bottom:</a:t>
          </a:r>
          <a:r>
            <a:rPr lang="en-GB" sz="1100" b="0" u="none" baseline="0">
              <a:solidFill>
                <a:schemeClr val="tx1"/>
              </a:solidFill>
              <a:effectLst/>
              <a:latin typeface="+mn-lt"/>
              <a:ea typeface="+mn-ea"/>
              <a:cs typeface="+mn-cs"/>
            </a:rPr>
            <a:t>	</a:t>
          </a:r>
          <a:r>
            <a:rPr lang="en-GB" sz="1100" b="0" baseline="0">
              <a:solidFill>
                <a:schemeClr val="tx1"/>
              </a:solidFill>
              <a:effectLst/>
              <a:latin typeface="+mn-lt"/>
              <a:ea typeface="+mn-ea"/>
              <a:cs typeface="+mn-cs"/>
            </a:rPr>
            <a:t>Answer</a:t>
          </a:r>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Legs:	</a:t>
          </a:r>
          <a:r>
            <a:rPr lang="en-GB" sz="1100" b="0" baseline="0">
              <a:solidFill>
                <a:schemeClr val="tx1"/>
              </a:solidFill>
              <a:effectLst/>
              <a:latin typeface="+mn-lt"/>
              <a:ea typeface="+mn-ea"/>
              <a:cs typeface="+mn-cs"/>
            </a:rPr>
            <a:t>Answer</a:t>
          </a:r>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Feet:</a:t>
          </a:r>
          <a:r>
            <a:rPr lang="en-GB" sz="1100" b="0" u="none" baseline="0">
              <a:solidFill>
                <a:sysClr val="windowText" lastClr="000000"/>
              </a:solidFill>
              <a:latin typeface="+mn-lt"/>
              <a:ea typeface="+mn-ea"/>
              <a:cs typeface="+mn-cs"/>
            </a:rPr>
            <a:t>	</a:t>
          </a:r>
          <a:r>
            <a:rPr lang="en-GB" sz="1100" b="0" baseline="0">
              <a:solidFill>
                <a:schemeClr val="tx1"/>
              </a:solidFill>
              <a:effectLst/>
              <a:latin typeface="+mn-lt"/>
              <a:ea typeface="+mn-ea"/>
              <a:cs typeface="+mn-cs"/>
            </a:rPr>
            <a:t>Answer</a:t>
          </a:r>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Skin:</a:t>
          </a:r>
          <a:r>
            <a:rPr lang="en-GB" sz="1100" b="0" u="none" baseline="0">
              <a:solidFill>
                <a:sysClr val="windowText" lastClr="000000"/>
              </a:solidFill>
              <a:latin typeface="+mn-lt"/>
              <a:ea typeface="+mn-ea"/>
              <a:cs typeface="+mn-cs"/>
            </a:rPr>
            <a:t>	</a:t>
          </a:r>
          <a:r>
            <a:rPr lang="en-GB" sz="1100" b="0" baseline="0">
              <a:solidFill>
                <a:schemeClr val="tx1"/>
              </a:solidFill>
              <a:effectLst/>
              <a:latin typeface="+mn-lt"/>
              <a:ea typeface="+mn-ea"/>
              <a:cs typeface="+mn-cs"/>
            </a:rPr>
            <a:t>Answer</a:t>
          </a:r>
          <a:endParaRPr lang="en-GB" sz="1100" b="0" u="none" baseline="0">
            <a:solidFill>
              <a:sysClr val="windowText" lastClr="000000"/>
            </a:solidFill>
            <a:latin typeface="+mn-lt"/>
            <a:ea typeface="+mn-ea"/>
            <a:cs typeface="+mn-cs"/>
          </a:endParaRP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What are the 3 parts of my physical appearance that I like the most?</a:t>
          </a:r>
        </a:p>
        <a:p>
          <a:pPr marL="228600" indent="-228600" algn="l">
            <a:buFont typeface="+mj-lt"/>
            <a:buAutoNum type="arabicPeriod"/>
          </a:pPr>
          <a:r>
            <a:rPr lang="en-GB" sz="1100" b="0" u="none" baseline="0">
              <a:solidFill>
                <a:sysClr val="windowText" lastClr="000000"/>
              </a:solidFill>
              <a:latin typeface="+mn-lt"/>
              <a:ea typeface="+mn-ea"/>
              <a:cs typeface="+mn-cs"/>
            </a:rPr>
            <a:t>One</a:t>
          </a:r>
        </a:p>
        <a:p>
          <a:pPr marL="228600" indent="-228600" algn="l">
            <a:buFont typeface="+mj-lt"/>
            <a:buAutoNum type="arabicPeriod"/>
          </a:pPr>
          <a:r>
            <a:rPr lang="en-GB" sz="1100" b="0" u="none" baseline="0">
              <a:solidFill>
                <a:sysClr val="windowText" lastClr="000000"/>
              </a:solidFill>
              <a:latin typeface="+mn-lt"/>
              <a:ea typeface="+mn-ea"/>
              <a:cs typeface="+mn-cs"/>
            </a:rPr>
            <a:t>Two</a:t>
          </a:r>
        </a:p>
        <a:p>
          <a:pPr marL="228600" indent="-228600" algn="l">
            <a:buFont typeface="+mj-lt"/>
            <a:buAutoNum type="arabicPeriod"/>
          </a:pPr>
          <a:r>
            <a:rPr lang="en-GB" sz="1100" b="0" u="none" baseline="0">
              <a:solidFill>
                <a:sysClr val="windowText" lastClr="000000"/>
              </a:solidFill>
              <a:latin typeface="+mn-lt"/>
              <a:ea typeface="+mn-ea"/>
              <a:cs typeface="+mn-cs"/>
            </a:rPr>
            <a:t>Three</a:t>
          </a:r>
        </a:p>
        <a:p>
          <a:pPr marL="0" indent="0" algn="l"/>
          <a:endParaRPr lang="en-GB" sz="1100" b="0" u="none" baseline="0">
            <a:solidFill>
              <a:sysClr val="windowText" lastClr="000000"/>
            </a:solidFill>
            <a:latin typeface="+mn-lt"/>
            <a:ea typeface="+mn-ea"/>
            <a:cs typeface="+mn-cs"/>
          </a:endParaRPr>
        </a:p>
      </xdr:txBody>
    </xdr:sp>
    <xdr:clientData fLocksWithSheet="0"/>
  </xdr:twoCellAnchor>
  <xdr:twoCellAnchor>
    <xdr:from>
      <xdr:col>3</xdr:col>
      <xdr:colOff>0</xdr:colOff>
      <xdr:row>147</xdr:row>
      <xdr:rowOff>1350</xdr:rowOff>
    </xdr:from>
    <xdr:to>
      <xdr:col>20</xdr:col>
      <xdr:colOff>1800</xdr:colOff>
      <xdr:row>150</xdr:row>
      <xdr:rowOff>2700</xdr:rowOff>
    </xdr:to>
    <xdr:sp macro="" textlink="" fLocksText="0">
      <xdr:nvSpPr>
        <xdr:cNvPr id="8" name="TextBox 7">
          <a:extLst>
            <a:ext uri="{FF2B5EF4-FFF2-40B4-BE49-F238E27FC236}">
              <a16:creationId xmlns:a16="http://schemas.microsoft.com/office/drawing/2014/main" id="{FB694BFD-F887-49BD-8A3B-8DF538CF2F7F}"/>
            </a:ext>
          </a:extLst>
        </xdr:cNvPr>
        <xdr:cNvSpPr txBox="1"/>
      </xdr:nvSpPr>
      <xdr:spPr>
        <a:xfrm>
          <a:off x="685800" y="30805200"/>
          <a:ext cx="3888000" cy="630000"/>
        </a:xfrm>
        <a:prstGeom prst="rect">
          <a:avLst/>
        </a:prstGeom>
        <a:solidFill>
          <a:srgbClr val="FFFFFF">
            <a:alpha val="85098"/>
          </a:srgb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ysClr val="windowText" lastClr="000000"/>
              </a:solidFill>
              <a:latin typeface="+mn-lt"/>
              <a:ea typeface="+mn-ea"/>
              <a:cs typeface="+mn-cs"/>
            </a:rPr>
            <a:t>EXERCISE ON HIGHLIGHTING DESIRES</a:t>
          </a:r>
        </a:p>
        <a:p>
          <a:pPr marL="0" indent="0"/>
          <a:r>
            <a:rPr lang="en-GB" sz="1200" b="0" u="none" baseline="0">
              <a:solidFill>
                <a:sysClr val="windowText" lastClr="000000"/>
              </a:solidFill>
              <a:latin typeface="+mn-lt"/>
              <a:ea typeface="+mn-ea"/>
              <a:cs typeface="+mn-cs"/>
            </a:rPr>
            <a:t>ddd DDdd TT:TT</a:t>
          </a:r>
          <a:endParaRPr lang="en-GB" sz="1200" b="1" u="none" baseline="0">
            <a:solidFill>
              <a:sysClr val="windowText" lastClr="000000"/>
            </a:solidFill>
            <a:latin typeface="+mn-lt"/>
            <a:ea typeface="+mn-ea"/>
            <a:cs typeface="+mn-cs"/>
          </a:endParaRPr>
        </a:p>
        <a:p>
          <a:pPr marL="0" indent="0" algn="l"/>
          <a:r>
            <a:rPr lang="en-GB" sz="1200" b="0" u="none" baseline="0">
              <a:solidFill>
                <a:sysClr val="windowText" lastClr="000000"/>
              </a:solidFill>
              <a:latin typeface="+mn-lt"/>
              <a:ea typeface="+mn-ea"/>
              <a:cs typeface="+mn-cs"/>
            </a:rPr>
            <a:t>_________________________________________________</a:t>
          </a:r>
        </a:p>
        <a:p>
          <a:pPr marL="0" indent="0" algn="l"/>
          <a:endParaRPr lang="en-GB" sz="1100" b="0" u="none" baseline="0">
            <a:solidFill>
              <a:sysClr val="windowText" lastClr="000000"/>
            </a:solidFill>
            <a:latin typeface="+mn-lt"/>
            <a:ea typeface="+mn-ea"/>
            <a:cs typeface="+mn-cs"/>
          </a:endParaRPr>
        </a:p>
        <a:p>
          <a:pPr marL="0" indent="0" algn="l"/>
          <a:r>
            <a:rPr lang="en-GB" sz="1100" b="0" i="1" u="none" baseline="0">
              <a:solidFill>
                <a:sysClr val="windowText" lastClr="000000"/>
              </a:solidFill>
              <a:latin typeface="+mn-lt"/>
              <a:ea typeface="+mn-ea"/>
              <a:cs typeface="+mn-cs"/>
            </a:rPr>
            <a:t>[based on advice given by Mel Robbins]</a:t>
          </a:r>
        </a:p>
        <a:p>
          <a:pPr marL="0" indent="0" algn="l"/>
          <a:endParaRPr lang="en-GB" sz="1100" b="0" i="1" u="none" baseline="0">
            <a:solidFill>
              <a:sysClr val="windowText" lastClr="000000"/>
            </a:solidFill>
            <a:latin typeface="+mn-lt"/>
            <a:ea typeface="+mn-ea"/>
            <a:cs typeface="+mn-cs"/>
          </a:endParaRPr>
        </a:p>
        <a:p>
          <a:pPr marL="0" indent="0" algn="l"/>
          <a:r>
            <a:rPr lang="en-GB" sz="1100" b="0" i="1" u="none" baseline="0">
              <a:solidFill>
                <a:sysClr val="windowText" lastClr="000000"/>
              </a:solidFill>
              <a:latin typeface="+mn-lt"/>
              <a:ea typeface="+mn-ea"/>
              <a:cs typeface="+mn-cs"/>
            </a:rPr>
            <a:t>Writing down five things that I want. They can be different things every day. Doing this I will start to tune into what I desire. </a:t>
          </a:r>
          <a:r>
            <a:rPr lang="en-GB" sz="1100" b="0" i="1" baseline="0">
              <a:solidFill>
                <a:schemeClr val="tx1"/>
              </a:solidFill>
              <a:effectLst/>
              <a:latin typeface="+mn-lt"/>
              <a:ea typeface="+mn-ea"/>
              <a:cs typeface="+mn-cs"/>
            </a:rPr>
            <a:t>The writing is important because the mind is paying attention. </a:t>
          </a:r>
          <a:endParaRPr lang="en-GB" sz="1100" b="0" i="1" u="none" baseline="0">
            <a:solidFill>
              <a:sysClr val="windowText" lastClr="000000"/>
            </a:solidFill>
            <a:latin typeface="+mn-lt"/>
            <a:ea typeface="+mn-ea"/>
            <a:cs typeface="+mn-cs"/>
          </a:endParaRPr>
        </a:p>
        <a:p>
          <a:pPr marL="0" indent="0" algn="l"/>
          <a:r>
            <a:rPr lang="en-GB" sz="1100" b="0" i="1" u="none" baseline="0">
              <a:solidFill>
                <a:sysClr val="windowText" lastClr="000000"/>
              </a:solidFill>
              <a:latin typeface="+mn-lt"/>
              <a:ea typeface="+mn-ea"/>
              <a:cs typeface="+mn-cs"/>
            </a:rPr>
            <a:t>Each thing might be something small, eg. a new book. It might be something to be, eg. to be happy. It might be a feeling, eg. I want to feel less isolated, or I want to feel like myself again.</a:t>
          </a: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Write the five things I want today:</a:t>
          </a:r>
          <a:endParaRPr lang="en-GB" sz="1100" b="0" u="none" baseline="0">
            <a:solidFill>
              <a:sysClr val="windowText" lastClr="000000"/>
            </a:solidFill>
            <a:latin typeface="+mn-lt"/>
            <a:ea typeface="+mn-ea"/>
            <a:cs typeface="+mn-cs"/>
          </a:endParaRPr>
        </a:p>
        <a:p>
          <a:pPr marL="171450" indent="-171450" algn="l">
            <a:buFont typeface="Arial" panose="020B0604020202020204" pitchFamily="34" charset="0"/>
            <a:buChar char="•"/>
          </a:pPr>
          <a:r>
            <a:rPr lang="en-GB" sz="1100" b="0" u="none" baseline="0">
              <a:solidFill>
                <a:sysClr val="windowText" lastClr="000000"/>
              </a:solidFill>
              <a:latin typeface="+mn-lt"/>
              <a:ea typeface="+mn-ea"/>
              <a:cs typeface="+mn-cs"/>
            </a:rPr>
            <a:t>First thing:</a:t>
          </a:r>
        </a:p>
        <a:p>
          <a:pPr marL="171450" indent="-171450" algn="l">
            <a:buFont typeface="Arial" panose="020B0604020202020204" pitchFamily="34" charset="0"/>
            <a:buChar char="•"/>
          </a:pPr>
          <a:r>
            <a:rPr lang="en-GB" sz="1100" b="0" u="none" baseline="0">
              <a:solidFill>
                <a:sysClr val="windowText" lastClr="000000"/>
              </a:solidFill>
              <a:latin typeface="+mn-lt"/>
              <a:ea typeface="+mn-ea"/>
              <a:cs typeface="+mn-cs"/>
            </a:rPr>
            <a:t>Second thing:</a:t>
          </a:r>
        </a:p>
        <a:p>
          <a:pPr marL="171450" indent="-171450" algn="l">
            <a:buFont typeface="Arial" panose="020B0604020202020204" pitchFamily="34" charset="0"/>
            <a:buChar char="•"/>
          </a:pPr>
          <a:r>
            <a:rPr lang="en-GB" sz="1100" b="0" u="none" baseline="0">
              <a:solidFill>
                <a:sysClr val="windowText" lastClr="000000"/>
              </a:solidFill>
              <a:latin typeface="+mn-lt"/>
              <a:ea typeface="+mn-ea"/>
              <a:cs typeface="+mn-cs"/>
            </a:rPr>
            <a:t>Third thing:</a:t>
          </a:r>
        </a:p>
        <a:p>
          <a:pPr marL="171450" indent="-171450" algn="l">
            <a:buFont typeface="Arial" panose="020B0604020202020204" pitchFamily="34" charset="0"/>
            <a:buChar char="•"/>
          </a:pPr>
          <a:r>
            <a:rPr lang="en-GB" sz="1100" b="0" u="none" baseline="0">
              <a:solidFill>
                <a:sysClr val="windowText" lastClr="000000"/>
              </a:solidFill>
              <a:latin typeface="+mn-lt"/>
              <a:ea typeface="+mn-ea"/>
              <a:cs typeface="+mn-cs"/>
            </a:rPr>
            <a:t>Fourth thing:</a:t>
          </a:r>
        </a:p>
        <a:p>
          <a:pPr marL="171450" indent="-171450" algn="l">
            <a:buFont typeface="Arial" panose="020B0604020202020204" pitchFamily="34" charset="0"/>
            <a:buChar char="•"/>
          </a:pPr>
          <a:r>
            <a:rPr lang="en-GB" sz="1100" b="0" u="none" baseline="0">
              <a:solidFill>
                <a:sysClr val="windowText" lastClr="000000"/>
              </a:solidFill>
              <a:latin typeface="+mn-lt"/>
              <a:ea typeface="+mn-ea"/>
              <a:cs typeface="+mn-cs"/>
            </a:rPr>
            <a:t>Fifth thing:</a:t>
          </a:r>
        </a:p>
        <a:p>
          <a:pPr marL="0" indent="0" algn="l"/>
          <a:r>
            <a:rPr lang="en-GB" sz="1100" b="0" u="none" baseline="0">
              <a:solidFill>
                <a:sysClr val="windowText" lastClr="000000"/>
              </a:solidFill>
              <a:latin typeface="+mn-lt"/>
              <a:ea typeface="+mn-ea"/>
              <a:cs typeface="+mn-cs"/>
            </a:rPr>
            <a:t> </a:t>
          </a:r>
        </a:p>
        <a:p>
          <a:pPr marL="0" indent="0" algn="l"/>
          <a:r>
            <a:rPr lang="en-GB" sz="1100" b="0" i="1" u="none" baseline="0">
              <a:solidFill>
                <a:sysClr val="windowText" lastClr="000000"/>
              </a:solidFill>
              <a:latin typeface="+mn-lt"/>
              <a:ea typeface="+mn-ea"/>
              <a:cs typeface="+mn-cs"/>
            </a:rPr>
            <a:t>Allow the things that I desire to flow through the self-doubt, through the negativity, and through the crap that buries it, pushes it down. Allow it all to come to the surface</a:t>
          </a:r>
          <a:r>
            <a:rPr lang="en-GB" sz="1100" b="1" u="none" baseline="0">
              <a:solidFill>
                <a:sysClr val="windowText" lastClr="000000"/>
              </a:solidFill>
              <a:latin typeface="+mn-lt"/>
              <a:ea typeface="+mn-ea"/>
              <a:cs typeface="+mn-cs"/>
            </a:rPr>
            <a:t>. </a:t>
          </a: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Next, write down why I want the things above:</a:t>
          </a:r>
          <a:endParaRPr lang="en-GB" sz="1100" b="0" u="none" baseline="0">
            <a:solidFill>
              <a:sysClr val="windowText" lastClr="000000"/>
            </a:solidFill>
            <a:latin typeface="+mn-lt"/>
            <a:ea typeface="+mn-ea"/>
            <a:cs typeface="+mn-cs"/>
          </a:endParaRPr>
        </a:p>
        <a:p>
          <a:pPr marL="171450" indent="-171450" algn="l">
            <a:buFont typeface="Arial" panose="020B0604020202020204" pitchFamily="34" charset="0"/>
            <a:buChar char="•"/>
          </a:pPr>
          <a:r>
            <a:rPr lang="en-GB" sz="1100" b="0" u="none" baseline="0">
              <a:solidFill>
                <a:sysClr val="windowText" lastClr="000000"/>
              </a:solidFill>
              <a:latin typeface="+mn-lt"/>
              <a:ea typeface="+mn-ea"/>
              <a:cs typeface="+mn-cs"/>
            </a:rPr>
            <a:t>First why:</a:t>
          </a:r>
        </a:p>
        <a:p>
          <a:pPr marL="171450" indent="-171450" algn="l">
            <a:buFont typeface="Arial" panose="020B0604020202020204" pitchFamily="34" charset="0"/>
            <a:buChar char="•"/>
          </a:pPr>
          <a:r>
            <a:rPr lang="en-GB" sz="1100" b="0" u="none" baseline="0">
              <a:solidFill>
                <a:sysClr val="windowText" lastClr="000000"/>
              </a:solidFill>
              <a:latin typeface="+mn-lt"/>
              <a:ea typeface="+mn-ea"/>
              <a:cs typeface="+mn-cs"/>
            </a:rPr>
            <a:t>Second why:</a:t>
          </a:r>
        </a:p>
        <a:p>
          <a:pPr marL="171450" indent="-171450" algn="l">
            <a:buFont typeface="Arial" panose="020B0604020202020204" pitchFamily="34" charset="0"/>
            <a:buChar char="•"/>
          </a:pPr>
          <a:r>
            <a:rPr lang="en-GB" sz="1100" b="0" u="none" baseline="0">
              <a:solidFill>
                <a:sysClr val="windowText" lastClr="000000"/>
              </a:solidFill>
              <a:latin typeface="+mn-lt"/>
              <a:ea typeface="+mn-ea"/>
              <a:cs typeface="+mn-cs"/>
            </a:rPr>
            <a:t>Third why:</a:t>
          </a:r>
        </a:p>
        <a:p>
          <a:pPr marL="171450" indent="-171450" algn="l">
            <a:buFont typeface="Arial" panose="020B0604020202020204" pitchFamily="34" charset="0"/>
            <a:buChar char="•"/>
          </a:pPr>
          <a:r>
            <a:rPr lang="en-GB" sz="1100" b="0" u="none" baseline="0">
              <a:solidFill>
                <a:sysClr val="windowText" lastClr="000000"/>
              </a:solidFill>
              <a:latin typeface="+mn-lt"/>
              <a:ea typeface="+mn-ea"/>
              <a:cs typeface="+mn-cs"/>
            </a:rPr>
            <a:t>Fourth why:</a:t>
          </a:r>
        </a:p>
        <a:p>
          <a:pPr marL="171450" indent="-171450" algn="l">
            <a:buFont typeface="Arial" panose="020B0604020202020204" pitchFamily="34" charset="0"/>
            <a:buChar char="•"/>
          </a:pPr>
          <a:r>
            <a:rPr lang="en-GB" sz="1100" b="0" u="none" baseline="0">
              <a:solidFill>
                <a:sysClr val="windowText" lastClr="000000"/>
              </a:solidFill>
              <a:latin typeface="+mn-lt"/>
              <a:ea typeface="+mn-ea"/>
              <a:cs typeface="+mn-cs"/>
            </a:rPr>
            <a:t>Fifth why:</a:t>
          </a:r>
        </a:p>
        <a:p>
          <a:pPr marL="0" indent="0"/>
          <a:endParaRPr lang="en-GB" sz="1100" b="0" u="none" baseline="0">
            <a:solidFill>
              <a:sysClr val="windowText" lastClr="000000"/>
            </a:solidFill>
            <a:latin typeface="+mn-lt"/>
            <a:ea typeface="+mn-ea"/>
            <a:cs typeface="+mn-cs"/>
          </a:endParaRPr>
        </a:p>
      </xdr:txBody>
    </xdr:sp>
    <xdr:clientData fLocksWithSheet="0"/>
  </xdr:twoCellAnchor>
  <xdr:twoCellAnchor>
    <xdr:from>
      <xdr:col>3</xdr:col>
      <xdr:colOff>0</xdr:colOff>
      <xdr:row>150</xdr:row>
      <xdr:rowOff>1350</xdr:rowOff>
    </xdr:from>
    <xdr:to>
      <xdr:col>20</xdr:col>
      <xdr:colOff>1800</xdr:colOff>
      <xdr:row>153</xdr:row>
      <xdr:rowOff>2700</xdr:rowOff>
    </xdr:to>
    <xdr:sp macro="" textlink="" fLocksText="0">
      <xdr:nvSpPr>
        <xdr:cNvPr id="10" name="TextBox 9">
          <a:extLst>
            <a:ext uri="{FF2B5EF4-FFF2-40B4-BE49-F238E27FC236}">
              <a16:creationId xmlns:a16="http://schemas.microsoft.com/office/drawing/2014/main" id="{563FB881-F489-4F81-BDC8-912F4B459EF7}"/>
            </a:ext>
          </a:extLst>
        </xdr:cNvPr>
        <xdr:cNvSpPr txBox="1"/>
      </xdr:nvSpPr>
      <xdr:spPr>
        <a:xfrm>
          <a:off x="685800" y="31433850"/>
          <a:ext cx="3888000" cy="630000"/>
        </a:xfrm>
        <a:prstGeom prst="rect">
          <a:avLst/>
        </a:prstGeom>
        <a:solidFill>
          <a:srgbClr val="FFFFFF">
            <a:alpha val="85098"/>
          </a:srgb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ysClr val="windowText" lastClr="000000"/>
              </a:solidFill>
              <a:latin typeface="+mn-lt"/>
              <a:ea typeface="+mn-ea"/>
              <a:cs typeface="+mn-cs"/>
            </a:rPr>
            <a:t>EXERCISE ON MAKING ONE FUNDAMENTAL CHANGE</a:t>
          </a:r>
        </a:p>
        <a:p>
          <a:pPr marL="0" indent="0"/>
          <a:r>
            <a:rPr lang="en-GB" sz="1200" b="0" u="none" baseline="0">
              <a:solidFill>
                <a:sysClr val="windowText" lastClr="000000"/>
              </a:solidFill>
              <a:latin typeface="+mn-lt"/>
              <a:ea typeface="+mn-ea"/>
              <a:cs typeface="+mn-cs"/>
            </a:rPr>
            <a:t>ddd DDdd TT:TT</a:t>
          </a:r>
          <a:endParaRPr lang="en-GB" sz="1200" b="1" u="none" baseline="0">
            <a:solidFill>
              <a:sysClr val="windowText" lastClr="000000"/>
            </a:solidFill>
            <a:latin typeface="+mn-lt"/>
            <a:ea typeface="+mn-ea"/>
            <a:cs typeface="+mn-cs"/>
          </a:endParaRPr>
        </a:p>
        <a:p>
          <a:pPr marL="0" indent="0" algn="l"/>
          <a:r>
            <a:rPr lang="en-GB" sz="1200" b="0" u="none" baseline="0">
              <a:solidFill>
                <a:sysClr val="windowText" lastClr="000000"/>
              </a:solidFill>
              <a:latin typeface="+mn-lt"/>
              <a:ea typeface="+mn-ea"/>
              <a:cs typeface="+mn-cs"/>
            </a:rPr>
            <a:t>_________________________________________________</a:t>
          </a:r>
        </a:p>
        <a:p>
          <a:pPr marL="0" indent="0" algn="l"/>
          <a:endParaRPr lang="en-GB" sz="1100" b="0" u="none" baseline="0">
            <a:solidFill>
              <a:sysClr val="windowText" lastClr="000000"/>
            </a:solidFill>
            <a:latin typeface="+mn-lt"/>
            <a:ea typeface="+mn-ea"/>
            <a:cs typeface="+mn-cs"/>
          </a:endParaRPr>
        </a:p>
        <a:p>
          <a:pPr marL="0" indent="0" algn="l"/>
          <a:r>
            <a:rPr lang="en-GB" sz="1100" b="0" i="1" u="none" baseline="0">
              <a:solidFill>
                <a:sysClr val="windowText" lastClr="000000"/>
              </a:solidFill>
              <a:latin typeface="+mn-lt"/>
              <a:ea typeface="+mn-ea"/>
              <a:cs typeface="+mn-cs"/>
            </a:rPr>
            <a:t>[based exercises in the book 'Immunity to Change' by Robert Kegan &amp; Lisa Laskow Lahey]</a:t>
          </a:r>
        </a:p>
        <a:p>
          <a:pPr marL="0" indent="0" algn="l"/>
          <a:endParaRPr lang="en-GB" sz="1100" b="0" i="1" u="none" baseline="0">
            <a:solidFill>
              <a:sysClr val="windowText" lastClr="000000"/>
            </a:solidFill>
            <a:latin typeface="+mn-lt"/>
            <a:ea typeface="+mn-ea"/>
            <a:cs typeface="+mn-cs"/>
          </a:endParaRPr>
        </a:p>
        <a:p>
          <a:pPr marL="0" indent="0" algn="l"/>
          <a:r>
            <a:rPr lang="en-GB" sz="1100" b="0" i="1" u="none" baseline="0">
              <a:solidFill>
                <a:sysClr val="windowText" lastClr="000000"/>
              </a:solidFill>
              <a:latin typeface="+mn-lt"/>
              <a:ea typeface="+mn-ea"/>
              <a:cs typeface="+mn-cs"/>
            </a:rPr>
            <a:t>The one-big-thing is the is the main aspect of myself or my habits that I should change, improve or work on, it is the thing that stands out most, or holds me back most, or would help me most to remove, alter or develop.</a:t>
          </a:r>
        </a:p>
        <a:p>
          <a:pPr marL="0" indent="0" algn="l"/>
          <a:endParaRPr lang="en-GB" sz="1100" b="1" u="none" baseline="0">
            <a:solidFill>
              <a:sysClr val="windowText" lastClr="000000"/>
            </a:solidFill>
            <a:latin typeface="+mn-lt"/>
            <a:ea typeface="+mn-ea"/>
            <a:cs typeface="+mn-cs"/>
          </a:endParaRPr>
        </a:p>
        <a:p>
          <a:pPr marL="0" indent="0" algn="l"/>
          <a:r>
            <a:rPr lang="en-GB" sz="1100" b="1" i="0" u="none" baseline="0">
              <a:solidFill>
                <a:sysClr val="windowText" lastClr="000000"/>
              </a:solidFill>
              <a:latin typeface="+mn-lt"/>
              <a:ea typeface="+mn-ea"/>
              <a:cs typeface="+mn-cs"/>
            </a:rPr>
            <a:t>What do I think is my </a:t>
          </a:r>
          <a:r>
            <a:rPr lang="en-GB" sz="1100" b="1" i="0" baseline="0">
              <a:solidFill>
                <a:schemeClr val="tx1"/>
              </a:solidFill>
              <a:effectLst/>
              <a:latin typeface="+mn-lt"/>
              <a:ea typeface="+mn-ea"/>
              <a:cs typeface="+mn-cs"/>
            </a:rPr>
            <a:t>one-big-thing </a:t>
          </a:r>
          <a:r>
            <a:rPr lang="en-GB" sz="1100" b="1" i="0" u="none" baseline="0">
              <a:solidFill>
                <a:sysClr val="windowText" lastClr="000000"/>
              </a:solidFill>
              <a:latin typeface="+mn-lt"/>
              <a:ea typeface="+mn-ea"/>
              <a:cs typeface="+mn-cs"/>
            </a:rPr>
            <a:t>right now? </a:t>
          </a:r>
        </a:p>
        <a:p>
          <a:pPr marL="0" indent="0" algn="l"/>
          <a:r>
            <a:rPr lang="en-GB" sz="1100" b="0" u="none" baseline="0">
              <a:solidFill>
                <a:sysClr val="windowText" lastClr="000000"/>
              </a:solidFill>
              <a:latin typeface="+mn-lt"/>
              <a:ea typeface="+mn-ea"/>
              <a:cs typeface="+mn-cs"/>
            </a:rPr>
            <a:t>Answer.</a:t>
          </a: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Asking three people close to me or that know me well: what do they each think is my one-big-thing right now?</a:t>
          </a:r>
        </a:p>
        <a:p>
          <a:pPr marL="0" indent="0" algn="l"/>
          <a:r>
            <a:rPr lang="en-GB" sz="1100" b="1" u="none" baseline="0">
              <a:solidFill>
                <a:sysClr val="windowText" lastClr="000000"/>
              </a:solidFill>
              <a:latin typeface="+mn-lt"/>
              <a:ea typeface="+mn-ea"/>
              <a:cs typeface="+mn-cs"/>
            </a:rPr>
            <a:t>Person A: </a:t>
          </a:r>
        </a:p>
        <a:p>
          <a:pPr marL="0" indent="0" algn="l"/>
          <a:r>
            <a:rPr lang="en-GB" sz="1100" b="0" u="none" baseline="0">
              <a:solidFill>
                <a:sysClr val="windowText" lastClr="000000"/>
              </a:solidFill>
              <a:latin typeface="+mn-lt"/>
              <a:ea typeface="+mn-ea"/>
              <a:cs typeface="+mn-cs"/>
            </a:rPr>
            <a:t>Answer.</a:t>
          </a: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Person B: </a:t>
          </a:r>
        </a:p>
        <a:p>
          <a:pPr marL="0" indent="0" algn="l"/>
          <a:r>
            <a:rPr lang="en-GB" sz="1100" b="0" u="none" baseline="0">
              <a:solidFill>
                <a:sysClr val="windowText" lastClr="000000"/>
              </a:solidFill>
              <a:latin typeface="+mn-lt"/>
              <a:ea typeface="+mn-ea"/>
              <a:cs typeface="+mn-cs"/>
            </a:rPr>
            <a:t>Answer.</a:t>
          </a: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Person C: </a:t>
          </a:r>
        </a:p>
        <a:p>
          <a:pPr marL="0" indent="0" algn="l"/>
          <a:r>
            <a:rPr lang="en-GB" sz="1100" b="0" u="none" baseline="0">
              <a:solidFill>
                <a:sysClr val="windowText" lastClr="000000"/>
              </a:solidFill>
              <a:latin typeface="+mn-lt"/>
              <a:ea typeface="+mn-ea"/>
              <a:cs typeface="+mn-cs"/>
            </a:rPr>
            <a:t>Answer.</a:t>
          </a: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Are all the answers the same or different? - If the same, I have a clear one-big-thing. If different, which instinctively feels the most important to focus on as my one-big-thing?</a:t>
          </a:r>
        </a:p>
        <a:p>
          <a:pPr marL="0" indent="0" algn="l"/>
          <a:r>
            <a:rPr lang="en-GB" sz="1100" b="0" u="none" baseline="0">
              <a:solidFill>
                <a:sysClr val="windowText" lastClr="000000"/>
              </a:solidFill>
              <a:latin typeface="+mn-lt"/>
              <a:ea typeface="+mn-ea"/>
              <a:cs typeface="+mn-cs"/>
            </a:rPr>
            <a:t>Answer.</a:t>
          </a: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Where can I begin to work on this one-big-thing? - What resources do I need? - Who could help me?</a:t>
          </a:r>
        </a:p>
        <a:p>
          <a:pPr marL="0" indent="0" algn="l"/>
          <a:r>
            <a:rPr lang="en-GB" sz="1100" b="0" u="none" baseline="0">
              <a:solidFill>
                <a:sysClr val="windowText" lastClr="000000"/>
              </a:solidFill>
              <a:latin typeface="+mn-lt"/>
              <a:ea typeface="+mn-ea"/>
              <a:cs typeface="+mn-cs"/>
            </a:rPr>
            <a:t>Answer.</a:t>
          </a:r>
        </a:p>
        <a:p>
          <a:pPr marL="0" indent="0"/>
          <a:endParaRPr lang="en-GB" sz="1100" b="0" u="none" baseline="0">
            <a:solidFill>
              <a:sysClr val="windowText" lastClr="000000"/>
            </a:solidFill>
            <a:latin typeface="+mn-lt"/>
            <a:ea typeface="+mn-ea"/>
            <a:cs typeface="+mn-cs"/>
          </a:endParaRPr>
        </a:p>
      </xdr:txBody>
    </xdr:sp>
    <xdr:clientData fLocksWithSheet="0"/>
  </xdr:twoCellAnchor>
  <xdr:twoCellAnchor>
    <xdr:from>
      <xdr:col>3</xdr:col>
      <xdr:colOff>0</xdr:colOff>
      <xdr:row>132</xdr:row>
      <xdr:rowOff>0</xdr:rowOff>
    </xdr:from>
    <xdr:to>
      <xdr:col>20</xdr:col>
      <xdr:colOff>1800</xdr:colOff>
      <xdr:row>135</xdr:row>
      <xdr:rowOff>1350</xdr:rowOff>
    </xdr:to>
    <xdr:sp macro="" textlink="" fLocksText="0">
      <xdr:nvSpPr>
        <xdr:cNvPr id="15" name="TextBox 14">
          <a:extLst>
            <a:ext uri="{FF2B5EF4-FFF2-40B4-BE49-F238E27FC236}">
              <a16:creationId xmlns:a16="http://schemas.microsoft.com/office/drawing/2014/main" id="{B3732CD5-BBFA-4D06-B5C4-A5BD38098292}"/>
            </a:ext>
          </a:extLst>
        </xdr:cNvPr>
        <xdr:cNvSpPr txBox="1"/>
      </xdr:nvSpPr>
      <xdr:spPr>
        <a:xfrm>
          <a:off x="685800" y="2766060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EXERCISE ON CONNECTING WITH THE PRESENT MOMENT</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The 5-4-3-2-1 excercise to help in being more present.</a:t>
          </a:r>
        </a:p>
        <a:p>
          <a:pPr marL="0" indent="0" algn="l">
            <a:buFont typeface="Arial" panose="020B0604020202020204" pitchFamily="34" charset="0"/>
            <a:buNone/>
          </a:pPr>
          <a:endParaRPr lang="en-GB" sz="1100" b="1"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Name 5 things I can see:</a:t>
          </a:r>
        </a:p>
        <a:p>
          <a:pPr marL="228600" indent="-228600" algn="l">
            <a:buFont typeface="+mj-lt"/>
            <a:buAutoNum type="arabicPeriod"/>
          </a:pPr>
          <a:r>
            <a:rPr lang="en-GB" sz="1100" b="0" u="none" baseline="0">
              <a:solidFill>
                <a:schemeClr val="tx1"/>
              </a:solidFill>
              <a:latin typeface="+mn-lt"/>
              <a:ea typeface="+mn-ea"/>
              <a:cs typeface="+mn-cs"/>
            </a:rPr>
            <a:t>Answer</a:t>
          </a:r>
        </a:p>
        <a:p>
          <a:pPr marL="228600" indent="-228600" algn="l">
            <a:buFont typeface="+mj-lt"/>
            <a:buAutoNum type="arabicPeriod"/>
          </a:pPr>
          <a:r>
            <a:rPr lang="en-GB" sz="1100" b="0" u="none" baseline="0">
              <a:solidFill>
                <a:schemeClr val="tx1"/>
              </a:solidFill>
              <a:latin typeface="+mn-lt"/>
              <a:ea typeface="+mn-ea"/>
              <a:cs typeface="+mn-cs"/>
            </a:rPr>
            <a:t>Answer</a:t>
          </a:r>
        </a:p>
        <a:p>
          <a:pPr marL="228600" indent="-228600" algn="l">
            <a:buFont typeface="+mj-lt"/>
            <a:buAutoNum type="arabicPeriod"/>
          </a:pPr>
          <a:r>
            <a:rPr lang="en-GB" sz="1100" b="0" u="none" baseline="0">
              <a:solidFill>
                <a:schemeClr val="tx1"/>
              </a:solidFill>
              <a:latin typeface="+mn-lt"/>
              <a:ea typeface="+mn-ea"/>
              <a:cs typeface="+mn-cs"/>
            </a:rPr>
            <a:t>Answer</a:t>
          </a:r>
        </a:p>
        <a:p>
          <a:pPr marL="228600" indent="-228600" algn="l">
            <a:buFont typeface="+mj-lt"/>
            <a:buAutoNum type="arabicPeriod"/>
          </a:pPr>
          <a:r>
            <a:rPr lang="en-GB" sz="1100" b="0" u="none" baseline="0">
              <a:solidFill>
                <a:schemeClr val="tx1"/>
              </a:solidFill>
              <a:latin typeface="+mn-lt"/>
              <a:ea typeface="+mn-ea"/>
              <a:cs typeface="+mn-cs"/>
            </a:rPr>
            <a:t>Answer</a:t>
          </a:r>
        </a:p>
        <a:p>
          <a:pPr marL="228600" indent="-228600" algn="l">
            <a:buFont typeface="+mj-lt"/>
            <a:buAutoNum type="arabicPeriod"/>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Name 4 things I can hear:</a:t>
          </a:r>
        </a:p>
        <a:p>
          <a:pPr marL="228600" indent="-228600" algn="l">
            <a:buFont typeface="+mj-lt"/>
            <a:buAutoNum type="arabicPeriod"/>
          </a:pPr>
          <a:r>
            <a:rPr lang="en-GB" sz="1100" b="0" u="none" baseline="0">
              <a:solidFill>
                <a:schemeClr val="tx1"/>
              </a:solidFill>
              <a:latin typeface="+mn-lt"/>
              <a:ea typeface="+mn-ea"/>
              <a:cs typeface="+mn-cs"/>
            </a:rPr>
            <a:t>Answer</a:t>
          </a:r>
        </a:p>
        <a:p>
          <a:pPr marL="228600" indent="-228600" algn="l">
            <a:buFont typeface="+mj-lt"/>
            <a:buAutoNum type="arabicPeriod"/>
          </a:pPr>
          <a:r>
            <a:rPr lang="en-GB" sz="1100" b="0" u="none" baseline="0">
              <a:solidFill>
                <a:schemeClr val="tx1"/>
              </a:solidFill>
              <a:latin typeface="+mn-lt"/>
              <a:ea typeface="+mn-ea"/>
              <a:cs typeface="+mn-cs"/>
            </a:rPr>
            <a:t>Answer</a:t>
          </a:r>
        </a:p>
        <a:p>
          <a:pPr marL="228600" indent="-228600" algn="l">
            <a:buFont typeface="+mj-lt"/>
            <a:buAutoNum type="arabicPeriod"/>
          </a:pPr>
          <a:r>
            <a:rPr lang="en-GB" sz="1100" b="0" u="none" baseline="0">
              <a:solidFill>
                <a:schemeClr val="tx1"/>
              </a:solidFill>
              <a:latin typeface="+mn-lt"/>
              <a:ea typeface="+mn-ea"/>
              <a:cs typeface="+mn-cs"/>
            </a:rPr>
            <a:t>Answer</a:t>
          </a:r>
        </a:p>
        <a:p>
          <a:pPr marL="228600" indent="-228600" algn="l">
            <a:buFont typeface="+mj-lt"/>
            <a:buAutoNum type="arabicPeriod"/>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Name 3 things I can touch:</a:t>
          </a:r>
        </a:p>
        <a:p>
          <a:pPr marL="228600" indent="-228600" algn="l">
            <a:buFont typeface="+mj-lt"/>
            <a:buAutoNum type="arabicPeriod"/>
          </a:pPr>
          <a:r>
            <a:rPr lang="en-GB" sz="1100" b="0" u="none" baseline="0">
              <a:solidFill>
                <a:schemeClr val="tx1"/>
              </a:solidFill>
              <a:latin typeface="+mn-lt"/>
              <a:ea typeface="+mn-ea"/>
              <a:cs typeface="+mn-cs"/>
            </a:rPr>
            <a:t>Answer</a:t>
          </a:r>
        </a:p>
        <a:p>
          <a:pPr marL="228600" indent="-228600" algn="l">
            <a:buFont typeface="+mj-lt"/>
            <a:buAutoNum type="arabicPeriod"/>
          </a:pPr>
          <a:r>
            <a:rPr lang="en-GB" sz="1100" b="0" u="none" baseline="0">
              <a:solidFill>
                <a:schemeClr val="tx1"/>
              </a:solidFill>
              <a:latin typeface="+mn-lt"/>
              <a:ea typeface="+mn-ea"/>
              <a:cs typeface="+mn-cs"/>
            </a:rPr>
            <a:t>Answer</a:t>
          </a:r>
        </a:p>
        <a:p>
          <a:pPr marL="228600" indent="-228600" algn="l">
            <a:buFont typeface="+mj-lt"/>
            <a:buAutoNum type="arabicPeriod"/>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buFont typeface="Arial" panose="020B0604020202020204" pitchFamily="34" charset="0"/>
            <a:buNone/>
          </a:pPr>
          <a:r>
            <a:rPr lang="en-GB" sz="1100" b="1" baseline="0">
              <a:solidFill>
                <a:schemeClr val="tx1"/>
              </a:solidFill>
              <a:effectLst/>
              <a:latin typeface="+mn-lt"/>
              <a:ea typeface="+mn-ea"/>
              <a:cs typeface="+mn-cs"/>
            </a:rPr>
            <a:t>Name 2 things I can smell:</a:t>
          </a:r>
          <a:endParaRPr lang="en-GB" sz="1100" b="1">
            <a:effectLst/>
          </a:endParaRPr>
        </a:p>
        <a:p>
          <a:pPr marL="228600" indent="-228600">
            <a:buFont typeface="+mj-lt"/>
            <a:buAutoNum type="arabicPeriod"/>
          </a:pPr>
          <a:r>
            <a:rPr lang="en-GB" sz="1100" b="0" baseline="0">
              <a:solidFill>
                <a:schemeClr val="tx1"/>
              </a:solidFill>
              <a:effectLst/>
              <a:latin typeface="+mn-lt"/>
              <a:ea typeface="+mn-ea"/>
              <a:cs typeface="+mn-cs"/>
            </a:rPr>
            <a:t>Answer</a:t>
          </a:r>
          <a:endParaRPr lang="en-GB">
            <a:effectLst/>
          </a:endParaRPr>
        </a:p>
        <a:p>
          <a:pPr marL="228600" indent="-228600">
            <a:buFont typeface="+mj-lt"/>
            <a:buAutoNum type="arabicPeriod"/>
          </a:pPr>
          <a:r>
            <a:rPr lang="en-GB" sz="1100" b="0" baseline="0">
              <a:solidFill>
                <a:schemeClr val="tx1"/>
              </a:solidFill>
              <a:effectLst/>
              <a:latin typeface="+mn-lt"/>
              <a:ea typeface="+mn-ea"/>
              <a:cs typeface="+mn-cs"/>
            </a:rPr>
            <a:t>Answer</a:t>
          </a:r>
        </a:p>
        <a:p>
          <a:pPr marL="0" indent="0">
            <a:buFont typeface="Arial" panose="020B0604020202020204" pitchFamily="34" charset="0"/>
            <a:buNone/>
          </a:pPr>
          <a:endParaRPr lang="en-GB" sz="1100" b="0" baseline="0">
            <a:solidFill>
              <a:schemeClr val="tx1"/>
            </a:solidFill>
            <a:effectLst/>
            <a:latin typeface="+mn-lt"/>
            <a:ea typeface="+mn-ea"/>
            <a:cs typeface="+mn-cs"/>
          </a:endParaRPr>
        </a:p>
        <a:p>
          <a:pPr marL="0" indent="0">
            <a:buFont typeface="Arial" panose="020B0604020202020204" pitchFamily="34" charset="0"/>
            <a:buNone/>
          </a:pPr>
          <a:r>
            <a:rPr lang="en-GB" sz="1100" b="1" baseline="0">
              <a:solidFill>
                <a:schemeClr val="tx1"/>
              </a:solidFill>
              <a:effectLst/>
              <a:latin typeface="+mn-lt"/>
              <a:ea typeface="+mn-ea"/>
              <a:cs typeface="+mn-cs"/>
            </a:rPr>
            <a:t>Name 1 thing I can taste:</a:t>
          </a:r>
          <a:endParaRPr lang="en-GB" sz="1100" b="1">
            <a:effectLst/>
          </a:endParaRPr>
        </a:p>
        <a:p>
          <a:pPr marL="228600" indent="-228600">
            <a:buFont typeface="+mj-lt"/>
            <a:buAutoNum type="arabicPeriod"/>
          </a:pPr>
          <a:r>
            <a:rPr lang="en-GB" sz="1100" b="0" baseline="0">
              <a:solidFill>
                <a:schemeClr val="tx1"/>
              </a:solidFill>
              <a:effectLst/>
              <a:latin typeface="+mn-lt"/>
              <a:ea typeface="+mn-ea"/>
              <a:cs typeface="+mn-cs"/>
            </a:rPr>
            <a:t>Answer</a:t>
          </a:r>
          <a:endParaRPr lang="en-GB">
            <a:effectLst/>
          </a:endParaRPr>
        </a:p>
        <a:p>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xdr:txBody>
    </xdr:sp>
    <xdr:clientData fLocksWithSheet="0"/>
  </xdr:twoCellAnchor>
  <xdr:twoCellAnchor>
    <xdr:from>
      <xdr:col>3</xdr:col>
      <xdr:colOff>0</xdr:colOff>
      <xdr:row>153</xdr:row>
      <xdr:rowOff>1350</xdr:rowOff>
    </xdr:from>
    <xdr:to>
      <xdr:col>20</xdr:col>
      <xdr:colOff>1800</xdr:colOff>
      <xdr:row>156</xdr:row>
      <xdr:rowOff>2700</xdr:rowOff>
    </xdr:to>
    <xdr:sp macro="" textlink="" fLocksText="0">
      <xdr:nvSpPr>
        <xdr:cNvPr id="17" name="TextBox 16">
          <a:extLst>
            <a:ext uri="{FF2B5EF4-FFF2-40B4-BE49-F238E27FC236}">
              <a16:creationId xmlns:a16="http://schemas.microsoft.com/office/drawing/2014/main" id="{31163698-F328-4F09-A7CD-9E9A278FEC1A}"/>
            </a:ext>
          </a:extLst>
        </xdr:cNvPr>
        <xdr:cNvSpPr txBox="1"/>
      </xdr:nvSpPr>
      <xdr:spPr>
        <a:xfrm>
          <a:off x="685800" y="3206250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EXERCISE ON POSITIVE REFLECTION BEFORE SLEEP</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[based on a meditation exercise by Nick Keomahavong]</a:t>
          </a:r>
        </a:p>
        <a:p>
          <a:pPr marL="0" indent="0" algn="l">
            <a:buFont typeface="Arial" panose="020B0604020202020204" pitchFamily="34" charset="0"/>
            <a:buNone/>
          </a:pPr>
          <a:endParaRPr lang="en-GB" sz="1100" b="0" i="1"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Your last thought when going to sleep is the first thought when waking. Sleep in a sea of merits, not focusing on problems.</a:t>
          </a:r>
        </a:p>
        <a:p>
          <a:pPr marL="0" indent="0" algn="l">
            <a:buFont typeface="Arial" panose="020B0604020202020204" pitchFamily="34" charset="0"/>
            <a:buNone/>
          </a:pPr>
          <a:endParaRPr lang="en-GB" sz="1100" b="0" i="1"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Reflect on good deeds done to help myself, to help others, or to benefit the world. These can be small things like chores or habits, or bigger gestures of kindness.</a:t>
          </a:r>
        </a:p>
        <a:p>
          <a:pPr marL="0" indent="0" algn="l">
            <a:buFont typeface="Arial" panose="020B0604020202020204" pitchFamily="34" charset="0"/>
            <a:buNone/>
          </a:pPr>
          <a:endParaRPr lang="en-GB" sz="1100" b="1"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Write down any good deeds done today, this week or this month:</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Write down good deeds done throughout the year, or recent years, or in this lifetime:</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Write down good deeds I could do to help myself:</a:t>
          </a:r>
          <a:endParaRPr lang="en-GB">
            <a:effectLst/>
          </a:endParaRP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Write down good deeds I could do to help others:</a:t>
          </a:r>
          <a:endParaRPr lang="en-GB">
            <a:effectLst/>
          </a:endParaRP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Write down good deeds I could do to benefit the world:</a:t>
          </a:r>
          <a:endParaRPr lang="en-GB">
            <a:effectLst/>
          </a:endParaRP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xdr:txBody>
    </xdr:sp>
    <xdr:clientData fLocksWithSheet="0"/>
  </xdr:twoCellAnchor>
  <xdr:twoCellAnchor>
    <xdr:from>
      <xdr:col>3</xdr:col>
      <xdr:colOff>0</xdr:colOff>
      <xdr:row>138</xdr:row>
      <xdr:rowOff>1350</xdr:rowOff>
    </xdr:from>
    <xdr:to>
      <xdr:col>20</xdr:col>
      <xdr:colOff>1800</xdr:colOff>
      <xdr:row>141</xdr:row>
      <xdr:rowOff>2700</xdr:rowOff>
    </xdr:to>
    <xdr:sp macro="" textlink="" fLocksText="0">
      <xdr:nvSpPr>
        <xdr:cNvPr id="53" name="TextBox 52">
          <a:extLst>
            <a:ext uri="{FF2B5EF4-FFF2-40B4-BE49-F238E27FC236}">
              <a16:creationId xmlns:a16="http://schemas.microsoft.com/office/drawing/2014/main" id="{6DE65EA4-CC57-4F1F-95B2-FE090E0F6F9E}"/>
            </a:ext>
          </a:extLst>
        </xdr:cNvPr>
        <xdr:cNvSpPr txBox="1"/>
      </xdr:nvSpPr>
      <xdr:spPr>
        <a:xfrm>
          <a:off x="685800" y="2891925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EXERCISE ON CONTROLLING YOUR UNCONSCIOUS MIND</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[based on a video by Colin Galen]</a:t>
          </a:r>
        </a:p>
        <a:p>
          <a:pPr marL="0" indent="0" algn="l">
            <a:buFont typeface="Arial" panose="020B0604020202020204" pitchFamily="34" charset="0"/>
            <a:buNone/>
          </a:pPr>
          <a:endParaRPr lang="en-GB" sz="1100" b="0" i="1"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The unconscious mind will not respond to artificial motivators. </a:t>
          </a:r>
          <a:r>
            <a:rPr lang="en-GB" sz="1100" b="0" i="1" baseline="0">
              <a:solidFill>
                <a:schemeClr val="tx1"/>
              </a:solidFill>
              <a:effectLst/>
              <a:latin typeface="+mn-lt"/>
              <a:ea typeface="+mn-ea"/>
              <a:cs typeface="+mn-cs"/>
            </a:rPr>
            <a:t>The unconscious mind only responds to primal emotions.</a:t>
          </a:r>
          <a:endParaRPr lang="en-GB" sz="1100" b="0" i="1" u="none" baseline="0">
            <a:solidFill>
              <a:schemeClr val="tx1"/>
            </a:solidFill>
            <a:latin typeface="+mn-lt"/>
            <a:ea typeface="+mn-ea"/>
            <a:cs typeface="+mn-cs"/>
          </a:endParaRPr>
        </a:p>
        <a:p>
          <a:pPr marL="0" indent="0" algn="l">
            <a:buFont typeface="Arial" panose="020B0604020202020204" pitchFamily="34" charset="0"/>
            <a:buNone/>
          </a:pPr>
          <a:endParaRPr lang="en-GB" sz="1100" b="0" i="1"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Artificial motivators: </a:t>
          </a:r>
        </a:p>
        <a:p>
          <a:pPr marL="171450" indent="-171450" algn="l">
            <a:buFont typeface="Arial" panose="020B0604020202020204" pitchFamily="34" charset="0"/>
            <a:buChar char="•"/>
          </a:pPr>
          <a:r>
            <a:rPr lang="en-GB" sz="1100" b="0" i="1" u="none" baseline="0">
              <a:solidFill>
                <a:schemeClr val="tx1"/>
              </a:solidFill>
              <a:latin typeface="+mn-lt"/>
              <a:ea typeface="+mn-ea"/>
              <a:cs typeface="+mn-cs"/>
            </a:rPr>
            <a:t>money</a:t>
          </a:r>
        </a:p>
        <a:p>
          <a:pPr marL="171450" indent="-171450" algn="l">
            <a:buFont typeface="Arial" panose="020B0604020202020204" pitchFamily="34" charset="0"/>
            <a:buChar char="•"/>
          </a:pPr>
          <a:r>
            <a:rPr lang="en-GB" sz="1100" b="0" i="1" u="none" baseline="0">
              <a:solidFill>
                <a:schemeClr val="tx1"/>
              </a:solidFill>
              <a:latin typeface="+mn-lt"/>
              <a:ea typeface="+mn-ea"/>
              <a:cs typeface="+mn-cs"/>
            </a:rPr>
            <a:t>prestige</a:t>
          </a:r>
        </a:p>
        <a:p>
          <a:pPr marL="171450" indent="-171450" algn="l">
            <a:buFont typeface="Arial" panose="020B0604020202020204" pitchFamily="34" charset="0"/>
            <a:buChar char="•"/>
          </a:pPr>
          <a:r>
            <a:rPr lang="en-GB" sz="1100" b="0" i="1" u="none" baseline="0">
              <a:solidFill>
                <a:schemeClr val="tx1"/>
              </a:solidFill>
              <a:latin typeface="+mn-lt"/>
              <a:ea typeface="+mn-ea"/>
              <a:cs typeface="+mn-cs"/>
            </a:rPr>
            <a:t>success</a:t>
          </a:r>
        </a:p>
        <a:p>
          <a:pPr marL="0" indent="0" algn="l">
            <a:buFont typeface="Arial" panose="020B0604020202020204" pitchFamily="34" charset="0"/>
            <a:buNone/>
          </a:pPr>
          <a:endParaRPr lang="en-GB" sz="1100" b="0" i="1"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Primal emotions: </a:t>
          </a:r>
        </a:p>
        <a:p>
          <a:pPr marL="171450" indent="-171450" algn="l">
            <a:buFont typeface="Arial" panose="020B0604020202020204" pitchFamily="34" charset="0"/>
            <a:buChar char="•"/>
          </a:pPr>
          <a:r>
            <a:rPr lang="en-GB" sz="1100" b="0" i="1" u="none" baseline="0">
              <a:solidFill>
                <a:schemeClr val="tx1"/>
              </a:solidFill>
              <a:latin typeface="+mn-lt"/>
              <a:ea typeface="+mn-ea"/>
              <a:cs typeface="+mn-cs"/>
            </a:rPr>
            <a:t>happiness</a:t>
          </a:r>
        </a:p>
        <a:p>
          <a:pPr marL="171450" indent="-171450" algn="l">
            <a:buFont typeface="Arial" panose="020B0604020202020204" pitchFamily="34" charset="0"/>
            <a:buChar char="•"/>
          </a:pPr>
          <a:r>
            <a:rPr lang="en-GB" sz="1100" b="0" i="1" u="none" baseline="0">
              <a:solidFill>
                <a:schemeClr val="tx1"/>
              </a:solidFill>
              <a:latin typeface="+mn-lt"/>
              <a:ea typeface="+mn-ea"/>
              <a:cs typeface="+mn-cs"/>
            </a:rPr>
            <a:t>fear</a:t>
          </a:r>
        </a:p>
        <a:p>
          <a:pPr marL="171450" indent="-171450" algn="l">
            <a:buFont typeface="Arial" panose="020B0604020202020204" pitchFamily="34" charset="0"/>
            <a:buChar char="•"/>
          </a:pPr>
          <a:r>
            <a:rPr lang="en-GB" sz="1100" b="0" i="1" u="none" baseline="0">
              <a:solidFill>
                <a:schemeClr val="tx1"/>
              </a:solidFill>
              <a:latin typeface="+mn-lt"/>
              <a:ea typeface="+mn-ea"/>
              <a:cs typeface="+mn-cs"/>
            </a:rPr>
            <a:t>survival</a:t>
          </a:r>
        </a:p>
        <a:p>
          <a:pPr marL="171450" indent="-171450" algn="l">
            <a:buFont typeface="Arial" panose="020B0604020202020204" pitchFamily="34" charset="0"/>
            <a:buChar char="•"/>
          </a:pPr>
          <a:r>
            <a:rPr lang="en-GB" sz="1100" b="0" i="1" u="none" baseline="0">
              <a:solidFill>
                <a:schemeClr val="tx1"/>
              </a:solidFill>
              <a:latin typeface="+mn-lt"/>
              <a:ea typeface="+mn-ea"/>
              <a:cs typeface="+mn-cs"/>
            </a:rPr>
            <a:t>love</a:t>
          </a:r>
        </a:p>
        <a:p>
          <a:pPr marL="171450" indent="-171450" algn="l">
            <a:buFont typeface="Arial" panose="020B0604020202020204" pitchFamily="34" charset="0"/>
            <a:buChar char="•"/>
          </a:pPr>
          <a:r>
            <a:rPr lang="en-GB" sz="1100" b="0" i="1" u="none" baseline="0">
              <a:solidFill>
                <a:schemeClr val="tx1"/>
              </a:solidFill>
              <a:latin typeface="+mn-lt"/>
              <a:ea typeface="+mn-ea"/>
              <a:cs typeface="+mn-cs"/>
            </a:rPr>
            <a:t>emotional connection</a:t>
          </a:r>
        </a:p>
        <a:p>
          <a:pPr marL="0" indent="0" algn="l">
            <a:buFont typeface="Arial" panose="020B0604020202020204" pitchFamily="34" charset="0"/>
            <a:buNone/>
          </a:pPr>
          <a:endParaRPr lang="en-GB" sz="1100" b="0" i="1"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Get the unconscious mind to care deeply about an action, so that just doing the action brings significant happiness by default, or that the action is fundamental to survival. Shift the focus from artificial motivators to primal emotions, using the chain of motivation. </a:t>
          </a:r>
        </a:p>
        <a:p>
          <a:pPr marL="0" indent="0" algn="l">
            <a:buFont typeface="Arial" panose="020B0604020202020204" pitchFamily="34" charset="0"/>
            <a:buNone/>
          </a:pPr>
          <a:endParaRPr lang="en-GB" sz="1100" b="1"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The action I want to do:</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The initial reason for doing it:</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Why is this important?</a:t>
          </a:r>
          <a:endParaRPr lang="en-GB">
            <a:effectLst/>
          </a:endParaRP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Continue asking myself 'why?' until I get to the core reason for doing the action:</a:t>
          </a:r>
          <a:endParaRPr lang="en-GB">
            <a:effectLst/>
          </a:endParaRP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Is my core reason an artificial motivator or a primal emotion?</a:t>
          </a:r>
          <a:endParaRPr lang="en-GB">
            <a:effectLst/>
          </a:endParaRP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If an artificial motivator, is there any point in actually doing the action?</a:t>
          </a:r>
          <a:endParaRPr lang="en-GB">
            <a:effectLst/>
          </a:endParaRP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If a primal emotion, how worthwhile does this action now feel to me?</a:t>
          </a:r>
          <a:endParaRPr lang="en-GB">
            <a:effectLst/>
          </a:endParaRPr>
        </a:p>
        <a:p>
          <a:r>
            <a:rPr lang="en-GB" sz="1100" b="0" baseline="0">
              <a:solidFill>
                <a:schemeClr val="tx1"/>
              </a:solidFill>
              <a:effectLst/>
              <a:latin typeface="+mn-lt"/>
              <a:ea typeface="+mn-ea"/>
              <a:cs typeface="+mn-cs"/>
            </a:rPr>
            <a:t>Answer.</a:t>
          </a:r>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What key things should I keep in mind the next time I think about or aim to do the action:</a:t>
          </a:r>
          <a:endParaRPr lang="en-GB">
            <a:effectLst/>
          </a:endParaRPr>
        </a:p>
        <a:p>
          <a:r>
            <a:rPr lang="en-GB" sz="1100" b="0" baseline="0">
              <a:solidFill>
                <a:schemeClr val="tx1"/>
              </a:solidFill>
              <a:effectLst/>
              <a:latin typeface="+mn-lt"/>
              <a:ea typeface="+mn-ea"/>
              <a:cs typeface="+mn-cs"/>
            </a:rPr>
            <a:t>Answer.</a:t>
          </a:r>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xdr:txBody>
    </xdr:sp>
    <xdr:clientData fLocksWithSheet="0"/>
  </xdr:twoCellAnchor>
  <xdr:twoCellAnchor>
    <xdr:from>
      <xdr:col>3</xdr:col>
      <xdr:colOff>0</xdr:colOff>
      <xdr:row>141</xdr:row>
      <xdr:rowOff>1350</xdr:rowOff>
    </xdr:from>
    <xdr:to>
      <xdr:col>20</xdr:col>
      <xdr:colOff>1800</xdr:colOff>
      <xdr:row>144</xdr:row>
      <xdr:rowOff>2700</xdr:rowOff>
    </xdr:to>
    <xdr:sp macro="" textlink="" fLocksText="0">
      <xdr:nvSpPr>
        <xdr:cNvPr id="54" name="TextBox 53">
          <a:extLst>
            <a:ext uri="{FF2B5EF4-FFF2-40B4-BE49-F238E27FC236}">
              <a16:creationId xmlns:a16="http://schemas.microsoft.com/office/drawing/2014/main" id="{546D755A-C4F1-40CE-AD5A-A2ABB461C1F9}"/>
            </a:ext>
          </a:extLst>
        </xdr:cNvPr>
        <xdr:cNvSpPr txBox="1"/>
      </xdr:nvSpPr>
      <xdr:spPr>
        <a:xfrm>
          <a:off x="685800" y="2954790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EXERCISE ON DOING A PROJECT PRE-MORTEM</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[based on a video by struthless aka Campbell Walker]</a:t>
          </a:r>
        </a:p>
        <a:p>
          <a:pPr marL="0" indent="0" algn="l">
            <a:buFont typeface="Arial" panose="020B0604020202020204" pitchFamily="34" charset="0"/>
            <a:buNone/>
          </a:pPr>
          <a:endParaRPr lang="en-GB" sz="1100" b="0" i="1"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Pre-mortem: analysing failure before it happens. </a:t>
          </a:r>
        </a:p>
        <a:p>
          <a:pPr marL="0" indent="0" algn="l">
            <a:buFont typeface="Arial" panose="020B0604020202020204" pitchFamily="34" charset="0"/>
            <a:buNone/>
          </a:pPr>
          <a:endParaRPr lang="en-GB" sz="1100" b="0" i="1"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However, as opposed to a post-mortem, where you can do nothing even with a clear answer to why something failed/went wrong, by doing this before, you can take action now if you find clear reasons why something could fail/go wrong, encouraging you to look for a problem to solve and feel empowered, rather than just feel regret and powerless to change anything.</a:t>
          </a:r>
        </a:p>
        <a:p>
          <a:pPr marL="0" indent="0" algn="l">
            <a:buFont typeface="Arial" panose="020B0604020202020204" pitchFamily="34" charset="0"/>
            <a:buNone/>
          </a:pPr>
          <a:endParaRPr lang="en-GB" sz="1100" b="0" i="1"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So, now answer this hypothetical question:</a:t>
          </a:r>
        </a:p>
        <a:p>
          <a:pPr marL="0" indent="0" algn="l">
            <a:buFont typeface="Arial" panose="020B0604020202020204" pitchFamily="34" charset="0"/>
            <a:buNone/>
          </a:pPr>
          <a:endParaRPr lang="en-GB" sz="1100" b="1"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Imagine that you start a project and in six months time that project fails, not for external reasons, it failed because of you, and you know exactly why: so what happened?</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xdr:txBody>
    </xdr:sp>
    <xdr:clientData fLocksWithSheet="0"/>
  </xdr:twoCellAnchor>
  <xdr:twoCellAnchor>
    <xdr:from>
      <xdr:col>3</xdr:col>
      <xdr:colOff>0</xdr:colOff>
      <xdr:row>135</xdr:row>
      <xdr:rowOff>1350</xdr:rowOff>
    </xdr:from>
    <xdr:to>
      <xdr:col>20</xdr:col>
      <xdr:colOff>1800</xdr:colOff>
      <xdr:row>138</xdr:row>
      <xdr:rowOff>2700</xdr:rowOff>
    </xdr:to>
    <xdr:sp macro="" textlink="" fLocksText="0">
      <xdr:nvSpPr>
        <xdr:cNvPr id="55" name="TextBox 54">
          <a:extLst>
            <a:ext uri="{FF2B5EF4-FFF2-40B4-BE49-F238E27FC236}">
              <a16:creationId xmlns:a16="http://schemas.microsoft.com/office/drawing/2014/main" id="{5B7FCA35-6C61-4BA3-B433-0E1D36F7805E}"/>
            </a:ext>
          </a:extLst>
        </xdr:cNvPr>
        <xdr:cNvSpPr txBox="1"/>
      </xdr:nvSpPr>
      <xdr:spPr>
        <a:xfrm>
          <a:off x="685800" y="2829060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EXERCISE ON UNBURDENING THE MIND</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[based on a video by HealthyGamerGG aka Dr Alok Kanojia]</a:t>
          </a:r>
        </a:p>
        <a:p>
          <a:pPr marL="0" indent="0" algn="l">
            <a:buFont typeface="Arial" panose="020B0604020202020204" pitchFamily="34" charset="0"/>
            <a:buNone/>
          </a:pPr>
          <a:endParaRPr lang="en-GB" sz="1100" b="0" i="1"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Reflect on everything and anything you can think of that is populating your thoughts. The aim is to relieve cognitive strain and unburden the mind by clearing away the overload of things in the back of the mind. Much like clearing all but the important open tabs on the browser so the computer can run smoothly again.</a:t>
          </a:r>
        </a:p>
        <a:p>
          <a:pPr marL="0" indent="0" algn="l">
            <a:buFont typeface="Arial" panose="020B0604020202020204" pitchFamily="34" charset="0"/>
            <a:buNone/>
          </a:pPr>
          <a:endParaRPr lang="en-GB" sz="1100" b="1"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First, write down a list of:</a:t>
          </a:r>
        </a:p>
        <a:p>
          <a:pPr marL="171450" indent="-171450" algn="l">
            <a:buFont typeface="Arial" panose="020B0604020202020204" pitchFamily="34" charset="0"/>
            <a:buChar char="•"/>
          </a:pPr>
          <a:r>
            <a:rPr lang="en-GB" sz="1100" b="0" i="1" u="none" baseline="0">
              <a:solidFill>
                <a:schemeClr val="tx1"/>
              </a:solidFill>
              <a:latin typeface="+mn-lt"/>
              <a:ea typeface="+mn-ea"/>
              <a:cs typeface="+mn-cs"/>
            </a:rPr>
            <a:t>all of my dreams</a:t>
          </a:r>
        </a:p>
        <a:p>
          <a:pPr marL="171450" indent="-171450" algn="l">
            <a:buFont typeface="Arial" panose="020B0604020202020204" pitchFamily="34" charset="0"/>
            <a:buChar char="•"/>
          </a:pPr>
          <a:r>
            <a:rPr lang="en-GB" sz="1100" b="0" i="1" u="none" baseline="0">
              <a:solidFill>
                <a:schemeClr val="tx1"/>
              </a:solidFill>
              <a:latin typeface="+mn-lt"/>
              <a:ea typeface="+mn-ea"/>
              <a:cs typeface="+mn-cs"/>
            </a:rPr>
            <a:t>all of my regrets</a:t>
          </a:r>
        </a:p>
        <a:p>
          <a:pPr marL="0" indent="0" algn="l">
            <a:buFont typeface="Arial" panose="020B0604020202020204" pitchFamily="34" charset="0"/>
            <a:buNone/>
          </a:pPr>
          <a:endParaRPr lang="en-GB" sz="1100" b="0" i="1"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Second, for each thing on the list decide:</a:t>
          </a:r>
        </a:p>
        <a:p>
          <a:pPr marL="171450" indent="-171450" algn="l">
            <a:buFont typeface="Arial" panose="020B0604020202020204" pitchFamily="34" charset="0"/>
            <a:buChar char="•"/>
          </a:pPr>
          <a:r>
            <a:rPr lang="en-GB" sz="1100" b="0" i="1" u="none" baseline="0">
              <a:solidFill>
                <a:schemeClr val="tx1"/>
              </a:solidFill>
              <a:latin typeface="+mn-lt"/>
              <a:ea typeface="+mn-ea"/>
              <a:cs typeface="+mn-cs"/>
            </a:rPr>
            <a:t>which will never be done, mark it with 0.</a:t>
          </a:r>
        </a:p>
        <a:p>
          <a:pPr marL="171450" indent="-171450" algn="l">
            <a:buFont typeface="Arial" panose="020B0604020202020204" pitchFamily="34" charset="0"/>
            <a:buChar char="•"/>
          </a:pPr>
          <a:r>
            <a:rPr lang="en-GB" sz="1100" b="0" i="1" u="none" baseline="0">
              <a:solidFill>
                <a:schemeClr val="tx1"/>
              </a:solidFill>
              <a:latin typeface="+mn-lt"/>
              <a:ea typeface="+mn-ea"/>
              <a:cs typeface="+mn-cs"/>
            </a:rPr>
            <a:t>which I actually want to do, mark it with 1.</a:t>
          </a:r>
        </a:p>
        <a:p>
          <a:pPr marL="0" indent="0" algn="l">
            <a:buFont typeface="Arial" panose="020B0604020202020204" pitchFamily="34" charset="0"/>
            <a:buNone/>
          </a:pPr>
          <a:endParaRPr lang="en-GB" sz="1100" b="0" i="1"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Finally, for each thing on the list.</a:t>
          </a:r>
        </a:p>
        <a:p>
          <a:pPr marL="0" indent="0" algn="l">
            <a:buFont typeface="Arial" panose="020B0604020202020204" pitchFamily="34" charset="0"/>
            <a:buNone/>
          </a:pPr>
          <a:endParaRPr lang="en-GB" sz="1100" b="0" i="1"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If marked 0:</a:t>
          </a:r>
        </a:p>
        <a:p>
          <a:pPr marL="171450" indent="-171450" algn="l">
            <a:buFont typeface="Arial" panose="020B0604020202020204" pitchFamily="34" charset="0"/>
            <a:buChar char="•"/>
          </a:pPr>
          <a:r>
            <a:rPr lang="en-GB" sz="1100" b="0" i="1" u="none" baseline="0">
              <a:solidFill>
                <a:schemeClr val="tx1"/>
              </a:solidFill>
              <a:latin typeface="+mn-lt"/>
              <a:ea typeface="+mn-ea"/>
              <a:cs typeface="+mn-cs"/>
            </a:rPr>
            <a:t>strike it off, put a line through it</a:t>
          </a:r>
        </a:p>
        <a:p>
          <a:pPr marL="171450" indent="-171450" algn="l">
            <a:buFont typeface="Arial" panose="020B0604020202020204" pitchFamily="34" charset="0"/>
            <a:buChar char="•"/>
          </a:pPr>
          <a:r>
            <a:rPr lang="en-GB" sz="1100" b="0" i="1" u="none" baseline="0">
              <a:solidFill>
                <a:schemeClr val="tx1"/>
              </a:solidFill>
              <a:latin typeface="+mn-lt"/>
              <a:ea typeface="+mn-ea"/>
              <a:cs typeface="+mn-cs"/>
            </a:rPr>
            <a:t>allow myself to let it go, this can be emotionally painful, but it will free me up cognitively.</a:t>
          </a:r>
        </a:p>
        <a:p>
          <a:pPr marL="0" indent="0" algn="l">
            <a:buFont typeface="Arial" panose="020B0604020202020204" pitchFamily="34" charset="0"/>
            <a:buNone/>
          </a:pPr>
          <a:endParaRPr lang="en-GB" sz="1100" b="0" i="1"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If marked 1:</a:t>
          </a:r>
        </a:p>
        <a:p>
          <a:pPr marL="171450" indent="-171450" algn="l">
            <a:buFont typeface="Arial" panose="020B0604020202020204" pitchFamily="34" charset="0"/>
            <a:buChar char="•"/>
          </a:pPr>
          <a:r>
            <a:rPr lang="en-GB" sz="1100" b="0" i="1" u="none" baseline="0">
              <a:solidFill>
                <a:schemeClr val="tx1"/>
              </a:solidFill>
              <a:latin typeface="+mn-lt"/>
              <a:ea typeface="+mn-ea"/>
              <a:cs typeface="+mn-cs"/>
            </a:rPr>
            <a:t>check it off, add the thing to a new list</a:t>
          </a:r>
        </a:p>
        <a:p>
          <a:pPr marL="171450" indent="-171450" algn="l">
            <a:buFont typeface="Arial" panose="020B0604020202020204" pitchFamily="34" charset="0"/>
            <a:buChar char="•"/>
          </a:pPr>
          <a:r>
            <a:rPr lang="en-GB" sz="1100" b="0" i="1" u="none" baseline="0">
              <a:solidFill>
                <a:schemeClr val="tx1"/>
              </a:solidFill>
              <a:latin typeface="+mn-lt"/>
              <a:ea typeface="+mn-ea"/>
              <a:cs typeface="+mn-cs"/>
            </a:rPr>
            <a:t>this new list is what I really want or still want to do or can resolve or solve</a:t>
          </a:r>
        </a:p>
        <a:p>
          <a:pPr marL="171450" indent="-171450" algn="l">
            <a:buFont typeface="Arial" panose="020B0604020202020204" pitchFamily="34" charset="0"/>
            <a:buChar char="•"/>
          </a:pPr>
          <a:r>
            <a:rPr lang="en-GB" sz="1100" b="0" i="1" u="none" baseline="0">
              <a:solidFill>
                <a:schemeClr val="tx1"/>
              </a:solidFill>
              <a:latin typeface="+mn-lt"/>
              <a:ea typeface="+mn-ea"/>
              <a:cs typeface="+mn-cs"/>
            </a:rPr>
            <a:t>then each day work on a thing from the new list that takes one minute, another that takes five minutes, and a third that takes more than twenty minutes</a:t>
          </a:r>
        </a:p>
        <a:p>
          <a:pPr marL="0" indent="0" algn="l">
            <a:buFont typeface="Arial" panose="020B0604020202020204" pitchFamily="34" charset="0"/>
            <a:buNone/>
          </a:pPr>
          <a:endParaRPr lang="en-GB" sz="1100" b="1"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The list of dreams and regrets:</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First</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Next</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Etc.</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The new list:</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First</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Next</a:t>
          </a:r>
        </a:p>
        <a:p>
          <a:pPr marL="171450" indent="-171450" algn="l">
            <a:buFont typeface="Arial" panose="020B0604020202020204" pitchFamily="34" charset="0"/>
            <a:buChar char="•"/>
          </a:pPr>
          <a:r>
            <a:rPr lang="en-GB" sz="1100" b="0" u="none" baseline="0">
              <a:solidFill>
                <a:schemeClr val="tx1"/>
              </a:solidFill>
              <a:latin typeface="+mn-lt"/>
              <a:ea typeface="+mn-ea"/>
              <a:cs typeface="+mn-cs"/>
            </a:rPr>
            <a:t>Etc.</a:t>
          </a:r>
        </a:p>
        <a:p>
          <a:pPr marL="0" indent="0" algn="l">
            <a:buFont typeface="Arial" panose="020B0604020202020204" pitchFamily="34" charset="0"/>
            <a:buNone/>
          </a:pPr>
          <a:endParaRPr lang="en-GB" sz="1100" b="0" u="none" baseline="0">
            <a:solidFill>
              <a:schemeClr val="tx1"/>
            </a:solidFill>
            <a:latin typeface="+mn-lt"/>
            <a:ea typeface="+mn-ea"/>
            <a:cs typeface="+mn-cs"/>
          </a:endParaRPr>
        </a:p>
      </xdr:txBody>
    </xdr:sp>
    <xdr:clientData fLocksWithSheet="0"/>
  </xdr:twoCellAnchor>
  <xdr:twoCellAnchor>
    <xdr:from>
      <xdr:col>3</xdr:col>
      <xdr:colOff>0</xdr:colOff>
      <xdr:row>144</xdr:row>
      <xdr:rowOff>1350</xdr:rowOff>
    </xdr:from>
    <xdr:to>
      <xdr:col>20</xdr:col>
      <xdr:colOff>1800</xdr:colOff>
      <xdr:row>147</xdr:row>
      <xdr:rowOff>2700</xdr:rowOff>
    </xdr:to>
    <xdr:sp macro="" textlink="" fLocksText="0">
      <xdr:nvSpPr>
        <xdr:cNvPr id="59" name="TextBox 58">
          <a:extLst>
            <a:ext uri="{FF2B5EF4-FFF2-40B4-BE49-F238E27FC236}">
              <a16:creationId xmlns:a16="http://schemas.microsoft.com/office/drawing/2014/main" id="{D2B66232-5DD8-45D0-B9C2-B4A9F8A23187}"/>
            </a:ext>
          </a:extLst>
        </xdr:cNvPr>
        <xdr:cNvSpPr txBox="1"/>
      </xdr:nvSpPr>
      <xdr:spPr>
        <a:xfrm>
          <a:off x="685800" y="30176550"/>
          <a:ext cx="3888000" cy="630000"/>
        </a:xfrm>
        <a:prstGeom prst="rect">
          <a:avLst/>
        </a:prstGeom>
        <a:solidFill>
          <a:schemeClr val="bg1">
            <a:alpha val="85098"/>
          </a:scheme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EXERCISE ON STARTING CREATIVE WORKS</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pPr marL="0" indent="0" algn="l"/>
          <a:endParaRPr lang="en-GB" sz="1100" b="0" u="none" baseline="0">
            <a:solidFill>
              <a:schemeClr val="tx1"/>
            </a:solidFill>
            <a:latin typeface="+mn-lt"/>
            <a:ea typeface="+mn-ea"/>
            <a:cs typeface="+mn-cs"/>
          </a:endParaRPr>
        </a:p>
        <a:p>
          <a:pPr marL="0" indent="0" algn="l"/>
          <a:r>
            <a:rPr lang="en-GB" sz="1100" b="0" i="1" u="none" baseline="0">
              <a:solidFill>
                <a:schemeClr val="tx1"/>
              </a:solidFill>
              <a:effectLst/>
              <a:latin typeface="+mn-lt"/>
              <a:ea typeface="+mn-ea"/>
              <a:cs typeface="+mn-cs"/>
            </a:rPr>
            <a:t>[</a:t>
          </a:r>
          <a:r>
            <a:rPr lang="en-GB" sz="1100" b="0" i="1" baseline="0">
              <a:solidFill>
                <a:schemeClr val="tx1"/>
              </a:solidFill>
              <a:effectLst/>
              <a:latin typeface="+mn-lt"/>
              <a:ea typeface="+mn-ea"/>
              <a:cs typeface="+mn-cs"/>
            </a:rPr>
            <a:t>based on a video by struthless aka Campbell Walker]</a:t>
          </a:r>
          <a:endParaRPr lang="en-GB" sz="1100" b="0" i="1" u="none" baseline="0">
            <a:solidFill>
              <a:schemeClr val="tx1"/>
            </a:solidFill>
            <a:latin typeface="+mn-lt"/>
            <a:ea typeface="+mn-ea"/>
            <a:cs typeface="+mn-cs"/>
          </a:endParaRPr>
        </a:p>
        <a:p>
          <a:pPr marL="0" indent="0" algn="l"/>
          <a:endParaRPr lang="en-GB" sz="1100" b="1" u="none" baseline="0">
            <a:solidFill>
              <a:schemeClr val="tx1"/>
            </a:solidFill>
            <a:latin typeface="+mn-lt"/>
            <a:ea typeface="+mn-ea"/>
            <a:cs typeface="+mn-cs"/>
          </a:endParaRPr>
        </a:p>
        <a:p>
          <a:pPr marL="0" indent="0" algn="l"/>
          <a:r>
            <a:rPr lang="en-GB" sz="1100" b="0" i="1" u="none" baseline="0">
              <a:solidFill>
                <a:schemeClr val="tx1"/>
              </a:solidFill>
              <a:latin typeface="+mn-lt"/>
              <a:ea typeface="+mn-ea"/>
              <a:cs typeface="+mn-cs"/>
            </a:rPr>
            <a:t>Is creativity all it's cracked up to be? And if it isn't... what can you do about it? This is the Stallion Theory. A method for moving out of the thinking phase of creativity and into actually taking action. </a:t>
          </a:r>
        </a:p>
        <a:p>
          <a:pPr marL="0" indent="0" algn="l"/>
          <a:endParaRPr lang="en-GB" sz="1100" b="1" i="0" u="none" baseline="0">
            <a:solidFill>
              <a:schemeClr val="tx1"/>
            </a:solidFill>
            <a:latin typeface="+mn-lt"/>
            <a:ea typeface="+mn-ea"/>
            <a:cs typeface="+mn-cs"/>
          </a:endParaRPr>
        </a:p>
        <a:p>
          <a:pPr marL="0" indent="0" algn="l"/>
          <a:r>
            <a:rPr lang="en-GB" sz="1100" b="0" i="1" u="none" baseline="0">
              <a:solidFill>
                <a:schemeClr val="tx1"/>
              </a:solidFill>
              <a:latin typeface="+mn-lt"/>
              <a:ea typeface="+mn-ea"/>
              <a:cs typeface="+mn-cs"/>
            </a:rPr>
            <a:t>Context</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Destination (my mission):	</a:t>
          </a:r>
          <a:r>
            <a:rPr lang="en-GB" sz="1100" b="0" u="none" baseline="0">
              <a:solidFill>
                <a:schemeClr val="tx1"/>
              </a:solidFill>
              <a:latin typeface="+mn-lt"/>
              <a:ea typeface="+mn-ea"/>
              <a:cs typeface="+mn-cs"/>
            </a:rPr>
            <a:t>Answer.</a:t>
          </a:r>
        </a:p>
        <a:p>
          <a:pPr marL="0" indent="0" algn="l"/>
          <a:r>
            <a:rPr lang="en-GB" sz="1100" b="1" u="none" baseline="0">
              <a:solidFill>
                <a:schemeClr val="tx1"/>
              </a:solidFill>
              <a:latin typeface="+mn-lt"/>
              <a:ea typeface="+mn-ea"/>
              <a:cs typeface="+mn-cs"/>
            </a:rPr>
            <a:t>Vehicle (my medium):	</a:t>
          </a:r>
          <a:r>
            <a:rPr lang="en-GB" sz="1100" b="0" u="none" baseline="0">
              <a:solidFill>
                <a:schemeClr val="tx1"/>
              </a:solidFill>
              <a:latin typeface="+mn-lt"/>
              <a:ea typeface="+mn-ea"/>
              <a:cs typeface="+mn-cs"/>
            </a:rPr>
            <a:t>Answer.</a:t>
          </a:r>
        </a:p>
        <a:p>
          <a:pPr marL="0" indent="0" algn="l"/>
          <a:r>
            <a:rPr lang="en-GB" sz="1100" b="1" u="none" baseline="0">
              <a:solidFill>
                <a:schemeClr val="tx1"/>
              </a:solidFill>
              <a:latin typeface="+mn-lt"/>
              <a:ea typeface="+mn-ea"/>
              <a:cs typeface="+mn-cs"/>
            </a:rPr>
            <a:t>Petrol (my flow state fuel):	</a:t>
          </a:r>
          <a:r>
            <a:rPr lang="en-GB" sz="1100" b="0" u="none" baseline="0">
              <a:solidFill>
                <a:schemeClr val="tx1"/>
              </a:solidFill>
              <a:latin typeface="+mn-lt"/>
              <a:ea typeface="+mn-ea"/>
              <a:cs typeface="+mn-cs"/>
            </a:rPr>
            <a:t>Answer.</a:t>
          </a:r>
        </a:p>
        <a:p>
          <a:pPr marL="0" indent="0" algn="l"/>
          <a:r>
            <a:rPr lang="en-GB" sz="1100" b="1" u="none" baseline="0">
              <a:solidFill>
                <a:schemeClr val="tx1"/>
              </a:solidFill>
              <a:latin typeface="+mn-lt"/>
              <a:ea typeface="+mn-ea"/>
              <a:cs typeface="+mn-cs"/>
            </a:rPr>
            <a:t>Keys (my entry point):	</a:t>
          </a:r>
          <a:r>
            <a:rPr lang="en-GB" sz="1100" b="0" u="none" baseline="0">
              <a:solidFill>
                <a:schemeClr val="tx1"/>
              </a:solidFill>
              <a:latin typeface="+mn-lt"/>
              <a:ea typeface="+mn-ea"/>
              <a:cs typeface="+mn-cs"/>
            </a:rPr>
            <a:t>Answer.</a:t>
          </a:r>
        </a:p>
        <a:p>
          <a:pPr marL="0" indent="0" algn="l"/>
          <a:endParaRPr lang="en-GB" sz="1100" b="0" u="none" baseline="0">
            <a:solidFill>
              <a:schemeClr val="tx1"/>
            </a:solidFill>
            <a:latin typeface="+mn-lt"/>
            <a:ea typeface="+mn-ea"/>
            <a:cs typeface="+mn-cs"/>
          </a:endParaRPr>
        </a:p>
        <a:p>
          <a:pPr marL="0" indent="0" algn="l"/>
          <a:r>
            <a:rPr lang="en-GB" sz="1100" b="0" i="1" u="none" baseline="0">
              <a:solidFill>
                <a:schemeClr val="tx1"/>
              </a:solidFill>
              <a:latin typeface="+mn-lt"/>
              <a:ea typeface="+mn-ea"/>
              <a:cs typeface="+mn-cs"/>
            </a:rPr>
            <a:t>Instruction</a:t>
          </a:r>
        </a:p>
        <a:p>
          <a:pPr marL="0" indent="0" algn="l"/>
          <a:endParaRPr lang="en-GB" sz="1100" b="1"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Define the task in the simplest words, with a clear action and outcome:</a:t>
          </a:r>
        </a:p>
        <a:p>
          <a:pPr marL="0" indent="0" algn="l"/>
          <a:r>
            <a:rPr lang="en-GB" sz="1100" b="0" u="none" baseline="0">
              <a:solidFill>
                <a:schemeClr val="tx1"/>
              </a:solidFill>
              <a:latin typeface="+mn-lt"/>
              <a:ea typeface="+mn-ea"/>
              <a:cs typeface="+mn-cs"/>
            </a:rPr>
            <a:t>Answer.</a:t>
          </a:r>
        </a:p>
        <a:p>
          <a:pPr marL="0" indent="0" algn="l"/>
          <a:endParaRPr lang="en-GB" sz="1100" b="0" u="none" baseline="0">
            <a:solidFill>
              <a:schemeClr val="tx1"/>
            </a:solidFill>
            <a:latin typeface="+mn-lt"/>
            <a:ea typeface="+mn-ea"/>
            <a:cs typeface="+mn-cs"/>
          </a:endParaRPr>
        </a:p>
        <a:p>
          <a:pPr marL="0" indent="0" algn="l"/>
          <a:r>
            <a:rPr lang="en-GB" sz="1100" b="0" i="1" u="none" baseline="0">
              <a:solidFill>
                <a:schemeClr val="tx1"/>
              </a:solidFill>
              <a:latin typeface="+mn-lt"/>
              <a:ea typeface="+mn-ea"/>
              <a:cs typeface="+mn-cs"/>
            </a:rPr>
            <a:t>Constraints</a:t>
          </a: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Resources:	</a:t>
          </a:r>
          <a:r>
            <a:rPr lang="en-GB" sz="1100" b="0" u="none" baseline="0">
              <a:solidFill>
                <a:schemeClr val="tx1"/>
              </a:solidFill>
              <a:latin typeface="+mn-lt"/>
              <a:ea typeface="+mn-ea"/>
              <a:cs typeface="+mn-cs"/>
            </a:rPr>
            <a:t>Answer.</a:t>
          </a:r>
        </a:p>
        <a:p>
          <a:pPr marL="0" indent="0" algn="l"/>
          <a:r>
            <a:rPr lang="en-GB" sz="1100" b="1" u="none" baseline="0">
              <a:solidFill>
                <a:schemeClr val="tx1"/>
              </a:solidFill>
              <a:latin typeface="+mn-lt"/>
              <a:ea typeface="+mn-ea"/>
              <a:cs typeface="+mn-cs"/>
            </a:rPr>
            <a:t>Quality:	</a:t>
          </a:r>
          <a:r>
            <a:rPr lang="en-GB" sz="1100" b="0" baseline="0">
              <a:solidFill>
                <a:schemeClr val="tx1"/>
              </a:solidFill>
              <a:effectLst/>
              <a:latin typeface="+mn-lt"/>
              <a:ea typeface="+mn-ea"/>
              <a:cs typeface="+mn-cs"/>
            </a:rPr>
            <a:t>Answer.</a:t>
          </a:r>
          <a:endParaRPr lang="en-GB">
            <a:effectLst/>
          </a:endParaRPr>
        </a:p>
        <a:p>
          <a:pPr marL="0" indent="0" algn="l"/>
          <a:r>
            <a:rPr lang="en-GB" sz="1100" b="1" u="none" baseline="0">
              <a:solidFill>
                <a:schemeClr val="tx1"/>
              </a:solidFill>
              <a:latin typeface="+mn-lt"/>
              <a:ea typeface="+mn-ea"/>
              <a:cs typeface="+mn-cs"/>
            </a:rPr>
            <a:t>Quantity:	</a:t>
          </a:r>
          <a:r>
            <a:rPr lang="en-GB" sz="1100" b="0" baseline="0">
              <a:solidFill>
                <a:schemeClr val="tx1"/>
              </a:solidFill>
              <a:effectLst/>
              <a:latin typeface="+mn-lt"/>
              <a:ea typeface="+mn-ea"/>
              <a:cs typeface="+mn-cs"/>
            </a:rPr>
            <a:t>Answer.</a:t>
          </a:r>
        </a:p>
        <a:p>
          <a:pPr marL="0" marR="0" lvl="0" indent="0" algn="l" defTabSz="914400" eaLnBrk="1" fontAlgn="auto" latinLnBrk="0" hangingPunct="1">
            <a:lnSpc>
              <a:spcPct val="100000"/>
            </a:lnSpc>
            <a:spcBef>
              <a:spcPts val="0"/>
            </a:spcBef>
            <a:spcAft>
              <a:spcPts val="0"/>
            </a:spcAft>
            <a:buClrTx/>
            <a:buSzTx/>
            <a:buFontTx/>
            <a:buNone/>
            <a:tabLst/>
            <a:defRPr/>
          </a:pPr>
          <a:r>
            <a:rPr lang="en-GB" sz="1100" b="1" baseline="0">
              <a:solidFill>
                <a:schemeClr val="tx1"/>
              </a:solidFill>
              <a:effectLst/>
              <a:latin typeface="+mn-lt"/>
              <a:ea typeface="+mn-ea"/>
              <a:cs typeface="+mn-cs"/>
            </a:rPr>
            <a:t>Time:	</a:t>
          </a:r>
          <a:r>
            <a:rPr lang="en-GB" sz="1100" b="0" baseline="0">
              <a:solidFill>
                <a:schemeClr val="tx1"/>
              </a:solidFill>
              <a:effectLst/>
              <a:latin typeface="+mn-lt"/>
              <a:ea typeface="+mn-ea"/>
              <a:cs typeface="+mn-cs"/>
            </a:rPr>
            <a:t>Answer.</a:t>
          </a:r>
          <a:endParaRPr lang="en-GB">
            <a:effectLst/>
          </a:endParaRPr>
        </a:p>
        <a:p>
          <a:pPr marL="0" indent="0" algn="l"/>
          <a:r>
            <a:rPr lang="en-GB" sz="1100" b="1" u="none" baseline="0">
              <a:solidFill>
                <a:schemeClr val="tx1"/>
              </a:solidFill>
              <a:latin typeface="+mn-lt"/>
              <a:ea typeface="+mn-ea"/>
              <a:cs typeface="+mn-cs"/>
            </a:rPr>
            <a:t>Deadline:	</a:t>
          </a:r>
          <a:r>
            <a:rPr lang="en-GB" sz="1100" b="0" baseline="0">
              <a:solidFill>
                <a:schemeClr val="tx1"/>
              </a:solidFill>
              <a:effectLst/>
              <a:latin typeface="+mn-lt"/>
              <a:ea typeface="+mn-ea"/>
              <a:cs typeface="+mn-cs"/>
            </a:rPr>
            <a:t>Answer.</a:t>
          </a:r>
        </a:p>
        <a:p>
          <a:pPr marL="0" marR="0" lvl="0" indent="0" algn="l" defTabSz="914400" eaLnBrk="1" fontAlgn="auto" latinLnBrk="0" hangingPunct="1">
            <a:lnSpc>
              <a:spcPct val="100000"/>
            </a:lnSpc>
            <a:spcBef>
              <a:spcPts val="0"/>
            </a:spcBef>
            <a:spcAft>
              <a:spcPts val="0"/>
            </a:spcAft>
            <a:buClrTx/>
            <a:buSzTx/>
            <a:buFontTx/>
            <a:buNone/>
            <a:tabLst/>
            <a:defRPr/>
          </a:pPr>
          <a:r>
            <a:rPr lang="en-GB" sz="1100" b="1" baseline="0">
              <a:solidFill>
                <a:schemeClr val="tx1"/>
              </a:solidFill>
              <a:effectLst/>
              <a:latin typeface="+mn-lt"/>
              <a:ea typeface="+mn-ea"/>
              <a:cs typeface="+mn-cs"/>
            </a:rPr>
            <a:t>Misc:	</a:t>
          </a:r>
          <a:r>
            <a:rPr lang="en-GB" sz="1100" b="0" baseline="0">
              <a:solidFill>
                <a:schemeClr val="tx1"/>
              </a:solidFill>
              <a:effectLst/>
              <a:latin typeface="+mn-lt"/>
              <a:ea typeface="+mn-ea"/>
              <a:cs typeface="+mn-cs"/>
            </a:rPr>
            <a:t>Answer.</a:t>
          </a:r>
          <a:endParaRPr lang="en-GB" sz="1100" b="1" u="none" baseline="0">
            <a:solidFill>
              <a:schemeClr val="tx1"/>
            </a:solidFill>
            <a:latin typeface="+mn-lt"/>
            <a:ea typeface="+mn-ea"/>
            <a:cs typeface="+mn-cs"/>
          </a:endParaRPr>
        </a:p>
        <a:p>
          <a:pPr marL="0" indent="0" algn="l"/>
          <a:endParaRPr lang="en-GB" sz="1100" b="0"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I'll reward myself with:	</a:t>
          </a:r>
          <a:r>
            <a:rPr lang="en-GB" sz="1100" b="0" baseline="0">
              <a:solidFill>
                <a:schemeClr val="tx1"/>
              </a:solidFill>
              <a:effectLst/>
              <a:latin typeface="+mn-lt"/>
              <a:ea typeface="+mn-ea"/>
              <a:cs typeface="+mn-cs"/>
            </a:rPr>
            <a:t>Answer.</a:t>
          </a:r>
          <a:endParaRPr lang="en-GB" sz="1100" b="1"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Desired outcome:	</a:t>
          </a:r>
          <a:r>
            <a:rPr lang="en-GB" sz="1100" b="0" baseline="0">
              <a:solidFill>
                <a:schemeClr val="tx1"/>
              </a:solidFill>
              <a:effectLst/>
              <a:latin typeface="+mn-lt"/>
              <a:ea typeface="+mn-ea"/>
              <a:cs typeface="+mn-cs"/>
            </a:rPr>
            <a:t>Answer.</a:t>
          </a:r>
          <a:endParaRPr lang="en-GB" sz="1100" b="1" u="none" baseline="0">
            <a:solidFill>
              <a:schemeClr val="tx1"/>
            </a:solidFill>
            <a:latin typeface="+mn-lt"/>
            <a:ea typeface="+mn-ea"/>
            <a:cs typeface="+mn-cs"/>
          </a:endParaRPr>
        </a:p>
        <a:p>
          <a:pPr marL="0" indent="0" algn="l"/>
          <a:r>
            <a:rPr lang="en-GB" sz="1100" b="1" u="none" baseline="0">
              <a:solidFill>
                <a:schemeClr val="tx1"/>
              </a:solidFill>
              <a:latin typeface="+mn-lt"/>
              <a:ea typeface="+mn-ea"/>
              <a:cs typeface="+mn-cs"/>
            </a:rPr>
            <a:t>Actual outcome: 	</a:t>
          </a:r>
          <a:r>
            <a:rPr lang="en-GB" sz="1100" b="0" baseline="0">
              <a:solidFill>
                <a:schemeClr val="tx1"/>
              </a:solidFill>
              <a:effectLst/>
              <a:latin typeface="+mn-lt"/>
              <a:ea typeface="+mn-ea"/>
              <a:cs typeface="+mn-cs"/>
            </a:rPr>
            <a:t>Answer.</a:t>
          </a:r>
          <a:endParaRPr lang="en-GB" sz="1100" b="1" u="none" baseline="0">
            <a:solidFill>
              <a:schemeClr val="tx1"/>
            </a:solidFill>
            <a:latin typeface="+mn-lt"/>
            <a:ea typeface="+mn-ea"/>
            <a:cs typeface="+mn-cs"/>
          </a:endParaRPr>
        </a:p>
        <a:p>
          <a:pPr marL="0" indent="0" algn="l"/>
          <a:endParaRPr lang="en-GB" sz="1100" b="0" u="none" baseline="0">
            <a:solidFill>
              <a:schemeClr val="tx1"/>
            </a:solidFill>
            <a:latin typeface="+mn-lt"/>
            <a:ea typeface="+mn-ea"/>
            <a:cs typeface="+mn-cs"/>
          </a:endParaRPr>
        </a:p>
        <a:p>
          <a:pPr marL="0" indent="0"/>
          <a:endParaRPr lang="en-GB" sz="1100" b="0" u="none" baseline="0">
            <a:solidFill>
              <a:schemeClr val="tx1"/>
            </a:solidFill>
            <a:latin typeface="+mn-lt"/>
            <a:ea typeface="+mn-ea"/>
            <a:cs typeface="+mn-cs"/>
          </a:endParaRPr>
        </a:p>
      </xdr:txBody>
    </xdr:sp>
    <xdr:clientData fLocksWithSheet="0"/>
  </xdr:twoCellAnchor>
  <xdr:twoCellAnchor>
    <xdr:from>
      <xdr:col>2</xdr:col>
      <xdr:colOff>226800</xdr:colOff>
      <xdr:row>159</xdr:row>
      <xdr:rowOff>0</xdr:rowOff>
    </xdr:from>
    <xdr:to>
      <xdr:col>20</xdr:col>
      <xdr:colOff>0</xdr:colOff>
      <xdr:row>162</xdr:row>
      <xdr:rowOff>1350</xdr:rowOff>
    </xdr:to>
    <xdr:sp macro="" textlink="" fLocksText="0">
      <xdr:nvSpPr>
        <xdr:cNvPr id="65" name="TextBox 64">
          <a:extLst>
            <a:ext uri="{FF2B5EF4-FFF2-40B4-BE49-F238E27FC236}">
              <a16:creationId xmlns:a16="http://schemas.microsoft.com/office/drawing/2014/main" id="{81838F4B-43CB-462D-AADD-3610824B3BDE}"/>
            </a:ext>
          </a:extLst>
        </xdr:cNvPr>
        <xdr:cNvSpPr txBox="1"/>
      </xdr:nvSpPr>
      <xdr:spPr>
        <a:xfrm>
          <a:off x="684000" y="33318450"/>
          <a:ext cx="3888000" cy="630000"/>
        </a:xfrm>
        <a:prstGeom prst="rect">
          <a:avLst/>
        </a:prstGeom>
        <a:solidFill>
          <a:srgbClr val="FFFFFF">
            <a:alpha val="85098"/>
          </a:srgbClr>
        </a:solidFill>
        <a:ln w="6350">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ysClr val="windowText" lastClr="000000"/>
              </a:solidFill>
              <a:latin typeface="+mn-lt"/>
              <a:ea typeface="+mn-ea"/>
              <a:cs typeface="+mn-cs"/>
            </a:rPr>
            <a:t>EXERCISE ON SHADOW WORK</a:t>
          </a:r>
        </a:p>
        <a:p>
          <a:pPr marL="0" indent="0"/>
          <a:r>
            <a:rPr lang="en-GB" sz="1200" b="0" u="none" baseline="0">
              <a:solidFill>
                <a:sysClr val="windowText" lastClr="000000"/>
              </a:solidFill>
              <a:latin typeface="+mn-lt"/>
              <a:ea typeface="+mn-ea"/>
              <a:cs typeface="+mn-cs"/>
            </a:rPr>
            <a:t>ddd DDdd TT:TT</a:t>
          </a:r>
          <a:endParaRPr lang="en-GB" sz="1200" b="1" u="none" baseline="0">
            <a:solidFill>
              <a:sysClr val="windowText" lastClr="000000"/>
            </a:solidFill>
            <a:latin typeface="+mn-lt"/>
            <a:ea typeface="+mn-ea"/>
            <a:cs typeface="+mn-cs"/>
          </a:endParaRPr>
        </a:p>
        <a:p>
          <a:pPr marL="0" indent="0" algn="l"/>
          <a:r>
            <a:rPr lang="en-GB" sz="1200" b="0" u="none" baseline="0">
              <a:solidFill>
                <a:sysClr val="windowText" lastClr="000000"/>
              </a:solidFill>
              <a:latin typeface="+mn-lt"/>
              <a:ea typeface="+mn-ea"/>
              <a:cs typeface="+mn-cs"/>
            </a:rPr>
            <a:t>_________________________________________________</a:t>
          </a:r>
        </a:p>
        <a:p>
          <a:pPr marL="0" indent="0" algn="l"/>
          <a:endParaRPr lang="en-GB" sz="1100" b="0" u="none" baseline="0">
            <a:solidFill>
              <a:sysClr val="windowText" lastClr="000000"/>
            </a:solidFill>
            <a:latin typeface="+mn-lt"/>
            <a:ea typeface="+mn-ea"/>
            <a:cs typeface="+mn-cs"/>
          </a:endParaRPr>
        </a:p>
        <a:p>
          <a:pPr marL="0" indent="0" algn="l"/>
          <a:r>
            <a:rPr lang="en-GB" sz="1100" b="0" i="1" u="none" baseline="0">
              <a:solidFill>
                <a:sysClr val="windowText" lastClr="000000"/>
              </a:solidFill>
              <a:latin typeface="+mn-lt"/>
              <a:ea typeface="+mn-ea"/>
              <a:cs typeface="+mn-cs"/>
            </a:rPr>
            <a:t>[based on a video by Julien Blanc]</a:t>
          </a: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How do I feel about me? </a:t>
          </a:r>
        </a:p>
        <a:p>
          <a:pPr marL="0" indent="0" algn="l"/>
          <a:r>
            <a:rPr lang="en-GB" sz="1100" b="0" u="none" baseline="0">
              <a:solidFill>
                <a:sysClr val="windowText" lastClr="000000"/>
              </a:solidFill>
              <a:latin typeface="+mn-lt"/>
              <a:ea typeface="+mn-ea"/>
              <a:cs typeface="+mn-cs"/>
            </a:rPr>
            <a:t>Answer.</a:t>
          </a: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Day to day, what is it like to be me?</a:t>
          </a:r>
        </a:p>
        <a:p>
          <a:pPr marL="0" indent="0" algn="l"/>
          <a:r>
            <a:rPr lang="en-GB" sz="1100" b="0" u="none" baseline="0">
              <a:solidFill>
                <a:sysClr val="windowText" lastClr="000000"/>
              </a:solidFill>
              <a:latin typeface="+mn-lt"/>
              <a:ea typeface="+mn-ea"/>
              <a:cs typeface="+mn-cs"/>
            </a:rPr>
            <a:t>Answer.</a:t>
          </a: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Why is living up to my potential bad or scary?</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Why do I secretly not want to succeed in my dreams?</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Why do I secretly love staying in my comfort zone?</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What is my actual deeper fear stopping me from doing what I want to do?</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What is so scary about rejection?</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When did I start rejecting myself?</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How has the idea that things aren't going to work out for me then followed me in my life? - Where has it resurfaced?</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What does my mind say, or my body say, if someone tells me that there's nothing wrong with me, nothing broken in me? - Does every part of me believe it? For the parts of me that don't believe it, what's their comeback?</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What would I immediatly respond to the following questions? Would a part of me believe these questions are justified and that they reveal some truth about me? </a:t>
          </a:r>
        </a:p>
        <a:p>
          <a:pPr marL="0" indent="0" algn="l"/>
          <a:r>
            <a:rPr lang="en-GB" sz="1100" b="1" u="none" baseline="0">
              <a:solidFill>
                <a:sysClr val="windowText" lastClr="000000"/>
              </a:solidFill>
              <a:latin typeface="+mn-lt"/>
              <a:ea typeface="+mn-ea"/>
              <a:cs typeface="+mn-cs"/>
            </a:rPr>
            <a:t>- Why do my parents hate me and why is it entirely my fault?</a:t>
          </a:r>
        </a:p>
        <a:p>
          <a:pPr marL="0" indent="0" algn="l"/>
          <a:r>
            <a:rPr lang="en-GB" sz="1100" b="1" u="none" baseline="0">
              <a:solidFill>
                <a:sysClr val="windowText" lastClr="000000"/>
              </a:solidFill>
              <a:latin typeface="+mn-lt"/>
              <a:ea typeface="+mn-ea"/>
              <a:cs typeface="+mn-cs"/>
            </a:rPr>
            <a:t>- Why am I not good enough?</a:t>
          </a:r>
        </a:p>
        <a:p>
          <a:pPr marL="0" indent="0" algn="l"/>
          <a:r>
            <a:rPr lang="en-GB" sz="1100" b="1" u="none" baseline="0">
              <a:solidFill>
                <a:sysClr val="windowText" lastClr="000000"/>
              </a:solidFill>
              <a:latin typeface="+mn-lt"/>
              <a:ea typeface="+mn-ea"/>
              <a:cs typeface="+mn-cs"/>
            </a:rPr>
            <a:t>- What is missing in me?</a:t>
          </a:r>
        </a:p>
        <a:p>
          <a:pPr marL="0" indent="0" algn="l"/>
          <a:r>
            <a:rPr lang="en-GB" sz="1100" b="1" u="none" baseline="0">
              <a:solidFill>
                <a:sysClr val="windowText" lastClr="000000"/>
              </a:solidFill>
              <a:latin typeface="+mn-lt"/>
              <a:ea typeface="+mn-ea"/>
              <a:cs typeface="+mn-cs"/>
            </a:rPr>
            <a:t>- What do I hate most about me?</a:t>
          </a:r>
        </a:p>
        <a:p>
          <a:pPr marL="0" indent="0" algn="l"/>
          <a:r>
            <a:rPr lang="en-GB" sz="1100" b="1" u="none" baseline="0">
              <a:solidFill>
                <a:sysClr val="windowText" lastClr="000000"/>
              </a:solidFill>
              <a:latin typeface="+mn-lt"/>
              <a:ea typeface="+mn-ea"/>
              <a:cs typeface="+mn-cs"/>
            </a:rPr>
            <a:t>- Why is no one going to love me?</a:t>
          </a:r>
        </a:p>
        <a:p>
          <a:pPr marL="0" indent="0" algn="l"/>
          <a:r>
            <a:rPr lang="en-GB" sz="1100" b="1" u="none" baseline="0">
              <a:solidFill>
                <a:sysClr val="windowText" lastClr="000000"/>
              </a:solidFill>
              <a:latin typeface="+mn-lt"/>
              <a:ea typeface="+mn-ea"/>
              <a:cs typeface="+mn-cs"/>
            </a:rPr>
            <a:t>- Why am I a disappointment to myself?</a:t>
          </a:r>
        </a:p>
        <a:p>
          <a:pPr marL="0" indent="0" algn="l"/>
          <a:r>
            <a:rPr lang="en-GB" sz="1100" b="1" u="none" baseline="0">
              <a:solidFill>
                <a:sysClr val="windowText" lastClr="000000"/>
              </a:solidFill>
              <a:latin typeface="+mn-lt"/>
              <a:ea typeface="+mn-ea"/>
              <a:cs typeface="+mn-cs"/>
            </a:rPr>
            <a:t>- Why do I deserve to only play small? </a:t>
          </a:r>
        </a:p>
        <a:p>
          <a:pPr marL="0" indent="0" algn="l"/>
          <a:r>
            <a:rPr lang="en-GB" sz="1100" b="1" u="none" baseline="0">
              <a:solidFill>
                <a:sysClr val="windowText" lastClr="000000"/>
              </a:solidFill>
              <a:latin typeface="+mn-lt"/>
              <a:ea typeface="+mn-ea"/>
              <a:cs typeface="+mn-cs"/>
            </a:rPr>
            <a:t>- Why is playing big not for me?</a:t>
          </a:r>
        </a:p>
        <a:p>
          <a:pPr marL="0" indent="0" algn="l"/>
          <a:r>
            <a:rPr lang="en-GB" sz="1100" b="1" u="none" baseline="0">
              <a:solidFill>
                <a:sysClr val="windowText" lastClr="000000"/>
              </a:solidFill>
              <a:latin typeface="+mn-lt"/>
              <a:ea typeface="+mn-ea"/>
              <a:cs typeface="+mn-cs"/>
            </a:rPr>
            <a:t>- Why don't I deserve success?</a:t>
          </a:r>
        </a:p>
        <a:p>
          <a:pPr marL="0" indent="0" algn="l"/>
          <a:r>
            <a:rPr lang="en-GB" sz="1100" b="1" u="none" baseline="0">
              <a:solidFill>
                <a:sysClr val="windowText" lastClr="000000"/>
              </a:solidFill>
              <a:latin typeface="+mn-lt"/>
              <a:ea typeface="+mn-ea"/>
              <a:cs typeface="+mn-cs"/>
            </a:rPr>
            <a:t>- Why don't I deserve happiness?</a:t>
          </a:r>
          <a:endParaRPr lang="en-GB" b="1">
            <a:effectLst/>
          </a:endParaRPr>
        </a:p>
        <a:p>
          <a:r>
            <a:rPr lang="en-GB" sz="1100" b="0" baseline="0">
              <a:solidFill>
                <a:schemeClr val="tx1"/>
              </a:solidFill>
              <a:effectLst/>
              <a:latin typeface="+mn-lt"/>
              <a:ea typeface="+mn-ea"/>
              <a:cs typeface="+mn-cs"/>
            </a:rPr>
            <a:t>Answer.</a:t>
          </a:r>
          <a:endParaRPr lang="en-GB" sz="1100" b="0" u="none" baseline="0">
            <a:solidFill>
              <a:sysClr val="windowText" lastClr="000000"/>
            </a:solidFill>
            <a:latin typeface="+mn-lt"/>
            <a:ea typeface="+mn-ea"/>
            <a:cs typeface="+mn-cs"/>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Looking at myself in the mirror, saying, 'I love me as I am now.' Which parts of me do not believe that or resist the idea? - What do they say?</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Do I believe that I am worthy of love? - Why or why not?</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Why do I think that I am not good enough for others?</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Why am I not good enough for myself?</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Why do I feel like I do not belong?</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Why do I hate myself, or parts of myself?</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What if I chose to love myself as I am now?</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Can I still have dreams and goals and ideas for developing myself both physically and mentally, and yet still love and accept myself exactly as I am now both physically and mentally? - If no, why and is this best for me? If yes, why and is this best for me? - Which of the two responses would help me be both happier now, more likely to achieve any dreams etc, and enjoy the journey? Why?</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Am I seeking external approval? - In what ways?</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How can I give myself internal approval, as I am now?</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Am I seeking to control the people and the world around me?</a:t>
          </a:r>
        </a:p>
        <a:p>
          <a:r>
            <a:rPr lang="en-GB" sz="1100" b="1" u="none" baseline="0">
              <a:solidFill>
                <a:sysClr val="windowText" lastClr="000000"/>
              </a:solidFill>
              <a:latin typeface="+mn-lt"/>
              <a:ea typeface="+mn-ea"/>
              <a:cs typeface="+mn-cs"/>
            </a:rPr>
            <a:t>Do I feel at home with myself and feel safe within? - If yes, why? - If no, what would it be like if I did feel this way? - How could I begin to feel that way?</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In what ways am I being abusive to my inner child?</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How can I become less abusive to myself and my inner child?</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Would I accept the level of abuse my inner-voice gives me from a friend?</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How can I put a stop to the abuse from my inner-voice?</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How can I better care for and nurture my inner-child?</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Are there any thoughts or actions that can change how I am right now physically or mentally?</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Would I feel better if I resisted myself or embraced myself as I am now?</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What is so bad about me as I am right here right now?</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r>
            <a:rPr lang="en-GB" sz="1100" b="1" u="none" baseline="0">
              <a:solidFill>
                <a:sysClr val="windowText" lastClr="000000"/>
              </a:solidFill>
              <a:latin typeface="+mn-lt"/>
              <a:ea typeface="+mn-ea"/>
              <a:cs typeface="+mn-cs"/>
            </a:rPr>
            <a:t>Am I doing things for myself or for the approval of others? - What things and why?</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Am I setting living up to my potential as a requirement to love myself?</a:t>
          </a:r>
        </a:p>
        <a:p>
          <a:pPr marL="0" indent="0" algn="l"/>
          <a:r>
            <a:rPr lang="en-GB" sz="1100" b="1" u="none" baseline="0">
              <a:solidFill>
                <a:sysClr val="windowText" lastClr="000000"/>
              </a:solidFill>
              <a:latin typeface="+mn-lt"/>
              <a:ea typeface="+mn-ea"/>
              <a:cs typeface="+mn-cs"/>
            </a:rPr>
            <a:t>- If so, at what point will I give myself permission to love myself or be satisfied?</a:t>
          </a:r>
        </a:p>
        <a:p>
          <a:r>
            <a:rPr lang="en-GB" sz="1100" b="1" u="none" baseline="0">
              <a:solidFill>
                <a:sysClr val="windowText" lastClr="000000"/>
              </a:solidFill>
              <a:latin typeface="+mn-lt"/>
              <a:ea typeface="+mn-ea"/>
              <a:cs typeface="+mn-cs"/>
            </a:rPr>
            <a:t>- What if I were to love myself as I am right now and then simply enjoy my journey?</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Who decides if my body is perfect or not?</a:t>
          </a:r>
        </a:p>
        <a:p>
          <a:pPr marL="0" indent="0" algn="l"/>
          <a:r>
            <a:rPr lang="en-GB" sz="1100" b="1" u="none" baseline="0">
              <a:solidFill>
                <a:sysClr val="windowText" lastClr="000000"/>
              </a:solidFill>
              <a:latin typeface="+mn-lt"/>
              <a:ea typeface="+mn-ea"/>
              <a:cs typeface="+mn-cs"/>
            </a:rPr>
            <a:t>Who decides if my life is perfect or not?</a:t>
          </a:r>
        </a:p>
        <a:p>
          <a:pPr marL="0" indent="0" algn="l"/>
          <a:r>
            <a:rPr lang="en-GB" sz="1100" b="1" u="none" baseline="0">
              <a:solidFill>
                <a:sysClr val="windowText" lastClr="000000"/>
              </a:solidFill>
              <a:latin typeface="+mn-lt"/>
              <a:ea typeface="+mn-ea"/>
              <a:cs typeface="+mn-cs"/>
            </a:rPr>
            <a:t>Who decides if my achievements are enough or not?</a:t>
          </a:r>
        </a:p>
        <a:p>
          <a:pPr marL="0" indent="0" algn="l"/>
          <a:r>
            <a:rPr lang="en-GB" sz="1100" b="1" u="none" baseline="0">
              <a:solidFill>
                <a:sysClr val="windowText" lastClr="000000"/>
              </a:solidFill>
              <a:latin typeface="+mn-lt"/>
              <a:ea typeface="+mn-ea"/>
              <a:cs typeface="+mn-cs"/>
            </a:rPr>
            <a:t>Who decides if I am a success or not?</a:t>
          </a:r>
        </a:p>
        <a:p>
          <a:pPr marL="0" indent="0" algn="l"/>
          <a:r>
            <a:rPr lang="en-GB" sz="1100" b="1" u="none" baseline="0">
              <a:solidFill>
                <a:sysClr val="windowText" lastClr="000000"/>
              </a:solidFill>
              <a:latin typeface="+mn-lt"/>
              <a:ea typeface="+mn-ea"/>
              <a:cs typeface="+mn-cs"/>
            </a:rPr>
            <a:t>Who decides if I am a failure or not?</a:t>
          </a:r>
        </a:p>
        <a:p>
          <a:pPr marL="0" indent="0" algn="l"/>
          <a:r>
            <a:rPr lang="en-GB" sz="1100" b="1" u="none" baseline="0">
              <a:solidFill>
                <a:sysClr val="windowText" lastClr="000000"/>
              </a:solidFill>
              <a:latin typeface="+mn-lt"/>
              <a:ea typeface="+mn-ea"/>
              <a:cs typeface="+mn-cs"/>
            </a:rPr>
            <a:t>What exactly is perfect? - Is it one singular thing?</a:t>
          </a:r>
        </a:p>
        <a:p>
          <a:r>
            <a:rPr lang="en-GB" sz="1100" b="1" u="none" baseline="0">
              <a:solidFill>
                <a:sysClr val="windowText" lastClr="000000"/>
              </a:solidFill>
              <a:latin typeface="+mn-lt"/>
              <a:ea typeface="+mn-ea"/>
              <a:cs typeface="+mn-cs"/>
            </a:rPr>
            <a:t>What exactly is success or failure? - Is it one singular thing?</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In what ways am I being true to myself or not?</a:t>
          </a:r>
        </a:p>
        <a:p>
          <a:r>
            <a:rPr lang="en-GB" sz="1100" b="1" u="none" baseline="0">
              <a:solidFill>
                <a:sysClr val="windowText" lastClr="000000"/>
              </a:solidFill>
              <a:latin typeface="+mn-lt"/>
              <a:ea typeface="+mn-ea"/>
              <a:cs typeface="+mn-cs"/>
            </a:rPr>
            <a:t>In what ways am I being authentic or not?</a:t>
          </a:r>
          <a:endParaRPr lang="en-GB" b="1">
            <a:effectLst/>
          </a:endParaRPr>
        </a:p>
        <a:p>
          <a:r>
            <a:rPr lang="en-GB" sz="1100" b="0" baseline="0">
              <a:solidFill>
                <a:schemeClr val="tx1"/>
              </a:solidFill>
              <a:effectLst/>
              <a:latin typeface="+mn-lt"/>
              <a:ea typeface="+mn-ea"/>
              <a:cs typeface="+mn-cs"/>
            </a:rPr>
            <a:t>Answer.</a:t>
          </a:r>
          <a:endParaRPr lang="en-GB" sz="1100" b="0" u="none" baseline="0">
            <a:solidFill>
              <a:sysClr val="windowText" lastClr="000000"/>
            </a:solidFill>
            <a:latin typeface="+mn-lt"/>
            <a:ea typeface="+mn-ea"/>
            <a:cs typeface="+mn-cs"/>
          </a:endParaRPr>
        </a:p>
        <a:p>
          <a:pPr marL="0" indent="0" algn="l"/>
          <a:endParaRPr lang="en-GB" sz="1100" b="0" u="none" baseline="0">
            <a:solidFill>
              <a:sysClr val="windowText" lastClr="000000"/>
            </a:solidFill>
            <a:latin typeface="+mn-lt"/>
            <a:ea typeface="+mn-ea"/>
            <a:cs typeface="+mn-cs"/>
          </a:endParaRPr>
        </a:p>
        <a:p>
          <a:pPr marL="0" indent="0" algn="l"/>
          <a:r>
            <a:rPr lang="en-GB" sz="1100" b="1" u="none" baseline="0">
              <a:solidFill>
                <a:sysClr val="windowText" lastClr="000000"/>
              </a:solidFill>
              <a:latin typeface="+mn-lt"/>
              <a:ea typeface="+mn-ea"/>
              <a:cs typeface="+mn-cs"/>
            </a:rPr>
            <a:t>What is the one thing I would hope someone would tell me? - Could I simply tell this to myself right now (and believe it)?</a:t>
          </a:r>
        </a:p>
        <a:p>
          <a:r>
            <a:rPr lang="en-GB" sz="1100" b="1" u="none" baseline="0">
              <a:solidFill>
                <a:sysClr val="windowText" lastClr="000000"/>
              </a:solidFill>
              <a:latin typeface="+mn-lt"/>
              <a:ea typeface="+mn-ea"/>
              <a:cs typeface="+mn-cs"/>
            </a:rPr>
            <a:t>Is it OK to be me? - Why or why not?</a:t>
          </a:r>
          <a:endParaRPr lang="en-GB" b="1">
            <a:effectLst/>
          </a:endParaRPr>
        </a:p>
        <a:p>
          <a:r>
            <a:rPr lang="en-GB" sz="1100" b="0" baseline="0">
              <a:solidFill>
                <a:schemeClr val="tx1"/>
              </a:solidFill>
              <a:effectLst/>
              <a:latin typeface="+mn-lt"/>
              <a:ea typeface="+mn-ea"/>
              <a:cs typeface="+mn-cs"/>
            </a:rPr>
            <a:t>Answer.</a:t>
          </a:r>
          <a:endParaRPr lang="en-GB">
            <a:effectLst/>
          </a:endParaRPr>
        </a:p>
        <a:p>
          <a:pPr marL="0" indent="0" algn="l"/>
          <a:endParaRPr lang="en-GB" sz="1100" b="0" u="none" baseline="0">
            <a:solidFill>
              <a:sysClr val="windowText" lastClr="000000"/>
            </a:solidFill>
            <a:latin typeface="+mn-lt"/>
            <a:ea typeface="+mn-ea"/>
            <a:cs typeface="+mn-cs"/>
          </a:endParaRPr>
        </a:p>
      </xdr:txBody>
    </xdr:sp>
    <xdr:clientData fLocksWithSheet="0"/>
  </xdr:twoCellAnchor>
  <xdr:twoCellAnchor>
    <xdr:from>
      <xdr:col>3</xdr:col>
      <xdr:colOff>0</xdr:colOff>
      <xdr:row>237</xdr:row>
      <xdr:rowOff>208200</xdr:rowOff>
    </xdr:from>
    <xdr:to>
      <xdr:col>20</xdr:col>
      <xdr:colOff>1800</xdr:colOff>
      <xdr:row>241</xdr:row>
      <xdr:rowOff>0</xdr:rowOff>
    </xdr:to>
    <xdr:sp macro="" textlink="" fLocksText="0">
      <xdr:nvSpPr>
        <xdr:cNvPr id="71" name="TextBox 70">
          <a:extLst>
            <a:ext uri="{FF2B5EF4-FFF2-40B4-BE49-F238E27FC236}">
              <a16:creationId xmlns:a16="http://schemas.microsoft.com/office/drawing/2014/main" id="{6CCFFE89-0B77-42FC-9C9C-48EB99EEC91D}"/>
            </a:ext>
          </a:extLst>
        </xdr:cNvPr>
        <xdr:cNvSpPr txBox="1"/>
      </xdr:nvSpPr>
      <xdr:spPr>
        <a:xfrm>
          <a:off x="685800" y="13409850"/>
          <a:ext cx="3888000" cy="630000"/>
        </a:xfrm>
        <a:prstGeom prst="rect">
          <a:avLst/>
        </a:prstGeom>
        <a:solidFill>
          <a:schemeClr val="bg1">
            <a:alpha val="85098"/>
          </a:schemeClr>
        </a:solidFill>
        <a:ln w="6350">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EXERCISE ON ...</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[if relevant: name of individual who wrote or inspired this]</a:t>
          </a:r>
        </a:p>
        <a:p>
          <a:pPr marL="0" indent="0" algn="l">
            <a:buFont typeface="Arial" panose="020B0604020202020204" pitchFamily="34" charset="0"/>
            <a:buNone/>
          </a:pPr>
          <a:endParaRPr lang="en-GB" sz="1100" b="0" i="1"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Information about the exercise.</a:t>
          </a:r>
        </a:p>
        <a:p>
          <a:pPr marL="0" indent="0" algn="l">
            <a:buFont typeface="Arial" panose="020B0604020202020204" pitchFamily="34" charset="0"/>
            <a:buNone/>
          </a:pPr>
          <a:endParaRPr lang="en-GB" sz="1100" b="1"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Instruction:</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Instruction:</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Instruction:</a:t>
          </a:r>
          <a:endParaRPr lang="en-GB">
            <a:effectLst/>
          </a:endParaRP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Instruction:</a:t>
          </a:r>
          <a:endParaRPr lang="en-GB">
            <a:effectLst/>
          </a:endParaRP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Instruction:</a:t>
          </a:r>
          <a:endParaRPr lang="en-GB">
            <a:effectLst/>
          </a:endParaRP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Instruction:</a:t>
          </a:r>
          <a:endParaRPr lang="en-GB">
            <a:effectLst/>
          </a:endParaRP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Instruction:</a:t>
          </a:r>
          <a:endParaRPr lang="en-GB">
            <a:effectLst/>
          </a:endParaRPr>
        </a:p>
        <a:p>
          <a:r>
            <a:rPr lang="en-GB" sz="1100" b="0" baseline="0">
              <a:solidFill>
                <a:schemeClr val="tx1"/>
              </a:solidFill>
              <a:effectLst/>
              <a:latin typeface="+mn-lt"/>
              <a:ea typeface="+mn-ea"/>
              <a:cs typeface="+mn-cs"/>
            </a:rPr>
            <a:t>Answer.</a:t>
          </a:r>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Instruction:</a:t>
          </a:r>
          <a:endParaRPr lang="en-GB">
            <a:effectLst/>
          </a:endParaRPr>
        </a:p>
        <a:p>
          <a:r>
            <a:rPr lang="en-GB" sz="1100" b="0" baseline="0">
              <a:solidFill>
                <a:schemeClr val="tx1"/>
              </a:solidFill>
              <a:effectLst/>
              <a:latin typeface="+mn-lt"/>
              <a:ea typeface="+mn-ea"/>
              <a:cs typeface="+mn-cs"/>
            </a:rPr>
            <a:t>Answer.</a:t>
          </a:r>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Instruction:</a:t>
          </a:r>
          <a:endParaRPr lang="en-GB">
            <a:effectLst/>
          </a:endParaRPr>
        </a:p>
        <a:p>
          <a:r>
            <a:rPr lang="en-GB" sz="1100" b="0" baseline="0">
              <a:solidFill>
                <a:schemeClr val="tx1"/>
              </a:solidFill>
              <a:effectLst/>
              <a:latin typeface="+mn-lt"/>
              <a:ea typeface="+mn-ea"/>
              <a:cs typeface="+mn-cs"/>
            </a:rPr>
            <a:t>Answer.</a:t>
          </a:r>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Instruction:</a:t>
          </a:r>
          <a:endParaRPr lang="en-GB">
            <a:effectLst/>
          </a:endParaRPr>
        </a:p>
        <a:p>
          <a:r>
            <a:rPr lang="en-GB" sz="1100" b="0" baseline="0">
              <a:solidFill>
                <a:schemeClr val="tx1"/>
              </a:solidFill>
              <a:effectLst/>
              <a:latin typeface="+mn-lt"/>
              <a:ea typeface="+mn-ea"/>
              <a:cs typeface="+mn-cs"/>
            </a:rPr>
            <a:t>Answer.</a:t>
          </a:r>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xdr:txBody>
    </xdr:sp>
    <xdr:clientData fLocksWithSheet="0"/>
  </xdr:twoCellAnchor>
  <xdr:twoCellAnchor>
    <xdr:from>
      <xdr:col>3</xdr:col>
      <xdr:colOff>0</xdr:colOff>
      <xdr:row>233</xdr:row>
      <xdr:rowOff>208200</xdr:rowOff>
    </xdr:from>
    <xdr:to>
      <xdr:col>20</xdr:col>
      <xdr:colOff>1800</xdr:colOff>
      <xdr:row>237</xdr:row>
      <xdr:rowOff>0</xdr:rowOff>
    </xdr:to>
    <xdr:sp macro="" textlink="" fLocksText="0">
      <xdr:nvSpPr>
        <xdr:cNvPr id="72" name="TextBox 71">
          <a:extLst>
            <a:ext uri="{FF2B5EF4-FFF2-40B4-BE49-F238E27FC236}">
              <a16:creationId xmlns:a16="http://schemas.microsoft.com/office/drawing/2014/main" id="{8C2F23FA-8830-485F-A184-8E2942B4E645}"/>
            </a:ext>
          </a:extLst>
        </xdr:cNvPr>
        <xdr:cNvSpPr txBox="1"/>
      </xdr:nvSpPr>
      <xdr:spPr>
        <a:xfrm>
          <a:off x="685800" y="12571650"/>
          <a:ext cx="3888000" cy="630000"/>
        </a:xfrm>
        <a:prstGeom prst="rect">
          <a:avLst/>
        </a:prstGeom>
        <a:solidFill>
          <a:schemeClr val="bg1">
            <a:alpha val="85098"/>
          </a:schemeClr>
        </a:solidFill>
        <a:ln w="6350">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QUESTIONS ABOUT ...</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[if relevant: name of individual who wrote or inspired these]</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Question?</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Question?</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Question?</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Question?</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Question?</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Question?</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Question?</a:t>
          </a:r>
          <a:endParaRPr lang="en-GB">
            <a:effectLst/>
          </a:endParaRPr>
        </a:p>
        <a:p>
          <a:r>
            <a:rPr lang="en-GB" sz="1100" b="0" baseline="0">
              <a:solidFill>
                <a:schemeClr val="tx1"/>
              </a:solidFill>
              <a:effectLst/>
              <a:latin typeface="+mn-lt"/>
              <a:ea typeface="+mn-ea"/>
              <a:cs typeface="+mn-cs"/>
            </a:rPr>
            <a:t>Answer.</a:t>
          </a:r>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Question?</a:t>
          </a:r>
          <a:endParaRPr lang="en-GB">
            <a:effectLst/>
          </a:endParaRPr>
        </a:p>
        <a:p>
          <a:r>
            <a:rPr lang="en-GB" sz="1100" b="0" baseline="0">
              <a:solidFill>
                <a:schemeClr val="tx1"/>
              </a:solidFill>
              <a:effectLst/>
              <a:latin typeface="+mn-lt"/>
              <a:ea typeface="+mn-ea"/>
              <a:cs typeface="+mn-cs"/>
            </a:rPr>
            <a:t>Answer.</a:t>
          </a:r>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Question?</a:t>
          </a:r>
          <a:endParaRPr lang="en-GB">
            <a:effectLst/>
          </a:endParaRPr>
        </a:p>
        <a:p>
          <a:r>
            <a:rPr lang="en-GB" sz="1100" b="0" baseline="0">
              <a:solidFill>
                <a:schemeClr val="tx1"/>
              </a:solidFill>
              <a:effectLst/>
              <a:latin typeface="+mn-lt"/>
              <a:ea typeface="+mn-ea"/>
              <a:cs typeface="+mn-cs"/>
            </a:rPr>
            <a:t>Answer.</a:t>
          </a:r>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Question?</a:t>
          </a:r>
          <a:endParaRPr lang="en-GB">
            <a:effectLst/>
          </a:endParaRPr>
        </a:p>
        <a:p>
          <a:r>
            <a:rPr lang="en-GB" sz="1100" b="0" baseline="0">
              <a:solidFill>
                <a:schemeClr val="tx1"/>
              </a:solidFill>
              <a:effectLst/>
              <a:latin typeface="+mn-lt"/>
              <a:ea typeface="+mn-ea"/>
              <a:cs typeface="+mn-cs"/>
            </a:rPr>
            <a:t>Answer.</a:t>
          </a:r>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xdr:txBody>
    </xdr:sp>
    <xdr:clientData fLocksWithSheet="0"/>
  </xdr:twoCellAnchor>
  <xdr:twoCellAnchor>
    <xdr:from>
      <xdr:col>3</xdr:col>
      <xdr:colOff>0</xdr:colOff>
      <xdr:row>229</xdr:row>
      <xdr:rowOff>208200</xdr:rowOff>
    </xdr:from>
    <xdr:to>
      <xdr:col>20</xdr:col>
      <xdr:colOff>1800</xdr:colOff>
      <xdr:row>233</xdr:row>
      <xdr:rowOff>0</xdr:rowOff>
    </xdr:to>
    <xdr:sp macro="" textlink="" fLocksText="0">
      <xdr:nvSpPr>
        <xdr:cNvPr id="73" name="TextBox 72">
          <a:extLst>
            <a:ext uri="{FF2B5EF4-FFF2-40B4-BE49-F238E27FC236}">
              <a16:creationId xmlns:a16="http://schemas.microsoft.com/office/drawing/2014/main" id="{2B91616F-9D9A-46AA-AF65-BB8A4A7EF11A}"/>
            </a:ext>
          </a:extLst>
        </xdr:cNvPr>
        <xdr:cNvSpPr txBox="1"/>
      </xdr:nvSpPr>
      <xdr:spPr>
        <a:xfrm>
          <a:off x="685800" y="11733450"/>
          <a:ext cx="3888000" cy="630000"/>
        </a:xfrm>
        <a:prstGeom prst="rect">
          <a:avLst/>
        </a:prstGeom>
        <a:solidFill>
          <a:schemeClr val="bg1">
            <a:alpha val="85098"/>
          </a:schemeClr>
        </a:solidFill>
        <a:ln w="6350">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tx1"/>
              </a:solidFill>
              <a:latin typeface="+mn-lt"/>
              <a:ea typeface="+mn-ea"/>
              <a:cs typeface="+mn-cs"/>
            </a:rPr>
            <a:t>JOURNALLING FOR ...</a:t>
          </a:r>
        </a:p>
        <a:p>
          <a:pPr marL="0" indent="0"/>
          <a:r>
            <a:rPr lang="en-GB" sz="1200" b="0" u="none" baseline="0">
              <a:solidFill>
                <a:schemeClr val="tx1"/>
              </a:solidFill>
              <a:latin typeface="+mn-lt"/>
              <a:ea typeface="+mn-ea"/>
              <a:cs typeface="+mn-cs"/>
            </a:rPr>
            <a:t>ddd DDdd TT:TT</a:t>
          </a:r>
          <a:endParaRPr lang="en-GB" sz="1200" b="1" u="none" baseline="0">
            <a:solidFill>
              <a:schemeClr val="tx1"/>
            </a:solidFill>
            <a:latin typeface="+mn-lt"/>
            <a:ea typeface="+mn-ea"/>
            <a:cs typeface="+mn-cs"/>
          </a:endParaRPr>
        </a:p>
        <a:p>
          <a:pPr marL="0" indent="0" algn="l"/>
          <a:r>
            <a:rPr lang="en-GB" sz="1200" b="0" u="none" baseline="0">
              <a:solidFill>
                <a:schemeClr val="tx1"/>
              </a:solidFill>
              <a:latin typeface="+mn-lt"/>
              <a:ea typeface="+mn-ea"/>
              <a:cs typeface="+mn-cs"/>
            </a:rPr>
            <a:t>_________________________________________________</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0" i="1" u="none" baseline="0">
              <a:solidFill>
                <a:schemeClr val="tx1"/>
              </a:solidFill>
              <a:latin typeface="+mn-lt"/>
              <a:ea typeface="+mn-ea"/>
              <a:cs typeface="+mn-cs"/>
            </a:rPr>
            <a:t>[if relevant: name of individual who wrote or inspired these]</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Question?</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Question?</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Question?</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Question?</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Question?</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pPr marL="0" indent="0" algn="l">
            <a:buFont typeface="Arial" panose="020B0604020202020204" pitchFamily="34" charset="0"/>
            <a:buNone/>
          </a:pPr>
          <a:r>
            <a:rPr lang="en-GB" sz="1100" b="1" u="none" baseline="0">
              <a:solidFill>
                <a:schemeClr val="tx1"/>
              </a:solidFill>
              <a:latin typeface="+mn-lt"/>
              <a:ea typeface="+mn-ea"/>
              <a:cs typeface="+mn-cs"/>
            </a:rPr>
            <a:t>Question?</a:t>
          </a:r>
        </a:p>
        <a:p>
          <a:pPr marL="0" indent="0" algn="l">
            <a:buFont typeface="Arial" panose="020B0604020202020204" pitchFamily="34" charset="0"/>
            <a:buNone/>
          </a:pPr>
          <a:r>
            <a:rPr lang="en-GB" sz="1100" b="0" u="none" baseline="0">
              <a:solidFill>
                <a:schemeClr val="tx1"/>
              </a:solidFill>
              <a:latin typeface="+mn-lt"/>
              <a:ea typeface="+mn-ea"/>
              <a:cs typeface="+mn-cs"/>
            </a:rPr>
            <a:t>Answer.</a:t>
          </a: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Question?</a:t>
          </a:r>
          <a:endParaRPr lang="en-GB">
            <a:effectLst/>
          </a:endParaRPr>
        </a:p>
        <a:p>
          <a:r>
            <a:rPr lang="en-GB" sz="1100" b="0" baseline="0">
              <a:solidFill>
                <a:schemeClr val="tx1"/>
              </a:solidFill>
              <a:effectLst/>
              <a:latin typeface="+mn-lt"/>
              <a:ea typeface="+mn-ea"/>
              <a:cs typeface="+mn-cs"/>
            </a:rPr>
            <a:t>Answer.</a:t>
          </a:r>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Question?</a:t>
          </a:r>
          <a:endParaRPr lang="en-GB">
            <a:effectLst/>
          </a:endParaRPr>
        </a:p>
        <a:p>
          <a:r>
            <a:rPr lang="en-GB" sz="1100" b="0" baseline="0">
              <a:solidFill>
                <a:schemeClr val="tx1"/>
              </a:solidFill>
              <a:effectLst/>
              <a:latin typeface="+mn-lt"/>
              <a:ea typeface="+mn-ea"/>
              <a:cs typeface="+mn-cs"/>
            </a:rPr>
            <a:t>Answer.</a:t>
          </a:r>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Question?</a:t>
          </a:r>
          <a:endParaRPr lang="en-GB">
            <a:effectLst/>
          </a:endParaRPr>
        </a:p>
        <a:p>
          <a:r>
            <a:rPr lang="en-GB" sz="1100" b="0" baseline="0">
              <a:solidFill>
                <a:schemeClr val="tx1"/>
              </a:solidFill>
              <a:effectLst/>
              <a:latin typeface="+mn-lt"/>
              <a:ea typeface="+mn-ea"/>
              <a:cs typeface="+mn-cs"/>
            </a:rPr>
            <a:t>Answer.</a:t>
          </a:r>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a:p>
          <a:r>
            <a:rPr lang="en-GB" sz="1100" b="1" baseline="0">
              <a:solidFill>
                <a:schemeClr val="tx1"/>
              </a:solidFill>
              <a:effectLst/>
              <a:latin typeface="+mn-lt"/>
              <a:ea typeface="+mn-ea"/>
              <a:cs typeface="+mn-cs"/>
            </a:rPr>
            <a:t>Question?</a:t>
          </a:r>
          <a:endParaRPr lang="en-GB">
            <a:effectLst/>
          </a:endParaRPr>
        </a:p>
        <a:p>
          <a:r>
            <a:rPr lang="en-GB" sz="1100" b="0" baseline="0">
              <a:solidFill>
                <a:schemeClr val="tx1"/>
              </a:solidFill>
              <a:effectLst/>
              <a:latin typeface="+mn-lt"/>
              <a:ea typeface="+mn-ea"/>
              <a:cs typeface="+mn-cs"/>
            </a:rPr>
            <a:t>Answer.</a:t>
          </a:r>
          <a:endParaRPr lang="en-GB">
            <a:effectLst/>
          </a:endParaRPr>
        </a:p>
        <a:p>
          <a:pPr marL="0" indent="0" algn="l">
            <a:buFont typeface="Arial" panose="020B0604020202020204" pitchFamily="34" charset="0"/>
            <a:buNone/>
          </a:pPr>
          <a:endParaRPr lang="en-GB" sz="1100" b="0" u="none" baseline="0">
            <a:solidFill>
              <a:schemeClr val="tx1"/>
            </a:solidFill>
            <a:latin typeface="+mn-lt"/>
            <a:ea typeface="+mn-ea"/>
            <a:cs typeface="+mn-cs"/>
          </a:endParaRPr>
        </a:p>
      </xdr:txBody>
    </xdr:sp>
    <xdr:clientData fLocksWithSheet="0"/>
  </xdr:twoCellAnchor>
  <xdr:twoCellAnchor>
    <xdr:from>
      <xdr:col>3</xdr:col>
      <xdr:colOff>0</xdr:colOff>
      <xdr:row>43</xdr:row>
      <xdr:rowOff>206132</xdr:rowOff>
    </xdr:from>
    <xdr:to>
      <xdr:col>20</xdr:col>
      <xdr:colOff>1800</xdr:colOff>
      <xdr:row>47</xdr:row>
      <xdr:rowOff>0</xdr:rowOff>
    </xdr:to>
    <xdr:sp macro="" textlink="" fLocksText="0">
      <xdr:nvSpPr>
        <xdr:cNvPr id="3" name="TextBox 2">
          <a:extLst>
            <a:ext uri="{FF2B5EF4-FFF2-40B4-BE49-F238E27FC236}">
              <a16:creationId xmlns:a16="http://schemas.microsoft.com/office/drawing/2014/main" id="{CF5E2D09-F1FD-4C63-95C4-7F4E19EF5697}"/>
            </a:ext>
          </a:extLst>
        </xdr:cNvPr>
        <xdr:cNvSpPr txBox="1"/>
      </xdr:nvSpPr>
      <xdr:spPr>
        <a:xfrm>
          <a:off x="685800" y="9216782"/>
          <a:ext cx="3888000" cy="632068"/>
        </a:xfrm>
        <a:prstGeom prst="rect">
          <a:avLst/>
        </a:prstGeom>
        <a:solidFill>
          <a:schemeClr val="tx1">
            <a:alpha val="8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bg1"/>
              </a:solidFill>
              <a:latin typeface="+mn-lt"/>
              <a:ea typeface="+mn-ea"/>
              <a:cs typeface="+mn-cs"/>
            </a:rPr>
            <a:t>LOG: TITLE</a:t>
          </a:r>
        </a:p>
        <a:p>
          <a:pPr marL="0" indent="0"/>
          <a:r>
            <a:rPr lang="en-GB" sz="1200" b="0" u="none" baseline="0">
              <a:solidFill>
                <a:schemeClr val="bg1"/>
              </a:solidFill>
              <a:latin typeface="+mn-lt"/>
              <a:ea typeface="+mn-ea"/>
              <a:cs typeface="+mn-cs"/>
            </a:rPr>
            <a:t>ddd DDdd TT:TT</a:t>
          </a:r>
        </a:p>
        <a:p>
          <a:pPr marL="0" indent="0" algn="l"/>
          <a:r>
            <a:rPr lang="en-GB" sz="1200" b="0" u="none" baseline="0">
              <a:solidFill>
                <a:schemeClr val="bg1"/>
              </a:solidFill>
              <a:latin typeface="+mn-lt"/>
              <a:ea typeface="+mn-ea"/>
              <a:cs typeface="+mn-cs"/>
            </a:rPr>
            <a:t>_________________________________________________</a:t>
          </a:r>
        </a:p>
        <a:p>
          <a:pPr marL="0" indent="0" algn="l"/>
          <a:endParaRPr lang="en-GB" sz="1100" b="0" u="none" baseline="0">
            <a:solidFill>
              <a:schemeClr val="bg1"/>
            </a:solidFill>
            <a:latin typeface="+mn-lt"/>
            <a:ea typeface="+mn-ea"/>
            <a:cs typeface="+mn-cs"/>
          </a:endParaRPr>
        </a:p>
        <a:p>
          <a:pPr marL="0" indent="0"/>
          <a:r>
            <a:rPr lang="en-GB" sz="1100" b="0" u="none" baseline="0">
              <a:solidFill>
                <a:schemeClr val="bg1"/>
              </a:solidFill>
              <a:latin typeface="+mn-lt"/>
              <a:ea typeface="+mn-ea"/>
              <a:cs typeface="+mn-cs"/>
            </a:rPr>
            <a:t>Text.</a:t>
          </a:r>
        </a:p>
      </xdr:txBody>
    </xdr:sp>
    <xdr:clientData fLocksWithSheet="0"/>
  </xdr:twoCellAnchor>
  <xdr:twoCellAnchor>
    <xdr:from>
      <xdr:col>3</xdr:col>
      <xdr:colOff>0</xdr:colOff>
      <xdr:row>51</xdr:row>
      <xdr:rowOff>196607</xdr:rowOff>
    </xdr:from>
    <xdr:to>
      <xdr:col>20</xdr:col>
      <xdr:colOff>1800</xdr:colOff>
      <xdr:row>54</xdr:row>
      <xdr:rowOff>200025</xdr:rowOff>
    </xdr:to>
    <xdr:sp macro="" textlink="" fLocksText="0">
      <xdr:nvSpPr>
        <xdr:cNvPr id="5" name="TextBox 4">
          <a:extLst>
            <a:ext uri="{FF2B5EF4-FFF2-40B4-BE49-F238E27FC236}">
              <a16:creationId xmlns:a16="http://schemas.microsoft.com/office/drawing/2014/main" id="{EA43B582-3140-47CE-8CE9-BCDC73E472C5}"/>
            </a:ext>
          </a:extLst>
        </xdr:cNvPr>
        <xdr:cNvSpPr txBox="1"/>
      </xdr:nvSpPr>
      <xdr:spPr>
        <a:xfrm>
          <a:off x="685800" y="10883657"/>
          <a:ext cx="3888000" cy="632068"/>
        </a:xfrm>
        <a:prstGeom prst="rect">
          <a:avLst/>
        </a:prstGeom>
        <a:solidFill>
          <a:schemeClr val="bg1">
            <a:lumMod val="65000"/>
            <a:alpha val="8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9200" rIns="36000" rtlCol="0" anchor="t">
          <a:noAutofit/>
        </a:bodyPr>
        <a:lstStyle/>
        <a:p>
          <a:pPr marL="0" indent="0"/>
          <a:r>
            <a:rPr lang="en-GB" sz="1200" b="1" u="none" baseline="0">
              <a:solidFill>
                <a:schemeClr val="bg1"/>
              </a:solidFill>
              <a:latin typeface="+mn-lt"/>
              <a:ea typeface="+mn-ea"/>
              <a:cs typeface="+mn-cs"/>
            </a:rPr>
            <a:t>AUDIOLOG: TITLE</a:t>
          </a:r>
        </a:p>
        <a:p>
          <a:pPr marL="0" indent="0"/>
          <a:r>
            <a:rPr lang="en-GB" sz="1200" b="0" u="none" baseline="0">
              <a:solidFill>
                <a:schemeClr val="bg1"/>
              </a:solidFill>
              <a:latin typeface="+mn-lt"/>
              <a:ea typeface="+mn-ea"/>
              <a:cs typeface="+mn-cs"/>
            </a:rPr>
            <a:t>ddd DDdd TT:TT</a:t>
          </a:r>
        </a:p>
        <a:p>
          <a:pPr marL="0" indent="0" algn="l"/>
          <a:r>
            <a:rPr lang="en-GB" sz="1200" b="0" u="none" baseline="0">
              <a:solidFill>
                <a:schemeClr val="bg1"/>
              </a:solidFill>
              <a:latin typeface="+mn-lt"/>
              <a:ea typeface="+mn-ea"/>
              <a:cs typeface="+mn-cs"/>
            </a:rPr>
            <a:t>_________________________________________________</a:t>
          </a:r>
        </a:p>
        <a:p>
          <a:pPr marL="0" indent="0" algn="l"/>
          <a:endParaRPr lang="en-GB" sz="1100" b="0" u="none" baseline="0">
            <a:solidFill>
              <a:schemeClr val="bg1"/>
            </a:solidFill>
            <a:latin typeface="+mn-lt"/>
            <a:ea typeface="+mn-ea"/>
            <a:cs typeface="+mn-cs"/>
          </a:endParaRPr>
        </a:p>
        <a:p>
          <a:pPr marL="0" indent="0" algn="l"/>
          <a:r>
            <a:rPr lang="en-GB" sz="1100" b="0" u="none" baseline="0">
              <a:solidFill>
                <a:schemeClr val="bg1"/>
              </a:solidFill>
              <a:latin typeface="+mn-lt"/>
              <a:ea typeface="+mn-ea"/>
              <a:cs typeface="+mn-cs"/>
            </a:rPr>
            <a:t>See device X, in folder/app X.</a:t>
          </a:r>
        </a:p>
        <a:p>
          <a:pPr marL="0" indent="0"/>
          <a:endParaRPr lang="en-GB" sz="1200" b="1" u="none" baseline="0">
            <a:solidFill>
              <a:schemeClr val="bg1"/>
            </a:solidFill>
            <a:latin typeface="+mn-lt"/>
            <a:ea typeface="+mn-ea"/>
            <a:cs typeface="+mn-cs"/>
          </a:endParaRPr>
        </a:p>
      </xdr:txBody>
    </xdr:sp>
    <xdr:clientData fLocksWithSheet="0"/>
  </xdr:twoCellAnchor>
</xdr:wsDr>
</file>

<file path=xl/drawings/drawing4.xml><?xml version="1.0" encoding="utf-8"?>
<xdr:wsDr xmlns:xdr="http://schemas.openxmlformats.org/drawingml/2006/spreadsheetDrawing" xmlns:a="http://schemas.openxmlformats.org/drawingml/2006/main">
  <xdr:oneCellAnchor>
    <xdr:from>
      <xdr:col>20</xdr:col>
      <xdr:colOff>95250</xdr:colOff>
      <xdr:row>116</xdr:row>
      <xdr:rowOff>28575</xdr:rowOff>
    </xdr:from>
    <xdr:ext cx="184731" cy="264560"/>
    <xdr:sp macro="" textlink="">
      <xdr:nvSpPr>
        <xdr:cNvPr id="2" name="TextBox 1">
          <a:extLst>
            <a:ext uri="{FF2B5EF4-FFF2-40B4-BE49-F238E27FC236}">
              <a16:creationId xmlns:a16="http://schemas.microsoft.com/office/drawing/2014/main" id="{5151AD84-0FF6-C667-C0A6-5064A1DE3A2F}"/>
            </a:ext>
          </a:extLst>
        </xdr:cNvPr>
        <xdr:cNvSpPr txBox="1"/>
      </xdr:nvSpPr>
      <xdr:spPr>
        <a:xfrm>
          <a:off x="4667250" y="11553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75</xdr:col>
      <xdr:colOff>0</xdr:colOff>
      <xdr:row>19</xdr:row>
      <xdr:rowOff>66132</xdr:rowOff>
    </xdr:from>
    <xdr:to>
      <xdr:col>76</xdr:col>
      <xdr:colOff>0</xdr:colOff>
      <xdr:row>20</xdr:row>
      <xdr:rowOff>66132</xdr:rowOff>
    </xdr:to>
    <xdr:sp macro="" textlink="" fLocksText="0">
      <xdr:nvSpPr>
        <xdr:cNvPr id="22" name="TextBox 21">
          <a:extLst>
            <a:ext uri="{FF2B5EF4-FFF2-40B4-BE49-F238E27FC236}">
              <a16:creationId xmlns:a16="http://schemas.microsoft.com/office/drawing/2014/main" id="{AC60745F-F458-462E-930E-90FF7C7C0EEB}"/>
            </a:ext>
          </a:extLst>
        </xdr:cNvPr>
        <xdr:cNvSpPr txBox="1"/>
      </xdr:nvSpPr>
      <xdr:spPr>
        <a:xfrm>
          <a:off x="17145000" y="4047582"/>
          <a:ext cx="228600" cy="20955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clientData fLocksWithSheet="0"/>
  </xdr:twoCellAnchor>
  <xdr:twoCellAnchor>
    <xdr:from>
      <xdr:col>75</xdr:col>
      <xdr:colOff>0</xdr:colOff>
      <xdr:row>17</xdr:row>
      <xdr:rowOff>142663</xdr:rowOff>
    </xdr:from>
    <xdr:to>
      <xdr:col>76</xdr:col>
      <xdr:colOff>0</xdr:colOff>
      <xdr:row>18</xdr:row>
      <xdr:rowOff>142663</xdr:rowOff>
    </xdr:to>
    <xdr:sp macro="" textlink="" fLocksText="0">
      <xdr:nvSpPr>
        <xdr:cNvPr id="23" name="TextBox 22">
          <a:extLst>
            <a:ext uri="{FF2B5EF4-FFF2-40B4-BE49-F238E27FC236}">
              <a16:creationId xmlns:a16="http://schemas.microsoft.com/office/drawing/2014/main" id="{8036AA2C-C1B4-4233-9B78-8AC123094465}"/>
            </a:ext>
          </a:extLst>
        </xdr:cNvPr>
        <xdr:cNvSpPr txBox="1"/>
      </xdr:nvSpPr>
      <xdr:spPr>
        <a:xfrm>
          <a:off x="17145000" y="3705013"/>
          <a:ext cx="228600" cy="20955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clientData fLocksWithSheet="0"/>
  </xdr:twoCellAnchor>
  <xdr:twoCellAnchor>
    <xdr:from>
      <xdr:col>75</xdr:col>
      <xdr:colOff>0</xdr:colOff>
      <xdr:row>29</xdr:row>
      <xdr:rowOff>22291</xdr:rowOff>
    </xdr:from>
    <xdr:to>
      <xdr:col>76</xdr:col>
      <xdr:colOff>0</xdr:colOff>
      <xdr:row>30</xdr:row>
      <xdr:rowOff>21541</xdr:rowOff>
    </xdr:to>
    <xdr:sp macro="" textlink="" fLocksText="0">
      <xdr:nvSpPr>
        <xdr:cNvPr id="87" name="TextBox 86">
          <a:extLst>
            <a:ext uri="{FF2B5EF4-FFF2-40B4-BE49-F238E27FC236}">
              <a16:creationId xmlns:a16="http://schemas.microsoft.com/office/drawing/2014/main" id="{34964AD2-5A81-0511-B943-AC2C1A74A3CA}"/>
            </a:ext>
          </a:extLst>
        </xdr:cNvPr>
        <xdr:cNvSpPr txBox="1"/>
      </xdr:nvSpPr>
      <xdr:spPr>
        <a:xfrm>
          <a:off x="17145000" y="6099241"/>
          <a:ext cx="228600" cy="208800"/>
        </a:xfrm>
        <a:prstGeom prst="rect">
          <a:avLst/>
        </a:prstGeom>
        <a:solidFill>
          <a:schemeClr val="tx1">
            <a:alpha val="30000"/>
          </a:schemeClr>
        </a:solidFill>
        <a:ln w="6350">
          <a:solidFill>
            <a:srgbClr val="FF66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FF6600"/>
            </a:solidFill>
          </a:endParaRPr>
        </a:p>
      </xdr:txBody>
    </xdr:sp>
    <xdr:clientData fLocksWithSheet="0"/>
  </xdr:twoCellAnchor>
  <xdr:twoCellAnchor>
    <xdr:from>
      <xdr:col>75</xdr:col>
      <xdr:colOff>0</xdr:colOff>
      <xdr:row>27</xdr:row>
      <xdr:rowOff>99573</xdr:rowOff>
    </xdr:from>
    <xdr:to>
      <xdr:col>76</xdr:col>
      <xdr:colOff>0</xdr:colOff>
      <xdr:row>28</xdr:row>
      <xdr:rowOff>98822</xdr:rowOff>
    </xdr:to>
    <xdr:sp macro="" textlink="" fLocksText="0">
      <xdr:nvSpPr>
        <xdr:cNvPr id="88" name="TextBox 87">
          <a:extLst>
            <a:ext uri="{FF2B5EF4-FFF2-40B4-BE49-F238E27FC236}">
              <a16:creationId xmlns:a16="http://schemas.microsoft.com/office/drawing/2014/main" id="{78412EC4-8850-817F-D2A8-C3BB37759EE8}"/>
            </a:ext>
          </a:extLst>
        </xdr:cNvPr>
        <xdr:cNvSpPr txBox="1"/>
      </xdr:nvSpPr>
      <xdr:spPr>
        <a:xfrm>
          <a:off x="17145000" y="5757423"/>
          <a:ext cx="228600" cy="208799"/>
        </a:xfrm>
        <a:prstGeom prst="rect">
          <a:avLst/>
        </a:prstGeom>
        <a:solidFill>
          <a:schemeClr val="tx1">
            <a:alpha val="30000"/>
          </a:schemeClr>
        </a:solidFill>
        <a:ln w="6350">
          <a:solidFill>
            <a:srgbClr val="C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C00000"/>
            </a:solidFill>
          </a:endParaRPr>
        </a:p>
      </xdr:txBody>
    </xdr:sp>
    <xdr:clientData fLocksWithSheet="0"/>
  </xdr:twoCellAnchor>
  <xdr:twoCellAnchor>
    <xdr:from>
      <xdr:col>75</xdr:col>
      <xdr:colOff>0</xdr:colOff>
      <xdr:row>30</xdr:row>
      <xdr:rowOff>154560</xdr:rowOff>
    </xdr:from>
    <xdr:to>
      <xdr:col>76</xdr:col>
      <xdr:colOff>0</xdr:colOff>
      <xdr:row>31</xdr:row>
      <xdr:rowOff>153809</xdr:rowOff>
    </xdr:to>
    <xdr:sp macro="" textlink="" fLocksText="0">
      <xdr:nvSpPr>
        <xdr:cNvPr id="89" name="TextBox 88">
          <a:extLst>
            <a:ext uri="{FF2B5EF4-FFF2-40B4-BE49-F238E27FC236}">
              <a16:creationId xmlns:a16="http://schemas.microsoft.com/office/drawing/2014/main" id="{233D963D-E8B7-DDE1-3EB1-1E8B49145050}"/>
            </a:ext>
          </a:extLst>
        </xdr:cNvPr>
        <xdr:cNvSpPr txBox="1"/>
      </xdr:nvSpPr>
      <xdr:spPr>
        <a:xfrm>
          <a:off x="17145000" y="6441060"/>
          <a:ext cx="228600" cy="208799"/>
        </a:xfrm>
        <a:prstGeom prst="rect">
          <a:avLst/>
        </a:prstGeom>
        <a:solidFill>
          <a:schemeClr val="tx1">
            <a:alpha val="30000"/>
          </a:schemeClr>
        </a:solidFill>
        <a:ln w="6350">
          <a:solidFill>
            <a:srgbClr val="FFC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FFC000"/>
            </a:solidFill>
          </a:endParaRPr>
        </a:p>
      </xdr:txBody>
    </xdr:sp>
    <xdr:clientData fLocksWithSheet="0"/>
  </xdr:twoCellAnchor>
  <xdr:twoCellAnchor>
    <xdr:from>
      <xdr:col>75</xdr:col>
      <xdr:colOff>0</xdr:colOff>
      <xdr:row>20</xdr:row>
      <xdr:rowOff>199151</xdr:rowOff>
    </xdr:from>
    <xdr:to>
      <xdr:col>76</xdr:col>
      <xdr:colOff>0</xdr:colOff>
      <xdr:row>21</xdr:row>
      <xdr:rowOff>198400</xdr:rowOff>
    </xdr:to>
    <xdr:sp macro="" textlink="" fLocksText="0">
      <xdr:nvSpPr>
        <xdr:cNvPr id="90" name="TextBox 89">
          <a:extLst>
            <a:ext uri="{FF2B5EF4-FFF2-40B4-BE49-F238E27FC236}">
              <a16:creationId xmlns:a16="http://schemas.microsoft.com/office/drawing/2014/main" id="{FE8B9BA2-AB9F-74AD-4D3C-062839A528CF}"/>
            </a:ext>
          </a:extLst>
        </xdr:cNvPr>
        <xdr:cNvSpPr txBox="1"/>
      </xdr:nvSpPr>
      <xdr:spPr>
        <a:xfrm>
          <a:off x="17145000" y="4390151"/>
          <a:ext cx="228600" cy="208799"/>
        </a:xfrm>
        <a:prstGeom prst="rect">
          <a:avLst/>
        </a:prstGeom>
        <a:solidFill>
          <a:schemeClr val="tx1">
            <a:alpha val="30000"/>
          </a:schemeClr>
        </a:solidFill>
        <a:ln w="6350">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a:solidFill>
              <a:srgbClr val="0070C0"/>
            </a:solidFill>
            <a:latin typeface="+mn-lt"/>
            <a:ea typeface="+mn-ea"/>
            <a:cs typeface="+mn-cs"/>
          </a:endParaRPr>
        </a:p>
      </xdr:txBody>
    </xdr:sp>
    <xdr:clientData fLocksWithSheet="0"/>
  </xdr:twoCellAnchor>
  <xdr:twoCellAnchor>
    <xdr:from>
      <xdr:col>75</xdr:col>
      <xdr:colOff>0</xdr:colOff>
      <xdr:row>34</xdr:row>
      <xdr:rowOff>0</xdr:rowOff>
    </xdr:from>
    <xdr:to>
      <xdr:col>76</xdr:col>
      <xdr:colOff>0</xdr:colOff>
      <xdr:row>34</xdr:row>
      <xdr:rowOff>208799</xdr:rowOff>
    </xdr:to>
    <xdr:sp macro="" textlink="" fLocksText="0">
      <xdr:nvSpPr>
        <xdr:cNvPr id="91" name="TextBox 90">
          <a:extLst>
            <a:ext uri="{FF2B5EF4-FFF2-40B4-BE49-F238E27FC236}">
              <a16:creationId xmlns:a16="http://schemas.microsoft.com/office/drawing/2014/main" id="{3C0AD061-6DE1-A25A-127E-6D439B3554C4}"/>
            </a:ext>
          </a:extLst>
        </xdr:cNvPr>
        <xdr:cNvSpPr txBox="1"/>
      </xdr:nvSpPr>
      <xdr:spPr>
        <a:xfrm>
          <a:off x="17145000" y="7124700"/>
          <a:ext cx="228600" cy="208799"/>
        </a:xfrm>
        <a:prstGeom prst="rect">
          <a:avLst/>
        </a:prstGeom>
        <a:solidFill>
          <a:schemeClr val="tx1">
            <a:alpha val="30000"/>
          </a:schemeClr>
        </a:solidFill>
        <a:ln w="6350">
          <a:solidFill>
            <a:srgbClr val="00B0F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rgbClr val="00B0F0"/>
            </a:solidFill>
            <a:latin typeface="+mn-lt"/>
            <a:ea typeface="+mn-ea"/>
            <a:cs typeface="+mn-cs"/>
          </a:endParaRPr>
        </a:p>
      </xdr:txBody>
    </xdr:sp>
    <xdr:clientData fLocksWithSheet="0"/>
  </xdr:twoCellAnchor>
  <xdr:twoCellAnchor>
    <xdr:from>
      <xdr:col>75</xdr:col>
      <xdr:colOff>0</xdr:colOff>
      <xdr:row>22</xdr:row>
      <xdr:rowOff>121869</xdr:rowOff>
    </xdr:from>
    <xdr:to>
      <xdr:col>76</xdr:col>
      <xdr:colOff>0</xdr:colOff>
      <xdr:row>23</xdr:row>
      <xdr:rowOff>121118</xdr:rowOff>
    </xdr:to>
    <xdr:sp macro="" textlink="" fLocksText="0">
      <xdr:nvSpPr>
        <xdr:cNvPr id="92" name="TextBox 91">
          <a:extLst>
            <a:ext uri="{FF2B5EF4-FFF2-40B4-BE49-F238E27FC236}">
              <a16:creationId xmlns:a16="http://schemas.microsoft.com/office/drawing/2014/main" id="{C8163EC9-53D2-AF50-6127-84BE8748323B}"/>
            </a:ext>
          </a:extLst>
        </xdr:cNvPr>
        <xdr:cNvSpPr txBox="1"/>
      </xdr:nvSpPr>
      <xdr:spPr>
        <a:xfrm>
          <a:off x="17145000" y="4731969"/>
          <a:ext cx="228600" cy="208799"/>
        </a:xfrm>
        <a:prstGeom prst="rect">
          <a:avLst/>
        </a:prstGeom>
        <a:solidFill>
          <a:schemeClr val="tx1">
            <a:alpha val="30000"/>
          </a:schemeClr>
        </a:solidFill>
        <a:ln w="6350">
          <a:solidFill>
            <a:srgbClr val="9900CC"/>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rgbClr val="9900CC"/>
            </a:solidFill>
            <a:latin typeface="+mn-lt"/>
            <a:ea typeface="+mn-ea"/>
            <a:cs typeface="+mn-cs"/>
          </a:endParaRPr>
        </a:p>
      </xdr:txBody>
    </xdr:sp>
    <xdr:clientData fLocksWithSheet="0"/>
  </xdr:twoCellAnchor>
  <xdr:twoCellAnchor>
    <xdr:from>
      <xdr:col>75</xdr:col>
      <xdr:colOff>0</xdr:colOff>
      <xdr:row>32</xdr:row>
      <xdr:rowOff>77278</xdr:rowOff>
    </xdr:from>
    <xdr:to>
      <xdr:col>76</xdr:col>
      <xdr:colOff>0</xdr:colOff>
      <xdr:row>33</xdr:row>
      <xdr:rowOff>76527</xdr:rowOff>
    </xdr:to>
    <xdr:sp macro="" textlink="" fLocksText="0">
      <xdr:nvSpPr>
        <xdr:cNvPr id="93" name="TextBox 92">
          <a:extLst>
            <a:ext uri="{FF2B5EF4-FFF2-40B4-BE49-F238E27FC236}">
              <a16:creationId xmlns:a16="http://schemas.microsoft.com/office/drawing/2014/main" id="{0C9A0385-6FEA-9204-B1A7-B467CF4DB175}"/>
            </a:ext>
          </a:extLst>
        </xdr:cNvPr>
        <xdr:cNvSpPr txBox="1"/>
      </xdr:nvSpPr>
      <xdr:spPr>
        <a:xfrm>
          <a:off x="17145000" y="6782878"/>
          <a:ext cx="228600" cy="208799"/>
        </a:xfrm>
        <a:prstGeom prst="rect">
          <a:avLst/>
        </a:prstGeom>
        <a:solidFill>
          <a:schemeClr val="tx1">
            <a:alpha val="30000"/>
          </a:schemeClr>
        </a:solidFill>
        <a:ln w="6350">
          <a:solidFill>
            <a:srgbClr val="00B05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00B050"/>
            </a:solidFill>
          </a:endParaRPr>
        </a:p>
      </xdr:txBody>
    </xdr:sp>
    <xdr:clientData fLocksWithSheet="0"/>
  </xdr:twoCellAnchor>
  <xdr:twoCellAnchor>
    <xdr:from>
      <xdr:col>75</xdr:col>
      <xdr:colOff>0</xdr:colOff>
      <xdr:row>25</xdr:row>
      <xdr:rowOff>176855</xdr:rowOff>
    </xdr:from>
    <xdr:to>
      <xdr:col>76</xdr:col>
      <xdr:colOff>0</xdr:colOff>
      <xdr:row>26</xdr:row>
      <xdr:rowOff>176104</xdr:rowOff>
    </xdr:to>
    <xdr:sp macro="" textlink="" fLocksText="0">
      <xdr:nvSpPr>
        <xdr:cNvPr id="94" name="TextBox 93">
          <a:extLst>
            <a:ext uri="{FF2B5EF4-FFF2-40B4-BE49-F238E27FC236}">
              <a16:creationId xmlns:a16="http://schemas.microsoft.com/office/drawing/2014/main" id="{D14175A0-E629-ED6C-FEC3-BAA51BDF907A}"/>
            </a:ext>
          </a:extLst>
        </xdr:cNvPr>
        <xdr:cNvSpPr txBox="1"/>
      </xdr:nvSpPr>
      <xdr:spPr>
        <a:xfrm>
          <a:off x="17145000" y="5415605"/>
          <a:ext cx="228600" cy="208799"/>
        </a:xfrm>
        <a:prstGeom prst="rect">
          <a:avLst/>
        </a:prstGeom>
        <a:solidFill>
          <a:schemeClr val="tx1">
            <a:alpha val="30000"/>
          </a:schemeClr>
        </a:solidFill>
        <a:ln w="6350">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rgbClr val="FF0000"/>
            </a:solidFill>
            <a:latin typeface="+mn-lt"/>
            <a:ea typeface="+mn-ea"/>
            <a:cs typeface="+mn-cs"/>
          </a:endParaRPr>
        </a:p>
      </xdr:txBody>
    </xdr:sp>
    <xdr:clientData fLocksWithSheet="0"/>
  </xdr:twoCellAnchor>
  <xdr:twoCellAnchor>
    <xdr:from>
      <xdr:col>75</xdr:col>
      <xdr:colOff>0</xdr:colOff>
      <xdr:row>24</xdr:row>
      <xdr:rowOff>44587</xdr:rowOff>
    </xdr:from>
    <xdr:to>
      <xdr:col>76</xdr:col>
      <xdr:colOff>0</xdr:colOff>
      <xdr:row>25</xdr:row>
      <xdr:rowOff>43836</xdr:rowOff>
    </xdr:to>
    <xdr:sp macro="" textlink="" fLocksText="0">
      <xdr:nvSpPr>
        <xdr:cNvPr id="95" name="TextBox 94">
          <a:extLst>
            <a:ext uri="{FF2B5EF4-FFF2-40B4-BE49-F238E27FC236}">
              <a16:creationId xmlns:a16="http://schemas.microsoft.com/office/drawing/2014/main" id="{4FE25D89-55AF-F3BF-6F71-CDBFFC159B6E}"/>
            </a:ext>
          </a:extLst>
        </xdr:cNvPr>
        <xdr:cNvSpPr txBox="1"/>
      </xdr:nvSpPr>
      <xdr:spPr>
        <a:xfrm>
          <a:off x="17145000" y="5073787"/>
          <a:ext cx="228600" cy="208799"/>
        </a:xfrm>
        <a:prstGeom prst="rect">
          <a:avLst/>
        </a:prstGeom>
        <a:solidFill>
          <a:schemeClr val="tx1">
            <a:alpha val="30000"/>
          </a:schemeClr>
        </a:solidFill>
        <a:ln w="6350">
          <a:solidFill>
            <a:srgbClr val="FF00FF"/>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FF00FF"/>
            </a:solidFill>
          </a:endParaRPr>
        </a:p>
      </xdr:txBody>
    </xdr:sp>
    <xdr:clientData fLocksWithSheet="0"/>
  </xdr:twoCellAnchor>
  <xdr:twoCellAnchor>
    <xdr:from>
      <xdr:col>75</xdr:col>
      <xdr:colOff>0</xdr:colOff>
      <xdr:row>7</xdr:row>
      <xdr:rowOff>187254</xdr:rowOff>
    </xdr:from>
    <xdr:to>
      <xdr:col>76</xdr:col>
      <xdr:colOff>0</xdr:colOff>
      <xdr:row>8</xdr:row>
      <xdr:rowOff>186504</xdr:rowOff>
    </xdr:to>
    <xdr:sp macro="" textlink="" fLocksText="0">
      <xdr:nvSpPr>
        <xdr:cNvPr id="97" name="TextBox 96">
          <a:extLst>
            <a:ext uri="{FF2B5EF4-FFF2-40B4-BE49-F238E27FC236}">
              <a16:creationId xmlns:a16="http://schemas.microsoft.com/office/drawing/2014/main" id="{FD83B104-EC43-F77A-92AB-D228B1EC8350}"/>
            </a:ext>
          </a:extLst>
        </xdr:cNvPr>
        <xdr:cNvSpPr txBox="1"/>
      </xdr:nvSpPr>
      <xdr:spPr>
        <a:xfrm>
          <a:off x="17145000" y="1654104"/>
          <a:ext cx="228600" cy="208800"/>
        </a:xfrm>
        <a:prstGeom prst="rect">
          <a:avLst/>
        </a:prstGeom>
        <a:solidFill>
          <a:srgbClr val="FF6600">
            <a:alpha val="30000"/>
          </a:srgbClr>
        </a:solidFill>
        <a:ln w="6350">
          <a:solidFill>
            <a:srgbClr val="FF66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clientData fLocksWithSheet="0"/>
  </xdr:twoCellAnchor>
  <xdr:twoCellAnchor>
    <xdr:from>
      <xdr:col>75</xdr:col>
      <xdr:colOff>0</xdr:colOff>
      <xdr:row>9</xdr:row>
      <xdr:rowOff>109973</xdr:rowOff>
    </xdr:from>
    <xdr:to>
      <xdr:col>76</xdr:col>
      <xdr:colOff>0</xdr:colOff>
      <xdr:row>10</xdr:row>
      <xdr:rowOff>109222</xdr:rowOff>
    </xdr:to>
    <xdr:sp macro="" textlink="" fLocksText="0">
      <xdr:nvSpPr>
        <xdr:cNvPr id="98" name="TextBox 97">
          <a:extLst>
            <a:ext uri="{FF2B5EF4-FFF2-40B4-BE49-F238E27FC236}">
              <a16:creationId xmlns:a16="http://schemas.microsoft.com/office/drawing/2014/main" id="{7A0801A1-49A4-60D1-0DB1-834DB3C4ADC4}"/>
            </a:ext>
          </a:extLst>
        </xdr:cNvPr>
        <xdr:cNvSpPr txBox="1"/>
      </xdr:nvSpPr>
      <xdr:spPr>
        <a:xfrm>
          <a:off x="17145000" y="1995923"/>
          <a:ext cx="228600" cy="208799"/>
        </a:xfrm>
        <a:prstGeom prst="rect">
          <a:avLst/>
        </a:prstGeom>
        <a:solidFill>
          <a:srgbClr val="C00000">
            <a:alpha val="30000"/>
          </a:srgbClr>
        </a:solidFill>
        <a:ln w="6350">
          <a:solidFill>
            <a:srgbClr val="C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clientData fLocksWithSheet="0"/>
  </xdr:twoCellAnchor>
  <xdr:twoCellAnchor>
    <xdr:from>
      <xdr:col>75</xdr:col>
      <xdr:colOff>0</xdr:colOff>
      <xdr:row>6</xdr:row>
      <xdr:rowOff>54986</xdr:rowOff>
    </xdr:from>
    <xdr:to>
      <xdr:col>76</xdr:col>
      <xdr:colOff>0</xdr:colOff>
      <xdr:row>7</xdr:row>
      <xdr:rowOff>54235</xdr:rowOff>
    </xdr:to>
    <xdr:sp macro="" textlink="" fLocksText="0">
      <xdr:nvSpPr>
        <xdr:cNvPr id="99" name="TextBox 98">
          <a:extLst>
            <a:ext uri="{FF2B5EF4-FFF2-40B4-BE49-F238E27FC236}">
              <a16:creationId xmlns:a16="http://schemas.microsoft.com/office/drawing/2014/main" id="{CF2B8EC4-49BF-DCC5-C365-43FD74B49432}"/>
            </a:ext>
          </a:extLst>
        </xdr:cNvPr>
        <xdr:cNvSpPr txBox="1"/>
      </xdr:nvSpPr>
      <xdr:spPr>
        <a:xfrm>
          <a:off x="17145000" y="1312286"/>
          <a:ext cx="228600" cy="208799"/>
        </a:xfrm>
        <a:prstGeom prst="rect">
          <a:avLst/>
        </a:prstGeom>
        <a:solidFill>
          <a:srgbClr val="FFC000">
            <a:alpha val="30000"/>
          </a:srgbClr>
        </a:solidFill>
        <a:ln w="6350">
          <a:solidFill>
            <a:srgbClr val="FFC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clientData fLocksWithSheet="0"/>
  </xdr:twoCellAnchor>
  <xdr:twoCellAnchor>
    <xdr:from>
      <xdr:col>75</xdr:col>
      <xdr:colOff>0</xdr:colOff>
      <xdr:row>16</xdr:row>
      <xdr:rowOff>10395</xdr:rowOff>
    </xdr:from>
    <xdr:to>
      <xdr:col>76</xdr:col>
      <xdr:colOff>0</xdr:colOff>
      <xdr:row>17</xdr:row>
      <xdr:rowOff>9644</xdr:rowOff>
    </xdr:to>
    <xdr:sp macro="" textlink="" fLocksText="0">
      <xdr:nvSpPr>
        <xdr:cNvPr id="100" name="TextBox 99">
          <a:extLst>
            <a:ext uri="{FF2B5EF4-FFF2-40B4-BE49-F238E27FC236}">
              <a16:creationId xmlns:a16="http://schemas.microsoft.com/office/drawing/2014/main" id="{527B5EAA-F777-7D03-F8C2-6953E6E324DE}"/>
            </a:ext>
          </a:extLst>
        </xdr:cNvPr>
        <xdr:cNvSpPr txBox="1"/>
      </xdr:nvSpPr>
      <xdr:spPr>
        <a:xfrm>
          <a:off x="17145000" y="3363195"/>
          <a:ext cx="228600" cy="208799"/>
        </a:xfrm>
        <a:prstGeom prst="rect">
          <a:avLst/>
        </a:prstGeom>
        <a:solidFill>
          <a:srgbClr val="0070C0">
            <a:alpha val="30000"/>
          </a:srgbClr>
        </a:solidFill>
        <a:ln w="6350">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a:solidFill>
              <a:schemeClr val="bg1"/>
            </a:solidFill>
            <a:latin typeface="+mn-lt"/>
            <a:ea typeface="+mn-ea"/>
            <a:cs typeface="+mn-cs"/>
          </a:endParaRPr>
        </a:p>
      </xdr:txBody>
    </xdr:sp>
    <xdr:clientData fLocksWithSheet="0"/>
  </xdr:twoCellAnchor>
  <xdr:twoCellAnchor>
    <xdr:from>
      <xdr:col>75</xdr:col>
      <xdr:colOff>0</xdr:colOff>
      <xdr:row>3</xdr:row>
      <xdr:rowOff>0</xdr:rowOff>
    </xdr:from>
    <xdr:to>
      <xdr:col>76</xdr:col>
      <xdr:colOff>0</xdr:colOff>
      <xdr:row>3</xdr:row>
      <xdr:rowOff>208799</xdr:rowOff>
    </xdr:to>
    <xdr:sp macro="" textlink="" fLocksText="0">
      <xdr:nvSpPr>
        <xdr:cNvPr id="101" name="TextBox 100">
          <a:extLst>
            <a:ext uri="{FF2B5EF4-FFF2-40B4-BE49-F238E27FC236}">
              <a16:creationId xmlns:a16="http://schemas.microsoft.com/office/drawing/2014/main" id="{AA436550-604E-57F9-86F7-BD69C59951DF}"/>
            </a:ext>
          </a:extLst>
        </xdr:cNvPr>
        <xdr:cNvSpPr txBox="1"/>
      </xdr:nvSpPr>
      <xdr:spPr>
        <a:xfrm>
          <a:off x="17145000" y="628650"/>
          <a:ext cx="228600" cy="208799"/>
        </a:xfrm>
        <a:prstGeom prst="rect">
          <a:avLst/>
        </a:prstGeom>
        <a:solidFill>
          <a:srgbClr val="00B0F0">
            <a:alpha val="30000"/>
          </a:srgbClr>
        </a:solidFill>
        <a:ln w="6350">
          <a:solidFill>
            <a:srgbClr val="00B0F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clientData fLocksWithSheet="0"/>
  </xdr:twoCellAnchor>
  <xdr:twoCellAnchor>
    <xdr:from>
      <xdr:col>75</xdr:col>
      <xdr:colOff>0</xdr:colOff>
      <xdr:row>14</xdr:row>
      <xdr:rowOff>87677</xdr:rowOff>
    </xdr:from>
    <xdr:to>
      <xdr:col>76</xdr:col>
      <xdr:colOff>0</xdr:colOff>
      <xdr:row>15</xdr:row>
      <xdr:rowOff>86926</xdr:rowOff>
    </xdr:to>
    <xdr:sp macro="" textlink="" fLocksText="0">
      <xdr:nvSpPr>
        <xdr:cNvPr id="102" name="TextBox 101">
          <a:extLst>
            <a:ext uri="{FF2B5EF4-FFF2-40B4-BE49-F238E27FC236}">
              <a16:creationId xmlns:a16="http://schemas.microsoft.com/office/drawing/2014/main" id="{59878277-3BBB-A40B-DE2D-2418C024A835}"/>
            </a:ext>
          </a:extLst>
        </xdr:cNvPr>
        <xdr:cNvSpPr txBox="1"/>
      </xdr:nvSpPr>
      <xdr:spPr>
        <a:xfrm>
          <a:off x="17145000" y="3021377"/>
          <a:ext cx="228600" cy="208799"/>
        </a:xfrm>
        <a:prstGeom prst="rect">
          <a:avLst/>
        </a:prstGeom>
        <a:solidFill>
          <a:srgbClr val="9900CC">
            <a:alpha val="30000"/>
          </a:srgbClr>
        </a:solidFill>
        <a:ln w="6350">
          <a:solidFill>
            <a:srgbClr val="9900CC"/>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clientData fLocksWithSheet="0"/>
  </xdr:twoCellAnchor>
  <xdr:twoCellAnchor>
    <xdr:from>
      <xdr:col>75</xdr:col>
      <xdr:colOff>0</xdr:colOff>
      <xdr:row>4</xdr:row>
      <xdr:rowOff>132268</xdr:rowOff>
    </xdr:from>
    <xdr:to>
      <xdr:col>76</xdr:col>
      <xdr:colOff>0</xdr:colOff>
      <xdr:row>5</xdr:row>
      <xdr:rowOff>131517</xdr:rowOff>
    </xdr:to>
    <xdr:sp macro="" textlink="" fLocksText="0">
      <xdr:nvSpPr>
        <xdr:cNvPr id="103" name="TextBox 102">
          <a:extLst>
            <a:ext uri="{FF2B5EF4-FFF2-40B4-BE49-F238E27FC236}">
              <a16:creationId xmlns:a16="http://schemas.microsoft.com/office/drawing/2014/main" id="{4DB3D532-D53D-1BD6-E705-AA5680C2AFE0}"/>
            </a:ext>
          </a:extLst>
        </xdr:cNvPr>
        <xdr:cNvSpPr txBox="1"/>
      </xdr:nvSpPr>
      <xdr:spPr>
        <a:xfrm>
          <a:off x="17145000" y="970468"/>
          <a:ext cx="228600" cy="208799"/>
        </a:xfrm>
        <a:prstGeom prst="rect">
          <a:avLst/>
        </a:prstGeom>
        <a:solidFill>
          <a:srgbClr val="00B050">
            <a:alpha val="30000"/>
          </a:srgbClr>
        </a:solidFill>
        <a:ln w="6350">
          <a:solidFill>
            <a:srgbClr val="00B05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clientData fLocksWithSheet="0"/>
  </xdr:twoCellAnchor>
  <xdr:twoCellAnchor>
    <xdr:from>
      <xdr:col>75</xdr:col>
      <xdr:colOff>0</xdr:colOff>
      <xdr:row>11</xdr:row>
      <xdr:rowOff>32691</xdr:rowOff>
    </xdr:from>
    <xdr:to>
      <xdr:col>76</xdr:col>
      <xdr:colOff>0</xdr:colOff>
      <xdr:row>12</xdr:row>
      <xdr:rowOff>31940</xdr:rowOff>
    </xdr:to>
    <xdr:sp macro="" textlink="" fLocksText="0">
      <xdr:nvSpPr>
        <xdr:cNvPr id="104" name="TextBox 103">
          <a:extLst>
            <a:ext uri="{FF2B5EF4-FFF2-40B4-BE49-F238E27FC236}">
              <a16:creationId xmlns:a16="http://schemas.microsoft.com/office/drawing/2014/main" id="{0A288060-140F-89B7-E22C-AC08A6A83130}"/>
            </a:ext>
          </a:extLst>
        </xdr:cNvPr>
        <xdr:cNvSpPr txBox="1"/>
      </xdr:nvSpPr>
      <xdr:spPr>
        <a:xfrm>
          <a:off x="17145000" y="2337741"/>
          <a:ext cx="228600" cy="208799"/>
        </a:xfrm>
        <a:prstGeom prst="rect">
          <a:avLst/>
        </a:prstGeom>
        <a:solidFill>
          <a:srgbClr val="FF0000">
            <a:alpha val="30000"/>
          </a:srgbClr>
        </a:solidFill>
        <a:ln w="6350">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clientData fLocksWithSheet="0"/>
  </xdr:twoCellAnchor>
  <xdr:twoCellAnchor>
    <xdr:from>
      <xdr:col>75</xdr:col>
      <xdr:colOff>0</xdr:colOff>
      <xdr:row>12</xdr:row>
      <xdr:rowOff>164959</xdr:rowOff>
    </xdr:from>
    <xdr:to>
      <xdr:col>76</xdr:col>
      <xdr:colOff>0</xdr:colOff>
      <xdr:row>13</xdr:row>
      <xdr:rowOff>164208</xdr:rowOff>
    </xdr:to>
    <xdr:sp macro="" textlink="" fLocksText="0">
      <xdr:nvSpPr>
        <xdr:cNvPr id="105" name="TextBox 104">
          <a:extLst>
            <a:ext uri="{FF2B5EF4-FFF2-40B4-BE49-F238E27FC236}">
              <a16:creationId xmlns:a16="http://schemas.microsoft.com/office/drawing/2014/main" id="{AEA52DF3-1CBE-2ACE-C84C-FD9473620D2D}"/>
            </a:ext>
          </a:extLst>
        </xdr:cNvPr>
        <xdr:cNvSpPr txBox="1"/>
      </xdr:nvSpPr>
      <xdr:spPr>
        <a:xfrm>
          <a:off x="17145000" y="2679559"/>
          <a:ext cx="228600" cy="208799"/>
        </a:xfrm>
        <a:prstGeom prst="rect">
          <a:avLst/>
        </a:prstGeom>
        <a:solidFill>
          <a:srgbClr val="FF00FF">
            <a:alpha val="30000"/>
          </a:srgbClr>
        </a:solidFill>
        <a:ln w="6350">
          <a:solidFill>
            <a:srgbClr val="FF00FF"/>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clientData fLocksWithSheet="0"/>
  </xdr:twoCellAnchor>
  <xdr:twoCellAnchor>
    <xdr:from>
      <xdr:col>75</xdr:col>
      <xdr:colOff>0</xdr:colOff>
      <xdr:row>41</xdr:row>
      <xdr:rowOff>0</xdr:rowOff>
    </xdr:from>
    <xdr:to>
      <xdr:col>76</xdr:col>
      <xdr:colOff>0</xdr:colOff>
      <xdr:row>72</xdr:row>
      <xdr:rowOff>208799</xdr:rowOff>
    </xdr:to>
    <xdr:grpSp>
      <xdr:nvGrpSpPr>
        <xdr:cNvPr id="63" name="Group 62">
          <a:extLst>
            <a:ext uri="{FF2B5EF4-FFF2-40B4-BE49-F238E27FC236}">
              <a16:creationId xmlns:a16="http://schemas.microsoft.com/office/drawing/2014/main" id="{32D96730-F772-4803-8521-711230FAB2F0}"/>
            </a:ext>
          </a:extLst>
        </xdr:cNvPr>
        <xdr:cNvGrpSpPr/>
      </xdr:nvGrpSpPr>
      <xdr:grpSpPr>
        <a:xfrm>
          <a:off x="17145000" y="8591550"/>
          <a:ext cx="228600" cy="6704849"/>
          <a:chOff x="17145000" y="8591550"/>
          <a:chExt cx="228600" cy="6704849"/>
        </a:xfrm>
      </xdr:grpSpPr>
      <xdr:sp macro="" textlink="">
        <xdr:nvSpPr>
          <xdr:cNvPr id="64" name="TextBox 63">
            <a:extLst>
              <a:ext uri="{FF2B5EF4-FFF2-40B4-BE49-F238E27FC236}">
                <a16:creationId xmlns:a16="http://schemas.microsoft.com/office/drawing/2014/main" id="{E5F013EE-6309-B3CD-42A1-02C654F98F86}"/>
              </a:ext>
            </a:extLst>
          </xdr:cNvPr>
          <xdr:cNvSpPr txBox="1"/>
        </xdr:nvSpPr>
        <xdr:spPr>
          <a:xfrm>
            <a:off x="17145000" y="12010482"/>
            <a:ext cx="228600" cy="209550"/>
          </a:xfrm>
          <a:prstGeom prst="rect">
            <a:avLst/>
          </a:prstGeom>
          <a:solidFill>
            <a:schemeClr val="bg1">
              <a:alpha val="80000"/>
            </a:schemeClr>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tx1"/>
              </a:solidFill>
              <a:latin typeface="+mn-lt"/>
              <a:ea typeface="+mn-ea"/>
              <a:cs typeface="+mn-cs"/>
            </a:endParaRPr>
          </a:p>
        </xdr:txBody>
      </xdr:sp>
      <xdr:sp macro="" textlink="">
        <xdr:nvSpPr>
          <xdr:cNvPr id="65" name="TextBox 64">
            <a:extLst>
              <a:ext uri="{FF2B5EF4-FFF2-40B4-BE49-F238E27FC236}">
                <a16:creationId xmlns:a16="http://schemas.microsoft.com/office/drawing/2014/main" id="{72ACE1D2-B9AD-1C0C-67B4-8AD672B5B44B}"/>
              </a:ext>
            </a:extLst>
          </xdr:cNvPr>
          <xdr:cNvSpPr txBox="1"/>
        </xdr:nvSpPr>
        <xdr:spPr>
          <a:xfrm>
            <a:off x="17145000" y="11667913"/>
            <a:ext cx="228600" cy="209550"/>
          </a:xfrm>
          <a:prstGeom prst="rect">
            <a:avLst/>
          </a:prstGeom>
          <a:solidFill>
            <a:schemeClr val="tx1">
              <a:alpha val="80000"/>
            </a:schemeClr>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sp macro="" textlink="">
        <xdr:nvSpPr>
          <xdr:cNvPr id="66" name="TextBox 65">
            <a:extLst>
              <a:ext uri="{FF2B5EF4-FFF2-40B4-BE49-F238E27FC236}">
                <a16:creationId xmlns:a16="http://schemas.microsoft.com/office/drawing/2014/main" id="{B31B8122-64BC-09AE-353D-8C3D80BF54A6}"/>
              </a:ext>
            </a:extLst>
          </xdr:cNvPr>
          <xdr:cNvSpPr txBox="1"/>
        </xdr:nvSpPr>
        <xdr:spPr>
          <a:xfrm>
            <a:off x="17145000" y="14062141"/>
            <a:ext cx="228600" cy="208800"/>
          </a:xfrm>
          <a:prstGeom prst="rect">
            <a:avLst/>
          </a:prstGeom>
          <a:solidFill>
            <a:schemeClr val="bg1">
              <a:alpha val="80000"/>
            </a:schemeClr>
          </a:solidFill>
          <a:ln w="6350">
            <a:solidFill>
              <a:srgbClr val="FF66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FF6600"/>
              </a:solidFill>
            </a:endParaRPr>
          </a:p>
        </xdr:txBody>
      </xdr:sp>
      <xdr:sp macro="" textlink="">
        <xdr:nvSpPr>
          <xdr:cNvPr id="67" name="TextBox 66">
            <a:extLst>
              <a:ext uri="{FF2B5EF4-FFF2-40B4-BE49-F238E27FC236}">
                <a16:creationId xmlns:a16="http://schemas.microsoft.com/office/drawing/2014/main" id="{0723A778-B469-105F-EE0D-BB759194F4A1}"/>
              </a:ext>
            </a:extLst>
          </xdr:cNvPr>
          <xdr:cNvSpPr txBox="1"/>
        </xdr:nvSpPr>
        <xdr:spPr>
          <a:xfrm>
            <a:off x="17145000" y="13720323"/>
            <a:ext cx="228600" cy="208799"/>
          </a:xfrm>
          <a:prstGeom prst="rect">
            <a:avLst/>
          </a:prstGeom>
          <a:solidFill>
            <a:schemeClr val="bg1">
              <a:alpha val="80000"/>
            </a:schemeClr>
          </a:solidFill>
          <a:ln w="6350">
            <a:solidFill>
              <a:srgbClr val="C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C00000"/>
              </a:solidFill>
            </a:endParaRPr>
          </a:p>
        </xdr:txBody>
      </xdr:sp>
      <xdr:sp macro="" textlink="">
        <xdr:nvSpPr>
          <xdr:cNvPr id="68" name="TextBox 67">
            <a:extLst>
              <a:ext uri="{FF2B5EF4-FFF2-40B4-BE49-F238E27FC236}">
                <a16:creationId xmlns:a16="http://schemas.microsoft.com/office/drawing/2014/main" id="{5F8C7C5B-B737-C3D5-A7DA-6F7628ED05C1}"/>
              </a:ext>
            </a:extLst>
          </xdr:cNvPr>
          <xdr:cNvSpPr txBox="1"/>
        </xdr:nvSpPr>
        <xdr:spPr>
          <a:xfrm>
            <a:off x="17145000" y="14403960"/>
            <a:ext cx="228600" cy="208799"/>
          </a:xfrm>
          <a:prstGeom prst="rect">
            <a:avLst/>
          </a:prstGeom>
          <a:solidFill>
            <a:schemeClr val="bg1">
              <a:alpha val="80000"/>
            </a:schemeClr>
          </a:solidFill>
          <a:ln w="6350">
            <a:solidFill>
              <a:srgbClr val="FFC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FFC000"/>
              </a:solidFill>
            </a:endParaRPr>
          </a:p>
        </xdr:txBody>
      </xdr:sp>
      <xdr:sp macro="" textlink="">
        <xdr:nvSpPr>
          <xdr:cNvPr id="69" name="TextBox 68">
            <a:extLst>
              <a:ext uri="{FF2B5EF4-FFF2-40B4-BE49-F238E27FC236}">
                <a16:creationId xmlns:a16="http://schemas.microsoft.com/office/drawing/2014/main" id="{1B06AB97-0795-B22F-CA02-7715DE4747D6}"/>
              </a:ext>
            </a:extLst>
          </xdr:cNvPr>
          <xdr:cNvSpPr txBox="1"/>
        </xdr:nvSpPr>
        <xdr:spPr>
          <a:xfrm>
            <a:off x="17145000" y="12353051"/>
            <a:ext cx="228600" cy="208799"/>
          </a:xfrm>
          <a:prstGeom prst="rect">
            <a:avLst/>
          </a:prstGeom>
          <a:solidFill>
            <a:schemeClr val="bg1">
              <a:alpha val="80000"/>
            </a:schemeClr>
          </a:solidFill>
          <a:ln w="6350">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a:solidFill>
                <a:srgbClr val="0070C0"/>
              </a:solidFill>
              <a:latin typeface="+mn-lt"/>
              <a:ea typeface="+mn-ea"/>
              <a:cs typeface="+mn-cs"/>
            </a:endParaRPr>
          </a:p>
        </xdr:txBody>
      </xdr:sp>
      <xdr:sp macro="" textlink="">
        <xdr:nvSpPr>
          <xdr:cNvPr id="70" name="TextBox 69">
            <a:extLst>
              <a:ext uri="{FF2B5EF4-FFF2-40B4-BE49-F238E27FC236}">
                <a16:creationId xmlns:a16="http://schemas.microsoft.com/office/drawing/2014/main" id="{FF043E5A-9ADB-2CD7-9238-807821647F41}"/>
              </a:ext>
            </a:extLst>
          </xdr:cNvPr>
          <xdr:cNvSpPr txBox="1"/>
        </xdr:nvSpPr>
        <xdr:spPr>
          <a:xfrm>
            <a:off x="17145000" y="15087600"/>
            <a:ext cx="228600" cy="208799"/>
          </a:xfrm>
          <a:prstGeom prst="rect">
            <a:avLst/>
          </a:prstGeom>
          <a:solidFill>
            <a:schemeClr val="bg1">
              <a:alpha val="80000"/>
            </a:schemeClr>
          </a:solidFill>
          <a:ln w="6350">
            <a:solidFill>
              <a:srgbClr val="00B0F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rgbClr val="00B0F0"/>
              </a:solidFill>
              <a:latin typeface="+mn-lt"/>
              <a:ea typeface="+mn-ea"/>
              <a:cs typeface="+mn-cs"/>
            </a:endParaRPr>
          </a:p>
        </xdr:txBody>
      </xdr:sp>
      <xdr:sp macro="" textlink="">
        <xdr:nvSpPr>
          <xdr:cNvPr id="71" name="TextBox 70">
            <a:extLst>
              <a:ext uri="{FF2B5EF4-FFF2-40B4-BE49-F238E27FC236}">
                <a16:creationId xmlns:a16="http://schemas.microsoft.com/office/drawing/2014/main" id="{DAAF24B2-23AF-5D3D-3029-3ED60675E16A}"/>
              </a:ext>
            </a:extLst>
          </xdr:cNvPr>
          <xdr:cNvSpPr txBox="1"/>
        </xdr:nvSpPr>
        <xdr:spPr>
          <a:xfrm>
            <a:off x="17145000" y="12694869"/>
            <a:ext cx="228600" cy="208799"/>
          </a:xfrm>
          <a:prstGeom prst="rect">
            <a:avLst/>
          </a:prstGeom>
          <a:solidFill>
            <a:schemeClr val="bg1">
              <a:alpha val="80000"/>
            </a:schemeClr>
          </a:solidFill>
          <a:ln w="6350">
            <a:solidFill>
              <a:srgbClr val="9900CC"/>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rgbClr val="9900CC"/>
              </a:solidFill>
              <a:latin typeface="+mn-lt"/>
              <a:ea typeface="+mn-ea"/>
              <a:cs typeface="+mn-cs"/>
            </a:endParaRPr>
          </a:p>
        </xdr:txBody>
      </xdr:sp>
      <xdr:sp macro="" textlink="">
        <xdr:nvSpPr>
          <xdr:cNvPr id="72" name="TextBox 71">
            <a:extLst>
              <a:ext uri="{FF2B5EF4-FFF2-40B4-BE49-F238E27FC236}">
                <a16:creationId xmlns:a16="http://schemas.microsoft.com/office/drawing/2014/main" id="{B5BDD146-B280-2405-D967-A8B77EF37540}"/>
              </a:ext>
            </a:extLst>
          </xdr:cNvPr>
          <xdr:cNvSpPr txBox="1"/>
        </xdr:nvSpPr>
        <xdr:spPr>
          <a:xfrm>
            <a:off x="17145000" y="14745778"/>
            <a:ext cx="228600" cy="208799"/>
          </a:xfrm>
          <a:prstGeom prst="rect">
            <a:avLst/>
          </a:prstGeom>
          <a:solidFill>
            <a:schemeClr val="bg1">
              <a:alpha val="80000"/>
            </a:schemeClr>
          </a:solidFill>
          <a:ln w="6350">
            <a:solidFill>
              <a:srgbClr val="00B05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00B050"/>
              </a:solidFill>
            </a:endParaRPr>
          </a:p>
        </xdr:txBody>
      </xdr:sp>
      <xdr:sp macro="" textlink="">
        <xdr:nvSpPr>
          <xdr:cNvPr id="73" name="TextBox 72">
            <a:extLst>
              <a:ext uri="{FF2B5EF4-FFF2-40B4-BE49-F238E27FC236}">
                <a16:creationId xmlns:a16="http://schemas.microsoft.com/office/drawing/2014/main" id="{837E2DC5-EC7F-E97F-7BDB-4BFB6338E297}"/>
              </a:ext>
            </a:extLst>
          </xdr:cNvPr>
          <xdr:cNvSpPr txBox="1"/>
        </xdr:nvSpPr>
        <xdr:spPr>
          <a:xfrm>
            <a:off x="17145000" y="13378505"/>
            <a:ext cx="228600" cy="208799"/>
          </a:xfrm>
          <a:prstGeom prst="rect">
            <a:avLst/>
          </a:prstGeom>
          <a:solidFill>
            <a:schemeClr val="bg1">
              <a:alpha val="80000"/>
            </a:schemeClr>
          </a:solidFill>
          <a:ln w="6350">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rgbClr val="FF0000"/>
              </a:solidFill>
              <a:latin typeface="+mn-lt"/>
              <a:ea typeface="+mn-ea"/>
              <a:cs typeface="+mn-cs"/>
            </a:endParaRPr>
          </a:p>
        </xdr:txBody>
      </xdr:sp>
      <xdr:sp macro="" textlink="">
        <xdr:nvSpPr>
          <xdr:cNvPr id="74" name="TextBox 73">
            <a:extLst>
              <a:ext uri="{FF2B5EF4-FFF2-40B4-BE49-F238E27FC236}">
                <a16:creationId xmlns:a16="http://schemas.microsoft.com/office/drawing/2014/main" id="{3EF64B79-59A9-4995-ABF4-0729F3646701}"/>
              </a:ext>
            </a:extLst>
          </xdr:cNvPr>
          <xdr:cNvSpPr txBox="1"/>
        </xdr:nvSpPr>
        <xdr:spPr>
          <a:xfrm>
            <a:off x="17145000" y="13036687"/>
            <a:ext cx="228600" cy="208799"/>
          </a:xfrm>
          <a:prstGeom prst="rect">
            <a:avLst/>
          </a:prstGeom>
          <a:solidFill>
            <a:schemeClr val="bg1">
              <a:alpha val="80000"/>
            </a:schemeClr>
          </a:solidFill>
          <a:ln w="6350">
            <a:solidFill>
              <a:srgbClr val="FF00FF"/>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FF00FF"/>
              </a:solidFill>
            </a:endParaRPr>
          </a:p>
        </xdr:txBody>
      </xdr:sp>
      <xdr:sp macro="" textlink="">
        <xdr:nvSpPr>
          <xdr:cNvPr id="75" name="TextBox 74">
            <a:extLst>
              <a:ext uri="{FF2B5EF4-FFF2-40B4-BE49-F238E27FC236}">
                <a16:creationId xmlns:a16="http://schemas.microsoft.com/office/drawing/2014/main" id="{3C0C4B2C-D8A7-3472-7398-A9E2135996A3}"/>
              </a:ext>
            </a:extLst>
          </xdr:cNvPr>
          <xdr:cNvSpPr txBox="1"/>
        </xdr:nvSpPr>
        <xdr:spPr>
          <a:xfrm>
            <a:off x="17145000" y="9617004"/>
            <a:ext cx="228600" cy="208800"/>
          </a:xfrm>
          <a:prstGeom prst="rect">
            <a:avLst/>
          </a:prstGeom>
          <a:solidFill>
            <a:srgbClr val="FF6600">
              <a:alpha val="80000"/>
            </a:srgbClr>
          </a:solidFill>
          <a:ln w="6350">
            <a:solidFill>
              <a:srgbClr val="FF66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sp macro="" textlink="">
        <xdr:nvSpPr>
          <xdr:cNvPr id="76" name="TextBox 75">
            <a:extLst>
              <a:ext uri="{FF2B5EF4-FFF2-40B4-BE49-F238E27FC236}">
                <a16:creationId xmlns:a16="http://schemas.microsoft.com/office/drawing/2014/main" id="{4B22C90E-FBEC-89B1-1A6A-A72C9611F0B2}"/>
              </a:ext>
            </a:extLst>
          </xdr:cNvPr>
          <xdr:cNvSpPr txBox="1"/>
        </xdr:nvSpPr>
        <xdr:spPr>
          <a:xfrm>
            <a:off x="17145000" y="9958823"/>
            <a:ext cx="228600" cy="208799"/>
          </a:xfrm>
          <a:prstGeom prst="rect">
            <a:avLst/>
          </a:prstGeom>
          <a:solidFill>
            <a:srgbClr val="C00000">
              <a:alpha val="80000"/>
            </a:srgbClr>
          </a:solidFill>
          <a:ln w="6350">
            <a:solidFill>
              <a:srgbClr val="C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sp macro="" textlink="">
        <xdr:nvSpPr>
          <xdr:cNvPr id="77" name="TextBox 76">
            <a:extLst>
              <a:ext uri="{FF2B5EF4-FFF2-40B4-BE49-F238E27FC236}">
                <a16:creationId xmlns:a16="http://schemas.microsoft.com/office/drawing/2014/main" id="{55F8C7CB-9413-E423-6B24-09CA5AF82635}"/>
              </a:ext>
            </a:extLst>
          </xdr:cNvPr>
          <xdr:cNvSpPr txBox="1"/>
        </xdr:nvSpPr>
        <xdr:spPr>
          <a:xfrm>
            <a:off x="17145000" y="9275186"/>
            <a:ext cx="228600" cy="208799"/>
          </a:xfrm>
          <a:prstGeom prst="rect">
            <a:avLst/>
          </a:prstGeom>
          <a:solidFill>
            <a:srgbClr val="FFC000">
              <a:alpha val="80000"/>
            </a:srgbClr>
          </a:solidFill>
          <a:ln w="6350">
            <a:solidFill>
              <a:srgbClr val="FFC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sp macro="" textlink="">
        <xdr:nvSpPr>
          <xdr:cNvPr id="78" name="TextBox 77">
            <a:extLst>
              <a:ext uri="{FF2B5EF4-FFF2-40B4-BE49-F238E27FC236}">
                <a16:creationId xmlns:a16="http://schemas.microsoft.com/office/drawing/2014/main" id="{F09793A8-8F81-E4EB-A374-8DCA90A1913A}"/>
              </a:ext>
            </a:extLst>
          </xdr:cNvPr>
          <xdr:cNvSpPr txBox="1"/>
        </xdr:nvSpPr>
        <xdr:spPr>
          <a:xfrm>
            <a:off x="17145000" y="11326095"/>
            <a:ext cx="228600" cy="208799"/>
          </a:xfrm>
          <a:prstGeom prst="rect">
            <a:avLst/>
          </a:prstGeom>
          <a:solidFill>
            <a:srgbClr val="0070C0">
              <a:alpha val="80000"/>
            </a:srgbClr>
          </a:solidFill>
          <a:ln w="6350">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a:solidFill>
                <a:schemeClr val="bg1"/>
              </a:solidFill>
              <a:latin typeface="+mn-lt"/>
              <a:ea typeface="+mn-ea"/>
              <a:cs typeface="+mn-cs"/>
            </a:endParaRPr>
          </a:p>
        </xdr:txBody>
      </xdr:sp>
      <xdr:sp macro="" textlink="">
        <xdr:nvSpPr>
          <xdr:cNvPr id="79" name="TextBox 78">
            <a:extLst>
              <a:ext uri="{FF2B5EF4-FFF2-40B4-BE49-F238E27FC236}">
                <a16:creationId xmlns:a16="http://schemas.microsoft.com/office/drawing/2014/main" id="{CC360291-9C6A-11F1-CACD-B8FBA5DA01EB}"/>
              </a:ext>
            </a:extLst>
          </xdr:cNvPr>
          <xdr:cNvSpPr txBox="1"/>
        </xdr:nvSpPr>
        <xdr:spPr>
          <a:xfrm>
            <a:off x="17145000" y="8591550"/>
            <a:ext cx="228600" cy="208799"/>
          </a:xfrm>
          <a:prstGeom prst="rect">
            <a:avLst/>
          </a:prstGeom>
          <a:solidFill>
            <a:srgbClr val="00B0F0">
              <a:alpha val="80000"/>
            </a:srgbClr>
          </a:solidFill>
          <a:ln w="6350">
            <a:solidFill>
              <a:srgbClr val="00B0F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sp macro="" textlink="">
        <xdr:nvSpPr>
          <xdr:cNvPr id="80" name="TextBox 79">
            <a:extLst>
              <a:ext uri="{FF2B5EF4-FFF2-40B4-BE49-F238E27FC236}">
                <a16:creationId xmlns:a16="http://schemas.microsoft.com/office/drawing/2014/main" id="{E2F3F72E-7B85-C595-8F30-C16FAF9E86C6}"/>
              </a:ext>
            </a:extLst>
          </xdr:cNvPr>
          <xdr:cNvSpPr txBox="1"/>
        </xdr:nvSpPr>
        <xdr:spPr>
          <a:xfrm>
            <a:off x="17145000" y="10984277"/>
            <a:ext cx="228600" cy="208799"/>
          </a:xfrm>
          <a:prstGeom prst="rect">
            <a:avLst/>
          </a:prstGeom>
          <a:solidFill>
            <a:srgbClr val="9900CC">
              <a:alpha val="80000"/>
            </a:srgbClr>
          </a:solidFill>
          <a:ln w="6350">
            <a:solidFill>
              <a:srgbClr val="9900CC"/>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sp macro="" textlink="">
        <xdr:nvSpPr>
          <xdr:cNvPr id="81" name="TextBox 80">
            <a:extLst>
              <a:ext uri="{FF2B5EF4-FFF2-40B4-BE49-F238E27FC236}">
                <a16:creationId xmlns:a16="http://schemas.microsoft.com/office/drawing/2014/main" id="{10E852AF-DDB3-BF3D-BBB3-C0C7F1C09E58}"/>
              </a:ext>
            </a:extLst>
          </xdr:cNvPr>
          <xdr:cNvSpPr txBox="1"/>
        </xdr:nvSpPr>
        <xdr:spPr>
          <a:xfrm>
            <a:off x="17145000" y="8933368"/>
            <a:ext cx="228600" cy="208799"/>
          </a:xfrm>
          <a:prstGeom prst="rect">
            <a:avLst/>
          </a:prstGeom>
          <a:solidFill>
            <a:srgbClr val="00B050">
              <a:alpha val="80000"/>
            </a:srgbClr>
          </a:solidFill>
          <a:ln w="6350">
            <a:solidFill>
              <a:srgbClr val="00B05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sp macro="" textlink="">
        <xdr:nvSpPr>
          <xdr:cNvPr id="82" name="TextBox 81">
            <a:extLst>
              <a:ext uri="{FF2B5EF4-FFF2-40B4-BE49-F238E27FC236}">
                <a16:creationId xmlns:a16="http://schemas.microsoft.com/office/drawing/2014/main" id="{D3595920-DDE2-7AEF-F0A4-CA5B234E8081}"/>
              </a:ext>
            </a:extLst>
          </xdr:cNvPr>
          <xdr:cNvSpPr txBox="1"/>
        </xdr:nvSpPr>
        <xdr:spPr>
          <a:xfrm>
            <a:off x="17145000" y="10300641"/>
            <a:ext cx="228600" cy="208799"/>
          </a:xfrm>
          <a:prstGeom prst="rect">
            <a:avLst/>
          </a:prstGeom>
          <a:solidFill>
            <a:srgbClr val="FF0000">
              <a:alpha val="80000"/>
            </a:srgbClr>
          </a:solidFill>
          <a:ln w="6350">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sp macro="" textlink="">
        <xdr:nvSpPr>
          <xdr:cNvPr id="83" name="TextBox 82">
            <a:extLst>
              <a:ext uri="{FF2B5EF4-FFF2-40B4-BE49-F238E27FC236}">
                <a16:creationId xmlns:a16="http://schemas.microsoft.com/office/drawing/2014/main" id="{20553C46-0E49-A11D-1100-CA382F70E010}"/>
              </a:ext>
            </a:extLst>
          </xdr:cNvPr>
          <xdr:cNvSpPr txBox="1"/>
        </xdr:nvSpPr>
        <xdr:spPr>
          <a:xfrm>
            <a:off x="17145000" y="10642459"/>
            <a:ext cx="228600" cy="208799"/>
          </a:xfrm>
          <a:prstGeom prst="rect">
            <a:avLst/>
          </a:prstGeom>
          <a:solidFill>
            <a:srgbClr val="FF25FF">
              <a:alpha val="80000"/>
            </a:srgbClr>
          </a:solidFill>
          <a:ln w="6350">
            <a:solidFill>
              <a:srgbClr val="FF00FF"/>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grpSp>
    <xdr:clientData/>
  </xdr:twoCellAnchor>
  <xdr:twoCellAnchor>
    <xdr:from>
      <xdr:col>75</xdr:col>
      <xdr:colOff>0</xdr:colOff>
      <xdr:row>41</xdr:row>
      <xdr:rowOff>0</xdr:rowOff>
    </xdr:from>
    <xdr:to>
      <xdr:col>76</xdr:col>
      <xdr:colOff>0</xdr:colOff>
      <xdr:row>72</xdr:row>
      <xdr:rowOff>208799</xdr:rowOff>
    </xdr:to>
    <xdr:grpSp>
      <xdr:nvGrpSpPr>
        <xdr:cNvPr id="164" name="Group 163">
          <a:extLst>
            <a:ext uri="{FF2B5EF4-FFF2-40B4-BE49-F238E27FC236}">
              <a16:creationId xmlns:a16="http://schemas.microsoft.com/office/drawing/2014/main" id="{EC1B83AD-9F73-4BCD-ADBC-0F68CA519568}"/>
            </a:ext>
          </a:extLst>
        </xdr:cNvPr>
        <xdr:cNvGrpSpPr/>
      </xdr:nvGrpSpPr>
      <xdr:grpSpPr>
        <a:xfrm>
          <a:off x="17145000" y="8591550"/>
          <a:ext cx="228600" cy="6704849"/>
          <a:chOff x="17145000" y="628650"/>
          <a:chExt cx="228600" cy="6704849"/>
        </a:xfrm>
      </xdr:grpSpPr>
      <xdr:sp macro="" textlink="">
        <xdr:nvSpPr>
          <xdr:cNvPr id="165" name="TextBox 164">
            <a:extLst>
              <a:ext uri="{FF2B5EF4-FFF2-40B4-BE49-F238E27FC236}">
                <a16:creationId xmlns:a16="http://schemas.microsoft.com/office/drawing/2014/main" id="{9E3CEF86-0361-6E6A-EFFB-64D6EC975AB2}"/>
              </a:ext>
            </a:extLst>
          </xdr:cNvPr>
          <xdr:cNvSpPr txBox="1"/>
        </xdr:nvSpPr>
        <xdr:spPr>
          <a:xfrm>
            <a:off x="17145000" y="4047582"/>
            <a:ext cx="228600" cy="20955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sp macro="" textlink="">
        <xdr:nvSpPr>
          <xdr:cNvPr id="166" name="TextBox 165">
            <a:extLst>
              <a:ext uri="{FF2B5EF4-FFF2-40B4-BE49-F238E27FC236}">
                <a16:creationId xmlns:a16="http://schemas.microsoft.com/office/drawing/2014/main" id="{B5FCFF79-2244-CBF7-6DD1-A2D6B3338F50}"/>
              </a:ext>
            </a:extLst>
          </xdr:cNvPr>
          <xdr:cNvSpPr txBox="1"/>
        </xdr:nvSpPr>
        <xdr:spPr>
          <a:xfrm>
            <a:off x="17145000" y="3705013"/>
            <a:ext cx="228600" cy="20955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sp macro="" textlink="">
        <xdr:nvSpPr>
          <xdr:cNvPr id="167" name="TextBox 166">
            <a:extLst>
              <a:ext uri="{FF2B5EF4-FFF2-40B4-BE49-F238E27FC236}">
                <a16:creationId xmlns:a16="http://schemas.microsoft.com/office/drawing/2014/main" id="{E376BB77-5D20-F58B-B963-856CC2C98DED}"/>
              </a:ext>
            </a:extLst>
          </xdr:cNvPr>
          <xdr:cNvSpPr txBox="1"/>
        </xdr:nvSpPr>
        <xdr:spPr>
          <a:xfrm>
            <a:off x="17145000" y="6099241"/>
            <a:ext cx="228600" cy="208800"/>
          </a:xfrm>
          <a:prstGeom prst="rect">
            <a:avLst/>
          </a:prstGeom>
          <a:solidFill>
            <a:schemeClr val="tx1">
              <a:alpha val="30000"/>
            </a:schemeClr>
          </a:solidFill>
          <a:ln w="6350">
            <a:solidFill>
              <a:srgbClr val="FF66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FF6600"/>
              </a:solidFill>
            </a:endParaRPr>
          </a:p>
        </xdr:txBody>
      </xdr:sp>
      <xdr:sp macro="" textlink="">
        <xdr:nvSpPr>
          <xdr:cNvPr id="168" name="TextBox 167">
            <a:extLst>
              <a:ext uri="{FF2B5EF4-FFF2-40B4-BE49-F238E27FC236}">
                <a16:creationId xmlns:a16="http://schemas.microsoft.com/office/drawing/2014/main" id="{FC462719-FC03-1E3E-F5A9-2E1531A50A7F}"/>
              </a:ext>
            </a:extLst>
          </xdr:cNvPr>
          <xdr:cNvSpPr txBox="1"/>
        </xdr:nvSpPr>
        <xdr:spPr>
          <a:xfrm>
            <a:off x="17145000" y="5757423"/>
            <a:ext cx="228600" cy="208799"/>
          </a:xfrm>
          <a:prstGeom prst="rect">
            <a:avLst/>
          </a:prstGeom>
          <a:solidFill>
            <a:schemeClr val="tx1">
              <a:alpha val="30000"/>
            </a:schemeClr>
          </a:solidFill>
          <a:ln w="6350">
            <a:solidFill>
              <a:srgbClr val="C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C00000"/>
              </a:solidFill>
            </a:endParaRPr>
          </a:p>
        </xdr:txBody>
      </xdr:sp>
      <xdr:sp macro="" textlink="">
        <xdr:nvSpPr>
          <xdr:cNvPr id="169" name="TextBox 168">
            <a:extLst>
              <a:ext uri="{FF2B5EF4-FFF2-40B4-BE49-F238E27FC236}">
                <a16:creationId xmlns:a16="http://schemas.microsoft.com/office/drawing/2014/main" id="{A79C6FD0-4DFB-4854-51B9-9273AD485026}"/>
              </a:ext>
            </a:extLst>
          </xdr:cNvPr>
          <xdr:cNvSpPr txBox="1"/>
        </xdr:nvSpPr>
        <xdr:spPr>
          <a:xfrm>
            <a:off x="17145000" y="6441060"/>
            <a:ext cx="228600" cy="208799"/>
          </a:xfrm>
          <a:prstGeom prst="rect">
            <a:avLst/>
          </a:prstGeom>
          <a:solidFill>
            <a:schemeClr val="tx1">
              <a:alpha val="30000"/>
            </a:schemeClr>
          </a:solidFill>
          <a:ln w="6350">
            <a:solidFill>
              <a:srgbClr val="FFC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FFC000"/>
              </a:solidFill>
            </a:endParaRPr>
          </a:p>
        </xdr:txBody>
      </xdr:sp>
      <xdr:sp macro="" textlink="">
        <xdr:nvSpPr>
          <xdr:cNvPr id="170" name="TextBox 169">
            <a:extLst>
              <a:ext uri="{FF2B5EF4-FFF2-40B4-BE49-F238E27FC236}">
                <a16:creationId xmlns:a16="http://schemas.microsoft.com/office/drawing/2014/main" id="{F5207814-D6BA-47F4-AA76-EA7BC4EBB940}"/>
              </a:ext>
            </a:extLst>
          </xdr:cNvPr>
          <xdr:cNvSpPr txBox="1"/>
        </xdr:nvSpPr>
        <xdr:spPr>
          <a:xfrm>
            <a:off x="17145000" y="4390151"/>
            <a:ext cx="228600" cy="208799"/>
          </a:xfrm>
          <a:prstGeom prst="rect">
            <a:avLst/>
          </a:prstGeom>
          <a:solidFill>
            <a:schemeClr val="tx1">
              <a:alpha val="30000"/>
            </a:schemeClr>
          </a:solidFill>
          <a:ln w="6350">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a:solidFill>
                <a:srgbClr val="0070C0"/>
              </a:solidFill>
              <a:latin typeface="+mn-lt"/>
              <a:ea typeface="+mn-ea"/>
              <a:cs typeface="+mn-cs"/>
            </a:endParaRPr>
          </a:p>
        </xdr:txBody>
      </xdr:sp>
      <xdr:sp macro="" textlink="">
        <xdr:nvSpPr>
          <xdr:cNvPr id="171" name="TextBox 170">
            <a:extLst>
              <a:ext uri="{FF2B5EF4-FFF2-40B4-BE49-F238E27FC236}">
                <a16:creationId xmlns:a16="http://schemas.microsoft.com/office/drawing/2014/main" id="{AE5A1064-506C-3654-6A3D-69B13787C002}"/>
              </a:ext>
            </a:extLst>
          </xdr:cNvPr>
          <xdr:cNvSpPr txBox="1"/>
        </xdr:nvSpPr>
        <xdr:spPr>
          <a:xfrm>
            <a:off x="17145000" y="7124700"/>
            <a:ext cx="228600" cy="208799"/>
          </a:xfrm>
          <a:prstGeom prst="rect">
            <a:avLst/>
          </a:prstGeom>
          <a:solidFill>
            <a:schemeClr val="tx1">
              <a:alpha val="30000"/>
            </a:schemeClr>
          </a:solidFill>
          <a:ln w="6350">
            <a:solidFill>
              <a:srgbClr val="00B0F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rgbClr val="00B0F0"/>
              </a:solidFill>
              <a:latin typeface="+mn-lt"/>
              <a:ea typeface="+mn-ea"/>
              <a:cs typeface="+mn-cs"/>
            </a:endParaRPr>
          </a:p>
        </xdr:txBody>
      </xdr:sp>
      <xdr:sp macro="" textlink="">
        <xdr:nvSpPr>
          <xdr:cNvPr id="172" name="TextBox 171">
            <a:extLst>
              <a:ext uri="{FF2B5EF4-FFF2-40B4-BE49-F238E27FC236}">
                <a16:creationId xmlns:a16="http://schemas.microsoft.com/office/drawing/2014/main" id="{798C2538-0628-B074-6F10-549520F3EBBB}"/>
              </a:ext>
            </a:extLst>
          </xdr:cNvPr>
          <xdr:cNvSpPr txBox="1"/>
        </xdr:nvSpPr>
        <xdr:spPr>
          <a:xfrm>
            <a:off x="17145000" y="4731969"/>
            <a:ext cx="228600" cy="208799"/>
          </a:xfrm>
          <a:prstGeom prst="rect">
            <a:avLst/>
          </a:prstGeom>
          <a:solidFill>
            <a:schemeClr val="tx1">
              <a:alpha val="30000"/>
            </a:schemeClr>
          </a:solidFill>
          <a:ln w="6350">
            <a:solidFill>
              <a:srgbClr val="9900CC"/>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rgbClr val="9900CC"/>
              </a:solidFill>
              <a:latin typeface="+mn-lt"/>
              <a:ea typeface="+mn-ea"/>
              <a:cs typeface="+mn-cs"/>
            </a:endParaRPr>
          </a:p>
        </xdr:txBody>
      </xdr:sp>
      <xdr:sp macro="" textlink="">
        <xdr:nvSpPr>
          <xdr:cNvPr id="173" name="TextBox 172">
            <a:extLst>
              <a:ext uri="{FF2B5EF4-FFF2-40B4-BE49-F238E27FC236}">
                <a16:creationId xmlns:a16="http://schemas.microsoft.com/office/drawing/2014/main" id="{3A2D6209-0D34-4B2F-6B75-2787E23CE0B6}"/>
              </a:ext>
            </a:extLst>
          </xdr:cNvPr>
          <xdr:cNvSpPr txBox="1"/>
        </xdr:nvSpPr>
        <xdr:spPr>
          <a:xfrm>
            <a:off x="17145000" y="6782878"/>
            <a:ext cx="228600" cy="208799"/>
          </a:xfrm>
          <a:prstGeom prst="rect">
            <a:avLst/>
          </a:prstGeom>
          <a:solidFill>
            <a:schemeClr val="tx1">
              <a:alpha val="30000"/>
            </a:schemeClr>
          </a:solidFill>
          <a:ln w="6350">
            <a:solidFill>
              <a:srgbClr val="00B05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00B050"/>
              </a:solidFill>
            </a:endParaRPr>
          </a:p>
        </xdr:txBody>
      </xdr:sp>
      <xdr:sp macro="" textlink="">
        <xdr:nvSpPr>
          <xdr:cNvPr id="174" name="TextBox 173">
            <a:extLst>
              <a:ext uri="{FF2B5EF4-FFF2-40B4-BE49-F238E27FC236}">
                <a16:creationId xmlns:a16="http://schemas.microsoft.com/office/drawing/2014/main" id="{764A0AAA-A9AE-1DE2-8349-EB373DC0646C}"/>
              </a:ext>
            </a:extLst>
          </xdr:cNvPr>
          <xdr:cNvSpPr txBox="1"/>
        </xdr:nvSpPr>
        <xdr:spPr>
          <a:xfrm>
            <a:off x="17145000" y="5415605"/>
            <a:ext cx="228600" cy="208799"/>
          </a:xfrm>
          <a:prstGeom prst="rect">
            <a:avLst/>
          </a:prstGeom>
          <a:solidFill>
            <a:schemeClr val="tx1">
              <a:alpha val="30000"/>
            </a:schemeClr>
          </a:solidFill>
          <a:ln w="6350">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rgbClr val="FF0000"/>
              </a:solidFill>
              <a:latin typeface="+mn-lt"/>
              <a:ea typeface="+mn-ea"/>
              <a:cs typeface="+mn-cs"/>
            </a:endParaRPr>
          </a:p>
        </xdr:txBody>
      </xdr:sp>
      <xdr:sp macro="" textlink="">
        <xdr:nvSpPr>
          <xdr:cNvPr id="175" name="TextBox 174">
            <a:extLst>
              <a:ext uri="{FF2B5EF4-FFF2-40B4-BE49-F238E27FC236}">
                <a16:creationId xmlns:a16="http://schemas.microsoft.com/office/drawing/2014/main" id="{BFF7307F-1565-0F56-4DBE-ACD400A5F2CA}"/>
              </a:ext>
            </a:extLst>
          </xdr:cNvPr>
          <xdr:cNvSpPr txBox="1"/>
        </xdr:nvSpPr>
        <xdr:spPr>
          <a:xfrm>
            <a:off x="17145000" y="5073787"/>
            <a:ext cx="228600" cy="208799"/>
          </a:xfrm>
          <a:prstGeom prst="rect">
            <a:avLst/>
          </a:prstGeom>
          <a:solidFill>
            <a:schemeClr val="tx1">
              <a:alpha val="30000"/>
            </a:schemeClr>
          </a:solidFill>
          <a:ln w="6350">
            <a:solidFill>
              <a:srgbClr val="FF00FF"/>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FF00FF"/>
              </a:solidFill>
            </a:endParaRPr>
          </a:p>
        </xdr:txBody>
      </xdr:sp>
      <xdr:sp macro="" textlink="">
        <xdr:nvSpPr>
          <xdr:cNvPr id="176" name="TextBox 175">
            <a:extLst>
              <a:ext uri="{FF2B5EF4-FFF2-40B4-BE49-F238E27FC236}">
                <a16:creationId xmlns:a16="http://schemas.microsoft.com/office/drawing/2014/main" id="{AE8B5F21-C7B2-EA2C-C56A-3D6858FAE4B9}"/>
              </a:ext>
            </a:extLst>
          </xdr:cNvPr>
          <xdr:cNvSpPr txBox="1"/>
        </xdr:nvSpPr>
        <xdr:spPr>
          <a:xfrm>
            <a:off x="17145000" y="1654104"/>
            <a:ext cx="228600" cy="208800"/>
          </a:xfrm>
          <a:prstGeom prst="rect">
            <a:avLst/>
          </a:prstGeom>
          <a:solidFill>
            <a:srgbClr val="FF6600">
              <a:alpha val="30000"/>
            </a:srgbClr>
          </a:solidFill>
          <a:ln w="6350">
            <a:solidFill>
              <a:srgbClr val="FF66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sp macro="" textlink="">
        <xdr:nvSpPr>
          <xdr:cNvPr id="177" name="TextBox 176">
            <a:extLst>
              <a:ext uri="{FF2B5EF4-FFF2-40B4-BE49-F238E27FC236}">
                <a16:creationId xmlns:a16="http://schemas.microsoft.com/office/drawing/2014/main" id="{3DECC9A7-3947-8A2D-DBB2-5543253014A2}"/>
              </a:ext>
            </a:extLst>
          </xdr:cNvPr>
          <xdr:cNvSpPr txBox="1"/>
        </xdr:nvSpPr>
        <xdr:spPr>
          <a:xfrm>
            <a:off x="17145000" y="1995923"/>
            <a:ext cx="228600" cy="208799"/>
          </a:xfrm>
          <a:prstGeom prst="rect">
            <a:avLst/>
          </a:prstGeom>
          <a:solidFill>
            <a:srgbClr val="C00000">
              <a:alpha val="30000"/>
            </a:srgbClr>
          </a:solidFill>
          <a:ln w="6350">
            <a:solidFill>
              <a:srgbClr val="C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sp macro="" textlink="">
        <xdr:nvSpPr>
          <xdr:cNvPr id="178" name="TextBox 177">
            <a:extLst>
              <a:ext uri="{FF2B5EF4-FFF2-40B4-BE49-F238E27FC236}">
                <a16:creationId xmlns:a16="http://schemas.microsoft.com/office/drawing/2014/main" id="{58164982-A547-DAC7-D935-B7585E79B09E}"/>
              </a:ext>
            </a:extLst>
          </xdr:cNvPr>
          <xdr:cNvSpPr txBox="1"/>
        </xdr:nvSpPr>
        <xdr:spPr>
          <a:xfrm>
            <a:off x="17145000" y="1312286"/>
            <a:ext cx="228600" cy="208799"/>
          </a:xfrm>
          <a:prstGeom prst="rect">
            <a:avLst/>
          </a:prstGeom>
          <a:solidFill>
            <a:srgbClr val="FFC000">
              <a:alpha val="30000"/>
            </a:srgbClr>
          </a:solidFill>
          <a:ln w="6350">
            <a:solidFill>
              <a:srgbClr val="FFC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sp macro="" textlink="">
        <xdr:nvSpPr>
          <xdr:cNvPr id="179" name="TextBox 178">
            <a:extLst>
              <a:ext uri="{FF2B5EF4-FFF2-40B4-BE49-F238E27FC236}">
                <a16:creationId xmlns:a16="http://schemas.microsoft.com/office/drawing/2014/main" id="{46B3BE23-B92B-84C8-955A-AA0CCAFF1F7D}"/>
              </a:ext>
            </a:extLst>
          </xdr:cNvPr>
          <xdr:cNvSpPr txBox="1"/>
        </xdr:nvSpPr>
        <xdr:spPr>
          <a:xfrm>
            <a:off x="17145000" y="3363195"/>
            <a:ext cx="228600" cy="208799"/>
          </a:xfrm>
          <a:prstGeom prst="rect">
            <a:avLst/>
          </a:prstGeom>
          <a:solidFill>
            <a:srgbClr val="0070C0">
              <a:alpha val="30000"/>
            </a:srgbClr>
          </a:solidFill>
          <a:ln w="6350">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a:solidFill>
                <a:schemeClr val="bg1"/>
              </a:solidFill>
              <a:latin typeface="+mn-lt"/>
              <a:ea typeface="+mn-ea"/>
              <a:cs typeface="+mn-cs"/>
            </a:endParaRPr>
          </a:p>
        </xdr:txBody>
      </xdr:sp>
      <xdr:sp macro="" textlink="">
        <xdr:nvSpPr>
          <xdr:cNvPr id="180" name="TextBox 179">
            <a:extLst>
              <a:ext uri="{FF2B5EF4-FFF2-40B4-BE49-F238E27FC236}">
                <a16:creationId xmlns:a16="http://schemas.microsoft.com/office/drawing/2014/main" id="{53F6AFDB-0229-9DAC-961A-EA52C6FF12F8}"/>
              </a:ext>
            </a:extLst>
          </xdr:cNvPr>
          <xdr:cNvSpPr txBox="1"/>
        </xdr:nvSpPr>
        <xdr:spPr>
          <a:xfrm>
            <a:off x="17145000" y="628650"/>
            <a:ext cx="228600" cy="208799"/>
          </a:xfrm>
          <a:prstGeom prst="rect">
            <a:avLst/>
          </a:prstGeom>
          <a:solidFill>
            <a:srgbClr val="00B0F0">
              <a:alpha val="30000"/>
            </a:srgbClr>
          </a:solidFill>
          <a:ln w="6350">
            <a:solidFill>
              <a:srgbClr val="00B0F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sp macro="" textlink="">
        <xdr:nvSpPr>
          <xdr:cNvPr id="181" name="TextBox 180">
            <a:extLst>
              <a:ext uri="{FF2B5EF4-FFF2-40B4-BE49-F238E27FC236}">
                <a16:creationId xmlns:a16="http://schemas.microsoft.com/office/drawing/2014/main" id="{9F03C725-BF01-7FF0-74AF-AB8C2DB3AB86}"/>
              </a:ext>
            </a:extLst>
          </xdr:cNvPr>
          <xdr:cNvSpPr txBox="1"/>
        </xdr:nvSpPr>
        <xdr:spPr>
          <a:xfrm>
            <a:off x="17145000" y="3021377"/>
            <a:ext cx="228600" cy="208799"/>
          </a:xfrm>
          <a:prstGeom prst="rect">
            <a:avLst/>
          </a:prstGeom>
          <a:solidFill>
            <a:srgbClr val="9900CC">
              <a:alpha val="30000"/>
            </a:srgbClr>
          </a:solidFill>
          <a:ln w="6350">
            <a:solidFill>
              <a:srgbClr val="9900CC"/>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sp macro="" textlink="">
        <xdr:nvSpPr>
          <xdr:cNvPr id="182" name="TextBox 181">
            <a:extLst>
              <a:ext uri="{FF2B5EF4-FFF2-40B4-BE49-F238E27FC236}">
                <a16:creationId xmlns:a16="http://schemas.microsoft.com/office/drawing/2014/main" id="{57B94BC8-2F05-0ECD-25B6-D44D8039276D}"/>
              </a:ext>
            </a:extLst>
          </xdr:cNvPr>
          <xdr:cNvSpPr txBox="1"/>
        </xdr:nvSpPr>
        <xdr:spPr>
          <a:xfrm>
            <a:off x="17145000" y="970468"/>
            <a:ext cx="228600" cy="208799"/>
          </a:xfrm>
          <a:prstGeom prst="rect">
            <a:avLst/>
          </a:prstGeom>
          <a:solidFill>
            <a:srgbClr val="00B050">
              <a:alpha val="30000"/>
            </a:srgbClr>
          </a:solidFill>
          <a:ln w="6350">
            <a:solidFill>
              <a:srgbClr val="00B05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sp macro="" textlink="">
        <xdr:nvSpPr>
          <xdr:cNvPr id="183" name="TextBox 182">
            <a:extLst>
              <a:ext uri="{FF2B5EF4-FFF2-40B4-BE49-F238E27FC236}">
                <a16:creationId xmlns:a16="http://schemas.microsoft.com/office/drawing/2014/main" id="{869C6C51-13AF-5F46-94E7-10F083ADC7DE}"/>
              </a:ext>
            </a:extLst>
          </xdr:cNvPr>
          <xdr:cNvSpPr txBox="1"/>
        </xdr:nvSpPr>
        <xdr:spPr>
          <a:xfrm>
            <a:off x="17145000" y="2337741"/>
            <a:ext cx="228600" cy="208799"/>
          </a:xfrm>
          <a:prstGeom prst="rect">
            <a:avLst/>
          </a:prstGeom>
          <a:solidFill>
            <a:srgbClr val="FF0000">
              <a:alpha val="30000"/>
            </a:srgbClr>
          </a:solidFill>
          <a:ln w="6350">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sp macro="" textlink="">
        <xdr:nvSpPr>
          <xdr:cNvPr id="184" name="TextBox 183">
            <a:extLst>
              <a:ext uri="{FF2B5EF4-FFF2-40B4-BE49-F238E27FC236}">
                <a16:creationId xmlns:a16="http://schemas.microsoft.com/office/drawing/2014/main" id="{381A324B-302C-F685-F6F6-A9893EB299D1}"/>
              </a:ext>
            </a:extLst>
          </xdr:cNvPr>
          <xdr:cNvSpPr txBox="1"/>
        </xdr:nvSpPr>
        <xdr:spPr>
          <a:xfrm>
            <a:off x="17145000" y="2679559"/>
            <a:ext cx="228600" cy="208799"/>
          </a:xfrm>
          <a:prstGeom prst="rect">
            <a:avLst/>
          </a:prstGeom>
          <a:solidFill>
            <a:srgbClr val="FF00FF">
              <a:alpha val="30000"/>
            </a:srgbClr>
          </a:solidFill>
          <a:ln w="6350">
            <a:solidFill>
              <a:srgbClr val="FF00FF"/>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grpSp>
    <xdr:clientData/>
  </xdr:twoCellAnchor>
  <xdr:twoCellAnchor>
    <xdr:from>
      <xdr:col>75</xdr:col>
      <xdr:colOff>0</xdr:colOff>
      <xdr:row>57</xdr:row>
      <xdr:rowOff>66132</xdr:rowOff>
    </xdr:from>
    <xdr:to>
      <xdr:col>76</xdr:col>
      <xdr:colOff>0</xdr:colOff>
      <xdr:row>58</xdr:row>
      <xdr:rowOff>66132</xdr:rowOff>
    </xdr:to>
    <xdr:sp macro="" textlink="" fLocksText="0">
      <xdr:nvSpPr>
        <xdr:cNvPr id="198" name="TextBox 197">
          <a:extLst>
            <a:ext uri="{FF2B5EF4-FFF2-40B4-BE49-F238E27FC236}">
              <a16:creationId xmlns:a16="http://schemas.microsoft.com/office/drawing/2014/main" id="{81E4720C-F1AF-B48A-9F66-0FFA0BDC1434}"/>
            </a:ext>
          </a:extLst>
        </xdr:cNvPr>
        <xdr:cNvSpPr txBox="1"/>
      </xdr:nvSpPr>
      <xdr:spPr>
        <a:xfrm>
          <a:off x="17145000" y="12010482"/>
          <a:ext cx="228600" cy="209550"/>
        </a:xfrm>
        <a:prstGeom prst="rect">
          <a:avLst/>
        </a:prstGeom>
        <a:solidFill>
          <a:schemeClr val="bg1">
            <a:alpha val="80000"/>
          </a:schemeClr>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tx1"/>
            </a:solidFill>
            <a:latin typeface="+mn-lt"/>
            <a:ea typeface="+mn-ea"/>
            <a:cs typeface="+mn-cs"/>
          </a:endParaRPr>
        </a:p>
      </xdr:txBody>
    </xdr:sp>
    <xdr:clientData fLocksWithSheet="0"/>
  </xdr:twoCellAnchor>
  <xdr:twoCellAnchor>
    <xdr:from>
      <xdr:col>75</xdr:col>
      <xdr:colOff>0</xdr:colOff>
      <xdr:row>55</xdr:row>
      <xdr:rowOff>142663</xdr:rowOff>
    </xdr:from>
    <xdr:to>
      <xdr:col>76</xdr:col>
      <xdr:colOff>0</xdr:colOff>
      <xdr:row>56</xdr:row>
      <xdr:rowOff>142663</xdr:rowOff>
    </xdr:to>
    <xdr:sp macro="" textlink="" fLocksText="0">
      <xdr:nvSpPr>
        <xdr:cNvPr id="199" name="TextBox 198">
          <a:extLst>
            <a:ext uri="{FF2B5EF4-FFF2-40B4-BE49-F238E27FC236}">
              <a16:creationId xmlns:a16="http://schemas.microsoft.com/office/drawing/2014/main" id="{C6D5257E-DA78-AB65-AF9C-3057924A8D3F}"/>
            </a:ext>
          </a:extLst>
        </xdr:cNvPr>
        <xdr:cNvSpPr txBox="1"/>
      </xdr:nvSpPr>
      <xdr:spPr>
        <a:xfrm>
          <a:off x="17145000" y="11667913"/>
          <a:ext cx="228600" cy="209550"/>
        </a:xfrm>
        <a:prstGeom prst="rect">
          <a:avLst/>
        </a:prstGeom>
        <a:solidFill>
          <a:schemeClr val="tx1">
            <a:alpha val="80000"/>
          </a:schemeClr>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clientData fLocksWithSheet="0"/>
  </xdr:twoCellAnchor>
  <xdr:twoCellAnchor>
    <xdr:from>
      <xdr:col>75</xdr:col>
      <xdr:colOff>0</xdr:colOff>
      <xdr:row>67</xdr:row>
      <xdr:rowOff>22291</xdr:rowOff>
    </xdr:from>
    <xdr:to>
      <xdr:col>76</xdr:col>
      <xdr:colOff>0</xdr:colOff>
      <xdr:row>68</xdr:row>
      <xdr:rowOff>21541</xdr:rowOff>
    </xdr:to>
    <xdr:sp macro="" textlink="" fLocksText="0">
      <xdr:nvSpPr>
        <xdr:cNvPr id="200" name="TextBox 199">
          <a:extLst>
            <a:ext uri="{FF2B5EF4-FFF2-40B4-BE49-F238E27FC236}">
              <a16:creationId xmlns:a16="http://schemas.microsoft.com/office/drawing/2014/main" id="{AAABA801-A69B-6021-A726-9BE7F9C74219}"/>
            </a:ext>
          </a:extLst>
        </xdr:cNvPr>
        <xdr:cNvSpPr txBox="1"/>
      </xdr:nvSpPr>
      <xdr:spPr>
        <a:xfrm>
          <a:off x="17145000" y="14062141"/>
          <a:ext cx="228600" cy="208800"/>
        </a:xfrm>
        <a:prstGeom prst="rect">
          <a:avLst/>
        </a:prstGeom>
        <a:solidFill>
          <a:schemeClr val="bg1">
            <a:alpha val="80000"/>
          </a:schemeClr>
        </a:solidFill>
        <a:ln w="6350">
          <a:solidFill>
            <a:srgbClr val="FF66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FF6600"/>
            </a:solidFill>
          </a:endParaRPr>
        </a:p>
      </xdr:txBody>
    </xdr:sp>
    <xdr:clientData fLocksWithSheet="0"/>
  </xdr:twoCellAnchor>
  <xdr:twoCellAnchor>
    <xdr:from>
      <xdr:col>75</xdr:col>
      <xdr:colOff>0</xdr:colOff>
      <xdr:row>65</xdr:row>
      <xdr:rowOff>99573</xdr:rowOff>
    </xdr:from>
    <xdr:to>
      <xdr:col>76</xdr:col>
      <xdr:colOff>0</xdr:colOff>
      <xdr:row>66</xdr:row>
      <xdr:rowOff>98822</xdr:rowOff>
    </xdr:to>
    <xdr:sp macro="" textlink="" fLocksText="0">
      <xdr:nvSpPr>
        <xdr:cNvPr id="201" name="TextBox 200">
          <a:extLst>
            <a:ext uri="{FF2B5EF4-FFF2-40B4-BE49-F238E27FC236}">
              <a16:creationId xmlns:a16="http://schemas.microsoft.com/office/drawing/2014/main" id="{53B5A9E3-DD9D-0873-E1EC-ECADC28B3AE0}"/>
            </a:ext>
          </a:extLst>
        </xdr:cNvPr>
        <xdr:cNvSpPr txBox="1"/>
      </xdr:nvSpPr>
      <xdr:spPr>
        <a:xfrm>
          <a:off x="17145000" y="13720323"/>
          <a:ext cx="228600" cy="208799"/>
        </a:xfrm>
        <a:prstGeom prst="rect">
          <a:avLst/>
        </a:prstGeom>
        <a:solidFill>
          <a:schemeClr val="bg1">
            <a:alpha val="80000"/>
          </a:schemeClr>
        </a:solidFill>
        <a:ln w="6350">
          <a:solidFill>
            <a:srgbClr val="C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C00000"/>
            </a:solidFill>
          </a:endParaRPr>
        </a:p>
      </xdr:txBody>
    </xdr:sp>
    <xdr:clientData fLocksWithSheet="0"/>
  </xdr:twoCellAnchor>
  <xdr:twoCellAnchor>
    <xdr:from>
      <xdr:col>75</xdr:col>
      <xdr:colOff>0</xdr:colOff>
      <xdr:row>68</xdr:row>
      <xdr:rowOff>154560</xdr:rowOff>
    </xdr:from>
    <xdr:to>
      <xdr:col>76</xdr:col>
      <xdr:colOff>0</xdr:colOff>
      <xdr:row>69</xdr:row>
      <xdr:rowOff>153809</xdr:rowOff>
    </xdr:to>
    <xdr:sp macro="" textlink="" fLocksText="0">
      <xdr:nvSpPr>
        <xdr:cNvPr id="202" name="TextBox 201">
          <a:extLst>
            <a:ext uri="{FF2B5EF4-FFF2-40B4-BE49-F238E27FC236}">
              <a16:creationId xmlns:a16="http://schemas.microsoft.com/office/drawing/2014/main" id="{D3A45CF6-F8C4-AE47-5652-1F31C8DB91EF}"/>
            </a:ext>
          </a:extLst>
        </xdr:cNvPr>
        <xdr:cNvSpPr txBox="1"/>
      </xdr:nvSpPr>
      <xdr:spPr>
        <a:xfrm>
          <a:off x="17145000" y="14403960"/>
          <a:ext cx="228600" cy="208799"/>
        </a:xfrm>
        <a:prstGeom prst="rect">
          <a:avLst/>
        </a:prstGeom>
        <a:solidFill>
          <a:schemeClr val="bg1">
            <a:alpha val="80000"/>
          </a:schemeClr>
        </a:solidFill>
        <a:ln w="6350">
          <a:solidFill>
            <a:srgbClr val="FFC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FFC000"/>
            </a:solidFill>
          </a:endParaRPr>
        </a:p>
      </xdr:txBody>
    </xdr:sp>
    <xdr:clientData fLocksWithSheet="0"/>
  </xdr:twoCellAnchor>
  <xdr:twoCellAnchor>
    <xdr:from>
      <xdr:col>75</xdr:col>
      <xdr:colOff>0</xdr:colOff>
      <xdr:row>58</xdr:row>
      <xdr:rowOff>199151</xdr:rowOff>
    </xdr:from>
    <xdr:to>
      <xdr:col>76</xdr:col>
      <xdr:colOff>0</xdr:colOff>
      <xdr:row>59</xdr:row>
      <xdr:rowOff>198400</xdr:rowOff>
    </xdr:to>
    <xdr:sp macro="" textlink="" fLocksText="0">
      <xdr:nvSpPr>
        <xdr:cNvPr id="203" name="TextBox 202">
          <a:extLst>
            <a:ext uri="{FF2B5EF4-FFF2-40B4-BE49-F238E27FC236}">
              <a16:creationId xmlns:a16="http://schemas.microsoft.com/office/drawing/2014/main" id="{72F11036-D4EF-D5C0-98ED-96B90323B68E}"/>
            </a:ext>
          </a:extLst>
        </xdr:cNvPr>
        <xdr:cNvSpPr txBox="1"/>
      </xdr:nvSpPr>
      <xdr:spPr>
        <a:xfrm>
          <a:off x="17145000" y="12353051"/>
          <a:ext cx="228600" cy="208799"/>
        </a:xfrm>
        <a:prstGeom prst="rect">
          <a:avLst/>
        </a:prstGeom>
        <a:solidFill>
          <a:schemeClr val="bg1">
            <a:alpha val="80000"/>
          </a:schemeClr>
        </a:solidFill>
        <a:ln w="6350">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a:solidFill>
              <a:srgbClr val="0070C0"/>
            </a:solidFill>
            <a:latin typeface="+mn-lt"/>
            <a:ea typeface="+mn-ea"/>
            <a:cs typeface="+mn-cs"/>
          </a:endParaRPr>
        </a:p>
      </xdr:txBody>
    </xdr:sp>
    <xdr:clientData fLocksWithSheet="0"/>
  </xdr:twoCellAnchor>
  <xdr:twoCellAnchor>
    <xdr:from>
      <xdr:col>75</xdr:col>
      <xdr:colOff>0</xdr:colOff>
      <xdr:row>72</xdr:row>
      <xdr:rowOff>0</xdr:rowOff>
    </xdr:from>
    <xdr:to>
      <xdr:col>76</xdr:col>
      <xdr:colOff>0</xdr:colOff>
      <xdr:row>72</xdr:row>
      <xdr:rowOff>208799</xdr:rowOff>
    </xdr:to>
    <xdr:sp macro="" textlink="" fLocksText="0">
      <xdr:nvSpPr>
        <xdr:cNvPr id="204" name="TextBox 203">
          <a:extLst>
            <a:ext uri="{FF2B5EF4-FFF2-40B4-BE49-F238E27FC236}">
              <a16:creationId xmlns:a16="http://schemas.microsoft.com/office/drawing/2014/main" id="{76F917EB-2562-E97E-BF6C-5F9E6AE848F3}"/>
            </a:ext>
          </a:extLst>
        </xdr:cNvPr>
        <xdr:cNvSpPr txBox="1"/>
      </xdr:nvSpPr>
      <xdr:spPr>
        <a:xfrm>
          <a:off x="17145000" y="15087600"/>
          <a:ext cx="228600" cy="208799"/>
        </a:xfrm>
        <a:prstGeom prst="rect">
          <a:avLst/>
        </a:prstGeom>
        <a:solidFill>
          <a:schemeClr val="bg1">
            <a:alpha val="80000"/>
          </a:schemeClr>
        </a:solidFill>
        <a:ln w="6350">
          <a:solidFill>
            <a:srgbClr val="00B0F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rgbClr val="00B0F0"/>
            </a:solidFill>
            <a:latin typeface="+mn-lt"/>
            <a:ea typeface="+mn-ea"/>
            <a:cs typeface="+mn-cs"/>
          </a:endParaRPr>
        </a:p>
      </xdr:txBody>
    </xdr:sp>
    <xdr:clientData fLocksWithSheet="0"/>
  </xdr:twoCellAnchor>
  <xdr:twoCellAnchor>
    <xdr:from>
      <xdr:col>75</xdr:col>
      <xdr:colOff>0</xdr:colOff>
      <xdr:row>60</xdr:row>
      <xdr:rowOff>121869</xdr:rowOff>
    </xdr:from>
    <xdr:to>
      <xdr:col>76</xdr:col>
      <xdr:colOff>0</xdr:colOff>
      <xdr:row>61</xdr:row>
      <xdr:rowOff>121118</xdr:rowOff>
    </xdr:to>
    <xdr:sp macro="" textlink="" fLocksText="0">
      <xdr:nvSpPr>
        <xdr:cNvPr id="205" name="TextBox 204">
          <a:extLst>
            <a:ext uri="{FF2B5EF4-FFF2-40B4-BE49-F238E27FC236}">
              <a16:creationId xmlns:a16="http://schemas.microsoft.com/office/drawing/2014/main" id="{5FCCD6A3-C44A-1185-6012-31ED43EFFFA8}"/>
            </a:ext>
          </a:extLst>
        </xdr:cNvPr>
        <xdr:cNvSpPr txBox="1"/>
      </xdr:nvSpPr>
      <xdr:spPr>
        <a:xfrm>
          <a:off x="17145000" y="12694869"/>
          <a:ext cx="228600" cy="208799"/>
        </a:xfrm>
        <a:prstGeom prst="rect">
          <a:avLst/>
        </a:prstGeom>
        <a:solidFill>
          <a:schemeClr val="bg1">
            <a:alpha val="80000"/>
          </a:schemeClr>
        </a:solidFill>
        <a:ln w="6350">
          <a:solidFill>
            <a:srgbClr val="9900CC"/>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rgbClr val="9900CC"/>
            </a:solidFill>
            <a:latin typeface="+mn-lt"/>
            <a:ea typeface="+mn-ea"/>
            <a:cs typeface="+mn-cs"/>
          </a:endParaRPr>
        </a:p>
      </xdr:txBody>
    </xdr:sp>
    <xdr:clientData fLocksWithSheet="0"/>
  </xdr:twoCellAnchor>
  <xdr:twoCellAnchor>
    <xdr:from>
      <xdr:col>75</xdr:col>
      <xdr:colOff>0</xdr:colOff>
      <xdr:row>70</xdr:row>
      <xdr:rowOff>77278</xdr:rowOff>
    </xdr:from>
    <xdr:to>
      <xdr:col>76</xdr:col>
      <xdr:colOff>0</xdr:colOff>
      <xdr:row>71</xdr:row>
      <xdr:rowOff>76527</xdr:rowOff>
    </xdr:to>
    <xdr:sp macro="" textlink="" fLocksText="0">
      <xdr:nvSpPr>
        <xdr:cNvPr id="206" name="TextBox 205">
          <a:extLst>
            <a:ext uri="{FF2B5EF4-FFF2-40B4-BE49-F238E27FC236}">
              <a16:creationId xmlns:a16="http://schemas.microsoft.com/office/drawing/2014/main" id="{47912CBE-612E-8D67-9C46-08346F40478E}"/>
            </a:ext>
          </a:extLst>
        </xdr:cNvPr>
        <xdr:cNvSpPr txBox="1"/>
      </xdr:nvSpPr>
      <xdr:spPr>
        <a:xfrm>
          <a:off x="17145000" y="14745778"/>
          <a:ext cx="228600" cy="208799"/>
        </a:xfrm>
        <a:prstGeom prst="rect">
          <a:avLst/>
        </a:prstGeom>
        <a:solidFill>
          <a:schemeClr val="bg1">
            <a:alpha val="80000"/>
          </a:schemeClr>
        </a:solidFill>
        <a:ln w="6350">
          <a:solidFill>
            <a:srgbClr val="00B05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00B050"/>
            </a:solidFill>
          </a:endParaRPr>
        </a:p>
      </xdr:txBody>
    </xdr:sp>
    <xdr:clientData fLocksWithSheet="0"/>
  </xdr:twoCellAnchor>
  <xdr:twoCellAnchor>
    <xdr:from>
      <xdr:col>75</xdr:col>
      <xdr:colOff>0</xdr:colOff>
      <xdr:row>63</xdr:row>
      <xdr:rowOff>176855</xdr:rowOff>
    </xdr:from>
    <xdr:to>
      <xdr:col>76</xdr:col>
      <xdr:colOff>0</xdr:colOff>
      <xdr:row>64</xdr:row>
      <xdr:rowOff>176104</xdr:rowOff>
    </xdr:to>
    <xdr:sp macro="" textlink="" fLocksText="0">
      <xdr:nvSpPr>
        <xdr:cNvPr id="207" name="TextBox 206">
          <a:extLst>
            <a:ext uri="{FF2B5EF4-FFF2-40B4-BE49-F238E27FC236}">
              <a16:creationId xmlns:a16="http://schemas.microsoft.com/office/drawing/2014/main" id="{D799CB2C-53E9-920C-8786-71D3B9E9442C}"/>
            </a:ext>
          </a:extLst>
        </xdr:cNvPr>
        <xdr:cNvSpPr txBox="1"/>
      </xdr:nvSpPr>
      <xdr:spPr>
        <a:xfrm>
          <a:off x="17145000" y="13378505"/>
          <a:ext cx="228600" cy="208799"/>
        </a:xfrm>
        <a:prstGeom prst="rect">
          <a:avLst/>
        </a:prstGeom>
        <a:solidFill>
          <a:schemeClr val="bg1">
            <a:alpha val="80000"/>
          </a:schemeClr>
        </a:solidFill>
        <a:ln w="6350">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rgbClr val="FF0000"/>
            </a:solidFill>
            <a:latin typeface="+mn-lt"/>
            <a:ea typeface="+mn-ea"/>
            <a:cs typeface="+mn-cs"/>
          </a:endParaRPr>
        </a:p>
      </xdr:txBody>
    </xdr:sp>
    <xdr:clientData fLocksWithSheet="0"/>
  </xdr:twoCellAnchor>
  <xdr:twoCellAnchor>
    <xdr:from>
      <xdr:col>75</xdr:col>
      <xdr:colOff>0</xdr:colOff>
      <xdr:row>62</xdr:row>
      <xdr:rowOff>44587</xdr:rowOff>
    </xdr:from>
    <xdr:to>
      <xdr:col>76</xdr:col>
      <xdr:colOff>0</xdr:colOff>
      <xdr:row>63</xdr:row>
      <xdr:rowOff>43836</xdr:rowOff>
    </xdr:to>
    <xdr:sp macro="" textlink="" fLocksText="0">
      <xdr:nvSpPr>
        <xdr:cNvPr id="208" name="TextBox 207">
          <a:extLst>
            <a:ext uri="{FF2B5EF4-FFF2-40B4-BE49-F238E27FC236}">
              <a16:creationId xmlns:a16="http://schemas.microsoft.com/office/drawing/2014/main" id="{4C5BE34E-FC29-3900-EB70-F22B158F4547}"/>
            </a:ext>
          </a:extLst>
        </xdr:cNvPr>
        <xdr:cNvSpPr txBox="1"/>
      </xdr:nvSpPr>
      <xdr:spPr>
        <a:xfrm>
          <a:off x="17145000" y="13036687"/>
          <a:ext cx="228600" cy="208799"/>
        </a:xfrm>
        <a:prstGeom prst="rect">
          <a:avLst/>
        </a:prstGeom>
        <a:solidFill>
          <a:schemeClr val="bg1">
            <a:alpha val="80000"/>
          </a:schemeClr>
        </a:solidFill>
        <a:ln w="6350">
          <a:solidFill>
            <a:srgbClr val="FF00FF"/>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FF00FF"/>
            </a:solidFill>
          </a:endParaRPr>
        </a:p>
      </xdr:txBody>
    </xdr:sp>
    <xdr:clientData fLocksWithSheet="0"/>
  </xdr:twoCellAnchor>
  <xdr:twoCellAnchor>
    <xdr:from>
      <xdr:col>75</xdr:col>
      <xdr:colOff>0</xdr:colOff>
      <xdr:row>45</xdr:row>
      <xdr:rowOff>187254</xdr:rowOff>
    </xdr:from>
    <xdr:to>
      <xdr:col>76</xdr:col>
      <xdr:colOff>0</xdr:colOff>
      <xdr:row>46</xdr:row>
      <xdr:rowOff>186504</xdr:rowOff>
    </xdr:to>
    <xdr:sp macro="" textlink="" fLocksText="0">
      <xdr:nvSpPr>
        <xdr:cNvPr id="209" name="TextBox 208">
          <a:extLst>
            <a:ext uri="{FF2B5EF4-FFF2-40B4-BE49-F238E27FC236}">
              <a16:creationId xmlns:a16="http://schemas.microsoft.com/office/drawing/2014/main" id="{7A811DF9-7250-D509-8589-DC12EB5D1049}"/>
            </a:ext>
          </a:extLst>
        </xdr:cNvPr>
        <xdr:cNvSpPr txBox="1"/>
      </xdr:nvSpPr>
      <xdr:spPr>
        <a:xfrm>
          <a:off x="17145000" y="9617004"/>
          <a:ext cx="228600" cy="208800"/>
        </a:xfrm>
        <a:prstGeom prst="rect">
          <a:avLst/>
        </a:prstGeom>
        <a:solidFill>
          <a:srgbClr val="FF6600">
            <a:alpha val="80000"/>
          </a:srgbClr>
        </a:solidFill>
        <a:ln w="6350">
          <a:solidFill>
            <a:srgbClr val="FF66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clientData fLocksWithSheet="0"/>
  </xdr:twoCellAnchor>
  <xdr:twoCellAnchor>
    <xdr:from>
      <xdr:col>75</xdr:col>
      <xdr:colOff>0</xdr:colOff>
      <xdr:row>47</xdr:row>
      <xdr:rowOff>109973</xdr:rowOff>
    </xdr:from>
    <xdr:to>
      <xdr:col>76</xdr:col>
      <xdr:colOff>0</xdr:colOff>
      <xdr:row>48</xdr:row>
      <xdr:rowOff>109222</xdr:rowOff>
    </xdr:to>
    <xdr:sp macro="" textlink="" fLocksText="0">
      <xdr:nvSpPr>
        <xdr:cNvPr id="210" name="TextBox 209">
          <a:extLst>
            <a:ext uri="{FF2B5EF4-FFF2-40B4-BE49-F238E27FC236}">
              <a16:creationId xmlns:a16="http://schemas.microsoft.com/office/drawing/2014/main" id="{CED0491D-0D0B-E3A1-2224-745CB7215350}"/>
            </a:ext>
          </a:extLst>
        </xdr:cNvPr>
        <xdr:cNvSpPr txBox="1"/>
      </xdr:nvSpPr>
      <xdr:spPr>
        <a:xfrm>
          <a:off x="17145000" y="9958823"/>
          <a:ext cx="228600" cy="208799"/>
        </a:xfrm>
        <a:prstGeom prst="rect">
          <a:avLst/>
        </a:prstGeom>
        <a:solidFill>
          <a:srgbClr val="C00000">
            <a:alpha val="80000"/>
          </a:srgbClr>
        </a:solidFill>
        <a:ln w="6350">
          <a:solidFill>
            <a:srgbClr val="C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clientData fLocksWithSheet="0"/>
  </xdr:twoCellAnchor>
  <xdr:twoCellAnchor>
    <xdr:from>
      <xdr:col>75</xdr:col>
      <xdr:colOff>0</xdr:colOff>
      <xdr:row>44</xdr:row>
      <xdr:rowOff>54986</xdr:rowOff>
    </xdr:from>
    <xdr:to>
      <xdr:col>76</xdr:col>
      <xdr:colOff>0</xdr:colOff>
      <xdr:row>45</xdr:row>
      <xdr:rowOff>54235</xdr:rowOff>
    </xdr:to>
    <xdr:sp macro="" textlink="" fLocksText="0">
      <xdr:nvSpPr>
        <xdr:cNvPr id="211" name="TextBox 210">
          <a:extLst>
            <a:ext uri="{FF2B5EF4-FFF2-40B4-BE49-F238E27FC236}">
              <a16:creationId xmlns:a16="http://schemas.microsoft.com/office/drawing/2014/main" id="{F6BC6CFA-E454-0B91-A004-323B03B3FCAC}"/>
            </a:ext>
          </a:extLst>
        </xdr:cNvPr>
        <xdr:cNvSpPr txBox="1"/>
      </xdr:nvSpPr>
      <xdr:spPr>
        <a:xfrm>
          <a:off x="17145000" y="9275186"/>
          <a:ext cx="228600" cy="208799"/>
        </a:xfrm>
        <a:prstGeom prst="rect">
          <a:avLst/>
        </a:prstGeom>
        <a:solidFill>
          <a:srgbClr val="FFC000">
            <a:alpha val="80000"/>
          </a:srgbClr>
        </a:solidFill>
        <a:ln w="6350">
          <a:solidFill>
            <a:srgbClr val="FFC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clientData fLocksWithSheet="0"/>
  </xdr:twoCellAnchor>
  <xdr:twoCellAnchor>
    <xdr:from>
      <xdr:col>75</xdr:col>
      <xdr:colOff>0</xdr:colOff>
      <xdr:row>54</xdr:row>
      <xdr:rowOff>10395</xdr:rowOff>
    </xdr:from>
    <xdr:to>
      <xdr:col>76</xdr:col>
      <xdr:colOff>0</xdr:colOff>
      <xdr:row>55</xdr:row>
      <xdr:rowOff>9644</xdr:rowOff>
    </xdr:to>
    <xdr:sp macro="" textlink="" fLocksText="0">
      <xdr:nvSpPr>
        <xdr:cNvPr id="212" name="TextBox 211">
          <a:extLst>
            <a:ext uri="{FF2B5EF4-FFF2-40B4-BE49-F238E27FC236}">
              <a16:creationId xmlns:a16="http://schemas.microsoft.com/office/drawing/2014/main" id="{D35AEC76-9F4C-499E-3871-7583CEBDBA5F}"/>
            </a:ext>
          </a:extLst>
        </xdr:cNvPr>
        <xdr:cNvSpPr txBox="1"/>
      </xdr:nvSpPr>
      <xdr:spPr>
        <a:xfrm>
          <a:off x="17145000" y="11326095"/>
          <a:ext cx="228600" cy="208799"/>
        </a:xfrm>
        <a:prstGeom prst="rect">
          <a:avLst/>
        </a:prstGeom>
        <a:solidFill>
          <a:srgbClr val="0070C0">
            <a:alpha val="80000"/>
          </a:srgbClr>
        </a:solidFill>
        <a:ln w="6350">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a:solidFill>
              <a:schemeClr val="bg1"/>
            </a:solidFill>
            <a:latin typeface="+mn-lt"/>
            <a:ea typeface="+mn-ea"/>
            <a:cs typeface="+mn-cs"/>
          </a:endParaRPr>
        </a:p>
      </xdr:txBody>
    </xdr:sp>
    <xdr:clientData fLocksWithSheet="0"/>
  </xdr:twoCellAnchor>
  <xdr:twoCellAnchor>
    <xdr:from>
      <xdr:col>75</xdr:col>
      <xdr:colOff>0</xdr:colOff>
      <xdr:row>41</xdr:row>
      <xdr:rowOff>0</xdr:rowOff>
    </xdr:from>
    <xdr:to>
      <xdr:col>76</xdr:col>
      <xdr:colOff>0</xdr:colOff>
      <xdr:row>41</xdr:row>
      <xdr:rowOff>208799</xdr:rowOff>
    </xdr:to>
    <xdr:sp macro="" textlink="" fLocksText="0">
      <xdr:nvSpPr>
        <xdr:cNvPr id="213" name="TextBox 212">
          <a:extLst>
            <a:ext uri="{FF2B5EF4-FFF2-40B4-BE49-F238E27FC236}">
              <a16:creationId xmlns:a16="http://schemas.microsoft.com/office/drawing/2014/main" id="{D60C49A6-419D-E40B-D04F-BA190F89DA6E}"/>
            </a:ext>
          </a:extLst>
        </xdr:cNvPr>
        <xdr:cNvSpPr txBox="1"/>
      </xdr:nvSpPr>
      <xdr:spPr>
        <a:xfrm>
          <a:off x="17145000" y="8591550"/>
          <a:ext cx="228600" cy="208799"/>
        </a:xfrm>
        <a:prstGeom prst="rect">
          <a:avLst/>
        </a:prstGeom>
        <a:solidFill>
          <a:srgbClr val="00B0F0">
            <a:alpha val="80000"/>
          </a:srgbClr>
        </a:solidFill>
        <a:ln w="6350">
          <a:solidFill>
            <a:srgbClr val="00B0F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clientData fLocksWithSheet="0"/>
  </xdr:twoCellAnchor>
  <xdr:twoCellAnchor>
    <xdr:from>
      <xdr:col>75</xdr:col>
      <xdr:colOff>0</xdr:colOff>
      <xdr:row>52</xdr:row>
      <xdr:rowOff>87677</xdr:rowOff>
    </xdr:from>
    <xdr:to>
      <xdr:col>76</xdr:col>
      <xdr:colOff>0</xdr:colOff>
      <xdr:row>53</xdr:row>
      <xdr:rowOff>86926</xdr:rowOff>
    </xdr:to>
    <xdr:sp macro="" textlink="" fLocksText="0">
      <xdr:nvSpPr>
        <xdr:cNvPr id="214" name="TextBox 213">
          <a:extLst>
            <a:ext uri="{FF2B5EF4-FFF2-40B4-BE49-F238E27FC236}">
              <a16:creationId xmlns:a16="http://schemas.microsoft.com/office/drawing/2014/main" id="{94FF9ED0-98E5-018C-AF39-DB491FBF4386}"/>
            </a:ext>
          </a:extLst>
        </xdr:cNvPr>
        <xdr:cNvSpPr txBox="1"/>
      </xdr:nvSpPr>
      <xdr:spPr>
        <a:xfrm>
          <a:off x="17145000" y="10984277"/>
          <a:ext cx="228600" cy="208799"/>
        </a:xfrm>
        <a:prstGeom prst="rect">
          <a:avLst/>
        </a:prstGeom>
        <a:solidFill>
          <a:srgbClr val="9900CC">
            <a:alpha val="80000"/>
          </a:srgbClr>
        </a:solidFill>
        <a:ln w="6350">
          <a:solidFill>
            <a:srgbClr val="9900CC"/>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clientData fLocksWithSheet="0"/>
  </xdr:twoCellAnchor>
  <xdr:twoCellAnchor>
    <xdr:from>
      <xdr:col>75</xdr:col>
      <xdr:colOff>0</xdr:colOff>
      <xdr:row>42</xdr:row>
      <xdr:rowOff>132268</xdr:rowOff>
    </xdr:from>
    <xdr:to>
      <xdr:col>76</xdr:col>
      <xdr:colOff>0</xdr:colOff>
      <xdr:row>43</xdr:row>
      <xdr:rowOff>131517</xdr:rowOff>
    </xdr:to>
    <xdr:sp macro="" textlink="" fLocksText="0">
      <xdr:nvSpPr>
        <xdr:cNvPr id="215" name="TextBox 214">
          <a:extLst>
            <a:ext uri="{FF2B5EF4-FFF2-40B4-BE49-F238E27FC236}">
              <a16:creationId xmlns:a16="http://schemas.microsoft.com/office/drawing/2014/main" id="{262A45D2-8609-1ABD-3CF6-FE8F194855B0}"/>
            </a:ext>
          </a:extLst>
        </xdr:cNvPr>
        <xdr:cNvSpPr txBox="1"/>
      </xdr:nvSpPr>
      <xdr:spPr>
        <a:xfrm>
          <a:off x="17145000" y="8933368"/>
          <a:ext cx="228600" cy="208799"/>
        </a:xfrm>
        <a:prstGeom prst="rect">
          <a:avLst/>
        </a:prstGeom>
        <a:solidFill>
          <a:srgbClr val="00B050">
            <a:alpha val="80000"/>
          </a:srgbClr>
        </a:solidFill>
        <a:ln w="6350">
          <a:solidFill>
            <a:srgbClr val="00B05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clientData fLocksWithSheet="0"/>
  </xdr:twoCellAnchor>
  <xdr:twoCellAnchor>
    <xdr:from>
      <xdr:col>75</xdr:col>
      <xdr:colOff>0</xdr:colOff>
      <xdr:row>49</xdr:row>
      <xdr:rowOff>32691</xdr:rowOff>
    </xdr:from>
    <xdr:to>
      <xdr:col>76</xdr:col>
      <xdr:colOff>0</xdr:colOff>
      <xdr:row>50</xdr:row>
      <xdr:rowOff>31940</xdr:rowOff>
    </xdr:to>
    <xdr:sp macro="" textlink="" fLocksText="0">
      <xdr:nvSpPr>
        <xdr:cNvPr id="216" name="TextBox 215">
          <a:extLst>
            <a:ext uri="{FF2B5EF4-FFF2-40B4-BE49-F238E27FC236}">
              <a16:creationId xmlns:a16="http://schemas.microsoft.com/office/drawing/2014/main" id="{41949AAA-5916-CC3C-C796-FB4F38262A5B}"/>
            </a:ext>
          </a:extLst>
        </xdr:cNvPr>
        <xdr:cNvSpPr txBox="1"/>
      </xdr:nvSpPr>
      <xdr:spPr>
        <a:xfrm>
          <a:off x="17145000" y="10300641"/>
          <a:ext cx="228600" cy="208799"/>
        </a:xfrm>
        <a:prstGeom prst="rect">
          <a:avLst/>
        </a:prstGeom>
        <a:solidFill>
          <a:srgbClr val="FF0000">
            <a:alpha val="80000"/>
          </a:srgbClr>
        </a:solidFill>
        <a:ln w="6350">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clientData fLocksWithSheet="0"/>
  </xdr:twoCellAnchor>
  <xdr:twoCellAnchor>
    <xdr:from>
      <xdr:col>75</xdr:col>
      <xdr:colOff>0</xdr:colOff>
      <xdr:row>50</xdr:row>
      <xdr:rowOff>164959</xdr:rowOff>
    </xdr:from>
    <xdr:to>
      <xdr:col>76</xdr:col>
      <xdr:colOff>0</xdr:colOff>
      <xdr:row>51</xdr:row>
      <xdr:rowOff>164208</xdr:rowOff>
    </xdr:to>
    <xdr:sp macro="" textlink="" fLocksText="0">
      <xdr:nvSpPr>
        <xdr:cNvPr id="217" name="TextBox 216">
          <a:extLst>
            <a:ext uri="{FF2B5EF4-FFF2-40B4-BE49-F238E27FC236}">
              <a16:creationId xmlns:a16="http://schemas.microsoft.com/office/drawing/2014/main" id="{8E9415F4-CDF7-1BFC-AACF-CA398D7305AE}"/>
            </a:ext>
          </a:extLst>
        </xdr:cNvPr>
        <xdr:cNvSpPr txBox="1"/>
      </xdr:nvSpPr>
      <xdr:spPr>
        <a:xfrm>
          <a:off x="17145000" y="10642459"/>
          <a:ext cx="228600" cy="208799"/>
        </a:xfrm>
        <a:prstGeom prst="rect">
          <a:avLst/>
        </a:prstGeom>
        <a:solidFill>
          <a:srgbClr val="FF25FF">
            <a:alpha val="80000"/>
          </a:srgbClr>
        </a:solidFill>
        <a:ln w="6350">
          <a:solidFill>
            <a:srgbClr val="FF00FF"/>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clientData fLocksWithSheet="0"/>
  </xdr:twoCellAnchor>
  <xdr:twoCellAnchor>
    <xdr:from>
      <xdr:col>75</xdr:col>
      <xdr:colOff>0</xdr:colOff>
      <xdr:row>131</xdr:row>
      <xdr:rowOff>66132</xdr:rowOff>
    </xdr:from>
    <xdr:to>
      <xdr:col>76</xdr:col>
      <xdr:colOff>0</xdr:colOff>
      <xdr:row>132</xdr:row>
      <xdr:rowOff>66132</xdr:rowOff>
    </xdr:to>
    <xdr:sp macro="" textlink="" fLocksText="0">
      <xdr:nvSpPr>
        <xdr:cNvPr id="109" name="TextBox 108">
          <a:extLst>
            <a:ext uri="{FF2B5EF4-FFF2-40B4-BE49-F238E27FC236}">
              <a16:creationId xmlns:a16="http://schemas.microsoft.com/office/drawing/2014/main" id="{2B87BE4D-B4DC-DFDE-8EC1-F3C66B4CE5A7}"/>
            </a:ext>
          </a:extLst>
        </xdr:cNvPr>
        <xdr:cNvSpPr txBox="1"/>
      </xdr:nvSpPr>
      <xdr:spPr>
        <a:xfrm>
          <a:off x="17145000" y="19763832"/>
          <a:ext cx="228600" cy="209550"/>
        </a:xfrm>
        <a:prstGeom prst="rect">
          <a:avLst/>
        </a:prstGeom>
        <a:solidFill>
          <a:srgbClr val="FFFFFF">
            <a:alpha val="65098"/>
          </a:srgbClr>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ctr"/>
          <a:endParaRPr lang="en-GB" sz="1000" b="0" baseline="0">
            <a:solidFill>
              <a:schemeClr val="tx1"/>
            </a:solidFill>
            <a:latin typeface="+mn-lt"/>
            <a:ea typeface="+mn-ea"/>
            <a:cs typeface="+mn-cs"/>
          </a:endParaRPr>
        </a:p>
      </xdr:txBody>
    </xdr:sp>
    <xdr:clientData fLocksWithSheet="0"/>
  </xdr:twoCellAnchor>
  <xdr:twoCellAnchor>
    <xdr:from>
      <xdr:col>75</xdr:col>
      <xdr:colOff>0</xdr:colOff>
      <xdr:row>129</xdr:row>
      <xdr:rowOff>142663</xdr:rowOff>
    </xdr:from>
    <xdr:to>
      <xdr:col>76</xdr:col>
      <xdr:colOff>0</xdr:colOff>
      <xdr:row>130</xdr:row>
      <xdr:rowOff>142663</xdr:rowOff>
    </xdr:to>
    <xdr:sp macro="" textlink="" fLocksText="0">
      <xdr:nvSpPr>
        <xdr:cNvPr id="110" name="TextBox 109">
          <a:extLst>
            <a:ext uri="{FF2B5EF4-FFF2-40B4-BE49-F238E27FC236}">
              <a16:creationId xmlns:a16="http://schemas.microsoft.com/office/drawing/2014/main" id="{32F59D1D-0150-0F9D-0782-C618C425C6BD}"/>
            </a:ext>
          </a:extLst>
        </xdr:cNvPr>
        <xdr:cNvSpPr txBox="1"/>
      </xdr:nvSpPr>
      <xdr:spPr>
        <a:xfrm>
          <a:off x="17145000" y="19421263"/>
          <a:ext cx="228600" cy="209550"/>
        </a:xfrm>
        <a:prstGeom prst="rect">
          <a:avLst/>
        </a:prstGeom>
        <a:solidFill>
          <a:schemeClr val="tx1">
            <a:alpha val="80000"/>
          </a:schemeClr>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ctr"/>
          <a:endParaRPr lang="en-GB" sz="1000" b="0" baseline="0">
            <a:solidFill>
              <a:schemeClr val="bg1"/>
            </a:solidFill>
            <a:latin typeface="+mn-lt"/>
            <a:ea typeface="+mn-ea"/>
            <a:cs typeface="+mn-cs"/>
          </a:endParaRPr>
        </a:p>
      </xdr:txBody>
    </xdr:sp>
    <xdr:clientData fLocksWithSheet="0"/>
  </xdr:twoCellAnchor>
  <xdr:twoCellAnchor>
    <xdr:from>
      <xdr:col>75</xdr:col>
      <xdr:colOff>0</xdr:colOff>
      <xdr:row>141</xdr:row>
      <xdr:rowOff>22291</xdr:rowOff>
    </xdr:from>
    <xdr:to>
      <xdr:col>76</xdr:col>
      <xdr:colOff>0</xdr:colOff>
      <xdr:row>142</xdr:row>
      <xdr:rowOff>21541</xdr:rowOff>
    </xdr:to>
    <xdr:sp macro="" textlink="" fLocksText="0">
      <xdr:nvSpPr>
        <xdr:cNvPr id="111" name="TextBox 110">
          <a:extLst>
            <a:ext uri="{FF2B5EF4-FFF2-40B4-BE49-F238E27FC236}">
              <a16:creationId xmlns:a16="http://schemas.microsoft.com/office/drawing/2014/main" id="{00E6F5BB-4CF6-4EAF-8AD5-1C92B49DA5E0}"/>
            </a:ext>
          </a:extLst>
        </xdr:cNvPr>
        <xdr:cNvSpPr txBox="1"/>
      </xdr:nvSpPr>
      <xdr:spPr>
        <a:xfrm>
          <a:off x="17145000" y="21815491"/>
          <a:ext cx="228600" cy="208800"/>
        </a:xfrm>
        <a:prstGeom prst="rect">
          <a:avLst/>
        </a:prstGeom>
        <a:solidFill>
          <a:srgbClr val="FFFFFF">
            <a:alpha val="65098"/>
          </a:srgbClr>
        </a:solidFill>
        <a:ln w="6350">
          <a:solidFill>
            <a:srgbClr val="FF66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ctr"/>
          <a:endParaRPr lang="en-GB" sz="1000" b="0" baseline="0">
            <a:solidFill>
              <a:srgbClr val="FF6600"/>
            </a:solidFill>
          </a:endParaRPr>
        </a:p>
      </xdr:txBody>
    </xdr:sp>
    <xdr:clientData fLocksWithSheet="0"/>
  </xdr:twoCellAnchor>
  <xdr:twoCellAnchor>
    <xdr:from>
      <xdr:col>75</xdr:col>
      <xdr:colOff>0</xdr:colOff>
      <xdr:row>139</xdr:row>
      <xdr:rowOff>99573</xdr:rowOff>
    </xdr:from>
    <xdr:to>
      <xdr:col>76</xdr:col>
      <xdr:colOff>0</xdr:colOff>
      <xdr:row>140</xdr:row>
      <xdr:rowOff>98822</xdr:rowOff>
    </xdr:to>
    <xdr:sp macro="" textlink="" fLocksText="0">
      <xdr:nvSpPr>
        <xdr:cNvPr id="112" name="TextBox 111">
          <a:extLst>
            <a:ext uri="{FF2B5EF4-FFF2-40B4-BE49-F238E27FC236}">
              <a16:creationId xmlns:a16="http://schemas.microsoft.com/office/drawing/2014/main" id="{47A21AD6-5610-C6CE-20CC-A19531AE0DC7}"/>
            </a:ext>
          </a:extLst>
        </xdr:cNvPr>
        <xdr:cNvSpPr txBox="1"/>
      </xdr:nvSpPr>
      <xdr:spPr>
        <a:xfrm>
          <a:off x="17145000" y="21473673"/>
          <a:ext cx="228600" cy="208799"/>
        </a:xfrm>
        <a:prstGeom prst="rect">
          <a:avLst/>
        </a:prstGeom>
        <a:solidFill>
          <a:srgbClr val="FFFFFF">
            <a:alpha val="65098"/>
          </a:srgbClr>
        </a:solidFill>
        <a:ln w="6350">
          <a:solidFill>
            <a:srgbClr val="C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ctr"/>
          <a:endParaRPr lang="en-GB" sz="1000" b="0" baseline="0">
            <a:solidFill>
              <a:srgbClr val="C00000"/>
            </a:solidFill>
          </a:endParaRPr>
        </a:p>
      </xdr:txBody>
    </xdr:sp>
    <xdr:clientData fLocksWithSheet="0"/>
  </xdr:twoCellAnchor>
  <xdr:twoCellAnchor>
    <xdr:from>
      <xdr:col>75</xdr:col>
      <xdr:colOff>0</xdr:colOff>
      <xdr:row>142</xdr:row>
      <xdr:rowOff>154560</xdr:rowOff>
    </xdr:from>
    <xdr:to>
      <xdr:col>76</xdr:col>
      <xdr:colOff>0</xdr:colOff>
      <xdr:row>143</xdr:row>
      <xdr:rowOff>153809</xdr:rowOff>
    </xdr:to>
    <xdr:sp macro="" textlink="" fLocksText="0">
      <xdr:nvSpPr>
        <xdr:cNvPr id="113" name="TextBox 112">
          <a:extLst>
            <a:ext uri="{FF2B5EF4-FFF2-40B4-BE49-F238E27FC236}">
              <a16:creationId xmlns:a16="http://schemas.microsoft.com/office/drawing/2014/main" id="{58CD0858-EEA1-4F2B-0288-0DB6FA65688F}"/>
            </a:ext>
          </a:extLst>
        </xdr:cNvPr>
        <xdr:cNvSpPr txBox="1"/>
      </xdr:nvSpPr>
      <xdr:spPr>
        <a:xfrm>
          <a:off x="17145000" y="22157310"/>
          <a:ext cx="228600" cy="208799"/>
        </a:xfrm>
        <a:prstGeom prst="rect">
          <a:avLst/>
        </a:prstGeom>
        <a:solidFill>
          <a:srgbClr val="FFFFFF">
            <a:alpha val="65098"/>
          </a:srgbClr>
        </a:solidFill>
        <a:ln w="6350">
          <a:solidFill>
            <a:srgbClr val="FFC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ctr"/>
          <a:endParaRPr lang="en-GB" sz="1000" b="0" baseline="0">
            <a:solidFill>
              <a:srgbClr val="FFC000"/>
            </a:solidFill>
          </a:endParaRPr>
        </a:p>
      </xdr:txBody>
    </xdr:sp>
    <xdr:clientData fLocksWithSheet="0"/>
  </xdr:twoCellAnchor>
  <xdr:twoCellAnchor>
    <xdr:from>
      <xdr:col>75</xdr:col>
      <xdr:colOff>0</xdr:colOff>
      <xdr:row>132</xdr:row>
      <xdr:rowOff>199151</xdr:rowOff>
    </xdr:from>
    <xdr:to>
      <xdr:col>76</xdr:col>
      <xdr:colOff>0</xdr:colOff>
      <xdr:row>133</xdr:row>
      <xdr:rowOff>198400</xdr:rowOff>
    </xdr:to>
    <xdr:sp macro="" textlink="" fLocksText="0">
      <xdr:nvSpPr>
        <xdr:cNvPr id="114" name="TextBox 113">
          <a:extLst>
            <a:ext uri="{FF2B5EF4-FFF2-40B4-BE49-F238E27FC236}">
              <a16:creationId xmlns:a16="http://schemas.microsoft.com/office/drawing/2014/main" id="{A04C6215-EC58-98E6-4948-1BB11F27D4AC}"/>
            </a:ext>
          </a:extLst>
        </xdr:cNvPr>
        <xdr:cNvSpPr txBox="1"/>
      </xdr:nvSpPr>
      <xdr:spPr>
        <a:xfrm>
          <a:off x="17145000" y="20106401"/>
          <a:ext cx="228600" cy="208799"/>
        </a:xfrm>
        <a:prstGeom prst="rect">
          <a:avLst/>
        </a:prstGeom>
        <a:solidFill>
          <a:srgbClr val="FFFFFF">
            <a:alpha val="65098"/>
          </a:srgbClr>
        </a:solidFill>
        <a:ln w="6350">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ctr"/>
          <a:endParaRPr lang="en-GB" sz="1000" b="0">
            <a:solidFill>
              <a:srgbClr val="0070C0"/>
            </a:solidFill>
            <a:latin typeface="+mn-lt"/>
            <a:ea typeface="+mn-ea"/>
            <a:cs typeface="+mn-cs"/>
          </a:endParaRPr>
        </a:p>
      </xdr:txBody>
    </xdr:sp>
    <xdr:clientData fLocksWithSheet="0"/>
  </xdr:twoCellAnchor>
  <xdr:twoCellAnchor>
    <xdr:from>
      <xdr:col>75</xdr:col>
      <xdr:colOff>0</xdr:colOff>
      <xdr:row>146</xdr:row>
      <xdr:rowOff>0</xdr:rowOff>
    </xdr:from>
    <xdr:to>
      <xdr:col>76</xdr:col>
      <xdr:colOff>0</xdr:colOff>
      <xdr:row>146</xdr:row>
      <xdr:rowOff>208799</xdr:rowOff>
    </xdr:to>
    <xdr:sp macro="" textlink="" fLocksText="0">
      <xdr:nvSpPr>
        <xdr:cNvPr id="115" name="TextBox 114">
          <a:extLst>
            <a:ext uri="{FF2B5EF4-FFF2-40B4-BE49-F238E27FC236}">
              <a16:creationId xmlns:a16="http://schemas.microsoft.com/office/drawing/2014/main" id="{DAEA7790-2D23-BC8F-026D-BC12D57C85CB}"/>
            </a:ext>
          </a:extLst>
        </xdr:cNvPr>
        <xdr:cNvSpPr txBox="1"/>
      </xdr:nvSpPr>
      <xdr:spPr>
        <a:xfrm>
          <a:off x="17145000" y="22840950"/>
          <a:ext cx="228600" cy="208799"/>
        </a:xfrm>
        <a:prstGeom prst="rect">
          <a:avLst/>
        </a:prstGeom>
        <a:solidFill>
          <a:srgbClr val="FFFFFF">
            <a:alpha val="65098"/>
          </a:srgbClr>
        </a:solidFill>
        <a:ln w="6350">
          <a:solidFill>
            <a:srgbClr val="00B0F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ctr"/>
          <a:endParaRPr lang="en-GB" sz="1000" b="0" baseline="0">
            <a:solidFill>
              <a:srgbClr val="00B0F0"/>
            </a:solidFill>
            <a:latin typeface="+mn-lt"/>
            <a:ea typeface="+mn-ea"/>
            <a:cs typeface="+mn-cs"/>
          </a:endParaRPr>
        </a:p>
      </xdr:txBody>
    </xdr:sp>
    <xdr:clientData fLocksWithSheet="0"/>
  </xdr:twoCellAnchor>
  <xdr:twoCellAnchor>
    <xdr:from>
      <xdr:col>75</xdr:col>
      <xdr:colOff>0</xdr:colOff>
      <xdr:row>134</xdr:row>
      <xdr:rowOff>121869</xdr:rowOff>
    </xdr:from>
    <xdr:to>
      <xdr:col>76</xdr:col>
      <xdr:colOff>0</xdr:colOff>
      <xdr:row>135</xdr:row>
      <xdr:rowOff>121118</xdr:rowOff>
    </xdr:to>
    <xdr:sp macro="" textlink="" fLocksText="0">
      <xdr:nvSpPr>
        <xdr:cNvPr id="116" name="TextBox 115">
          <a:extLst>
            <a:ext uri="{FF2B5EF4-FFF2-40B4-BE49-F238E27FC236}">
              <a16:creationId xmlns:a16="http://schemas.microsoft.com/office/drawing/2014/main" id="{74B56BB2-BC73-12D4-6ECA-E3A2F7AF0E48}"/>
            </a:ext>
          </a:extLst>
        </xdr:cNvPr>
        <xdr:cNvSpPr txBox="1"/>
      </xdr:nvSpPr>
      <xdr:spPr>
        <a:xfrm>
          <a:off x="17145000" y="20448219"/>
          <a:ext cx="228600" cy="208799"/>
        </a:xfrm>
        <a:prstGeom prst="rect">
          <a:avLst/>
        </a:prstGeom>
        <a:solidFill>
          <a:srgbClr val="FFFFFF">
            <a:alpha val="65098"/>
          </a:srgbClr>
        </a:solidFill>
        <a:ln w="6350">
          <a:solidFill>
            <a:srgbClr val="9900CC"/>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ctr"/>
          <a:endParaRPr lang="en-GB" sz="1000" b="0" baseline="0">
            <a:solidFill>
              <a:srgbClr val="9900CC"/>
            </a:solidFill>
            <a:latin typeface="+mn-lt"/>
            <a:ea typeface="+mn-ea"/>
            <a:cs typeface="+mn-cs"/>
          </a:endParaRPr>
        </a:p>
      </xdr:txBody>
    </xdr:sp>
    <xdr:clientData fLocksWithSheet="0"/>
  </xdr:twoCellAnchor>
  <xdr:twoCellAnchor>
    <xdr:from>
      <xdr:col>75</xdr:col>
      <xdr:colOff>0</xdr:colOff>
      <xdr:row>144</xdr:row>
      <xdr:rowOff>77278</xdr:rowOff>
    </xdr:from>
    <xdr:to>
      <xdr:col>76</xdr:col>
      <xdr:colOff>0</xdr:colOff>
      <xdr:row>145</xdr:row>
      <xdr:rowOff>76527</xdr:rowOff>
    </xdr:to>
    <xdr:sp macro="" textlink="" fLocksText="0">
      <xdr:nvSpPr>
        <xdr:cNvPr id="117" name="TextBox 116">
          <a:extLst>
            <a:ext uri="{FF2B5EF4-FFF2-40B4-BE49-F238E27FC236}">
              <a16:creationId xmlns:a16="http://schemas.microsoft.com/office/drawing/2014/main" id="{EB0AC0A9-F880-8E52-C722-81AB821C4526}"/>
            </a:ext>
          </a:extLst>
        </xdr:cNvPr>
        <xdr:cNvSpPr txBox="1"/>
      </xdr:nvSpPr>
      <xdr:spPr>
        <a:xfrm>
          <a:off x="17145000" y="22499128"/>
          <a:ext cx="228600" cy="208799"/>
        </a:xfrm>
        <a:prstGeom prst="rect">
          <a:avLst/>
        </a:prstGeom>
        <a:solidFill>
          <a:srgbClr val="FFFFFF">
            <a:alpha val="65098"/>
          </a:srgbClr>
        </a:solidFill>
        <a:ln w="6350">
          <a:solidFill>
            <a:srgbClr val="00B05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ctr"/>
          <a:endParaRPr lang="en-GB" sz="1000" b="0" baseline="0">
            <a:solidFill>
              <a:srgbClr val="00B050"/>
            </a:solidFill>
          </a:endParaRPr>
        </a:p>
      </xdr:txBody>
    </xdr:sp>
    <xdr:clientData fLocksWithSheet="0"/>
  </xdr:twoCellAnchor>
  <xdr:twoCellAnchor>
    <xdr:from>
      <xdr:col>75</xdr:col>
      <xdr:colOff>0</xdr:colOff>
      <xdr:row>137</xdr:row>
      <xdr:rowOff>176855</xdr:rowOff>
    </xdr:from>
    <xdr:to>
      <xdr:col>76</xdr:col>
      <xdr:colOff>0</xdr:colOff>
      <xdr:row>138</xdr:row>
      <xdr:rowOff>176104</xdr:rowOff>
    </xdr:to>
    <xdr:sp macro="" textlink="" fLocksText="0">
      <xdr:nvSpPr>
        <xdr:cNvPr id="118" name="TextBox 117">
          <a:extLst>
            <a:ext uri="{FF2B5EF4-FFF2-40B4-BE49-F238E27FC236}">
              <a16:creationId xmlns:a16="http://schemas.microsoft.com/office/drawing/2014/main" id="{AFDCC2E7-B961-E3E9-70AC-7073067F2E99}"/>
            </a:ext>
          </a:extLst>
        </xdr:cNvPr>
        <xdr:cNvSpPr txBox="1"/>
      </xdr:nvSpPr>
      <xdr:spPr>
        <a:xfrm>
          <a:off x="17145000" y="21131855"/>
          <a:ext cx="228600" cy="208799"/>
        </a:xfrm>
        <a:prstGeom prst="rect">
          <a:avLst/>
        </a:prstGeom>
        <a:solidFill>
          <a:srgbClr val="FFFFFF">
            <a:alpha val="65098"/>
          </a:srgbClr>
        </a:solidFill>
        <a:ln w="6350">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ctr"/>
          <a:endParaRPr lang="en-GB" sz="1000" b="0" baseline="0">
            <a:solidFill>
              <a:srgbClr val="FF0000"/>
            </a:solidFill>
            <a:latin typeface="+mn-lt"/>
            <a:ea typeface="+mn-ea"/>
            <a:cs typeface="+mn-cs"/>
          </a:endParaRPr>
        </a:p>
      </xdr:txBody>
    </xdr:sp>
    <xdr:clientData fLocksWithSheet="0"/>
  </xdr:twoCellAnchor>
  <xdr:twoCellAnchor>
    <xdr:from>
      <xdr:col>75</xdr:col>
      <xdr:colOff>0</xdr:colOff>
      <xdr:row>136</xdr:row>
      <xdr:rowOff>44587</xdr:rowOff>
    </xdr:from>
    <xdr:to>
      <xdr:col>76</xdr:col>
      <xdr:colOff>0</xdr:colOff>
      <xdr:row>137</xdr:row>
      <xdr:rowOff>43836</xdr:rowOff>
    </xdr:to>
    <xdr:sp macro="" textlink="" fLocksText="0">
      <xdr:nvSpPr>
        <xdr:cNvPr id="119" name="TextBox 118">
          <a:extLst>
            <a:ext uri="{FF2B5EF4-FFF2-40B4-BE49-F238E27FC236}">
              <a16:creationId xmlns:a16="http://schemas.microsoft.com/office/drawing/2014/main" id="{7A069BEA-B36A-471E-7FFF-C276EA1A59B2}"/>
            </a:ext>
          </a:extLst>
        </xdr:cNvPr>
        <xdr:cNvSpPr txBox="1"/>
      </xdr:nvSpPr>
      <xdr:spPr>
        <a:xfrm>
          <a:off x="17145000" y="20790037"/>
          <a:ext cx="228600" cy="208799"/>
        </a:xfrm>
        <a:prstGeom prst="rect">
          <a:avLst/>
        </a:prstGeom>
        <a:solidFill>
          <a:srgbClr val="FFFFFF">
            <a:alpha val="65098"/>
          </a:srgbClr>
        </a:solidFill>
        <a:ln w="6350">
          <a:solidFill>
            <a:srgbClr val="FF00FF"/>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ctr"/>
          <a:endParaRPr lang="en-GB" sz="1000" b="0" baseline="0">
            <a:solidFill>
              <a:srgbClr val="FF00FF"/>
            </a:solidFill>
          </a:endParaRPr>
        </a:p>
      </xdr:txBody>
    </xdr:sp>
    <xdr:clientData fLocksWithSheet="0"/>
  </xdr:twoCellAnchor>
  <xdr:twoCellAnchor>
    <xdr:from>
      <xdr:col>75</xdr:col>
      <xdr:colOff>0</xdr:colOff>
      <xdr:row>119</xdr:row>
      <xdr:rowOff>187254</xdr:rowOff>
    </xdr:from>
    <xdr:to>
      <xdr:col>76</xdr:col>
      <xdr:colOff>0</xdr:colOff>
      <xdr:row>120</xdr:row>
      <xdr:rowOff>186504</xdr:rowOff>
    </xdr:to>
    <xdr:sp macro="" textlink="" fLocksText="0">
      <xdr:nvSpPr>
        <xdr:cNvPr id="120" name="TextBox 119">
          <a:extLst>
            <a:ext uri="{FF2B5EF4-FFF2-40B4-BE49-F238E27FC236}">
              <a16:creationId xmlns:a16="http://schemas.microsoft.com/office/drawing/2014/main" id="{C02F2F8F-F164-FD41-88AC-7B56B945B0FB}"/>
            </a:ext>
          </a:extLst>
        </xdr:cNvPr>
        <xdr:cNvSpPr txBox="1"/>
      </xdr:nvSpPr>
      <xdr:spPr>
        <a:xfrm>
          <a:off x="17145000" y="17370354"/>
          <a:ext cx="228600" cy="208800"/>
        </a:xfrm>
        <a:prstGeom prst="rect">
          <a:avLst/>
        </a:prstGeom>
        <a:solidFill>
          <a:srgbClr val="FF6600">
            <a:alpha val="80000"/>
          </a:srgbClr>
        </a:solidFill>
        <a:ln w="6350">
          <a:solidFill>
            <a:srgbClr val="FF66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ctr"/>
          <a:endParaRPr lang="en-GB" sz="1000" b="0" baseline="0">
            <a:solidFill>
              <a:schemeClr val="bg1"/>
            </a:solidFill>
          </a:endParaRPr>
        </a:p>
      </xdr:txBody>
    </xdr:sp>
    <xdr:clientData fLocksWithSheet="0"/>
  </xdr:twoCellAnchor>
  <xdr:twoCellAnchor>
    <xdr:from>
      <xdr:col>75</xdr:col>
      <xdr:colOff>0</xdr:colOff>
      <xdr:row>121</xdr:row>
      <xdr:rowOff>109973</xdr:rowOff>
    </xdr:from>
    <xdr:to>
      <xdr:col>76</xdr:col>
      <xdr:colOff>0</xdr:colOff>
      <xdr:row>122</xdr:row>
      <xdr:rowOff>109222</xdr:rowOff>
    </xdr:to>
    <xdr:sp macro="" textlink="" fLocksText="0">
      <xdr:nvSpPr>
        <xdr:cNvPr id="121" name="TextBox 120">
          <a:extLst>
            <a:ext uri="{FF2B5EF4-FFF2-40B4-BE49-F238E27FC236}">
              <a16:creationId xmlns:a16="http://schemas.microsoft.com/office/drawing/2014/main" id="{96CE670B-F194-2199-F86B-972F595B9CB1}"/>
            </a:ext>
          </a:extLst>
        </xdr:cNvPr>
        <xdr:cNvSpPr txBox="1"/>
      </xdr:nvSpPr>
      <xdr:spPr>
        <a:xfrm>
          <a:off x="17145000" y="17712173"/>
          <a:ext cx="228600" cy="208799"/>
        </a:xfrm>
        <a:prstGeom prst="rect">
          <a:avLst/>
        </a:prstGeom>
        <a:solidFill>
          <a:srgbClr val="C00000">
            <a:alpha val="80000"/>
          </a:srgbClr>
        </a:solidFill>
        <a:ln w="6350">
          <a:solidFill>
            <a:srgbClr val="C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ctr"/>
          <a:endParaRPr lang="en-GB" sz="1000" b="0" baseline="0">
            <a:solidFill>
              <a:schemeClr val="bg1"/>
            </a:solidFill>
          </a:endParaRPr>
        </a:p>
      </xdr:txBody>
    </xdr:sp>
    <xdr:clientData fLocksWithSheet="0"/>
  </xdr:twoCellAnchor>
  <xdr:twoCellAnchor>
    <xdr:from>
      <xdr:col>75</xdr:col>
      <xdr:colOff>0</xdr:colOff>
      <xdr:row>118</xdr:row>
      <xdr:rowOff>54986</xdr:rowOff>
    </xdr:from>
    <xdr:to>
      <xdr:col>76</xdr:col>
      <xdr:colOff>0</xdr:colOff>
      <xdr:row>119</xdr:row>
      <xdr:rowOff>54235</xdr:rowOff>
    </xdr:to>
    <xdr:sp macro="" textlink="" fLocksText="0">
      <xdr:nvSpPr>
        <xdr:cNvPr id="122" name="TextBox 121">
          <a:extLst>
            <a:ext uri="{FF2B5EF4-FFF2-40B4-BE49-F238E27FC236}">
              <a16:creationId xmlns:a16="http://schemas.microsoft.com/office/drawing/2014/main" id="{87C46A62-F852-2F81-0EA3-A757D08E65EC}"/>
            </a:ext>
          </a:extLst>
        </xdr:cNvPr>
        <xdr:cNvSpPr txBox="1"/>
      </xdr:nvSpPr>
      <xdr:spPr>
        <a:xfrm>
          <a:off x="17145000" y="17028536"/>
          <a:ext cx="228600" cy="208799"/>
        </a:xfrm>
        <a:prstGeom prst="rect">
          <a:avLst/>
        </a:prstGeom>
        <a:solidFill>
          <a:srgbClr val="FFC000">
            <a:alpha val="80000"/>
          </a:srgbClr>
        </a:solidFill>
        <a:ln w="6350">
          <a:solidFill>
            <a:srgbClr val="FFC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ctr"/>
          <a:endParaRPr lang="en-GB" sz="1000" b="0" baseline="0">
            <a:solidFill>
              <a:schemeClr val="bg1"/>
            </a:solidFill>
          </a:endParaRPr>
        </a:p>
      </xdr:txBody>
    </xdr:sp>
    <xdr:clientData fLocksWithSheet="0"/>
  </xdr:twoCellAnchor>
  <xdr:twoCellAnchor>
    <xdr:from>
      <xdr:col>75</xdr:col>
      <xdr:colOff>0</xdr:colOff>
      <xdr:row>128</xdr:row>
      <xdr:rowOff>10395</xdr:rowOff>
    </xdr:from>
    <xdr:to>
      <xdr:col>76</xdr:col>
      <xdr:colOff>0</xdr:colOff>
      <xdr:row>129</xdr:row>
      <xdr:rowOff>9644</xdr:rowOff>
    </xdr:to>
    <xdr:sp macro="" textlink="" fLocksText="0">
      <xdr:nvSpPr>
        <xdr:cNvPr id="123" name="TextBox 122">
          <a:extLst>
            <a:ext uri="{FF2B5EF4-FFF2-40B4-BE49-F238E27FC236}">
              <a16:creationId xmlns:a16="http://schemas.microsoft.com/office/drawing/2014/main" id="{9B83A7D3-3A06-B744-2DCC-3A4DC27AD3BA}"/>
            </a:ext>
          </a:extLst>
        </xdr:cNvPr>
        <xdr:cNvSpPr txBox="1"/>
      </xdr:nvSpPr>
      <xdr:spPr>
        <a:xfrm>
          <a:off x="17145000" y="19079445"/>
          <a:ext cx="228600" cy="208799"/>
        </a:xfrm>
        <a:prstGeom prst="rect">
          <a:avLst/>
        </a:prstGeom>
        <a:solidFill>
          <a:srgbClr val="0070C0">
            <a:alpha val="80000"/>
          </a:srgbClr>
        </a:solidFill>
        <a:ln w="6350">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ctr"/>
          <a:endParaRPr lang="en-GB" sz="1000" b="0">
            <a:solidFill>
              <a:schemeClr val="bg1"/>
            </a:solidFill>
            <a:latin typeface="+mn-lt"/>
            <a:ea typeface="+mn-ea"/>
            <a:cs typeface="+mn-cs"/>
          </a:endParaRPr>
        </a:p>
      </xdr:txBody>
    </xdr:sp>
    <xdr:clientData fLocksWithSheet="0"/>
  </xdr:twoCellAnchor>
  <xdr:twoCellAnchor>
    <xdr:from>
      <xdr:col>75</xdr:col>
      <xdr:colOff>0</xdr:colOff>
      <xdr:row>115</xdr:row>
      <xdr:rowOff>0</xdr:rowOff>
    </xdr:from>
    <xdr:to>
      <xdr:col>76</xdr:col>
      <xdr:colOff>0</xdr:colOff>
      <xdr:row>115</xdr:row>
      <xdr:rowOff>208799</xdr:rowOff>
    </xdr:to>
    <xdr:sp macro="" textlink="" fLocksText="0">
      <xdr:nvSpPr>
        <xdr:cNvPr id="124" name="TextBox 123">
          <a:extLst>
            <a:ext uri="{FF2B5EF4-FFF2-40B4-BE49-F238E27FC236}">
              <a16:creationId xmlns:a16="http://schemas.microsoft.com/office/drawing/2014/main" id="{89DD27C3-5E44-67C6-FB34-67D7C6177A79}"/>
            </a:ext>
          </a:extLst>
        </xdr:cNvPr>
        <xdr:cNvSpPr txBox="1"/>
      </xdr:nvSpPr>
      <xdr:spPr>
        <a:xfrm>
          <a:off x="17145000" y="16344900"/>
          <a:ext cx="228600" cy="208799"/>
        </a:xfrm>
        <a:prstGeom prst="rect">
          <a:avLst/>
        </a:prstGeom>
        <a:solidFill>
          <a:srgbClr val="00B0F0">
            <a:alpha val="80000"/>
          </a:srgbClr>
        </a:solidFill>
        <a:ln w="6350">
          <a:solidFill>
            <a:srgbClr val="00B0F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ctr"/>
          <a:endParaRPr lang="en-GB" sz="1000" b="0" baseline="0">
            <a:solidFill>
              <a:schemeClr val="bg1"/>
            </a:solidFill>
            <a:latin typeface="+mn-lt"/>
            <a:ea typeface="+mn-ea"/>
            <a:cs typeface="+mn-cs"/>
          </a:endParaRPr>
        </a:p>
      </xdr:txBody>
    </xdr:sp>
    <xdr:clientData fLocksWithSheet="0"/>
  </xdr:twoCellAnchor>
  <xdr:twoCellAnchor>
    <xdr:from>
      <xdr:col>75</xdr:col>
      <xdr:colOff>0</xdr:colOff>
      <xdr:row>126</xdr:row>
      <xdr:rowOff>87677</xdr:rowOff>
    </xdr:from>
    <xdr:to>
      <xdr:col>76</xdr:col>
      <xdr:colOff>0</xdr:colOff>
      <xdr:row>127</xdr:row>
      <xdr:rowOff>86926</xdr:rowOff>
    </xdr:to>
    <xdr:sp macro="" textlink="" fLocksText="0">
      <xdr:nvSpPr>
        <xdr:cNvPr id="125" name="TextBox 124">
          <a:extLst>
            <a:ext uri="{FF2B5EF4-FFF2-40B4-BE49-F238E27FC236}">
              <a16:creationId xmlns:a16="http://schemas.microsoft.com/office/drawing/2014/main" id="{F5BF8F50-E3CC-D2A5-AB4E-BA5BA6F7BFF9}"/>
            </a:ext>
          </a:extLst>
        </xdr:cNvPr>
        <xdr:cNvSpPr txBox="1"/>
      </xdr:nvSpPr>
      <xdr:spPr>
        <a:xfrm>
          <a:off x="17145000" y="18737627"/>
          <a:ext cx="228600" cy="208799"/>
        </a:xfrm>
        <a:prstGeom prst="rect">
          <a:avLst/>
        </a:prstGeom>
        <a:solidFill>
          <a:srgbClr val="9900CC">
            <a:alpha val="80000"/>
          </a:srgbClr>
        </a:solidFill>
        <a:ln w="6350">
          <a:solidFill>
            <a:srgbClr val="9900CC"/>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ctr"/>
          <a:endParaRPr lang="en-GB" sz="1000" b="0" baseline="0">
            <a:solidFill>
              <a:schemeClr val="bg1"/>
            </a:solidFill>
            <a:latin typeface="+mn-lt"/>
            <a:ea typeface="+mn-ea"/>
            <a:cs typeface="+mn-cs"/>
          </a:endParaRPr>
        </a:p>
      </xdr:txBody>
    </xdr:sp>
    <xdr:clientData fLocksWithSheet="0"/>
  </xdr:twoCellAnchor>
  <xdr:twoCellAnchor>
    <xdr:from>
      <xdr:col>75</xdr:col>
      <xdr:colOff>0</xdr:colOff>
      <xdr:row>116</xdr:row>
      <xdr:rowOff>132268</xdr:rowOff>
    </xdr:from>
    <xdr:to>
      <xdr:col>76</xdr:col>
      <xdr:colOff>0</xdr:colOff>
      <xdr:row>117</xdr:row>
      <xdr:rowOff>131517</xdr:rowOff>
    </xdr:to>
    <xdr:sp macro="" textlink="" fLocksText="0">
      <xdr:nvSpPr>
        <xdr:cNvPr id="126" name="TextBox 125">
          <a:extLst>
            <a:ext uri="{FF2B5EF4-FFF2-40B4-BE49-F238E27FC236}">
              <a16:creationId xmlns:a16="http://schemas.microsoft.com/office/drawing/2014/main" id="{A492668B-C907-EB25-E81D-5B60AA2E15DC}"/>
            </a:ext>
          </a:extLst>
        </xdr:cNvPr>
        <xdr:cNvSpPr txBox="1"/>
      </xdr:nvSpPr>
      <xdr:spPr>
        <a:xfrm>
          <a:off x="17145000" y="16686718"/>
          <a:ext cx="228600" cy="208799"/>
        </a:xfrm>
        <a:prstGeom prst="rect">
          <a:avLst/>
        </a:prstGeom>
        <a:solidFill>
          <a:srgbClr val="00B050">
            <a:alpha val="80000"/>
          </a:srgbClr>
        </a:solidFill>
        <a:ln w="6350">
          <a:solidFill>
            <a:srgbClr val="00B05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ctr"/>
          <a:endParaRPr lang="en-GB" sz="1000" b="0" baseline="0">
            <a:solidFill>
              <a:schemeClr val="bg1"/>
            </a:solidFill>
          </a:endParaRPr>
        </a:p>
      </xdr:txBody>
    </xdr:sp>
    <xdr:clientData fLocksWithSheet="0"/>
  </xdr:twoCellAnchor>
  <xdr:twoCellAnchor>
    <xdr:from>
      <xdr:col>75</xdr:col>
      <xdr:colOff>0</xdr:colOff>
      <xdr:row>123</xdr:row>
      <xdr:rowOff>32691</xdr:rowOff>
    </xdr:from>
    <xdr:to>
      <xdr:col>76</xdr:col>
      <xdr:colOff>0</xdr:colOff>
      <xdr:row>124</xdr:row>
      <xdr:rowOff>31940</xdr:rowOff>
    </xdr:to>
    <xdr:sp macro="" textlink="" fLocksText="0">
      <xdr:nvSpPr>
        <xdr:cNvPr id="127" name="TextBox 126">
          <a:extLst>
            <a:ext uri="{FF2B5EF4-FFF2-40B4-BE49-F238E27FC236}">
              <a16:creationId xmlns:a16="http://schemas.microsoft.com/office/drawing/2014/main" id="{1D40ECB0-E54E-E063-4F3F-1C4BD9379E0D}"/>
            </a:ext>
          </a:extLst>
        </xdr:cNvPr>
        <xdr:cNvSpPr txBox="1"/>
      </xdr:nvSpPr>
      <xdr:spPr>
        <a:xfrm>
          <a:off x="17145000" y="18053991"/>
          <a:ext cx="228600" cy="208799"/>
        </a:xfrm>
        <a:prstGeom prst="rect">
          <a:avLst/>
        </a:prstGeom>
        <a:solidFill>
          <a:srgbClr val="FF0000">
            <a:alpha val="80000"/>
          </a:srgbClr>
        </a:solidFill>
        <a:ln w="6350">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ctr"/>
          <a:endParaRPr lang="en-GB" sz="1000" b="0" baseline="0">
            <a:solidFill>
              <a:schemeClr val="bg1"/>
            </a:solidFill>
            <a:latin typeface="+mn-lt"/>
            <a:ea typeface="+mn-ea"/>
            <a:cs typeface="+mn-cs"/>
          </a:endParaRPr>
        </a:p>
      </xdr:txBody>
    </xdr:sp>
    <xdr:clientData fLocksWithSheet="0"/>
  </xdr:twoCellAnchor>
  <xdr:twoCellAnchor>
    <xdr:from>
      <xdr:col>75</xdr:col>
      <xdr:colOff>0</xdr:colOff>
      <xdr:row>124</xdr:row>
      <xdr:rowOff>164959</xdr:rowOff>
    </xdr:from>
    <xdr:to>
      <xdr:col>76</xdr:col>
      <xdr:colOff>0</xdr:colOff>
      <xdr:row>125</xdr:row>
      <xdr:rowOff>164208</xdr:rowOff>
    </xdr:to>
    <xdr:sp macro="" textlink="" fLocksText="0">
      <xdr:nvSpPr>
        <xdr:cNvPr id="128" name="TextBox 127">
          <a:extLst>
            <a:ext uri="{FF2B5EF4-FFF2-40B4-BE49-F238E27FC236}">
              <a16:creationId xmlns:a16="http://schemas.microsoft.com/office/drawing/2014/main" id="{8C6E8FD2-6A44-5F33-6DC8-F1FE95A3AA1A}"/>
            </a:ext>
          </a:extLst>
        </xdr:cNvPr>
        <xdr:cNvSpPr txBox="1"/>
      </xdr:nvSpPr>
      <xdr:spPr>
        <a:xfrm>
          <a:off x="17145000" y="18395809"/>
          <a:ext cx="228600" cy="208799"/>
        </a:xfrm>
        <a:prstGeom prst="rect">
          <a:avLst/>
        </a:prstGeom>
        <a:solidFill>
          <a:srgbClr val="FF25FF">
            <a:alpha val="80000"/>
          </a:srgbClr>
        </a:solidFill>
        <a:ln w="6350">
          <a:solidFill>
            <a:srgbClr val="FF00FF"/>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ctr"/>
          <a:endParaRPr lang="en-GB" sz="1000" b="0" baseline="0">
            <a:solidFill>
              <a:schemeClr val="bg1"/>
            </a:solidFill>
          </a:endParaRPr>
        </a:p>
      </xdr:txBody>
    </xdr:sp>
    <xdr:clientData fLocksWithSheet="0"/>
  </xdr:twoCellAnchor>
  <xdr:twoCellAnchor>
    <xdr:from>
      <xdr:col>75</xdr:col>
      <xdr:colOff>0</xdr:colOff>
      <xdr:row>78</xdr:row>
      <xdr:rowOff>0</xdr:rowOff>
    </xdr:from>
    <xdr:to>
      <xdr:col>76</xdr:col>
      <xdr:colOff>0</xdr:colOff>
      <xdr:row>109</xdr:row>
      <xdr:rowOff>208799</xdr:rowOff>
    </xdr:to>
    <xdr:grpSp>
      <xdr:nvGrpSpPr>
        <xdr:cNvPr id="2" name="Group 1">
          <a:extLst>
            <a:ext uri="{FF2B5EF4-FFF2-40B4-BE49-F238E27FC236}">
              <a16:creationId xmlns:a16="http://schemas.microsoft.com/office/drawing/2014/main" id="{F872F622-A5DF-4CAC-8E5A-A2AE0AE414AD}"/>
            </a:ext>
          </a:extLst>
        </xdr:cNvPr>
        <xdr:cNvGrpSpPr/>
      </xdr:nvGrpSpPr>
      <xdr:grpSpPr>
        <a:xfrm>
          <a:off x="17145000" y="16344900"/>
          <a:ext cx="228600" cy="6704849"/>
          <a:chOff x="17145000" y="8591550"/>
          <a:chExt cx="228600" cy="6704849"/>
        </a:xfrm>
      </xdr:grpSpPr>
      <xdr:sp macro="" textlink="">
        <xdr:nvSpPr>
          <xdr:cNvPr id="3" name="TextBox 2">
            <a:extLst>
              <a:ext uri="{FF2B5EF4-FFF2-40B4-BE49-F238E27FC236}">
                <a16:creationId xmlns:a16="http://schemas.microsoft.com/office/drawing/2014/main" id="{202F6614-B26E-7B16-7C88-6C5D84CB8017}"/>
              </a:ext>
            </a:extLst>
          </xdr:cNvPr>
          <xdr:cNvSpPr txBox="1"/>
        </xdr:nvSpPr>
        <xdr:spPr>
          <a:xfrm>
            <a:off x="17145000" y="12010482"/>
            <a:ext cx="228600" cy="209550"/>
          </a:xfrm>
          <a:prstGeom prst="rect">
            <a:avLst/>
          </a:prstGeom>
          <a:solidFill>
            <a:schemeClr val="bg1">
              <a:alpha val="80000"/>
            </a:schemeClr>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tx1"/>
              </a:solidFill>
              <a:latin typeface="+mn-lt"/>
              <a:ea typeface="+mn-ea"/>
              <a:cs typeface="+mn-cs"/>
            </a:endParaRPr>
          </a:p>
        </xdr:txBody>
      </xdr:sp>
      <xdr:sp macro="" textlink="">
        <xdr:nvSpPr>
          <xdr:cNvPr id="4" name="TextBox 3">
            <a:extLst>
              <a:ext uri="{FF2B5EF4-FFF2-40B4-BE49-F238E27FC236}">
                <a16:creationId xmlns:a16="http://schemas.microsoft.com/office/drawing/2014/main" id="{B6FEF0B4-4340-70FA-8C4F-AC0C18E87E15}"/>
              </a:ext>
            </a:extLst>
          </xdr:cNvPr>
          <xdr:cNvSpPr txBox="1"/>
        </xdr:nvSpPr>
        <xdr:spPr>
          <a:xfrm>
            <a:off x="17145000" y="11667913"/>
            <a:ext cx="228600" cy="209550"/>
          </a:xfrm>
          <a:prstGeom prst="rect">
            <a:avLst/>
          </a:prstGeom>
          <a:solidFill>
            <a:schemeClr val="tx1">
              <a:alpha val="80000"/>
            </a:schemeClr>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sp macro="" textlink="">
        <xdr:nvSpPr>
          <xdr:cNvPr id="5" name="TextBox 4">
            <a:extLst>
              <a:ext uri="{FF2B5EF4-FFF2-40B4-BE49-F238E27FC236}">
                <a16:creationId xmlns:a16="http://schemas.microsoft.com/office/drawing/2014/main" id="{047E4438-8F55-8E32-6D4F-295DEEA75766}"/>
              </a:ext>
            </a:extLst>
          </xdr:cNvPr>
          <xdr:cNvSpPr txBox="1"/>
        </xdr:nvSpPr>
        <xdr:spPr>
          <a:xfrm>
            <a:off x="17145000" y="14062141"/>
            <a:ext cx="228600" cy="208800"/>
          </a:xfrm>
          <a:prstGeom prst="rect">
            <a:avLst/>
          </a:prstGeom>
          <a:solidFill>
            <a:schemeClr val="bg1">
              <a:alpha val="80000"/>
            </a:schemeClr>
          </a:solidFill>
          <a:ln w="6350">
            <a:solidFill>
              <a:srgbClr val="FF66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FF6600"/>
              </a:solidFill>
            </a:endParaRPr>
          </a:p>
        </xdr:txBody>
      </xdr:sp>
      <xdr:sp macro="" textlink="">
        <xdr:nvSpPr>
          <xdr:cNvPr id="6" name="TextBox 5">
            <a:extLst>
              <a:ext uri="{FF2B5EF4-FFF2-40B4-BE49-F238E27FC236}">
                <a16:creationId xmlns:a16="http://schemas.microsoft.com/office/drawing/2014/main" id="{A3320FAD-6DF2-441E-7E3B-62217BEFDD1F}"/>
              </a:ext>
            </a:extLst>
          </xdr:cNvPr>
          <xdr:cNvSpPr txBox="1"/>
        </xdr:nvSpPr>
        <xdr:spPr>
          <a:xfrm>
            <a:off x="17145000" y="13720323"/>
            <a:ext cx="228600" cy="208799"/>
          </a:xfrm>
          <a:prstGeom prst="rect">
            <a:avLst/>
          </a:prstGeom>
          <a:solidFill>
            <a:schemeClr val="bg1">
              <a:alpha val="80000"/>
            </a:schemeClr>
          </a:solidFill>
          <a:ln w="6350">
            <a:solidFill>
              <a:srgbClr val="C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C00000"/>
              </a:solidFill>
            </a:endParaRPr>
          </a:p>
        </xdr:txBody>
      </xdr:sp>
      <xdr:sp macro="" textlink="">
        <xdr:nvSpPr>
          <xdr:cNvPr id="7" name="TextBox 6">
            <a:extLst>
              <a:ext uri="{FF2B5EF4-FFF2-40B4-BE49-F238E27FC236}">
                <a16:creationId xmlns:a16="http://schemas.microsoft.com/office/drawing/2014/main" id="{00638A73-4912-5ECB-8F93-BBD69E1805E4}"/>
              </a:ext>
            </a:extLst>
          </xdr:cNvPr>
          <xdr:cNvSpPr txBox="1"/>
        </xdr:nvSpPr>
        <xdr:spPr>
          <a:xfrm>
            <a:off x="17145000" y="14403960"/>
            <a:ext cx="228600" cy="208799"/>
          </a:xfrm>
          <a:prstGeom prst="rect">
            <a:avLst/>
          </a:prstGeom>
          <a:solidFill>
            <a:schemeClr val="bg1">
              <a:alpha val="80000"/>
            </a:schemeClr>
          </a:solidFill>
          <a:ln w="6350">
            <a:solidFill>
              <a:srgbClr val="FFC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FFC000"/>
              </a:solidFill>
            </a:endParaRPr>
          </a:p>
        </xdr:txBody>
      </xdr:sp>
      <xdr:sp macro="" textlink="">
        <xdr:nvSpPr>
          <xdr:cNvPr id="8" name="TextBox 7">
            <a:extLst>
              <a:ext uri="{FF2B5EF4-FFF2-40B4-BE49-F238E27FC236}">
                <a16:creationId xmlns:a16="http://schemas.microsoft.com/office/drawing/2014/main" id="{7180C832-2D7E-A33B-6E5B-EFFB16E1B475}"/>
              </a:ext>
            </a:extLst>
          </xdr:cNvPr>
          <xdr:cNvSpPr txBox="1"/>
        </xdr:nvSpPr>
        <xdr:spPr>
          <a:xfrm>
            <a:off x="17145000" y="12353051"/>
            <a:ext cx="228600" cy="208799"/>
          </a:xfrm>
          <a:prstGeom prst="rect">
            <a:avLst/>
          </a:prstGeom>
          <a:solidFill>
            <a:schemeClr val="bg1">
              <a:alpha val="80000"/>
            </a:schemeClr>
          </a:solidFill>
          <a:ln w="6350">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a:solidFill>
                <a:srgbClr val="0070C0"/>
              </a:solidFill>
              <a:latin typeface="+mn-lt"/>
              <a:ea typeface="+mn-ea"/>
              <a:cs typeface="+mn-cs"/>
            </a:endParaRPr>
          </a:p>
        </xdr:txBody>
      </xdr:sp>
      <xdr:sp macro="" textlink="">
        <xdr:nvSpPr>
          <xdr:cNvPr id="9" name="TextBox 8">
            <a:extLst>
              <a:ext uri="{FF2B5EF4-FFF2-40B4-BE49-F238E27FC236}">
                <a16:creationId xmlns:a16="http://schemas.microsoft.com/office/drawing/2014/main" id="{4AC366CC-3D74-C286-8DF2-8345865C4658}"/>
              </a:ext>
            </a:extLst>
          </xdr:cNvPr>
          <xdr:cNvSpPr txBox="1"/>
        </xdr:nvSpPr>
        <xdr:spPr>
          <a:xfrm>
            <a:off x="17145000" y="15087600"/>
            <a:ext cx="228600" cy="208799"/>
          </a:xfrm>
          <a:prstGeom prst="rect">
            <a:avLst/>
          </a:prstGeom>
          <a:solidFill>
            <a:schemeClr val="bg1">
              <a:alpha val="80000"/>
            </a:schemeClr>
          </a:solidFill>
          <a:ln w="6350">
            <a:solidFill>
              <a:srgbClr val="00B0F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rgbClr val="00B0F0"/>
              </a:solidFill>
              <a:latin typeface="+mn-lt"/>
              <a:ea typeface="+mn-ea"/>
              <a:cs typeface="+mn-cs"/>
            </a:endParaRPr>
          </a:p>
        </xdr:txBody>
      </xdr:sp>
      <xdr:sp macro="" textlink="">
        <xdr:nvSpPr>
          <xdr:cNvPr id="10" name="TextBox 9">
            <a:extLst>
              <a:ext uri="{FF2B5EF4-FFF2-40B4-BE49-F238E27FC236}">
                <a16:creationId xmlns:a16="http://schemas.microsoft.com/office/drawing/2014/main" id="{F71DB94D-45C2-D9F3-EC80-BE101638F7CA}"/>
              </a:ext>
            </a:extLst>
          </xdr:cNvPr>
          <xdr:cNvSpPr txBox="1"/>
        </xdr:nvSpPr>
        <xdr:spPr>
          <a:xfrm>
            <a:off x="17145000" y="12694869"/>
            <a:ext cx="228600" cy="208799"/>
          </a:xfrm>
          <a:prstGeom prst="rect">
            <a:avLst/>
          </a:prstGeom>
          <a:solidFill>
            <a:schemeClr val="bg1">
              <a:alpha val="80000"/>
            </a:schemeClr>
          </a:solidFill>
          <a:ln w="6350">
            <a:solidFill>
              <a:srgbClr val="9900CC"/>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rgbClr val="9900CC"/>
              </a:solidFill>
              <a:latin typeface="+mn-lt"/>
              <a:ea typeface="+mn-ea"/>
              <a:cs typeface="+mn-cs"/>
            </a:endParaRPr>
          </a:p>
        </xdr:txBody>
      </xdr:sp>
      <xdr:sp macro="" textlink="">
        <xdr:nvSpPr>
          <xdr:cNvPr id="11" name="TextBox 10">
            <a:extLst>
              <a:ext uri="{FF2B5EF4-FFF2-40B4-BE49-F238E27FC236}">
                <a16:creationId xmlns:a16="http://schemas.microsoft.com/office/drawing/2014/main" id="{CC648CE4-3D19-2ED3-46B1-7186B40A29D1}"/>
              </a:ext>
            </a:extLst>
          </xdr:cNvPr>
          <xdr:cNvSpPr txBox="1"/>
        </xdr:nvSpPr>
        <xdr:spPr>
          <a:xfrm>
            <a:off x="17145000" y="14745778"/>
            <a:ext cx="228600" cy="208799"/>
          </a:xfrm>
          <a:prstGeom prst="rect">
            <a:avLst/>
          </a:prstGeom>
          <a:solidFill>
            <a:schemeClr val="bg1">
              <a:alpha val="80000"/>
            </a:schemeClr>
          </a:solidFill>
          <a:ln w="6350">
            <a:solidFill>
              <a:srgbClr val="00B05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00B050"/>
              </a:solidFill>
            </a:endParaRPr>
          </a:p>
        </xdr:txBody>
      </xdr:sp>
      <xdr:sp macro="" textlink="">
        <xdr:nvSpPr>
          <xdr:cNvPr id="12" name="TextBox 11">
            <a:extLst>
              <a:ext uri="{FF2B5EF4-FFF2-40B4-BE49-F238E27FC236}">
                <a16:creationId xmlns:a16="http://schemas.microsoft.com/office/drawing/2014/main" id="{875C634B-D1B6-2920-E356-0BBE8B79CB1A}"/>
              </a:ext>
            </a:extLst>
          </xdr:cNvPr>
          <xdr:cNvSpPr txBox="1"/>
        </xdr:nvSpPr>
        <xdr:spPr>
          <a:xfrm>
            <a:off x="17145000" y="13378505"/>
            <a:ext cx="228600" cy="208799"/>
          </a:xfrm>
          <a:prstGeom prst="rect">
            <a:avLst/>
          </a:prstGeom>
          <a:solidFill>
            <a:schemeClr val="bg1">
              <a:alpha val="80000"/>
            </a:schemeClr>
          </a:solidFill>
          <a:ln w="6350">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rgbClr val="FF0000"/>
              </a:solidFill>
              <a:latin typeface="+mn-lt"/>
              <a:ea typeface="+mn-ea"/>
              <a:cs typeface="+mn-cs"/>
            </a:endParaRPr>
          </a:p>
        </xdr:txBody>
      </xdr:sp>
      <xdr:sp macro="" textlink="">
        <xdr:nvSpPr>
          <xdr:cNvPr id="13" name="TextBox 12">
            <a:extLst>
              <a:ext uri="{FF2B5EF4-FFF2-40B4-BE49-F238E27FC236}">
                <a16:creationId xmlns:a16="http://schemas.microsoft.com/office/drawing/2014/main" id="{212DD07A-F3D0-30CF-E1C7-83D2FD215FBB}"/>
              </a:ext>
            </a:extLst>
          </xdr:cNvPr>
          <xdr:cNvSpPr txBox="1"/>
        </xdr:nvSpPr>
        <xdr:spPr>
          <a:xfrm>
            <a:off x="17145000" y="13036687"/>
            <a:ext cx="228600" cy="208799"/>
          </a:xfrm>
          <a:prstGeom prst="rect">
            <a:avLst/>
          </a:prstGeom>
          <a:solidFill>
            <a:schemeClr val="bg1">
              <a:alpha val="80000"/>
            </a:schemeClr>
          </a:solidFill>
          <a:ln w="6350">
            <a:solidFill>
              <a:srgbClr val="FF00FF"/>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FF00FF"/>
              </a:solidFill>
            </a:endParaRPr>
          </a:p>
        </xdr:txBody>
      </xdr:sp>
      <xdr:sp macro="" textlink="">
        <xdr:nvSpPr>
          <xdr:cNvPr id="14" name="TextBox 13">
            <a:extLst>
              <a:ext uri="{FF2B5EF4-FFF2-40B4-BE49-F238E27FC236}">
                <a16:creationId xmlns:a16="http://schemas.microsoft.com/office/drawing/2014/main" id="{8E7708F8-F1E5-BC07-A4C4-93F03EB9545E}"/>
              </a:ext>
            </a:extLst>
          </xdr:cNvPr>
          <xdr:cNvSpPr txBox="1"/>
        </xdr:nvSpPr>
        <xdr:spPr>
          <a:xfrm>
            <a:off x="17145000" y="9617004"/>
            <a:ext cx="228600" cy="208800"/>
          </a:xfrm>
          <a:prstGeom prst="rect">
            <a:avLst/>
          </a:prstGeom>
          <a:solidFill>
            <a:srgbClr val="FF6600">
              <a:alpha val="80000"/>
            </a:srgbClr>
          </a:solidFill>
          <a:ln w="6350">
            <a:solidFill>
              <a:srgbClr val="FF66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sp macro="" textlink="">
        <xdr:nvSpPr>
          <xdr:cNvPr id="15" name="TextBox 14">
            <a:extLst>
              <a:ext uri="{FF2B5EF4-FFF2-40B4-BE49-F238E27FC236}">
                <a16:creationId xmlns:a16="http://schemas.microsoft.com/office/drawing/2014/main" id="{9D5E9B85-6386-D19E-FB22-372EDDBF2286}"/>
              </a:ext>
            </a:extLst>
          </xdr:cNvPr>
          <xdr:cNvSpPr txBox="1"/>
        </xdr:nvSpPr>
        <xdr:spPr>
          <a:xfrm>
            <a:off x="17145000" y="9958823"/>
            <a:ext cx="228600" cy="208799"/>
          </a:xfrm>
          <a:prstGeom prst="rect">
            <a:avLst/>
          </a:prstGeom>
          <a:solidFill>
            <a:srgbClr val="C00000">
              <a:alpha val="80000"/>
            </a:srgbClr>
          </a:solidFill>
          <a:ln w="6350">
            <a:solidFill>
              <a:srgbClr val="C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sp macro="" textlink="">
        <xdr:nvSpPr>
          <xdr:cNvPr id="16" name="TextBox 15">
            <a:extLst>
              <a:ext uri="{FF2B5EF4-FFF2-40B4-BE49-F238E27FC236}">
                <a16:creationId xmlns:a16="http://schemas.microsoft.com/office/drawing/2014/main" id="{0655E163-A1AC-DA20-89A0-BFD0CD25FE9B}"/>
              </a:ext>
            </a:extLst>
          </xdr:cNvPr>
          <xdr:cNvSpPr txBox="1"/>
        </xdr:nvSpPr>
        <xdr:spPr>
          <a:xfrm>
            <a:off x="17145000" y="9275186"/>
            <a:ext cx="228600" cy="208799"/>
          </a:xfrm>
          <a:prstGeom prst="rect">
            <a:avLst/>
          </a:prstGeom>
          <a:solidFill>
            <a:srgbClr val="FFC000">
              <a:alpha val="80000"/>
            </a:srgbClr>
          </a:solidFill>
          <a:ln w="6350">
            <a:solidFill>
              <a:srgbClr val="FFC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sp macro="" textlink="">
        <xdr:nvSpPr>
          <xdr:cNvPr id="17" name="TextBox 16">
            <a:extLst>
              <a:ext uri="{FF2B5EF4-FFF2-40B4-BE49-F238E27FC236}">
                <a16:creationId xmlns:a16="http://schemas.microsoft.com/office/drawing/2014/main" id="{7B135FD2-6493-B9DE-5C97-B5FE57EE7260}"/>
              </a:ext>
            </a:extLst>
          </xdr:cNvPr>
          <xdr:cNvSpPr txBox="1"/>
        </xdr:nvSpPr>
        <xdr:spPr>
          <a:xfrm>
            <a:off x="17145000" y="11326095"/>
            <a:ext cx="228600" cy="208799"/>
          </a:xfrm>
          <a:prstGeom prst="rect">
            <a:avLst/>
          </a:prstGeom>
          <a:solidFill>
            <a:srgbClr val="0070C0">
              <a:alpha val="80000"/>
            </a:srgbClr>
          </a:solidFill>
          <a:ln w="6350">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a:solidFill>
                <a:schemeClr val="bg1"/>
              </a:solidFill>
              <a:latin typeface="+mn-lt"/>
              <a:ea typeface="+mn-ea"/>
              <a:cs typeface="+mn-cs"/>
            </a:endParaRPr>
          </a:p>
        </xdr:txBody>
      </xdr:sp>
      <xdr:sp macro="" textlink="">
        <xdr:nvSpPr>
          <xdr:cNvPr id="18" name="TextBox 17">
            <a:extLst>
              <a:ext uri="{FF2B5EF4-FFF2-40B4-BE49-F238E27FC236}">
                <a16:creationId xmlns:a16="http://schemas.microsoft.com/office/drawing/2014/main" id="{6274C447-42E1-A591-F296-85872431DE4B}"/>
              </a:ext>
            </a:extLst>
          </xdr:cNvPr>
          <xdr:cNvSpPr txBox="1"/>
        </xdr:nvSpPr>
        <xdr:spPr>
          <a:xfrm>
            <a:off x="17145000" y="8591550"/>
            <a:ext cx="228600" cy="208799"/>
          </a:xfrm>
          <a:prstGeom prst="rect">
            <a:avLst/>
          </a:prstGeom>
          <a:solidFill>
            <a:srgbClr val="00B0F0">
              <a:alpha val="80000"/>
            </a:srgbClr>
          </a:solidFill>
          <a:ln w="6350">
            <a:solidFill>
              <a:srgbClr val="00B0F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sp macro="" textlink="">
        <xdr:nvSpPr>
          <xdr:cNvPr id="19" name="TextBox 18">
            <a:extLst>
              <a:ext uri="{FF2B5EF4-FFF2-40B4-BE49-F238E27FC236}">
                <a16:creationId xmlns:a16="http://schemas.microsoft.com/office/drawing/2014/main" id="{9A191410-185C-0E64-3BD4-7C9A77BDF71A}"/>
              </a:ext>
            </a:extLst>
          </xdr:cNvPr>
          <xdr:cNvSpPr txBox="1"/>
        </xdr:nvSpPr>
        <xdr:spPr>
          <a:xfrm>
            <a:off x="17145000" y="10984277"/>
            <a:ext cx="228600" cy="208799"/>
          </a:xfrm>
          <a:prstGeom prst="rect">
            <a:avLst/>
          </a:prstGeom>
          <a:solidFill>
            <a:srgbClr val="9900CC">
              <a:alpha val="80000"/>
            </a:srgbClr>
          </a:solidFill>
          <a:ln w="6350">
            <a:solidFill>
              <a:srgbClr val="9900CC"/>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sp macro="" textlink="">
        <xdr:nvSpPr>
          <xdr:cNvPr id="20" name="TextBox 19">
            <a:extLst>
              <a:ext uri="{FF2B5EF4-FFF2-40B4-BE49-F238E27FC236}">
                <a16:creationId xmlns:a16="http://schemas.microsoft.com/office/drawing/2014/main" id="{645188AD-FC06-B37B-5831-31CA5CC4D42A}"/>
              </a:ext>
            </a:extLst>
          </xdr:cNvPr>
          <xdr:cNvSpPr txBox="1"/>
        </xdr:nvSpPr>
        <xdr:spPr>
          <a:xfrm>
            <a:off x="17145000" y="8933368"/>
            <a:ext cx="228600" cy="208799"/>
          </a:xfrm>
          <a:prstGeom prst="rect">
            <a:avLst/>
          </a:prstGeom>
          <a:solidFill>
            <a:srgbClr val="00B050">
              <a:alpha val="80000"/>
            </a:srgbClr>
          </a:solidFill>
          <a:ln w="6350">
            <a:solidFill>
              <a:srgbClr val="00B05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sp macro="" textlink="">
        <xdr:nvSpPr>
          <xdr:cNvPr id="21" name="TextBox 20">
            <a:extLst>
              <a:ext uri="{FF2B5EF4-FFF2-40B4-BE49-F238E27FC236}">
                <a16:creationId xmlns:a16="http://schemas.microsoft.com/office/drawing/2014/main" id="{E27F9482-AE93-1ECA-0957-42C9937774B6}"/>
              </a:ext>
            </a:extLst>
          </xdr:cNvPr>
          <xdr:cNvSpPr txBox="1"/>
        </xdr:nvSpPr>
        <xdr:spPr>
          <a:xfrm>
            <a:off x="17145000" y="10300641"/>
            <a:ext cx="228600" cy="208799"/>
          </a:xfrm>
          <a:prstGeom prst="rect">
            <a:avLst/>
          </a:prstGeom>
          <a:solidFill>
            <a:srgbClr val="FF0000">
              <a:alpha val="80000"/>
            </a:srgbClr>
          </a:solidFill>
          <a:ln w="6350">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sp macro="" textlink="">
        <xdr:nvSpPr>
          <xdr:cNvPr id="24" name="TextBox 23">
            <a:extLst>
              <a:ext uri="{FF2B5EF4-FFF2-40B4-BE49-F238E27FC236}">
                <a16:creationId xmlns:a16="http://schemas.microsoft.com/office/drawing/2014/main" id="{388175BF-396B-21AC-DA0D-4E411FD10198}"/>
              </a:ext>
            </a:extLst>
          </xdr:cNvPr>
          <xdr:cNvSpPr txBox="1"/>
        </xdr:nvSpPr>
        <xdr:spPr>
          <a:xfrm>
            <a:off x="17145000" y="10642459"/>
            <a:ext cx="228600" cy="208799"/>
          </a:xfrm>
          <a:prstGeom prst="rect">
            <a:avLst/>
          </a:prstGeom>
          <a:solidFill>
            <a:srgbClr val="FF25FF">
              <a:alpha val="80000"/>
            </a:srgbClr>
          </a:solidFill>
          <a:ln w="6350">
            <a:solidFill>
              <a:srgbClr val="FF00FF"/>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grpSp>
    <xdr:clientData/>
  </xdr:twoCellAnchor>
  <xdr:twoCellAnchor>
    <xdr:from>
      <xdr:col>75</xdr:col>
      <xdr:colOff>0</xdr:colOff>
      <xdr:row>78</xdr:row>
      <xdr:rowOff>0</xdr:rowOff>
    </xdr:from>
    <xdr:to>
      <xdr:col>76</xdr:col>
      <xdr:colOff>0</xdr:colOff>
      <xdr:row>109</xdr:row>
      <xdr:rowOff>208799</xdr:rowOff>
    </xdr:to>
    <xdr:grpSp>
      <xdr:nvGrpSpPr>
        <xdr:cNvPr id="25" name="Group 24">
          <a:extLst>
            <a:ext uri="{FF2B5EF4-FFF2-40B4-BE49-F238E27FC236}">
              <a16:creationId xmlns:a16="http://schemas.microsoft.com/office/drawing/2014/main" id="{CB168E67-0E04-4C4B-A1A9-BBAF1F50DD03}"/>
            </a:ext>
          </a:extLst>
        </xdr:cNvPr>
        <xdr:cNvGrpSpPr/>
      </xdr:nvGrpSpPr>
      <xdr:grpSpPr>
        <a:xfrm>
          <a:off x="17145000" y="16344900"/>
          <a:ext cx="228600" cy="6704849"/>
          <a:chOff x="17145000" y="628650"/>
          <a:chExt cx="228600" cy="6704849"/>
        </a:xfrm>
      </xdr:grpSpPr>
      <xdr:sp macro="" textlink="">
        <xdr:nvSpPr>
          <xdr:cNvPr id="26" name="TextBox 25">
            <a:extLst>
              <a:ext uri="{FF2B5EF4-FFF2-40B4-BE49-F238E27FC236}">
                <a16:creationId xmlns:a16="http://schemas.microsoft.com/office/drawing/2014/main" id="{4ACBDC6B-E8A6-1742-24C3-8A1FDBCC6610}"/>
              </a:ext>
            </a:extLst>
          </xdr:cNvPr>
          <xdr:cNvSpPr txBox="1"/>
        </xdr:nvSpPr>
        <xdr:spPr>
          <a:xfrm>
            <a:off x="17145000" y="4047582"/>
            <a:ext cx="228600" cy="20955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sp macro="" textlink="">
        <xdr:nvSpPr>
          <xdr:cNvPr id="27" name="TextBox 26">
            <a:extLst>
              <a:ext uri="{FF2B5EF4-FFF2-40B4-BE49-F238E27FC236}">
                <a16:creationId xmlns:a16="http://schemas.microsoft.com/office/drawing/2014/main" id="{8C386DF9-9253-BC4C-1B9A-4CBC7DFA70B7}"/>
              </a:ext>
            </a:extLst>
          </xdr:cNvPr>
          <xdr:cNvSpPr txBox="1"/>
        </xdr:nvSpPr>
        <xdr:spPr>
          <a:xfrm>
            <a:off x="17145000" y="3705013"/>
            <a:ext cx="228600" cy="20955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sp macro="" textlink="">
        <xdr:nvSpPr>
          <xdr:cNvPr id="28" name="TextBox 27">
            <a:extLst>
              <a:ext uri="{FF2B5EF4-FFF2-40B4-BE49-F238E27FC236}">
                <a16:creationId xmlns:a16="http://schemas.microsoft.com/office/drawing/2014/main" id="{1AFC47CD-6A94-7BB9-85FE-EAF29368CCE4}"/>
              </a:ext>
            </a:extLst>
          </xdr:cNvPr>
          <xdr:cNvSpPr txBox="1"/>
        </xdr:nvSpPr>
        <xdr:spPr>
          <a:xfrm>
            <a:off x="17145000" y="6099241"/>
            <a:ext cx="228600" cy="208800"/>
          </a:xfrm>
          <a:prstGeom prst="rect">
            <a:avLst/>
          </a:prstGeom>
          <a:solidFill>
            <a:schemeClr val="tx1">
              <a:alpha val="30000"/>
            </a:schemeClr>
          </a:solidFill>
          <a:ln w="6350">
            <a:solidFill>
              <a:srgbClr val="FF66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FF6600"/>
              </a:solidFill>
            </a:endParaRPr>
          </a:p>
        </xdr:txBody>
      </xdr:sp>
      <xdr:sp macro="" textlink="">
        <xdr:nvSpPr>
          <xdr:cNvPr id="29" name="TextBox 28">
            <a:extLst>
              <a:ext uri="{FF2B5EF4-FFF2-40B4-BE49-F238E27FC236}">
                <a16:creationId xmlns:a16="http://schemas.microsoft.com/office/drawing/2014/main" id="{7626FB1F-C937-D050-377E-131B741887A5}"/>
              </a:ext>
            </a:extLst>
          </xdr:cNvPr>
          <xdr:cNvSpPr txBox="1"/>
        </xdr:nvSpPr>
        <xdr:spPr>
          <a:xfrm>
            <a:off x="17145000" y="5757423"/>
            <a:ext cx="228600" cy="208799"/>
          </a:xfrm>
          <a:prstGeom prst="rect">
            <a:avLst/>
          </a:prstGeom>
          <a:solidFill>
            <a:schemeClr val="tx1">
              <a:alpha val="30000"/>
            </a:schemeClr>
          </a:solidFill>
          <a:ln w="6350">
            <a:solidFill>
              <a:srgbClr val="C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C00000"/>
              </a:solidFill>
            </a:endParaRPr>
          </a:p>
        </xdr:txBody>
      </xdr:sp>
      <xdr:sp macro="" textlink="">
        <xdr:nvSpPr>
          <xdr:cNvPr id="30" name="TextBox 29">
            <a:extLst>
              <a:ext uri="{FF2B5EF4-FFF2-40B4-BE49-F238E27FC236}">
                <a16:creationId xmlns:a16="http://schemas.microsoft.com/office/drawing/2014/main" id="{F7BDA3E8-9B4B-B04B-63A7-DBB399FD1752}"/>
              </a:ext>
            </a:extLst>
          </xdr:cNvPr>
          <xdr:cNvSpPr txBox="1"/>
        </xdr:nvSpPr>
        <xdr:spPr>
          <a:xfrm>
            <a:off x="17145000" y="6441060"/>
            <a:ext cx="228600" cy="208799"/>
          </a:xfrm>
          <a:prstGeom prst="rect">
            <a:avLst/>
          </a:prstGeom>
          <a:solidFill>
            <a:schemeClr val="tx1">
              <a:alpha val="30000"/>
            </a:schemeClr>
          </a:solidFill>
          <a:ln w="6350">
            <a:solidFill>
              <a:srgbClr val="FFC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FFC000"/>
              </a:solidFill>
            </a:endParaRPr>
          </a:p>
        </xdr:txBody>
      </xdr:sp>
      <xdr:sp macro="" textlink="">
        <xdr:nvSpPr>
          <xdr:cNvPr id="31" name="TextBox 30">
            <a:extLst>
              <a:ext uri="{FF2B5EF4-FFF2-40B4-BE49-F238E27FC236}">
                <a16:creationId xmlns:a16="http://schemas.microsoft.com/office/drawing/2014/main" id="{E0200F8E-1335-D493-0650-9156179A47AA}"/>
              </a:ext>
            </a:extLst>
          </xdr:cNvPr>
          <xdr:cNvSpPr txBox="1"/>
        </xdr:nvSpPr>
        <xdr:spPr>
          <a:xfrm>
            <a:off x="17145000" y="4390151"/>
            <a:ext cx="228600" cy="208799"/>
          </a:xfrm>
          <a:prstGeom prst="rect">
            <a:avLst/>
          </a:prstGeom>
          <a:solidFill>
            <a:schemeClr val="tx1">
              <a:alpha val="30000"/>
            </a:schemeClr>
          </a:solidFill>
          <a:ln w="6350">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a:solidFill>
                <a:srgbClr val="0070C0"/>
              </a:solidFill>
              <a:latin typeface="+mn-lt"/>
              <a:ea typeface="+mn-ea"/>
              <a:cs typeface="+mn-cs"/>
            </a:endParaRPr>
          </a:p>
        </xdr:txBody>
      </xdr:sp>
      <xdr:sp macro="" textlink="">
        <xdr:nvSpPr>
          <xdr:cNvPr id="32" name="TextBox 31">
            <a:extLst>
              <a:ext uri="{FF2B5EF4-FFF2-40B4-BE49-F238E27FC236}">
                <a16:creationId xmlns:a16="http://schemas.microsoft.com/office/drawing/2014/main" id="{F53CD371-F0A8-1133-7B53-03816D81331F}"/>
              </a:ext>
            </a:extLst>
          </xdr:cNvPr>
          <xdr:cNvSpPr txBox="1"/>
        </xdr:nvSpPr>
        <xdr:spPr>
          <a:xfrm>
            <a:off x="17145000" y="7124700"/>
            <a:ext cx="228600" cy="208799"/>
          </a:xfrm>
          <a:prstGeom prst="rect">
            <a:avLst/>
          </a:prstGeom>
          <a:solidFill>
            <a:schemeClr val="tx1">
              <a:alpha val="30000"/>
            </a:schemeClr>
          </a:solidFill>
          <a:ln w="6350">
            <a:solidFill>
              <a:srgbClr val="00B0F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rgbClr val="00B0F0"/>
              </a:solidFill>
              <a:latin typeface="+mn-lt"/>
              <a:ea typeface="+mn-ea"/>
              <a:cs typeface="+mn-cs"/>
            </a:endParaRPr>
          </a:p>
        </xdr:txBody>
      </xdr:sp>
      <xdr:sp macro="" textlink="">
        <xdr:nvSpPr>
          <xdr:cNvPr id="33" name="TextBox 32">
            <a:extLst>
              <a:ext uri="{FF2B5EF4-FFF2-40B4-BE49-F238E27FC236}">
                <a16:creationId xmlns:a16="http://schemas.microsoft.com/office/drawing/2014/main" id="{7BD49290-596F-9BD1-88BE-6C78D2E12046}"/>
              </a:ext>
            </a:extLst>
          </xdr:cNvPr>
          <xdr:cNvSpPr txBox="1"/>
        </xdr:nvSpPr>
        <xdr:spPr>
          <a:xfrm>
            <a:off x="17145000" y="4731969"/>
            <a:ext cx="228600" cy="208799"/>
          </a:xfrm>
          <a:prstGeom prst="rect">
            <a:avLst/>
          </a:prstGeom>
          <a:solidFill>
            <a:schemeClr val="tx1">
              <a:alpha val="30000"/>
            </a:schemeClr>
          </a:solidFill>
          <a:ln w="6350">
            <a:solidFill>
              <a:srgbClr val="9900CC"/>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rgbClr val="9900CC"/>
              </a:solidFill>
              <a:latin typeface="+mn-lt"/>
              <a:ea typeface="+mn-ea"/>
              <a:cs typeface="+mn-cs"/>
            </a:endParaRPr>
          </a:p>
        </xdr:txBody>
      </xdr:sp>
      <xdr:sp macro="" textlink="">
        <xdr:nvSpPr>
          <xdr:cNvPr id="34" name="TextBox 33">
            <a:extLst>
              <a:ext uri="{FF2B5EF4-FFF2-40B4-BE49-F238E27FC236}">
                <a16:creationId xmlns:a16="http://schemas.microsoft.com/office/drawing/2014/main" id="{65CBF562-D515-6945-4D3C-428AAD4E45C2}"/>
              </a:ext>
            </a:extLst>
          </xdr:cNvPr>
          <xdr:cNvSpPr txBox="1"/>
        </xdr:nvSpPr>
        <xdr:spPr>
          <a:xfrm>
            <a:off x="17145000" y="6782878"/>
            <a:ext cx="228600" cy="208799"/>
          </a:xfrm>
          <a:prstGeom prst="rect">
            <a:avLst/>
          </a:prstGeom>
          <a:solidFill>
            <a:schemeClr val="tx1">
              <a:alpha val="30000"/>
            </a:schemeClr>
          </a:solidFill>
          <a:ln w="6350">
            <a:solidFill>
              <a:srgbClr val="00B05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00B050"/>
              </a:solidFill>
            </a:endParaRPr>
          </a:p>
        </xdr:txBody>
      </xdr:sp>
      <xdr:sp macro="" textlink="">
        <xdr:nvSpPr>
          <xdr:cNvPr id="35" name="TextBox 34">
            <a:extLst>
              <a:ext uri="{FF2B5EF4-FFF2-40B4-BE49-F238E27FC236}">
                <a16:creationId xmlns:a16="http://schemas.microsoft.com/office/drawing/2014/main" id="{972D02C0-F988-0058-94EC-376ADA475720}"/>
              </a:ext>
            </a:extLst>
          </xdr:cNvPr>
          <xdr:cNvSpPr txBox="1"/>
        </xdr:nvSpPr>
        <xdr:spPr>
          <a:xfrm>
            <a:off x="17145000" y="5415605"/>
            <a:ext cx="228600" cy="208799"/>
          </a:xfrm>
          <a:prstGeom prst="rect">
            <a:avLst/>
          </a:prstGeom>
          <a:solidFill>
            <a:schemeClr val="tx1">
              <a:alpha val="30000"/>
            </a:schemeClr>
          </a:solidFill>
          <a:ln w="6350">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rgbClr val="FF0000"/>
              </a:solidFill>
              <a:latin typeface="+mn-lt"/>
              <a:ea typeface="+mn-ea"/>
              <a:cs typeface="+mn-cs"/>
            </a:endParaRPr>
          </a:p>
        </xdr:txBody>
      </xdr:sp>
      <xdr:sp macro="" textlink="">
        <xdr:nvSpPr>
          <xdr:cNvPr id="36" name="TextBox 35">
            <a:extLst>
              <a:ext uri="{FF2B5EF4-FFF2-40B4-BE49-F238E27FC236}">
                <a16:creationId xmlns:a16="http://schemas.microsoft.com/office/drawing/2014/main" id="{1BA7332A-E21A-2CFA-037C-B3B35080D9ED}"/>
              </a:ext>
            </a:extLst>
          </xdr:cNvPr>
          <xdr:cNvSpPr txBox="1"/>
        </xdr:nvSpPr>
        <xdr:spPr>
          <a:xfrm>
            <a:off x="17145000" y="5073787"/>
            <a:ext cx="228600" cy="208799"/>
          </a:xfrm>
          <a:prstGeom prst="rect">
            <a:avLst/>
          </a:prstGeom>
          <a:solidFill>
            <a:schemeClr val="tx1">
              <a:alpha val="30000"/>
            </a:schemeClr>
          </a:solidFill>
          <a:ln w="6350">
            <a:solidFill>
              <a:srgbClr val="FF00FF"/>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FF00FF"/>
              </a:solidFill>
            </a:endParaRPr>
          </a:p>
        </xdr:txBody>
      </xdr:sp>
      <xdr:sp macro="" textlink="">
        <xdr:nvSpPr>
          <xdr:cNvPr id="37" name="TextBox 36">
            <a:extLst>
              <a:ext uri="{FF2B5EF4-FFF2-40B4-BE49-F238E27FC236}">
                <a16:creationId xmlns:a16="http://schemas.microsoft.com/office/drawing/2014/main" id="{E1306DF6-61FB-1740-1189-00920C8A9C5F}"/>
              </a:ext>
            </a:extLst>
          </xdr:cNvPr>
          <xdr:cNvSpPr txBox="1"/>
        </xdr:nvSpPr>
        <xdr:spPr>
          <a:xfrm>
            <a:off x="17145000" y="1654104"/>
            <a:ext cx="228600" cy="208800"/>
          </a:xfrm>
          <a:prstGeom prst="rect">
            <a:avLst/>
          </a:prstGeom>
          <a:solidFill>
            <a:srgbClr val="FF6600">
              <a:alpha val="30000"/>
            </a:srgbClr>
          </a:solidFill>
          <a:ln w="6350">
            <a:solidFill>
              <a:srgbClr val="FF66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sp macro="" textlink="">
        <xdr:nvSpPr>
          <xdr:cNvPr id="38" name="TextBox 37">
            <a:extLst>
              <a:ext uri="{FF2B5EF4-FFF2-40B4-BE49-F238E27FC236}">
                <a16:creationId xmlns:a16="http://schemas.microsoft.com/office/drawing/2014/main" id="{C079A019-ED06-12D9-6B36-386EA4C0F1E3}"/>
              </a:ext>
            </a:extLst>
          </xdr:cNvPr>
          <xdr:cNvSpPr txBox="1"/>
        </xdr:nvSpPr>
        <xdr:spPr>
          <a:xfrm>
            <a:off x="17145000" y="1995923"/>
            <a:ext cx="228600" cy="208799"/>
          </a:xfrm>
          <a:prstGeom prst="rect">
            <a:avLst/>
          </a:prstGeom>
          <a:solidFill>
            <a:srgbClr val="C00000">
              <a:alpha val="30000"/>
            </a:srgbClr>
          </a:solidFill>
          <a:ln w="6350">
            <a:solidFill>
              <a:srgbClr val="C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sp macro="" textlink="">
        <xdr:nvSpPr>
          <xdr:cNvPr id="39" name="TextBox 38">
            <a:extLst>
              <a:ext uri="{FF2B5EF4-FFF2-40B4-BE49-F238E27FC236}">
                <a16:creationId xmlns:a16="http://schemas.microsoft.com/office/drawing/2014/main" id="{8ECAD761-4CBC-072C-93A2-F6B1A68F29EB}"/>
              </a:ext>
            </a:extLst>
          </xdr:cNvPr>
          <xdr:cNvSpPr txBox="1"/>
        </xdr:nvSpPr>
        <xdr:spPr>
          <a:xfrm>
            <a:off x="17145000" y="1312286"/>
            <a:ext cx="228600" cy="208799"/>
          </a:xfrm>
          <a:prstGeom prst="rect">
            <a:avLst/>
          </a:prstGeom>
          <a:solidFill>
            <a:srgbClr val="FFC000">
              <a:alpha val="30000"/>
            </a:srgbClr>
          </a:solidFill>
          <a:ln w="6350">
            <a:solidFill>
              <a:srgbClr val="FFC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sp macro="" textlink="">
        <xdr:nvSpPr>
          <xdr:cNvPr id="40" name="TextBox 39">
            <a:extLst>
              <a:ext uri="{FF2B5EF4-FFF2-40B4-BE49-F238E27FC236}">
                <a16:creationId xmlns:a16="http://schemas.microsoft.com/office/drawing/2014/main" id="{F3D63497-C7B5-7930-5351-570BADDCB36C}"/>
              </a:ext>
            </a:extLst>
          </xdr:cNvPr>
          <xdr:cNvSpPr txBox="1"/>
        </xdr:nvSpPr>
        <xdr:spPr>
          <a:xfrm>
            <a:off x="17145000" y="3363195"/>
            <a:ext cx="228600" cy="208799"/>
          </a:xfrm>
          <a:prstGeom prst="rect">
            <a:avLst/>
          </a:prstGeom>
          <a:solidFill>
            <a:srgbClr val="0070C0">
              <a:alpha val="30000"/>
            </a:srgbClr>
          </a:solidFill>
          <a:ln w="6350">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a:solidFill>
                <a:schemeClr val="bg1"/>
              </a:solidFill>
              <a:latin typeface="+mn-lt"/>
              <a:ea typeface="+mn-ea"/>
              <a:cs typeface="+mn-cs"/>
            </a:endParaRPr>
          </a:p>
        </xdr:txBody>
      </xdr:sp>
      <xdr:sp macro="" textlink="">
        <xdr:nvSpPr>
          <xdr:cNvPr id="41" name="TextBox 40">
            <a:extLst>
              <a:ext uri="{FF2B5EF4-FFF2-40B4-BE49-F238E27FC236}">
                <a16:creationId xmlns:a16="http://schemas.microsoft.com/office/drawing/2014/main" id="{22F539C0-553C-A329-B894-9F160B8729A6}"/>
              </a:ext>
            </a:extLst>
          </xdr:cNvPr>
          <xdr:cNvSpPr txBox="1"/>
        </xdr:nvSpPr>
        <xdr:spPr>
          <a:xfrm>
            <a:off x="17145000" y="628650"/>
            <a:ext cx="228600" cy="208799"/>
          </a:xfrm>
          <a:prstGeom prst="rect">
            <a:avLst/>
          </a:prstGeom>
          <a:solidFill>
            <a:srgbClr val="00B0F0">
              <a:alpha val="30000"/>
            </a:srgbClr>
          </a:solidFill>
          <a:ln w="6350">
            <a:solidFill>
              <a:srgbClr val="00B0F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sp macro="" textlink="">
        <xdr:nvSpPr>
          <xdr:cNvPr id="42" name="TextBox 41">
            <a:extLst>
              <a:ext uri="{FF2B5EF4-FFF2-40B4-BE49-F238E27FC236}">
                <a16:creationId xmlns:a16="http://schemas.microsoft.com/office/drawing/2014/main" id="{2193869E-B013-84BB-1A1A-23D38620E4F1}"/>
              </a:ext>
            </a:extLst>
          </xdr:cNvPr>
          <xdr:cNvSpPr txBox="1"/>
        </xdr:nvSpPr>
        <xdr:spPr>
          <a:xfrm>
            <a:off x="17145000" y="3021377"/>
            <a:ext cx="228600" cy="208799"/>
          </a:xfrm>
          <a:prstGeom prst="rect">
            <a:avLst/>
          </a:prstGeom>
          <a:solidFill>
            <a:srgbClr val="9900CC">
              <a:alpha val="30000"/>
            </a:srgbClr>
          </a:solidFill>
          <a:ln w="6350">
            <a:solidFill>
              <a:srgbClr val="9900CC"/>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sp macro="" textlink="">
        <xdr:nvSpPr>
          <xdr:cNvPr id="43" name="TextBox 42">
            <a:extLst>
              <a:ext uri="{FF2B5EF4-FFF2-40B4-BE49-F238E27FC236}">
                <a16:creationId xmlns:a16="http://schemas.microsoft.com/office/drawing/2014/main" id="{81C55449-3B90-D822-072E-CCB5EF22A453}"/>
              </a:ext>
            </a:extLst>
          </xdr:cNvPr>
          <xdr:cNvSpPr txBox="1"/>
        </xdr:nvSpPr>
        <xdr:spPr>
          <a:xfrm>
            <a:off x="17145000" y="970468"/>
            <a:ext cx="228600" cy="208799"/>
          </a:xfrm>
          <a:prstGeom prst="rect">
            <a:avLst/>
          </a:prstGeom>
          <a:solidFill>
            <a:srgbClr val="00B050">
              <a:alpha val="30000"/>
            </a:srgbClr>
          </a:solidFill>
          <a:ln w="6350">
            <a:solidFill>
              <a:srgbClr val="00B05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sp macro="" textlink="">
        <xdr:nvSpPr>
          <xdr:cNvPr id="44" name="TextBox 43">
            <a:extLst>
              <a:ext uri="{FF2B5EF4-FFF2-40B4-BE49-F238E27FC236}">
                <a16:creationId xmlns:a16="http://schemas.microsoft.com/office/drawing/2014/main" id="{3772D416-FF0A-4186-F8D4-31F6EF4E44BC}"/>
              </a:ext>
            </a:extLst>
          </xdr:cNvPr>
          <xdr:cNvSpPr txBox="1"/>
        </xdr:nvSpPr>
        <xdr:spPr>
          <a:xfrm>
            <a:off x="17145000" y="2337741"/>
            <a:ext cx="228600" cy="208799"/>
          </a:xfrm>
          <a:prstGeom prst="rect">
            <a:avLst/>
          </a:prstGeom>
          <a:solidFill>
            <a:srgbClr val="FF0000">
              <a:alpha val="30000"/>
            </a:srgbClr>
          </a:solidFill>
          <a:ln w="6350">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sp macro="" textlink="">
        <xdr:nvSpPr>
          <xdr:cNvPr id="45" name="TextBox 44">
            <a:extLst>
              <a:ext uri="{FF2B5EF4-FFF2-40B4-BE49-F238E27FC236}">
                <a16:creationId xmlns:a16="http://schemas.microsoft.com/office/drawing/2014/main" id="{916EEB6E-BEF6-ADEA-4814-16E5B688D266}"/>
              </a:ext>
            </a:extLst>
          </xdr:cNvPr>
          <xdr:cNvSpPr txBox="1"/>
        </xdr:nvSpPr>
        <xdr:spPr>
          <a:xfrm>
            <a:off x="17145000" y="2679559"/>
            <a:ext cx="228600" cy="208799"/>
          </a:xfrm>
          <a:prstGeom prst="rect">
            <a:avLst/>
          </a:prstGeom>
          <a:solidFill>
            <a:srgbClr val="FF00FF">
              <a:alpha val="30000"/>
            </a:srgbClr>
          </a:solidFill>
          <a:ln w="6350">
            <a:solidFill>
              <a:srgbClr val="FF00FF"/>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grpSp>
    <xdr:clientData/>
  </xdr:twoCellAnchor>
  <xdr:twoCellAnchor>
    <xdr:from>
      <xdr:col>75</xdr:col>
      <xdr:colOff>0</xdr:colOff>
      <xdr:row>94</xdr:row>
      <xdr:rowOff>66132</xdr:rowOff>
    </xdr:from>
    <xdr:to>
      <xdr:col>76</xdr:col>
      <xdr:colOff>0</xdr:colOff>
      <xdr:row>95</xdr:row>
      <xdr:rowOff>66132</xdr:rowOff>
    </xdr:to>
    <xdr:sp macro="" textlink="" fLocksText="0">
      <xdr:nvSpPr>
        <xdr:cNvPr id="46" name="TextBox 45">
          <a:extLst>
            <a:ext uri="{FF2B5EF4-FFF2-40B4-BE49-F238E27FC236}">
              <a16:creationId xmlns:a16="http://schemas.microsoft.com/office/drawing/2014/main" id="{D379FDCB-6AB1-4E89-854C-C5C36AD6CCA8}"/>
            </a:ext>
          </a:extLst>
        </xdr:cNvPr>
        <xdr:cNvSpPr txBox="1"/>
      </xdr:nvSpPr>
      <xdr:spPr>
        <a:xfrm>
          <a:off x="17145000" y="12010482"/>
          <a:ext cx="228600" cy="209550"/>
        </a:xfrm>
        <a:prstGeom prst="rect">
          <a:avLst/>
        </a:prstGeom>
        <a:solidFill>
          <a:schemeClr val="bg1">
            <a:alpha val="80000"/>
          </a:schemeClr>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tx1"/>
            </a:solidFill>
            <a:latin typeface="+mn-lt"/>
            <a:ea typeface="+mn-ea"/>
            <a:cs typeface="+mn-cs"/>
          </a:endParaRPr>
        </a:p>
      </xdr:txBody>
    </xdr:sp>
    <xdr:clientData fLocksWithSheet="0"/>
  </xdr:twoCellAnchor>
  <xdr:twoCellAnchor>
    <xdr:from>
      <xdr:col>75</xdr:col>
      <xdr:colOff>0</xdr:colOff>
      <xdr:row>92</xdr:row>
      <xdr:rowOff>142663</xdr:rowOff>
    </xdr:from>
    <xdr:to>
      <xdr:col>76</xdr:col>
      <xdr:colOff>0</xdr:colOff>
      <xdr:row>93</xdr:row>
      <xdr:rowOff>142663</xdr:rowOff>
    </xdr:to>
    <xdr:sp macro="" textlink="" fLocksText="0">
      <xdr:nvSpPr>
        <xdr:cNvPr id="47" name="TextBox 46">
          <a:extLst>
            <a:ext uri="{FF2B5EF4-FFF2-40B4-BE49-F238E27FC236}">
              <a16:creationId xmlns:a16="http://schemas.microsoft.com/office/drawing/2014/main" id="{BFF405BB-877D-49B9-9CAF-F125523DAFF9}"/>
            </a:ext>
          </a:extLst>
        </xdr:cNvPr>
        <xdr:cNvSpPr txBox="1"/>
      </xdr:nvSpPr>
      <xdr:spPr>
        <a:xfrm>
          <a:off x="17145000" y="11667913"/>
          <a:ext cx="228600" cy="209550"/>
        </a:xfrm>
        <a:prstGeom prst="rect">
          <a:avLst/>
        </a:prstGeom>
        <a:solidFill>
          <a:schemeClr val="tx1">
            <a:alpha val="80000"/>
          </a:schemeClr>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clientData fLocksWithSheet="0"/>
  </xdr:twoCellAnchor>
  <xdr:twoCellAnchor>
    <xdr:from>
      <xdr:col>75</xdr:col>
      <xdr:colOff>0</xdr:colOff>
      <xdr:row>104</xdr:row>
      <xdr:rowOff>22291</xdr:rowOff>
    </xdr:from>
    <xdr:to>
      <xdr:col>76</xdr:col>
      <xdr:colOff>0</xdr:colOff>
      <xdr:row>105</xdr:row>
      <xdr:rowOff>21541</xdr:rowOff>
    </xdr:to>
    <xdr:sp macro="" textlink="" fLocksText="0">
      <xdr:nvSpPr>
        <xdr:cNvPr id="48" name="TextBox 47">
          <a:extLst>
            <a:ext uri="{FF2B5EF4-FFF2-40B4-BE49-F238E27FC236}">
              <a16:creationId xmlns:a16="http://schemas.microsoft.com/office/drawing/2014/main" id="{10B400C6-5269-4689-900D-C40809E3BE22}"/>
            </a:ext>
          </a:extLst>
        </xdr:cNvPr>
        <xdr:cNvSpPr txBox="1"/>
      </xdr:nvSpPr>
      <xdr:spPr>
        <a:xfrm>
          <a:off x="17145000" y="14062141"/>
          <a:ext cx="228600" cy="208800"/>
        </a:xfrm>
        <a:prstGeom prst="rect">
          <a:avLst/>
        </a:prstGeom>
        <a:solidFill>
          <a:schemeClr val="bg1">
            <a:alpha val="80000"/>
          </a:schemeClr>
        </a:solidFill>
        <a:ln w="6350">
          <a:solidFill>
            <a:srgbClr val="FF66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FF6600"/>
            </a:solidFill>
          </a:endParaRPr>
        </a:p>
      </xdr:txBody>
    </xdr:sp>
    <xdr:clientData fLocksWithSheet="0"/>
  </xdr:twoCellAnchor>
  <xdr:twoCellAnchor>
    <xdr:from>
      <xdr:col>75</xdr:col>
      <xdr:colOff>0</xdr:colOff>
      <xdr:row>102</xdr:row>
      <xdr:rowOff>99573</xdr:rowOff>
    </xdr:from>
    <xdr:to>
      <xdr:col>76</xdr:col>
      <xdr:colOff>0</xdr:colOff>
      <xdr:row>103</xdr:row>
      <xdr:rowOff>98822</xdr:rowOff>
    </xdr:to>
    <xdr:sp macro="" textlink="" fLocksText="0">
      <xdr:nvSpPr>
        <xdr:cNvPr id="49" name="TextBox 48">
          <a:extLst>
            <a:ext uri="{FF2B5EF4-FFF2-40B4-BE49-F238E27FC236}">
              <a16:creationId xmlns:a16="http://schemas.microsoft.com/office/drawing/2014/main" id="{C3E88F12-7CE2-4E49-910E-2825885B36A1}"/>
            </a:ext>
          </a:extLst>
        </xdr:cNvPr>
        <xdr:cNvSpPr txBox="1"/>
      </xdr:nvSpPr>
      <xdr:spPr>
        <a:xfrm>
          <a:off x="17145000" y="13720323"/>
          <a:ext cx="228600" cy="208799"/>
        </a:xfrm>
        <a:prstGeom prst="rect">
          <a:avLst/>
        </a:prstGeom>
        <a:solidFill>
          <a:schemeClr val="bg1">
            <a:alpha val="80000"/>
          </a:schemeClr>
        </a:solidFill>
        <a:ln w="6350">
          <a:solidFill>
            <a:srgbClr val="C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C00000"/>
            </a:solidFill>
          </a:endParaRPr>
        </a:p>
      </xdr:txBody>
    </xdr:sp>
    <xdr:clientData fLocksWithSheet="0"/>
  </xdr:twoCellAnchor>
  <xdr:twoCellAnchor>
    <xdr:from>
      <xdr:col>75</xdr:col>
      <xdr:colOff>0</xdr:colOff>
      <xdr:row>105</xdr:row>
      <xdr:rowOff>154560</xdr:rowOff>
    </xdr:from>
    <xdr:to>
      <xdr:col>76</xdr:col>
      <xdr:colOff>0</xdr:colOff>
      <xdr:row>106</xdr:row>
      <xdr:rowOff>153809</xdr:rowOff>
    </xdr:to>
    <xdr:sp macro="" textlink="" fLocksText="0">
      <xdr:nvSpPr>
        <xdr:cNvPr id="50" name="TextBox 49">
          <a:extLst>
            <a:ext uri="{FF2B5EF4-FFF2-40B4-BE49-F238E27FC236}">
              <a16:creationId xmlns:a16="http://schemas.microsoft.com/office/drawing/2014/main" id="{EADEF8D8-9A18-4255-8468-6E8CC961CF8F}"/>
            </a:ext>
          </a:extLst>
        </xdr:cNvPr>
        <xdr:cNvSpPr txBox="1"/>
      </xdr:nvSpPr>
      <xdr:spPr>
        <a:xfrm>
          <a:off x="17145000" y="14403960"/>
          <a:ext cx="228600" cy="208799"/>
        </a:xfrm>
        <a:prstGeom prst="rect">
          <a:avLst/>
        </a:prstGeom>
        <a:solidFill>
          <a:schemeClr val="bg1">
            <a:alpha val="80000"/>
          </a:schemeClr>
        </a:solidFill>
        <a:ln w="6350">
          <a:solidFill>
            <a:srgbClr val="FFC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FFC000"/>
            </a:solidFill>
          </a:endParaRPr>
        </a:p>
      </xdr:txBody>
    </xdr:sp>
    <xdr:clientData fLocksWithSheet="0"/>
  </xdr:twoCellAnchor>
  <xdr:twoCellAnchor>
    <xdr:from>
      <xdr:col>75</xdr:col>
      <xdr:colOff>0</xdr:colOff>
      <xdr:row>95</xdr:row>
      <xdr:rowOff>199151</xdr:rowOff>
    </xdr:from>
    <xdr:to>
      <xdr:col>76</xdr:col>
      <xdr:colOff>0</xdr:colOff>
      <xdr:row>96</xdr:row>
      <xdr:rowOff>198400</xdr:rowOff>
    </xdr:to>
    <xdr:sp macro="" textlink="" fLocksText="0">
      <xdr:nvSpPr>
        <xdr:cNvPr id="51" name="TextBox 50">
          <a:extLst>
            <a:ext uri="{FF2B5EF4-FFF2-40B4-BE49-F238E27FC236}">
              <a16:creationId xmlns:a16="http://schemas.microsoft.com/office/drawing/2014/main" id="{991472EF-57FA-4BA9-AB41-15FB1540D618}"/>
            </a:ext>
          </a:extLst>
        </xdr:cNvPr>
        <xdr:cNvSpPr txBox="1"/>
      </xdr:nvSpPr>
      <xdr:spPr>
        <a:xfrm>
          <a:off x="17145000" y="12353051"/>
          <a:ext cx="228600" cy="208799"/>
        </a:xfrm>
        <a:prstGeom prst="rect">
          <a:avLst/>
        </a:prstGeom>
        <a:solidFill>
          <a:schemeClr val="bg1">
            <a:alpha val="80000"/>
          </a:schemeClr>
        </a:solidFill>
        <a:ln w="6350">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a:solidFill>
              <a:srgbClr val="0070C0"/>
            </a:solidFill>
            <a:latin typeface="+mn-lt"/>
            <a:ea typeface="+mn-ea"/>
            <a:cs typeface="+mn-cs"/>
          </a:endParaRPr>
        </a:p>
      </xdr:txBody>
    </xdr:sp>
    <xdr:clientData fLocksWithSheet="0"/>
  </xdr:twoCellAnchor>
  <xdr:twoCellAnchor>
    <xdr:from>
      <xdr:col>75</xdr:col>
      <xdr:colOff>0</xdr:colOff>
      <xdr:row>109</xdr:row>
      <xdr:rowOff>0</xdr:rowOff>
    </xdr:from>
    <xdr:to>
      <xdr:col>76</xdr:col>
      <xdr:colOff>0</xdr:colOff>
      <xdr:row>109</xdr:row>
      <xdr:rowOff>208799</xdr:rowOff>
    </xdr:to>
    <xdr:sp macro="" textlink="" fLocksText="0">
      <xdr:nvSpPr>
        <xdr:cNvPr id="52" name="TextBox 51">
          <a:extLst>
            <a:ext uri="{FF2B5EF4-FFF2-40B4-BE49-F238E27FC236}">
              <a16:creationId xmlns:a16="http://schemas.microsoft.com/office/drawing/2014/main" id="{DB2D5F36-4F87-455D-BB23-9AFE226D4B1E}"/>
            </a:ext>
          </a:extLst>
        </xdr:cNvPr>
        <xdr:cNvSpPr txBox="1"/>
      </xdr:nvSpPr>
      <xdr:spPr>
        <a:xfrm>
          <a:off x="17145000" y="15087600"/>
          <a:ext cx="228600" cy="208799"/>
        </a:xfrm>
        <a:prstGeom prst="rect">
          <a:avLst/>
        </a:prstGeom>
        <a:solidFill>
          <a:schemeClr val="bg1">
            <a:alpha val="80000"/>
          </a:schemeClr>
        </a:solidFill>
        <a:ln w="6350">
          <a:solidFill>
            <a:srgbClr val="00B0F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rgbClr val="00B0F0"/>
            </a:solidFill>
            <a:latin typeface="+mn-lt"/>
            <a:ea typeface="+mn-ea"/>
            <a:cs typeface="+mn-cs"/>
          </a:endParaRPr>
        </a:p>
      </xdr:txBody>
    </xdr:sp>
    <xdr:clientData fLocksWithSheet="0"/>
  </xdr:twoCellAnchor>
  <xdr:twoCellAnchor>
    <xdr:from>
      <xdr:col>75</xdr:col>
      <xdr:colOff>0</xdr:colOff>
      <xdr:row>97</xdr:row>
      <xdr:rowOff>121869</xdr:rowOff>
    </xdr:from>
    <xdr:to>
      <xdr:col>76</xdr:col>
      <xdr:colOff>0</xdr:colOff>
      <xdr:row>98</xdr:row>
      <xdr:rowOff>121118</xdr:rowOff>
    </xdr:to>
    <xdr:sp macro="" textlink="" fLocksText="0">
      <xdr:nvSpPr>
        <xdr:cNvPr id="53" name="TextBox 52">
          <a:extLst>
            <a:ext uri="{FF2B5EF4-FFF2-40B4-BE49-F238E27FC236}">
              <a16:creationId xmlns:a16="http://schemas.microsoft.com/office/drawing/2014/main" id="{41A4F66E-20D7-4A7A-85CB-01BCC20E9B54}"/>
            </a:ext>
          </a:extLst>
        </xdr:cNvPr>
        <xdr:cNvSpPr txBox="1"/>
      </xdr:nvSpPr>
      <xdr:spPr>
        <a:xfrm>
          <a:off x="17145000" y="12694869"/>
          <a:ext cx="228600" cy="208799"/>
        </a:xfrm>
        <a:prstGeom prst="rect">
          <a:avLst/>
        </a:prstGeom>
        <a:solidFill>
          <a:schemeClr val="bg1">
            <a:alpha val="80000"/>
          </a:schemeClr>
        </a:solidFill>
        <a:ln w="6350">
          <a:solidFill>
            <a:srgbClr val="9900CC"/>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rgbClr val="9900CC"/>
            </a:solidFill>
            <a:latin typeface="+mn-lt"/>
            <a:ea typeface="+mn-ea"/>
            <a:cs typeface="+mn-cs"/>
          </a:endParaRPr>
        </a:p>
      </xdr:txBody>
    </xdr:sp>
    <xdr:clientData fLocksWithSheet="0"/>
  </xdr:twoCellAnchor>
  <xdr:twoCellAnchor>
    <xdr:from>
      <xdr:col>75</xdr:col>
      <xdr:colOff>0</xdr:colOff>
      <xdr:row>107</xdr:row>
      <xdr:rowOff>77278</xdr:rowOff>
    </xdr:from>
    <xdr:to>
      <xdr:col>76</xdr:col>
      <xdr:colOff>0</xdr:colOff>
      <xdr:row>108</xdr:row>
      <xdr:rowOff>76527</xdr:rowOff>
    </xdr:to>
    <xdr:sp macro="" textlink="" fLocksText="0">
      <xdr:nvSpPr>
        <xdr:cNvPr id="54" name="TextBox 53">
          <a:extLst>
            <a:ext uri="{FF2B5EF4-FFF2-40B4-BE49-F238E27FC236}">
              <a16:creationId xmlns:a16="http://schemas.microsoft.com/office/drawing/2014/main" id="{DD630818-DFCD-4821-BF55-5ECD8953D772}"/>
            </a:ext>
          </a:extLst>
        </xdr:cNvPr>
        <xdr:cNvSpPr txBox="1"/>
      </xdr:nvSpPr>
      <xdr:spPr>
        <a:xfrm>
          <a:off x="17145000" y="14745778"/>
          <a:ext cx="228600" cy="208799"/>
        </a:xfrm>
        <a:prstGeom prst="rect">
          <a:avLst/>
        </a:prstGeom>
        <a:solidFill>
          <a:schemeClr val="bg1">
            <a:alpha val="80000"/>
          </a:schemeClr>
        </a:solidFill>
        <a:ln w="6350">
          <a:solidFill>
            <a:srgbClr val="00B05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00B050"/>
            </a:solidFill>
          </a:endParaRPr>
        </a:p>
      </xdr:txBody>
    </xdr:sp>
    <xdr:clientData fLocksWithSheet="0"/>
  </xdr:twoCellAnchor>
  <xdr:twoCellAnchor>
    <xdr:from>
      <xdr:col>75</xdr:col>
      <xdr:colOff>0</xdr:colOff>
      <xdr:row>100</xdr:row>
      <xdr:rowOff>176855</xdr:rowOff>
    </xdr:from>
    <xdr:to>
      <xdr:col>76</xdr:col>
      <xdr:colOff>0</xdr:colOff>
      <xdr:row>101</xdr:row>
      <xdr:rowOff>176104</xdr:rowOff>
    </xdr:to>
    <xdr:sp macro="" textlink="" fLocksText="0">
      <xdr:nvSpPr>
        <xdr:cNvPr id="55" name="TextBox 54">
          <a:extLst>
            <a:ext uri="{FF2B5EF4-FFF2-40B4-BE49-F238E27FC236}">
              <a16:creationId xmlns:a16="http://schemas.microsoft.com/office/drawing/2014/main" id="{FBE7B219-63F9-4C28-9521-D2F0B88955C0}"/>
            </a:ext>
          </a:extLst>
        </xdr:cNvPr>
        <xdr:cNvSpPr txBox="1"/>
      </xdr:nvSpPr>
      <xdr:spPr>
        <a:xfrm>
          <a:off x="17145000" y="13378505"/>
          <a:ext cx="228600" cy="208799"/>
        </a:xfrm>
        <a:prstGeom prst="rect">
          <a:avLst/>
        </a:prstGeom>
        <a:solidFill>
          <a:schemeClr val="bg1">
            <a:alpha val="80000"/>
          </a:schemeClr>
        </a:solidFill>
        <a:ln w="6350">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rgbClr val="FF0000"/>
            </a:solidFill>
            <a:latin typeface="+mn-lt"/>
            <a:ea typeface="+mn-ea"/>
            <a:cs typeface="+mn-cs"/>
          </a:endParaRPr>
        </a:p>
      </xdr:txBody>
    </xdr:sp>
    <xdr:clientData fLocksWithSheet="0"/>
  </xdr:twoCellAnchor>
  <xdr:twoCellAnchor>
    <xdr:from>
      <xdr:col>75</xdr:col>
      <xdr:colOff>0</xdr:colOff>
      <xdr:row>99</xdr:row>
      <xdr:rowOff>44587</xdr:rowOff>
    </xdr:from>
    <xdr:to>
      <xdr:col>76</xdr:col>
      <xdr:colOff>0</xdr:colOff>
      <xdr:row>100</xdr:row>
      <xdr:rowOff>43836</xdr:rowOff>
    </xdr:to>
    <xdr:sp macro="" textlink="" fLocksText="0">
      <xdr:nvSpPr>
        <xdr:cNvPr id="56" name="TextBox 55">
          <a:extLst>
            <a:ext uri="{FF2B5EF4-FFF2-40B4-BE49-F238E27FC236}">
              <a16:creationId xmlns:a16="http://schemas.microsoft.com/office/drawing/2014/main" id="{1082FAAC-F2F0-4B05-B2AB-73B864B51CE1}"/>
            </a:ext>
          </a:extLst>
        </xdr:cNvPr>
        <xdr:cNvSpPr txBox="1"/>
      </xdr:nvSpPr>
      <xdr:spPr>
        <a:xfrm>
          <a:off x="17145000" y="13036687"/>
          <a:ext cx="228600" cy="208799"/>
        </a:xfrm>
        <a:prstGeom prst="rect">
          <a:avLst/>
        </a:prstGeom>
        <a:solidFill>
          <a:schemeClr val="bg1">
            <a:alpha val="80000"/>
          </a:schemeClr>
        </a:solidFill>
        <a:ln w="6350">
          <a:solidFill>
            <a:srgbClr val="FF00FF"/>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rgbClr val="FF00FF"/>
            </a:solidFill>
          </a:endParaRPr>
        </a:p>
      </xdr:txBody>
    </xdr:sp>
    <xdr:clientData fLocksWithSheet="0"/>
  </xdr:twoCellAnchor>
  <xdr:twoCellAnchor>
    <xdr:from>
      <xdr:col>75</xdr:col>
      <xdr:colOff>0</xdr:colOff>
      <xdr:row>82</xdr:row>
      <xdr:rowOff>187254</xdr:rowOff>
    </xdr:from>
    <xdr:to>
      <xdr:col>76</xdr:col>
      <xdr:colOff>0</xdr:colOff>
      <xdr:row>83</xdr:row>
      <xdr:rowOff>186504</xdr:rowOff>
    </xdr:to>
    <xdr:sp macro="" textlink="" fLocksText="0">
      <xdr:nvSpPr>
        <xdr:cNvPr id="57" name="TextBox 56">
          <a:extLst>
            <a:ext uri="{FF2B5EF4-FFF2-40B4-BE49-F238E27FC236}">
              <a16:creationId xmlns:a16="http://schemas.microsoft.com/office/drawing/2014/main" id="{476947F8-5586-4A62-ABB2-70D8AF774A33}"/>
            </a:ext>
          </a:extLst>
        </xdr:cNvPr>
        <xdr:cNvSpPr txBox="1"/>
      </xdr:nvSpPr>
      <xdr:spPr>
        <a:xfrm>
          <a:off x="17145000" y="9617004"/>
          <a:ext cx="228600" cy="208800"/>
        </a:xfrm>
        <a:prstGeom prst="rect">
          <a:avLst/>
        </a:prstGeom>
        <a:solidFill>
          <a:srgbClr val="FF6600">
            <a:alpha val="80000"/>
          </a:srgbClr>
        </a:solidFill>
        <a:ln w="6350">
          <a:solidFill>
            <a:srgbClr val="FF66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clientData fLocksWithSheet="0"/>
  </xdr:twoCellAnchor>
  <xdr:twoCellAnchor>
    <xdr:from>
      <xdr:col>75</xdr:col>
      <xdr:colOff>0</xdr:colOff>
      <xdr:row>84</xdr:row>
      <xdr:rowOff>109973</xdr:rowOff>
    </xdr:from>
    <xdr:to>
      <xdr:col>76</xdr:col>
      <xdr:colOff>0</xdr:colOff>
      <xdr:row>85</xdr:row>
      <xdr:rowOff>109222</xdr:rowOff>
    </xdr:to>
    <xdr:sp macro="" textlink="" fLocksText="0">
      <xdr:nvSpPr>
        <xdr:cNvPr id="58" name="TextBox 57">
          <a:extLst>
            <a:ext uri="{FF2B5EF4-FFF2-40B4-BE49-F238E27FC236}">
              <a16:creationId xmlns:a16="http://schemas.microsoft.com/office/drawing/2014/main" id="{F8F42DA2-A6BE-43E2-91E0-2309B666D591}"/>
            </a:ext>
          </a:extLst>
        </xdr:cNvPr>
        <xdr:cNvSpPr txBox="1"/>
      </xdr:nvSpPr>
      <xdr:spPr>
        <a:xfrm>
          <a:off x="17145000" y="9958823"/>
          <a:ext cx="228600" cy="208799"/>
        </a:xfrm>
        <a:prstGeom prst="rect">
          <a:avLst/>
        </a:prstGeom>
        <a:solidFill>
          <a:srgbClr val="C00000">
            <a:alpha val="80000"/>
          </a:srgbClr>
        </a:solidFill>
        <a:ln w="6350">
          <a:solidFill>
            <a:srgbClr val="C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clientData fLocksWithSheet="0"/>
  </xdr:twoCellAnchor>
  <xdr:twoCellAnchor>
    <xdr:from>
      <xdr:col>75</xdr:col>
      <xdr:colOff>0</xdr:colOff>
      <xdr:row>81</xdr:row>
      <xdr:rowOff>54986</xdr:rowOff>
    </xdr:from>
    <xdr:to>
      <xdr:col>76</xdr:col>
      <xdr:colOff>0</xdr:colOff>
      <xdr:row>82</xdr:row>
      <xdr:rowOff>54235</xdr:rowOff>
    </xdr:to>
    <xdr:sp macro="" textlink="" fLocksText="0">
      <xdr:nvSpPr>
        <xdr:cNvPr id="59" name="TextBox 58">
          <a:extLst>
            <a:ext uri="{FF2B5EF4-FFF2-40B4-BE49-F238E27FC236}">
              <a16:creationId xmlns:a16="http://schemas.microsoft.com/office/drawing/2014/main" id="{EB15F12E-6410-4E37-A76A-37FDB6E4F189}"/>
            </a:ext>
          </a:extLst>
        </xdr:cNvPr>
        <xdr:cNvSpPr txBox="1"/>
      </xdr:nvSpPr>
      <xdr:spPr>
        <a:xfrm>
          <a:off x="17145000" y="9275186"/>
          <a:ext cx="228600" cy="208799"/>
        </a:xfrm>
        <a:prstGeom prst="rect">
          <a:avLst/>
        </a:prstGeom>
        <a:solidFill>
          <a:srgbClr val="FFC000">
            <a:alpha val="80000"/>
          </a:srgbClr>
        </a:solidFill>
        <a:ln w="6350">
          <a:solidFill>
            <a:srgbClr val="FFC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clientData fLocksWithSheet="0"/>
  </xdr:twoCellAnchor>
  <xdr:twoCellAnchor>
    <xdr:from>
      <xdr:col>75</xdr:col>
      <xdr:colOff>0</xdr:colOff>
      <xdr:row>91</xdr:row>
      <xdr:rowOff>10395</xdr:rowOff>
    </xdr:from>
    <xdr:to>
      <xdr:col>76</xdr:col>
      <xdr:colOff>0</xdr:colOff>
      <xdr:row>92</xdr:row>
      <xdr:rowOff>9644</xdr:rowOff>
    </xdr:to>
    <xdr:sp macro="" textlink="" fLocksText="0">
      <xdr:nvSpPr>
        <xdr:cNvPr id="60" name="TextBox 59">
          <a:extLst>
            <a:ext uri="{FF2B5EF4-FFF2-40B4-BE49-F238E27FC236}">
              <a16:creationId xmlns:a16="http://schemas.microsoft.com/office/drawing/2014/main" id="{E9825F6D-B2C4-498D-8224-BED8ABFB7280}"/>
            </a:ext>
          </a:extLst>
        </xdr:cNvPr>
        <xdr:cNvSpPr txBox="1"/>
      </xdr:nvSpPr>
      <xdr:spPr>
        <a:xfrm>
          <a:off x="17145000" y="11326095"/>
          <a:ext cx="228600" cy="208799"/>
        </a:xfrm>
        <a:prstGeom prst="rect">
          <a:avLst/>
        </a:prstGeom>
        <a:solidFill>
          <a:srgbClr val="0070C0">
            <a:alpha val="80000"/>
          </a:srgbClr>
        </a:solidFill>
        <a:ln w="6350">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a:solidFill>
              <a:schemeClr val="bg1"/>
            </a:solidFill>
            <a:latin typeface="+mn-lt"/>
            <a:ea typeface="+mn-ea"/>
            <a:cs typeface="+mn-cs"/>
          </a:endParaRPr>
        </a:p>
      </xdr:txBody>
    </xdr:sp>
    <xdr:clientData fLocksWithSheet="0"/>
  </xdr:twoCellAnchor>
  <xdr:twoCellAnchor>
    <xdr:from>
      <xdr:col>75</xdr:col>
      <xdr:colOff>0</xdr:colOff>
      <xdr:row>78</xdr:row>
      <xdr:rowOff>0</xdr:rowOff>
    </xdr:from>
    <xdr:to>
      <xdr:col>76</xdr:col>
      <xdr:colOff>0</xdr:colOff>
      <xdr:row>78</xdr:row>
      <xdr:rowOff>208799</xdr:rowOff>
    </xdr:to>
    <xdr:sp macro="" textlink="" fLocksText="0">
      <xdr:nvSpPr>
        <xdr:cNvPr id="61" name="TextBox 60">
          <a:extLst>
            <a:ext uri="{FF2B5EF4-FFF2-40B4-BE49-F238E27FC236}">
              <a16:creationId xmlns:a16="http://schemas.microsoft.com/office/drawing/2014/main" id="{0BCB3598-9076-4E57-B57C-C70FE55A5FE8}"/>
            </a:ext>
          </a:extLst>
        </xdr:cNvPr>
        <xdr:cNvSpPr txBox="1"/>
      </xdr:nvSpPr>
      <xdr:spPr>
        <a:xfrm>
          <a:off x="17145000" y="8591550"/>
          <a:ext cx="228600" cy="208799"/>
        </a:xfrm>
        <a:prstGeom prst="rect">
          <a:avLst/>
        </a:prstGeom>
        <a:solidFill>
          <a:srgbClr val="00B0F0">
            <a:alpha val="80000"/>
          </a:srgbClr>
        </a:solidFill>
        <a:ln w="6350">
          <a:solidFill>
            <a:srgbClr val="00B0F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clientData fLocksWithSheet="0"/>
  </xdr:twoCellAnchor>
  <xdr:twoCellAnchor>
    <xdr:from>
      <xdr:col>75</xdr:col>
      <xdr:colOff>0</xdr:colOff>
      <xdr:row>89</xdr:row>
      <xdr:rowOff>87677</xdr:rowOff>
    </xdr:from>
    <xdr:to>
      <xdr:col>76</xdr:col>
      <xdr:colOff>0</xdr:colOff>
      <xdr:row>90</xdr:row>
      <xdr:rowOff>86926</xdr:rowOff>
    </xdr:to>
    <xdr:sp macro="" textlink="" fLocksText="0">
      <xdr:nvSpPr>
        <xdr:cNvPr id="62" name="TextBox 61">
          <a:extLst>
            <a:ext uri="{FF2B5EF4-FFF2-40B4-BE49-F238E27FC236}">
              <a16:creationId xmlns:a16="http://schemas.microsoft.com/office/drawing/2014/main" id="{0C5E04CE-B28C-452D-B682-0106E5024502}"/>
            </a:ext>
          </a:extLst>
        </xdr:cNvPr>
        <xdr:cNvSpPr txBox="1"/>
      </xdr:nvSpPr>
      <xdr:spPr>
        <a:xfrm>
          <a:off x="17145000" y="10984277"/>
          <a:ext cx="228600" cy="208799"/>
        </a:xfrm>
        <a:prstGeom prst="rect">
          <a:avLst/>
        </a:prstGeom>
        <a:solidFill>
          <a:srgbClr val="9900CC">
            <a:alpha val="80000"/>
          </a:srgbClr>
        </a:solidFill>
        <a:ln w="6350">
          <a:solidFill>
            <a:srgbClr val="9900CC"/>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clientData fLocksWithSheet="0"/>
  </xdr:twoCellAnchor>
  <xdr:twoCellAnchor>
    <xdr:from>
      <xdr:col>75</xdr:col>
      <xdr:colOff>0</xdr:colOff>
      <xdr:row>79</xdr:row>
      <xdr:rowOff>132268</xdr:rowOff>
    </xdr:from>
    <xdr:to>
      <xdr:col>76</xdr:col>
      <xdr:colOff>0</xdr:colOff>
      <xdr:row>80</xdr:row>
      <xdr:rowOff>131517</xdr:rowOff>
    </xdr:to>
    <xdr:sp macro="" textlink="" fLocksText="0">
      <xdr:nvSpPr>
        <xdr:cNvPr id="84" name="TextBox 83">
          <a:extLst>
            <a:ext uri="{FF2B5EF4-FFF2-40B4-BE49-F238E27FC236}">
              <a16:creationId xmlns:a16="http://schemas.microsoft.com/office/drawing/2014/main" id="{A4225D36-41EE-4EA9-BE6D-F37405724656}"/>
            </a:ext>
          </a:extLst>
        </xdr:cNvPr>
        <xdr:cNvSpPr txBox="1"/>
      </xdr:nvSpPr>
      <xdr:spPr>
        <a:xfrm>
          <a:off x="17145000" y="8933368"/>
          <a:ext cx="228600" cy="208799"/>
        </a:xfrm>
        <a:prstGeom prst="rect">
          <a:avLst/>
        </a:prstGeom>
        <a:solidFill>
          <a:srgbClr val="00B050">
            <a:alpha val="80000"/>
          </a:srgbClr>
        </a:solidFill>
        <a:ln w="6350">
          <a:solidFill>
            <a:srgbClr val="00B05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clientData fLocksWithSheet="0"/>
  </xdr:twoCellAnchor>
  <xdr:twoCellAnchor>
    <xdr:from>
      <xdr:col>75</xdr:col>
      <xdr:colOff>0</xdr:colOff>
      <xdr:row>86</xdr:row>
      <xdr:rowOff>32691</xdr:rowOff>
    </xdr:from>
    <xdr:to>
      <xdr:col>76</xdr:col>
      <xdr:colOff>0</xdr:colOff>
      <xdr:row>87</xdr:row>
      <xdr:rowOff>31940</xdr:rowOff>
    </xdr:to>
    <xdr:sp macro="" textlink="" fLocksText="0">
      <xdr:nvSpPr>
        <xdr:cNvPr id="85" name="TextBox 84">
          <a:extLst>
            <a:ext uri="{FF2B5EF4-FFF2-40B4-BE49-F238E27FC236}">
              <a16:creationId xmlns:a16="http://schemas.microsoft.com/office/drawing/2014/main" id="{668C5111-481F-4492-B078-215A42B88F37}"/>
            </a:ext>
          </a:extLst>
        </xdr:cNvPr>
        <xdr:cNvSpPr txBox="1"/>
      </xdr:nvSpPr>
      <xdr:spPr>
        <a:xfrm>
          <a:off x="17145000" y="10300641"/>
          <a:ext cx="228600" cy="208799"/>
        </a:xfrm>
        <a:prstGeom prst="rect">
          <a:avLst/>
        </a:prstGeom>
        <a:solidFill>
          <a:srgbClr val="FF0000">
            <a:alpha val="80000"/>
          </a:srgbClr>
        </a:solidFill>
        <a:ln w="6350">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marL="0" indent="0" algn="l"/>
          <a:endParaRPr lang="en-GB" sz="1000" b="0" baseline="0">
            <a:solidFill>
              <a:schemeClr val="bg1"/>
            </a:solidFill>
            <a:latin typeface="+mn-lt"/>
            <a:ea typeface="+mn-ea"/>
            <a:cs typeface="+mn-cs"/>
          </a:endParaRPr>
        </a:p>
      </xdr:txBody>
    </xdr:sp>
    <xdr:clientData fLocksWithSheet="0"/>
  </xdr:twoCellAnchor>
  <xdr:twoCellAnchor>
    <xdr:from>
      <xdr:col>75</xdr:col>
      <xdr:colOff>0</xdr:colOff>
      <xdr:row>87</xdr:row>
      <xdr:rowOff>164959</xdr:rowOff>
    </xdr:from>
    <xdr:to>
      <xdr:col>76</xdr:col>
      <xdr:colOff>0</xdr:colOff>
      <xdr:row>88</xdr:row>
      <xdr:rowOff>164208</xdr:rowOff>
    </xdr:to>
    <xdr:sp macro="" textlink="" fLocksText="0">
      <xdr:nvSpPr>
        <xdr:cNvPr id="86" name="TextBox 85">
          <a:extLst>
            <a:ext uri="{FF2B5EF4-FFF2-40B4-BE49-F238E27FC236}">
              <a16:creationId xmlns:a16="http://schemas.microsoft.com/office/drawing/2014/main" id="{0E9B331F-B9F3-48FE-ABBF-B35B4D993F83}"/>
            </a:ext>
          </a:extLst>
        </xdr:cNvPr>
        <xdr:cNvSpPr txBox="1"/>
      </xdr:nvSpPr>
      <xdr:spPr>
        <a:xfrm>
          <a:off x="17145000" y="10642459"/>
          <a:ext cx="228600" cy="208799"/>
        </a:xfrm>
        <a:prstGeom prst="rect">
          <a:avLst/>
        </a:prstGeom>
        <a:solidFill>
          <a:srgbClr val="FF25FF">
            <a:alpha val="80000"/>
          </a:srgbClr>
        </a:solidFill>
        <a:ln w="6350">
          <a:solidFill>
            <a:srgbClr val="FF00FF"/>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t">
          <a:noAutofit/>
        </a:bodyPr>
        <a:lstStyle/>
        <a:p>
          <a:pPr algn="l"/>
          <a:endParaRPr lang="en-GB" sz="1000" b="0" baseline="0">
            <a:solidFill>
              <a:schemeClr val="bg1"/>
            </a:solidFill>
          </a:endParaRPr>
        </a:p>
      </xdr:txBody>
    </xdr:sp>
    <xdr:clientData fLocksWithSheet="0"/>
  </xdr:twoCellAnchor>
</xdr:wsDr>
</file>

<file path=xl/drawings/drawing6.xml><?xml version="1.0" encoding="utf-8"?>
<xdr:wsDr xmlns:xdr="http://schemas.openxmlformats.org/drawingml/2006/spreadsheetDrawing" xmlns:a="http://schemas.openxmlformats.org/drawingml/2006/main">
  <xdr:twoCellAnchor>
    <xdr:from>
      <xdr:col>45</xdr:col>
      <xdr:colOff>0</xdr:colOff>
      <xdr:row>40</xdr:row>
      <xdr:rowOff>209549</xdr:rowOff>
    </xdr:from>
    <xdr:to>
      <xdr:col>46</xdr:col>
      <xdr:colOff>0</xdr:colOff>
      <xdr:row>41</xdr:row>
      <xdr:rowOff>208799</xdr:rowOff>
    </xdr:to>
    <xdr:sp macro="" textlink="">
      <xdr:nvSpPr>
        <xdr:cNvPr id="1860" name="TextBox 1859">
          <a:extLst>
            <a:ext uri="{FF2B5EF4-FFF2-40B4-BE49-F238E27FC236}">
              <a16:creationId xmlns:a16="http://schemas.microsoft.com/office/drawing/2014/main" id="{D03E45BA-CE45-48E2-B640-1D3E10AFBA3E}"/>
            </a:ext>
          </a:extLst>
        </xdr:cNvPr>
        <xdr:cNvSpPr txBox="1"/>
      </xdr:nvSpPr>
      <xdr:spPr>
        <a:xfrm>
          <a:off x="10287000" y="8591549"/>
          <a:ext cx="228600" cy="208800"/>
        </a:xfrm>
        <a:prstGeom prst="rect">
          <a:avLst/>
        </a:prstGeom>
        <a:solidFill>
          <a:srgbClr val="0070C0">
            <a:alpha val="30000"/>
          </a:srgbClr>
        </a:solidFill>
        <a:ln w="6350">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endParaRPr lang="en-US" sz="800" b="1">
            <a:solidFill>
              <a:srgbClr val="0070C0"/>
            </a:solidFill>
            <a:latin typeface="+mn-lt"/>
            <a:ea typeface="+mn-ea"/>
            <a:cs typeface="+mn-cs"/>
          </a:endParaRPr>
        </a:p>
      </xdr:txBody>
    </xdr:sp>
    <xdr:clientData fLocksWithSheet="0"/>
  </xdr:twoCellAnchor>
  <xdr:twoCellAnchor>
    <xdr:from>
      <xdr:col>46</xdr:col>
      <xdr:colOff>0</xdr:colOff>
      <xdr:row>40</xdr:row>
      <xdr:rowOff>209549</xdr:rowOff>
    </xdr:from>
    <xdr:to>
      <xdr:col>47</xdr:col>
      <xdr:colOff>0</xdr:colOff>
      <xdr:row>41</xdr:row>
      <xdr:rowOff>208799</xdr:rowOff>
    </xdr:to>
    <xdr:sp macro="" textlink="">
      <xdr:nvSpPr>
        <xdr:cNvPr id="1872" name="TextBox 1871">
          <a:extLst>
            <a:ext uri="{FF2B5EF4-FFF2-40B4-BE49-F238E27FC236}">
              <a16:creationId xmlns:a16="http://schemas.microsoft.com/office/drawing/2014/main" id="{623DCA87-2AD5-4F1E-9C77-557FF4E1BD3D}"/>
            </a:ext>
          </a:extLst>
        </xdr:cNvPr>
        <xdr:cNvSpPr txBox="1"/>
      </xdr:nvSpPr>
      <xdr:spPr>
        <a:xfrm>
          <a:off x="10515600" y="8591549"/>
          <a:ext cx="228600" cy="208800"/>
        </a:xfrm>
        <a:prstGeom prst="rect">
          <a:avLst/>
        </a:prstGeom>
        <a:solidFill>
          <a:srgbClr val="9900CC">
            <a:alpha val="30000"/>
          </a:srgbClr>
        </a:solidFill>
        <a:ln w="6350">
          <a:solidFill>
            <a:srgbClr val="9900CC"/>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endParaRPr lang="en-US" sz="800" b="1" baseline="0">
            <a:solidFill>
              <a:srgbClr val="9900CC"/>
            </a:solidFill>
            <a:latin typeface="+mn-lt"/>
            <a:ea typeface="+mn-ea"/>
            <a:cs typeface="+mn-cs"/>
          </a:endParaRPr>
        </a:p>
      </xdr:txBody>
    </xdr:sp>
    <xdr:clientData fLocksWithSheet="0"/>
  </xdr:twoCellAnchor>
  <xdr:twoCellAnchor>
    <xdr:from>
      <xdr:col>47</xdr:col>
      <xdr:colOff>0</xdr:colOff>
      <xdr:row>40</xdr:row>
      <xdr:rowOff>209549</xdr:rowOff>
    </xdr:from>
    <xdr:to>
      <xdr:col>48</xdr:col>
      <xdr:colOff>0</xdr:colOff>
      <xdr:row>41</xdr:row>
      <xdr:rowOff>208799</xdr:rowOff>
    </xdr:to>
    <xdr:sp macro="" textlink="">
      <xdr:nvSpPr>
        <xdr:cNvPr id="1884" name="TextBox 1883">
          <a:extLst>
            <a:ext uri="{FF2B5EF4-FFF2-40B4-BE49-F238E27FC236}">
              <a16:creationId xmlns:a16="http://schemas.microsoft.com/office/drawing/2014/main" id="{5CFB114A-B179-4113-BEC0-495E78B56820}"/>
            </a:ext>
          </a:extLst>
        </xdr:cNvPr>
        <xdr:cNvSpPr txBox="1"/>
      </xdr:nvSpPr>
      <xdr:spPr>
        <a:xfrm>
          <a:off x="10744200" y="8591549"/>
          <a:ext cx="228600" cy="208800"/>
        </a:xfrm>
        <a:prstGeom prst="rect">
          <a:avLst/>
        </a:prstGeom>
        <a:solidFill>
          <a:srgbClr val="FF00FF">
            <a:alpha val="30000"/>
          </a:srgbClr>
        </a:solidFill>
        <a:ln w="6350">
          <a:solidFill>
            <a:srgbClr val="FF00FF"/>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l"/>
          <a:endParaRPr lang="en-US" sz="800" b="1" baseline="0">
            <a:solidFill>
              <a:srgbClr val="FF00FF"/>
            </a:solidFill>
            <a:latin typeface="+mn-lt"/>
          </a:endParaRPr>
        </a:p>
      </xdr:txBody>
    </xdr:sp>
    <xdr:clientData fLocksWithSheet="0"/>
  </xdr:twoCellAnchor>
  <xdr:twoCellAnchor>
    <xdr:from>
      <xdr:col>48</xdr:col>
      <xdr:colOff>0</xdr:colOff>
      <xdr:row>40</xdr:row>
      <xdr:rowOff>209549</xdr:rowOff>
    </xdr:from>
    <xdr:to>
      <xdr:col>49</xdr:col>
      <xdr:colOff>0</xdr:colOff>
      <xdr:row>41</xdr:row>
      <xdr:rowOff>208799</xdr:rowOff>
    </xdr:to>
    <xdr:sp macro="" textlink="">
      <xdr:nvSpPr>
        <xdr:cNvPr id="1879" name="TextBox 1878">
          <a:extLst>
            <a:ext uri="{FF2B5EF4-FFF2-40B4-BE49-F238E27FC236}">
              <a16:creationId xmlns:a16="http://schemas.microsoft.com/office/drawing/2014/main" id="{23C1D878-F9CA-48CC-922F-ECF8606BD5DC}"/>
            </a:ext>
          </a:extLst>
        </xdr:cNvPr>
        <xdr:cNvSpPr txBox="1"/>
      </xdr:nvSpPr>
      <xdr:spPr>
        <a:xfrm>
          <a:off x="10972800" y="8591549"/>
          <a:ext cx="228600" cy="208800"/>
        </a:xfrm>
        <a:prstGeom prst="rect">
          <a:avLst/>
        </a:prstGeom>
        <a:solidFill>
          <a:srgbClr val="FF0000">
            <a:alpha val="30000"/>
          </a:srgbClr>
        </a:solidFill>
        <a:ln w="6350">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endParaRPr lang="en-US" sz="800" b="1" baseline="0">
            <a:solidFill>
              <a:srgbClr val="FF0000"/>
            </a:solidFill>
            <a:latin typeface="+mn-lt"/>
            <a:ea typeface="+mn-ea"/>
            <a:cs typeface="+mn-cs"/>
          </a:endParaRPr>
        </a:p>
      </xdr:txBody>
    </xdr:sp>
    <xdr:clientData fLocksWithSheet="0"/>
  </xdr:twoCellAnchor>
  <xdr:twoCellAnchor>
    <xdr:from>
      <xdr:col>49</xdr:col>
      <xdr:colOff>0</xdr:colOff>
      <xdr:row>40</xdr:row>
      <xdr:rowOff>209549</xdr:rowOff>
    </xdr:from>
    <xdr:to>
      <xdr:col>50</xdr:col>
      <xdr:colOff>0</xdr:colOff>
      <xdr:row>41</xdr:row>
      <xdr:rowOff>208799</xdr:rowOff>
    </xdr:to>
    <xdr:sp macro="" textlink="">
      <xdr:nvSpPr>
        <xdr:cNvPr id="1858" name="TextBox 1857">
          <a:extLst>
            <a:ext uri="{FF2B5EF4-FFF2-40B4-BE49-F238E27FC236}">
              <a16:creationId xmlns:a16="http://schemas.microsoft.com/office/drawing/2014/main" id="{4121A3EA-5A91-4F7E-A12F-D5442C831747}"/>
            </a:ext>
          </a:extLst>
        </xdr:cNvPr>
        <xdr:cNvSpPr txBox="1"/>
      </xdr:nvSpPr>
      <xdr:spPr>
        <a:xfrm>
          <a:off x="11201400" y="8591549"/>
          <a:ext cx="228600" cy="208800"/>
        </a:xfrm>
        <a:prstGeom prst="rect">
          <a:avLst/>
        </a:prstGeom>
        <a:solidFill>
          <a:srgbClr val="C00000">
            <a:alpha val="30000"/>
          </a:srgbClr>
        </a:solidFill>
        <a:ln w="6350">
          <a:solidFill>
            <a:srgbClr val="C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l"/>
          <a:endParaRPr lang="en-US" sz="800" b="1" baseline="0">
            <a:solidFill>
              <a:srgbClr val="C00000"/>
            </a:solidFill>
            <a:latin typeface="+mn-lt"/>
          </a:endParaRPr>
        </a:p>
      </xdr:txBody>
    </xdr:sp>
    <xdr:clientData fLocksWithSheet="0"/>
  </xdr:twoCellAnchor>
  <xdr:twoCellAnchor>
    <xdr:from>
      <xdr:col>51</xdr:col>
      <xdr:colOff>0</xdr:colOff>
      <xdr:row>40</xdr:row>
      <xdr:rowOff>209549</xdr:rowOff>
    </xdr:from>
    <xdr:to>
      <xdr:col>52</xdr:col>
      <xdr:colOff>0</xdr:colOff>
      <xdr:row>41</xdr:row>
      <xdr:rowOff>208799</xdr:rowOff>
    </xdr:to>
    <xdr:sp macro="" textlink="">
      <xdr:nvSpPr>
        <xdr:cNvPr id="1859" name="TextBox 1858">
          <a:extLst>
            <a:ext uri="{FF2B5EF4-FFF2-40B4-BE49-F238E27FC236}">
              <a16:creationId xmlns:a16="http://schemas.microsoft.com/office/drawing/2014/main" id="{4EACBD04-CE18-49AA-91FE-33B9872D8439}"/>
            </a:ext>
          </a:extLst>
        </xdr:cNvPr>
        <xdr:cNvSpPr txBox="1"/>
      </xdr:nvSpPr>
      <xdr:spPr>
        <a:xfrm>
          <a:off x="11658600" y="8591549"/>
          <a:ext cx="228600" cy="208800"/>
        </a:xfrm>
        <a:prstGeom prst="rect">
          <a:avLst/>
        </a:prstGeom>
        <a:solidFill>
          <a:srgbClr val="FFC000">
            <a:alpha val="30000"/>
          </a:srgbClr>
        </a:solidFill>
        <a:ln w="6350">
          <a:solidFill>
            <a:srgbClr val="FFC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l"/>
          <a:endParaRPr lang="en-US" sz="800" b="1" baseline="0">
            <a:solidFill>
              <a:srgbClr val="FFC000"/>
            </a:solidFill>
            <a:latin typeface="+mn-lt"/>
          </a:endParaRPr>
        </a:p>
      </xdr:txBody>
    </xdr:sp>
    <xdr:clientData fLocksWithSheet="0"/>
  </xdr:twoCellAnchor>
  <xdr:twoCellAnchor>
    <xdr:from>
      <xdr:col>52</xdr:col>
      <xdr:colOff>0</xdr:colOff>
      <xdr:row>41</xdr:row>
      <xdr:rowOff>750</xdr:rowOff>
    </xdr:from>
    <xdr:to>
      <xdr:col>53</xdr:col>
      <xdr:colOff>0</xdr:colOff>
      <xdr:row>42</xdr:row>
      <xdr:rowOff>0</xdr:rowOff>
    </xdr:to>
    <xdr:sp macro="" textlink="">
      <xdr:nvSpPr>
        <xdr:cNvPr id="1878" name="TextBox 1877">
          <a:extLst>
            <a:ext uri="{FF2B5EF4-FFF2-40B4-BE49-F238E27FC236}">
              <a16:creationId xmlns:a16="http://schemas.microsoft.com/office/drawing/2014/main" id="{E6F7DB9E-70FB-4171-99D0-7AA449DFD91B}"/>
            </a:ext>
          </a:extLst>
        </xdr:cNvPr>
        <xdr:cNvSpPr txBox="1"/>
      </xdr:nvSpPr>
      <xdr:spPr>
        <a:xfrm>
          <a:off x="11887200" y="8592300"/>
          <a:ext cx="228600" cy="208800"/>
        </a:xfrm>
        <a:prstGeom prst="rect">
          <a:avLst/>
        </a:prstGeom>
        <a:solidFill>
          <a:srgbClr val="00B050">
            <a:alpha val="30000"/>
          </a:srgbClr>
        </a:solidFill>
        <a:ln w="6350">
          <a:solidFill>
            <a:srgbClr val="00B05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l"/>
          <a:endParaRPr lang="en-US" sz="800" b="1" baseline="0">
            <a:solidFill>
              <a:srgbClr val="00B050"/>
            </a:solidFill>
            <a:latin typeface="+mn-lt"/>
          </a:endParaRPr>
        </a:p>
      </xdr:txBody>
    </xdr:sp>
    <xdr:clientData fLocksWithSheet="0"/>
  </xdr:twoCellAnchor>
  <xdr:twoCellAnchor>
    <xdr:from>
      <xdr:col>53</xdr:col>
      <xdr:colOff>0</xdr:colOff>
      <xdr:row>41</xdr:row>
      <xdr:rowOff>750</xdr:rowOff>
    </xdr:from>
    <xdr:to>
      <xdr:col>54</xdr:col>
      <xdr:colOff>0</xdr:colOff>
      <xdr:row>42</xdr:row>
      <xdr:rowOff>0</xdr:rowOff>
    </xdr:to>
    <xdr:sp macro="" textlink="">
      <xdr:nvSpPr>
        <xdr:cNvPr id="1866" name="TextBox 1865">
          <a:extLst>
            <a:ext uri="{FF2B5EF4-FFF2-40B4-BE49-F238E27FC236}">
              <a16:creationId xmlns:a16="http://schemas.microsoft.com/office/drawing/2014/main" id="{2243C75B-AA74-4503-A804-475C3DEF78E5}"/>
            </a:ext>
          </a:extLst>
        </xdr:cNvPr>
        <xdr:cNvSpPr txBox="1"/>
      </xdr:nvSpPr>
      <xdr:spPr>
        <a:xfrm>
          <a:off x="12115800" y="8592300"/>
          <a:ext cx="228600" cy="208800"/>
        </a:xfrm>
        <a:prstGeom prst="rect">
          <a:avLst/>
        </a:prstGeom>
        <a:solidFill>
          <a:srgbClr val="00B0F0">
            <a:alpha val="30000"/>
          </a:srgbClr>
        </a:solidFill>
        <a:ln w="6350">
          <a:solidFill>
            <a:srgbClr val="00B0F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endParaRPr lang="en-US" sz="800" b="1" baseline="0">
            <a:solidFill>
              <a:srgbClr val="00B0F0"/>
            </a:solidFill>
            <a:latin typeface="+mn-lt"/>
            <a:ea typeface="+mn-ea"/>
            <a:cs typeface="+mn-cs"/>
          </a:endParaRPr>
        </a:p>
      </xdr:txBody>
    </xdr:sp>
    <xdr:clientData fLocksWithSheet="0"/>
  </xdr:twoCellAnchor>
  <xdr:twoCellAnchor>
    <xdr:from>
      <xdr:col>33</xdr:col>
      <xdr:colOff>0</xdr:colOff>
      <xdr:row>40</xdr:row>
      <xdr:rowOff>209549</xdr:rowOff>
    </xdr:from>
    <xdr:to>
      <xdr:col>34</xdr:col>
      <xdr:colOff>0</xdr:colOff>
      <xdr:row>41</xdr:row>
      <xdr:rowOff>208799</xdr:rowOff>
    </xdr:to>
    <xdr:sp macro="" textlink="">
      <xdr:nvSpPr>
        <xdr:cNvPr id="1888" name="TextBox 1887">
          <a:extLst>
            <a:ext uri="{FF2B5EF4-FFF2-40B4-BE49-F238E27FC236}">
              <a16:creationId xmlns:a16="http://schemas.microsoft.com/office/drawing/2014/main" id="{F5105D45-4E9F-4D81-A004-192F824D7294}"/>
            </a:ext>
          </a:extLst>
        </xdr:cNvPr>
        <xdr:cNvSpPr txBox="1"/>
      </xdr:nvSpPr>
      <xdr:spPr>
        <a:xfrm>
          <a:off x="7543800" y="8591549"/>
          <a:ext cx="228600" cy="208800"/>
        </a:xfrm>
        <a:prstGeom prst="rect">
          <a:avLst/>
        </a:prstGeom>
        <a:solidFill>
          <a:srgbClr val="000000">
            <a:alpha val="30196"/>
          </a:srgbClr>
        </a:solidFill>
        <a:ln w="6350">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endParaRPr lang="en-US" sz="800" b="1">
            <a:solidFill>
              <a:srgbClr val="0070C0"/>
            </a:solidFill>
            <a:latin typeface="+mn-lt"/>
            <a:ea typeface="+mn-ea"/>
            <a:cs typeface="+mn-cs"/>
          </a:endParaRPr>
        </a:p>
      </xdr:txBody>
    </xdr:sp>
    <xdr:clientData fLocksWithSheet="0"/>
  </xdr:twoCellAnchor>
  <xdr:twoCellAnchor>
    <xdr:from>
      <xdr:col>32</xdr:col>
      <xdr:colOff>0</xdr:colOff>
      <xdr:row>40</xdr:row>
      <xdr:rowOff>209549</xdr:rowOff>
    </xdr:from>
    <xdr:to>
      <xdr:col>33</xdr:col>
      <xdr:colOff>0</xdr:colOff>
      <xdr:row>41</xdr:row>
      <xdr:rowOff>208799</xdr:rowOff>
    </xdr:to>
    <xdr:sp macro="" textlink="">
      <xdr:nvSpPr>
        <xdr:cNvPr id="1892" name="TextBox 1891">
          <a:extLst>
            <a:ext uri="{FF2B5EF4-FFF2-40B4-BE49-F238E27FC236}">
              <a16:creationId xmlns:a16="http://schemas.microsoft.com/office/drawing/2014/main" id="{9779F756-821B-470A-8D12-153FCEE859DE}"/>
            </a:ext>
          </a:extLst>
        </xdr:cNvPr>
        <xdr:cNvSpPr txBox="1"/>
      </xdr:nvSpPr>
      <xdr:spPr>
        <a:xfrm>
          <a:off x="7315200" y="8591549"/>
          <a:ext cx="228600" cy="208800"/>
        </a:xfrm>
        <a:prstGeom prst="rect">
          <a:avLst/>
        </a:prstGeom>
        <a:solidFill>
          <a:srgbClr val="000000">
            <a:alpha val="30196"/>
          </a:srgbClr>
        </a:solidFill>
        <a:ln w="6350">
          <a:solidFill>
            <a:srgbClr val="9900CC"/>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endParaRPr lang="en-US" sz="800" b="1" baseline="0">
            <a:solidFill>
              <a:srgbClr val="9900CC"/>
            </a:solidFill>
            <a:latin typeface="+mn-lt"/>
            <a:ea typeface="+mn-ea"/>
            <a:cs typeface="+mn-cs"/>
          </a:endParaRPr>
        </a:p>
      </xdr:txBody>
    </xdr:sp>
    <xdr:clientData fLocksWithSheet="0"/>
  </xdr:twoCellAnchor>
  <xdr:twoCellAnchor>
    <xdr:from>
      <xdr:col>31</xdr:col>
      <xdr:colOff>0</xdr:colOff>
      <xdr:row>41</xdr:row>
      <xdr:rowOff>750</xdr:rowOff>
    </xdr:from>
    <xdr:to>
      <xdr:col>32</xdr:col>
      <xdr:colOff>0</xdr:colOff>
      <xdr:row>42</xdr:row>
      <xdr:rowOff>0</xdr:rowOff>
    </xdr:to>
    <xdr:sp macro="" textlink="">
      <xdr:nvSpPr>
        <xdr:cNvPr id="1905" name="TextBox 1904">
          <a:extLst>
            <a:ext uri="{FF2B5EF4-FFF2-40B4-BE49-F238E27FC236}">
              <a16:creationId xmlns:a16="http://schemas.microsoft.com/office/drawing/2014/main" id="{5C724224-A5C2-4B56-BFAB-CF497DB09E70}"/>
            </a:ext>
          </a:extLst>
        </xdr:cNvPr>
        <xdr:cNvSpPr txBox="1"/>
      </xdr:nvSpPr>
      <xdr:spPr>
        <a:xfrm>
          <a:off x="7086600" y="8592300"/>
          <a:ext cx="228600" cy="208800"/>
        </a:xfrm>
        <a:prstGeom prst="rect">
          <a:avLst/>
        </a:prstGeom>
        <a:solidFill>
          <a:srgbClr val="000000">
            <a:alpha val="30196"/>
          </a:srgbClr>
        </a:solidFill>
        <a:ln w="6350">
          <a:solidFill>
            <a:srgbClr val="FF00FF"/>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l"/>
          <a:endParaRPr lang="en-US" sz="800" b="1" baseline="0">
            <a:solidFill>
              <a:srgbClr val="FF00FF"/>
            </a:solidFill>
            <a:latin typeface="+mn-lt"/>
          </a:endParaRPr>
        </a:p>
      </xdr:txBody>
    </xdr:sp>
    <xdr:clientData fLocksWithSheet="0"/>
  </xdr:twoCellAnchor>
  <xdr:twoCellAnchor>
    <xdr:from>
      <xdr:col>30</xdr:col>
      <xdr:colOff>0</xdr:colOff>
      <xdr:row>40</xdr:row>
      <xdr:rowOff>209549</xdr:rowOff>
    </xdr:from>
    <xdr:to>
      <xdr:col>31</xdr:col>
      <xdr:colOff>0</xdr:colOff>
      <xdr:row>41</xdr:row>
      <xdr:rowOff>208799</xdr:rowOff>
    </xdr:to>
    <xdr:sp macro="" textlink="">
      <xdr:nvSpPr>
        <xdr:cNvPr id="1896" name="TextBox 1895">
          <a:extLst>
            <a:ext uri="{FF2B5EF4-FFF2-40B4-BE49-F238E27FC236}">
              <a16:creationId xmlns:a16="http://schemas.microsoft.com/office/drawing/2014/main" id="{6C79EB14-FC15-4BE3-BE76-4AC43D4E745B}"/>
            </a:ext>
          </a:extLst>
        </xdr:cNvPr>
        <xdr:cNvSpPr txBox="1"/>
      </xdr:nvSpPr>
      <xdr:spPr>
        <a:xfrm>
          <a:off x="6858000" y="8591549"/>
          <a:ext cx="228600" cy="208800"/>
        </a:xfrm>
        <a:prstGeom prst="rect">
          <a:avLst/>
        </a:prstGeom>
        <a:solidFill>
          <a:srgbClr val="000000">
            <a:alpha val="30196"/>
          </a:srgbClr>
        </a:solidFill>
        <a:ln w="6350">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endParaRPr lang="en-US" sz="800" b="1" baseline="0">
            <a:solidFill>
              <a:srgbClr val="FF0000"/>
            </a:solidFill>
            <a:latin typeface="+mn-lt"/>
            <a:ea typeface="+mn-ea"/>
            <a:cs typeface="+mn-cs"/>
          </a:endParaRPr>
        </a:p>
      </xdr:txBody>
    </xdr:sp>
    <xdr:clientData fLocksWithSheet="0"/>
  </xdr:twoCellAnchor>
  <xdr:twoCellAnchor>
    <xdr:from>
      <xdr:col>29</xdr:col>
      <xdr:colOff>0</xdr:colOff>
      <xdr:row>40</xdr:row>
      <xdr:rowOff>209549</xdr:rowOff>
    </xdr:from>
    <xdr:to>
      <xdr:col>30</xdr:col>
      <xdr:colOff>0</xdr:colOff>
      <xdr:row>41</xdr:row>
      <xdr:rowOff>208799</xdr:rowOff>
    </xdr:to>
    <xdr:sp macro="" textlink="">
      <xdr:nvSpPr>
        <xdr:cNvPr id="1886" name="TextBox 1885">
          <a:extLst>
            <a:ext uri="{FF2B5EF4-FFF2-40B4-BE49-F238E27FC236}">
              <a16:creationId xmlns:a16="http://schemas.microsoft.com/office/drawing/2014/main" id="{F4C56E4F-4663-4465-9FDC-84D809BC9BAD}"/>
            </a:ext>
          </a:extLst>
        </xdr:cNvPr>
        <xdr:cNvSpPr txBox="1"/>
      </xdr:nvSpPr>
      <xdr:spPr>
        <a:xfrm>
          <a:off x="6629400" y="8591549"/>
          <a:ext cx="228600" cy="208800"/>
        </a:xfrm>
        <a:prstGeom prst="rect">
          <a:avLst/>
        </a:prstGeom>
        <a:solidFill>
          <a:srgbClr val="000000">
            <a:alpha val="30196"/>
          </a:srgbClr>
        </a:solidFill>
        <a:ln w="6350">
          <a:solidFill>
            <a:srgbClr val="C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l"/>
          <a:endParaRPr lang="en-US" sz="800" b="1" baseline="0">
            <a:solidFill>
              <a:srgbClr val="C00000"/>
            </a:solidFill>
            <a:latin typeface="+mn-lt"/>
          </a:endParaRPr>
        </a:p>
      </xdr:txBody>
    </xdr:sp>
    <xdr:clientData fLocksWithSheet="0"/>
  </xdr:twoCellAnchor>
  <xdr:twoCellAnchor>
    <xdr:from>
      <xdr:col>28</xdr:col>
      <xdr:colOff>0</xdr:colOff>
      <xdr:row>41</xdr:row>
      <xdr:rowOff>750</xdr:rowOff>
    </xdr:from>
    <xdr:to>
      <xdr:col>29</xdr:col>
      <xdr:colOff>0</xdr:colOff>
      <xdr:row>42</xdr:row>
      <xdr:rowOff>0</xdr:rowOff>
    </xdr:to>
    <xdr:sp macro="" textlink="">
      <xdr:nvSpPr>
        <xdr:cNvPr id="1885" name="TextBox 1884">
          <a:extLst>
            <a:ext uri="{FF2B5EF4-FFF2-40B4-BE49-F238E27FC236}">
              <a16:creationId xmlns:a16="http://schemas.microsoft.com/office/drawing/2014/main" id="{CD606748-BABC-463D-8B8B-21A2FAE37004}"/>
            </a:ext>
          </a:extLst>
        </xdr:cNvPr>
        <xdr:cNvSpPr txBox="1"/>
      </xdr:nvSpPr>
      <xdr:spPr>
        <a:xfrm>
          <a:off x="6400800" y="8592300"/>
          <a:ext cx="228600" cy="208800"/>
        </a:xfrm>
        <a:prstGeom prst="rect">
          <a:avLst/>
        </a:prstGeom>
        <a:solidFill>
          <a:srgbClr val="000000">
            <a:alpha val="30196"/>
          </a:srgbClr>
        </a:solidFill>
        <a:ln w="6350">
          <a:solidFill>
            <a:srgbClr val="FF66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l"/>
          <a:endParaRPr lang="en-US" sz="800" b="1" baseline="0">
            <a:solidFill>
              <a:srgbClr val="FF6600"/>
            </a:solidFill>
            <a:latin typeface="+mn-lt"/>
          </a:endParaRPr>
        </a:p>
      </xdr:txBody>
    </xdr:sp>
    <xdr:clientData fLocksWithSheet="0"/>
  </xdr:twoCellAnchor>
  <xdr:twoCellAnchor>
    <xdr:from>
      <xdr:col>27</xdr:col>
      <xdr:colOff>0</xdr:colOff>
      <xdr:row>41</xdr:row>
      <xdr:rowOff>750</xdr:rowOff>
    </xdr:from>
    <xdr:to>
      <xdr:col>28</xdr:col>
      <xdr:colOff>0</xdr:colOff>
      <xdr:row>42</xdr:row>
      <xdr:rowOff>0</xdr:rowOff>
    </xdr:to>
    <xdr:sp macro="" textlink="">
      <xdr:nvSpPr>
        <xdr:cNvPr id="1887" name="TextBox 1886">
          <a:extLst>
            <a:ext uri="{FF2B5EF4-FFF2-40B4-BE49-F238E27FC236}">
              <a16:creationId xmlns:a16="http://schemas.microsoft.com/office/drawing/2014/main" id="{B7497BC6-66EA-4331-B614-4DEF1729C94D}"/>
            </a:ext>
          </a:extLst>
        </xdr:cNvPr>
        <xdr:cNvSpPr txBox="1"/>
      </xdr:nvSpPr>
      <xdr:spPr>
        <a:xfrm>
          <a:off x="6172200" y="8592300"/>
          <a:ext cx="228600" cy="208800"/>
        </a:xfrm>
        <a:prstGeom prst="rect">
          <a:avLst/>
        </a:prstGeom>
        <a:solidFill>
          <a:srgbClr val="000000">
            <a:alpha val="30196"/>
          </a:srgbClr>
        </a:solidFill>
        <a:ln w="6350">
          <a:solidFill>
            <a:srgbClr val="FFC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l"/>
          <a:endParaRPr lang="en-US" sz="800" b="1" baseline="0">
            <a:solidFill>
              <a:srgbClr val="FFC000"/>
            </a:solidFill>
            <a:latin typeface="+mn-lt"/>
          </a:endParaRPr>
        </a:p>
      </xdr:txBody>
    </xdr:sp>
    <xdr:clientData fLocksWithSheet="0"/>
  </xdr:twoCellAnchor>
  <xdr:twoCellAnchor>
    <xdr:from>
      <xdr:col>26</xdr:col>
      <xdr:colOff>0</xdr:colOff>
      <xdr:row>41</xdr:row>
      <xdr:rowOff>750</xdr:rowOff>
    </xdr:from>
    <xdr:to>
      <xdr:col>27</xdr:col>
      <xdr:colOff>0</xdr:colOff>
      <xdr:row>42</xdr:row>
      <xdr:rowOff>0</xdr:rowOff>
    </xdr:to>
    <xdr:sp macro="" textlink="">
      <xdr:nvSpPr>
        <xdr:cNvPr id="1895" name="TextBox 1894">
          <a:extLst>
            <a:ext uri="{FF2B5EF4-FFF2-40B4-BE49-F238E27FC236}">
              <a16:creationId xmlns:a16="http://schemas.microsoft.com/office/drawing/2014/main" id="{56FA2219-EB36-42B5-9419-7739EF7BB8B2}"/>
            </a:ext>
          </a:extLst>
        </xdr:cNvPr>
        <xdr:cNvSpPr txBox="1"/>
      </xdr:nvSpPr>
      <xdr:spPr>
        <a:xfrm>
          <a:off x="5943600" y="8592300"/>
          <a:ext cx="228600" cy="208800"/>
        </a:xfrm>
        <a:prstGeom prst="rect">
          <a:avLst/>
        </a:prstGeom>
        <a:solidFill>
          <a:srgbClr val="000000">
            <a:alpha val="30196"/>
          </a:srgbClr>
        </a:solidFill>
        <a:ln w="6350">
          <a:solidFill>
            <a:srgbClr val="00B05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l"/>
          <a:endParaRPr lang="en-US" sz="800" b="1" baseline="0">
            <a:solidFill>
              <a:srgbClr val="00B050"/>
            </a:solidFill>
            <a:latin typeface="+mn-lt"/>
          </a:endParaRPr>
        </a:p>
      </xdr:txBody>
    </xdr:sp>
    <xdr:clientData fLocksWithSheet="0"/>
  </xdr:twoCellAnchor>
  <xdr:twoCellAnchor>
    <xdr:from>
      <xdr:col>25</xdr:col>
      <xdr:colOff>0</xdr:colOff>
      <xdr:row>41</xdr:row>
      <xdr:rowOff>750</xdr:rowOff>
    </xdr:from>
    <xdr:to>
      <xdr:col>26</xdr:col>
      <xdr:colOff>0</xdr:colOff>
      <xdr:row>42</xdr:row>
      <xdr:rowOff>0</xdr:rowOff>
    </xdr:to>
    <xdr:sp macro="" textlink="">
      <xdr:nvSpPr>
        <xdr:cNvPr id="1889" name="TextBox 1888">
          <a:extLst>
            <a:ext uri="{FF2B5EF4-FFF2-40B4-BE49-F238E27FC236}">
              <a16:creationId xmlns:a16="http://schemas.microsoft.com/office/drawing/2014/main" id="{57AB514D-1746-4438-A2A4-74C8325DFDEA}"/>
            </a:ext>
          </a:extLst>
        </xdr:cNvPr>
        <xdr:cNvSpPr txBox="1"/>
      </xdr:nvSpPr>
      <xdr:spPr>
        <a:xfrm>
          <a:off x="5715000" y="8592300"/>
          <a:ext cx="228600" cy="208800"/>
        </a:xfrm>
        <a:prstGeom prst="rect">
          <a:avLst/>
        </a:prstGeom>
        <a:solidFill>
          <a:srgbClr val="000000">
            <a:alpha val="30196"/>
          </a:srgbClr>
        </a:solidFill>
        <a:ln w="6350">
          <a:solidFill>
            <a:srgbClr val="00B0F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endParaRPr lang="en-US" sz="800" b="1" baseline="0">
            <a:solidFill>
              <a:srgbClr val="00B0F0"/>
            </a:solidFill>
            <a:latin typeface="+mn-lt"/>
            <a:ea typeface="+mn-ea"/>
            <a:cs typeface="+mn-cs"/>
          </a:endParaRPr>
        </a:p>
      </xdr:txBody>
    </xdr:sp>
    <xdr:clientData fLocksWithSheet="0"/>
  </xdr:twoCellAnchor>
  <xdr:twoCellAnchor>
    <xdr:from>
      <xdr:col>46</xdr:col>
      <xdr:colOff>0</xdr:colOff>
      <xdr:row>46</xdr:row>
      <xdr:rowOff>4560</xdr:rowOff>
    </xdr:from>
    <xdr:to>
      <xdr:col>50</xdr:col>
      <xdr:colOff>374</xdr:colOff>
      <xdr:row>47</xdr:row>
      <xdr:rowOff>3810</xdr:rowOff>
    </xdr:to>
    <xdr:sp macro="" textlink="$CD$41">
      <xdr:nvSpPr>
        <xdr:cNvPr id="789" name="TextBox 788">
          <a:extLst>
            <a:ext uri="{FF2B5EF4-FFF2-40B4-BE49-F238E27FC236}">
              <a16:creationId xmlns:a16="http://schemas.microsoft.com/office/drawing/2014/main" id="{D332CA6B-52E2-1EA8-DBE2-F165EF50FAF9}"/>
            </a:ext>
          </a:extLst>
        </xdr:cNvPr>
        <xdr:cNvSpPr txBox="1"/>
      </xdr:nvSpPr>
      <xdr:spPr>
        <a:xfrm>
          <a:off x="10515600" y="964386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15BDA71C-ADEB-46B9-9A53-4BEFBE7670F2}"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45</xdr:col>
      <xdr:colOff>227608</xdr:colOff>
      <xdr:row>47</xdr:row>
      <xdr:rowOff>4560</xdr:rowOff>
    </xdr:from>
    <xdr:to>
      <xdr:col>50</xdr:col>
      <xdr:colOff>0</xdr:colOff>
      <xdr:row>48</xdr:row>
      <xdr:rowOff>3810</xdr:rowOff>
    </xdr:to>
    <xdr:sp macro="" textlink="$CD$43">
      <xdr:nvSpPr>
        <xdr:cNvPr id="790" name="TextBox 789">
          <a:extLst>
            <a:ext uri="{FF2B5EF4-FFF2-40B4-BE49-F238E27FC236}">
              <a16:creationId xmlns:a16="http://schemas.microsoft.com/office/drawing/2014/main" id="{A1114B83-366C-A326-FB82-89D73A96694F}"/>
            </a:ext>
          </a:extLst>
        </xdr:cNvPr>
        <xdr:cNvSpPr txBox="1"/>
      </xdr:nvSpPr>
      <xdr:spPr>
        <a:xfrm>
          <a:off x="10514608" y="9853410"/>
          <a:ext cx="915392"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84AB6D5B-5220-458F-937F-7FEFDEC65480}"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45</xdr:col>
      <xdr:colOff>227981</xdr:colOff>
      <xdr:row>48</xdr:row>
      <xdr:rowOff>0</xdr:rowOff>
    </xdr:from>
    <xdr:to>
      <xdr:col>50</xdr:col>
      <xdr:colOff>373</xdr:colOff>
      <xdr:row>48</xdr:row>
      <xdr:rowOff>208800</xdr:rowOff>
    </xdr:to>
    <xdr:sp macro="" textlink="$CD$45">
      <xdr:nvSpPr>
        <xdr:cNvPr id="791" name="TextBox 790">
          <a:extLst>
            <a:ext uri="{FF2B5EF4-FFF2-40B4-BE49-F238E27FC236}">
              <a16:creationId xmlns:a16="http://schemas.microsoft.com/office/drawing/2014/main" id="{749FA934-D060-F554-F6EC-B4A04382550C}"/>
            </a:ext>
          </a:extLst>
        </xdr:cNvPr>
        <xdr:cNvSpPr txBox="1"/>
      </xdr:nvSpPr>
      <xdr:spPr>
        <a:xfrm>
          <a:off x="10514981" y="10058400"/>
          <a:ext cx="915392"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FD9A3A71-8F0F-44A4-81E7-2C84893C1892}"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46</xdr:col>
      <xdr:colOff>0</xdr:colOff>
      <xdr:row>49</xdr:row>
      <xdr:rowOff>0</xdr:rowOff>
    </xdr:from>
    <xdr:to>
      <xdr:col>50</xdr:col>
      <xdr:colOff>374</xdr:colOff>
      <xdr:row>49</xdr:row>
      <xdr:rowOff>208800</xdr:rowOff>
    </xdr:to>
    <xdr:sp macro="" textlink="$CD$47">
      <xdr:nvSpPr>
        <xdr:cNvPr id="792" name="TextBox 791">
          <a:extLst>
            <a:ext uri="{FF2B5EF4-FFF2-40B4-BE49-F238E27FC236}">
              <a16:creationId xmlns:a16="http://schemas.microsoft.com/office/drawing/2014/main" id="{E4D2BB77-C0B8-40E1-043F-493D7C887541}"/>
            </a:ext>
          </a:extLst>
        </xdr:cNvPr>
        <xdr:cNvSpPr txBox="1"/>
      </xdr:nvSpPr>
      <xdr:spPr>
        <a:xfrm>
          <a:off x="10515600" y="102679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04E0C177-6F3B-4545-993A-2BA8B0338044}"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46</xdr:col>
      <xdr:colOff>0</xdr:colOff>
      <xdr:row>50</xdr:row>
      <xdr:rowOff>0</xdr:rowOff>
    </xdr:from>
    <xdr:to>
      <xdr:col>50</xdr:col>
      <xdr:colOff>374</xdr:colOff>
      <xdr:row>50</xdr:row>
      <xdr:rowOff>208800</xdr:rowOff>
    </xdr:to>
    <xdr:sp macro="" textlink="$CD$49">
      <xdr:nvSpPr>
        <xdr:cNvPr id="793" name="TextBox 792">
          <a:extLst>
            <a:ext uri="{FF2B5EF4-FFF2-40B4-BE49-F238E27FC236}">
              <a16:creationId xmlns:a16="http://schemas.microsoft.com/office/drawing/2014/main" id="{FAA74D67-6978-176E-7046-D18F58C25952}"/>
            </a:ext>
          </a:extLst>
        </xdr:cNvPr>
        <xdr:cNvSpPr txBox="1"/>
      </xdr:nvSpPr>
      <xdr:spPr>
        <a:xfrm>
          <a:off x="10515600" y="104775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D7EF1E61-D059-41D1-8392-0EDEF235055B}"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50</xdr:col>
      <xdr:colOff>227980</xdr:colOff>
      <xdr:row>46</xdr:row>
      <xdr:rowOff>0</xdr:rowOff>
    </xdr:from>
    <xdr:to>
      <xdr:col>55</xdr:col>
      <xdr:colOff>373</xdr:colOff>
      <xdr:row>46</xdr:row>
      <xdr:rowOff>208800</xdr:rowOff>
    </xdr:to>
    <xdr:sp macro="" textlink="$CD$51">
      <xdr:nvSpPr>
        <xdr:cNvPr id="795" name="TextBox 794">
          <a:extLst>
            <a:ext uri="{FF2B5EF4-FFF2-40B4-BE49-F238E27FC236}">
              <a16:creationId xmlns:a16="http://schemas.microsoft.com/office/drawing/2014/main" id="{7818F4C4-1632-8DFB-0236-BE4059A3AF4A}"/>
            </a:ext>
          </a:extLst>
        </xdr:cNvPr>
        <xdr:cNvSpPr txBox="1"/>
      </xdr:nvSpPr>
      <xdr:spPr>
        <a:xfrm>
          <a:off x="11657980" y="9639300"/>
          <a:ext cx="915393"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CD1791F0-0E7A-4373-933C-0A9462C069B4}"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51</xdr:col>
      <xdr:colOff>1</xdr:colOff>
      <xdr:row>47</xdr:row>
      <xdr:rowOff>0</xdr:rowOff>
    </xdr:from>
    <xdr:to>
      <xdr:col>55</xdr:col>
      <xdr:colOff>375</xdr:colOff>
      <xdr:row>47</xdr:row>
      <xdr:rowOff>208800</xdr:rowOff>
    </xdr:to>
    <xdr:sp macro="" textlink="$CD$53">
      <xdr:nvSpPr>
        <xdr:cNvPr id="796" name="TextBox 795">
          <a:extLst>
            <a:ext uri="{FF2B5EF4-FFF2-40B4-BE49-F238E27FC236}">
              <a16:creationId xmlns:a16="http://schemas.microsoft.com/office/drawing/2014/main" id="{2AFE3ED4-2767-BA60-60BB-4571EA756A6A}"/>
            </a:ext>
          </a:extLst>
        </xdr:cNvPr>
        <xdr:cNvSpPr txBox="1"/>
      </xdr:nvSpPr>
      <xdr:spPr>
        <a:xfrm>
          <a:off x="11658601" y="98488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2D391A7B-67A6-454C-A6C0-525C98A75201}"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51</xdr:col>
      <xdr:colOff>2</xdr:colOff>
      <xdr:row>48</xdr:row>
      <xdr:rowOff>0</xdr:rowOff>
    </xdr:from>
    <xdr:to>
      <xdr:col>55</xdr:col>
      <xdr:colOff>376</xdr:colOff>
      <xdr:row>48</xdr:row>
      <xdr:rowOff>208800</xdr:rowOff>
    </xdr:to>
    <xdr:sp macro="" textlink="$CD$55">
      <xdr:nvSpPr>
        <xdr:cNvPr id="797" name="TextBox 796">
          <a:extLst>
            <a:ext uri="{FF2B5EF4-FFF2-40B4-BE49-F238E27FC236}">
              <a16:creationId xmlns:a16="http://schemas.microsoft.com/office/drawing/2014/main" id="{22D352A6-0A62-5705-6EC7-518EE05BCF4C}"/>
            </a:ext>
          </a:extLst>
        </xdr:cNvPr>
        <xdr:cNvSpPr txBox="1"/>
      </xdr:nvSpPr>
      <xdr:spPr>
        <a:xfrm>
          <a:off x="11658602" y="100584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BE9F0A42-E563-4BEF-B7ED-D807E4CEBC59}"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51</xdr:col>
      <xdr:colOff>1</xdr:colOff>
      <xdr:row>49</xdr:row>
      <xdr:rowOff>0</xdr:rowOff>
    </xdr:from>
    <xdr:to>
      <xdr:col>55</xdr:col>
      <xdr:colOff>375</xdr:colOff>
      <xdr:row>49</xdr:row>
      <xdr:rowOff>208800</xdr:rowOff>
    </xdr:to>
    <xdr:sp macro="" textlink="$CD$57">
      <xdr:nvSpPr>
        <xdr:cNvPr id="798" name="TextBox 797">
          <a:extLst>
            <a:ext uri="{FF2B5EF4-FFF2-40B4-BE49-F238E27FC236}">
              <a16:creationId xmlns:a16="http://schemas.microsoft.com/office/drawing/2014/main" id="{C8CA803B-DEF1-CC58-C9EC-83AD1A2229BF}"/>
            </a:ext>
          </a:extLst>
        </xdr:cNvPr>
        <xdr:cNvSpPr txBox="1"/>
      </xdr:nvSpPr>
      <xdr:spPr>
        <a:xfrm>
          <a:off x="11658601" y="102679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856576DB-83DC-42BC-A2CA-E717EC7F25E6}"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51</xdr:col>
      <xdr:colOff>2</xdr:colOff>
      <xdr:row>50</xdr:row>
      <xdr:rowOff>0</xdr:rowOff>
    </xdr:from>
    <xdr:to>
      <xdr:col>55</xdr:col>
      <xdr:colOff>376</xdr:colOff>
      <xdr:row>50</xdr:row>
      <xdr:rowOff>208800</xdr:rowOff>
    </xdr:to>
    <xdr:sp macro="" textlink="$CD$59">
      <xdr:nvSpPr>
        <xdr:cNvPr id="799" name="TextBox 798">
          <a:extLst>
            <a:ext uri="{FF2B5EF4-FFF2-40B4-BE49-F238E27FC236}">
              <a16:creationId xmlns:a16="http://schemas.microsoft.com/office/drawing/2014/main" id="{6477853F-C5BD-1A22-7353-98A370AFBF12}"/>
            </a:ext>
          </a:extLst>
        </xdr:cNvPr>
        <xdr:cNvSpPr txBox="1"/>
      </xdr:nvSpPr>
      <xdr:spPr>
        <a:xfrm>
          <a:off x="11658602" y="104775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AEA7261F-2A88-4DC1-A659-DDFE0FD035BE}"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51</xdr:col>
      <xdr:colOff>2</xdr:colOff>
      <xdr:row>51</xdr:row>
      <xdr:rowOff>0</xdr:rowOff>
    </xdr:from>
    <xdr:to>
      <xdr:col>55</xdr:col>
      <xdr:colOff>376</xdr:colOff>
      <xdr:row>51</xdr:row>
      <xdr:rowOff>208800</xdr:rowOff>
    </xdr:to>
    <xdr:sp macro="" textlink="$CD$61">
      <xdr:nvSpPr>
        <xdr:cNvPr id="800" name="TextBox 799">
          <a:extLst>
            <a:ext uri="{FF2B5EF4-FFF2-40B4-BE49-F238E27FC236}">
              <a16:creationId xmlns:a16="http://schemas.microsoft.com/office/drawing/2014/main" id="{32EDC550-A4C1-A951-214D-A173C24E71EB}"/>
            </a:ext>
          </a:extLst>
        </xdr:cNvPr>
        <xdr:cNvSpPr txBox="1"/>
      </xdr:nvSpPr>
      <xdr:spPr>
        <a:xfrm>
          <a:off x="11658602" y="106870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0B72A532-3144-4F92-9063-45FDEFE304A4}"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56</xdr:col>
      <xdr:colOff>0</xdr:colOff>
      <xdr:row>46</xdr:row>
      <xdr:rowOff>0</xdr:rowOff>
    </xdr:from>
    <xdr:to>
      <xdr:col>60</xdr:col>
      <xdr:colOff>374</xdr:colOff>
      <xdr:row>46</xdr:row>
      <xdr:rowOff>208800</xdr:rowOff>
    </xdr:to>
    <xdr:sp macro="" textlink="$CD$63">
      <xdr:nvSpPr>
        <xdr:cNvPr id="802" name="TextBox 801">
          <a:extLst>
            <a:ext uri="{FF2B5EF4-FFF2-40B4-BE49-F238E27FC236}">
              <a16:creationId xmlns:a16="http://schemas.microsoft.com/office/drawing/2014/main" id="{26FF1AB8-A7E8-2370-02D2-F7B6A1A385B9}"/>
            </a:ext>
          </a:extLst>
        </xdr:cNvPr>
        <xdr:cNvSpPr txBox="1"/>
      </xdr:nvSpPr>
      <xdr:spPr>
        <a:xfrm>
          <a:off x="12801600" y="96393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F45C0D4C-BD10-425A-88C7-DB7EE0EC0B0C}"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55</xdr:col>
      <xdr:colOff>228599</xdr:colOff>
      <xdr:row>47</xdr:row>
      <xdr:rowOff>0</xdr:rowOff>
    </xdr:from>
    <xdr:to>
      <xdr:col>60</xdr:col>
      <xdr:colOff>373</xdr:colOff>
      <xdr:row>47</xdr:row>
      <xdr:rowOff>208800</xdr:rowOff>
    </xdr:to>
    <xdr:sp macro="" textlink="$CD$65">
      <xdr:nvSpPr>
        <xdr:cNvPr id="803" name="TextBox 802">
          <a:extLst>
            <a:ext uri="{FF2B5EF4-FFF2-40B4-BE49-F238E27FC236}">
              <a16:creationId xmlns:a16="http://schemas.microsoft.com/office/drawing/2014/main" id="{180CA1C9-DDEC-944E-E3D5-000EDBE562F0}"/>
            </a:ext>
          </a:extLst>
        </xdr:cNvPr>
        <xdr:cNvSpPr txBox="1"/>
      </xdr:nvSpPr>
      <xdr:spPr>
        <a:xfrm>
          <a:off x="12801599" y="98488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BD794BD2-1480-4D46-B17F-3E0B8EDEDD13}"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56</xdr:col>
      <xdr:colOff>0</xdr:colOff>
      <xdr:row>48</xdr:row>
      <xdr:rowOff>0</xdr:rowOff>
    </xdr:from>
    <xdr:to>
      <xdr:col>60</xdr:col>
      <xdr:colOff>374</xdr:colOff>
      <xdr:row>48</xdr:row>
      <xdr:rowOff>208800</xdr:rowOff>
    </xdr:to>
    <xdr:sp macro="" textlink="$CD$67">
      <xdr:nvSpPr>
        <xdr:cNvPr id="804" name="TextBox 803">
          <a:extLst>
            <a:ext uri="{FF2B5EF4-FFF2-40B4-BE49-F238E27FC236}">
              <a16:creationId xmlns:a16="http://schemas.microsoft.com/office/drawing/2014/main" id="{4A22FD2C-B721-0860-9259-F65294747BA8}"/>
            </a:ext>
          </a:extLst>
        </xdr:cNvPr>
        <xdr:cNvSpPr txBox="1"/>
      </xdr:nvSpPr>
      <xdr:spPr>
        <a:xfrm>
          <a:off x="12801600" y="100584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42F9B073-3CBA-4946-9E89-6422FB2057B7}"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56</xdr:col>
      <xdr:colOff>0</xdr:colOff>
      <xdr:row>49</xdr:row>
      <xdr:rowOff>0</xdr:rowOff>
    </xdr:from>
    <xdr:to>
      <xdr:col>60</xdr:col>
      <xdr:colOff>374</xdr:colOff>
      <xdr:row>49</xdr:row>
      <xdr:rowOff>208800</xdr:rowOff>
    </xdr:to>
    <xdr:sp macro="" textlink="$CD$69">
      <xdr:nvSpPr>
        <xdr:cNvPr id="805" name="TextBox 804">
          <a:extLst>
            <a:ext uri="{FF2B5EF4-FFF2-40B4-BE49-F238E27FC236}">
              <a16:creationId xmlns:a16="http://schemas.microsoft.com/office/drawing/2014/main" id="{0A213C9F-9F0D-17A1-0D38-DE26EA53559D}"/>
            </a:ext>
          </a:extLst>
        </xdr:cNvPr>
        <xdr:cNvSpPr txBox="1"/>
      </xdr:nvSpPr>
      <xdr:spPr>
        <a:xfrm>
          <a:off x="12801600" y="102679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AC34A02A-DC4C-4699-B39B-E7A8E6F84892}"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56</xdr:col>
      <xdr:colOff>0</xdr:colOff>
      <xdr:row>50</xdr:row>
      <xdr:rowOff>0</xdr:rowOff>
    </xdr:from>
    <xdr:to>
      <xdr:col>60</xdr:col>
      <xdr:colOff>374</xdr:colOff>
      <xdr:row>50</xdr:row>
      <xdr:rowOff>208800</xdr:rowOff>
    </xdr:to>
    <xdr:sp macro="" textlink="$CD$71">
      <xdr:nvSpPr>
        <xdr:cNvPr id="806" name="TextBox 805">
          <a:extLst>
            <a:ext uri="{FF2B5EF4-FFF2-40B4-BE49-F238E27FC236}">
              <a16:creationId xmlns:a16="http://schemas.microsoft.com/office/drawing/2014/main" id="{72FDC733-1442-FBBC-616C-7A2D73666569}"/>
            </a:ext>
          </a:extLst>
        </xdr:cNvPr>
        <xdr:cNvSpPr txBox="1"/>
      </xdr:nvSpPr>
      <xdr:spPr>
        <a:xfrm>
          <a:off x="12801600" y="104775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4B833F09-5CEE-48E2-8E37-F34AAE35FD89}"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56</xdr:col>
      <xdr:colOff>0</xdr:colOff>
      <xdr:row>51</xdr:row>
      <xdr:rowOff>0</xdr:rowOff>
    </xdr:from>
    <xdr:to>
      <xdr:col>60</xdr:col>
      <xdr:colOff>374</xdr:colOff>
      <xdr:row>51</xdr:row>
      <xdr:rowOff>208800</xdr:rowOff>
    </xdr:to>
    <xdr:sp macro="" textlink="$CD$73">
      <xdr:nvSpPr>
        <xdr:cNvPr id="807" name="TextBox 806">
          <a:extLst>
            <a:ext uri="{FF2B5EF4-FFF2-40B4-BE49-F238E27FC236}">
              <a16:creationId xmlns:a16="http://schemas.microsoft.com/office/drawing/2014/main" id="{74A4D4C6-F3E0-A458-AADA-B95CC62A7ADC}"/>
            </a:ext>
          </a:extLst>
        </xdr:cNvPr>
        <xdr:cNvSpPr txBox="1"/>
      </xdr:nvSpPr>
      <xdr:spPr>
        <a:xfrm>
          <a:off x="12801600" y="106870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BF9450EB-9164-41E2-96C1-B873B5EE3FAC}"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62</xdr:col>
      <xdr:colOff>0</xdr:colOff>
      <xdr:row>46</xdr:row>
      <xdr:rowOff>0</xdr:rowOff>
    </xdr:from>
    <xdr:to>
      <xdr:col>66</xdr:col>
      <xdr:colOff>374</xdr:colOff>
      <xdr:row>46</xdr:row>
      <xdr:rowOff>208800</xdr:rowOff>
    </xdr:to>
    <xdr:sp macro="" textlink="$CL$41">
      <xdr:nvSpPr>
        <xdr:cNvPr id="809" name="TextBox 808">
          <a:extLst>
            <a:ext uri="{FF2B5EF4-FFF2-40B4-BE49-F238E27FC236}">
              <a16:creationId xmlns:a16="http://schemas.microsoft.com/office/drawing/2014/main" id="{9F72006B-0BE7-51A4-7C59-59B212E899BF}"/>
            </a:ext>
          </a:extLst>
        </xdr:cNvPr>
        <xdr:cNvSpPr txBox="1"/>
      </xdr:nvSpPr>
      <xdr:spPr>
        <a:xfrm>
          <a:off x="14173200" y="96393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9CCB274C-F004-4DF5-8434-1C204B6BCDF8}"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61</xdr:col>
      <xdr:colOff>228599</xdr:colOff>
      <xdr:row>47</xdr:row>
      <xdr:rowOff>0</xdr:rowOff>
    </xdr:from>
    <xdr:to>
      <xdr:col>66</xdr:col>
      <xdr:colOff>373</xdr:colOff>
      <xdr:row>47</xdr:row>
      <xdr:rowOff>208800</xdr:rowOff>
    </xdr:to>
    <xdr:sp macro="" textlink="$CL$43">
      <xdr:nvSpPr>
        <xdr:cNvPr id="810" name="TextBox 809">
          <a:extLst>
            <a:ext uri="{FF2B5EF4-FFF2-40B4-BE49-F238E27FC236}">
              <a16:creationId xmlns:a16="http://schemas.microsoft.com/office/drawing/2014/main" id="{2B0F0FB6-0114-8B91-B21A-6131CC762738}"/>
            </a:ext>
          </a:extLst>
        </xdr:cNvPr>
        <xdr:cNvSpPr txBox="1"/>
      </xdr:nvSpPr>
      <xdr:spPr>
        <a:xfrm>
          <a:off x="14173199" y="98488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DCE3A02D-965A-4C4E-828D-23BF3684B2A3}"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62</xdr:col>
      <xdr:colOff>0</xdr:colOff>
      <xdr:row>48</xdr:row>
      <xdr:rowOff>0</xdr:rowOff>
    </xdr:from>
    <xdr:to>
      <xdr:col>66</xdr:col>
      <xdr:colOff>374</xdr:colOff>
      <xdr:row>48</xdr:row>
      <xdr:rowOff>208800</xdr:rowOff>
    </xdr:to>
    <xdr:sp macro="" textlink="$CL$45">
      <xdr:nvSpPr>
        <xdr:cNvPr id="811" name="TextBox 810">
          <a:extLst>
            <a:ext uri="{FF2B5EF4-FFF2-40B4-BE49-F238E27FC236}">
              <a16:creationId xmlns:a16="http://schemas.microsoft.com/office/drawing/2014/main" id="{9E3CC359-FB79-4FF8-5623-0D21F30552C7}"/>
            </a:ext>
          </a:extLst>
        </xdr:cNvPr>
        <xdr:cNvSpPr txBox="1"/>
      </xdr:nvSpPr>
      <xdr:spPr>
        <a:xfrm>
          <a:off x="14173200" y="100584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C0C94C14-E26E-427B-B2E6-98853A0DB3B9}"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62</xdr:col>
      <xdr:colOff>0</xdr:colOff>
      <xdr:row>49</xdr:row>
      <xdr:rowOff>0</xdr:rowOff>
    </xdr:from>
    <xdr:to>
      <xdr:col>66</xdr:col>
      <xdr:colOff>374</xdr:colOff>
      <xdr:row>49</xdr:row>
      <xdr:rowOff>208800</xdr:rowOff>
    </xdr:to>
    <xdr:sp macro="" textlink="$CL$47">
      <xdr:nvSpPr>
        <xdr:cNvPr id="812" name="TextBox 811">
          <a:extLst>
            <a:ext uri="{FF2B5EF4-FFF2-40B4-BE49-F238E27FC236}">
              <a16:creationId xmlns:a16="http://schemas.microsoft.com/office/drawing/2014/main" id="{998B3019-7490-933F-ED18-1B7D601B3F4A}"/>
            </a:ext>
          </a:extLst>
        </xdr:cNvPr>
        <xdr:cNvSpPr txBox="1"/>
      </xdr:nvSpPr>
      <xdr:spPr>
        <a:xfrm>
          <a:off x="14173200" y="102679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E53AE843-B066-462D-87AF-6841B98AD7D2}"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62</xdr:col>
      <xdr:colOff>0</xdr:colOff>
      <xdr:row>50</xdr:row>
      <xdr:rowOff>0</xdr:rowOff>
    </xdr:from>
    <xdr:to>
      <xdr:col>66</xdr:col>
      <xdr:colOff>374</xdr:colOff>
      <xdr:row>50</xdr:row>
      <xdr:rowOff>208800</xdr:rowOff>
    </xdr:to>
    <xdr:sp macro="" textlink="$CL$49">
      <xdr:nvSpPr>
        <xdr:cNvPr id="813" name="TextBox 812">
          <a:extLst>
            <a:ext uri="{FF2B5EF4-FFF2-40B4-BE49-F238E27FC236}">
              <a16:creationId xmlns:a16="http://schemas.microsoft.com/office/drawing/2014/main" id="{9E18CA0A-DE9F-78CC-5928-D780180E75A0}"/>
            </a:ext>
          </a:extLst>
        </xdr:cNvPr>
        <xdr:cNvSpPr txBox="1"/>
      </xdr:nvSpPr>
      <xdr:spPr>
        <a:xfrm>
          <a:off x="14173200" y="104775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9F1DD33F-7883-4A1B-BEB5-FB183977AF09}"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67</xdr:col>
      <xdr:colOff>0</xdr:colOff>
      <xdr:row>46</xdr:row>
      <xdr:rowOff>0</xdr:rowOff>
    </xdr:from>
    <xdr:to>
      <xdr:col>71</xdr:col>
      <xdr:colOff>374</xdr:colOff>
      <xdr:row>46</xdr:row>
      <xdr:rowOff>208800</xdr:rowOff>
    </xdr:to>
    <xdr:sp macro="" textlink="$CL$51">
      <xdr:nvSpPr>
        <xdr:cNvPr id="815" name="TextBox 814">
          <a:extLst>
            <a:ext uri="{FF2B5EF4-FFF2-40B4-BE49-F238E27FC236}">
              <a16:creationId xmlns:a16="http://schemas.microsoft.com/office/drawing/2014/main" id="{3BF05D43-9E7D-5547-07EB-F2850D6C886D}"/>
            </a:ext>
          </a:extLst>
        </xdr:cNvPr>
        <xdr:cNvSpPr txBox="1"/>
      </xdr:nvSpPr>
      <xdr:spPr>
        <a:xfrm>
          <a:off x="15316200" y="96393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CA690567-09B6-43CD-8289-D0ACA6FA466A}"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67</xdr:col>
      <xdr:colOff>0</xdr:colOff>
      <xdr:row>47</xdr:row>
      <xdr:rowOff>0</xdr:rowOff>
    </xdr:from>
    <xdr:to>
      <xdr:col>71</xdr:col>
      <xdr:colOff>374</xdr:colOff>
      <xdr:row>47</xdr:row>
      <xdr:rowOff>208800</xdr:rowOff>
    </xdr:to>
    <xdr:sp macro="" textlink="$CL$53">
      <xdr:nvSpPr>
        <xdr:cNvPr id="816" name="TextBox 815">
          <a:extLst>
            <a:ext uri="{FF2B5EF4-FFF2-40B4-BE49-F238E27FC236}">
              <a16:creationId xmlns:a16="http://schemas.microsoft.com/office/drawing/2014/main" id="{4AECD595-7907-FEAC-B506-031C16FDDD5D}"/>
            </a:ext>
          </a:extLst>
        </xdr:cNvPr>
        <xdr:cNvSpPr txBox="1"/>
      </xdr:nvSpPr>
      <xdr:spPr>
        <a:xfrm>
          <a:off x="15316200" y="98488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0851B393-993D-4B7A-B4FD-6BFA6842A746}"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67</xdr:col>
      <xdr:colOff>0</xdr:colOff>
      <xdr:row>48</xdr:row>
      <xdr:rowOff>0</xdr:rowOff>
    </xdr:from>
    <xdr:to>
      <xdr:col>71</xdr:col>
      <xdr:colOff>374</xdr:colOff>
      <xdr:row>48</xdr:row>
      <xdr:rowOff>208800</xdr:rowOff>
    </xdr:to>
    <xdr:sp macro="" textlink="$CL$55">
      <xdr:nvSpPr>
        <xdr:cNvPr id="817" name="TextBox 816">
          <a:extLst>
            <a:ext uri="{FF2B5EF4-FFF2-40B4-BE49-F238E27FC236}">
              <a16:creationId xmlns:a16="http://schemas.microsoft.com/office/drawing/2014/main" id="{386AA3A3-8B69-B6D6-0624-CE903AE0B5B9}"/>
            </a:ext>
          </a:extLst>
        </xdr:cNvPr>
        <xdr:cNvSpPr txBox="1"/>
      </xdr:nvSpPr>
      <xdr:spPr>
        <a:xfrm>
          <a:off x="15316200" y="100584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29E178B8-A85A-42AB-A804-896D63EE6AA9}"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67</xdr:col>
      <xdr:colOff>0</xdr:colOff>
      <xdr:row>49</xdr:row>
      <xdr:rowOff>0</xdr:rowOff>
    </xdr:from>
    <xdr:to>
      <xdr:col>71</xdr:col>
      <xdr:colOff>374</xdr:colOff>
      <xdr:row>49</xdr:row>
      <xdr:rowOff>208800</xdr:rowOff>
    </xdr:to>
    <xdr:sp macro="" textlink="$CL$57">
      <xdr:nvSpPr>
        <xdr:cNvPr id="818" name="TextBox 817">
          <a:extLst>
            <a:ext uri="{FF2B5EF4-FFF2-40B4-BE49-F238E27FC236}">
              <a16:creationId xmlns:a16="http://schemas.microsoft.com/office/drawing/2014/main" id="{F325817E-989A-1DA2-1DC8-7E26019FF9F6}"/>
            </a:ext>
          </a:extLst>
        </xdr:cNvPr>
        <xdr:cNvSpPr txBox="1"/>
      </xdr:nvSpPr>
      <xdr:spPr>
        <a:xfrm>
          <a:off x="15316200" y="102679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B0E364CE-0F4A-4738-BFEF-16467E6A53C6}"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66</xdr:col>
      <xdr:colOff>227980</xdr:colOff>
      <xdr:row>50</xdr:row>
      <xdr:rowOff>0</xdr:rowOff>
    </xdr:from>
    <xdr:to>
      <xdr:col>71</xdr:col>
      <xdr:colOff>373</xdr:colOff>
      <xdr:row>50</xdr:row>
      <xdr:rowOff>208800</xdr:rowOff>
    </xdr:to>
    <xdr:sp macro="" textlink="$CL$59">
      <xdr:nvSpPr>
        <xdr:cNvPr id="819" name="TextBox 818">
          <a:extLst>
            <a:ext uri="{FF2B5EF4-FFF2-40B4-BE49-F238E27FC236}">
              <a16:creationId xmlns:a16="http://schemas.microsoft.com/office/drawing/2014/main" id="{89625865-0F2E-E03A-B9E1-A77651BD0FC6}"/>
            </a:ext>
          </a:extLst>
        </xdr:cNvPr>
        <xdr:cNvSpPr txBox="1"/>
      </xdr:nvSpPr>
      <xdr:spPr>
        <a:xfrm>
          <a:off x="15315580" y="10477500"/>
          <a:ext cx="915393"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20B7F1AD-DCF1-4F05-BAC8-5CE9A05420F0}"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67</xdr:col>
      <xdr:colOff>0</xdr:colOff>
      <xdr:row>51</xdr:row>
      <xdr:rowOff>0</xdr:rowOff>
    </xdr:from>
    <xdr:to>
      <xdr:col>71</xdr:col>
      <xdr:colOff>374</xdr:colOff>
      <xdr:row>51</xdr:row>
      <xdr:rowOff>208800</xdr:rowOff>
    </xdr:to>
    <xdr:sp macro="" textlink="$CL$61">
      <xdr:nvSpPr>
        <xdr:cNvPr id="820" name="TextBox 819">
          <a:extLst>
            <a:ext uri="{FF2B5EF4-FFF2-40B4-BE49-F238E27FC236}">
              <a16:creationId xmlns:a16="http://schemas.microsoft.com/office/drawing/2014/main" id="{80F6AD4D-44D3-BFB6-0A94-FEDD3BE9352A}"/>
            </a:ext>
          </a:extLst>
        </xdr:cNvPr>
        <xdr:cNvSpPr txBox="1"/>
      </xdr:nvSpPr>
      <xdr:spPr>
        <a:xfrm>
          <a:off x="15316200" y="106870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CA8EC9AB-14FB-44DA-8145-D8BA629C7723}"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72</xdr:col>
      <xdr:colOff>0</xdr:colOff>
      <xdr:row>46</xdr:row>
      <xdr:rowOff>0</xdr:rowOff>
    </xdr:from>
    <xdr:to>
      <xdr:col>76</xdr:col>
      <xdr:colOff>374</xdr:colOff>
      <xdr:row>46</xdr:row>
      <xdr:rowOff>208800</xdr:rowOff>
    </xdr:to>
    <xdr:sp macro="" textlink="$CL$63">
      <xdr:nvSpPr>
        <xdr:cNvPr id="822" name="TextBox 821">
          <a:extLst>
            <a:ext uri="{FF2B5EF4-FFF2-40B4-BE49-F238E27FC236}">
              <a16:creationId xmlns:a16="http://schemas.microsoft.com/office/drawing/2014/main" id="{9E9D243C-7B0A-E6CA-9AA1-2532FD3BD7F9}"/>
            </a:ext>
          </a:extLst>
        </xdr:cNvPr>
        <xdr:cNvSpPr txBox="1"/>
      </xdr:nvSpPr>
      <xdr:spPr>
        <a:xfrm>
          <a:off x="16459200" y="96393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8E545292-DD88-4D26-A375-B47375BED340}"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71</xdr:col>
      <xdr:colOff>228599</xdr:colOff>
      <xdr:row>47</xdr:row>
      <xdr:rowOff>0</xdr:rowOff>
    </xdr:from>
    <xdr:to>
      <xdr:col>76</xdr:col>
      <xdr:colOff>373</xdr:colOff>
      <xdr:row>47</xdr:row>
      <xdr:rowOff>208800</xdr:rowOff>
    </xdr:to>
    <xdr:sp macro="" textlink="$CL$65">
      <xdr:nvSpPr>
        <xdr:cNvPr id="823" name="TextBox 822">
          <a:extLst>
            <a:ext uri="{FF2B5EF4-FFF2-40B4-BE49-F238E27FC236}">
              <a16:creationId xmlns:a16="http://schemas.microsoft.com/office/drawing/2014/main" id="{8BD1C356-BD9A-075D-BCFC-9FB9A48B4CD9}"/>
            </a:ext>
          </a:extLst>
        </xdr:cNvPr>
        <xdr:cNvSpPr txBox="1"/>
      </xdr:nvSpPr>
      <xdr:spPr>
        <a:xfrm>
          <a:off x="16459199" y="98488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B5A13845-23ED-4503-A210-009A0CDD3873}"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72</xdr:col>
      <xdr:colOff>0</xdr:colOff>
      <xdr:row>48</xdr:row>
      <xdr:rowOff>0</xdr:rowOff>
    </xdr:from>
    <xdr:to>
      <xdr:col>76</xdr:col>
      <xdr:colOff>374</xdr:colOff>
      <xdr:row>48</xdr:row>
      <xdr:rowOff>208800</xdr:rowOff>
    </xdr:to>
    <xdr:sp macro="" textlink="$CL$67">
      <xdr:nvSpPr>
        <xdr:cNvPr id="824" name="TextBox 823">
          <a:extLst>
            <a:ext uri="{FF2B5EF4-FFF2-40B4-BE49-F238E27FC236}">
              <a16:creationId xmlns:a16="http://schemas.microsoft.com/office/drawing/2014/main" id="{D167AADD-996B-B4DE-7037-59F9727FBD58}"/>
            </a:ext>
          </a:extLst>
        </xdr:cNvPr>
        <xdr:cNvSpPr txBox="1"/>
      </xdr:nvSpPr>
      <xdr:spPr>
        <a:xfrm>
          <a:off x="16459200" y="100584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AE7A1436-6D65-4E41-A9C6-0A9372A10A5A}"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71</xdr:col>
      <xdr:colOff>228599</xdr:colOff>
      <xdr:row>49</xdr:row>
      <xdr:rowOff>0</xdr:rowOff>
    </xdr:from>
    <xdr:to>
      <xdr:col>76</xdr:col>
      <xdr:colOff>373</xdr:colOff>
      <xdr:row>49</xdr:row>
      <xdr:rowOff>208800</xdr:rowOff>
    </xdr:to>
    <xdr:sp macro="" textlink="$CL$69">
      <xdr:nvSpPr>
        <xdr:cNvPr id="825" name="TextBox 824">
          <a:extLst>
            <a:ext uri="{FF2B5EF4-FFF2-40B4-BE49-F238E27FC236}">
              <a16:creationId xmlns:a16="http://schemas.microsoft.com/office/drawing/2014/main" id="{36349CF4-6B1F-5803-D40C-029C6426AC69}"/>
            </a:ext>
          </a:extLst>
        </xdr:cNvPr>
        <xdr:cNvSpPr txBox="1"/>
      </xdr:nvSpPr>
      <xdr:spPr>
        <a:xfrm>
          <a:off x="16459199" y="102679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F457070C-A491-4984-8E01-89BC6E3F4C9A}"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72</xdr:col>
      <xdr:colOff>0</xdr:colOff>
      <xdr:row>50</xdr:row>
      <xdr:rowOff>0</xdr:rowOff>
    </xdr:from>
    <xdr:to>
      <xdr:col>76</xdr:col>
      <xdr:colOff>374</xdr:colOff>
      <xdr:row>50</xdr:row>
      <xdr:rowOff>208800</xdr:rowOff>
    </xdr:to>
    <xdr:sp macro="" textlink="$CL$71">
      <xdr:nvSpPr>
        <xdr:cNvPr id="826" name="TextBox 825">
          <a:extLst>
            <a:ext uri="{FF2B5EF4-FFF2-40B4-BE49-F238E27FC236}">
              <a16:creationId xmlns:a16="http://schemas.microsoft.com/office/drawing/2014/main" id="{F6F03732-4C95-CDB7-FE7E-DFEB4F9C67AC}"/>
            </a:ext>
          </a:extLst>
        </xdr:cNvPr>
        <xdr:cNvSpPr txBox="1"/>
      </xdr:nvSpPr>
      <xdr:spPr>
        <a:xfrm>
          <a:off x="16459200" y="104775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9206C6C9-8546-452B-9095-552CE4FD063F}"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71</xdr:col>
      <xdr:colOff>228599</xdr:colOff>
      <xdr:row>51</xdr:row>
      <xdr:rowOff>0</xdr:rowOff>
    </xdr:from>
    <xdr:to>
      <xdr:col>76</xdr:col>
      <xdr:colOff>373</xdr:colOff>
      <xdr:row>51</xdr:row>
      <xdr:rowOff>208800</xdr:rowOff>
    </xdr:to>
    <xdr:sp macro="" textlink="$CL$73">
      <xdr:nvSpPr>
        <xdr:cNvPr id="827" name="TextBox 826">
          <a:extLst>
            <a:ext uri="{FF2B5EF4-FFF2-40B4-BE49-F238E27FC236}">
              <a16:creationId xmlns:a16="http://schemas.microsoft.com/office/drawing/2014/main" id="{EBAFE27C-880E-62B2-C08D-B8D0A3A5BA98}"/>
            </a:ext>
          </a:extLst>
        </xdr:cNvPr>
        <xdr:cNvSpPr txBox="1"/>
      </xdr:nvSpPr>
      <xdr:spPr>
        <a:xfrm>
          <a:off x="16459199" y="106870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254697D9-744C-44AF-A14E-AC14783F0A88}"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46</xdr:col>
      <xdr:colOff>0</xdr:colOff>
      <xdr:row>54</xdr:row>
      <xdr:rowOff>0</xdr:rowOff>
    </xdr:from>
    <xdr:to>
      <xdr:col>50</xdr:col>
      <xdr:colOff>374</xdr:colOff>
      <xdr:row>54</xdr:row>
      <xdr:rowOff>208800</xdr:rowOff>
    </xdr:to>
    <xdr:sp macro="" textlink="$CW$41">
      <xdr:nvSpPr>
        <xdr:cNvPr id="829" name="TextBox 828">
          <a:extLst>
            <a:ext uri="{FF2B5EF4-FFF2-40B4-BE49-F238E27FC236}">
              <a16:creationId xmlns:a16="http://schemas.microsoft.com/office/drawing/2014/main" id="{E05887ED-988C-723D-9435-0BBBFDE1B44C}"/>
            </a:ext>
          </a:extLst>
        </xdr:cNvPr>
        <xdr:cNvSpPr txBox="1"/>
      </xdr:nvSpPr>
      <xdr:spPr>
        <a:xfrm>
          <a:off x="10515600" y="115252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0FF0B11A-9EA3-4999-AE6B-1CFEAAA264D2}"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46</xdr:col>
      <xdr:colOff>0</xdr:colOff>
      <xdr:row>55</xdr:row>
      <xdr:rowOff>0</xdr:rowOff>
    </xdr:from>
    <xdr:to>
      <xdr:col>50</xdr:col>
      <xdr:colOff>374</xdr:colOff>
      <xdr:row>55</xdr:row>
      <xdr:rowOff>208800</xdr:rowOff>
    </xdr:to>
    <xdr:sp macro="" textlink="$CW$43">
      <xdr:nvSpPr>
        <xdr:cNvPr id="830" name="TextBox 829">
          <a:extLst>
            <a:ext uri="{FF2B5EF4-FFF2-40B4-BE49-F238E27FC236}">
              <a16:creationId xmlns:a16="http://schemas.microsoft.com/office/drawing/2014/main" id="{E4A2DD07-2F32-B338-166D-F09F84707828}"/>
            </a:ext>
          </a:extLst>
        </xdr:cNvPr>
        <xdr:cNvSpPr txBox="1"/>
      </xdr:nvSpPr>
      <xdr:spPr>
        <a:xfrm>
          <a:off x="10515600" y="117348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C637DDBA-DE6E-484E-88D5-391300A5EAE0}"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46</xdr:col>
      <xdr:colOff>0</xdr:colOff>
      <xdr:row>56</xdr:row>
      <xdr:rowOff>0</xdr:rowOff>
    </xdr:from>
    <xdr:to>
      <xdr:col>50</xdr:col>
      <xdr:colOff>374</xdr:colOff>
      <xdr:row>56</xdr:row>
      <xdr:rowOff>208800</xdr:rowOff>
    </xdr:to>
    <xdr:sp macro="" textlink="$CW$45">
      <xdr:nvSpPr>
        <xdr:cNvPr id="831" name="TextBox 830">
          <a:extLst>
            <a:ext uri="{FF2B5EF4-FFF2-40B4-BE49-F238E27FC236}">
              <a16:creationId xmlns:a16="http://schemas.microsoft.com/office/drawing/2014/main" id="{42EDF2FC-3E45-8DC7-1F2E-B7033324D4E6}"/>
            </a:ext>
          </a:extLst>
        </xdr:cNvPr>
        <xdr:cNvSpPr txBox="1"/>
      </xdr:nvSpPr>
      <xdr:spPr>
        <a:xfrm>
          <a:off x="10515600" y="119443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6C2B601C-7098-4B7E-9334-384ECD918575}"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46</xdr:col>
      <xdr:colOff>0</xdr:colOff>
      <xdr:row>57</xdr:row>
      <xdr:rowOff>0</xdr:rowOff>
    </xdr:from>
    <xdr:to>
      <xdr:col>50</xdr:col>
      <xdr:colOff>374</xdr:colOff>
      <xdr:row>57</xdr:row>
      <xdr:rowOff>208800</xdr:rowOff>
    </xdr:to>
    <xdr:sp macro="" textlink="$CW$47">
      <xdr:nvSpPr>
        <xdr:cNvPr id="832" name="TextBox 831">
          <a:extLst>
            <a:ext uri="{FF2B5EF4-FFF2-40B4-BE49-F238E27FC236}">
              <a16:creationId xmlns:a16="http://schemas.microsoft.com/office/drawing/2014/main" id="{7D599AD4-FE06-B402-187B-13A2D5EBC62D}"/>
            </a:ext>
          </a:extLst>
        </xdr:cNvPr>
        <xdr:cNvSpPr txBox="1"/>
      </xdr:nvSpPr>
      <xdr:spPr>
        <a:xfrm>
          <a:off x="10515600" y="121539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5AD5D02B-82AD-4445-89CA-87C842F179B8}"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51</xdr:col>
      <xdr:colOff>0</xdr:colOff>
      <xdr:row>54</xdr:row>
      <xdr:rowOff>0</xdr:rowOff>
    </xdr:from>
    <xdr:to>
      <xdr:col>55</xdr:col>
      <xdr:colOff>374</xdr:colOff>
      <xdr:row>54</xdr:row>
      <xdr:rowOff>208800</xdr:rowOff>
    </xdr:to>
    <xdr:sp macro="" textlink="$CW$49">
      <xdr:nvSpPr>
        <xdr:cNvPr id="838" name="TextBox 837">
          <a:extLst>
            <a:ext uri="{FF2B5EF4-FFF2-40B4-BE49-F238E27FC236}">
              <a16:creationId xmlns:a16="http://schemas.microsoft.com/office/drawing/2014/main" id="{2C895094-7AAA-85AF-A4A1-F26EA787EB28}"/>
            </a:ext>
          </a:extLst>
        </xdr:cNvPr>
        <xdr:cNvSpPr txBox="1"/>
      </xdr:nvSpPr>
      <xdr:spPr>
        <a:xfrm>
          <a:off x="11658600" y="115252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CB4388C8-A014-4392-A418-9C9B1D66B84C}"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51</xdr:col>
      <xdr:colOff>0</xdr:colOff>
      <xdr:row>54</xdr:row>
      <xdr:rowOff>209549</xdr:rowOff>
    </xdr:from>
    <xdr:to>
      <xdr:col>55</xdr:col>
      <xdr:colOff>374</xdr:colOff>
      <xdr:row>55</xdr:row>
      <xdr:rowOff>208799</xdr:rowOff>
    </xdr:to>
    <xdr:sp macro="" textlink="$CW$51">
      <xdr:nvSpPr>
        <xdr:cNvPr id="839" name="TextBox 838">
          <a:extLst>
            <a:ext uri="{FF2B5EF4-FFF2-40B4-BE49-F238E27FC236}">
              <a16:creationId xmlns:a16="http://schemas.microsoft.com/office/drawing/2014/main" id="{47A89162-D884-788E-5F10-C4F7DDC97692}"/>
            </a:ext>
          </a:extLst>
        </xdr:cNvPr>
        <xdr:cNvSpPr txBox="1"/>
      </xdr:nvSpPr>
      <xdr:spPr>
        <a:xfrm>
          <a:off x="11658600" y="11734799"/>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4B0CEF87-677B-4163-BD9E-BC2B286A6791}"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51</xdr:col>
      <xdr:colOff>0</xdr:colOff>
      <xdr:row>56</xdr:row>
      <xdr:rowOff>0</xdr:rowOff>
    </xdr:from>
    <xdr:to>
      <xdr:col>55</xdr:col>
      <xdr:colOff>374</xdr:colOff>
      <xdr:row>56</xdr:row>
      <xdr:rowOff>208800</xdr:rowOff>
    </xdr:to>
    <xdr:sp macro="" textlink="$CW$53">
      <xdr:nvSpPr>
        <xdr:cNvPr id="840" name="TextBox 839">
          <a:extLst>
            <a:ext uri="{FF2B5EF4-FFF2-40B4-BE49-F238E27FC236}">
              <a16:creationId xmlns:a16="http://schemas.microsoft.com/office/drawing/2014/main" id="{9941BD33-E0AB-FA3A-DDED-35C4951DFBD9}"/>
            </a:ext>
          </a:extLst>
        </xdr:cNvPr>
        <xdr:cNvSpPr txBox="1"/>
      </xdr:nvSpPr>
      <xdr:spPr>
        <a:xfrm>
          <a:off x="11658600" y="119443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9CBC1A61-1439-43C0-BB25-AA0FC359BF43}"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51</xdr:col>
      <xdr:colOff>0</xdr:colOff>
      <xdr:row>57</xdr:row>
      <xdr:rowOff>0</xdr:rowOff>
    </xdr:from>
    <xdr:to>
      <xdr:col>55</xdr:col>
      <xdr:colOff>374</xdr:colOff>
      <xdr:row>57</xdr:row>
      <xdr:rowOff>208800</xdr:rowOff>
    </xdr:to>
    <xdr:sp macro="" textlink="$CW$55">
      <xdr:nvSpPr>
        <xdr:cNvPr id="841" name="TextBox 840">
          <a:extLst>
            <a:ext uri="{FF2B5EF4-FFF2-40B4-BE49-F238E27FC236}">
              <a16:creationId xmlns:a16="http://schemas.microsoft.com/office/drawing/2014/main" id="{EAB1791D-262C-2A41-DA9A-341D80709E77}"/>
            </a:ext>
          </a:extLst>
        </xdr:cNvPr>
        <xdr:cNvSpPr txBox="1"/>
      </xdr:nvSpPr>
      <xdr:spPr>
        <a:xfrm>
          <a:off x="11658600" y="121539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6B16DBB2-F9C8-4F6E-9AB2-F7B72B1D093E}"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56</xdr:col>
      <xdr:colOff>0</xdr:colOff>
      <xdr:row>54</xdr:row>
      <xdr:rowOff>0</xdr:rowOff>
    </xdr:from>
    <xdr:to>
      <xdr:col>60</xdr:col>
      <xdr:colOff>374</xdr:colOff>
      <xdr:row>54</xdr:row>
      <xdr:rowOff>208800</xdr:rowOff>
    </xdr:to>
    <xdr:sp macro="" textlink="$CW$57">
      <xdr:nvSpPr>
        <xdr:cNvPr id="847" name="TextBox 846">
          <a:extLst>
            <a:ext uri="{FF2B5EF4-FFF2-40B4-BE49-F238E27FC236}">
              <a16:creationId xmlns:a16="http://schemas.microsoft.com/office/drawing/2014/main" id="{ADFE6020-0CD6-B5ED-245A-539B8A7333A5}"/>
            </a:ext>
          </a:extLst>
        </xdr:cNvPr>
        <xdr:cNvSpPr txBox="1"/>
      </xdr:nvSpPr>
      <xdr:spPr>
        <a:xfrm>
          <a:off x="12801600" y="115252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867A74F1-2A53-4A44-8D60-96A507E1340D}"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56</xdr:col>
      <xdr:colOff>0</xdr:colOff>
      <xdr:row>54</xdr:row>
      <xdr:rowOff>209549</xdr:rowOff>
    </xdr:from>
    <xdr:to>
      <xdr:col>60</xdr:col>
      <xdr:colOff>374</xdr:colOff>
      <xdr:row>55</xdr:row>
      <xdr:rowOff>208799</xdr:rowOff>
    </xdr:to>
    <xdr:sp macro="" textlink="$CW$59">
      <xdr:nvSpPr>
        <xdr:cNvPr id="848" name="TextBox 847">
          <a:extLst>
            <a:ext uri="{FF2B5EF4-FFF2-40B4-BE49-F238E27FC236}">
              <a16:creationId xmlns:a16="http://schemas.microsoft.com/office/drawing/2014/main" id="{F64E5444-48B5-A4E6-98A8-530C55B03C22}"/>
            </a:ext>
          </a:extLst>
        </xdr:cNvPr>
        <xdr:cNvSpPr txBox="1"/>
      </xdr:nvSpPr>
      <xdr:spPr>
        <a:xfrm>
          <a:off x="12801600" y="11734799"/>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8AA3B5BC-80B0-4CE3-A7B4-2877CE5F9B54}"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56</xdr:col>
      <xdr:colOff>0</xdr:colOff>
      <xdr:row>56</xdr:row>
      <xdr:rowOff>0</xdr:rowOff>
    </xdr:from>
    <xdr:to>
      <xdr:col>60</xdr:col>
      <xdr:colOff>374</xdr:colOff>
      <xdr:row>56</xdr:row>
      <xdr:rowOff>208800</xdr:rowOff>
    </xdr:to>
    <xdr:sp macro="" textlink="$CW$61">
      <xdr:nvSpPr>
        <xdr:cNvPr id="849" name="TextBox 848">
          <a:extLst>
            <a:ext uri="{FF2B5EF4-FFF2-40B4-BE49-F238E27FC236}">
              <a16:creationId xmlns:a16="http://schemas.microsoft.com/office/drawing/2014/main" id="{FDB25A72-C92C-169E-FD2A-4797F67C6AA8}"/>
            </a:ext>
          </a:extLst>
        </xdr:cNvPr>
        <xdr:cNvSpPr txBox="1"/>
      </xdr:nvSpPr>
      <xdr:spPr>
        <a:xfrm>
          <a:off x="12801600" y="119443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CFEE3905-70A7-4B25-87A2-EEB3B66A258D}"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56</xdr:col>
      <xdr:colOff>0</xdr:colOff>
      <xdr:row>57</xdr:row>
      <xdr:rowOff>0</xdr:rowOff>
    </xdr:from>
    <xdr:to>
      <xdr:col>60</xdr:col>
      <xdr:colOff>374</xdr:colOff>
      <xdr:row>57</xdr:row>
      <xdr:rowOff>208800</xdr:rowOff>
    </xdr:to>
    <xdr:sp macro="" textlink="$CW$63">
      <xdr:nvSpPr>
        <xdr:cNvPr id="850" name="TextBox 849">
          <a:extLst>
            <a:ext uri="{FF2B5EF4-FFF2-40B4-BE49-F238E27FC236}">
              <a16:creationId xmlns:a16="http://schemas.microsoft.com/office/drawing/2014/main" id="{FBA35BB6-7535-9E0D-7F9C-D1236BA821D3}"/>
            </a:ext>
          </a:extLst>
        </xdr:cNvPr>
        <xdr:cNvSpPr txBox="1"/>
      </xdr:nvSpPr>
      <xdr:spPr>
        <a:xfrm>
          <a:off x="12801600" y="121539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A34D2A19-5EAA-45A3-83F4-031ABC2A883F}"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62</xdr:col>
      <xdr:colOff>0</xdr:colOff>
      <xdr:row>54</xdr:row>
      <xdr:rowOff>0</xdr:rowOff>
    </xdr:from>
    <xdr:to>
      <xdr:col>66</xdr:col>
      <xdr:colOff>374</xdr:colOff>
      <xdr:row>54</xdr:row>
      <xdr:rowOff>208800</xdr:rowOff>
    </xdr:to>
    <xdr:sp macro="" textlink="$DE$41">
      <xdr:nvSpPr>
        <xdr:cNvPr id="856" name="TextBox 855">
          <a:extLst>
            <a:ext uri="{FF2B5EF4-FFF2-40B4-BE49-F238E27FC236}">
              <a16:creationId xmlns:a16="http://schemas.microsoft.com/office/drawing/2014/main" id="{B2B1AA97-8DB7-40FC-F234-18E7FFCB244F}"/>
            </a:ext>
          </a:extLst>
        </xdr:cNvPr>
        <xdr:cNvSpPr txBox="1"/>
      </xdr:nvSpPr>
      <xdr:spPr>
        <a:xfrm>
          <a:off x="14173200" y="115252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4D7C3AB8-FEEC-47AF-8CE6-560BB1CE502A}"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62</xdr:col>
      <xdr:colOff>0</xdr:colOff>
      <xdr:row>55</xdr:row>
      <xdr:rowOff>0</xdr:rowOff>
    </xdr:from>
    <xdr:to>
      <xdr:col>66</xdr:col>
      <xdr:colOff>374</xdr:colOff>
      <xdr:row>55</xdr:row>
      <xdr:rowOff>208800</xdr:rowOff>
    </xdr:to>
    <xdr:sp macro="" textlink="$DE$43">
      <xdr:nvSpPr>
        <xdr:cNvPr id="857" name="TextBox 856">
          <a:extLst>
            <a:ext uri="{FF2B5EF4-FFF2-40B4-BE49-F238E27FC236}">
              <a16:creationId xmlns:a16="http://schemas.microsoft.com/office/drawing/2014/main" id="{C2B7EADB-A22E-53D4-C668-F0627F88B180}"/>
            </a:ext>
          </a:extLst>
        </xdr:cNvPr>
        <xdr:cNvSpPr txBox="1"/>
      </xdr:nvSpPr>
      <xdr:spPr>
        <a:xfrm>
          <a:off x="14173200" y="117348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F8A8C978-EEA3-43EB-BA22-D7B0C8296C62}"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62</xdr:col>
      <xdr:colOff>0</xdr:colOff>
      <xdr:row>56</xdr:row>
      <xdr:rowOff>0</xdr:rowOff>
    </xdr:from>
    <xdr:to>
      <xdr:col>66</xdr:col>
      <xdr:colOff>374</xdr:colOff>
      <xdr:row>56</xdr:row>
      <xdr:rowOff>208800</xdr:rowOff>
    </xdr:to>
    <xdr:sp macro="" textlink="$DE$45">
      <xdr:nvSpPr>
        <xdr:cNvPr id="858" name="TextBox 857">
          <a:extLst>
            <a:ext uri="{FF2B5EF4-FFF2-40B4-BE49-F238E27FC236}">
              <a16:creationId xmlns:a16="http://schemas.microsoft.com/office/drawing/2014/main" id="{C7C69D23-B07B-D5E1-8808-01165C1249DB}"/>
            </a:ext>
          </a:extLst>
        </xdr:cNvPr>
        <xdr:cNvSpPr txBox="1"/>
      </xdr:nvSpPr>
      <xdr:spPr>
        <a:xfrm>
          <a:off x="14173200" y="119443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1F109211-D8A4-4B4C-ACB6-4E4E90713862}"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62</xdr:col>
      <xdr:colOff>0</xdr:colOff>
      <xdr:row>57</xdr:row>
      <xdr:rowOff>0</xdr:rowOff>
    </xdr:from>
    <xdr:to>
      <xdr:col>66</xdr:col>
      <xdr:colOff>374</xdr:colOff>
      <xdr:row>57</xdr:row>
      <xdr:rowOff>208800</xdr:rowOff>
    </xdr:to>
    <xdr:sp macro="" textlink="$DE$47">
      <xdr:nvSpPr>
        <xdr:cNvPr id="859" name="TextBox 858">
          <a:extLst>
            <a:ext uri="{FF2B5EF4-FFF2-40B4-BE49-F238E27FC236}">
              <a16:creationId xmlns:a16="http://schemas.microsoft.com/office/drawing/2014/main" id="{F98A67EE-48DA-95F9-67D0-A7FC0CC072ED}"/>
            </a:ext>
          </a:extLst>
        </xdr:cNvPr>
        <xdr:cNvSpPr txBox="1"/>
      </xdr:nvSpPr>
      <xdr:spPr>
        <a:xfrm>
          <a:off x="14173200" y="121539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633A7CB6-3E7C-45B1-AE2B-21EB94B74E4A}"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67</xdr:col>
      <xdr:colOff>0</xdr:colOff>
      <xdr:row>54</xdr:row>
      <xdr:rowOff>0</xdr:rowOff>
    </xdr:from>
    <xdr:to>
      <xdr:col>71</xdr:col>
      <xdr:colOff>374</xdr:colOff>
      <xdr:row>54</xdr:row>
      <xdr:rowOff>208800</xdr:rowOff>
    </xdr:to>
    <xdr:sp macro="" textlink="$DE$49">
      <xdr:nvSpPr>
        <xdr:cNvPr id="865" name="TextBox 864">
          <a:extLst>
            <a:ext uri="{FF2B5EF4-FFF2-40B4-BE49-F238E27FC236}">
              <a16:creationId xmlns:a16="http://schemas.microsoft.com/office/drawing/2014/main" id="{A5FB325B-3A9E-8E55-905C-296A7F7A3012}"/>
            </a:ext>
          </a:extLst>
        </xdr:cNvPr>
        <xdr:cNvSpPr txBox="1"/>
      </xdr:nvSpPr>
      <xdr:spPr>
        <a:xfrm>
          <a:off x="15316200" y="115252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BCAD226A-5C09-47BD-BB82-F1250D199CA3}"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66</xdr:col>
      <xdr:colOff>228226</xdr:colOff>
      <xdr:row>55</xdr:row>
      <xdr:rowOff>750</xdr:rowOff>
    </xdr:from>
    <xdr:to>
      <xdr:col>71</xdr:col>
      <xdr:colOff>0</xdr:colOff>
      <xdr:row>56</xdr:row>
      <xdr:rowOff>0</xdr:rowOff>
    </xdr:to>
    <xdr:sp macro="" textlink="$DE$51">
      <xdr:nvSpPr>
        <xdr:cNvPr id="866" name="TextBox 865">
          <a:extLst>
            <a:ext uri="{FF2B5EF4-FFF2-40B4-BE49-F238E27FC236}">
              <a16:creationId xmlns:a16="http://schemas.microsoft.com/office/drawing/2014/main" id="{12A70BBF-8174-8839-9771-638531858121}"/>
            </a:ext>
          </a:extLst>
        </xdr:cNvPr>
        <xdr:cNvSpPr txBox="1"/>
      </xdr:nvSpPr>
      <xdr:spPr>
        <a:xfrm>
          <a:off x="15315826" y="117355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F51AE971-96D0-479D-8637-AFD946268DD0}"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66</xdr:col>
      <xdr:colOff>228226</xdr:colOff>
      <xdr:row>56</xdr:row>
      <xdr:rowOff>750</xdr:rowOff>
    </xdr:from>
    <xdr:to>
      <xdr:col>71</xdr:col>
      <xdr:colOff>0</xdr:colOff>
      <xdr:row>57</xdr:row>
      <xdr:rowOff>0</xdr:rowOff>
    </xdr:to>
    <xdr:sp macro="" textlink="$DE$53">
      <xdr:nvSpPr>
        <xdr:cNvPr id="867" name="TextBox 866">
          <a:extLst>
            <a:ext uri="{FF2B5EF4-FFF2-40B4-BE49-F238E27FC236}">
              <a16:creationId xmlns:a16="http://schemas.microsoft.com/office/drawing/2014/main" id="{A1ABC2E6-2884-3A88-9097-B3ACE001F725}"/>
            </a:ext>
          </a:extLst>
        </xdr:cNvPr>
        <xdr:cNvSpPr txBox="1"/>
      </xdr:nvSpPr>
      <xdr:spPr>
        <a:xfrm>
          <a:off x="15315826" y="119451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7781A537-3465-40C0-88B7-DCB90588284C}"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67</xdr:col>
      <xdr:colOff>0</xdr:colOff>
      <xdr:row>57</xdr:row>
      <xdr:rowOff>0</xdr:rowOff>
    </xdr:from>
    <xdr:to>
      <xdr:col>71</xdr:col>
      <xdr:colOff>374</xdr:colOff>
      <xdr:row>57</xdr:row>
      <xdr:rowOff>208800</xdr:rowOff>
    </xdr:to>
    <xdr:sp macro="" textlink="$DE$55">
      <xdr:nvSpPr>
        <xdr:cNvPr id="868" name="TextBox 867">
          <a:extLst>
            <a:ext uri="{FF2B5EF4-FFF2-40B4-BE49-F238E27FC236}">
              <a16:creationId xmlns:a16="http://schemas.microsoft.com/office/drawing/2014/main" id="{68A18A26-DB0C-0CD8-4CB8-5DA09BB58B63}"/>
            </a:ext>
          </a:extLst>
        </xdr:cNvPr>
        <xdr:cNvSpPr txBox="1"/>
      </xdr:nvSpPr>
      <xdr:spPr>
        <a:xfrm>
          <a:off x="15316200" y="121539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B53198C0-4C5A-4EDC-BCD4-D63F0A32B123}"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72</xdr:col>
      <xdr:colOff>0</xdr:colOff>
      <xdr:row>54</xdr:row>
      <xdr:rowOff>0</xdr:rowOff>
    </xdr:from>
    <xdr:to>
      <xdr:col>76</xdr:col>
      <xdr:colOff>374</xdr:colOff>
      <xdr:row>54</xdr:row>
      <xdr:rowOff>208800</xdr:rowOff>
    </xdr:to>
    <xdr:sp macro="" textlink="$DE$57">
      <xdr:nvSpPr>
        <xdr:cNvPr id="874" name="TextBox 873">
          <a:extLst>
            <a:ext uri="{FF2B5EF4-FFF2-40B4-BE49-F238E27FC236}">
              <a16:creationId xmlns:a16="http://schemas.microsoft.com/office/drawing/2014/main" id="{192B6E76-0F51-64CF-704B-E5DB14936A1D}"/>
            </a:ext>
          </a:extLst>
        </xdr:cNvPr>
        <xdr:cNvSpPr txBox="1"/>
      </xdr:nvSpPr>
      <xdr:spPr>
        <a:xfrm>
          <a:off x="16459200" y="115252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8BD881C6-DFDF-425D-95A2-52D4873AFFEC}"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72</xdr:col>
      <xdr:colOff>0</xdr:colOff>
      <xdr:row>55</xdr:row>
      <xdr:rowOff>0</xdr:rowOff>
    </xdr:from>
    <xdr:to>
      <xdr:col>76</xdr:col>
      <xdr:colOff>374</xdr:colOff>
      <xdr:row>55</xdr:row>
      <xdr:rowOff>208800</xdr:rowOff>
    </xdr:to>
    <xdr:sp macro="" textlink="$DE$59">
      <xdr:nvSpPr>
        <xdr:cNvPr id="875" name="TextBox 874">
          <a:extLst>
            <a:ext uri="{FF2B5EF4-FFF2-40B4-BE49-F238E27FC236}">
              <a16:creationId xmlns:a16="http://schemas.microsoft.com/office/drawing/2014/main" id="{16D52D02-2463-0AD3-8078-31B24C947F02}"/>
            </a:ext>
          </a:extLst>
        </xdr:cNvPr>
        <xdr:cNvSpPr txBox="1"/>
      </xdr:nvSpPr>
      <xdr:spPr>
        <a:xfrm>
          <a:off x="16459200" y="117348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1C8E1FB1-F001-4B4C-9B3C-9BD16C4CEA86}"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71</xdr:col>
      <xdr:colOff>228226</xdr:colOff>
      <xdr:row>56</xdr:row>
      <xdr:rowOff>0</xdr:rowOff>
    </xdr:from>
    <xdr:to>
      <xdr:col>76</xdr:col>
      <xdr:colOff>0</xdr:colOff>
      <xdr:row>56</xdr:row>
      <xdr:rowOff>208800</xdr:rowOff>
    </xdr:to>
    <xdr:sp macro="" textlink="$DE$61">
      <xdr:nvSpPr>
        <xdr:cNvPr id="876" name="TextBox 875">
          <a:extLst>
            <a:ext uri="{FF2B5EF4-FFF2-40B4-BE49-F238E27FC236}">
              <a16:creationId xmlns:a16="http://schemas.microsoft.com/office/drawing/2014/main" id="{67CCAE63-2F97-CDD3-8BFC-190D96FAED3E}"/>
            </a:ext>
          </a:extLst>
        </xdr:cNvPr>
        <xdr:cNvSpPr txBox="1"/>
      </xdr:nvSpPr>
      <xdr:spPr>
        <a:xfrm>
          <a:off x="16458826" y="1194435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07CABD59-3D23-4637-871C-A2E379D8B49D}"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72</xdr:col>
      <xdr:colOff>0</xdr:colOff>
      <xdr:row>57</xdr:row>
      <xdr:rowOff>0</xdr:rowOff>
    </xdr:from>
    <xdr:to>
      <xdr:col>76</xdr:col>
      <xdr:colOff>374</xdr:colOff>
      <xdr:row>57</xdr:row>
      <xdr:rowOff>208800</xdr:rowOff>
    </xdr:to>
    <xdr:sp macro="" textlink="$DE$63">
      <xdr:nvSpPr>
        <xdr:cNvPr id="877" name="TextBox 876">
          <a:extLst>
            <a:ext uri="{FF2B5EF4-FFF2-40B4-BE49-F238E27FC236}">
              <a16:creationId xmlns:a16="http://schemas.microsoft.com/office/drawing/2014/main" id="{2755E4E4-75C1-CE1C-5FCB-C39A1F9CE70D}"/>
            </a:ext>
          </a:extLst>
        </xdr:cNvPr>
        <xdr:cNvSpPr txBox="1"/>
      </xdr:nvSpPr>
      <xdr:spPr>
        <a:xfrm>
          <a:off x="16459200" y="12153900"/>
          <a:ext cx="914774"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E45A16C8-6AEC-4B15-A369-529B7037CE46}"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xdr:col>
      <xdr:colOff>0</xdr:colOff>
      <xdr:row>45</xdr:row>
      <xdr:rowOff>0</xdr:rowOff>
    </xdr:from>
    <xdr:to>
      <xdr:col>8</xdr:col>
      <xdr:colOff>0</xdr:colOff>
      <xdr:row>45</xdr:row>
      <xdr:rowOff>208800</xdr:rowOff>
    </xdr:to>
    <xdr:sp macro="" textlink="PLANS!$CI$5">
      <xdr:nvSpPr>
        <xdr:cNvPr id="883" name="TextBox 882">
          <a:extLst>
            <a:ext uri="{FF2B5EF4-FFF2-40B4-BE49-F238E27FC236}">
              <a16:creationId xmlns:a16="http://schemas.microsoft.com/office/drawing/2014/main" id="{8366D5D5-8385-8707-3DEB-0F0745BA69F4}"/>
            </a:ext>
          </a:extLst>
        </xdr:cNvPr>
        <xdr:cNvSpPr txBox="1"/>
      </xdr:nvSpPr>
      <xdr:spPr>
        <a:xfrm>
          <a:off x="1371600" y="94297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90525DE5-7164-47F0-80C7-133DCBA1A87D}"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8</xdr:col>
      <xdr:colOff>0</xdr:colOff>
      <xdr:row>45</xdr:row>
      <xdr:rowOff>0</xdr:rowOff>
    </xdr:from>
    <xdr:to>
      <xdr:col>10</xdr:col>
      <xdr:colOff>0</xdr:colOff>
      <xdr:row>45</xdr:row>
      <xdr:rowOff>208800</xdr:rowOff>
    </xdr:to>
    <xdr:sp macro="" textlink="PLANS!$CI$6">
      <xdr:nvSpPr>
        <xdr:cNvPr id="884" name="TextBox 883">
          <a:extLst>
            <a:ext uri="{FF2B5EF4-FFF2-40B4-BE49-F238E27FC236}">
              <a16:creationId xmlns:a16="http://schemas.microsoft.com/office/drawing/2014/main" id="{39F639D7-3508-2CCF-4615-059C9B0F3FA1}"/>
            </a:ext>
          </a:extLst>
        </xdr:cNvPr>
        <xdr:cNvSpPr txBox="1"/>
      </xdr:nvSpPr>
      <xdr:spPr>
        <a:xfrm>
          <a:off x="1828800" y="94297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C069537E-D587-44FE-B853-E751F4ADDBCF}"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10</xdr:col>
      <xdr:colOff>0</xdr:colOff>
      <xdr:row>45</xdr:row>
      <xdr:rowOff>750</xdr:rowOff>
    </xdr:from>
    <xdr:to>
      <xdr:col>12</xdr:col>
      <xdr:colOff>0</xdr:colOff>
      <xdr:row>46</xdr:row>
      <xdr:rowOff>0</xdr:rowOff>
    </xdr:to>
    <xdr:sp macro="" textlink="PLANS!$CI$7">
      <xdr:nvSpPr>
        <xdr:cNvPr id="885" name="TextBox 884">
          <a:extLst>
            <a:ext uri="{FF2B5EF4-FFF2-40B4-BE49-F238E27FC236}">
              <a16:creationId xmlns:a16="http://schemas.microsoft.com/office/drawing/2014/main" id="{38DBFA61-27B6-C7DC-70C7-C37275D6CB26}"/>
            </a:ext>
          </a:extLst>
        </xdr:cNvPr>
        <xdr:cNvSpPr txBox="1"/>
      </xdr:nvSpPr>
      <xdr:spPr>
        <a:xfrm>
          <a:off x="2286000" y="94305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C086D0E4-654A-459E-972C-C9180D8B1466}"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12</xdr:col>
      <xdr:colOff>0</xdr:colOff>
      <xdr:row>45</xdr:row>
      <xdr:rowOff>0</xdr:rowOff>
    </xdr:from>
    <xdr:to>
      <xdr:col>14</xdr:col>
      <xdr:colOff>0</xdr:colOff>
      <xdr:row>45</xdr:row>
      <xdr:rowOff>208800</xdr:rowOff>
    </xdr:to>
    <xdr:sp macro="" textlink="PLANS!$CI$8">
      <xdr:nvSpPr>
        <xdr:cNvPr id="886" name="TextBox 885">
          <a:extLst>
            <a:ext uri="{FF2B5EF4-FFF2-40B4-BE49-F238E27FC236}">
              <a16:creationId xmlns:a16="http://schemas.microsoft.com/office/drawing/2014/main" id="{2E9A4034-529E-840D-8B95-46063857BFE7}"/>
            </a:ext>
          </a:extLst>
        </xdr:cNvPr>
        <xdr:cNvSpPr txBox="1"/>
      </xdr:nvSpPr>
      <xdr:spPr>
        <a:xfrm>
          <a:off x="2743200" y="94297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8F458AB8-017D-4F24-A1CA-8CCBC314B8E1}"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14</xdr:col>
      <xdr:colOff>0</xdr:colOff>
      <xdr:row>45</xdr:row>
      <xdr:rowOff>0</xdr:rowOff>
    </xdr:from>
    <xdr:to>
      <xdr:col>16</xdr:col>
      <xdr:colOff>0</xdr:colOff>
      <xdr:row>45</xdr:row>
      <xdr:rowOff>208800</xdr:rowOff>
    </xdr:to>
    <xdr:sp macro="" textlink="PLANS!$CI$9">
      <xdr:nvSpPr>
        <xdr:cNvPr id="887" name="TextBox 886">
          <a:extLst>
            <a:ext uri="{FF2B5EF4-FFF2-40B4-BE49-F238E27FC236}">
              <a16:creationId xmlns:a16="http://schemas.microsoft.com/office/drawing/2014/main" id="{14BDBE8D-B714-943F-AE03-2C3F5F2D7152}"/>
            </a:ext>
          </a:extLst>
        </xdr:cNvPr>
        <xdr:cNvSpPr txBox="1"/>
      </xdr:nvSpPr>
      <xdr:spPr>
        <a:xfrm>
          <a:off x="3200400" y="94297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0BE531CF-788F-42D7-9D3B-A1EA5A89DB3C}"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16</xdr:col>
      <xdr:colOff>0</xdr:colOff>
      <xdr:row>45</xdr:row>
      <xdr:rowOff>750</xdr:rowOff>
    </xdr:from>
    <xdr:to>
      <xdr:col>18</xdr:col>
      <xdr:colOff>0</xdr:colOff>
      <xdr:row>46</xdr:row>
      <xdr:rowOff>0</xdr:rowOff>
    </xdr:to>
    <xdr:sp macro="" textlink="PLANS!$CI$10">
      <xdr:nvSpPr>
        <xdr:cNvPr id="888" name="TextBox 887">
          <a:extLst>
            <a:ext uri="{FF2B5EF4-FFF2-40B4-BE49-F238E27FC236}">
              <a16:creationId xmlns:a16="http://schemas.microsoft.com/office/drawing/2014/main" id="{E10FB30C-6692-E4AB-52E9-AC33CFD0C16B}"/>
            </a:ext>
          </a:extLst>
        </xdr:cNvPr>
        <xdr:cNvSpPr txBox="1"/>
      </xdr:nvSpPr>
      <xdr:spPr>
        <a:xfrm>
          <a:off x="3657600" y="94305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3F148731-69AF-4FE4-877D-E77CF0A0096E}"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3</xdr:col>
      <xdr:colOff>0</xdr:colOff>
      <xdr:row>54</xdr:row>
      <xdr:rowOff>750</xdr:rowOff>
    </xdr:from>
    <xdr:to>
      <xdr:col>7</xdr:col>
      <xdr:colOff>0</xdr:colOff>
      <xdr:row>55</xdr:row>
      <xdr:rowOff>0</xdr:rowOff>
    </xdr:to>
    <xdr:sp macro="" textlink="$CD$77">
      <xdr:nvSpPr>
        <xdr:cNvPr id="464" name="TextBox 463">
          <a:extLst>
            <a:ext uri="{FF2B5EF4-FFF2-40B4-BE49-F238E27FC236}">
              <a16:creationId xmlns:a16="http://schemas.microsoft.com/office/drawing/2014/main" id="{8DB6A701-B34E-4858-80AE-15AA786D4846}"/>
            </a:ext>
          </a:extLst>
        </xdr:cNvPr>
        <xdr:cNvSpPr txBox="1"/>
      </xdr:nvSpPr>
      <xdr:spPr>
        <a:xfrm>
          <a:off x="685800" y="1131645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49ECACE0-8227-47F5-ACDA-9758272B1B0C}"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14</xdr:col>
      <xdr:colOff>0</xdr:colOff>
      <xdr:row>54</xdr:row>
      <xdr:rowOff>0</xdr:rowOff>
    </xdr:from>
    <xdr:to>
      <xdr:col>18</xdr:col>
      <xdr:colOff>0</xdr:colOff>
      <xdr:row>54</xdr:row>
      <xdr:rowOff>208800</xdr:rowOff>
    </xdr:to>
    <xdr:sp macro="" textlink="$DJ$77">
      <xdr:nvSpPr>
        <xdr:cNvPr id="468" name="TextBox 467">
          <a:extLst>
            <a:ext uri="{FF2B5EF4-FFF2-40B4-BE49-F238E27FC236}">
              <a16:creationId xmlns:a16="http://schemas.microsoft.com/office/drawing/2014/main" id="{562EBD40-118B-4AA3-8138-8A7A81773754}"/>
            </a:ext>
          </a:extLst>
        </xdr:cNvPr>
        <xdr:cNvSpPr txBox="1"/>
      </xdr:nvSpPr>
      <xdr:spPr>
        <a:xfrm>
          <a:off x="3200400" y="1131570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3828B2C7-D29F-4C31-8FA1-8909FC52E089}"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18</xdr:col>
      <xdr:colOff>0</xdr:colOff>
      <xdr:row>54</xdr:row>
      <xdr:rowOff>750</xdr:rowOff>
    </xdr:from>
    <xdr:to>
      <xdr:col>22</xdr:col>
      <xdr:colOff>0</xdr:colOff>
      <xdr:row>55</xdr:row>
      <xdr:rowOff>0</xdr:rowOff>
    </xdr:to>
    <xdr:sp macro="" textlink="$DJ$79">
      <xdr:nvSpPr>
        <xdr:cNvPr id="469" name="TextBox 468">
          <a:extLst>
            <a:ext uri="{FF2B5EF4-FFF2-40B4-BE49-F238E27FC236}">
              <a16:creationId xmlns:a16="http://schemas.microsoft.com/office/drawing/2014/main" id="{D9257F98-75A2-4553-8323-BFA0FAB58FCC}"/>
            </a:ext>
          </a:extLst>
        </xdr:cNvPr>
        <xdr:cNvSpPr txBox="1"/>
      </xdr:nvSpPr>
      <xdr:spPr>
        <a:xfrm>
          <a:off x="4114800" y="1131645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CAF92DEE-4995-4ED7-9149-57D0DB3783FD}"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14</xdr:col>
      <xdr:colOff>0</xdr:colOff>
      <xdr:row>55</xdr:row>
      <xdr:rowOff>750</xdr:rowOff>
    </xdr:from>
    <xdr:to>
      <xdr:col>18</xdr:col>
      <xdr:colOff>0</xdr:colOff>
      <xdr:row>56</xdr:row>
      <xdr:rowOff>0</xdr:rowOff>
    </xdr:to>
    <xdr:sp macro="" textlink="$DJ$81">
      <xdr:nvSpPr>
        <xdr:cNvPr id="470" name="TextBox 469">
          <a:extLst>
            <a:ext uri="{FF2B5EF4-FFF2-40B4-BE49-F238E27FC236}">
              <a16:creationId xmlns:a16="http://schemas.microsoft.com/office/drawing/2014/main" id="{A3D55D5B-522E-4695-80C8-9818BC42BF1E}"/>
            </a:ext>
          </a:extLst>
        </xdr:cNvPr>
        <xdr:cNvSpPr txBox="1"/>
      </xdr:nvSpPr>
      <xdr:spPr>
        <a:xfrm>
          <a:off x="3200400" y="1152600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586316CF-B2F6-497D-B9C2-6928E6D63F43}"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18</xdr:col>
      <xdr:colOff>0</xdr:colOff>
      <xdr:row>55</xdr:row>
      <xdr:rowOff>750</xdr:rowOff>
    </xdr:from>
    <xdr:to>
      <xdr:col>22</xdr:col>
      <xdr:colOff>0</xdr:colOff>
      <xdr:row>56</xdr:row>
      <xdr:rowOff>0</xdr:rowOff>
    </xdr:to>
    <xdr:sp macro="" textlink="$DJ$83">
      <xdr:nvSpPr>
        <xdr:cNvPr id="471" name="TextBox 470">
          <a:extLst>
            <a:ext uri="{FF2B5EF4-FFF2-40B4-BE49-F238E27FC236}">
              <a16:creationId xmlns:a16="http://schemas.microsoft.com/office/drawing/2014/main" id="{2DC739C8-748B-478F-B69B-D9517323ACBA}"/>
            </a:ext>
          </a:extLst>
        </xdr:cNvPr>
        <xdr:cNvSpPr txBox="1"/>
      </xdr:nvSpPr>
      <xdr:spPr>
        <a:xfrm>
          <a:off x="4114800" y="1152600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C0642FB5-2A0D-4856-BE94-6EA43226FE08}"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25</xdr:col>
      <xdr:colOff>0</xdr:colOff>
      <xdr:row>54</xdr:row>
      <xdr:rowOff>750</xdr:rowOff>
    </xdr:from>
    <xdr:to>
      <xdr:col>29</xdr:col>
      <xdr:colOff>0</xdr:colOff>
      <xdr:row>55</xdr:row>
      <xdr:rowOff>0</xdr:rowOff>
    </xdr:to>
    <xdr:sp macro="" textlink="$CT$77">
      <xdr:nvSpPr>
        <xdr:cNvPr id="472" name="TextBox 471">
          <a:extLst>
            <a:ext uri="{FF2B5EF4-FFF2-40B4-BE49-F238E27FC236}">
              <a16:creationId xmlns:a16="http://schemas.microsoft.com/office/drawing/2014/main" id="{35948B78-09D5-487C-B093-6F2494ACD238}"/>
            </a:ext>
          </a:extLst>
        </xdr:cNvPr>
        <xdr:cNvSpPr txBox="1"/>
      </xdr:nvSpPr>
      <xdr:spPr>
        <a:xfrm>
          <a:off x="5715000" y="1131645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5D4982F6-2170-417C-B40C-6C636ED025F7}"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3</xdr:col>
      <xdr:colOff>0</xdr:colOff>
      <xdr:row>55</xdr:row>
      <xdr:rowOff>0</xdr:rowOff>
    </xdr:from>
    <xdr:to>
      <xdr:col>7</xdr:col>
      <xdr:colOff>0</xdr:colOff>
      <xdr:row>55</xdr:row>
      <xdr:rowOff>208800</xdr:rowOff>
    </xdr:to>
    <xdr:sp macro="" textlink="$CD$79">
      <xdr:nvSpPr>
        <xdr:cNvPr id="483" name="TextBox 482">
          <a:extLst>
            <a:ext uri="{FF2B5EF4-FFF2-40B4-BE49-F238E27FC236}">
              <a16:creationId xmlns:a16="http://schemas.microsoft.com/office/drawing/2014/main" id="{E9BC8A77-A126-4E3F-9B60-6F9151E07B94}"/>
            </a:ext>
          </a:extLst>
        </xdr:cNvPr>
        <xdr:cNvSpPr txBox="1"/>
      </xdr:nvSpPr>
      <xdr:spPr>
        <a:xfrm>
          <a:off x="685800" y="1152525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058CD256-9F6A-4D63-BA1E-515C1D48CDB6}"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3</xdr:col>
      <xdr:colOff>0</xdr:colOff>
      <xdr:row>56</xdr:row>
      <xdr:rowOff>0</xdr:rowOff>
    </xdr:from>
    <xdr:to>
      <xdr:col>7</xdr:col>
      <xdr:colOff>0</xdr:colOff>
      <xdr:row>56</xdr:row>
      <xdr:rowOff>208800</xdr:rowOff>
    </xdr:to>
    <xdr:sp macro="" textlink="$CD$81">
      <xdr:nvSpPr>
        <xdr:cNvPr id="484" name="TextBox 483">
          <a:extLst>
            <a:ext uri="{FF2B5EF4-FFF2-40B4-BE49-F238E27FC236}">
              <a16:creationId xmlns:a16="http://schemas.microsoft.com/office/drawing/2014/main" id="{610B26B6-F7E8-4A59-84EA-28FC94563729}"/>
            </a:ext>
          </a:extLst>
        </xdr:cNvPr>
        <xdr:cNvSpPr txBox="1"/>
      </xdr:nvSpPr>
      <xdr:spPr>
        <a:xfrm>
          <a:off x="685800" y="1173480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36E4773B-C962-42CB-AD30-8CD0ED27B6A1}"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3</xdr:col>
      <xdr:colOff>0</xdr:colOff>
      <xdr:row>57</xdr:row>
      <xdr:rowOff>0</xdr:rowOff>
    </xdr:from>
    <xdr:to>
      <xdr:col>7</xdr:col>
      <xdr:colOff>0</xdr:colOff>
      <xdr:row>57</xdr:row>
      <xdr:rowOff>208800</xdr:rowOff>
    </xdr:to>
    <xdr:sp macro="" textlink="$CD$83">
      <xdr:nvSpPr>
        <xdr:cNvPr id="485" name="TextBox 484">
          <a:extLst>
            <a:ext uri="{FF2B5EF4-FFF2-40B4-BE49-F238E27FC236}">
              <a16:creationId xmlns:a16="http://schemas.microsoft.com/office/drawing/2014/main" id="{A45C2EB2-EC52-479F-B4CA-D17733865142}"/>
            </a:ext>
          </a:extLst>
        </xdr:cNvPr>
        <xdr:cNvSpPr txBox="1"/>
      </xdr:nvSpPr>
      <xdr:spPr>
        <a:xfrm>
          <a:off x="685800" y="1194435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B2609C91-63FF-4E7D-ACC2-07E099EE8310}"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7</xdr:col>
      <xdr:colOff>0</xdr:colOff>
      <xdr:row>54</xdr:row>
      <xdr:rowOff>0</xdr:rowOff>
    </xdr:from>
    <xdr:to>
      <xdr:col>11</xdr:col>
      <xdr:colOff>0</xdr:colOff>
      <xdr:row>54</xdr:row>
      <xdr:rowOff>208800</xdr:rowOff>
    </xdr:to>
    <xdr:sp macro="" textlink="$CL$77">
      <xdr:nvSpPr>
        <xdr:cNvPr id="486" name="TextBox 485">
          <a:extLst>
            <a:ext uri="{FF2B5EF4-FFF2-40B4-BE49-F238E27FC236}">
              <a16:creationId xmlns:a16="http://schemas.microsoft.com/office/drawing/2014/main" id="{80044B80-AC6D-4740-8924-DCC6C5308E99}"/>
            </a:ext>
          </a:extLst>
        </xdr:cNvPr>
        <xdr:cNvSpPr txBox="1"/>
      </xdr:nvSpPr>
      <xdr:spPr>
        <a:xfrm>
          <a:off x="1600200" y="1131570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CCE1D9FD-1819-468D-B22E-B4D7DBBBE41F}"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7</xdr:col>
      <xdr:colOff>0</xdr:colOff>
      <xdr:row>55</xdr:row>
      <xdr:rowOff>0</xdr:rowOff>
    </xdr:from>
    <xdr:to>
      <xdr:col>11</xdr:col>
      <xdr:colOff>0</xdr:colOff>
      <xdr:row>55</xdr:row>
      <xdr:rowOff>208800</xdr:rowOff>
    </xdr:to>
    <xdr:sp macro="" textlink="$CL$79">
      <xdr:nvSpPr>
        <xdr:cNvPr id="487" name="TextBox 486">
          <a:extLst>
            <a:ext uri="{FF2B5EF4-FFF2-40B4-BE49-F238E27FC236}">
              <a16:creationId xmlns:a16="http://schemas.microsoft.com/office/drawing/2014/main" id="{E26123C7-DE5E-49CC-BD6F-72DC5BD16822}"/>
            </a:ext>
          </a:extLst>
        </xdr:cNvPr>
        <xdr:cNvSpPr txBox="1"/>
      </xdr:nvSpPr>
      <xdr:spPr>
        <a:xfrm>
          <a:off x="1600200" y="1152525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15062D04-4F0A-4A42-B3E4-DECF1D98AF6F}"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7</xdr:col>
      <xdr:colOff>0</xdr:colOff>
      <xdr:row>56</xdr:row>
      <xdr:rowOff>0</xdr:rowOff>
    </xdr:from>
    <xdr:to>
      <xdr:col>11</xdr:col>
      <xdr:colOff>0</xdr:colOff>
      <xdr:row>56</xdr:row>
      <xdr:rowOff>208800</xdr:rowOff>
    </xdr:to>
    <xdr:sp macro="" textlink="$CL$81">
      <xdr:nvSpPr>
        <xdr:cNvPr id="488" name="TextBox 487">
          <a:extLst>
            <a:ext uri="{FF2B5EF4-FFF2-40B4-BE49-F238E27FC236}">
              <a16:creationId xmlns:a16="http://schemas.microsoft.com/office/drawing/2014/main" id="{CCC0ED49-5A32-4745-BEF9-E3A188B24E7D}"/>
            </a:ext>
          </a:extLst>
        </xdr:cNvPr>
        <xdr:cNvSpPr txBox="1"/>
      </xdr:nvSpPr>
      <xdr:spPr>
        <a:xfrm>
          <a:off x="1600200" y="1173480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51FBCE4C-D1D8-4730-8A91-73E120943D35}"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7</xdr:col>
      <xdr:colOff>0</xdr:colOff>
      <xdr:row>57</xdr:row>
      <xdr:rowOff>0</xdr:rowOff>
    </xdr:from>
    <xdr:to>
      <xdr:col>11</xdr:col>
      <xdr:colOff>0</xdr:colOff>
      <xdr:row>57</xdr:row>
      <xdr:rowOff>208800</xdr:rowOff>
    </xdr:to>
    <xdr:sp macro="" textlink="$CL$83">
      <xdr:nvSpPr>
        <xdr:cNvPr id="489" name="TextBox 488">
          <a:extLst>
            <a:ext uri="{FF2B5EF4-FFF2-40B4-BE49-F238E27FC236}">
              <a16:creationId xmlns:a16="http://schemas.microsoft.com/office/drawing/2014/main" id="{5781608B-8BEB-4A0B-9CEC-E514CF9F2051}"/>
            </a:ext>
          </a:extLst>
        </xdr:cNvPr>
        <xdr:cNvSpPr txBox="1"/>
      </xdr:nvSpPr>
      <xdr:spPr>
        <a:xfrm>
          <a:off x="1600200" y="1194435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0E2EE560-95EC-4881-90F0-C9B9A774C7D7}"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25</xdr:col>
      <xdr:colOff>0</xdr:colOff>
      <xdr:row>55</xdr:row>
      <xdr:rowOff>750</xdr:rowOff>
    </xdr:from>
    <xdr:to>
      <xdr:col>29</xdr:col>
      <xdr:colOff>0</xdr:colOff>
      <xdr:row>56</xdr:row>
      <xdr:rowOff>0</xdr:rowOff>
    </xdr:to>
    <xdr:sp macro="" textlink="$CT$79">
      <xdr:nvSpPr>
        <xdr:cNvPr id="490" name="TextBox 489">
          <a:extLst>
            <a:ext uri="{FF2B5EF4-FFF2-40B4-BE49-F238E27FC236}">
              <a16:creationId xmlns:a16="http://schemas.microsoft.com/office/drawing/2014/main" id="{3B05DE7E-DC44-4BA7-A808-FD766540F87D}"/>
            </a:ext>
          </a:extLst>
        </xdr:cNvPr>
        <xdr:cNvSpPr txBox="1"/>
      </xdr:nvSpPr>
      <xdr:spPr>
        <a:xfrm>
          <a:off x="5715000" y="1152600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EC93868B-3CE3-42A6-836F-EA218CEEFBDF}"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25</xdr:col>
      <xdr:colOff>0</xdr:colOff>
      <xdr:row>56</xdr:row>
      <xdr:rowOff>750</xdr:rowOff>
    </xdr:from>
    <xdr:to>
      <xdr:col>29</xdr:col>
      <xdr:colOff>0</xdr:colOff>
      <xdr:row>57</xdr:row>
      <xdr:rowOff>0</xdr:rowOff>
    </xdr:to>
    <xdr:sp macro="" textlink="$CT$81">
      <xdr:nvSpPr>
        <xdr:cNvPr id="491" name="TextBox 490">
          <a:extLst>
            <a:ext uri="{FF2B5EF4-FFF2-40B4-BE49-F238E27FC236}">
              <a16:creationId xmlns:a16="http://schemas.microsoft.com/office/drawing/2014/main" id="{7BEC7FB5-D8DA-459E-AC28-1A5C29DEE1C6}"/>
            </a:ext>
          </a:extLst>
        </xdr:cNvPr>
        <xdr:cNvSpPr txBox="1"/>
      </xdr:nvSpPr>
      <xdr:spPr>
        <a:xfrm>
          <a:off x="5715000" y="1173555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105F34D6-DA9B-4D5C-8199-932AEE9ECFBB}"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25</xdr:col>
      <xdr:colOff>0</xdr:colOff>
      <xdr:row>57</xdr:row>
      <xdr:rowOff>750</xdr:rowOff>
    </xdr:from>
    <xdr:to>
      <xdr:col>29</xdr:col>
      <xdr:colOff>0</xdr:colOff>
      <xdr:row>58</xdr:row>
      <xdr:rowOff>0</xdr:rowOff>
    </xdr:to>
    <xdr:sp macro="" textlink="$CT$83">
      <xdr:nvSpPr>
        <xdr:cNvPr id="492" name="TextBox 491">
          <a:extLst>
            <a:ext uri="{FF2B5EF4-FFF2-40B4-BE49-F238E27FC236}">
              <a16:creationId xmlns:a16="http://schemas.microsoft.com/office/drawing/2014/main" id="{7D72BE04-795F-4714-B3FE-3DC86C1A413D}"/>
            </a:ext>
          </a:extLst>
        </xdr:cNvPr>
        <xdr:cNvSpPr txBox="1"/>
      </xdr:nvSpPr>
      <xdr:spPr>
        <a:xfrm>
          <a:off x="5715000" y="1194510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65CF2B10-1D2F-405D-98D7-9F33552197B0}"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29</xdr:col>
      <xdr:colOff>0</xdr:colOff>
      <xdr:row>54</xdr:row>
      <xdr:rowOff>0</xdr:rowOff>
    </xdr:from>
    <xdr:to>
      <xdr:col>33</xdr:col>
      <xdr:colOff>0</xdr:colOff>
      <xdr:row>54</xdr:row>
      <xdr:rowOff>208800</xdr:rowOff>
    </xdr:to>
    <xdr:sp macro="" textlink="$DB$77">
      <xdr:nvSpPr>
        <xdr:cNvPr id="493" name="TextBox 492">
          <a:extLst>
            <a:ext uri="{FF2B5EF4-FFF2-40B4-BE49-F238E27FC236}">
              <a16:creationId xmlns:a16="http://schemas.microsoft.com/office/drawing/2014/main" id="{2B6B6846-766E-47BA-9C2D-DAC5C0959A2A}"/>
            </a:ext>
          </a:extLst>
        </xdr:cNvPr>
        <xdr:cNvSpPr txBox="1"/>
      </xdr:nvSpPr>
      <xdr:spPr>
        <a:xfrm>
          <a:off x="6629400" y="1131570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87F61A04-88D9-442C-8733-AB3553A13F2E}"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29</xdr:col>
      <xdr:colOff>0</xdr:colOff>
      <xdr:row>55</xdr:row>
      <xdr:rowOff>0</xdr:rowOff>
    </xdr:from>
    <xdr:to>
      <xdr:col>33</xdr:col>
      <xdr:colOff>0</xdr:colOff>
      <xdr:row>55</xdr:row>
      <xdr:rowOff>208800</xdr:rowOff>
    </xdr:to>
    <xdr:sp macro="" textlink="$DB$79">
      <xdr:nvSpPr>
        <xdr:cNvPr id="494" name="TextBox 493">
          <a:extLst>
            <a:ext uri="{FF2B5EF4-FFF2-40B4-BE49-F238E27FC236}">
              <a16:creationId xmlns:a16="http://schemas.microsoft.com/office/drawing/2014/main" id="{E31836F7-51E6-490A-AC0C-CF320A635803}"/>
            </a:ext>
          </a:extLst>
        </xdr:cNvPr>
        <xdr:cNvSpPr txBox="1"/>
      </xdr:nvSpPr>
      <xdr:spPr>
        <a:xfrm>
          <a:off x="6629400" y="1152525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2081F119-3DBE-4A5E-B27D-2CE8E5E2EDF0}"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29</xdr:col>
      <xdr:colOff>0</xdr:colOff>
      <xdr:row>56</xdr:row>
      <xdr:rowOff>0</xdr:rowOff>
    </xdr:from>
    <xdr:to>
      <xdr:col>33</xdr:col>
      <xdr:colOff>0</xdr:colOff>
      <xdr:row>56</xdr:row>
      <xdr:rowOff>208800</xdr:rowOff>
    </xdr:to>
    <xdr:sp macro="" textlink="$DB$81">
      <xdr:nvSpPr>
        <xdr:cNvPr id="495" name="TextBox 494">
          <a:extLst>
            <a:ext uri="{FF2B5EF4-FFF2-40B4-BE49-F238E27FC236}">
              <a16:creationId xmlns:a16="http://schemas.microsoft.com/office/drawing/2014/main" id="{21263091-D3EC-4580-A8B3-61AC5C97D033}"/>
            </a:ext>
          </a:extLst>
        </xdr:cNvPr>
        <xdr:cNvSpPr txBox="1"/>
      </xdr:nvSpPr>
      <xdr:spPr>
        <a:xfrm>
          <a:off x="6629400" y="1173480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52344F32-F146-4FC7-81BA-30A4184748DB}"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29</xdr:col>
      <xdr:colOff>0</xdr:colOff>
      <xdr:row>57</xdr:row>
      <xdr:rowOff>0</xdr:rowOff>
    </xdr:from>
    <xdr:to>
      <xdr:col>33</xdr:col>
      <xdr:colOff>0</xdr:colOff>
      <xdr:row>57</xdr:row>
      <xdr:rowOff>208800</xdr:rowOff>
    </xdr:to>
    <xdr:sp macro="" textlink="$DB$83">
      <xdr:nvSpPr>
        <xdr:cNvPr id="496" name="TextBox 495">
          <a:extLst>
            <a:ext uri="{FF2B5EF4-FFF2-40B4-BE49-F238E27FC236}">
              <a16:creationId xmlns:a16="http://schemas.microsoft.com/office/drawing/2014/main" id="{81C1A61F-4633-4DA0-8F14-F6461FB6784D}"/>
            </a:ext>
          </a:extLst>
        </xdr:cNvPr>
        <xdr:cNvSpPr txBox="1"/>
      </xdr:nvSpPr>
      <xdr:spPr>
        <a:xfrm>
          <a:off x="6629400" y="1194435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58337B63-F2F8-44E1-8AEE-D7AFBEF53F33}"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14</xdr:col>
      <xdr:colOff>0</xdr:colOff>
      <xdr:row>56</xdr:row>
      <xdr:rowOff>750</xdr:rowOff>
    </xdr:from>
    <xdr:to>
      <xdr:col>18</xdr:col>
      <xdr:colOff>0</xdr:colOff>
      <xdr:row>57</xdr:row>
      <xdr:rowOff>0</xdr:rowOff>
    </xdr:to>
    <xdr:sp macro="" textlink="$DJ$85">
      <xdr:nvSpPr>
        <xdr:cNvPr id="498" name="TextBox 497">
          <a:extLst>
            <a:ext uri="{FF2B5EF4-FFF2-40B4-BE49-F238E27FC236}">
              <a16:creationId xmlns:a16="http://schemas.microsoft.com/office/drawing/2014/main" id="{4C918A51-ECEA-4A1E-8C07-2878DB7FCCB9}"/>
            </a:ext>
          </a:extLst>
        </xdr:cNvPr>
        <xdr:cNvSpPr txBox="1"/>
      </xdr:nvSpPr>
      <xdr:spPr>
        <a:xfrm>
          <a:off x="3200400" y="1173555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E2A96960-8930-4B53-ADEA-27DB3F8C0878}"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18</xdr:col>
      <xdr:colOff>0</xdr:colOff>
      <xdr:row>56</xdr:row>
      <xdr:rowOff>750</xdr:rowOff>
    </xdr:from>
    <xdr:to>
      <xdr:col>22</xdr:col>
      <xdr:colOff>0</xdr:colOff>
      <xdr:row>57</xdr:row>
      <xdr:rowOff>0</xdr:rowOff>
    </xdr:to>
    <xdr:sp macro="" textlink="$DJ$87">
      <xdr:nvSpPr>
        <xdr:cNvPr id="499" name="TextBox 498">
          <a:extLst>
            <a:ext uri="{FF2B5EF4-FFF2-40B4-BE49-F238E27FC236}">
              <a16:creationId xmlns:a16="http://schemas.microsoft.com/office/drawing/2014/main" id="{1254A02D-7B0B-42F8-815D-9FDBBBB92614}"/>
            </a:ext>
          </a:extLst>
        </xdr:cNvPr>
        <xdr:cNvSpPr txBox="1"/>
      </xdr:nvSpPr>
      <xdr:spPr>
        <a:xfrm>
          <a:off x="4114800" y="1173555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CCD4227F-7F2B-4341-A2C4-5E96CE48D4BA}"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14</xdr:col>
      <xdr:colOff>0</xdr:colOff>
      <xdr:row>57</xdr:row>
      <xdr:rowOff>750</xdr:rowOff>
    </xdr:from>
    <xdr:to>
      <xdr:col>18</xdr:col>
      <xdr:colOff>0</xdr:colOff>
      <xdr:row>58</xdr:row>
      <xdr:rowOff>0</xdr:rowOff>
    </xdr:to>
    <xdr:sp macro="" textlink="$DJ$89">
      <xdr:nvSpPr>
        <xdr:cNvPr id="500" name="TextBox 499">
          <a:extLst>
            <a:ext uri="{FF2B5EF4-FFF2-40B4-BE49-F238E27FC236}">
              <a16:creationId xmlns:a16="http://schemas.microsoft.com/office/drawing/2014/main" id="{A26CD563-0F07-4E08-B645-CF7E5C704E64}"/>
            </a:ext>
          </a:extLst>
        </xdr:cNvPr>
        <xdr:cNvSpPr txBox="1"/>
      </xdr:nvSpPr>
      <xdr:spPr>
        <a:xfrm>
          <a:off x="3200400" y="1194510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F1020CD2-B402-4362-B4F7-8AE6D09D0997}"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18</xdr:col>
      <xdr:colOff>0</xdr:colOff>
      <xdr:row>57</xdr:row>
      <xdr:rowOff>0</xdr:rowOff>
    </xdr:from>
    <xdr:to>
      <xdr:col>22</xdr:col>
      <xdr:colOff>0</xdr:colOff>
      <xdr:row>57</xdr:row>
      <xdr:rowOff>208800</xdr:rowOff>
    </xdr:to>
    <xdr:sp macro="" textlink="$DJ$91">
      <xdr:nvSpPr>
        <xdr:cNvPr id="501" name="TextBox 500">
          <a:extLst>
            <a:ext uri="{FF2B5EF4-FFF2-40B4-BE49-F238E27FC236}">
              <a16:creationId xmlns:a16="http://schemas.microsoft.com/office/drawing/2014/main" id="{E0B14AF3-91F3-4311-802A-F7971626CC02}"/>
            </a:ext>
          </a:extLst>
        </xdr:cNvPr>
        <xdr:cNvSpPr txBox="1"/>
      </xdr:nvSpPr>
      <xdr:spPr>
        <a:xfrm>
          <a:off x="4114800" y="1194435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7DD68F35-5143-4038-B835-DFD62C446680}"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14</xdr:col>
      <xdr:colOff>0</xdr:colOff>
      <xdr:row>58</xdr:row>
      <xdr:rowOff>750</xdr:rowOff>
    </xdr:from>
    <xdr:to>
      <xdr:col>18</xdr:col>
      <xdr:colOff>0</xdr:colOff>
      <xdr:row>59</xdr:row>
      <xdr:rowOff>0</xdr:rowOff>
    </xdr:to>
    <xdr:sp macro="" textlink="$DJ$93">
      <xdr:nvSpPr>
        <xdr:cNvPr id="502" name="TextBox 501">
          <a:extLst>
            <a:ext uri="{FF2B5EF4-FFF2-40B4-BE49-F238E27FC236}">
              <a16:creationId xmlns:a16="http://schemas.microsoft.com/office/drawing/2014/main" id="{BA4E872B-1FF8-4C1B-A1E4-D3EEC6B2C785}"/>
            </a:ext>
          </a:extLst>
        </xdr:cNvPr>
        <xdr:cNvSpPr txBox="1"/>
      </xdr:nvSpPr>
      <xdr:spPr>
        <a:xfrm>
          <a:off x="3200400" y="1215465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500AFE38-C61D-4458-9B28-424FA47A3F33}"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18</xdr:col>
      <xdr:colOff>0</xdr:colOff>
      <xdr:row>58</xdr:row>
      <xdr:rowOff>0</xdr:rowOff>
    </xdr:from>
    <xdr:to>
      <xdr:col>22</xdr:col>
      <xdr:colOff>0</xdr:colOff>
      <xdr:row>58</xdr:row>
      <xdr:rowOff>208800</xdr:rowOff>
    </xdr:to>
    <xdr:sp macro="" textlink="$DJ$95">
      <xdr:nvSpPr>
        <xdr:cNvPr id="503" name="TextBox 502">
          <a:extLst>
            <a:ext uri="{FF2B5EF4-FFF2-40B4-BE49-F238E27FC236}">
              <a16:creationId xmlns:a16="http://schemas.microsoft.com/office/drawing/2014/main" id="{9AB618C1-96E0-4C3D-B8B9-8B9F680E7167}"/>
            </a:ext>
          </a:extLst>
        </xdr:cNvPr>
        <xdr:cNvSpPr txBox="1"/>
      </xdr:nvSpPr>
      <xdr:spPr>
        <a:xfrm>
          <a:off x="4114800" y="12153900"/>
          <a:ext cx="9144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F1A524D7-EDD1-4BB4-BA5C-801AB2DFC435}"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18</xdr:col>
      <xdr:colOff>0</xdr:colOff>
      <xdr:row>45</xdr:row>
      <xdr:rowOff>0</xdr:rowOff>
    </xdr:from>
    <xdr:to>
      <xdr:col>20</xdr:col>
      <xdr:colOff>0</xdr:colOff>
      <xdr:row>45</xdr:row>
      <xdr:rowOff>208800</xdr:rowOff>
    </xdr:to>
    <xdr:sp macro="" textlink="PLANS!$CI$11">
      <xdr:nvSpPr>
        <xdr:cNvPr id="12" name="TextBox 11">
          <a:extLst>
            <a:ext uri="{FF2B5EF4-FFF2-40B4-BE49-F238E27FC236}">
              <a16:creationId xmlns:a16="http://schemas.microsoft.com/office/drawing/2014/main" id="{07AEC2DA-BA68-4933-B527-2D83686324AC}"/>
            </a:ext>
          </a:extLst>
        </xdr:cNvPr>
        <xdr:cNvSpPr txBox="1"/>
      </xdr:nvSpPr>
      <xdr:spPr>
        <a:xfrm>
          <a:off x="4114800" y="94297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133BC183-A6F3-49B3-846D-943AB1A9166C}"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20</xdr:col>
      <xdr:colOff>0</xdr:colOff>
      <xdr:row>45</xdr:row>
      <xdr:rowOff>0</xdr:rowOff>
    </xdr:from>
    <xdr:to>
      <xdr:col>22</xdr:col>
      <xdr:colOff>0</xdr:colOff>
      <xdr:row>45</xdr:row>
      <xdr:rowOff>208800</xdr:rowOff>
    </xdr:to>
    <xdr:sp macro="" textlink="PLANS!$CI$12">
      <xdr:nvSpPr>
        <xdr:cNvPr id="13" name="TextBox 12">
          <a:extLst>
            <a:ext uri="{FF2B5EF4-FFF2-40B4-BE49-F238E27FC236}">
              <a16:creationId xmlns:a16="http://schemas.microsoft.com/office/drawing/2014/main" id="{22911E35-7624-4767-9ECF-610F1566CC3E}"/>
            </a:ext>
          </a:extLst>
        </xdr:cNvPr>
        <xdr:cNvSpPr txBox="1"/>
      </xdr:nvSpPr>
      <xdr:spPr>
        <a:xfrm>
          <a:off x="4572000" y="94297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6D90850B-811E-49F5-ADD6-177E05F3F48E}"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22</xdr:col>
      <xdr:colOff>0</xdr:colOff>
      <xdr:row>45</xdr:row>
      <xdr:rowOff>750</xdr:rowOff>
    </xdr:from>
    <xdr:to>
      <xdr:col>24</xdr:col>
      <xdr:colOff>0</xdr:colOff>
      <xdr:row>46</xdr:row>
      <xdr:rowOff>0</xdr:rowOff>
    </xdr:to>
    <xdr:sp macro="" textlink="PLANS!$CI$13">
      <xdr:nvSpPr>
        <xdr:cNvPr id="14" name="TextBox 13">
          <a:extLst>
            <a:ext uri="{FF2B5EF4-FFF2-40B4-BE49-F238E27FC236}">
              <a16:creationId xmlns:a16="http://schemas.microsoft.com/office/drawing/2014/main" id="{B3D31FA1-7349-48FE-87AF-E29828869A8A}"/>
            </a:ext>
          </a:extLst>
        </xdr:cNvPr>
        <xdr:cNvSpPr txBox="1"/>
      </xdr:nvSpPr>
      <xdr:spPr>
        <a:xfrm>
          <a:off x="5029200" y="94305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65EC920E-930F-48A8-B6D8-8CB867F89A4C}"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24</xdr:col>
      <xdr:colOff>0</xdr:colOff>
      <xdr:row>45</xdr:row>
      <xdr:rowOff>0</xdr:rowOff>
    </xdr:from>
    <xdr:to>
      <xdr:col>26</xdr:col>
      <xdr:colOff>0</xdr:colOff>
      <xdr:row>45</xdr:row>
      <xdr:rowOff>208800</xdr:rowOff>
    </xdr:to>
    <xdr:sp macro="" textlink="PLANS!$CI$14">
      <xdr:nvSpPr>
        <xdr:cNvPr id="15" name="TextBox 14">
          <a:extLst>
            <a:ext uri="{FF2B5EF4-FFF2-40B4-BE49-F238E27FC236}">
              <a16:creationId xmlns:a16="http://schemas.microsoft.com/office/drawing/2014/main" id="{FC31A648-755F-469A-A3A2-54129C5AA803}"/>
            </a:ext>
          </a:extLst>
        </xdr:cNvPr>
        <xdr:cNvSpPr txBox="1"/>
      </xdr:nvSpPr>
      <xdr:spPr>
        <a:xfrm>
          <a:off x="5486400" y="94297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624A9D25-90FC-4DB9-826C-1377F00DF13A}"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26</xdr:col>
      <xdr:colOff>0</xdr:colOff>
      <xdr:row>45</xdr:row>
      <xdr:rowOff>0</xdr:rowOff>
    </xdr:from>
    <xdr:to>
      <xdr:col>28</xdr:col>
      <xdr:colOff>0</xdr:colOff>
      <xdr:row>45</xdr:row>
      <xdr:rowOff>208800</xdr:rowOff>
    </xdr:to>
    <xdr:sp macro="" textlink="PLANS!$CI$15">
      <xdr:nvSpPr>
        <xdr:cNvPr id="16" name="TextBox 15">
          <a:extLst>
            <a:ext uri="{FF2B5EF4-FFF2-40B4-BE49-F238E27FC236}">
              <a16:creationId xmlns:a16="http://schemas.microsoft.com/office/drawing/2014/main" id="{5710581A-D3B6-4F9D-8BF9-592D055543B8}"/>
            </a:ext>
          </a:extLst>
        </xdr:cNvPr>
        <xdr:cNvSpPr txBox="1"/>
      </xdr:nvSpPr>
      <xdr:spPr>
        <a:xfrm>
          <a:off x="5943600" y="94297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C2F57915-7D00-412C-97A8-C95391DDB4AB}"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28</xdr:col>
      <xdr:colOff>0</xdr:colOff>
      <xdr:row>45</xdr:row>
      <xdr:rowOff>750</xdr:rowOff>
    </xdr:from>
    <xdr:to>
      <xdr:col>30</xdr:col>
      <xdr:colOff>0</xdr:colOff>
      <xdr:row>46</xdr:row>
      <xdr:rowOff>0</xdr:rowOff>
    </xdr:to>
    <xdr:sp macro="" textlink="PLANS!$CI$16">
      <xdr:nvSpPr>
        <xdr:cNvPr id="17" name="TextBox 16">
          <a:extLst>
            <a:ext uri="{FF2B5EF4-FFF2-40B4-BE49-F238E27FC236}">
              <a16:creationId xmlns:a16="http://schemas.microsoft.com/office/drawing/2014/main" id="{330C3B9B-75CE-4A12-A05B-296B39856164}"/>
            </a:ext>
          </a:extLst>
        </xdr:cNvPr>
        <xdr:cNvSpPr txBox="1"/>
      </xdr:nvSpPr>
      <xdr:spPr>
        <a:xfrm>
          <a:off x="6400800" y="94305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1EFCA546-9B4C-4CF8-95B2-3CFCEB1FE591}"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xdr:col>
      <xdr:colOff>0</xdr:colOff>
      <xdr:row>46</xdr:row>
      <xdr:rowOff>0</xdr:rowOff>
    </xdr:from>
    <xdr:to>
      <xdr:col>8</xdr:col>
      <xdr:colOff>0</xdr:colOff>
      <xdr:row>46</xdr:row>
      <xdr:rowOff>208800</xdr:rowOff>
    </xdr:to>
    <xdr:sp macro="" textlink="PLANS!$CN$5">
      <xdr:nvSpPr>
        <xdr:cNvPr id="18" name="TextBox 17">
          <a:extLst>
            <a:ext uri="{FF2B5EF4-FFF2-40B4-BE49-F238E27FC236}">
              <a16:creationId xmlns:a16="http://schemas.microsoft.com/office/drawing/2014/main" id="{174A2580-CA70-4F8F-A273-F28EB7349AA4}"/>
            </a:ext>
          </a:extLst>
        </xdr:cNvPr>
        <xdr:cNvSpPr txBox="1"/>
      </xdr:nvSpPr>
      <xdr:spPr>
        <a:xfrm>
          <a:off x="1371600" y="96393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DC6796E8-5833-41C8-A8D0-BAA09B5EAB71}"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8</xdr:col>
      <xdr:colOff>0</xdr:colOff>
      <xdr:row>46</xdr:row>
      <xdr:rowOff>0</xdr:rowOff>
    </xdr:from>
    <xdr:to>
      <xdr:col>10</xdr:col>
      <xdr:colOff>0</xdr:colOff>
      <xdr:row>46</xdr:row>
      <xdr:rowOff>208800</xdr:rowOff>
    </xdr:to>
    <xdr:sp macro="" textlink="PLANS!$CN$6">
      <xdr:nvSpPr>
        <xdr:cNvPr id="19" name="TextBox 18">
          <a:extLst>
            <a:ext uri="{FF2B5EF4-FFF2-40B4-BE49-F238E27FC236}">
              <a16:creationId xmlns:a16="http://schemas.microsoft.com/office/drawing/2014/main" id="{94D51ACA-CEE0-4F51-8F63-93E8BE34856F}"/>
            </a:ext>
          </a:extLst>
        </xdr:cNvPr>
        <xdr:cNvSpPr txBox="1"/>
      </xdr:nvSpPr>
      <xdr:spPr>
        <a:xfrm>
          <a:off x="1828800" y="96393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09088032-83CD-4AE6-84EC-037D268D0901}"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10</xdr:col>
      <xdr:colOff>0</xdr:colOff>
      <xdr:row>46</xdr:row>
      <xdr:rowOff>750</xdr:rowOff>
    </xdr:from>
    <xdr:to>
      <xdr:col>12</xdr:col>
      <xdr:colOff>0</xdr:colOff>
      <xdr:row>47</xdr:row>
      <xdr:rowOff>0</xdr:rowOff>
    </xdr:to>
    <xdr:sp macro="" textlink="PLANS!$CN$7">
      <xdr:nvSpPr>
        <xdr:cNvPr id="20" name="TextBox 19">
          <a:extLst>
            <a:ext uri="{FF2B5EF4-FFF2-40B4-BE49-F238E27FC236}">
              <a16:creationId xmlns:a16="http://schemas.microsoft.com/office/drawing/2014/main" id="{37998FDE-6018-4F1A-99A2-44D8F189A2BD}"/>
            </a:ext>
          </a:extLst>
        </xdr:cNvPr>
        <xdr:cNvSpPr txBox="1"/>
      </xdr:nvSpPr>
      <xdr:spPr>
        <a:xfrm>
          <a:off x="2286000" y="96400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A5A652B0-4AAE-4862-89BF-28E3470BE0F7}"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12</xdr:col>
      <xdr:colOff>0</xdr:colOff>
      <xdr:row>46</xdr:row>
      <xdr:rowOff>0</xdr:rowOff>
    </xdr:from>
    <xdr:to>
      <xdr:col>14</xdr:col>
      <xdr:colOff>0</xdr:colOff>
      <xdr:row>46</xdr:row>
      <xdr:rowOff>208800</xdr:rowOff>
    </xdr:to>
    <xdr:sp macro="" textlink="PLANS!$CN$8">
      <xdr:nvSpPr>
        <xdr:cNvPr id="21" name="TextBox 20">
          <a:extLst>
            <a:ext uri="{FF2B5EF4-FFF2-40B4-BE49-F238E27FC236}">
              <a16:creationId xmlns:a16="http://schemas.microsoft.com/office/drawing/2014/main" id="{5F0CBD6E-40DF-4BAF-B10D-08959B9A244C}"/>
            </a:ext>
          </a:extLst>
        </xdr:cNvPr>
        <xdr:cNvSpPr txBox="1"/>
      </xdr:nvSpPr>
      <xdr:spPr>
        <a:xfrm>
          <a:off x="2743200" y="96393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7AACA589-D8C3-4C99-A700-7984451294BB}"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14</xdr:col>
      <xdr:colOff>0</xdr:colOff>
      <xdr:row>46</xdr:row>
      <xdr:rowOff>0</xdr:rowOff>
    </xdr:from>
    <xdr:to>
      <xdr:col>16</xdr:col>
      <xdr:colOff>0</xdr:colOff>
      <xdr:row>46</xdr:row>
      <xdr:rowOff>208800</xdr:rowOff>
    </xdr:to>
    <xdr:sp macro="" textlink="PLANS!$CN$9">
      <xdr:nvSpPr>
        <xdr:cNvPr id="22" name="TextBox 21">
          <a:extLst>
            <a:ext uri="{FF2B5EF4-FFF2-40B4-BE49-F238E27FC236}">
              <a16:creationId xmlns:a16="http://schemas.microsoft.com/office/drawing/2014/main" id="{AF3E8D32-E864-44D6-8CFE-4F35B92C42B1}"/>
            </a:ext>
          </a:extLst>
        </xdr:cNvPr>
        <xdr:cNvSpPr txBox="1"/>
      </xdr:nvSpPr>
      <xdr:spPr>
        <a:xfrm>
          <a:off x="3200400" y="96393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7CB65291-0A37-4A8A-94C9-A5927E0CFD40}"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16</xdr:col>
      <xdr:colOff>0</xdr:colOff>
      <xdr:row>46</xdr:row>
      <xdr:rowOff>750</xdr:rowOff>
    </xdr:from>
    <xdr:to>
      <xdr:col>18</xdr:col>
      <xdr:colOff>0</xdr:colOff>
      <xdr:row>47</xdr:row>
      <xdr:rowOff>0</xdr:rowOff>
    </xdr:to>
    <xdr:sp macro="" textlink="PLANS!$CN$10">
      <xdr:nvSpPr>
        <xdr:cNvPr id="24" name="TextBox 23">
          <a:extLst>
            <a:ext uri="{FF2B5EF4-FFF2-40B4-BE49-F238E27FC236}">
              <a16:creationId xmlns:a16="http://schemas.microsoft.com/office/drawing/2014/main" id="{DAC76564-441F-4ECC-9EE9-620A2DF8CC39}"/>
            </a:ext>
          </a:extLst>
        </xdr:cNvPr>
        <xdr:cNvSpPr txBox="1"/>
      </xdr:nvSpPr>
      <xdr:spPr>
        <a:xfrm>
          <a:off x="3657600" y="96400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52F465E2-4BA4-40EC-B72A-A899DDDC4333}"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18</xdr:col>
      <xdr:colOff>0</xdr:colOff>
      <xdr:row>46</xdr:row>
      <xdr:rowOff>0</xdr:rowOff>
    </xdr:from>
    <xdr:to>
      <xdr:col>20</xdr:col>
      <xdr:colOff>0</xdr:colOff>
      <xdr:row>46</xdr:row>
      <xdr:rowOff>208800</xdr:rowOff>
    </xdr:to>
    <xdr:sp macro="" textlink="PLANS!$CN$11">
      <xdr:nvSpPr>
        <xdr:cNvPr id="26" name="TextBox 25">
          <a:extLst>
            <a:ext uri="{FF2B5EF4-FFF2-40B4-BE49-F238E27FC236}">
              <a16:creationId xmlns:a16="http://schemas.microsoft.com/office/drawing/2014/main" id="{3AB48F5C-544D-4460-9351-86BE2DBDBB49}"/>
            </a:ext>
          </a:extLst>
        </xdr:cNvPr>
        <xdr:cNvSpPr txBox="1"/>
      </xdr:nvSpPr>
      <xdr:spPr>
        <a:xfrm>
          <a:off x="4114800" y="96393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970F099F-9FE1-4EC7-97A2-EB8B24FD2F3F}"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20</xdr:col>
      <xdr:colOff>0</xdr:colOff>
      <xdr:row>46</xdr:row>
      <xdr:rowOff>0</xdr:rowOff>
    </xdr:from>
    <xdr:to>
      <xdr:col>22</xdr:col>
      <xdr:colOff>0</xdr:colOff>
      <xdr:row>46</xdr:row>
      <xdr:rowOff>208800</xdr:rowOff>
    </xdr:to>
    <xdr:sp macro="" textlink="PLANS!$CN$12">
      <xdr:nvSpPr>
        <xdr:cNvPr id="28" name="TextBox 27">
          <a:extLst>
            <a:ext uri="{FF2B5EF4-FFF2-40B4-BE49-F238E27FC236}">
              <a16:creationId xmlns:a16="http://schemas.microsoft.com/office/drawing/2014/main" id="{330B687C-7493-4428-B9A5-C2538A66BDD1}"/>
            </a:ext>
          </a:extLst>
        </xdr:cNvPr>
        <xdr:cNvSpPr txBox="1"/>
      </xdr:nvSpPr>
      <xdr:spPr>
        <a:xfrm>
          <a:off x="4572000" y="96393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EABD0904-7C8D-48EF-BD9C-278B16DCE802}"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22</xdr:col>
      <xdr:colOff>0</xdr:colOff>
      <xdr:row>46</xdr:row>
      <xdr:rowOff>750</xdr:rowOff>
    </xdr:from>
    <xdr:to>
      <xdr:col>24</xdr:col>
      <xdr:colOff>0</xdr:colOff>
      <xdr:row>47</xdr:row>
      <xdr:rowOff>0</xdr:rowOff>
    </xdr:to>
    <xdr:sp macro="" textlink="PLANS!$CN$13">
      <xdr:nvSpPr>
        <xdr:cNvPr id="29" name="TextBox 28">
          <a:extLst>
            <a:ext uri="{FF2B5EF4-FFF2-40B4-BE49-F238E27FC236}">
              <a16:creationId xmlns:a16="http://schemas.microsoft.com/office/drawing/2014/main" id="{AE4749F6-7188-44A4-9916-F62062D05499}"/>
            </a:ext>
          </a:extLst>
        </xdr:cNvPr>
        <xdr:cNvSpPr txBox="1"/>
      </xdr:nvSpPr>
      <xdr:spPr>
        <a:xfrm>
          <a:off x="5029200" y="96400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EB58F8D3-25ED-4D69-9EB4-44A9DB04D328}"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24</xdr:col>
      <xdr:colOff>0</xdr:colOff>
      <xdr:row>46</xdr:row>
      <xdr:rowOff>0</xdr:rowOff>
    </xdr:from>
    <xdr:to>
      <xdr:col>26</xdr:col>
      <xdr:colOff>0</xdr:colOff>
      <xdr:row>46</xdr:row>
      <xdr:rowOff>208800</xdr:rowOff>
    </xdr:to>
    <xdr:sp macro="" textlink="PLANS!$CN$14">
      <xdr:nvSpPr>
        <xdr:cNvPr id="33" name="TextBox 32">
          <a:extLst>
            <a:ext uri="{FF2B5EF4-FFF2-40B4-BE49-F238E27FC236}">
              <a16:creationId xmlns:a16="http://schemas.microsoft.com/office/drawing/2014/main" id="{36F36251-C94B-47E6-A875-9C5660DAE487}"/>
            </a:ext>
          </a:extLst>
        </xdr:cNvPr>
        <xdr:cNvSpPr txBox="1"/>
      </xdr:nvSpPr>
      <xdr:spPr>
        <a:xfrm>
          <a:off x="5486400" y="96393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179DC7C4-1800-4DFA-8CAB-93D66A1072D0}"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26</xdr:col>
      <xdr:colOff>0</xdr:colOff>
      <xdr:row>46</xdr:row>
      <xdr:rowOff>0</xdr:rowOff>
    </xdr:from>
    <xdr:to>
      <xdr:col>28</xdr:col>
      <xdr:colOff>0</xdr:colOff>
      <xdr:row>46</xdr:row>
      <xdr:rowOff>208800</xdr:rowOff>
    </xdr:to>
    <xdr:sp macro="" textlink="PLANS!$CN$15">
      <xdr:nvSpPr>
        <xdr:cNvPr id="34" name="TextBox 33">
          <a:extLst>
            <a:ext uri="{FF2B5EF4-FFF2-40B4-BE49-F238E27FC236}">
              <a16:creationId xmlns:a16="http://schemas.microsoft.com/office/drawing/2014/main" id="{1A4781DB-9F8F-43BA-B0B3-9CB0366EC5F8}"/>
            </a:ext>
          </a:extLst>
        </xdr:cNvPr>
        <xdr:cNvSpPr txBox="1"/>
      </xdr:nvSpPr>
      <xdr:spPr>
        <a:xfrm>
          <a:off x="5943600" y="96393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C9901587-4535-4DCC-9698-84EA9843D8BC}"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28</xdr:col>
      <xdr:colOff>0</xdr:colOff>
      <xdr:row>46</xdr:row>
      <xdr:rowOff>750</xdr:rowOff>
    </xdr:from>
    <xdr:to>
      <xdr:col>30</xdr:col>
      <xdr:colOff>0</xdr:colOff>
      <xdr:row>47</xdr:row>
      <xdr:rowOff>0</xdr:rowOff>
    </xdr:to>
    <xdr:sp macro="" textlink="PLANS!$CN$16">
      <xdr:nvSpPr>
        <xdr:cNvPr id="37" name="TextBox 36">
          <a:extLst>
            <a:ext uri="{FF2B5EF4-FFF2-40B4-BE49-F238E27FC236}">
              <a16:creationId xmlns:a16="http://schemas.microsoft.com/office/drawing/2014/main" id="{4A239816-8748-49E9-A0C5-1D6968E88401}"/>
            </a:ext>
          </a:extLst>
        </xdr:cNvPr>
        <xdr:cNvSpPr txBox="1"/>
      </xdr:nvSpPr>
      <xdr:spPr>
        <a:xfrm>
          <a:off x="6400800" y="96400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F513AAD9-C448-4614-8444-B0880315E58D}"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xdr:col>
      <xdr:colOff>0</xdr:colOff>
      <xdr:row>47</xdr:row>
      <xdr:rowOff>0</xdr:rowOff>
    </xdr:from>
    <xdr:to>
      <xdr:col>8</xdr:col>
      <xdr:colOff>0</xdr:colOff>
      <xdr:row>47</xdr:row>
      <xdr:rowOff>208800</xdr:rowOff>
    </xdr:to>
    <xdr:sp macro="" textlink="PLANS!$CS$5">
      <xdr:nvSpPr>
        <xdr:cNvPr id="38" name="TextBox 37">
          <a:extLst>
            <a:ext uri="{FF2B5EF4-FFF2-40B4-BE49-F238E27FC236}">
              <a16:creationId xmlns:a16="http://schemas.microsoft.com/office/drawing/2014/main" id="{A2226AC2-FEE4-4EA2-9905-94B47E01F46C}"/>
            </a:ext>
          </a:extLst>
        </xdr:cNvPr>
        <xdr:cNvSpPr txBox="1"/>
      </xdr:nvSpPr>
      <xdr:spPr>
        <a:xfrm>
          <a:off x="1371600" y="98488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9A03432F-E254-47D7-8EF4-6B95414CDE0E}"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8</xdr:col>
      <xdr:colOff>0</xdr:colOff>
      <xdr:row>47</xdr:row>
      <xdr:rowOff>0</xdr:rowOff>
    </xdr:from>
    <xdr:to>
      <xdr:col>10</xdr:col>
      <xdr:colOff>0</xdr:colOff>
      <xdr:row>47</xdr:row>
      <xdr:rowOff>208800</xdr:rowOff>
    </xdr:to>
    <xdr:sp macro="" textlink="PLANS!$CS$6">
      <xdr:nvSpPr>
        <xdr:cNvPr id="39" name="TextBox 38">
          <a:extLst>
            <a:ext uri="{FF2B5EF4-FFF2-40B4-BE49-F238E27FC236}">
              <a16:creationId xmlns:a16="http://schemas.microsoft.com/office/drawing/2014/main" id="{F39AF0F2-5948-4FAF-B359-654925865559}"/>
            </a:ext>
          </a:extLst>
        </xdr:cNvPr>
        <xdr:cNvSpPr txBox="1"/>
      </xdr:nvSpPr>
      <xdr:spPr>
        <a:xfrm>
          <a:off x="1828800" y="98488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824F2FD1-AC29-4BCA-9641-86114FA9C57F}"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10</xdr:col>
      <xdr:colOff>0</xdr:colOff>
      <xdr:row>47</xdr:row>
      <xdr:rowOff>750</xdr:rowOff>
    </xdr:from>
    <xdr:to>
      <xdr:col>12</xdr:col>
      <xdr:colOff>0</xdr:colOff>
      <xdr:row>48</xdr:row>
      <xdr:rowOff>0</xdr:rowOff>
    </xdr:to>
    <xdr:sp macro="" textlink="PLANS!$CS$7">
      <xdr:nvSpPr>
        <xdr:cNvPr id="40" name="TextBox 39">
          <a:extLst>
            <a:ext uri="{FF2B5EF4-FFF2-40B4-BE49-F238E27FC236}">
              <a16:creationId xmlns:a16="http://schemas.microsoft.com/office/drawing/2014/main" id="{0D3DC32D-6A4B-446F-B546-63ACB58B8E39}"/>
            </a:ext>
          </a:extLst>
        </xdr:cNvPr>
        <xdr:cNvSpPr txBox="1"/>
      </xdr:nvSpPr>
      <xdr:spPr>
        <a:xfrm>
          <a:off x="2286000" y="98496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A406D121-81B4-40CF-835E-B6C1E8734538}"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12</xdr:col>
      <xdr:colOff>0</xdr:colOff>
      <xdr:row>47</xdr:row>
      <xdr:rowOff>0</xdr:rowOff>
    </xdr:from>
    <xdr:to>
      <xdr:col>14</xdr:col>
      <xdr:colOff>0</xdr:colOff>
      <xdr:row>47</xdr:row>
      <xdr:rowOff>208800</xdr:rowOff>
    </xdr:to>
    <xdr:sp macro="" textlink="PLANS!$CS$8">
      <xdr:nvSpPr>
        <xdr:cNvPr id="41" name="TextBox 40">
          <a:extLst>
            <a:ext uri="{FF2B5EF4-FFF2-40B4-BE49-F238E27FC236}">
              <a16:creationId xmlns:a16="http://schemas.microsoft.com/office/drawing/2014/main" id="{5F7A80C4-5BF6-4BE0-8DB5-00A3418B8A93}"/>
            </a:ext>
          </a:extLst>
        </xdr:cNvPr>
        <xdr:cNvSpPr txBox="1"/>
      </xdr:nvSpPr>
      <xdr:spPr>
        <a:xfrm>
          <a:off x="2743200" y="98488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18C013C5-BEA0-454E-9730-FAD3E596892E}"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14</xdr:col>
      <xdr:colOff>0</xdr:colOff>
      <xdr:row>47</xdr:row>
      <xdr:rowOff>0</xdr:rowOff>
    </xdr:from>
    <xdr:to>
      <xdr:col>16</xdr:col>
      <xdr:colOff>0</xdr:colOff>
      <xdr:row>47</xdr:row>
      <xdr:rowOff>208800</xdr:rowOff>
    </xdr:to>
    <xdr:sp macro="" textlink="PLANS!$CS$9">
      <xdr:nvSpPr>
        <xdr:cNvPr id="42" name="TextBox 41">
          <a:extLst>
            <a:ext uri="{FF2B5EF4-FFF2-40B4-BE49-F238E27FC236}">
              <a16:creationId xmlns:a16="http://schemas.microsoft.com/office/drawing/2014/main" id="{18CE7D8E-54E0-4B44-9322-1FEC0F48D35A}"/>
            </a:ext>
          </a:extLst>
        </xdr:cNvPr>
        <xdr:cNvSpPr txBox="1"/>
      </xdr:nvSpPr>
      <xdr:spPr>
        <a:xfrm>
          <a:off x="3200400" y="98488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E8C594D1-D4EB-4788-A9FF-8009FCEBC840}"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16</xdr:col>
      <xdr:colOff>0</xdr:colOff>
      <xdr:row>47</xdr:row>
      <xdr:rowOff>750</xdr:rowOff>
    </xdr:from>
    <xdr:to>
      <xdr:col>18</xdr:col>
      <xdr:colOff>0</xdr:colOff>
      <xdr:row>48</xdr:row>
      <xdr:rowOff>0</xdr:rowOff>
    </xdr:to>
    <xdr:sp macro="" textlink="PLANS!$CS$10">
      <xdr:nvSpPr>
        <xdr:cNvPr id="43" name="TextBox 42">
          <a:extLst>
            <a:ext uri="{FF2B5EF4-FFF2-40B4-BE49-F238E27FC236}">
              <a16:creationId xmlns:a16="http://schemas.microsoft.com/office/drawing/2014/main" id="{77F636B9-25AF-46E5-8BC3-EECAB69737AF}"/>
            </a:ext>
          </a:extLst>
        </xdr:cNvPr>
        <xdr:cNvSpPr txBox="1"/>
      </xdr:nvSpPr>
      <xdr:spPr>
        <a:xfrm>
          <a:off x="3657600" y="98496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98967429-D94D-42C3-BDB9-885E342D7C03}"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18</xdr:col>
      <xdr:colOff>0</xdr:colOff>
      <xdr:row>47</xdr:row>
      <xdr:rowOff>0</xdr:rowOff>
    </xdr:from>
    <xdr:to>
      <xdr:col>20</xdr:col>
      <xdr:colOff>0</xdr:colOff>
      <xdr:row>47</xdr:row>
      <xdr:rowOff>208800</xdr:rowOff>
    </xdr:to>
    <xdr:sp macro="" textlink="PLANS!$CS$11">
      <xdr:nvSpPr>
        <xdr:cNvPr id="44" name="TextBox 43">
          <a:extLst>
            <a:ext uri="{FF2B5EF4-FFF2-40B4-BE49-F238E27FC236}">
              <a16:creationId xmlns:a16="http://schemas.microsoft.com/office/drawing/2014/main" id="{17B403EF-1451-4A0B-B997-7BE4DEBB6CCF}"/>
            </a:ext>
          </a:extLst>
        </xdr:cNvPr>
        <xdr:cNvSpPr txBox="1"/>
      </xdr:nvSpPr>
      <xdr:spPr>
        <a:xfrm>
          <a:off x="4114800" y="98488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A267EA11-6039-43F2-B2FD-939963A2BB98}"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20</xdr:col>
      <xdr:colOff>0</xdr:colOff>
      <xdr:row>47</xdr:row>
      <xdr:rowOff>0</xdr:rowOff>
    </xdr:from>
    <xdr:to>
      <xdr:col>22</xdr:col>
      <xdr:colOff>0</xdr:colOff>
      <xdr:row>47</xdr:row>
      <xdr:rowOff>208800</xdr:rowOff>
    </xdr:to>
    <xdr:sp macro="" textlink="PLANS!$CS$12">
      <xdr:nvSpPr>
        <xdr:cNvPr id="45" name="TextBox 44">
          <a:extLst>
            <a:ext uri="{FF2B5EF4-FFF2-40B4-BE49-F238E27FC236}">
              <a16:creationId xmlns:a16="http://schemas.microsoft.com/office/drawing/2014/main" id="{782C6DC3-70FB-40A9-85CA-5D7006A53B61}"/>
            </a:ext>
          </a:extLst>
        </xdr:cNvPr>
        <xdr:cNvSpPr txBox="1"/>
      </xdr:nvSpPr>
      <xdr:spPr>
        <a:xfrm>
          <a:off x="4572000" y="98488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2ECB3612-F00D-4AD9-A946-837E10577C45}"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22</xdr:col>
      <xdr:colOff>0</xdr:colOff>
      <xdr:row>47</xdr:row>
      <xdr:rowOff>750</xdr:rowOff>
    </xdr:from>
    <xdr:to>
      <xdr:col>24</xdr:col>
      <xdr:colOff>0</xdr:colOff>
      <xdr:row>48</xdr:row>
      <xdr:rowOff>0</xdr:rowOff>
    </xdr:to>
    <xdr:sp macro="" textlink="PLANS!$CS$13">
      <xdr:nvSpPr>
        <xdr:cNvPr id="46" name="TextBox 45">
          <a:extLst>
            <a:ext uri="{FF2B5EF4-FFF2-40B4-BE49-F238E27FC236}">
              <a16:creationId xmlns:a16="http://schemas.microsoft.com/office/drawing/2014/main" id="{9953E8EA-578D-404F-9B40-8532F09DAF6A}"/>
            </a:ext>
          </a:extLst>
        </xdr:cNvPr>
        <xdr:cNvSpPr txBox="1"/>
      </xdr:nvSpPr>
      <xdr:spPr>
        <a:xfrm>
          <a:off x="5029200" y="98496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5AC89115-34BF-4C9A-8BE8-DEAB10E38547}"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24</xdr:col>
      <xdr:colOff>0</xdr:colOff>
      <xdr:row>47</xdr:row>
      <xdr:rowOff>0</xdr:rowOff>
    </xdr:from>
    <xdr:to>
      <xdr:col>26</xdr:col>
      <xdr:colOff>0</xdr:colOff>
      <xdr:row>47</xdr:row>
      <xdr:rowOff>208800</xdr:rowOff>
    </xdr:to>
    <xdr:sp macro="" textlink="PLANS!$CS$14">
      <xdr:nvSpPr>
        <xdr:cNvPr id="47" name="TextBox 46">
          <a:extLst>
            <a:ext uri="{FF2B5EF4-FFF2-40B4-BE49-F238E27FC236}">
              <a16:creationId xmlns:a16="http://schemas.microsoft.com/office/drawing/2014/main" id="{14DA8882-9022-4B8C-980B-54C329C9D4BE}"/>
            </a:ext>
          </a:extLst>
        </xdr:cNvPr>
        <xdr:cNvSpPr txBox="1"/>
      </xdr:nvSpPr>
      <xdr:spPr>
        <a:xfrm>
          <a:off x="5486400" y="98488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41816389-63FA-48AE-902C-3E4D405412CF}"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26</xdr:col>
      <xdr:colOff>0</xdr:colOff>
      <xdr:row>47</xdr:row>
      <xdr:rowOff>0</xdr:rowOff>
    </xdr:from>
    <xdr:to>
      <xdr:col>28</xdr:col>
      <xdr:colOff>0</xdr:colOff>
      <xdr:row>47</xdr:row>
      <xdr:rowOff>208800</xdr:rowOff>
    </xdr:to>
    <xdr:sp macro="" textlink="PLANS!$CS$15">
      <xdr:nvSpPr>
        <xdr:cNvPr id="48" name="TextBox 47">
          <a:extLst>
            <a:ext uri="{FF2B5EF4-FFF2-40B4-BE49-F238E27FC236}">
              <a16:creationId xmlns:a16="http://schemas.microsoft.com/office/drawing/2014/main" id="{B3B77881-A154-44CD-AB99-E7687D605FCC}"/>
            </a:ext>
          </a:extLst>
        </xdr:cNvPr>
        <xdr:cNvSpPr txBox="1"/>
      </xdr:nvSpPr>
      <xdr:spPr>
        <a:xfrm>
          <a:off x="5943600" y="98488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BA8A05BB-CBB6-4556-8BD3-D73041088421}"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28</xdr:col>
      <xdr:colOff>0</xdr:colOff>
      <xdr:row>47</xdr:row>
      <xdr:rowOff>750</xdr:rowOff>
    </xdr:from>
    <xdr:to>
      <xdr:col>30</xdr:col>
      <xdr:colOff>0</xdr:colOff>
      <xdr:row>48</xdr:row>
      <xdr:rowOff>0</xdr:rowOff>
    </xdr:to>
    <xdr:sp macro="" textlink="PLANS!$CS$16">
      <xdr:nvSpPr>
        <xdr:cNvPr id="49" name="TextBox 48">
          <a:extLst>
            <a:ext uri="{FF2B5EF4-FFF2-40B4-BE49-F238E27FC236}">
              <a16:creationId xmlns:a16="http://schemas.microsoft.com/office/drawing/2014/main" id="{1AEC9A58-8089-47C1-B068-92A4E9C9E9B9}"/>
            </a:ext>
          </a:extLst>
        </xdr:cNvPr>
        <xdr:cNvSpPr txBox="1"/>
      </xdr:nvSpPr>
      <xdr:spPr>
        <a:xfrm>
          <a:off x="6400800" y="98496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9E3EB6C8-E0AC-4BFF-BB30-3A802441A691}"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xdr:col>
      <xdr:colOff>0</xdr:colOff>
      <xdr:row>48</xdr:row>
      <xdr:rowOff>0</xdr:rowOff>
    </xdr:from>
    <xdr:to>
      <xdr:col>8</xdr:col>
      <xdr:colOff>0</xdr:colOff>
      <xdr:row>48</xdr:row>
      <xdr:rowOff>208800</xdr:rowOff>
    </xdr:to>
    <xdr:sp macro="" textlink="PLANS!$CX$5">
      <xdr:nvSpPr>
        <xdr:cNvPr id="50" name="TextBox 49">
          <a:extLst>
            <a:ext uri="{FF2B5EF4-FFF2-40B4-BE49-F238E27FC236}">
              <a16:creationId xmlns:a16="http://schemas.microsoft.com/office/drawing/2014/main" id="{EF420BB0-2ECC-4DB0-86ED-937364373844}"/>
            </a:ext>
          </a:extLst>
        </xdr:cNvPr>
        <xdr:cNvSpPr txBox="1"/>
      </xdr:nvSpPr>
      <xdr:spPr>
        <a:xfrm>
          <a:off x="1371600" y="100584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CB33F410-2F77-4FF1-8792-91CBFDA148E0}"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8</xdr:col>
      <xdr:colOff>0</xdr:colOff>
      <xdr:row>48</xdr:row>
      <xdr:rowOff>0</xdr:rowOff>
    </xdr:from>
    <xdr:to>
      <xdr:col>10</xdr:col>
      <xdr:colOff>0</xdr:colOff>
      <xdr:row>48</xdr:row>
      <xdr:rowOff>208800</xdr:rowOff>
    </xdr:to>
    <xdr:sp macro="" textlink="PLANS!$CX$6">
      <xdr:nvSpPr>
        <xdr:cNvPr id="51" name="TextBox 50">
          <a:extLst>
            <a:ext uri="{FF2B5EF4-FFF2-40B4-BE49-F238E27FC236}">
              <a16:creationId xmlns:a16="http://schemas.microsoft.com/office/drawing/2014/main" id="{B9F56AE2-27E5-4594-B128-741B87758418}"/>
            </a:ext>
          </a:extLst>
        </xdr:cNvPr>
        <xdr:cNvSpPr txBox="1"/>
      </xdr:nvSpPr>
      <xdr:spPr>
        <a:xfrm>
          <a:off x="1828800" y="100584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C1756EAA-60E3-4572-9D95-60A4C28EE9E3}"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10</xdr:col>
      <xdr:colOff>0</xdr:colOff>
      <xdr:row>48</xdr:row>
      <xdr:rowOff>750</xdr:rowOff>
    </xdr:from>
    <xdr:to>
      <xdr:col>12</xdr:col>
      <xdr:colOff>0</xdr:colOff>
      <xdr:row>49</xdr:row>
      <xdr:rowOff>0</xdr:rowOff>
    </xdr:to>
    <xdr:sp macro="" textlink="PLANS!$CX$7">
      <xdr:nvSpPr>
        <xdr:cNvPr id="52" name="TextBox 51">
          <a:extLst>
            <a:ext uri="{FF2B5EF4-FFF2-40B4-BE49-F238E27FC236}">
              <a16:creationId xmlns:a16="http://schemas.microsoft.com/office/drawing/2014/main" id="{02757CE0-90B5-4589-9487-5662AC68FE3F}"/>
            </a:ext>
          </a:extLst>
        </xdr:cNvPr>
        <xdr:cNvSpPr txBox="1"/>
      </xdr:nvSpPr>
      <xdr:spPr>
        <a:xfrm>
          <a:off x="2286000" y="100591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5AF4F166-DD27-4198-BFE5-B0135272BC35}"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12</xdr:col>
      <xdr:colOff>0</xdr:colOff>
      <xdr:row>48</xdr:row>
      <xdr:rowOff>0</xdr:rowOff>
    </xdr:from>
    <xdr:to>
      <xdr:col>14</xdr:col>
      <xdr:colOff>0</xdr:colOff>
      <xdr:row>48</xdr:row>
      <xdr:rowOff>208800</xdr:rowOff>
    </xdr:to>
    <xdr:sp macro="" textlink="PLANS!$CX$8">
      <xdr:nvSpPr>
        <xdr:cNvPr id="53" name="TextBox 52">
          <a:extLst>
            <a:ext uri="{FF2B5EF4-FFF2-40B4-BE49-F238E27FC236}">
              <a16:creationId xmlns:a16="http://schemas.microsoft.com/office/drawing/2014/main" id="{0408E06F-030F-4774-8665-E5D3D5B2F91F}"/>
            </a:ext>
          </a:extLst>
        </xdr:cNvPr>
        <xdr:cNvSpPr txBox="1"/>
      </xdr:nvSpPr>
      <xdr:spPr>
        <a:xfrm>
          <a:off x="2743200" y="100584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F7835CC9-074D-4DB9-B256-C40EDB58BCA1}"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14</xdr:col>
      <xdr:colOff>0</xdr:colOff>
      <xdr:row>48</xdr:row>
      <xdr:rowOff>0</xdr:rowOff>
    </xdr:from>
    <xdr:to>
      <xdr:col>16</xdr:col>
      <xdr:colOff>0</xdr:colOff>
      <xdr:row>48</xdr:row>
      <xdr:rowOff>208800</xdr:rowOff>
    </xdr:to>
    <xdr:sp macro="" textlink="PLANS!$CX$9">
      <xdr:nvSpPr>
        <xdr:cNvPr id="54" name="TextBox 53">
          <a:extLst>
            <a:ext uri="{FF2B5EF4-FFF2-40B4-BE49-F238E27FC236}">
              <a16:creationId xmlns:a16="http://schemas.microsoft.com/office/drawing/2014/main" id="{8AEFC1E5-0F9E-4E03-B56A-6D6E009C118E}"/>
            </a:ext>
          </a:extLst>
        </xdr:cNvPr>
        <xdr:cNvSpPr txBox="1"/>
      </xdr:nvSpPr>
      <xdr:spPr>
        <a:xfrm>
          <a:off x="3200400" y="100584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52F88BA9-7263-44D2-84B8-3221507301D2}"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16</xdr:col>
      <xdr:colOff>0</xdr:colOff>
      <xdr:row>48</xdr:row>
      <xdr:rowOff>750</xdr:rowOff>
    </xdr:from>
    <xdr:to>
      <xdr:col>18</xdr:col>
      <xdr:colOff>0</xdr:colOff>
      <xdr:row>49</xdr:row>
      <xdr:rowOff>0</xdr:rowOff>
    </xdr:to>
    <xdr:sp macro="" textlink="PLANS!$CX$10">
      <xdr:nvSpPr>
        <xdr:cNvPr id="55" name="TextBox 54">
          <a:extLst>
            <a:ext uri="{FF2B5EF4-FFF2-40B4-BE49-F238E27FC236}">
              <a16:creationId xmlns:a16="http://schemas.microsoft.com/office/drawing/2014/main" id="{A833A10C-7578-4D26-B18E-3975AEDC22F1}"/>
            </a:ext>
          </a:extLst>
        </xdr:cNvPr>
        <xdr:cNvSpPr txBox="1"/>
      </xdr:nvSpPr>
      <xdr:spPr>
        <a:xfrm>
          <a:off x="3657600" y="100591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FD332DEA-8854-4E79-A365-99F0D1513138}"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18</xdr:col>
      <xdr:colOff>0</xdr:colOff>
      <xdr:row>48</xdr:row>
      <xdr:rowOff>0</xdr:rowOff>
    </xdr:from>
    <xdr:to>
      <xdr:col>20</xdr:col>
      <xdr:colOff>0</xdr:colOff>
      <xdr:row>48</xdr:row>
      <xdr:rowOff>208800</xdr:rowOff>
    </xdr:to>
    <xdr:sp macro="" textlink="PLANS!$CX$11">
      <xdr:nvSpPr>
        <xdr:cNvPr id="56" name="TextBox 55">
          <a:extLst>
            <a:ext uri="{FF2B5EF4-FFF2-40B4-BE49-F238E27FC236}">
              <a16:creationId xmlns:a16="http://schemas.microsoft.com/office/drawing/2014/main" id="{FB9C09BA-2502-4CED-8503-216D006D567C}"/>
            </a:ext>
          </a:extLst>
        </xdr:cNvPr>
        <xdr:cNvSpPr txBox="1"/>
      </xdr:nvSpPr>
      <xdr:spPr>
        <a:xfrm>
          <a:off x="4114800" y="100584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C27E7CA7-F70E-43F7-B3D9-7D0F245A6623}"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20</xdr:col>
      <xdr:colOff>0</xdr:colOff>
      <xdr:row>48</xdr:row>
      <xdr:rowOff>0</xdr:rowOff>
    </xdr:from>
    <xdr:to>
      <xdr:col>22</xdr:col>
      <xdr:colOff>0</xdr:colOff>
      <xdr:row>48</xdr:row>
      <xdr:rowOff>208800</xdr:rowOff>
    </xdr:to>
    <xdr:sp macro="" textlink="PLANS!$CX$12">
      <xdr:nvSpPr>
        <xdr:cNvPr id="57" name="TextBox 56">
          <a:extLst>
            <a:ext uri="{FF2B5EF4-FFF2-40B4-BE49-F238E27FC236}">
              <a16:creationId xmlns:a16="http://schemas.microsoft.com/office/drawing/2014/main" id="{AB8C023A-8217-46EF-8038-7A30A7FDCFE9}"/>
            </a:ext>
          </a:extLst>
        </xdr:cNvPr>
        <xdr:cNvSpPr txBox="1"/>
      </xdr:nvSpPr>
      <xdr:spPr>
        <a:xfrm>
          <a:off x="4572000" y="100584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94401BF5-C189-4275-9AEB-E04DF3D36567}"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22</xdr:col>
      <xdr:colOff>0</xdr:colOff>
      <xdr:row>48</xdr:row>
      <xdr:rowOff>750</xdr:rowOff>
    </xdr:from>
    <xdr:to>
      <xdr:col>24</xdr:col>
      <xdr:colOff>0</xdr:colOff>
      <xdr:row>49</xdr:row>
      <xdr:rowOff>0</xdr:rowOff>
    </xdr:to>
    <xdr:sp macro="" textlink="PLANS!$CX$13">
      <xdr:nvSpPr>
        <xdr:cNvPr id="58" name="TextBox 57">
          <a:extLst>
            <a:ext uri="{FF2B5EF4-FFF2-40B4-BE49-F238E27FC236}">
              <a16:creationId xmlns:a16="http://schemas.microsoft.com/office/drawing/2014/main" id="{11236B6F-F621-4638-B5B3-C758A808BDF1}"/>
            </a:ext>
          </a:extLst>
        </xdr:cNvPr>
        <xdr:cNvSpPr txBox="1"/>
      </xdr:nvSpPr>
      <xdr:spPr>
        <a:xfrm>
          <a:off x="5029200" y="100591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8C274CB5-BB75-408D-BD2E-A28800937310}"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24</xdr:col>
      <xdr:colOff>0</xdr:colOff>
      <xdr:row>48</xdr:row>
      <xdr:rowOff>0</xdr:rowOff>
    </xdr:from>
    <xdr:to>
      <xdr:col>26</xdr:col>
      <xdr:colOff>0</xdr:colOff>
      <xdr:row>48</xdr:row>
      <xdr:rowOff>208800</xdr:rowOff>
    </xdr:to>
    <xdr:sp macro="" textlink="PLANS!$CX$14">
      <xdr:nvSpPr>
        <xdr:cNvPr id="59" name="TextBox 58">
          <a:extLst>
            <a:ext uri="{FF2B5EF4-FFF2-40B4-BE49-F238E27FC236}">
              <a16:creationId xmlns:a16="http://schemas.microsoft.com/office/drawing/2014/main" id="{6802E751-5FEB-4B05-921E-3E3DC4ECE16E}"/>
            </a:ext>
          </a:extLst>
        </xdr:cNvPr>
        <xdr:cNvSpPr txBox="1"/>
      </xdr:nvSpPr>
      <xdr:spPr>
        <a:xfrm>
          <a:off x="5486400" y="100584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D15158BC-4F9D-4587-AFA4-F1D0680C8B01}"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26</xdr:col>
      <xdr:colOff>0</xdr:colOff>
      <xdr:row>48</xdr:row>
      <xdr:rowOff>0</xdr:rowOff>
    </xdr:from>
    <xdr:to>
      <xdr:col>28</xdr:col>
      <xdr:colOff>0</xdr:colOff>
      <xdr:row>48</xdr:row>
      <xdr:rowOff>208800</xdr:rowOff>
    </xdr:to>
    <xdr:sp macro="" textlink="PLANS!$CX$15">
      <xdr:nvSpPr>
        <xdr:cNvPr id="60" name="TextBox 59">
          <a:extLst>
            <a:ext uri="{FF2B5EF4-FFF2-40B4-BE49-F238E27FC236}">
              <a16:creationId xmlns:a16="http://schemas.microsoft.com/office/drawing/2014/main" id="{33A394B8-CF76-47BC-9392-A42B1AA602D9}"/>
            </a:ext>
          </a:extLst>
        </xdr:cNvPr>
        <xdr:cNvSpPr txBox="1"/>
      </xdr:nvSpPr>
      <xdr:spPr>
        <a:xfrm>
          <a:off x="5943600" y="100584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40986E02-08A5-4715-AA18-4FBB6EF2A84E}"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28</xdr:col>
      <xdr:colOff>0</xdr:colOff>
      <xdr:row>48</xdr:row>
      <xdr:rowOff>750</xdr:rowOff>
    </xdr:from>
    <xdr:to>
      <xdr:col>30</xdr:col>
      <xdr:colOff>0</xdr:colOff>
      <xdr:row>49</xdr:row>
      <xdr:rowOff>0</xdr:rowOff>
    </xdr:to>
    <xdr:sp macro="" textlink="PLANS!$CX$16">
      <xdr:nvSpPr>
        <xdr:cNvPr id="61" name="TextBox 60">
          <a:extLst>
            <a:ext uri="{FF2B5EF4-FFF2-40B4-BE49-F238E27FC236}">
              <a16:creationId xmlns:a16="http://schemas.microsoft.com/office/drawing/2014/main" id="{C3B1E348-C68A-4E2C-A317-DFFC13FC39FE}"/>
            </a:ext>
          </a:extLst>
        </xdr:cNvPr>
        <xdr:cNvSpPr txBox="1"/>
      </xdr:nvSpPr>
      <xdr:spPr>
        <a:xfrm>
          <a:off x="6400800" y="100591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16710025-51F4-4CB5-9175-5C64C63F0EC6}"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xdr:col>
      <xdr:colOff>0</xdr:colOff>
      <xdr:row>49</xdr:row>
      <xdr:rowOff>0</xdr:rowOff>
    </xdr:from>
    <xdr:to>
      <xdr:col>8</xdr:col>
      <xdr:colOff>0</xdr:colOff>
      <xdr:row>49</xdr:row>
      <xdr:rowOff>208800</xdr:rowOff>
    </xdr:to>
    <xdr:sp macro="" textlink="PLANS!$DC$5">
      <xdr:nvSpPr>
        <xdr:cNvPr id="62" name="TextBox 61">
          <a:extLst>
            <a:ext uri="{FF2B5EF4-FFF2-40B4-BE49-F238E27FC236}">
              <a16:creationId xmlns:a16="http://schemas.microsoft.com/office/drawing/2014/main" id="{1B4212FA-6FC9-44FC-A211-8E5E00C024A5}"/>
            </a:ext>
          </a:extLst>
        </xdr:cNvPr>
        <xdr:cNvSpPr txBox="1"/>
      </xdr:nvSpPr>
      <xdr:spPr>
        <a:xfrm>
          <a:off x="1371600" y="102679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CB25ABF0-E032-443B-B5B1-6D270C093A99}"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8</xdr:col>
      <xdr:colOff>0</xdr:colOff>
      <xdr:row>49</xdr:row>
      <xdr:rowOff>0</xdr:rowOff>
    </xdr:from>
    <xdr:to>
      <xdr:col>10</xdr:col>
      <xdr:colOff>0</xdr:colOff>
      <xdr:row>49</xdr:row>
      <xdr:rowOff>208800</xdr:rowOff>
    </xdr:to>
    <xdr:sp macro="" textlink="PLANS!$DC$6">
      <xdr:nvSpPr>
        <xdr:cNvPr id="63" name="TextBox 62">
          <a:extLst>
            <a:ext uri="{FF2B5EF4-FFF2-40B4-BE49-F238E27FC236}">
              <a16:creationId xmlns:a16="http://schemas.microsoft.com/office/drawing/2014/main" id="{9CB8C0AA-96A7-4E92-BB05-94B2F0A496FF}"/>
            </a:ext>
          </a:extLst>
        </xdr:cNvPr>
        <xdr:cNvSpPr txBox="1"/>
      </xdr:nvSpPr>
      <xdr:spPr>
        <a:xfrm>
          <a:off x="1828800" y="102679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385BE85B-DB40-4FA8-9440-C8CFC3E3E143}"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10</xdr:col>
      <xdr:colOff>0</xdr:colOff>
      <xdr:row>49</xdr:row>
      <xdr:rowOff>750</xdr:rowOff>
    </xdr:from>
    <xdr:to>
      <xdr:col>12</xdr:col>
      <xdr:colOff>0</xdr:colOff>
      <xdr:row>50</xdr:row>
      <xdr:rowOff>0</xdr:rowOff>
    </xdr:to>
    <xdr:sp macro="" textlink="PLANS!$DC$7">
      <xdr:nvSpPr>
        <xdr:cNvPr id="64" name="TextBox 63">
          <a:extLst>
            <a:ext uri="{FF2B5EF4-FFF2-40B4-BE49-F238E27FC236}">
              <a16:creationId xmlns:a16="http://schemas.microsoft.com/office/drawing/2014/main" id="{2957041A-5DF0-4DE8-BBF0-A888BE36616D}"/>
            </a:ext>
          </a:extLst>
        </xdr:cNvPr>
        <xdr:cNvSpPr txBox="1"/>
      </xdr:nvSpPr>
      <xdr:spPr>
        <a:xfrm>
          <a:off x="2286000" y="102687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2E151607-D3A4-4DDE-BCEA-7EEE1948A5D2}"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12</xdr:col>
      <xdr:colOff>0</xdr:colOff>
      <xdr:row>49</xdr:row>
      <xdr:rowOff>0</xdr:rowOff>
    </xdr:from>
    <xdr:to>
      <xdr:col>14</xdr:col>
      <xdr:colOff>0</xdr:colOff>
      <xdr:row>49</xdr:row>
      <xdr:rowOff>208800</xdr:rowOff>
    </xdr:to>
    <xdr:sp macro="" textlink="PLANS!$DC$8">
      <xdr:nvSpPr>
        <xdr:cNvPr id="65" name="TextBox 64">
          <a:extLst>
            <a:ext uri="{FF2B5EF4-FFF2-40B4-BE49-F238E27FC236}">
              <a16:creationId xmlns:a16="http://schemas.microsoft.com/office/drawing/2014/main" id="{B340279F-474B-4A1E-B22E-7D9CDC735DD5}"/>
            </a:ext>
          </a:extLst>
        </xdr:cNvPr>
        <xdr:cNvSpPr txBox="1"/>
      </xdr:nvSpPr>
      <xdr:spPr>
        <a:xfrm>
          <a:off x="2743200" y="102679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49D032AB-E2C2-4E3D-8A7B-7968FC9E403C}"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14</xdr:col>
      <xdr:colOff>0</xdr:colOff>
      <xdr:row>49</xdr:row>
      <xdr:rowOff>0</xdr:rowOff>
    </xdr:from>
    <xdr:to>
      <xdr:col>16</xdr:col>
      <xdr:colOff>0</xdr:colOff>
      <xdr:row>49</xdr:row>
      <xdr:rowOff>208800</xdr:rowOff>
    </xdr:to>
    <xdr:sp macro="" textlink="PLANS!$DC$9">
      <xdr:nvSpPr>
        <xdr:cNvPr id="66" name="TextBox 65">
          <a:extLst>
            <a:ext uri="{FF2B5EF4-FFF2-40B4-BE49-F238E27FC236}">
              <a16:creationId xmlns:a16="http://schemas.microsoft.com/office/drawing/2014/main" id="{1CE89205-A8D1-47D2-98AA-4796D8E75A5A}"/>
            </a:ext>
          </a:extLst>
        </xdr:cNvPr>
        <xdr:cNvSpPr txBox="1"/>
      </xdr:nvSpPr>
      <xdr:spPr>
        <a:xfrm>
          <a:off x="3200400" y="102679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7B6FC67E-9466-4B1B-B3AF-4CD2FD3E8C53}"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16</xdr:col>
      <xdr:colOff>0</xdr:colOff>
      <xdr:row>49</xdr:row>
      <xdr:rowOff>750</xdr:rowOff>
    </xdr:from>
    <xdr:to>
      <xdr:col>18</xdr:col>
      <xdr:colOff>0</xdr:colOff>
      <xdr:row>50</xdr:row>
      <xdr:rowOff>0</xdr:rowOff>
    </xdr:to>
    <xdr:sp macro="" textlink="PLANS!$DC$10">
      <xdr:nvSpPr>
        <xdr:cNvPr id="67" name="TextBox 66">
          <a:extLst>
            <a:ext uri="{FF2B5EF4-FFF2-40B4-BE49-F238E27FC236}">
              <a16:creationId xmlns:a16="http://schemas.microsoft.com/office/drawing/2014/main" id="{6BC63153-4B4F-4AC7-958F-20386439FCD2}"/>
            </a:ext>
          </a:extLst>
        </xdr:cNvPr>
        <xdr:cNvSpPr txBox="1"/>
      </xdr:nvSpPr>
      <xdr:spPr>
        <a:xfrm>
          <a:off x="3657600" y="102687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AC7A22FF-0453-46F2-9057-911A771C5869}"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18</xdr:col>
      <xdr:colOff>0</xdr:colOff>
      <xdr:row>49</xdr:row>
      <xdr:rowOff>0</xdr:rowOff>
    </xdr:from>
    <xdr:to>
      <xdr:col>20</xdr:col>
      <xdr:colOff>0</xdr:colOff>
      <xdr:row>49</xdr:row>
      <xdr:rowOff>208800</xdr:rowOff>
    </xdr:to>
    <xdr:sp macro="" textlink="PLANS!$DC$11">
      <xdr:nvSpPr>
        <xdr:cNvPr id="68" name="TextBox 67">
          <a:extLst>
            <a:ext uri="{FF2B5EF4-FFF2-40B4-BE49-F238E27FC236}">
              <a16:creationId xmlns:a16="http://schemas.microsoft.com/office/drawing/2014/main" id="{92A81472-5B99-4A36-9AC2-00809FD1FC71}"/>
            </a:ext>
          </a:extLst>
        </xdr:cNvPr>
        <xdr:cNvSpPr txBox="1"/>
      </xdr:nvSpPr>
      <xdr:spPr>
        <a:xfrm>
          <a:off x="4114800" y="102679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D4EB83EE-C817-4828-B71A-95BAD7197A2D}"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20</xdr:col>
      <xdr:colOff>0</xdr:colOff>
      <xdr:row>49</xdr:row>
      <xdr:rowOff>0</xdr:rowOff>
    </xdr:from>
    <xdr:to>
      <xdr:col>22</xdr:col>
      <xdr:colOff>0</xdr:colOff>
      <xdr:row>49</xdr:row>
      <xdr:rowOff>208800</xdr:rowOff>
    </xdr:to>
    <xdr:sp macro="" textlink="PLANS!$DC$12">
      <xdr:nvSpPr>
        <xdr:cNvPr id="69" name="TextBox 68">
          <a:extLst>
            <a:ext uri="{FF2B5EF4-FFF2-40B4-BE49-F238E27FC236}">
              <a16:creationId xmlns:a16="http://schemas.microsoft.com/office/drawing/2014/main" id="{5EED9BBB-23F2-4FBB-B4FE-C932B6140D52}"/>
            </a:ext>
          </a:extLst>
        </xdr:cNvPr>
        <xdr:cNvSpPr txBox="1"/>
      </xdr:nvSpPr>
      <xdr:spPr>
        <a:xfrm>
          <a:off x="4572000" y="102679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36BAFE80-AD92-4E3C-80A2-276E909B76DB}"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22</xdr:col>
      <xdr:colOff>0</xdr:colOff>
      <xdr:row>49</xdr:row>
      <xdr:rowOff>750</xdr:rowOff>
    </xdr:from>
    <xdr:to>
      <xdr:col>24</xdr:col>
      <xdr:colOff>0</xdr:colOff>
      <xdr:row>50</xdr:row>
      <xdr:rowOff>0</xdr:rowOff>
    </xdr:to>
    <xdr:sp macro="" textlink="PLANS!$DC$13">
      <xdr:nvSpPr>
        <xdr:cNvPr id="70" name="TextBox 69">
          <a:extLst>
            <a:ext uri="{FF2B5EF4-FFF2-40B4-BE49-F238E27FC236}">
              <a16:creationId xmlns:a16="http://schemas.microsoft.com/office/drawing/2014/main" id="{F636C02E-A187-4BD2-A8F5-02C18999B873}"/>
            </a:ext>
          </a:extLst>
        </xdr:cNvPr>
        <xdr:cNvSpPr txBox="1"/>
      </xdr:nvSpPr>
      <xdr:spPr>
        <a:xfrm>
          <a:off x="5029200" y="102687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B300C768-6E31-4FD3-8FF8-176DBBEF16F8}"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24</xdr:col>
      <xdr:colOff>0</xdr:colOff>
      <xdr:row>49</xdr:row>
      <xdr:rowOff>0</xdr:rowOff>
    </xdr:from>
    <xdr:to>
      <xdr:col>26</xdr:col>
      <xdr:colOff>0</xdr:colOff>
      <xdr:row>49</xdr:row>
      <xdr:rowOff>208800</xdr:rowOff>
    </xdr:to>
    <xdr:sp macro="" textlink="PLANS!$DC$14">
      <xdr:nvSpPr>
        <xdr:cNvPr id="71" name="TextBox 70">
          <a:extLst>
            <a:ext uri="{FF2B5EF4-FFF2-40B4-BE49-F238E27FC236}">
              <a16:creationId xmlns:a16="http://schemas.microsoft.com/office/drawing/2014/main" id="{BA4C5D63-8A64-466C-B1F1-94BC8A1B0A2D}"/>
            </a:ext>
          </a:extLst>
        </xdr:cNvPr>
        <xdr:cNvSpPr txBox="1"/>
      </xdr:nvSpPr>
      <xdr:spPr>
        <a:xfrm>
          <a:off x="5486400" y="102679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1E55F3D5-444D-4D25-85E4-8E9AEFDB7C88}"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26</xdr:col>
      <xdr:colOff>0</xdr:colOff>
      <xdr:row>49</xdr:row>
      <xdr:rowOff>0</xdr:rowOff>
    </xdr:from>
    <xdr:to>
      <xdr:col>28</xdr:col>
      <xdr:colOff>0</xdr:colOff>
      <xdr:row>49</xdr:row>
      <xdr:rowOff>208800</xdr:rowOff>
    </xdr:to>
    <xdr:sp macro="" textlink="PLANS!$DC$15">
      <xdr:nvSpPr>
        <xdr:cNvPr id="72" name="TextBox 71">
          <a:extLst>
            <a:ext uri="{FF2B5EF4-FFF2-40B4-BE49-F238E27FC236}">
              <a16:creationId xmlns:a16="http://schemas.microsoft.com/office/drawing/2014/main" id="{5F574BB8-F062-49ED-ABD6-A10DA4318416}"/>
            </a:ext>
          </a:extLst>
        </xdr:cNvPr>
        <xdr:cNvSpPr txBox="1"/>
      </xdr:nvSpPr>
      <xdr:spPr>
        <a:xfrm>
          <a:off x="5943600" y="102679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048BCB2B-8860-4A43-92EA-C1A1268F7995}"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28</xdr:col>
      <xdr:colOff>0</xdr:colOff>
      <xdr:row>49</xdr:row>
      <xdr:rowOff>750</xdr:rowOff>
    </xdr:from>
    <xdr:to>
      <xdr:col>30</xdr:col>
      <xdr:colOff>0</xdr:colOff>
      <xdr:row>50</xdr:row>
      <xdr:rowOff>0</xdr:rowOff>
    </xdr:to>
    <xdr:sp macro="" textlink="PLANS!$DC$16">
      <xdr:nvSpPr>
        <xdr:cNvPr id="74" name="TextBox 73">
          <a:extLst>
            <a:ext uri="{FF2B5EF4-FFF2-40B4-BE49-F238E27FC236}">
              <a16:creationId xmlns:a16="http://schemas.microsoft.com/office/drawing/2014/main" id="{A4B13572-9331-4283-AC12-814C83396FBB}"/>
            </a:ext>
          </a:extLst>
        </xdr:cNvPr>
        <xdr:cNvSpPr txBox="1"/>
      </xdr:nvSpPr>
      <xdr:spPr>
        <a:xfrm>
          <a:off x="6400800" y="102687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1676B1E5-77B7-4A10-A655-28A3B704EBD2}"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6</xdr:col>
      <xdr:colOff>0</xdr:colOff>
      <xdr:row>50</xdr:row>
      <xdr:rowOff>0</xdr:rowOff>
    </xdr:from>
    <xdr:to>
      <xdr:col>8</xdr:col>
      <xdr:colOff>0</xdr:colOff>
      <xdr:row>50</xdr:row>
      <xdr:rowOff>208800</xdr:rowOff>
    </xdr:to>
    <xdr:sp macro="" textlink="PLANS!$DH$5">
      <xdr:nvSpPr>
        <xdr:cNvPr id="87" name="TextBox 86">
          <a:extLst>
            <a:ext uri="{FF2B5EF4-FFF2-40B4-BE49-F238E27FC236}">
              <a16:creationId xmlns:a16="http://schemas.microsoft.com/office/drawing/2014/main" id="{EC6E4DE3-3BC2-4732-9232-C5BF99508079}"/>
            </a:ext>
          </a:extLst>
        </xdr:cNvPr>
        <xdr:cNvSpPr txBox="1"/>
      </xdr:nvSpPr>
      <xdr:spPr>
        <a:xfrm>
          <a:off x="1371600" y="104775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0BE634A3-65F2-429A-9B56-0EED00F5F8B6}"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8</xdr:col>
      <xdr:colOff>0</xdr:colOff>
      <xdr:row>50</xdr:row>
      <xdr:rowOff>0</xdr:rowOff>
    </xdr:from>
    <xdr:to>
      <xdr:col>10</xdr:col>
      <xdr:colOff>0</xdr:colOff>
      <xdr:row>50</xdr:row>
      <xdr:rowOff>208800</xdr:rowOff>
    </xdr:to>
    <xdr:sp macro="" textlink="PLANS!$DH$6">
      <xdr:nvSpPr>
        <xdr:cNvPr id="88" name="TextBox 87">
          <a:extLst>
            <a:ext uri="{FF2B5EF4-FFF2-40B4-BE49-F238E27FC236}">
              <a16:creationId xmlns:a16="http://schemas.microsoft.com/office/drawing/2014/main" id="{DE1D65DB-D8F9-4BE4-8648-F0417479AFDB}"/>
            </a:ext>
          </a:extLst>
        </xdr:cNvPr>
        <xdr:cNvSpPr txBox="1"/>
      </xdr:nvSpPr>
      <xdr:spPr>
        <a:xfrm>
          <a:off x="1828800" y="104775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B3A30C1D-0390-4F72-A5C3-7E383F8A7E57}"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10</xdr:col>
      <xdr:colOff>0</xdr:colOff>
      <xdr:row>50</xdr:row>
      <xdr:rowOff>750</xdr:rowOff>
    </xdr:from>
    <xdr:to>
      <xdr:col>12</xdr:col>
      <xdr:colOff>0</xdr:colOff>
      <xdr:row>51</xdr:row>
      <xdr:rowOff>0</xdr:rowOff>
    </xdr:to>
    <xdr:sp macro="" textlink="PLANS!$DH$7">
      <xdr:nvSpPr>
        <xdr:cNvPr id="89" name="TextBox 88">
          <a:extLst>
            <a:ext uri="{FF2B5EF4-FFF2-40B4-BE49-F238E27FC236}">
              <a16:creationId xmlns:a16="http://schemas.microsoft.com/office/drawing/2014/main" id="{031B4184-D324-445E-B2B6-8297EE274E9E}"/>
            </a:ext>
          </a:extLst>
        </xdr:cNvPr>
        <xdr:cNvSpPr txBox="1"/>
      </xdr:nvSpPr>
      <xdr:spPr>
        <a:xfrm>
          <a:off x="2286000" y="104782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128392B8-0716-4220-90BF-4084F10AE107}"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12</xdr:col>
      <xdr:colOff>0</xdr:colOff>
      <xdr:row>50</xdr:row>
      <xdr:rowOff>0</xdr:rowOff>
    </xdr:from>
    <xdr:to>
      <xdr:col>14</xdr:col>
      <xdr:colOff>0</xdr:colOff>
      <xdr:row>50</xdr:row>
      <xdr:rowOff>208800</xdr:rowOff>
    </xdr:to>
    <xdr:sp macro="" textlink="PLANS!$DH$8">
      <xdr:nvSpPr>
        <xdr:cNvPr id="90" name="TextBox 89">
          <a:extLst>
            <a:ext uri="{FF2B5EF4-FFF2-40B4-BE49-F238E27FC236}">
              <a16:creationId xmlns:a16="http://schemas.microsoft.com/office/drawing/2014/main" id="{55A322A7-8713-468E-95F8-DB339F673C67}"/>
            </a:ext>
          </a:extLst>
        </xdr:cNvPr>
        <xdr:cNvSpPr txBox="1"/>
      </xdr:nvSpPr>
      <xdr:spPr>
        <a:xfrm>
          <a:off x="2743200" y="104775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C133FD71-1A39-465E-9AF1-0A45F2E48D1D}"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14</xdr:col>
      <xdr:colOff>0</xdr:colOff>
      <xdr:row>50</xdr:row>
      <xdr:rowOff>0</xdr:rowOff>
    </xdr:from>
    <xdr:to>
      <xdr:col>16</xdr:col>
      <xdr:colOff>0</xdr:colOff>
      <xdr:row>50</xdr:row>
      <xdr:rowOff>208800</xdr:rowOff>
    </xdr:to>
    <xdr:sp macro="" textlink="PLANS!$DH$9">
      <xdr:nvSpPr>
        <xdr:cNvPr id="93" name="TextBox 92">
          <a:extLst>
            <a:ext uri="{FF2B5EF4-FFF2-40B4-BE49-F238E27FC236}">
              <a16:creationId xmlns:a16="http://schemas.microsoft.com/office/drawing/2014/main" id="{F5FDDB9E-59B2-48B0-8FE8-D7EB2EC3A4F0}"/>
            </a:ext>
          </a:extLst>
        </xdr:cNvPr>
        <xdr:cNvSpPr txBox="1"/>
      </xdr:nvSpPr>
      <xdr:spPr>
        <a:xfrm>
          <a:off x="3200400" y="104775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EB62592A-F9B3-47A4-A81A-43C5ACCDCE71}"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16</xdr:col>
      <xdr:colOff>0</xdr:colOff>
      <xdr:row>50</xdr:row>
      <xdr:rowOff>750</xdr:rowOff>
    </xdr:from>
    <xdr:to>
      <xdr:col>18</xdr:col>
      <xdr:colOff>0</xdr:colOff>
      <xdr:row>51</xdr:row>
      <xdr:rowOff>0</xdr:rowOff>
    </xdr:to>
    <xdr:sp macro="" textlink="PLANS!$DH$10">
      <xdr:nvSpPr>
        <xdr:cNvPr id="94" name="TextBox 93">
          <a:extLst>
            <a:ext uri="{FF2B5EF4-FFF2-40B4-BE49-F238E27FC236}">
              <a16:creationId xmlns:a16="http://schemas.microsoft.com/office/drawing/2014/main" id="{9242DD82-E1DD-4A48-97F5-64AD6B2C9814}"/>
            </a:ext>
          </a:extLst>
        </xdr:cNvPr>
        <xdr:cNvSpPr txBox="1"/>
      </xdr:nvSpPr>
      <xdr:spPr>
        <a:xfrm>
          <a:off x="3657600" y="104782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968F68DF-C07A-49A8-B299-B5989341573C}"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18</xdr:col>
      <xdr:colOff>0</xdr:colOff>
      <xdr:row>50</xdr:row>
      <xdr:rowOff>0</xdr:rowOff>
    </xdr:from>
    <xdr:to>
      <xdr:col>20</xdr:col>
      <xdr:colOff>0</xdr:colOff>
      <xdr:row>50</xdr:row>
      <xdr:rowOff>208800</xdr:rowOff>
    </xdr:to>
    <xdr:sp macro="" textlink="PLANS!$DH$11">
      <xdr:nvSpPr>
        <xdr:cNvPr id="95" name="TextBox 94">
          <a:extLst>
            <a:ext uri="{FF2B5EF4-FFF2-40B4-BE49-F238E27FC236}">
              <a16:creationId xmlns:a16="http://schemas.microsoft.com/office/drawing/2014/main" id="{1CB72DA6-C97A-4F6A-A596-6BA5236D33B3}"/>
            </a:ext>
          </a:extLst>
        </xdr:cNvPr>
        <xdr:cNvSpPr txBox="1"/>
      </xdr:nvSpPr>
      <xdr:spPr>
        <a:xfrm>
          <a:off x="4114800" y="104775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F5F91777-0D01-41C6-959B-949083F2C402}"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20</xdr:col>
      <xdr:colOff>0</xdr:colOff>
      <xdr:row>50</xdr:row>
      <xdr:rowOff>0</xdr:rowOff>
    </xdr:from>
    <xdr:to>
      <xdr:col>22</xdr:col>
      <xdr:colOff>0</xdr:colOff>
      <xdr:row>50</xdr:row>
      <xdr:rowOff>208800</xdr:rowOff>
    </xdr:to>
    <xdr:sp macro="" textlink="PLANS!$DH$12">
      <xdr:nvSpPr>
        <xdr:cNvPr id="96" name="TextBox 95">
          <a:extLst>
            <a:ext uri="{FF2B5EF4-FFF2-40B4-BE49-F238E27FC236}">
              <a16:creationId xmlns:a16="http://schemas.microsoft.com/office/drawing/2014/main" id="{5645EDC8-34F2-4447-8B41-DA7F985FE63E}"/>
            </a:ext>
          </a:extLst>
        </xdr:cNvPr>
        <xdr:cNvSpPr txBox="1"/>
      </xdr:nvSpPr>
      <xdr:spPr>
        <a:xfrm>
          <a:off x="4572000" y="104775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83D0D710-4B53-4302-A52F-BDD97723BE75}"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22</xdr:col>
      <xdr:colOff>0</xdr:colOff>
      <xdr:row>50</xdr:row>
      <xdr:rowOff>750</xdr:rowOff>
    </xdr:from>
    <xdr:to>
      <xdr:col>24</xdr:col>
      <xdr:colOff>0</xdr:colOff>
      <xdr:row>51</xdr:row>
      <xdr:rowOff>0</xdr:rowOff>
    </xdr:to>
    <xdr:sp macro="" textlink="PLANS!$DH$13">
      <xdr:nvSpPr>
        <xdr:cNvPr id="97" name="TextBox 96">
          <a:extLst>
            <a:ext uri="{FF2B5EF4-FFF2-40B4-BE49-F238E27FC236}">
              <a16:creationId xmlns:a16="http://schemas.microsoft.com/office/drawing/2014/main" id="{3A544F8C-A316-457A-BFC0-09D4B21E1F4C}"/>
            </a:ext>
          </a:extLst>
        </xdr:cNvPr>
        <xdr:cNvSpPr txBox="1"/>
      </xdr:nvSpPr>
      <xdr:spPr>
        <a:xfrm>
          <a:off x="5029200" y="104782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49DC7972-C10A-4BA5-99C1-0D4A27CBF30B}"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24</xdr:col>
      <xdr:colOff>0</xdr:colOff>
      <xdr:row>50</xdr:row>
      <xdr:rowOff>0</xdr:rowOff>
    </xdr:from>
    <xdr:to>
      <xdr:col>26</xdr:col>
      <xdr:colOff>0</xdr:colOff>
      <xdr:row>50</xdr:row>
      <xdr:rowOff>208800</xdr:rowOff>
    </xdr:to>
    <xdr:sp macro="" textlink="PLANS!$DH$14">
      <xdr:nvSpPr>
        <xdr:cNvPr id="98" name="TextBox 97">
          <a:extLst>
            <a:ext uri="{FF2B5EF4-FFF2-40B4-BE49-F238E27FC236}">
              <a16:creationId xmlns:a16="http://schemas.microsoft.com/office/drawing/2014/main" id="{6E81BCB9-AD16-41C5-89B0-F52329871476}"/>
            </a:ext>
          </a:extLst>
        </xdr:cNvPr>
        <xdr:cNvSpPr txBox="1"/>
      </xdr:nvSpPr>
      <xdr:spPr>
        <a:xfrm>
          <a:off x="5486400" y="104775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9F484017-19D9-4381-9BB3-F989E7A0FAB9}"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26</xdr:col>
      <xdr:colOff>0</xdr:colOff>
      <xdr:row>50</xdr:row>
      <xdr:rowOff>0</xdr:rowOff>
    </xdr:from>
    <xdr:to>
      <xdr:col>28</xdr:col>
      <xdr:colOff>0</xdr:colOff>
      <xdr:row>50</xdr:row>
      <xdr:rowOff>208800</xdr:rowOff>
    </xdr:to>
    <xdr:sp macro="" textlink="PLANS!$DH$15">
      <xdr:nvSpPr>
        <xdr:cNvPr id="99" name="TextBox 98">
          <a:extLst>
            <a:ext uri="{FF2B5EF4-FFF2-40B4-BE49-F238E27FC236}">
              <a16:creationId xmlns:a16="http://schemas.microsoft.com/office/drawing/2014/main" id="{45D20241-E023-4F66-878C-AC2FEAA608DA}"/>
            </a:ext>
          </a:extLst>
        </xdr:cNvPr>
        <xdr:cNvSpPr txBox="1"/>
      </xdr:nvSpPr>
      <xdr:spPr>
        <a:xfrm>
          <a:off x="5943600" y="104775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DAC04314-6DBB-45E2-B333-6DA9D4E26515}"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28</xdr:col>
      <xdr:colOff>0</xdr:colOff>
      <xdr:row>50</xdr:row>
      <xdr:rowOff>750</xdr:rowOff>
    </xdr:from>
    <xdr:to>
      <xdr:col>30</xdr:col>
      <xdr:colOff>0</xdr:colOff>
      <xdr:row>51</xdr:row>
      <xdr:rowOff>0</xdr:rowOff>
    </xdr:to>
    <xdr:sp macro="" textlink="PLANS!$DH$16">
      <xdr:nvSpPr>
        <xdr:cNvPr id="100" name="TextBox 99">
          <a:extLst>
            <a:ext uri="{FF2B5EF4-FFF2-40B4-BE49-F238E27FC236}">
              <a16:creationId xmlns:a16="http://schemas.microsoft.com/office/drawing/2014/main" id="{26E880E8-F7E1-4B1D-8558-6F9C366ED5B6}"/>
            </a:ext>
          </a:extLst>
        </xdr:cNvPr>
        <xdr:cNvSpPr txBox="1"/>
      </xdr:nvSpPr>
      <xdr:spPr>
        <a:xfrm>
          <a:off x="6400800" y="1047825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469D305A-D22B-48BF-81C9-4148676550DB}" type="TxLink">
            <a:rPr lang="en-US" sz="800" b="1" baseline="0">
              <a:solidFill>
                <a:schemeClr val="bg1"/>
              </a:solidFill>
              <a:latin typeface="+mn-lt"/>
              <a:ea typeface="+mn-ea"/>
              <a:cs typeface="+mn-cs"/>
            </a:rPr>
            <a:pPr marL="0" indent="0" algn="l"/>
            <a:t> </a:t>
          </a:fld>
          <a:endParaRPr lang="en-GB" sz="800" b="1" baseline="0">
            <a:solidFill>
              <a:schemeClr val="bg1"/>
            </a:solidFill>
            <a:latin typeface="+mn-lt"/>
            <a:ea typeface="+mn-ea"/>
            <a:cs typeface="+mn-cs"/>
          </a:endParaRPr>
        </a:p>
      </xdr:txBody>
    </xdr:sp>
    <xdr:clientData fLocksWithSheet="0"/>
  </xdr:twoCellAnchor>
  <xdr:twoCellAnchor>
    <xdr:from>
      <xdr:col>50</xdr:col>
      <xdr:colOff>0</xdr:colOff>
      <xdr:row>41</xdr:row>
      <xdr:rowOff>750</xdr:rowOff>
    </xdr:from>
    <xdr:to>
      <xdr:col>51</xdr:col>
      <xdr:colOff>0</xdr:colOff>
      <xdr:row>42</xdr:row>
      <xdr:rowOff>0</xdr:rowOff>
    </xdr:to>
    <xdr:sp macro="" textlink="">
      <xdr:nvSpPr>
        <xdr:cNvPr id="35" name="TextBox 34">
          <a:extLst>
            <a:ext uri="{FF2B5EF4-FFF2-40B4-BE49-F238E27FC236}">
              <a16:creationId xmlns:a16="http://schemas.microsoft.com/office/drawing/2014/main" id="{D4DD73D7-E463-4859-87B9-46DB491C6509}"/>
            </a:ext>
          </a:extLst>
        </xdr:cNvPr>
        <xdr:cNvSpPr txBox="1"/>
      </xdr:nvSpPr>
      <xdr:spPr>
        <a:xfrm>
          <a:off x="11430000" y="8592300"/>
          <a:ext cx="228600" cy="208800"/>
        </a:xfrm>
        <a:prstGeom prst="rect">
          <a:avLst/>
        </a:prstGeom>
        <a:solidFill>
          <a:srgbClr val="FF6600">
            <a:alpha val="30000"/>
          </a:srgbClr>
        </a:solidFill>
        <a:ln w="6350">
          <a:solidFill>
            <a:srgbClr val="FF66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l"/>
          <a:endParaRPr lang="en-US" sz="800" b="1" baseline="0">
            <a:solidFill>
              <a:srgbClr val="FF6600"/>
            </a:solidFill>
            <a:latin typeface="+mn-lt"/>
          </a:endParaRPr>
        </a:p>
      </xdr:txBody>
    </xdr:sp>
    <xdr:clientData fLocksWithSheet="0"/>
  </xdr:twoCellAnchor>
  <xdr:twoCellAnchor>
    <xdr:from>
      <xdr:col>22</xdr:col>
      <xdr:colOff>0</xdr:colOff>
      <xdr:row>41</xdr:row>
      <xdr:rowOff>750</xdr:rowOff>
    </xdr:from>
    <xdr:to>
      <xdr:col>24</xdr:col>
      <xdr:colOff>0</xdr:colOff>
      <xdr:row>42</xdr:row>
      <xdr:rowOff>0</xdr:rowOff>
    </xdr:to>
    <xdr:sp macro="" textlink="">
      <xdr:nvSpPr>
        <xdr:cNvPr id="75" name="TextBox 74">
          <a:extLst>
            <a:ext uri="{FF2B5EF4-FFF2-40B4-BE49-F238E27FC236}">
              <a16:creationId xmlns:a16="http://schemas.microsoft.com/office/drawing/2014/main" id="{67B4C6EA-8B79-4400-9B98-83AA4BD7C1BF}"/>
            </a:ext>
          </a:extLst>
        </xdr:cNvPr>
        <xdr:cNvSpPr txBox="1"/>
      </xdr:nvSpPr>
      <xdr:spPr>
        <a:xfrm>
          <a:off x="5029200" y="8592300"/>
          <a:ext cx="457200" cy="208800"/>
        </a:xfrm>
        <a:prstGeom prst="rect">
          <a:avLst/>
        </a:prstGeom>
        <a:solidFill>
          <a:schemeClr val="tx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endParaRPr lang="en-GB" sz="800" b="1" baseline="0">
            <a:solidFill>
              <a:schemeClr val="bg1"/>
            </a:solidFill>
            <a:latin typeface="+mn-lt"/>
            <a:ea typeface="+mn-ea"/>
            <a:cs typeface="+mn-cs"/>
          </a:endParaRPr>
        </a:p>
      </xdr:txBody>
    </xdr:sp>
    <xdr:clientData fLocksWithSheet="0"/>
  </xdr:twoCellAnchor>
  <xdr:twoCellAnchor>
    <xdr:from>
      <xdr:col>55</xdr:col>
      <xdr:colOff>0</xdr:colOff>
      <xdr:row>41</xdr:row>
      <xdr:rowOff>0</xdr:rowOff>
    </xdr:from>
    <xdr:to>
      <xdr:col>57</xdr:col>
      <xdr:colOff>0</xdr:colOff>
      <xdr:row>41</xdr:row>
      <xdr:rowOff>208800</xdr:rowOff>
    </xdr:to>
    <xdr:sp macro="" textlink="">
      <xdr:nvSpPr>
        <xdr:cNvPr id="76" name="TextBox 75">
          <a:extLst>
            <a:ext uri="{FF2B5EF4-FFF2-40B4-BE49-F238E27FC236}">
              <a16:creationId xmlns:a16="http://schemas.microsoft.com/office/drawing/2014/main" id="{E3DEC1F5-A02E-46EC-BD8E-C1C1E94796EC}"/>
            </a:ext>
          </a:extLst>
        </xdr:cNvPr>
        <xdr:cNvSpPr txBox="1"/>
      </xdr:nvSpPr>
      <xdr:spPr>
        <a:xfrm>
          <a:off x="12573000" y="8591550"/>
          <a:ext cx="457200" cy="208800"/>
        </a:xfrm>
        <a:prstGeom prst="rect">
          <a:avLst/>
        </a:prstGeom>
        <a:solidFill>
          <a:schemeClr val="bg1">
            <a:alpha val="30000"/>
          </a:scheme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endParaRPr lang="en-GB" sz="800" b="1" baseline="0">
            <a:solidFill>
              <a:schemeClr val="bg1"/>
            </a:solidFill>
            <a:latin typeface="+mn-lt"/>
            <a:ea typeface="+mn-ea"/>
            <a:cs typeface="+mn-cs"/>
          </a:endParaRPr>
        </a:p>
      </xdr:txBody>
    </xdr:sp>
    <xdr:clientData fLocksWithSheet="0"/>
  </xdr:twoCellAnchor>
  <xdr:twoCellAnchor>
    <xdr:from>
      <xdr:col>40</xdr:col>
      <xdr:colOff>0</xdr:colOff>
      <xdr:row>52</xdr:row>
      <xdr:rowOff>750</xdr:rowOff>
    </xdr:from>
    <xdr:to>
      <xdr:col>44</xdr:col>
      <xdr:colOff>0</xdr:colOff>
      <xdr:row>53</xdr:row>
      <xdr:rowOff>0</xdr:rowOff>
    </xdr:to>
    <xdr:sp macro="" textlink="ACTIONS!$BX$34">
      <xdr:nvSpPr>
        <xdr:cNvPr id="124" name="TextBox 123">
          <a:extLst>
            <a:ext uri="{FF2B5EF4-FFF2-40B4-BE49-F238E27FC236}">
              <a16:creationId xmlns:a16="http://schemas.microsoft.com/office/drawing/2014/main" id="{42309FDD-0CC4-4C90-A307-D41310E2C4B3}"/>
            </a:ext>
          </a:extLst>
        </xdr:cNvPr>
        <xdr:cNvSpPr txBox="1"/>
      </xdr:nvSpPr>
      <xdr:spPr>
        <a:xfrm>
          <a:off x="9144000" y="10897350"/>
          <a:ext cx="914400" cy="208800"/>
        </a:xfrm>
        <a:prstGeom prst="rect">
          <a:avLst/>
        </a:prstGeom>
        <a:solidFill>
          <a:srgbClr val="00B050">
            <a:alpha val="30196"/>
          </a:srgb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l"/>
          <a:fld id="{90AD4524-BD5D-4B8C-84B6-9A0E2A4313D2}" type="TxLink">
            <a:rPr lang="en-US" sz="800" b="1" i="0" u="none" strike="noStrike" baseline="0">
              <a:solidFill>
                <a:schemeClr val="bg1"/>
              </a:solidFill>
              <a:latin typeface="+mn-lt"/>
            </a:rPr>
            <a:pPr algn="l"/>
            <a:t>BDY8</a:t>
          </a:fld>
          <a:endParaRPr lang="en-GB" sz="800" b="1" baseline="0">
            <a:solidFill>
              <a:schemeClr val="bg1"/>
            </a:solidFill>
            <a:latin typeface="+mn-lt"/>
          </a:endParaRPr>
        </a:p>
      </xdr:txBody>
    </xdr:sp>
    <xdr:clientData fLocksWithSheet="0"/>
  </xdr:twoCellAnchor>
  <xdr:twoCellAnchor>
    <xdr:from>
      <xdr:col>40</xdr:col>
      <xdr:colOff>0</xdr:colOff>
      <xdr:row>45</xdr:row>
      <xdr:rowOff>0</xdr:rowOff>
    </xdr:from>
    <xdr:to>
      <xdr:col>44</xdr:col>
      <xdr:colOff>0</xdr:colOff>
      <xdr:row>45</xdr:row>
      <xdr:rowOff>208800</xdr:rowOff>
    </xdr:to>
    <xdr:sp macro="" textlink="ACTIONS!$BQ$34">
      <xdr:nvSpPr>
        <xdr:cNvPr id="119" name="TextBox 118">
          <a:extLst>
            <a:ext uri="{FF2B5EF4-FFF2-40B4-BE49-F238E27FC236}">
              <a16:creationId xmlns:a16="http://schemas.microsoft.com/office/drawing/2014/main" id="{6BEBCD3F-DF2D-4C85-B1C9-9B0D92CFC45B}"/>
            </a:ext>
          </a:extLst>
        </xdr:cNvPr>
        <xdr:cNvSpPr txBox="1"/>
      </xdr:nvSpPr>
      <xdr:spPr>
        <a:xfrm>
          <a:off x="9144000" y="9429750"/>
          <a:ext cx="914400" cy="208800"/>
        </a:xfrm>
        <a:prstGeom prst="rect">
          <a:avLst/>
        </a:prstGeom>
        <a:solidFill>
          <a:srgbClr val="0070C0">
            <a:alpha val="30196"/>
          </a:srgb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7A5B095A-23F8-464A-8AA4-D8BFCE886B09}" type="TxLink">
            <a:rPr lang="en-US" sz="800" b="1" i="0" u="none" strike="noStrike">
              <a:solidFill>
                <a:schemeClr val="bg1"/>
              </a:solidFill>
              <a:latin typeface="+mn-lt"/>
              <a:ea typeface="+mn-ea"/>
              <a:cs typeface="+mn-cs"/>
            </a:rPr>
            <a:pPr marL="0" indent="0" algn="l"/>
            <a:t>BDY1</a:t>
          </a:fld>
          <a:endParaRPr lang="en-GB" sz="800" b="1">
            <a:solidFill>
              <a:schemeClr val="bg1"/>
            </a:solidFill>
            <a:latin typeface="+mn-lt"/>
            <a:ea typeface="+mn-ea"/>
            <a:cs typeface="+mn-cs"/>
          </a:endParaRPr>
        </a:p>
      </xdr:txBody>
    </xdr:sp>
    <xdr:clientData fLocksWithSheet="0"/>
  </xdr:twoCellAnchor>
  <xdr:twoCellAnchor>
    <xdr:from>
      <xdr:col>40</xdr:col>
      <xdr:colOff>0</xdr:colOff>
      <xdr:row>45</xdr:row>
      <xdr:rowOff>208799</xdr:rowOff>
    </xdr:from>
    <xdr:to>
      <xdr:col>44</xdr:col>
      <xdr:colOff>0</xdr:colOff>
      <xdr:row>46</xdr:row>
      <xdr:rowOff>208049</xdr:rowOff>
    </xdr:to>
    <xdr:sp macro="" textlink="ACTIONS!$BR$34">
      <xdr:nvSpPr>
        <xdr:cNvPr id="123" name="TextBox 122">
          <a:extLst>
            <a:ext uri="{FF2B5EF4-FFF2-40B4-BE49-F238E27FC236}">
              <a16:creationId xmlns:a16="http://schemas.microsoft.com/office/drawing/2014/main" id="{36D07649-C22A-4D34-8AB0-52A1CD3E03E6}"/>
            </a:ext>
          </a:extLst>
        </xdr:cNvPr>
        <xdr:cNvSpPr txBox="1"/>
      </xdr:nvSpPr>
      <xdr:spPr>
        <a:xfrm>
          <a:off x="9144000" y="9638549"/>
          <a:ext cx="914400" cy="208800"/>
        </a:xfrm>
        <a:prstGeom prst="rect">
          <a:avLst/>
        </a:prstGeom>
        <a:solidFill>
          <a:srgbClr val="9900CC">
            <a:alpha val="30196"/>
          </a:srgb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68499F20-B619-4D16-9896-130ED06491E6}" type="TxLink">
            <a:rPr lang="en-US" sz="800" b="1" i="0" u="none" strike="noStrike" baseline="0">
              <a:solidFill>
                <a:schemeClr val="bg1"/>
              </a:solidFill>
              <a:latin typeface="+mn-lt"/>
              <a:ea typeface="+mn-ea"/>
              <a:cs typeface="+mn-cs"/>
            </a:rPr>
            <a:pPr marL="0" indent="0" algn="l"/>
            <a:t>BDY2</a:t>
          </a:fld>
          <a:endParaRPr lang="en-GB" sz="800" b="1" baseline="0">
            <a:solidFill>
              <a:schemeClr val="bg1"/>
            </a:solidFill>
            <a:latin typeface="+mn-lt"/>
            <a:ea typeface="+mn-ea"/>
            <a:cs typeface="+mn-cs"/>
          </a:endParaRPr>
        </a:p>
      </xdr:txBody>
    </xdr:sp>
    <xdr:clientData fLocksWithSheet="0"/>
  </xdr:twoCellAnchor>
  <xdr:twoCellAnchor>
    <xdr:from>
      <xdr:col>40</xdr:col>
      <xdr:colOff>0</xdr:colOff>
      <xdr:row>46</xdr:row>
      <xdr:rowOff>208799</xdr:rowOff>
    </xdr:from>
    <xdr:to>
      <xdr:col>44</xdr:col>
      <xdr:colOff>0</xdr:colOff>
      <xdr:row>47</xdr:row>
      <xdr:rowOff>208049</xdr:rowOff>
    </xdr:to>
    <xdr:sp macro="" textlink="ACTIONS!$BS$34">
      <xdr:nvSpPr>
        <xdr:cNvPr id="126" name="TextBox 125">
          <a:extLst>
            <a:ext uri="{FF2B5EF4-FFF2-40B4-BE49-F238E27FC236}">
              <a16:creationId xmlns:a16="http://schemas.microsoft.com/office/drawing/2014/main" id="{76DFF568-E7BA-4FCC-96F6-0933C562B06E}"/>
            </a:ext>
          </a:extLst>
        </xdr:cNvPr>
        <xdr:cNvSpPr txBox="1"/>
      </xdr:nvSpPr>
      <xdr:spPr>
        <a:xfrm>
          <a:off x="9144000" y="9848099"/>
          <a:ext cx="914400" cy="208800"/>
        </a:xfrm>
        <a:prstGeom prst="rect">
          <a:avLst/>
        </a:prstGeom>
        <a:solidFill>
          <a:srgbClr val="FF00FF">
            <a:alpha val="30196"/>
          </a:srgb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l"/>
          <a:fld id="{D2FEB95A-6935-49A1-9AAF-B7658DA32506}" type="TxLink">
            <a:rPr lang="en-US" sz="800" b="1" i="0" u="none" strike="noStrike" baseline="0">
              <a:solidFill>
                <a:schemeClr val="bg1"/>
              </a:solidFill>
              <a:latin typeface="+mn-lt"/>
            </a:rPr>
            <a:pPr algn="l"/>
            <a:t>BDY3</a:t>
          </a:fld>
          <a:endParaRPr lang="en-GB" sz="800" b="1" baseline="0">
            <a:solidFill>
              <a:schemeClr val="bg1"/>
            </a:solidFill>
            <a:latin typeface="+mn-lt"/>
          </a:endParaRPr>
        </a:p>
      </xdr:txBody>
    </xdr:sp>
    <xdr:clientData fLocksWithSheet="0"/>
  </xdr:twoCellAnchor>
  <xdr:twoCellAnchor>
    <xdr:from>
      <xdr:col>40</xdr:col>
      <xdr:colOff>0</xdr:colOff>
      <xdr:row>47</xdr:row>
      <xdr:rowOff>208799</xdr:rowOff>
    </xdr:from>
    <xdr:to>
      <xdr:col>44</xdr:col>
      <xdr:colOff>0</xdr:colOff>
      <xdr:row>48</xdr:row>
      <xdr:rowOff>208049</xdr:rowOff>
    </xdr:to>
    <xdr:sp macro="" textlink="ACTIONS!$BT$34">
      <xdr:nvSpPr>
        <xdr:cNvPr id="125" name="TextBox 124">
          <a:extLst>
            <a:ext uri="{FF2B5EF4-FFF2-40B4-BE49-F238E27FC236}">
              <a16:creationId xmlns:a16="http://schemas.microsoft.com/office/drawing/2014/main" id="{54410AD7-1A3D-48E6-8E52-A7784F591A2B}"/>
            </a:ext>
          </a:extLst>
        </xdr:cNvPr>
        <xdr:cNvSpPr txBox="1"/>
      </xdr:nvSpPr>
      <xdr:spPr>
        <a:xfrm>
          <a:off x="9144000" y="10057649"/>
          <a:ext cx="914400" cy="208800"/>
        </a:xfrm>
        <a:prstGeom prst="rect">
          <a:avLst/>
        </a:prstGeom>
        <a:solidFill>
          <a:srgbClr val="FF0000">
            <a:alpha val="30196"/>
          </a:srgb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FDC74612-301D-43CA-8AF8-FEDF334A8E45}" type="TxLink">
            <a:rPr lang="en-US" sz="800" b="1" i="0" u="none" strike="noStrike" baseline="0">
              <a:solidFill>
                <a:schemeClr val="bg1"/>
              </a:solidFill>
              <a:latin typeface="+mn-lt"/>
              <a:ea typeface="+mn-ea"/>
              <a:cs typeface="+mn-cs"/>
            </a:rPr>
            <a:pPr marL="0" indent="0" algn="l"/>
            <a:t>BDY4</a:t>
          </a:fld>
          <a:endParaRPr lang="en-GB" sz="800" b="1" baseline="0">
            <a:solidFill>
              <a:schemeClr val="bg1"/>
            </a:solidFill>
            <a:latin typeface="+mn-lt"/>
            <a:ea typeface="+mn-ea"/>
            <a:cs typeface="+mn-cs"/>
          </a:endParaRPr>
        </a:p>
      </xdr:txBody>
    </xdr:sp>
    <xdr:clientData fLocksWithSheet="0"/>
  </xdr:twoCellAnchor>
  <xdr:twoCellAnchor>
    <xdr:from>
      <xdr:col>40</xdr:col>
      <xdr:colOff>0</xdr:colOff>
      <xdr:row>48</xdr:row>
      <xdr:rowOff>208799</xdr:rowOff>
    </xdr:from>
    <xdr:to>
      <xdr:col>44</xdr:col>
      <xdr:colOff>0</xdr:colOff>
      <xdr:row>49</xdr:row>
      <xdr:rowOff>208049</xdr:rowOff>
    </xdr:to>
    <xdr:sp macro="" textlink="ACTIONS!$BU$34">
      <xdr:nvSpPr>
        <xdr:cNvPr id="114" name="TextBox 113">
          <a:extLst>
            <a:ext uri="{FF2B5EF4-FFF2-40B4-BE49-F238E27FC236}">
              <a16:creationId xmlns:a16="http://schemas.microsoft.com/office/drawing/2014/main" id="{4201F156-F84E-46D8-BDDF-0037388EB707}"/>
            </a:ext>
          </a:extLst>
        </xdr:cNvPr>
        <xdr:cNvSpPr txBox="1"/>
      </xdr:nvSpPr>
      <xdr:spPr>
        <a:xfrm>
          <a:off x="9144000" y="10267199"/>
          <a:ext cx="914400" cy="208800"/>
        </a:xfrm>
        <a:prstGeom prst="rect">
          <a:avLst/>
        </a:prstGeom>
        <a:solidFill>
          <a:srgbClr val="C00000">
            <a:alpha val="30196"/>
          </a:srgb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l"/>
          <a:fld id="{2540E8EA-F484-4B38-849A-98524CC7DA42}" type="TxLink">
            <a:rPr lang="en-US" sz="800" b="1" i="0" u="none" strike="noStrike" baseline="0">
              <a:solidFill>
                <a:schemeClr val="bg1"/>
              </a:solidFill>
              <a:latin typeface="+mn-lt"/>
            </a:rPr>
            <a:pPr algn="l"/>
            <a:t>BDY5</a:t>
          </a:fld>
          <a:endParaRPr lang="en-GB" sz="800" b="1" baseline="0">
            <a:solidFill>
              <a:schemeClr val="bg1"/>
            </a:solidFill>
            <a:latin typeface="+mn-lt"/>
          </a:endParaRPr>
        </a:p>
      </xdr:txBody>
    </xdr:sp>
    <xdr:clientData fLocksWithSheet="0"/>
  </xdr:twoCellAnchor>
  <xdr:twoCellAnchor>
    <xdr:from>
      <xdr:col>40</xdr:col>
      <xdr:colOff>0</xdr:colOff>
      <xdr:row>49</xdr:row>
      <xdr:rowOff>209548</xdr:rowOff>
    </xdr:from>
    <xdr:to>
      <xdr:col>44</xdr:col>
      <xdr:colOff>0</xdr:colOff>
      <xdr:row>50</xdr:row>
      <xdr:rowOff>208798</xdr:rowOff>
    </xdr:to>
    <xdr:sp macro="" textlink="ACTIONS!$BV$34">
      <xdr:nvSpPr>
        <xdr:cNvPr id="84" name="TextBox 83">
          <a:extLst>
            <a:ext uri="{FF2B5EF4-FFF2-40B4-BE49-F238E27FC236}">
              <a16:creationId xmlns:a16="http://schemas.microsoft.com/office/drawing/2014/main" id="{F2561BAA-4EEB-441C-B197-6ED980E64BF9}"/>
            </a:ext>
          </a:extLst>
        </xdr:cNvPr>
        <xdr:cNvSpPr txBox="1"/>
      </xdr:nvSpPr>
      <xdr:spPr>
        <a:xfrm>
          <a:off x="9144000" y="10477498"/>
          <a:ext cx="914400" cy="208800"/>
        </a:xfrm>
        <a:prstGeom prst="rect">
          <a:avLst/>
        </a:prstGeom>
        <a:solidFill>
          <a:srgbClr val="FF6600">
            <a:alpha val="30196"/>
          </a:srgb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l"/>
          <a:fld id="{6F606DFE-1FA4-4B64-9602-A1480835DBB7}" type="TxLink">
            <a:rPr lang="en-US" sz="800" b="1" i="0" u="none" strike="noStrike" baseline="0">
              <a:solidFill>
                <a:schemeClr val="bg1"/>
              </a:solidFill>
              <a:latin typeface="+mn-lt"/>
            </a:rPr>
            <a:pPr algn="l"/>
            <a:t>BDY6</a:t>
          </a:fld>
          <a:endParaRPr lang="en-GB" sz="800" b="1" baseline="0">
            <a:solidFill>
              <a:schemeClr val="bg1"/>
            </a:solidFill>
            <a:latin typeface="+mn-lt"/>
          </a:endParaRPr>
        </a:p>
      </xdr:txBody>
    </xdr:sp>
    <xdr:clientData fLocksWithSheet="0"/>
  </xdr:twoCellAnchor>
  <xdr:twoCellAnchor>
    <xdr:from>
      <xdr:col>40</xdr:col>
      <xdr:colOff>0</xdr:colOff>
      <xdr:row>50</xdr:row>
      <xdr:rowOff>208799</xdr:rowOff>
    </xdr:from>
    <xdr:to>
      <xdr:col>44</xdr:col>
      <xdr:colOff>0</xdr:colOff>
      <xdr:row>51</xdr:row>
      <xdr:rowOff>208049</xdr:rowOff>
    </xdr:to>
    <xdr:sp macro="" textlink="ACTIONS!$BW$34">
      <xdr:nvSpPr>
        <xdr:cNvPr id="116" name="TextBox 115">
          <a:extLst>
            <a:ext uri="{FF2B5EF4-FFF2-40B4-BE49-F238E27FC236}">
              <a16:creationId xmlns:a16="http://schemas.microsoft.com/office/drawing/2014/main" id="{DD364E47-02B8-4F5A-A336-91EACAD019F3}"/>
            </a:ext>
          </a:extLst>
        </xdr:cNvPr>
        <xdr:cNvSpPr txBox="1"/>
      </xdr:nvSpPr>
      <xdr:spPr>
        <a:xfrm>
          <a:off x="9144000" y="10686299"/>
          <a:ext cx="914400" cy="208800"/>
        </a:xfrm>
        <a:prstGeom prst="rect">
          <a:avLst/>
        </a:prstGeom>
        <a:solidFill>
          <a:srgbClr val="FFC000">
            <a:alpha val="30196"/>
          </a:srgb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l"/>
          <a:fld id="{EC668B53-18C8-48C6-B364-8D84E30B2BA5}" type="TxLink">
            <a:rPr lang="en-US" sz="800" b="1" i="0" u="none" strike="noStrike" baseline="0">
              <a:solidFill>
                <a:schemeClr val="bg1"/>
              </a:solidFill>
              <a:latin typeface="+mn-lt"/>
            </a:rPr>
            <a:pPr algn="l"/>
            <a:t>BDY7</a:t>
          </a:fld>
          <a:endParaRPr lang="en-GB" sz="800" b="1" baseline="0">
            <a:solidFill>
              <a:schemeClr val="bg1"/>
            </a:solidFill>
            <a:latin typeface="+mn-lt"/>
          </a:endParaRPr>
        </a:p>
      </xdr:txBody>
    </xdr:sp>
    <xdr:clientData fLocksWithSheet="0"/>
  </xdr:twoCellAnchor>
  <xdr:twoCellAnchor>
    <xdr:from>
      <xdr:col>40</xdr:col>
      <xdr:colOff>0</xdr:colOff>
      <xdr:row>53</xdr:row>
      <xdr:rowOff>750</xdr:rowOff>
    </xdr:from>
    <xdr:to>
      <xdr:col>44</xdr:col>
      <xdr:colOff>0</xdr:colOff>
      <xdr:row>54</xdr:row>
      <xdr:rowOff>0</xdr:rowOff>
    </xdr:to>
    <xdr:sp macro="" textlink="ACTIONS!$BY$34">
      <xdr:nvSpPr>
        <xdr:cNvPr id="122" name="TextBox 121">
          <a:extLst>
            <a:ext uri="{FF2B5EF4-FFF2-40B4-BE49-F238E27FC236}">
              <a16:creationId xmlns:a16="http://schemas.microsoft.com/office/drawing/2014/main" id="{3A434086-A756-4EAD-BA77-F0398CC0768C}"/>
            </a:ext>
          </a:extLst>
        </xdr:cNvPr>
        <xdr:cNvSpPr txBox="1"/>
      </xdr:nvSpPr>
      <xdr:spPr>
        <a:xfrm>
          <a:off x="9144000" y="11106900"/>
          <a:ext cx="914400" cy="208800"/>
        </a:xfrm>
        <a:prstGeom prst="rect">
          <a:avLst/>
        </a:prstGeom>
        <a:solidFill>
          <a:srgbClr val="00B0F0">
            <a:alpha val="30196"/>
          </a:srgb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46CF0C3B-F761-4BB5-B98F-ACC0E8B4291F}" type="TxLink">
            <a:rPr lang="en-US" sz="800" b="1" i="0" u="none" strike="noStrike" baseline="0">
              <a:solidFill>
                <a:schemeClr val="bg1"/>
              </a:solidFill>
              <a:latin typeface="+mn-lt"/>
              <a:ea typeface="+mn-ea"/>
              <a:cs typeface="+mn-cs"/>
            </a:rPr>
            <a:pPr marL="0" indent="0" algn="l"/>
            <a:t>BDY9</a:t>
          </a:fld>
          <a:endParaRPr lang="en-GB" sz="800" b="1" baseline="0">
            <a:solidFill>
              <a:schemeClr val="bg1"/>
            </a:solidFill>
            <a:latin typeface="+mn-lt"/>
            <a:ea typeface="+mn-ea"/>
            <a:cs typeface="+mn-cs"/>
          </a:endParaRPr>
        </a:p>
      </xdr:txBody>
    </xdr:sp>
    <xdr:clientData fLocksWithSheet="0"/>
  </xdr:twoCellAnchor>
  <xdr:twoCellAnchor>
    <xdr:from>
      <xdr:col>35</xdr:col>
      <xdr:colOff>0</xdr:colOff>
      <xdr:row>45</xdr:row>
      <xdr:rowOff>0</xdr:rowOff>
    </xdr:from>
    <xdr:to>
      <xdr:col>39</xdr:col>
      <xdr:colOff>0</xdr:colOff>
      <xdr:row>45</xdr:row>
      <xdr:rowOff>208800</xdr:rowOff>
    </xdr:to>
    <xdr:sp macro="" textlink="ACTIONS!$C$34">
      <xdr:nvSpPr>
        <xdr:cNvPr id="1867" name="TextBox 1866">
          <a:extLst>
            <a:ext uri="{FF2B5EF4-FFF2-40B4-BE49-F238E27FC236}">
              <a16:creationId xmlns:a16="http://schemas.microsoft.com/office/drawing/2014/main" id="{B625252B-3C51-4642-A160-D62AB3CFF77F}"/>
            </a:ext>
          </a:extLst>
        </xdr:cNvPr>
        <xdr:cNvSpPr txBox="1"/>
      </xdr:nvSpPr>
      <xdr:spPr>
        <a:xfrm>
          <a:off x="8001000" y="9429750"/>
          <a:ext cx="914400" cy="208800"/>
        </a:xfrm>
        <a:prstGeom prst="rect">
          <a:avLst/>
        </a:prstGeom>
        <a:solidFill>
          <a:srgbClr val="00B0F0">
            <a:alpha val="30000"/>
          </a:srgb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65783B29-42A1-4237-8647-A5A5D54C7D0C}" type="TxLink">
            <a:rPr lang="en-US" sz="800" b="1" i="0" u="none" strike="noStrike" baseline="0">
              <a:solidFill>
                <a:schemeClr val="bg1"/>
              </a:solidFill>
              <a:latin typeface="+mn-lt"/>
              <a:ea typeface="+mn-ea"/>
              <a:cs typeface="+mn-cs"/>
            </a:rPr>
            <a:pPr marL="0" indent="0" algn="l"/>
            <a:t>MND1</a:t>
          </a:fld>
          <a:endParaRPr lang="en-GB" sz="800" b="1" baseline="0">
            <a:solidFill>
              <a:schemeClr val="bg1"/>
            </a:solidFill>
            <a:latin typeface="+mn-lt"/>
            <a:ea typeface="+mn-ea"/>
            <a:cs typeface="+mn-cs"/>
          </a:endParaRPr>
        </a:p>
      </xdr:txBody>
    </xdr:sp>
    <xdr:clientData fLocksWithSheet="0"/>
  </xdr:twoCellAnchor>
  <xdr:twoCellAnchor>
    <xdr:from>
      <xdr:col>35</xdr:col>
      <xdr:colOff>0</xdr:colOff>
      <xdr:row>46</xdr:row>
      <xdr:rowOff>0</xdr:rowOff>
    </xdr:from>
    <xdr:to>
      <xdr:col>39</xdr:col>
      <xdr:colOff>0</xdr:colOff>
      <xdr:row>46</xdr:row>
      <xdr:rowOff>208800</xdr:rowOff>
    </xdr:to>
    <xdr:sp macro="" textlink="ACTIONS!$D$34">
      <xdr:nvSpPr>
        <xdr:cNvPr id="1882" name="TextBox 1881">
          <a:extLst>
            <a:ext uri="{FF2B5EF4-FFF2-40B4-BE49-F238E27FC236}">
              <a16:creationId xmlns:a16="http://schemas.microsoft.com/office/drawing/2014/main" id="{81757910-CC66-4234-BE3F-ECF057DB0479}"/>
            </a:ext>
          </a:extLst>
        </xdr:cNvPr>
        <xdr:cNvSpPr txBox="1"/>
      </xdr:nvSpPr>
      <xdr:spPr>
        <a:xfrm>
          <a:off x="8001000" y="9639300"/>
          <a:ext cx="914400" cy="208800"/>
        </a:xfrm>
        <a:prstGeom prst="rect">
          <a:avLst/>
        </a:prstGeom>
        <a:solidFill>
          <a:srgbClr val="00B050">
            <a:alpha val="30000"/>
          </a:srgb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l"/>
          <a:fld id="{51B7D5BB-A6CF-405D-888C-2F6D236BCCF4}" type="TxLink">
            <a:rPr lang="en-US" sz="800" b="1" i="0" u="none" strike="noStrike" baseline="0">
              <a:solidFill>
                <a:schemeClr val="bg1"/>
              </a:solidFill>
              <a:latin typeface="+mn-lt"/>
            </a:rPr>
            <a:pPr algn="l"/>
            <a:t>MND2</a:t>
          </a:fld>
          <a:endParaRPr lang="en-GB" sz="800" b="1" baseline="0">
            <a:solidFill>
              <a:schemeClr val="bg1"/>
            </a:solidFill>
            <a:latin typeface="+mn-lt"/>
          </a:endParaRPr>
        </a:p>
      </xdr:txBody>
    </xdr:sp>
    <xdr:clientData fLocksWithSheet="0"/>
  </xdr:twoCellAnchor>
  <xdr:twoCellAnchor>
    <xdr:from>
      <xdr:col>35</xdr:col>
      <xdr:colOff>0</xdr:colOff>
      <xdr:row>47</xdr:row>
      <xdr:rowOff>0</xdr:rowOff>
    </xdr:from>
    <xdr:to>
      <xdr:col>39</xdr:col>
      <xdr:colOff>0</xdr:colOff>
      <xdr:row>47</xdr:row>
      <xdr:rowOff>208800</xdr:rowOff>
    </xdr:to>
    <xdr:sp macro="" textlink="ACTIONS!$E$34">
      <xdr:nvSpPr>
        <xdr:cNvPr id="1883" name="TextBox 1882">
          <a:extLst>
            <a:ext uri="{FF2B5EF4-FFF2-40B4-BE49-F238E27FC236}">
              <a16:creationId xmlns:a16="http://schemas.microsoft.com/office/drawing/2014/main" id="{9A52BD5F-67AB-4C9A-BF98-58001FB9123D}"/>
            </a:ext>
          </a:extLst>
        </xdr:cNvPr>
        <xdr:cNvSpPr txBox="1"/>
      </xdr:nvSpPr>
      <xdr:spPr>
        <a:xfrm>
          <a:off x="8001000" y="9848850"/>
          <a:ext cx="914400" cy="208800"/>
        </a:xfrm>
        <a:prstGeom prst="rect">
          <a:avLst/>
        </a:prstGeom>
        <a:solidFill>
          <a:srgbClr val="FFC000">
            <a:alpha val="30000"/>
          </a:srgb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l"/>
          <a:fld id="{EFAD5481-A21E-4020-A72A-E6EEB6AE8AF8}" type="TxLink">
            <a:rPr lang="en-US" sz="800" b="1" i="0" u="none" strike="noStrike" baseline="0">
              <a:solidFill>
                <a:schemeClr val="bg1"/>
              </a:solidFill>
              <a:latin typeface="+mn-lt"/>
            </a:rPr>
            <a:pPr algn="l"/>
            <a:t>MND3</a:t>
          </a:fld>
          <a:endParaRPr lang="en-GB" sz="800" b="1" baseline="0">
            <a:solidFill>
              <a:schemeClr val="bg1"/>
            </a:solidFill>
            <a:latin typeface="+mn-lt"/>
          </a:endParaRPr>
        </a:p>
      </xdr:txBody>
    </xdr:sp>
    <xdr:clientData fLocksWithSheet="0"/>
  </xdr:twoCellAnchor>
  <xdr:twoCellAnchor>
    <xdr:from>
      <xdr:col>35</xdr:col>
      <xdr:colOff>0</xdr:colOff>
      <xdr:row>47</xdr:row>
      <xdr:rowOff>209549</xdr:rowOff>
    </xdr:from>
    <xdr:to>
      <xdr:col>39</xdr:col>
      <xdr:colOff>0</xdr:colOff>
      <xdr:row>48</xdr:row>
      <xdr:rowOff>208799</xdr:rowOff>
    </xdr:to>
    <xdr:sp macro="" textlink="ACTIONS!$F$34">
      <xdr:nvSpPr>
        <xdr:cNvPr id="1923" name="TextBox 1922">
          <a:extLst>
            <a:ext uri="{FF2B5EF4-FFF2-40B4-BE49-F238E27FC236}">
              <a16:creationId xmlns:a16="http://schemas.microsoft.com/office/drawing/2014/main" id="{5A859618-BC36-47F2-AB93-4528ECF9E2CC}"/>
            </a:ext>
          </a:extLst>
        </xdr:cNvPr>
        <xdr:cNvSpPr txBox="1"/>
      </xdr:nvSpPr>
      <xdr:spPr>
        <a:xfrm>
          <a:off x="8001000" y="10058399"/>
          <a:ext cx="914400" cy="208800"/>
        </a:xfrm>
        <a:prstGeom prst="rect">
          <a:avLst/>
        </a:prstGeom>
        <a:solidFill>
          <a:srgbClr val="FF6600">
            <a:alpha val="30000"/>
          </a:srgb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l"/>
          <a:fld id="{5DADD2A2-66BC-4F0E-8515-296354518392}" type="TxLink">
            <a:rPr lang="en-US" sz="800" b="1" i="0" u="none" strike="noStrike" baseline="0">
              <a:solidFill>
                <a:schemeClr val="bg1"/>
              </a:solidFill>
              <a:latin typeface="+mn-lt"/>
            </a:rPr>
            <a:pPr algn="l"/>
            <a:t>MND4</a:t>
          </a:fld>
          <a:endParaRPr lang="en-GB" sz="800" b="1" baseline="0">
            <a:solidFill>
              <a:schemeClr val="bg1"/>
            </a:solidFill>
            <a:latin typeface="+mn-lt"/>
          </a:endParaRPr>
        </a:p>
      </xdr:txBody>
    </xdr:sp>
    <xdr:clientData fLocksWithSheet="0"/>
  </xdr:twoCellAnchor>
  <xdr:twoCellAnchor>
    <xdr:from>
      <xdr:col>35</xdr:col>
      <xdr:colOff>0</xdr:colOff>
      <xdr:row>49</xdr:row>
      <xdr:rowOff>0</xdr:rowOff>
    </xdr:from>
    <xdr:to>
      <xdr:col>39</xdr:col>
      <xdr:colOff>0</xdr:colOff>
      <xdr:row>49</xdr:row>
      <xdr:rowOff>208800</xdr:rowOff>
    </xdr:to>
    <xdr:sp macro="" textlink="ACTIONS!$G$34">
      <xdr:nvSpPr>
        <xdr:cNvPr id="1924" name="TextBox 1923">
          <a:extLst>
            <a:ext uri="{FF2B5EF4-FFF2-40B4-BE49-F238E27FC236}">
              <a16:creationId xmlns:a16="http://schemas.microsoft.com/office/drawing/2014/main" id="{7627B2BB-7FCE-4C6D-902D-8F7CFB626998}"/>
            </a:ext>
          </a:extLst>
        </xdr:cNvPr>
        <xdr:cNvSpPr txBox="1"/>
      </xdr:nvSpPr>
      <xdr:spPr>
        <a:xfrm>
          <a:off x="8001000" y="10267950"/>
          <a:ext cx="914400" cy="208800"/>
        </a:xfrm>
        <a:prstGeom prst="rect">
          <a:avLst/>
        </a:prstGeom>
        <a:solidFill>
          <a:srgbClr val="C00000">
            <a:alpha val="30000"/>
          </a:srgb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l"/>
          <a:fld id="{CCEB9A42-CA9E-4CB9-9BF2-1221B3C44E32}" type="TxLink">
            <a:rPr lang="en-US" sz="800" b="1" i="0" u="none" strike="noStrike" baseline="0">
              <a:solidFill>
                <a:schemeClr val="bg1"/>
              </a:solidFill>
              <a:latin typeface="+mn-lt"/>
            </a:rPr>
            <a:pPr algn="l"/>
            <a:t>MND5</a:t>
          </a:fld>
          <a:endParaRPr lang="en-GB" sz="800" b="1" baseline="0">
            <a:solidFill>
              <a:schemeClr val="bg1"/>
            </a:solidFill>
            <a:latin typeface="+mn-lt"/>
          </a:endParaRPr>
        </a:p>
      </xdr:txBody>
    </xdr:sp>
    <xdr:clientData fLocksWithSheet="0"/>
  </xdr:twoCellAnchor>
  <xdr:twoCellAnchor>
    <xdr:from>
      <xdr:col>35</xdr:col>
      <xdr:colOff>0</xdr:colOff>
      <xdr:row>50</xdr:row>
      <xdr:rowOff>0</xdr:rowOff>
    </xdr:from>
    <xdr:to>
      <xdr:col>39</xdr:col>
      <xdr:colOff>0</xdr:colOff>
      <xdr:row>50</xdr:row>
      <xdr:rowOff>208800</xdr:rowOff>
    </xdr:to>
    <xdr:sp macro="" textlink="ACTIONS!$H$34">
      <xdr:nvSpPr>
        <xdr:cNvPr id="1926" name="TextBox 1925">
          <a:extLst>
            <a:ext uri="{FF2B5EF4-FFF2-40B4-BE49-F238E27FC236}">
              <a16:creationId xmlns:a16="http://schemas.microsoft.com/office/drawing/2014/main" id="{4DDA2B9E-BD8D-4C83-8421-5E734F658A2D}"/>
            </a:ext>
          </a:extLst>
        </xdr:cNvPr>
        <xdr:cNvSpPr txBox="1"/>
      </xdr:nvSpPr>
      <xdr:spPr>
        <a:xfrm>
          <a:off x="8001000" y="10477500"/>
          <a:ext cx="914400" cy="208800"/>
        </a:xfrm>
        <a:prstGeom prst="rect">
          <a:avLst/>
        </a:prstGeom>
        <a:solidFill>
          <a:srgbClr val="FF0000">
            <a:alpha val="30000"/>
          </a:srgb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EB5F8B1C-ACC2-45E9-B757-AEAC4FD5237C}" type="TxLink">
            <a:rPr lang="en-US" sz="800" b="1" i="0" u="none" strike="noStrike" baseline="0">
              <a:solidFill>
                <a:schemeClr val="bg1"/>
              </a:solidFill>
              <a:latin typeface="+mn-lt"/>
              <a:ea typeface="+mn-ea"/>
              <a:cs typeface="+mn-cs"/>
            </a:rPr>
            <a:pPr marL="0" indent="0" algn="l"/>
            <a:t>MND6</a:t>
          </a:fld>
          <a:endParaRPr lang="en-GB" sz="800" b="1" baseline="0">
            <a:solidFill>
              <a:schemeClr val="bg1"/>
            </a:solidFill>
            <a:latin typeface="+mn-lt"/>
            <a:ea typeface="+mn-ea"/>
            <a:cs typeface="+mn-cs"/>
          </a:endParaRPr>
        </a:p>
      </xdr:txBody>
    </xdr:sp>
    <xdr:clientData fLocksWithSheet="0"/>
  </xdr:twoCellAnchor>
  <xdr:twoCellAnchor>
    <xdr:from>
      <xdr:col>35</xdr:col>
      <xdr:colOff>0</xdr:colOff>
      <xdr:row>51</xdr:row>
      <xdr:rowOff>0</xdr:rowOff>
    </xdr:from>
    <xdr:to>
      <xdr:col>39</xdr:col>
      <xdr:colOff>0</xdr:colOff>
      <xdr:row>51</xdr:row>
      <xdr:rowOff>208800</xdr:rowOff>
    </xdr:to>
    <xdr:sp macro="" textlink="ACTIONS!$I$34">
      <xdr:nvSpPr>
        <xdr:cNvPr id="1927" name="TextBox 1926">
          <a:extLst>
            <a:ext uri="{FF2B5EF4-FFF2-40B4-BE49-F238E27FC236}">
              <a16:creationId xmlns:a16="http://schemas.microsoft.com/office/drawing/2014/main" id="{1B7E3DE9-53E2-4C56-A525-5A8B9527EBC4}"/>
            </a:ext>
          </a:extLst>
        </xdr:cNvPr>
        <xdr:cNvSpPr txBox="1"/>
      </xdr:nvSpPr>
      <xdr:spPr>
        <a:xfrm>
          <a:off x="8001000" y="10687050"/>
          <a:ext cx="914400" cy="208800"/>
        </a:xfrm>
        <a:prstGeom prst="rect">
          <a:avLst/>
        </a:prstGeom>
        <a:solidFill>
          <a:srgbClr val="FF00FF">
            <a:alpha val="30000"/>
          </a:srgb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algn="l"/>
          <a:fld id="{622DC8D7-774C-4113-A221-02C79A3DD3E6}" type="TxLink">
            <a:rPr lang="en-US" sz="800" b="1" i="0" u="none" strike="noStrike" baseline="0">
              <a:solidFill>
                <a:schemeClr val="bg1"/>
              </a:solidFill>
              <a:latin typeface="+mn-lt"/>
            </a:rPr>
            <a:pPr algn="l"/>
            <a:t>MND7</a:t>
          </a:fld>
          <a:endParaRPr lang="en-GB" sz="800" b="1" baseline="0">
            <a:solidFill>
              <a:schemeClr val="bg1"/>
            </a:solidFill>
            <a:latin typeface="+mn-lt"/>
          </a:endParaRPr>
        </a:p>
      </xdr:txBody>
    </xdr:sp>
    <xdr:clientData fLocksWithSheet="0"/>
  </xdr:twoCellAnchor>
  <xdr:twoCellAnchor>
    <xdr:from>
      <xdr:col>35</xdr:col>
      <xdr:colOff>0</xdr:colOff>
      <xdr:row>52</xdr:row>
      <xdr:rowOff>0</xdr:rowOff>
    </xdr:from>
    <xdr:to>
      <xdr:col>39</xdr:col>
      <xdr:colOff>0</xdr:colOff>
      <xdr:row>52</xdr:row>
      <xdr:rowOff>208800</xdr:rowOff>
    </xdr:to>
    <xdr:sp macro="" textlink="ACTIONS!$J$34">
      <xdr:nvSpPr>
        <xdr:cNvPr id="1928" name="TextBox 1927">
          <a:extLst>
            <a:ext uri="{FF2B5EF4-FFF2-40B4-BE49-F238E27FC236}">
              <a16:creationId xmlns:a16="http://schemas.microsoft.com/office/drawing/2014/main" id="{40F8045C-56EC-4081-BBFA-9D52A1EED1CC}"/>
            </a:ext>
          </a:extLst>
        </xdr:cNvPr>
        <xdr:cNvSpPr txBox="1"/>
      </xdr:nvSpPr>
      <xdr:spPr>
        <a:xfrm>
          <a:off x="8001000" y="10896600"/>
          <a:ext cx="914400" cy="208800"/>
        </a:xfrm>
        <a:prstGeom prst="rect">
          <a:avLst/>
        </a:prstGeom>
        <a:solidFill>
          <a:srgbClr val="9900CC">
            <a:alpha val="30000"/>
          </a:srgb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705F5CB8-B96B-45ED-89CB-71AEBFDA2AD7}" type="TxLink">
            <a:rPr lang="en-US" sz="800" b="1" i="0" u="none" strike="noStrike" baseline="0">
              <a:solidFill>
                <a:schemeClr val="bg1"/>
              </a:solidFill>
              <a:latin typeface="+mn-lt"/>
              <a:ea typeface="+mn-ea"/>
              <a:cs typeface="+mn-cs"/>
            </a:rPr>
            <a:pPr marL="0" indent="0" algn="l"/>
            <a:t>MND8</a:t>
          </a:fld>
          <a:endParaRPr lang="en-GB" sz="800" b="1" baseline="0">
            <a:solidFill>
              <a:schemeClr val="bg1"/>
            </a:solidFill>
            <a:latin typeface="+mn-lt"/>
            <a:ea typeface="+mn-ea"/>
            <a:cs typeface="+mn-cs"/>
          </a:endParaRPr>
        </a:p>
      </xdr:txBody>
    </xdr:sp>
    <xdr:clientData fLocksWithSheet="0"/>
  </xdr:twoCellAnchor>
  <xdr:twoCellAnchor>
    <xdr:from>
      <xdr:col>35</xdr:col>
      <xdr:colOff>0</xdr:colOff>
      <xdr:row>53</xdr:row>
      <xdr:rowOff>0</xdr:rowOff>
    </xdr:from>
    <xdr:to>
      <xdr:col>39</xdr:col>
      <xdr:colOff>0</xdr:colOff>
      <xdr:row>53</xdr:row>
      <xdr:rowOff>208800</xdr:rowOff>
    </xdr:to>
    <xdr:sp macro="" textlink="ACTIONS!$K$34">
      <xdr:nvSpPr>
        <xdr:cNvPr id="1931" name="TextBox 1930">
          <a:extLst>
            <a:ext uri="{FF2B5EF4-FFF2-40B4-BE49-F238E27FC236}">
              <a16:creationId xmlns:a16="http://schemas.microsoft.com/office/drawing/2014/main" id="{CB4E921C-BE91-45F6-A379-75EF022F327C}"/>
            </a:ext>
          </a:extLst>
        </xdr:cNvPr>
        <xdr:cNvSpPr txBox="1"/>
      </xdr:nvSpPr>
      <xdr:spPr>
        <a:xfrm>
          <a:off x="8001000" y="11106150"/>
          <a:ext cx="914400" cy="208800"/>
        </a:xfrm>
        <a:prstGeom prst="rect">
          <a:avLst/>
        </a:prstGeom>
        <a:solidFill>
          <a:srgbClr val="0070C0">
            <a:alpha val="30000"/>
          </a:srgbClr>
        </a:solidFill>
        <a:ln w="6350">
          <a:solidFill>
            <a:schemeClr val="bg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72000" rIns="72000" rtlCol="0" anchor="ctr">
          <a:noAutofit/>
        </a:bodyPr>
        <a:lstStyle/>
        <a:p>
          <a:pPr marL="0" indent="0" algn="l"/>
          <a:fld id="{8F6ECF76-7EA0-4471-9C85-CB246F8EA4B4}" type="TxLink">
            <a:rPr lang="en-US" sz="800" b="1" i="0" u="none" strike="noStrike">
              <a:solidFill>
                <a:schemeClr val="bg1"/>
              </a:solidFill>
              <a:latin typeface="+mn-lt"/>
              <a:ea typeface="+mn-ea"/>
              <a:cs typeface="+mn-cs"/>
            </a:rPr>
            <a:pPr marL="0" indent="0" algn="l"/>
            <a:t>MND9</a:t>
          </a:fld>
          <a:endParaRPr lang="en-GB" sz="800" b="1">
            <a:solidFill>
              <a:schemeClr val="bg1"/>
            </a:solidFill>
            <a:latin typeface="+mn-lt"/>
            <a:ea typeface="+mn-ea"/>
            <a:cs typeface="+mn-cs"/>
          </a:endParaRPr>
        </a:p>
      </xdr:txBody>
    </xdr:sp>
    <xdr:clientData fLocksWithSheet="0"/>
  </xdr:twoCellAnchor>
</xdr:wsDr>
</file>

<file path=xl/drawings/drawing7.xml><?xml version="1.0" encoding="utf-8"?>
<xdr:wsDr xmlns:xdr="http://schemas.openxmlformats.org/drawingml/2006/spreadsheetDrawing" xmlns:a="http://schemas.openxmlformats.org/drawingml/2006/main">
  <xdr:twoCellAnchor>
    <xdr:from>
      <xdr:col>68</xdr:col>
      <xdr:colOff>0</xdr:colOff>
      <xdr:row>43</xdr:row>
      <xdr:rowOff>0</xdr:rowOff>
    </xdr:from>
    <xdr:to>
      <xdr:col>70</xdr:col>
      <xdr:colOff>0</xdr:colOff>
      <xdr:row>43</xdr:row>
      <xdr:rowOff>209549</xdr:rowOff>
    </xdr:to>
    <xdr:sp macro="" textlink="" fLocksText="0">
      <xdr:nvSpPr>
        <xdr:cNvPr id="11" name="TextBox 10">
          <a:extLst>
            <a:ext uri="{FF2B5EF4-FFF2-40B4-BE49-F238E27FC236}">
              <a16:creationId xmlns:a16="http://schemas.microsoft.com/office/drawing/2014/main" id="{6EC8F05B-451F-4099-A4D0-FC3A87631AB9}"/>
            </a:ext>
          </a:extLst>
        </xdr:cNvPr>
        <xdr:cNvSpPr txBox="1">
          <a:spLocks/>
        </xdr:cNvSpPr>
      </xdr:nvSpPr>
      <xdr:spPr>
        <a:xfrm>
          <a:off x="15563850" y="9010650"/>
          <a:ext cx="457200" cy="209549"/>
        </a:xfrm>
        <a:prstGeom prst="rect">
          <a:avLst/>
        </a:prstGeom>
        <a:solidFill>
          <a:schemeClr val="bg1">
            <a:alpha val="30196"/>
          </a:schemeClr>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endParaRPr lang="en-GB" sz="1000" b="0">
            <a:solidFill>
              <a:sysClr val="windowText" lastClr="000000"/>
            </a:solidFill>
            <a:latin typeface="+mn-lt"/>
            <a:ea typeface="+mn-ea"/>
            <a:cs typeface="+mn-cs"/>
          </a:endParaRPr>
        </a:p>
      </xdr:txBody>
    </xdr:sp>
    <xdr:clientData fLocksWithSheet="0"/>
  </xdr:twoCellAnchor>
  <xdr:twoCellAnchor>
    <xdr:from>
      <xdr:col>68</xdr:col>
      <xdr:colOff>0</xdr:colOff>
      <xdr:row>44</xdr:row>
      <xdr:rowOff>1</xdr:rowOff>
    </xdr:from>
    <xdr:to>
      <xdr:col>70</xdr:col>
      <xdr:colOff>0</xdr:colOff>
      <xdr:row>45</xdr:row>
      <xdr:rowOff>1</xdr:rowOff>
    </xdr:to>
    <xdr:sp macro="" textlink="" fLocksText="0">
      <xdr:nvSpPr>
        <xdr:cNvPr id="13" name="TextBox 12">
          <a:extLst>
            <a:ext uri="{FF2B5EF4-FFF2-40B4-BE49-F238E27FC236}">
              <a16:creationId xmlns:a16="http://schemas.microsoft.com/office/drawing/2014/main" id="{FE847289-BC26-49DC-8C3B-2F91C16D1D79}"/>
            </a:ext>
          </a:extLst>
        </xdr:cNvPr>
        <xdr:cNvSpPr txBox="1">
          <a:spLocks/>
        </xdr:cNvSpPr>
      </xdr:nvSpPr>
      <xdr:spPr>
        <a:xfrm>
          <a:off x="15563850" y="9220201"/>
          <a:ext cx="457200" cy="209550"/>
        </a:xfrm>
        <a:prstGeom prst="rect">
          <a:avLst/>
        </a:prstGeom>
        <a:solidFill>
          <a:srgbClr val="000000">
            <a:alpha val="30196"/>
          </a:srgbClr>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endParaRPr lang="en-GB" sz="1000" b="0">
            <a:solidFill>
              <a:schemeClr val="tx1"/>
            </a:solidFill>
            <a:latin typeface="+mn-lt"/>
            <a:ea typeface="+mn-ea"/>
            <a:cs typeface="+mn-cs"/>
          </a:endParaRPr>
        </a:p>
      </xdr:txBody>
    </xdr:sp>
    <xdr:clientData fLocksWithSheet="0"/>
  </xdr:twoCellAnchor>
  <xdr:twoCellAnchor>
    <xdr:from>
      <xdr:col>68</xdr:col>
      <xdr:colOff>0</xdr:colOff>
      <xdr:row>45</xdr:row>
      <xdr:rowOff>1</xdr:rowOff>
    </xdr:from>
    <xdr:to>
      <xdr:col>70</xdr:col>
      <xdr:colOff>0</xdr:colOff>
      <xdr:row>46</xdr:row>
      <xdr:rowOff>0</xdr:rowOff>
    </xdr:to>
    <xdr:sp macro="" textlink="" fLocksText="0">
      <xdr:nvSpPr>
        <xdr:cNvPr id="17" name="TextBox 16">
          <a:extLst>
            <a:ext uri="{FF2B5EF4-FFF2-40B4-BE49-F238E27FC236}">
              <a16:creationId xmlns:a16="http://schemas.microsoft.com/office/drawing/2014/main" id="{AD14E26A-652B-4388-B21C-12692DA49292}"/>
            </a:ext>
          </a:extLst>
        </xdr:cNvPr>
        <xdr:cNvSpPr txBox="1">
          <a:spLocks/>
        </xdr:cNvSpPr>
      </xdr:nvSpPr>
      <xdr:spPr>
        <a:xfrm>
          <a:off x="15563850" y="9429751"/>
          <a:ext cx="457200" cy="209549"/>
        </a:xfrm>
        <a:prstGeom prst="rect">
          <a:avLst/>
        </a:prstGeom>
        <a:solidFill>
          <a:srgbClr val="000000">
            <a:alpha val="69804"/>
          </a:srgbClr>
        </a:solidFill>
        <a:ln w="63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endParaRPr lang="en-GB" sz="1000" b="0">
            <a:solidFill>
              <a:schemeClr val="bg1"/>
            </a:solidFill>
            <a:latin typeface="+mn-lt"/>
            <a:ea typeface="+mn-ea"/>
            <a:cs typeface="+mn-cs"/>
          </a:endParaRPr>
        </a:p>
      </xdr:txBody>
    </xdr:sp>
    <xdr:clientData fLocksWithSheet="0"/>
  </xdr:twoCellAnchor>
</xdr:wsDr>
</file>

<file path=xl/drawings/drawing8.xml><?xml version="1.0" encoding="utf-8"?>
<xdr:wsDr xmlns:xdr="http://schemas.openxmlformats.org/drawingml/2006/spreadsheetDrawing" xmlns:a="http://schemas.openxmlformats.org/drawingml/2006/main">
  <xdr:twoCellAnchor>
    <xdr:from>
      <xdr:col>38</xdr:col>
      <xdr:colOff>0</xdr:colOff>
      <xdr:row>111</xdr:row>
      <xdr:rowOff>0</xdr:rowOff>
    </xdr:from>
    <xdr:to>
      <xdr:col>41</xdr:col>
      <xdr:colOff>0</xdr:colOff>
      <xdr:row>133</xdr:row>
      <xdr:rowOff>0</xdr:rowOff>
    </xdr:to>
    <xdr:sp macro="[0]!VictoryDisplay1" textlink="">
      <xdr:nvSpPr>
        <xdr:cNvPr id="14" name="TextBox 13">
          <a:extLst>
            <a:ext uri="{FF2B5EF4-FFF2-40B4-BE49-F238E27FC236}">
              <a16:creationId xmlns:a16="http://schemas.microsoft.com/office/drawing/2014/main" id="{F21DF430-46ED-496E-A8E8-C5415ED11902}"/>
            </a:ext>
          </a:extLst>
        </xdr:cNvPr>
        <xdr:cNvSpPr txBox="1"/>
      </xdr:nvSpPr>
      <xdr:spPr>
        <a:xfrm>
          <a:off x="8686800" y="23260050"/>
          <a:ext cx="685800" cy="4610100"/>
        </a:xfrm>
        <a:prstGeom prst="rect">
          <a:avLst/>
        </a:prstGeom>
        <a:solidFill>
          <a:schemeClr val="bg1"/>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1">
              <a:solidFill>
                <a:schemeClr val="bg1">
                  <a:lumMod val="75000"/>
                </a:schemeClr>
              </a:solidFill>
              <a:latin typeface="+mn-lt"/>
              <a:ea typeface="+mn-ea"/>
              <a:cs typeface="+mn-cs"/>
            </a:rPr>
            <a:t>CLICK</a:t>
          </a:r>
          <a:r>
            <a:rPr lang="en-GB" sz="1000" b="1" baseline="0">
              <a:solidFill>
                <a:schemeClr val="bg1">
                  <a:lumMod val="75000"/>
                </a:schemeClr>
              </a:solidFill>
              <a:latin typeface="+mn-lt"/>
              <a:ea typeface="+mn-ea"/>
              <a:cs typeface="+mn-cs"/>
            </a:rPr>
            <a:t> </a:t>
          </a:r>
          <a:r>
            <a:rPr lang="en-GB" sz="1000" b="1">
              <a:solidFill>
                <a:schemeClr val="bg1">
                  <a:lumMod val="75000"/>
                </a:schemeClr>
              </a:solidFill>
              <a:latin typeface="+mn-lt"/>
              <a:ea typeface="+mn-ea"/>
              <a:cs typeface="+mn-cs"/>
            </a:rPr>
            <a:t>TO MOVE ACTIVE DISPLAY AREA HERE</a:t>
          </a:r>
        </a:p>
      </xdr:txBody>
    </xdr:sp>
    <xdr:clientData/>
  </xdr:twoCellAnchor>
  <xdr:twoCellAnchor>
    <xdr:from>
      <xdr:col>38</xdr:col>
      <xdr:colOff>0</xdr:colOff>
      <xdr:row>148</xdr:row>
      <xdr:rowOff>0</xdr:rowOff>
    </xdr:from>
    <xdr:to>
      <xdr:col>41</xdr:col>
      <xdr:colOff>0</xdr:colOff>
      <xdr:row>170</xdr:row>
      <xdr:rowOff>0</xdr:rowOff>
    </xdr:to>
    <xdr:sp macro="[0]!VictoryDisplay2" textlink="">
      <xdr:nvSpPr>
        <xdr:cNvPr id="15" name="TextBox 14">
          <a:extLst>
            <a:ext uri="{FF2B5EF4-FFF2-40B4-BE49-F238E27FC236}">
              <a16:creationId xmlns:a16="http://schemas.microsoft.com/office/drawing/2014/main" id="{FB6870AD-AA60-4829-A1B5-1B0F66FFDE49}"/>
            </a:ext>
          </a:extLst>
        </xdr:cNvPr>
        <xdr:cNvSpPr txBox="1"/>
      </xdr:nvSpPr>
      <xdr:spPr>
        <a:xfrm>
          <a:off x="8686800" y="31013400"/>
          <a:ext cx="685800" cy="4610100"/>
        </a:xfrm>
        <a:prstGeom prst="rect">
          <a:avLst/>
        </a:prstGeom>
        <a:solidFill>
          <a:schemeClr val="bg1"/>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1">
              <a:solidFill>
                <a:schemeClr val="bg1">
                  <a:lumMod val="75000"/>
                </a:schemeClr>
              </a:solidFill>
              <a:latin typeface="+mn-lt"/>
              <a:ea typeface="+mn-ea"/>
              <a:cs typeface="+mn-cs"/>
            </a:rPr>
            <a:t>CLICK</a:t>
          </a:r>
          <a:r>
            <a:rPr lang="en-GB" sz="1000" b="1" baseline="0">
              <a:solidFill>
                <a:schemeClr val="bg1">
                  <a:lumMod val="75000"/>
                </a:schemeClr>
              </a:solidFill>
              <a:latin typeface="+mn-lt"/>
              <a:ea typeface="+mn-ea"/>
              <a:cs typeface="+mn-cs"/>
            </a:rPr>
            <a:t> </a:t>
          </a:r>
          <a:r>
            <a:rPr lang="en-GB" sz="1000" b="1">
              <a:solidFill>
                <a:schemeClr val="bg1">
                  <a:lumMod val="75000"/>
                </a:schemeClr>
              </a:solidFill>
              <a:latin typeface="+mn-lt"/>
              <a:ea typeface="+mn-ea"/>
              <a:cs typeface="+mn-cs"/>
            </a:rPr>
            <a:t>TO MOVE ACTIVE DISPLAY AREA HERE</a:t>
          </a:r>
        </a:p>
      </xdr:txBody>
    </xdr:sp>
    <xdr:clientData/>
  </xdr:twoCellAnchor>
  <xdr:twoCellAnchor>
    <xdr:from>
      <xdr:col>38</xdr:col>
      <xdr:colOff>0</xdr:colOff>
      <xdr:row>185</xdr:row>
      <xdr:rowOff>0</xdr:rowOff>
    </xdr:from>
    <xdr:to>
      <xdr:col>41</xdr:col>
      <xdr:colOff>0</xdr:colOff>
      <xdr:row>207</xdr:row>
      <xdr:rowOff>0</xdr:rowOff>
    </xdr:to>
    <xdr:sp macro="[0]!VictoryDisplay3" textlink="">
      <xdr:nvSpPr>
        <xdr:cNvPr id="16" name="TextBox 15">
          <a:extLst>
            <a:ext uri="{FF2B5EF4-FFF2-40B4-BE49-F238E27FC236}">
              <a16:creationId xmlns:a16="http://schemas.microsoft.com/office/drawing/2014/main" id="{45FF50D7-F556-4765-9A78-C79DD38934BE}"/>
            </a:ext>
          </a:extLst>
        </xdr:cNvPr>
        <xdr:cNvSpPr txBox="1"/>
      </xdr:nvSpPr>
      <xdr:spPr>
        <a:xfrm>
          <a:off x="8686800" y="38766750"/>
          <a:ext cx="685800" cy="4610100"/>
        </a:xfrm>
        <a:prstGeom prst="rect">
          <a:avLst/>
        </a:prstGeom>
        <a:solidFill>
          <a:schemeClr val="bg1"/>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1">
              <a:solidFill>
                <a:schemeClr val="bg1">
                  <a:lumMod val="75000"/>
                </a:schemeClr>
              </a:solidFill>
              <a:latin typeface="+mn-lt"/>
              <a:ea typeface="+mn-ea"/>
              <a:cs typeface="+mn-cs"/>
            </a:rPr>
            <a:t>CLICK</a:t>
          </a:r>
          <a:r>
            <a:rPr lang="en-GB" sz="1000" b="1" baseline="0">
              <a:solidFill>
                <a:schemeClr val="bg1">
                  <a:lumMod val="75000"/>
                </a:schemeClr>
              </a:solidFill>
              <a:latin typeface="+mn-lt"/>
              <a:ea typeface="+mn-ea"/>
              <a:cs typeface="+mn-cs"/>
            </a:rPr>
            <a:t> </a:t>
          </a:r>
          <a:r>
            <a:rPr lang="en-GB" sz="1000" b="1">
              <a:solidFill>
                <a:schemeClr val="bg1">
                  <a:lumMod val="75000"/>
                </a:schemeClr>
              </a:solidFill>
              <a:latin typeface="+mn-lt"/>
              <a:ea typeface="+mn-ea"/>
              <a:cs typeface="+mn-cs"/>
            </a:rPr>
            <a:t>TO MOVE ACTIVE DISPLAY AREA HERE</a:t>
          </a:r>
        </a:p>
      </xdr:txBody>
    </xdr:sp>
    <xdr:clientData/>
  </xdr:twoCellAnchor>
  <xdr:twoCellAnchor>
    <xdr:from>
      <xdr:col>38</xdr:col>
      <xdr:colOff>0</xdr:colOff>
      <xdr:row>222</xdr:row>
      <xdr:rowOff>0</xdr:rowOff>
    </xdr:from>
    <xdr:to>
      <xdr:col>41</xdr:col>
      <xdr:colOff>0</xdr:colOff>
      <xdr:row>244</xdr:row>
      <xdr:rowOff>0</xdr:rowOff>
    </xdr:to>
    <xdr:sp macro="[0]!VictoryDisplay4" textlink="">
      <xdr:nvSpPr>
        <xdr:cNvPr id="17" name="TextBox 16">
          <a:extLst>
            <a:ext uri="{FF2B5EF4-FFF2-40B4-BE49-F238E27FC236}">
              <a16:creationId xmlns:a16="http://schemas.microsoft.com/office/drawing/2014/main" id="{44AA661C-A3B6-4B68-B4AD-55647051F0C0}"/>
            </a:ext>
          </a:extLst>
        </xdr:cNvPr>
        <xdr:cNvSpPr txBox="1"/>
      </xdr:nvSpPr>
      <xdr:spPr>
        <a:xfrm>
          <a:off x="8686800" y="46520100"/>
          <a:ext cx="685800" cy="4610100"/>
        </a:xfrm>
        <a:prstGeom prst="rect">
          <a:avLst/>
        </a:prstGeom>
        <a:solidFill>
          <a:schemeClr val="bg1"/>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1">
              <a:solidFill>
                <a:schemeClr val="bg1">
                  <a:lumMod val="75000"/>
                </a:schemeClr>
              </a:solidFill>
              <a:latin typeface="+mn-lt"/>
              <a:ea typeface="+mn-ea"/>
              <a:cs typeface="+mn-cs"/>
            </a:rPr>
            <a:t>CLICK</a:t>
          </a:r>
          <a:r>
            <a:rPr lang="en-GB" sz="1000" b="1" baseline="0">
              <a:solidFill>
                <a:schemeClr val="bg1">
                  <a:lumMod val="75000"/>
                </a:schemeClr>
              </a:solidFill>
              <a:latin typeface="+mn-lt"/>
              <a:ea typeface="+mn-ea"/>
              <a:cs typeface="+mn-cs"/>
            </a:rPr>
            <a:t> </a:t>
          </a:r>
          <a:r>
            <a:rPr lang="en-GB" sz="1000" b="1">
              <a:solidFill>
                <a:schemeClr val="bg1">
                  <a:lumMod val="75000"/>
                </a:schemeClr>
              </a:solidFill>
              <a:latin typeface="+mn-lt"/>
              <a:ea typeface="+mn-ea"/>
              <a:cs typeface="+mn-cs"/>
            </a:rPr>
            <a:t>TO MOVE ACTIVE DISPLAY AREA HERE</a:t>
          </a:r>
        </a:p>
      </xdr:txBody>
    </xdr:sp>
    <xdr:clientData/>
  </xdr:twoCellAnchor>
  <xdr:twoCellAnchor>
    <xdr:from>
      <xdr:col>38</xdr:col>
      <xdr:colOff>0</xdr:colOff>
      <xdr:row>259</xdr:row>
      <xdr:rowOff>0</xdr:rowOff>
    </xdr:from>
    <xdr:to>
      <xdr:col>41</xdr:col>
      <xdr:colOff>0</xdr:colOff>
      <xdr:row>281</xdr:row>
      <xdr:rowOff>0</xdr:rowOff>
    </xdr:to>
    <xdr:sp macro="[0]!VictoryDisplay5" textlink="">
      <xdr:nvSpPr>
        <xdr:cNvPr id="18" name="TextBox 17">
          <a:extLst>
            <a:ext uri="{FF2B5EF4-FFF2-40B4-BE49-F238E27FC236}">
              <a16:creationId xmlns:a16="http://schemas.microsoft.com/office/drawing/2014/main" id="{F028AD83-B336-4D1C-83BA-5782A0B75ACB}"/>
            </a:ext>
          </a:extLst>
        </xdr:cNvPr>
        <xdr:cNvSpPr txBox="1"/>
      </xdr:nvSpPr>
      <xdr:spPr>
        <a:xfrm>
          <a:off x="8686800" y="54273450"/>
          <a:ext cx="685800" cy="4610100"/>
        </a:xfrm>
        <a:prstGeom prst="rect">
          <a:avLst/>
        </a:prstGeom>
        <a:solidFill>
          <a:schemeClr val="bg1"/>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1">
              <a:solidFill>
                <a:schemeClr val="bg1">
                  <a:lumMod val="75000"/>
                </a:schemeClr>
              </a:solidFill>
              <a:latin typeface="+mn-lt"/>
              <a:ea typeface="+mn-ea"/>
              <a:cs typeface="+mn-cs"/>
            </a:rPr>
            <a:t>CLICK</a:t>
          </a:r>
          <a:r>
            <a:rPr lang="en-GB" sz="1000" b="1" baseline="0">
              <a:solidFill>
                <a:schemeClr val="bg1">
                  <a:lumMod val="75000"/>
                </a:schemeClr>
              </a:solidFill>
              <a:latin typeface="+mn-lt"/>
              <a:ea typeface="+mn-ea"/>
              <a:cs typeface="+mn-cs"/>
            </a:rPr>
            <a:t> </a:t>
          </a:r>
          <a:r>
            <a:rPr lang="en-GB" sz="1000" b="1">
              <a:solidFill>
                <a:schemeClr val="bg1">
                  <a:lumMod val="75000"/>
                </a:schemeClr>
              </a:solidFill>
              <a:latin typeface="+mn-lt"/>
              <a:ea typeface="+mn-ea"/>
              <a:cs typeface="+mn-cs"/>
            </a:rPr>
            <a:t>TO MOVE ACTIVE DISPLAY AREA HERE</a:t>
          </a:r>
        </a:p>
      </xdr:txBody>
    </xdr:sp>
    <xdr:clientData/>
  </xdr:twoCellAnchor>
  <xdr:twoCellAnchor>
    <xdr:from>
      <xdr:col>38</xdr:col>
      <xdr:colOff>0</xdr:colOff>
      <xdr:row>296</xdr:row>
      <xdr:rowOff>0</xdr:rowOff>
    </xdr:from>
    <xdr:to>
      <xdr:col>41</xdr:col>
      <xdr:colOff>0</xdr:colOff>
      <xdr:row>318</xdr:row>
      <xdr:rowOff>0</xdr:rowOff>
    </xdr:to>
    <xdr:sp macro="[0]!VictoryDisplay6" textlink="">
      <xdr:nvSpPr>
        <xdr:cNvPr id="19" name="TextBox 18">
          <a:extLst>
            <a:ext uri="{FF2B5EF4-FFF2-40B4-BE49-F238E27FC236}">
              <a16:creationId xmlns:a16="http://schemas.microsoft.com/office/drawing/2014/main" id="{1B084760-BDD8-437F-8106-98C33E646A2F}"/>
            </a:ext>
          </a:extLst>
        </xdr:cNvPr>
        <xdr:cNvSpPr txBox="1"/>
      </xdr:nvSpPr>
      <xdr:spPr>
        <a:xfrm>
          <a:off x="8686800" y="62026800"/>
          <a:ext cx="685800" cy="4610100"/>
        </a:xfrm>
        <a:prstGeom prst="rect">
          <a:avLst/>
        </a:prstGeom>
        <a:solidFill>
          <a:schemeClr val="bg1"/>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1">
              <a:solidFill>
                <a:schemeClr val="bg1">
                  <a:lumMod val="75000"/>
                </a:schemeClr>
              </a:solidFill>
              <a:latin typeface="+mn-lt"/>
              <a:ea typeface="+mn-ea"/>
              <a:cs typeface="+mn-cs"/>
            </a:rPr>
            <a:t>CLICK</a:t>
          </a:r>
          <a:r>
            <a:rPr lang="en-GB" sz="1000" b="1" baseline="0">
              <a:solidFill>
                <a:schemeClr val="bg1">
                  <a:lumMod val="75000"/>
                </a:schemeClr>
              </a:solidFill>
              <a:latin typeface="+mn-lt"/>
              <a:ea typeface="+mn-ea"/>
              <a:cs typeface="+mn-cs"/>
            </a:rPr>
            <a:t> </a:t>
          </a:r>
          <a:r>
            <a:rPr lang="en-GB" sz="1000" b="1">
              <a:solidFill>
                <a:schemeClr val="bg1">
                  <a:lumMod val="75000"/>
                </a:schemeClr>
              </a:solidFill>
              <a:latin typeface="+mn-lt"/>
              <a:ea typeface="+mn-ea"/>
              <a:cs typeface="+mn-cs"/>
            </a:rPr>
            <a:t>TO MOVE ACTIVE DISPLAY AREA HERE</a:t>
          </a:r>
        </a:p>
      </xdr:txBody>
    </xdr:sp>
    <xdr:clientData/>
  </xdr:twoCellAnchor>
  <xdr:twoCellAnchor>
    <xdr:from>
      <xdr:col>38</xdr:col>
      <xdr:colOff>0</xdr:colOff>
      <xdr:row>333</xdr:row>
      <xdr:rowOff>0</xdr:rowOff>
    </xdr:from>
    <xdr:to>
      <xdr:col>41</xdr:col>
      <xdr:colOff>0</xdr:colOff>
      <xdr:row>355</xdr:row>
      <xdr:rowOff>0</xdr:rowOff>
    </xdr:to>
    <xdr:sp macro="[0]!VictoryDisplay7" textlink="">
      <xdr:nvSpPr>
        <xdr:cNvPr id="20" name="TextBox 19">
          <a:extLst>
            <a:ext uri="{FF2B5EF4-FFF2-40B4-BE49-F238E27FC236}">
              <a16:creationId xmlns:a16="http://schemas.microsoft.com/office/drawing/2014/main" id="{06DA017F-EC96-4D09-AD98-9734A26025AD}"/>
            </a:ext>
          </a:extLst>
        </xdr:cNvPr>
        <xdr:cNvSpPr txBox="1"/>
      </xdr:nvSpPr>
      <xdr:spPr>
        <a:xfrm>
          <a:off x="8686800" y="69780150"/>
          <a:ext cx="685800" cy="4610100"/>
        </a:xfrm>
        <a:prstGeom prst="rect">
          <a:avLst/>
        </a:prstGeom>
        <a:solidFill>
          <a:schemeClr val="bg1"/>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1">
              <a:solidFill>
                <a:schemeClr val="bg1">
                  <a:lumMod val="75000"/>
                </a:schemeClr>
              </a:solidFill>
              <a:latin typeface="+mn-lt"/>
              <a:ea typeface="+mn-ea"/>
              <a:cs typeface="+mn-cs"/>
            </a:rPr>
            <a:t>CLICK</a:t>
          </a:r>
          <a:r>
            <a:rPr lang="en-GB" sz="1000" b="1" baseline="0">
              <a:solidFill>
                <a:schemeClr val="bg1">
                  <a:lumMod val="75000"/>
                </a:schemeClr>
              </a:solidFill>
              <a:latin typeface="+mn-lt"/>
              <a:ea typeface="+mn-ea"/>
              <a:cs typeface="+mn-cs"/>
            </a:rPr>
            <a:t> </a:t>
          </a:r>
          <a:r>
            <a:rPr lang="en-GB" sz="1000" b="1">
              <a:solidFill>
                <a:schemeClr val="bg1">
                  <a:lumMod val="75000"/>
                </a:schemeClr>
              </a:solidFill>
              <a:latin typeface="+mn-lt"/>
              <a:ea typeface="+mn-ea"/>
              <a:cs typeface="+mn-cs"/>
            </a:rPr>
            <a:t>TO MOVE ACTIVE DISPLAY AREA HERE</a:t>
          </a:r>
        </a:p>
      </xdr:txBody>
    </xdr:sp>
    <xdr:clientData/>
  </xdr:twoCellAnchor>
  <xdr:twoCellAnchor>
    <xdr:from>
      <xdr:col>38</xdr:col>
      <xdr:colOff>0</xdr:colOff>
      <xdr:row>370</xdr:row>
      <xdr:rowOff>0</xdr:rowOff>
    </xdr:from>
    <xdr:to>
      <xdr:col>41</xdr:col>
      <xdr:colOff>0</xdr:colOff>
      <xdr:row>392</xdr:row>
      <xdr:rowOff>0</xdr:rowOff>
    </xdr:to>
    <xdr:sp macro="[0]!VictoryDisplay8" textlink="">
      <xdr:nvSpPr>
        <xdr:cNvPr id="21" name="TextBox 20">
          <a:extLst>
            <a:ext uri="{FF2B5EF4-FFF2-40B4-BE49-F238E27FC236}">
              <a16:creationId xmlns:a16="http://schemas.microsoft.com/office/drawing/2014/main" id="{DE76DD7A-CD3A-4E2F-B992-FB43F8C98FD9}"/>
            </a:ext>
          </a:extLst>
        </xdr:cNvPr>
        <xdr:cNvSpPr txBox="1"/>
      </xdr:nvSpPr>
      <xdr:spPr>
        <a:xfrm>
          <a:off x="8686800" y="77533500"/>
          <a:ext cx="685800" cy="4610100"/>
        </a:xfrm>
        <a:prstGeom prst="rect">
          <a:avLst/>
        </a:prstGeom>
        <a:solidFill>
          <a:schemeClr val="bg1"/>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1">
              <a:solidFill>
                <a:schemeClr val="bg1">
                  <a:lumMod val="75000"/>
                </a:schemeClr>
              </a:solidFill>
              <a:latin typeface="+mn-lt"/>
              <a:ea typeface="+mn-ea"/>
              <a:cs typeface="+mn-cs"/>
            </a:rPr>
            <a:t>CLICK</a:t>
          </a:r>
          <a:r>
            <a:rPr lang="en-GB" sz="1000" b="1" baseline="0">
              <a:solidFill>
                <a:schemeClr val="bg1">
                  <a:lumMod val="75000"/>
                </a:schemeClr>
              </a:solidFill>
              <a:latin typeface="+mn-lt"/>
              <a:ea typeface="+mn-ea"/>
              <a:cs typeface="+mn-cs"/>
            </a:rPr>
            <a:t> </a:t>
          </a:r>
          <a:r>
            <a:rPr lang="en-GB" sz="1000" b="1">
              <a:solidFill>
                <a:schemeClr val="bg1">
                  <a:lumMod val="75000"/>
                </a:schemeClr>
              </a:solidFill>
              <a:latin typeface="+mn-lt"/>
              <a:ea typeface="+mn-ea"/>
              <a:cs typeface="+mn-cs"/>
            </a:rPr>
            <a:t>TO MOVE ACTIVE DISPLAY AREA HERE</a:t>
          </a:r>
        </a:p>
      </xdr:txBody>
    </xdr:sp>
    <xdr:clientData/>
  </xdr:twoCellAnchor>
  <xdr:twoCellAnchor>
    <xdr:from>
      <xdr:col>38</xdr:col>
      <xdr:colOff>0</xdr:colOff>
      <xdr:row>407</xdr:row>
      <xdr:rowOff>0</xdr:rowOff>
    </xdr:from>
    <xdr:to>
      <xdr:col>41</xdr:col>
      <xdr:colOff>0</xdr:colOff>
      <xdr:row>429</xdr:row>
      <xdr:rowOff>0</xdr:rowOff>
    </xdr:to>
    <xdr:sp macro="[0]!VictoryDisplay9" textlink="">
      <xdr:nvSpPr>
        <xdr:cNvPr id="22" name="TextBox 21">
          <a:extLst>
            <a:ext uri="{FF2B5EF4-FFF2-40B4-BE49-F238E27FC236}">
              <a16:creationId xmlns:a16="http://schemas.microsoft.com/office/drawing/2014/main" id="{F1068E68-E2A9-4822-8613-80356B9F3F82}"/>
            </a:ext>
          </a:extLst>
        </xdr:cNvPr>
        <xdr:cNvSpPr txBox="1"/>
      </xdr:nvSpPr>
      <xdr:spPr>
        <a:xfrm>
          <a:off x="8686800" y="85286850"/>
          <a:ext cx="685800" cy="4610100"/>
        </a:xfrm>
        <a:prstGeom prst="rect">
          <a:avLst/>
        </a:prstGeom>
        <a:solidFill>
          <a:schemeClr val="bg1"/>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1">
              <a:solidFill>
                <a:schemeClr val="bg1">
                  <a:lumMod val="75000"/>
                </a:schemeClr>
              </a:solidFill>
              <a:latin typeface="+mn-lt"/>
              <a:ea typeface="+mn-ea"/>
              <a:cs typeface="+mn-cs"/>
            </a:rPr>
            <a:t>CLICK</a:t>
          </a:r>
          <a:r>
            <a:rPr lang="en-GB" sz="1000" b="1" baseline="0">
              <a:solidFill>
                <a:schemeClr val="bg1">
                  <a:lumMod val="75000"/>
                </a:schemeClr>
              </a:solidFill>
              <a:latin typeface="+mn-lt"/>
              <a:ea typeface="+mn-ea"/>
              <a:cs typeface="+mn-cs"/>
            </a:rPr>
            <a:t> </a:t>
          </a:r>
          <a:r>
            <a:rPr lang="en-GB" sz="1000" b="1">
              <a:solidFill>
                <a:schemeClr val="bg1">
                  <a:lumMod val="75000"/>
                </a:schemeClr>
              </a:solidFill>
              <a:latin typeface="+mn-lt"/>
              <a:ea typeface="+mn-ea"/>
              <a:cs typeface="+mn-cs"/>
            </a:rPr>
            <a:t>TO MOVE ACTIVE DISPLAY AREA HERE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73</xdr:col>
      <xdr:colOff>33581</xdr:colOff>
      <xdr:row>10</xdr:row>
      <xdr:rowOff>4789</xdr:rowOff>
    </xdr:from>
    <xdr:to>
      <xdr:col>76</xdr:col>
      <xdr:colOff>228599</xdr:colOff>
      <xdr:row>12</xdr:row>
      <xdr:rowOff>89689</xdr:rowOff>
    </xdr:to>
    <xdr:grpSp>
      <xdr:nvGrpSpPr>
        <xdr:cNvPr id="40" name="Group 39">
          <a:extLst>
            <a:ext uri="{FF2B5EF4-FFF2-40B4-BE49-F238E27FC236}">
              <a16:creationId xmlns:a16="http://schemas.microsoft.com/office/drawing/2014/main" id="{5F755F2A-2B2B-EFE8-2FD9-257AD9CBF824}"/>
            </a:ext>
          </a:extLst>
        </xdr:cNvPr>
        <xdr:cNvGrpSpPr/>
      </xdr:nvGrpSpPr>
      <xdr:grpSpPr>
        <a:xfrm>
          <a:off x="16721381" y="2100289"/>
          <a:ext cx="880818" cy="504000"/>
          <a:chOff x="16721381" y="2100289"/>
          <a:chExt cx="880818" cy="504000"/>
        </a:xfrm>
      </xdr:grpSpPr>
      <xdr:cxnSp macro="">
        <xdr:nvCxnSpPr>
          <xdr:cNvPr id="128" name="Straight Connector 127">
            <a:extLst>
              <a:ext uri="{FF2B5EF4-FFF2-40B4-BE49-F238E27FC236}">
                <a16:creationId xmlns:a16="http://schemas.microsoft.com/office/drawing/2014/main" id="{02F5E260-B43B-4F69-9FA1-9D4349568735}"/>
              </a:ext>
            </a:extLst>
          </xdr:cNvPr>
          <xdr:cNvCxnSpPr>
            <a:cxnSpLocks/>
            <a:stCxn id="130" idx="6"/>
            <a:endCxn id="129" idx="2"/>
          </xdr:cNvCxnSpPr>
        </xdr:nvCxnSpPr>
        <xdr:spPr>
          <a:xfrm flipV="1">
            <a:off x="16901381" y="2352289"/>
            <a:ext cx="196818" cy="3012"/>
          </a:xfrm>
          <a:prstGeom prst="line">
            <a:avLst/>
          </a:prstGeom>
          <a:ln w="12700">
            <a:solidFill>
              <a:srgbClr val="00B050"/>
            </a:solidFill>
          </a:ln>
        </xdr:spPr>
        <xdr:style>
          <a:lnRef idx="1">
            <a:schemeClr val="accent1"/>
          </a:lnRef>
          <a:fillRef idx="0">
            <a:schemeClr val="accent1"/>
          </a:fillRef>
          <a:effectRef idx="0">
            <a:schemeClr val="accent1"/>
          </a:effectRef>
          <a:fontRef idx="minor">
            <a:schemeClr val="tx1"/>
          </a:fontRef>
        </xdr:style>
      </xdr:cxnSp>
      <xdr:sp macro="" textlink="" fLocksText="0">
        <xdr:nvSpPr>
          <xdr:cNvPr id="129" name="Flowchart: Connector 128">
            <a:extLst>
              <a:ext uri="{FF2B5EF4-FFF2-40B4-BE49-F238E27FC236}">
                <a16:creationId xmlns:a16="http://schemas.microsoft.com/office/drawing/2014/main" id="{E0B6F5FC-0541-4F1F-A5C2-D750695B6B03}"/>
              </a:ext>
            </a:extLst>
          </xdr:cNvPr>
          <xdr:cNvSpPr>
            <a:spLocks noChangeAspect="1"/>
          </xdr:cNvSpPr>
        </xdr:nvSpPr>
        <xdr:spPr>
          <a:xfrm>
            <a:off x="17098199" y="2100289"/>
            <a:ext cx="504000" cy="504000"/>
          </a:xfrm>
          <a:prstGeom prst="flowChartConnector">
            <a:avLst/>
          </a:prstGeom>
          <a:solidFill>
            <a:srgbClr val="00B050">
              <a:alpha val="50196"/>
            </a:srgbClr>
          </a:solidFill>
          <a:ln w="1270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GB" sz="800" b="1" baseline="0">
              <a:solidFill>
                <a:schemeClr val="bg1"/>
              </a:solidFill>
              <a:effectLst/>
            </a:endParaRPr>
          </a:p>
        </xdr:txBody>
      </xdr:sp>
      <xdr:sp macro="" textlink="">
        <xdr:nvSpPr>
          <xdr:cNvPr id="130" name="Flowchart: Connector 129">
            <a:extLst>
              <a:ext uri="{FF2B5EF4-FFF2-40B4-BE49-F238E27FC236}">
                <a16:creationId xmlns:a16="http://schemas.microsoft.com/office/drawing/2014/main" id="{3FAD48B2-A57F-4D42-86EF-8029CC251CEC}"/>
              </a:ext>
            </a:extLst>
          </xdr:cNvPr>
          <xdr:cNvSpPr>
            <a:spLocks noChangeAspect="1"/>
          </xdr:cNvSpPr>
        </xdr:nvSpPr>
        <xdr:spPr>
          <a:xfrm>
            <a:off x="16721381" y="2265301"/>
            <a:ext cx="180000" cy="180000"/>
          </a:xfrm>
          <a:prstGeom prst="flowChartConnector">
            <a:avLst/>
          </a:prstGeom>
          <a:solidFill>
            <a:srgbClr val="00B050">
              <a:alpha val="50196"/>
            </a:srgbClr>
          </a:solidFill>
          <a:ln w="9525">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GB" sz="800" b="0">
              <a:solidFill>
                <a:schemeClr val="bg1"/>
              </a:solidFill>
              <a:effectLst/>
            </a:endParaRPr>
          </a:p>
        </xdr:txBody>
      </xdr:sp>
    </xdr:grpSp>
    <xdr:clientData fLocksWithSheet="0"/>
  </xdr:twoCellAnchor>
  <xdr:twoCellAnchor>
    <xdr:from>
      <xdr:col>73</xdr:col>
      <xdr:colOff>33581</xdr:colOff>
      <xdr:row>13</xdr:row>
      <xdr:rowOff>181779</xdr:rowOff>
    </xdr:from>
    <xdr:to>
      <xdr:col>76</xdr:col>
      <xdr:colOff>228599</xdr:colOff>
      <xdr:row>16</xdr:row>
      <xdr:rowOff>57129</xdr:rowOff>
    </xdr:to>
    <xdr:grpSp>
      <xdr:nvGrpSpPr>
        <xdr:cNvPr id="41" name="Group 40">
          <a:extLst>
            <a:ext uri="{FF2B5EF4-FFF2-40B4-BE49-F238E27FC236}">
              <a16:creationId xmlns:a16="http://schemas.microsoft.com/office/drawing/2014/main" id="{2DAB97F5-5041-409F-1B1A-5CE94565006F}"/>
            </a:ext>
          </a:extLst>
        </xdr:cNvPr>
        <xdr:cNvGrpSpPr/>
      </xdr:nvGrpSpPr>
      <xdr:grpSpPr>
        <a:xfrm>
          <a:off x="16721381" y="2905929"/>
          <a:ext cx="880818" cy="504000"/>
          <a:chOff x="16721381" y="2905929"/>
          <a:chExt cx="880818" cy="504000"/>
        </a:xfrm>
      </xdr:grpSpPr>
      <xdr:cxnSp macro="">
        <xdr:nvCxnSpPr>
          <xdr:cNvPr id="137" name="Straight Connector 136">
            <a:extLst>
              <a:ext uri="{FF2B5EF4-FFF2-40B4-BE49-F238E27FC236}">
                <a16:creationId xmlns:a16="http://schemas.microsoft.com/office/drawing/2014/main" id="{320AC9A6-7145-479E-AFF8-C65CB2C7985D}"/>
              </a:ext>
            </a:extLst>
          </xdr:cNvPr>
          <xdr:cNvCxnSpPr>
            <a:cxnSpLocks/>
            <a:stCxn id="139" idx="6"/>
            <a:endCxn id="138" idx="2"/>
          </xdr:cNvCxnSpPr>
        </xdr:nvCxnSpPr>
        <xdr:spPr>
          <a:xfrm>
            <a:off x="16901381" y="3154089"/>
            <a:ext cx="196818" cy="3840"/>
          </a:xfrm>
          <a:prstGeom prst="line">
            <a:avLst/>
          </a:prstGeom>
          <a:ln w="12700">
            <a:solidFill>
              <a:srgbClr val="FFC000"/>
            </a:solidFill>
          </a:ln>
        </xdr:spPr>
        <xdr:style>
          <a:lnRef idx="1">
            <a:schemeClr val="accent1"/>
          </a:lnRef>
          <a:fillRef idx="0">
            <a:schemeClr val="accent1"/>
          </a:fillRef>
          <a:effectRef idx="0">
            <a:schemeClr val="accent1"/>
          </a:effectRef>
          <a:fontRef idx="minor">
            <a:schemeClr val="tx1"/>
          </a:fontRef>
        </xdr:style>
      </xdr:cxnSp>
      <xdr:sp macro="" textlink="" fLocksText="0">
        <xdr:nvSpPr>
          <xdr:cNvPr id="138" name="Flowchart: Connector 137">
            <a:extLst>
              <a:ext uri="{FF2B5EF4-FFF2-40B4-BE49-F238E27FC236}">
                <a16:creationId xmlns:a16="http://schemas.microsoft.com/office/drawing/2014/main" id="{9A2BAFDA-8051-4FAA-8D66-F84CE0F7D110}"/>
              </a:ext>
            </a:extLst>
          </xdr:cNvPr>
          <xdr:cNvSpPr>
            <a:spLocks noChangeAspect="1"/>
          </xdr:cNvSpPr>
        </xdr:nvSpPr>
        <xdr:spPr>
          <a:xfrm>
            <a:off x="17098199" y="2905929"/>
            <a:ext cx="504000" cy="504000"/>
          </a:xfrm>
          <a:prstGeom prst="flowChartConnector">
            <a:avLst/>
          </a:prstGeom>
          <a:solidFill>
            <a:srgbClr val="FFC000">
              <a:alpha val="50196"/>
            </a:srgbClr>
          </a:solidFill>
          <a:ln w="1270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GB" sz="800" b="1" baseline="0">
              <a:solidFill>
                <a:schemeClr val="bg1"/>
              </a:solidFill>
              <a:effectLst/>
            </a:endParaRPr>
          </a:p>
        </xdr:txBody>
      </xdr:sp>
      <xdr:sp macro="" textlink="">
        <xdr:nvSpPr>
          <xdr:cNvPr id="139" name="Flowchart: Connector 138">
            <a:extLst>
              <a:ext uri="{FF2B5EF4-FFF2-40B4-BE49-F238E27FC236}">
                <a16:creationId xmlns:a16="http://schemas.microsoft.com/office/drawing/2014/main" id="{6AF5CDDC-9243-438B-9B17-AACB5E6A4DC1}"/>
              </a:ext>
            </a:extLst>
          </xdr:cNvPr>
          <xdr:cNvSpPr>
            <a:spLocks noChangeAspect="1"/>
          </xdr:cNvSpPr>
        </xdr:nvSpPr>
        <xdr:spPr>
          <a:xfrm>
            <a:off x="16721381" y="3064089"/>
            <a:ext cx="180000" cy="180000"/>
          </a:xfrm>
          <a:prstGeom prst="flowChartConnector">
            <a:avLst/>
          </a:prstGeom>
          <a:solidFill>
            <a:srgbClr val="FFC000">
              <a:alpha val="50196"/>
            </a:srgbClr>
          </a:solidFill>
          <a:ln w="9525">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GB" sz="800" b="0">
              <a:solidFill>
                <a:schemeClr val="bg1"/>
              </a:solidFill>
              <a:effectLst/>
            </a:endParaRPr>
          </a:p>
        </xdr:txBody>
      </xdr:sp>
    </xdr:grpSp>
    <xdr:clientData fLocksWithSheet="0"/>
  </xdr:twoCellAnchor>
  <xdr:twoCellAnchor>
    <xdr:from>
      <xdr:col>73</xdr:col>
      <xdr:colOff>33581</xdr:colOff>
      <xdr:row>17</xdr:row>
      <xdr:rowOff>149219</xdr:rowOff>
    </xdr:from>
    <xdr:to>
      <xdr:col>76</xdr:col>
      <xdr:colOff>228599</xdr:colOff>
      <xdr:row>20</xdr:row>
      <xdr:rowOff>24569</xdr:rowOff>
    </xdr:to>
    <xdr:grpSp>
      <xdr:nvGrpSpPr>
        <xdr:cNvPr id="42" name="Group 41">
          <a:extLst>
            <a:ext uri="{FF2B5EF4-FFF2-40B4-BE49-F238E27FC236}">
              <a16:creationId xmlns:a16="http://schemas.microsoft.com/office/drawing/2014/main" id="{7E9CB31C-17BF-9C95-7975-104FD08897BC}"/>
            </a:ext>
          </a:extLst>
        </xdr:cNvPr>
        <xdr:cNvGrpSpPr/>
      </xdr:nvGrpSpPr>
      <xdr:grpSpPr>
        <a:xfrm>
          <a:off x="16721381" y="3711569"/>
          <a:ext cx="880818" cy="504000"/>
          <a:chOff x="16721381" y="3711569"/>
          <a:chExt cx="880818" cy="504000"/>
        </a:xfrm>
      </xdr:grpSpPr>
      <xdr:cxnSp macro="">
        <xdr:nvCxnSpPr>
          <xdr:cNvPr id="140" name="Straight Connector 139">
            <a:extLst>
              <a:ext uri="{FF2B5EF4-FFF2-40B4-BE49-F238E27FC236}">
                <a16:creationId xmlns:a16="http://schemas.microsoft.com/office/drawing/2014/main" id="{BFDC1CE2-D4C8-465A-B7D8-3E8D09A2DF2B}"/>
              </a:ext>
            </a:extLst>
          </xdr:cNvPr>
          <xdr:cNvCxnSpPr>
            <a:cxnSpLocks/>
            <a:stCxn id="142" idx="6"/>
            <a:endCxn id="141" idx="2"/>
          </xdr:cNvCxnSpPr>
        </xdr:nvCxnSpPr>
        <xdr:spPr>
          <a:xfrm>
            <a:off x="16901381" y="3962402"/>
            <a:ext cx="196818" cy="1167"/>
          </a:xfrm>
          <a:prstGeom prst="line">
            <a:avLst/>
          </a:prstGeom>
          <a:ln w="12700">
            <a:solidFill>
              <a:srgbClr val="FF6600"/>
            </a:solidFill>
          </a:ln>
        </xdr:spPr>
        <xdr:style>
          <a:lnRef idx="1">
            <a:schemeClr val="accent1"/>
          </a:lnRef>
          <a:fillRef idx="0">
            <a:schemeClr val="accent1"/>
          </a:fillRef>
          <a:effectRef idx="0">
            <a:schemeClr val="accent1"/>
          </a:effectRef>
          <a:fontRef idx="minor">
            <a:schemeClr val="tx1"/>
          </a:fontRef>
        </xdr:style>
      </xdr:cxnSp>
      <xdr:sp macro="" textlink="" fLocksText="0">
        <xdr:nvSpPr>
          <xdr:cNvPr id="141" name="Flowchart: Connector 140">
            <a:extLst>
              <a:ext uri="{FF2B5EF4-FFF2-40B4-BE49-F238E27FC236}">
                <a16:creationId xmlns:a16="http://schemas.microsoft.com/office/drawing/2014/main" id="{348B1910-227A-4BF3-8D57-D8560729AE19}"/>
              </a:ext>
            </a:extLst>
          </xdr:cNvPr>
          <xdr:cNvSpPr>
            <a:spLocks noChangeAspect="1"/>
          </xdr:cNvSpPr>
        </xdr:nvSpPr>
        <xdr:spPr>
          <a:xfrm>
            <a:off x="17098199" y="3711569"/>
            <a:ext cx="504000" cy="504000"/>
          </a:xfrm>
          <a:prstGeom prst="flowChartConnector">
            <a:avLst/>
          </a:prstGeom>
          <a:solidFill>
            <a:srgbClr val="FF6600">
              <a:alpha val="50196"/>
            </a:srgbClr>
          </a:solidFill>
          <a:ln w="12700">
            <a:solidFill>
              <a:srgbClr val="FF66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GB" sz="800" b="1" baseline="0">
              <a:solidFill>
                <a:schemeClr val="bg1"/>
              </a:solidFill>
              <a:effectLst/>
            </a:endParaRPr>
          </a:p>
        </xdr:txBody>
      </xdr:sp>
      <xdr:sp macro="" textlink="">
        <xdr:nvSpPr>
          <xdr:cNvPr id="142" name="Flowchart: Connector 141">
            <a:extLst>
              <a:ext uri="{FF2B5EF4-FFF2-40B4-BE49-F238E27FC236}">
                <a16:creationId xmlns:a16="http://schemas.microsoft.com/office/drawing/2014/main" id="{5AEF5D52-532A-4A96-A9B8-23678F134B9D}"/>
              </a:ext>
            </a:extLst>
          </xdr:cNvPr>
          <xdr:cNvSpPr>
            <a:spLocks noChangeAspect="1"/>
          </xdr:cNvSpPr>
        </xdr:nvSpPr>
        <xdr:spPr>
          <a:xfrm>
            <a:off x="16721381" y="3872402"/>
            <a:ext cx="180000" cy="180000"/>
          </a:xfrm>
          <a:prstGeom prst="flowChartConnector">
            <a:avLst/>
          </a:prstGeom>
          <a:solidFill>
            <a:srgbClr val="FF6600">
              <a:alpha val="50196"/>
            </a:srgbClr>
          </a:solidFill>
          <a:ln w="9525">
            <a:solidFill>
              <a:srgbClr val="FF66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GB" sz="800" b="0">
              <a:solidFill>
                <a:schemeClr val="bg1"/>
              </a:solidFill>
              <a:effectLst/>
            </a:endParaRPr>
          </a:p>
        </xdr:txBody>
      </xdr:sp>
    </xdr:grpSp>
    <xdr:clientData fLocksWithSheet="0"/>
  </xdr:twoCellAnchor>
  <xdr:twoCellAnchor>
    <xdr:from>
      <xdr:col>73</xdr:col>
      <xdr:colOff>33581</xdr:colOff>
      <xdr:row>21</xdr:row>
      <xdr:rowOff>116659</xdr:rowOff>
    </xdr:from>
    <xdr:to>
      <xdr:col>76</xdr:col>
      <xdr:colOff>228599</xdr:colOff>
      <xdr:row>23</xdr:row>
      <xdr:rowOff>201559</xdr:rowOff>
    </xdr:to>
    <xdr:grpSp>
      <xdr:nvGrpSpPr>
        <xdr:cNvPr id="43" name="Group 42">
          <a:extLst>
            <a:ext uri="{FF2B5EF4-FFF2-40B4-BE49-F238E27FC236}">
              <a16:creationId xmlns:a16="http://schemas.microsoft.com/office/drawing/2014/main" id="{C4B74DED-4F8E-75EC-5667-B64EB3B417BF}"/>
            </a:ext>
          </a:extLst>
        </xdr:cNvPr>
        <xdr:cNvGrpSpPr/>
      </xdr:nvGrpSpPr>
      <xdr:grpSpPr>
        <a:xfrm>
          <a:off x="16721381" y="4517209"/>
          <a:ext cx="880818" cy="504000"/>
          <a:chOff x="16721381" y="4517209"/>
          <a:chExt cx="880818" cy="504000"/>
        </a:xfrm>
      </xdr:grpSpPr>
      <xdr:cxnSp macro="">
        <xdr:nvCxnSpPr>
          <xdr:cNvPr id="143" name="Straight Connector 142">
            <a:extLst>
              <a:ext uri="{FF2B5EF4-FFF2-40B4-BE49-F238E27FC236}">
                <a16:creationId xmlns:a16="http://schemas.microsoft.com/office/drawing/2014/main" id="{89416913-4A6D-4376-A60F-4172FEFF8FCA}"/>
              </a:ext>
            </a:extLst>
          </xdr:cNvPr>
          <xdr:cNvCxnSpPr>
            <a:cxnSpLocks/>
            <a:stCxn id="145" idx="6"/>
            <a:endCxn id="144" idx="2"/>
          </xdr:cNvCxnSpPr>
        </xdr:nvCxnSpPr>
        <xdr:spPr>
          <a:xfrm flipV="1">
            <a:off x="16901381" y="4769209"/>
            <a:ext cx="196818" cy="1506"/>
          </a:xfrm>
          <a:prstGeom prst="line">
            <a:avLst/>
          </a:prstGeom>
          <a:ln w="12700">
            <a:solidFill>
              <a:srgbClr val="C00000"/>
            </a:solidFill>
          </a:ln>
        </xdr:spPr>
        <xdr:style>
          <a:lnRef idx="1">
            <a:schemeClr val="accent1"/>
          </a:lnRef>
          <a:fillRef idx="0">
            <a:schemeClr val="accent1"/>
          </a:fillRef>
          <a:effectRef idx="0">
            <a:schemeClr val="accent1"/>
          </a:effectRef>
          <a:fontRef idx="minor">
            <a:schemeClr val="tx1"/>
          </a:fontRef>
        </xdr:style>
      </xdr:cxnSp>
      <xdr:sp macro="" textlink="" fLocksText="0">
        <xdr:nvSpPr>
          <xdr:cNvPr id="144" name="Flowchart: Connector 143">
            <a:extLst>
              <a:ext uri="{FF2B5EF4-FFF2-40B4-BE49-F238E27FC236}">
                <a16:creationId xmlns:a16="http://schemas.microsoft.com/office/drawing/2014/main" id="{E30E9DBC-7365-4CB3-9A16-F9BDC24DA131}"/>
              </a:ext>
            </a:extLst>
          </xdr:cNvPr>
          <xdr:cNvSpPr>
            <a:spLocks noChangeAspect="1"/>
          </xdr:cNvSpPr>
        </xdr:nvSpPr>
        <xdr:spPr>
          <a:xfrm>
            <a:off x="17098199" y="4517209"/>
            <a:ext cx="504000" cy="504000"/>
          </a:xfrm>
          <a:prstGeom prst="flowChartConnector">
            <a:avLst/>
          </a:prstGeom>
          <a:solidFill>
            <a:srgbClr val="C00000">
              <a:alpha val="50196"/>
            </a:srgbClr>
          </a:solidFill>
          <a:ln w="127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GB" sz="800" b="1" baseline="0">
              <a:solidFill>
                <a:schemeClr val="bg1"/>
              </a:solidFill>
              <a:effectLst/>
            </a:endParaRPr>
          </a:p>
        </xdr:txBody>
      </xdr:sp>
      <xdr:sp macro="" textlink="">
        <xdr:nvSpPr>
          <xdr:cNvPr id="145" name="Flowchart: Connector 144">
            <a:extLst>
              <a:ext uri="{FF2B5EF4-FFF2-40B4-BE49-F238E27FC236}">
                <a16:creationId xmlns:a16="http://schemas.microsoft.com/office/drawing/2014/main" id="{2E874727-8B4C-47B8-93CA-4FA565F24BB5}"/>
              </a:ext>
            </a:extLst>
          </xdr:cNvPr>
          <xdr:cNvSpPr>
            <a:spLocks noChangeAspect="1"/>
          </xdr:cNvSpPr>
        </xdr:nvSpPr>
        <xdr:spPr>
          <a:xfrm>
            <a:off x="16721381" y="4680715"/>
            <a:ext cx="180000" cy="180000"/>
          </a:xfrm>
          <a:prstGeom prst="flowChartConnector">
            <a:avLst/>
          </a:prstGeom>
          <a:solidFill>
            <a:srgbClr val="C00000">
              <a:alpha val="50196"/>
            </a:srgbClr>
          </a:solidFill>
          <a:ln w="952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GB" sz="800" b="0">
              <a:solidFill>
                <a:schemeClr val="bg1"/>
              </a:solidFill>
              <a:effectLst/>
            </a:endParaRPr>
          </a:p>
        </xdr:txBody>
      </xdr:sp>
    </xdr:grpSp>
    <xdr:clientData fLocksWithSheet="0"/>
  </xdr:twoCellAnchor>
  <xdr:twoCellAnchor>
    <xdr:from>
      <xdr:col>73</xdr:col>
      <xdr:colOff>33581</xdr:colOff>
      <xdr:row>25</xdr:row>
      <xdr:rowOff>84099</xdr:rowOff>
    </xdr:from>
    <xdr:to>
      <xdr:col>76</xdr:col>
      <xdr:colOff>228599</xdr:colOff>
      <xdr:row>27</xdr:row>
      <xdr:rowOff>168999</xdr:rowOff>
    </xdr:to>
    <xdr:grpSp>
      <xdr:nvGrpSpPr>
        <xdr:cNvPr id="44" name="Group 43">
          <a:extLst>
            <a:ext uri="{FF2B5EF4-FFF2-40B4-BE49-F238E27FC236}">
              <a16:creationId xmlns:a16="http://schemas.microsoft.com/office/drawing/2014/main" id="{41A08FCD-8286-8996-33C7-F14A67E00255}"/>
            </a:ext>
          </a:extLst>
        </xdr:cNvPr>
        <xdr:cNvGrpSpPr/>
      </xdr:nvGrpSpPr>
      <xdr:grpSpPr>
        <a:xfrm>
          <a:off x="16721381" y="5322849"/>
          <a:ext cx="880818" cy="504000"/>
          <a:chOff x="16721381" y="5322849"/>
          <a:chExt cx="880818" cy="504000"/>
        </a:xfrm>
      </xdr:grpSpPr>
      <xdr:cxnSp macro="">
        <xdr:nvCxnSpPr>
          <xdr:cNvPr id="146" name="Straight Connector 145">
            <a:extLst>
              <a:ext uri="{FF2B5EF4-FFF2-40B4-BE49-F238E27FC236}">
                <a16:creationId xmlns:a16="http://schemas.microsoft.com/office/drawing/2014/main" id="{66BC5268-D3AE-4776-9AEE-F8C4B4830689}"/>
              </a:ext>
            </a:extLst>
          </xdr:cNvPr>
          <xdr:cNvCxnSpPr>
            <a:cxnSpLocks/>
            <a:stCxn id="148" idx="6"/>
            <a:endCxn id="147" idx="2"/>
          </xdr:cNvCxnSpPr>
        </xdr:nvCxnSpPr>
        <xdr:spPr>
          <a:xfrm flipV="1">
            <a:off x="16901381" y="5574849"/>
            <a:ext cx="196818" cy="4179"/>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fLocksText="0">
        <xdr:nvSpPr>
          <xdr:cNvPr id="147" name="Flowchart: Connector 146">
            <a:extLst>
              <a:ext uri="{FF2B5EF4-FFF2-40B4-BE49-F238E27FC236}">
                <a16:creationId xmlns:a16="http://schemas.microsoft.com/office/drawing/2014/main" id="{E6485526-438E-407E-B5D8-E517E6A3E574}"/>
              </a:ext>
            </a:extLst>
          </xdr:cNvPr>
          <xdr:cNvSpPr>
            <a:spLocks noChangeAspect="1"/>
          </xdr:cNvSpPr>
        </xdr:nvSpPr>
        <xdr:spPr>
          <a:xfrm>
            <a:off x="17098199" y="5322849"/>
            <a:ext cx="504000" cy="504000"/>
          </a:xfrm>
          <a:prstGeom prst="flowChartConnector">
            <a:avLst/>
          </a:prstGeom>
          <a:solidFill>
            <a:srgbClr val="FF0000">
              <a:alpha val="50196"/>
            </a:srgbClr>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GB" sz="800" b="1" baseline="0">
              <a:solidFill>
                <a:schemeClr val="bg1"/>
              </a:solidFill>
              <a:effectLst/>
            </a:endParaRPr>
          </a:p>
        </xdr:txBody>
      </xdr:sp>
      <xdr:sp macro="" textlink="">
        <xdr:nvSpPr>
          <xdr:cNvPr id="148" name="Flowchart: Connector 147">
            <a:extLst>
              <a:ext uri="{FF2B5EF4-FFF2-40B4-BE49-F238E27FC236}">
                <a16:creationId xmlns:a16="http://schemas.microsoft.com/office/drawing/2014/main" id="{0F8743BC-7381-4D9D-9EA8-2F569BB8835D}"/>
              </a:ext>
            </a:extLst>
          </xdr:cNvPr>
          <xdr:cNvSpPr>
            <a:spLocks noChangeAspect="1"/>
          </xdr:cNvSpPr>
        </xdr:nvSpPr>
        <xdr:spPr>
          <a:xfrm>
            <a:off x="16721381" y="5489028"/>
            <a:ext cx="180000" cy="180000"/>
          </a:xfrm>
          <a:prstGeom prst="flowChartConnector">
            <a:avLst/>
          </a:prstGeom>
          <a:solidFill>
            <a:srgbClr val="FF0000">
              <a:alpha val="50196"/>
            </a:srgbClr>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GB" sz="800" b="0">
              <a:solidFill>
                <a:schemeClr val="bg1"/>
              </a:solidFill>
              <a:effectLst/>
            </a:endParaRPr>
          </a:p>
        </xdr:txBody>
      </xdr:sp>
    </xdr:grpSp>
    <xdr:clientData fLocksWithSheet="0"/>
  </xdr:twoCellAnchor>
  <xdr:twoCellAnchor>
    <xdr:from>
      <xdr:col>73</xdr:col>
      <xdr:colOff>33581</xdr:colOff>
      <xdr:row>29</xdr:row>
      <xdr:rowOff>51539</xdr:rowOff>
    </xdr:from>
    <xdr:to>
      <xdr:col>76</xdr:col>
      <xdr:colOff>228599</xdr:colOff>
      <xdr:row>31</xdr:row>
      <xdr:rowOff>136439</xdr:rowOff>
    </xdr:to>
    <xdr:grpSp>
      <xdr:nvGrpSpPr>
        <xdr:cNvPr id="45" name="Group 44">
          <a:extLst>
            <a:ext uri="{FF2B5EF4-FFF2-40B4-BE49-F238E27FC236}">
              <a16:creationId xmlns:a16="http://schemas.microsoft.com/office/drawing/2014/main" id="{20FCE398-908F-874A-0B00-B9CF726A52EF}"/>
            </a:ext>
          </a:extLst>
        </xdr:cNvPr>
        <xdr:cNvGrpSpPr/>
      </xdr:nvGrpSpPr>
      <xdr:grpSpPr>
        <a:xfrm>
          <a:off x="16721381" y="6128489"/>
          <a:ext cx="880818" cy="504000"/>
          <a:chOff x="16721381" y="6128489"/>
          <a:chExt cx="880818" cy="504000"/>
        </a:xfrm>
      </xdr:grpSpPr>
      <xdr:cxnSp macro="">
        <xdr:nvCxnSpPr>
          <xdr:cNvPr id="149" name="Straight Connector 148">
            <a:extLst>
              <a:ext uri="{FF2B5EF4-FFF2-40B4-BE49-F238E27FC236}">
                <a16:creationId xmlns:a16="http://schemas.microsoft.com/office/drawing/2014/main" id="{3A273D67-F187-42B6-9204-44B276FD82AF}"/>
              </a:ext>
            </a:extLst>
          </xdr:cNvPr>
          <xdr:cNvCxnSpPr>
            <a:cxnSpLocks/>
            <a:stCxn id="151" idx="6"/>
            <a:endCxn id="150" idx="2"/>
          </xdr:cNvCxnSpPr>
        </xdr:nvCxnSpPr>
        <xdr:spPr>
          <a:xfrm>
            <a:off x="16901381" y="6377816"/>
            <a:ext cx="196818" cy="2673"/>
          </a:xfrm>
          <a:prstGeom prst="line">
            <a:avLst/>
          </a:prstGeom>
          <a:ln w="12700">
            <a:solidFill>
              <a:srgbClr val="FF00FF"/>
            </a:solidFill>
          </a:ln>
        </xdr:spPr>
        <xdr:style>
          <a:lnRef idx="1">
            <a:schemeClr val="accent1"/>
          </a:lnRef>
          <a:fillRef idx="0">
            <a:schemeClr val="accent1"/>
          </a:fillRef>
          <a:effectRef idx="0">
            <a:schemeClr val="accent1"/>
          </a:effectRef>
          <a:fontRef idx="minor">
            <a:schemeClr val="tx1"/>
          </a:fontRef>
        </xdr:style>
      </xdr:cxnSp>
      <xdr:sp macro="" textlink="" fLocksText="0">
        <xdr:nvSpPr>
          <xdr:cNvPr id="150" name="Flowchart: Connector 149">
            <a:extLst>
              <a:ext uri="{FF2B5EF4-FFF2-40B4-BE49-F238E27FC236}">
                <a16:creationId xmlns:a16="http://schemas.microsoft.com/office/drawing/2014/main" id="{98232180-1FC5-4D05-AEF3-BBA9F104BDF7}"/>
              </a:ext>
            </a:extLst>
          </xdr:cNvPr>
          <xdr:cNvSpPr>
            <a:spLocks noChangeAspect="1"/>
          </xdr:cNvSpPr>
        </xdr:nvSpPr>
        <xdr:spPr>
          <a:xfrm>
            <a:off x="17098199" y="6128489"/>
            <a:ext cx="504000" cy="504000"/>
          </a:xfrm>
          <a:prstGeom prst="flowChartConnector">
            <a:avLst/>
          </a:prstGeom>
          <a:solidFill>
            <a:srgbClr val="FF00FF">
              <a:alpha val="50196"/>
            </a:srgbClr>
          </a:solidFill>
          <a:ln w="12700">
            <a:solidFill>
              <a:srgbClr val="FF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GB" sz="800" b="1" baseline="0">
              <a:solidFill>
                <a:schemeClr val="bg1"/>
              </a:solidFill>
              <a:effectLst/>
            </a:endParaRPr>
          </a:p>
        </xdr:txBody>
      </xdr:sp>
      <xdr:sp macro="" textlink="">
        <xdr:nvSpPr>
          <xdr:cNvPr id="151" name="Flowchart: Connector 150">
            <a:extLst>
              <a:ext uri="{FF2B5EF4-FFF2-40B4-BE49-F238E27FC236}">
                <a16:creationId xmlns:a16="http://schemas.microsoft.com/office/drawing/2014/main" id="{EB97C655-8A5D-47BA-9667-99B3F22E02AE}"/>
              </a:ext>
            </a:extLst>
          </xdr:cNvPr>
          <xdr:cNvSpPr>
            <a:spLocks noChangeAspect="1"/>
          </xdr:cNvSpPr>
        </xdr:nvSpPr>
        <xdr:spPr>
          <a:xfrm>
            <a:off x="16721381" y="6287816"/>
            <a:ext cx="180000" cy="180000"/>
          </a:xfrm>
          <a:prstGeom prst="flowChartConnector">
            <a:avLst/>
          </a:prstGeom>
          <a:solidFill>
            <a:srgbClr val="FF00FF">
              <a:alpha val="50196"/>
            </a:srgbClr>
          </a:solidFill>
          <a:ln w="9525">
            <a:solidFill>
              <a:srgbClr val="FF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GB" sz="800" b="0">
              <a:solidFill>
                <a:schemeClr val="bg1"/>
              </a:solidFill>
              <a:effectLst/>
            </a:endParaRPr>
          </a:p>
        </xdr:txBody>
      </xdr:sp>
    </xdr:grpSp>
    <xdr:clientData fLocksWithSheet="0"/>
  </xdr:twoCellAnchor>
  <xdr:twoCellAnchor>
    <xdr:from>
      <xdr:col>73</xdr:col>
      <xdr:colOff>33581</xdr:colOff>
      <xdr:row>33</xdr:row>
      <xdr:rowOff>38025</xdr:rowOff>
    </xdr:from>
    <xdr:to>
      <xdr:col>76</xdr:col>
      <xdr:colOff>228599</xdr:colOff>
      <xdr:row>35</xdr:row>
      <xdr:rowOff>122925</xdr:rowOff>
    </xdr:to>
    <xdr:grpSp>
      <xdr:nvGrpSpPr>
        <xdr:cNvPr id="46" name="Group 45">
          <a:extLst>
            <a:ext uri="{FF2B5EF4-FFF2-40B4-BE49-F238E27FC236}">
              <a16:creationId xmlns:a16="http://schemas.microsoft.com/office/drawing/2014/main" id="{6F329BC3-642A-E6F8-4771-6BF713819AC4}"/>
            </a:ext>
          </a:extLst>
        </xdr:cNvPr>
        <xdr:cNvGrpSpPr/>
      </xdr:nvGrpSpPr>
      <xdr:grpSpPr>
        <a:xfrm>
          <a:off x="16721381" y="6953175"/>
          <a:ext cx="880818" cy="504000"/>
          <a:chOff x="16721381" y="6953175"/>
          <a:chExt cx="880818" cy="504000"/>
        </a:xfrm>
      </xdr:grpSpPr>
      <xdr:cxnSp macro="">
        <xdr:nvCxnSpPr>
          <xdr:cNvPr id="155" name="Straight Connector 154">
            <a:extLst>
              <a:ext uri="{FF2B5EF4-FFF2-40B4-BE49-F238E27FC236}">
                <a16:creationId xmlns:a16="http://schemas.microsoft.com/office/drawing/2014/main" id="{CEFFFE84-D7AC-4F1F-8630-BE722B2B4D26}"/>
              </a:ext>
            </a:extLst>
          </xdr:cNvPr>
          <xdr:cNvCxnSpPr>
            <a:cxnSpLocks/>
            <a:stCxn id="157" idx="6"/>
            <a:endCxn id="156" idx="2"/>
          </xdr:cNvCxnSpPr>
        </xdr:nvCxnSpPr>
        <xdr:spPr>
          <a:xfrm flipV="1">
            <a:off x="16901381" y="7205175"/>
            <a:ext cx="196818" cy="1"/>
          </a:xfrm>
          <a:prstGeom prst="line">
            <a:avLst/>
          </a:prstGeom>
          <a:ln w="12700">
            <a:solidFill>
              <a:srgbClr val="9900CC"/>
            </a:solidFill>
          </a:ln>
        </xdr:spPr>
        <xdr:style>
          <a:lnRef idx="1">
            <a:schemeClr val="accent1"/>
          </a:lnRef>
          <a:fillRef idx="0">
            <a:schemeClr val="accent1"/>
          </a:fillRef>
          <a:effectRef idx="0">
            <a:schemeClr val="accent1"/>
          </a:effectRef>
          <a:fontRef idx="minor">
            <a:schemeClr val="tx1"/>
          </a:fontRef>
        </xdr:style>
      </xdr:cxnSp>
      <xdr:sp macro="" textlink="" fLocksText="0">
        <xdr:nvSpPr>
          <xdr:cNvPr id="156" name="Flowchart: Connector 155">
            <a:extLst>
              <a:ext uri="{FF2B5EF4-FFF2-40B4-BE49-F238E27FC236}">
                <a16:creationId xmlns:a16="http://schemas.microsoft.com/office/drawing/2014/main" id="{815162AF-564A-4DBE-99FD-D48EFE078699}"/>
              </a:ext>
            </a:extLst>
          </xdr:cNvPr>
          <xdr:cNvSpPr>
            <a:spLocks noChangeAspect="1"/>
          </xdr:cNvSpPr>
        </xdr:nvSpPr>
        <xdr:spPr>
          <a:xfrm>
            <a:off x="17098199" y="6953175"/>
            <a:ext cx="504000" cy="504000"/>
          </a:xfrm>
          <a:prstGeom prst="flowChartConnector">
            <a:avLst/>
          </a:prstGeom>
          <a:solidFill>
            <a:srgbClr val="9900CC">
              <a:alpha val="49804"/>
            </a:srgbClr>
          </a:solidFill>
          <a:ln w="12700">
            <a:solidFill>
              <a:srgbClr val="9900C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GB" sz="800" b="1" baseline="0">
              <a:solidFill>
                <a:schemeClr val="bg1"/>
              </a:solidFill>
              <a:effectLst/>
            </a:endParaRPr>
          </a:p>
        </xdr:txBody>
      </xdr:sp>
      <xdr:sp macro="" textlink="">
        <xdr:nvSpPr>
          <xdr:cNvPr id="157" name="Flowchart: Connector 156">
            <a:extLst>
              <a:ext uri="{FF2B5EF4-FFF2-40B4-BE49-F238E27FC236}">
                <a16:creationId xmlns:a16="http://schemas.microsoft.com/office/drawing/2014/main" id="{57390EC2-5291-4B7E-BC2A-22CE4F2F5D7C}"/>
              </a:ext>
            </a:extLst>
          </xdr:cNvPr>
          <xdr:cNvSpPr>
            <a:spLocks noChangeAspect="1"/>
          </xdr:cNvSpPr>
        </xdr:nvSpPr>
        <xdr:spPr>
          <a:xfrm>
            <a:off x="16721381" y="7115176"/>
            <a:ext cx="180000" cy="180000"/>
          </a:xfrm>
          <a:prstGeom prst="flowChartConnector">
            <a:avLst/>
          </a:prstGeom>
          <a:solidFill>
            <a:srgbClr val="9900CC">
              <a:alpha val="49804"/>
            </a:srgbClr>
          </a:solidFill>
          <a:ln w="9525">
            <a:solidFill>
              <a:srgbClr val="9900C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GB" sz="800" b="0">
              <a:solidFill>
                <a:schemeClr val="bg1"/>
              </a:solidFill>
              <a:effectLst/>
            </a:endParaRPr>
          </a:p>
        </xdr:txBody>
      </xdr:sp>
    </xdr:grpSp>
    <xdr:clientData fLocksWithSheet="0"/>
  </xdr:twoCellAnchor>
  <xdr:twoCellAnchor>
    <xdr:from>
      <xdr:col>75</xdr:col>
      <xdr:colOff>1</xdr:colOff>
      <xdr:row>71</xdr:row>
      <xdr:rowOff>0</xdr:rowOff>
    </xdr:from>
    <xdr:to>
      <xdr:col>77</xdr:col>
      <xdr:colOff>1</xdr:colOff>
      <xdr:row>73</xdr:row>
      <xdr:rowOff>0</xdr:rowOff>
    </xdr:to>
    <xdr:sp macro="" textlink="" fLocksText="0">
      <xdr:nvSpPr>
        <xdr:cNvPr id="83" name="TextBox 82">
          <a:extLst>
            <a:ext uri="{FF2B5EF4-FFF2-40B4-BE49-F238E27FC236}">
              <a16:creationId xmlns:a16="http://schemas.microsoft.com/office/drawing/2014/main" id="{3FA1DAE7-3027-B21E-3A00-A68E2D01AB84}"/>
            </a:ext>
          </a:extLst>
        </xdr:cNvPr>
        <xdr:cNvSpPr txBox="1"/>
      </xdr:nvSpPr>
      <xdr:spPr>
        <a:xfrm>
          <a:off x="17145001" y="13620750"/>
          <a:ext cx="457200" cy="419100"/>
        </a:xfrm>
        <a:prstGeom prst="rect">
          <a:avLst/>
        </a:prstGeom>
        <a:solidFill>
          <a:srgbClr val="FFFFFF">
            <a:alpha val="50196"/>
          </a:srgb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endParaRPr lang="en-GB" sz="1100">
            <a:solidFill>
              <a:schemeClr val="tx1"/>
            </a:solidFill>
            <a:latin typeface="+mn-lt"/>
            <a:ea typeface="+mn-ea"/>
            <a:cs typeface="+mn-cs"/>
          </a:endParaRPr>
        </a:p>
      </xdr:txBody>
    </xdr:sp>
    <xdr:clientData fLocksWithSheet="0"/>
  </xdr:twoCellAnchor>
  <xdr:twoCellAnchor>
    <xdr:from>
      <xdr:col>72</xdr:col>
      <xdr:colOff>228599</xdr:colOff>
      <xdr:row>71</xdr:row>
      <xdr:rowOff>1</xdr:rowOff>
    </xdr:from>
    <xdr:to>
      <xdr:col>75</xdr:col>
      <xdr:colOff>0</xdr:colOff>
      <xdr:row>73</xdr:row>
      <xdr:rowOff>1</xdr:rowOff>
    </xdr:to>
    <xdr:sp macro="" textlink="" fLocksText="0">
      <xdr:nvSpPr>
        <xdr:cNvPr id="71" name="TextBox 70">
          <a:extLst>
            <a:ext uri="{FF2B5EF4-FFF2-40B4-BE49-F238E27FC236}">
              <a16:creationId xmlns:a16="http://schemas.microsoft.com/office/drawing/2014/main" id="{90D0313A-582B-405D-A656-27218AF56958}"/>
            </a:ext>
          </a:extLst>
        </xdr:cNvPr>
        <xdr:cNvSpPr txBox="1"/>
      </xdr:nvSpPr>
      <xdr:spPr>
        <a:xfrm>
          <a:off x="16687799" y="13620751"/>
          <a:ext cx="457201" cy="419100"/>
        </a:xfrm>
        <a:prstGeom prst="rect">
          <a:avLst/>
        </a:prstGeom>
        <a:solidFill>
          <a:srgbClr val="000000">
            <a:alpha val="80000"/>
          </a:srgb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endParaRPr lang="en-GB" sz="1100">
            <a:solidFill>
              <a:schemeClr val="bg1"/>
            </a:solidFill>
            <a:latin typeface="+mn-lt"/>
            <a:ea typeface="+mn-ea"/>
            <a:cs typeface="+mn-cs"/>
          </a:endParaRPr>
        </a:p>
      </xdr:txBody>
    </xdr:sp>
    <xdr:clientData fLocksWithSheet="0"/>
  </xdr:twoCellAnchor>
  <xdr:twoCellAnchor>
    <xdr:from>
      <xdr:col>40</xdr:col>
      <xdr:colOff>0</xdr:colOff>
      <xdr:row>82</xdr:row>
      <xdr:rowOff>0</xdr:rowOff>
    </xdr:from>
    <xdr:to>
      <xdr:col>58</xdr:col>
      <xdr:colOff>0</xdr:colOff>
      <xdr:row>100</xdr:row>
      <xdr:rowOff>9527</xdr:rowOff>
    </xdr:to>
    <xdr:sp macro="" textlink="" fLocksText="0">
      <xdr:nvSpPr>
        <xdr:cNvPr id="2" name="TextBox 1">
          <a:extLst>
            <a:ext uri="{FF2B5EF4-FFF2-40B4-BE49-F238E27FC236}">
              <a16:creationId xmlns:a16="http://schemas.microsoft.com/office/drawing/2014/main" id="{DED45097-9C5A-42E4-9939-EA4D10ACDB66}"/>
            </a:ext>
          </a:extLst>
        </xdr:cNvPr>
        <xdr:cNvSpPr txBox="1"/>
      </xdr:nvSpPr>
      <xdr:spPr>
        <a:xfrm>
          <a:off x="9144000" y="26612850"/>
          <a:ext cx="4114800" cy="3781427"/>
        </a:xfrm>
        <a:prstGeom prst="rect">
          <a:avLst/>
        </a:prstGeom>
        <a:solidFill>
          <a:srgbClr val="FFFFFF">
            <a:alpha val="50196"/>
          </a:srgbClr>
        </a:solidFill>
        <a:ln w="127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b="1">
              <a:solidFill>
                <a:sysClr val="windowText" lastClr="000000"/>
              </a:solidFill>
              <a:latin typeface="+mn-lt"/>
              <a:ea typeface="+mn-ea"/>
              <a:cs typeface="+mn-cs"/>
            </a:rPr>
            <a:t>Andrew Huberman </a:t>
          </a:r>
        </a:p>
        <a:p>
          <a:pPr marL="0" indent="0"/>
          <a:endParaRPr lang="en-GB" sz="1100" b="1">
            <a:solidFill>
              <a:sysClr val="windowText" lastClr="000000"/>
            </a:solidFill>
            <a:latin typeface="+mn-lt"/>
            <a:ea typeface="+mn-ea"/>
            <a:cs typeface="+mn-cs"/>
          </a:endParaRPr>
        </a:p>
        <a:p>
          <a:pPr marL="0" indent="0"/>
          <a:r>
            <a:rPr lang="en-GB" sz="1100" b="1">
              <a:solidFill>
                <a:sysClr val="windowText" lastClr="000000"/>
              </a:solidFill>
              <a:latin typeface="+mn-lt"/>
              <a:ea typeface="+mn-ea"/>
              <a:cs typeface="+mn-cs"/>
            </a:rPr>
            <a:t>Protocols for better sleep:</a:t>
          </a:r>
        </a:p>
        <a:p>
          <a:pPr marL="0" indent="0"/>
          <a:endParaRPr lang="en-GB" sz="1100" b="0">
            <a:solidFill>
              <a:sysClr val="windowText" lastClr="000000"/>
            </a:solidFill>
            <a:latin typeface="+mn-lt"/>
            <a:ea typeface="+mn-ea"/>
            <a:cs typeface="+mn-cs"/>
          </a:endParaRPr>
        </a:p>
        <a:p>
          <a:pPr marL="0" indent="0"/>
          <a:r>
            <a:rPr lang="en-GB" sz="1100" b="1">
              <a:solidFill>
                <a:sysClr val="windowText" lastClr="000000"/>
              </a:solidFill>
              <a:latin typeface="+mn-lt"/>
              <a:ea typeface="+mn-ea"/>
              <a:cs typeface="+mn-cs"/>
            </a:rPr>
            <a:t>Morning:</a:t>
          </a:r>
        </a:p>
        <a:p>
          <a:pPr marL="171450" indent="-171450">
            <a:buFont typeface="Arial" panose="020B0604020202020204" pitchFamily="34" charset="0"/>
            <a:buChar char="•"/>
          </a:pPr>
          <a:r>
            <a:rPr lang="en-GB" sz="1100" b="0">
              <a:solidFill>
                <a:sysClr val="windowText" lastClr="000000"/>
              </a:solidFill>
              <a:latin typeface="+mn-lt"/>
              <a:ea typeface="+mn-ea"/>
              <a:cs typeface="+mn-cs"/>
            </a:rPr>
            <a:t>sunlight on eyes after waking, outside</a:t>
          </a:r>
        </a:p>
        <a:p>
          <a:pPr marL="171450" indent="-171450">
            <a:buFont typeface="Arial" panose="020B0604020202020204" pitchFamily="34" charset="0"/>
            <a:buChar char="•"/>
          </a:pPr>
          <a:r>
            <a:rPr lang="en-GB" sz="1100" b="0">
              <a:solidFill>
                <a:sysClr val="windowText" lastClr="000000"/>
              </a:solidFill>
              <a:latin typeface="+mn-lt"/>
              <a:ea typeface="+mn-ea"/>
              <a:cs typeface="+mn-cs"/>
            </a:rPr>
            <a:t>do exercise to get you hot</a:t>
          </a:r>
        </a:p>
        <a:p>
          <a:pPr marL="171450" indent="-171450">
            <a:buFont typeface="Arial" panose="020B0604020202020204" pitchFamily="34" charset="0"/>
            <a:buChar char="•"/>
          </a:pPr>
          <a:r>
            <a:rPr lang="en-GB" sz="1100" b="0">
              <a:solidFill>
                <a:sysClr val="windowText" lastClr="000000"/>
              </a:solidFill>
              <a:latin typeface="+mn-lt"/>
              <a:ea typeface="+mn-ea"/>
              <a:cs typeface="+mn-cs"/>
            </a:rPr>
            <a:t>morning is optimal time for exercise performance</a:t>
          </a:r>
        </a:p>
        <a:p>
          <a:pPr marL="171450" indent="-171450">
            <a:buFont typeface="Arial" panose="020B0604020202020204" pitchFamily="34" charset="0"/>
            <a:buChar char="•"/>
          </a:pPr>
          <a:r>
            <a:rPr lang="en-GB" sz="1100" b="0">
              <a:solidFill>
                <a:sysClr val="windowText" lastClr="000000"/>
              </a:solidFill>
              <a:latin typeface="+mn-lt"/>
              <a:ea typeface="+mn-ea"/>
              <a:cs typeface="+mn-cs"/>
            </a:rPr>
            <a:t>have a cold shower</a:t>
          </a:r>
        </a:p>
        <a:p>
          <a:pPr marL="171450" indent="-171450">
            <a:buFont typeface="Arial" panose="020B0604020202020204" pitchFamily="34" charset="0"/>
            <a:buChar char="•"/>
          </a:pPr>
          <a:r>
            <a:rPr lang="en-GB" sz="1100" b="0">
              <a:solidFill>
                <a:sysClr val="windowText" lastClr="000000"/>
              </a:solidFill>
              <a:latin typeface="+mn-lt"/>
              <a:ea typeface="+mn-ea"/>
              <a:cs typeface="+mn-cs"/>
            </a:rPr>
            <a:t>no coffee first two hours</a:t>
          </a:r>
        </a:p>
        <a:p>
          <a:pPr marL="171450" indent="-171450">
            <a:buFont typeface="Arial" panose="020B0604020202020204" pitchFamily="34" charset="0"/>
            <a:buChar char="•"/>
          </a:pPr>
          <a:r>
            <a:rPr lang="en-GB" sz="1100" b="0">
              <a:solidFill>
                <a:sysClr val="windowText" lastClr="000000"/>
              </a:solidFill>
              <a:latin typeface="+mn-lt"/>
              <a:ea typeface="+mn-ea"/>
              <a:cs typeface="+mn-cs"/>
            </a:rPr>
            <a:t>eat breakfast later, 10 or 11 am</a:t>
          </a:r>
        </a:p>
        <a:p>
          <a:pPr marL="0" indent="0"/>
          <a:endParaRPr lang="en-GB" sz="1100" b="0">
            <a:solidFill>
              <a:sysClr val="windowText" lastClr="000000"/>
            </a:solidFill>
            <a:latin typeface="+mn-lt"/>
            <a:ea typeface="+mn-ea"/>
            <a:cs typeface="+mn-cs"/>
          </a:endParaRPr>
        </a:p>
        <a:p>
          <a:pPr marL="0" indent="0"/>
          <a:r>
            <a:rPr lang="en-GB" sz="1100" b="1">
              <a:solidFill>
                <a:sysClr val="windowText" lastClr="000000"/>
              </a:solidFill>
              <a:latin typeface="+mn-lt"/>
              <a:ea typeface="+mn-ea"/>
              <a:cs typeface="+mn-cs"/>
            </a:rPr>
            <a:t>Evening:</a:t>
          </a:r>
        </a:p>
        <a:p>
          <a:pPr marL="171450" indent="-171450">
            <a:buFont typeface="Arial" panose="020B0604020202020204" pitchFamily="34" charset="0"/>
            <a:buChar char="•"/>
          </a:pPr>
          <a:r>
            <a:rPr lang="en-GB" sz="1100" b="0">
              <a:solidFill>
                <a:sysClr val="windowText" lastClr="000000"/>
              </a:solidFill>
              <a:latin typeface="+mn-lt"/>
              <a:ea typeface="+mn-ea"/>
              <a:cs typeface="+mn-cs"/>
            </a:rPr>
            <a:t>coffee no later than 4pm, or better 3pm or 2pm</a:t>
          </a:r>
        </a:p>
        <a:p>
          <a:pPr marL="171450" indent="-171450">
            <a:buFont typeface="Arial" panose="020B0604020202020204" pitchFamily="34" charset="0"/>
            <a:buChar char="•"/>
          </a:pPr>
          <a:r>
            <a:rPr lang="en-GB" sz="1100" b="0">
              <a:solidFill>
                <a:sysClr val="windowText" lastClr="000000"/>
              </a:solidFill>
              <a:latin typeface="+mn-lt"/>
              <a:ea typeface="+mn-ea"/>
              <a:cs typeface="+mn-cs"/>
            </a:rPr>
            <a:t>get sunset light on eyes, outside</a:t>
          </a:r>
        </a:p>
        <a:p>
          <a:pPr marL="171450" indent="-171450">
            <a:buFont typeface="Arial" panose="020B0604020202020204" pitchFamily="34" charset="0"/>
            <a:buChar char="•"/>
          </a:pPr>
          <a:r>
            <a:rPr lang="en-GB" sz="1100" b="0">
              <a:solidFill>
                <a:sysClr val="windowText" lastClr="000000"/>
              </a:solidFill>
              <a:latin typeface="+mn-lt"/>
              <a:ea typeface="+mn-ea"/>
              <a:cs typeface="+mn-cs"/>
            </a:rPr>
            <a:t>low level artificial light inside, best is candlelight</a:t>
          </a:r>
        </a:p>
        <a:p>
          <a:pPr marL="171450" indent="-171450">
            <a:buFont typeface="Arial" panose="020B0604020202020204" pitchFamily="34" charset="0"/>
            <a:buChar char="•"/>
          </a:pPr>
          <a:r>
            <a:rPr lang="en-GB" sz="1100" b="0">
              <a:solidFill>
                <a:sysClr val="windowText" lastClr="000000"/>
              </a:solidFill>
              <a:latin typeface="+mn-lt"/>
              <a:ea typeface="+mn-ea"/>
              <a:cs typeface="+mn-cs"/>
            </a:rPr>
            <a:t>hot shower or bath before bed</a:t>
          </a:r>
        </a:p>
        <a:p>
          <a:pPr marL="171450" indent="-171450">
            <a:buFont typeface="Arial" panose="020B0604020202020204" pitchFamily="34" charset="0"/>
            <a:buChar char="•"/>
          </a:pPr>
          <a:r>
            <a:rPr lang="en-GB" sz="1100" b="0">
              <a:solidFill>
                <a:sysClr val="windowText" lastClr="000000"/>
              </a:solidFill>
              <a:latin typeface="+mn-lt"/>
              <a:ea typeface="+mn-ea"/>
              <a:cs typeface="+mn-cs"/>
            </a:rPr>
            <a:t>avoid alcohol before sleeping</a:t>
          </a:r>
        </a:p>
        <a:p>
          <a:pPr marL="171450" indent="-171450">
            <a:buFont typeface="Arial" panose="020B0604020202020204" pitchFamily="34" charset="0"/>
            <a:buChar char="•"/>
          </a:pPr>
          <a:r>
            <a:rPr lang="en-GB" sz="1100" b="0">
              <a:solidFill>
                <a:sysClr val="windowText" lastClr="000000"/>
              </a:solidFill>
              <a:latin typeface="+mn-lt"/>
              <a:ea typeface="+mn-ea"/>
              <a:cs typeface="+mn-cs"/>
            </a:rPr>
            <a:t>sleep in a cool or cold room, use blankets to keep warm</a:t>
          </a:r>
        </a:p>
        <a:p>
          <a:pPr marL="171450" indent="-171450">
            <a:buFont typeface="Arial" panose="020B0604020202020204" pitchFamily="34" charset="0"/>
            <a:buChar char="•"/>
          </a:pPr>
          <a:r>
            <a:rPr lang="en-GB" sz="1100" b="0">
              <a:solidFill>
                <a:sysClr val="windowText" lastClr="000000"/>
              </a:solidFill>
              <a:latin typeface="+mn-lt"/>
              <a:ea typeface="+mn-ea"/>
              <a:cs typeface="+mn-cs"/>
            </a:rPr>
            <a:t>if too hot at night stick hands or feet out from covers</a:t>
          </a:r>
        </a:p>
      </xdr:txBody>
    </xdr:sp>
    <xdr:clientData fLocksWithSheet="0"/>
  </xdr:twoCellAnchor>
  <xdr:twoCellAnchor>
    <xdr:from>
      <xdr:col>2</xdr:col>
      <xdr:colOff>0</xdr:colOff>
      <xdr:row>82</xdr:row>
      <xdr:rowOff>0</xdr:rowOff>
    </xdr:from>
    <xdr:to>
      <xdr:col>20</xdr:col>
      <xdr:colOff>0</xdr:colOff>
      <xdr:row>104</xdr:row>
      <xdr:rowOff>0</xdr:rowOff>
    </xdr:to>
    <xdr:sp macro="" textlink="" fLocksText="0">
      <xdr:nvSpPr>
        <xdr:cNvPr id="5" name="TextBox 4">
          <a:extLst>
            <a:ext uri="{FF2B5EF4-FFF2-40B4-BE49-F238E27FC236}">
              <a16:creationId xmlns:a16="http://schemas.microsoft.com/office/drawing/2014/main" id="{F75CD4E9-FAC4-4A62-8FD0-C3A37A0CD2D6}"/>
            </a:ext>
          </a:extLst>
        </xdr:cNvPr>
        <xdr:cNvSpPr txBox="1"/>
      </xdr:nvSpPr>
      <xdr:spPr>
        <a:xfrm>
          <a:off x="457200" y="26612850"/>
          <a:ext cx="4114800" cy="4610100"/>
        </a:xfrm>
        <a:prstGeom prst="rect">
          <a:avLst/>
        </a:prstGeom>
        <a:solidFill>
          <a:srgbClr val="FFFFFF">
            <a:alpha val="50196"/>
          </a:srgbClr>
        </a:solidFill>
        <a:ln w="127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r>
            <a:rPr lang="en-GB" sz="1100" b="1">
              <a:solidFill>
                <a:sysClr val="windowText" lastClr="000000"/>
              </a:solidFill>
              <a:latin typeface="+mn-lt"/>
              <a:ea typeface="+mn-ea"/>
              <a:cs typeface="+mn-cs"/>
            </a:rPr>
            <a:t>William H. McRaven</a:t>
          </a:r>
        </a:p>
        <a:p>
          <a:pPr marL="0" indent="0" algn="l"/>
          <a:endParaRPr lang="en-GB" sz="1100" b="1">
            <a:solidFill>
              <a:sysClr val="windowText" lastClr="000000"/>
            </a:solidFill>
            <a:latin typeface="+mn-lt"/>
            <a:ea typeface="+mn-ea"/>
            <a:cs typeface="+mn-cs"/>
          </a:endParaRPr>
        </a:p>
        <a:p>
          <a:pPr marL="0" indent="0" algn="l"/>
          <a:r>
            <a:rPr lang="en-GB" sz="1100" b="1">
              <a:solidFill>
                <a:sysClr val="windowText" lastClr="000000"/>
              </a:solidFill>
              <a:latin typeface="+mn-lt"/>
              <a:ea typeface="+mn-ea"/>
              <a:cs typeface="+mn-cs"/>
            </a:rPr>
            <a:t>Make your bed:</a:t>
          </a:r>
        </a:p>
        <a:p>
          <a:pPr marL="0" indent="0" algn="l"/>
          <a:endParaRPr lang="en-GB" sz="1100" b="1">
            <a:solidFill>
              <a:sysClr val="windowText" lastClr="000000"/>
            </a:solidFill>
            <a:latin typeface="+mn-lt"/>
            <a:ea typeface="+mn-ea"/>
            <a:cs typeface="+mn-cs"/>
          </a:endParaRPr>
        </a:p>
        <a:p>
          <a:pPr marL="171450" indent="-171450" algn="l">
            <a:buFont typeface="Arial" panose="020B0604020202020204" pitchFamily="34" charset="0"/>
            <a:buChar char="•"/>
          </a:pPr>
          <a:r>
            <a:rPr lang="en-GB" sz="1100" b="0">
              <a:solidFill>
                <a:sysClr val="windowText" lastClr="000000"/>
              </a:solidFill>
              <a:latin typeface="+mn-lt"/>
              <a:ea typeface="+mn-ea"/>
              <a:cs typeface="+mn-cs"/>
            </a:rPr>
            <a:t>Start your day with a task completed: give yourself a lift to get started, wake up doing the right thing.</a:t>
          </a:r>
        </a:p>
        <a:p>
          <a:pPr marL="171450" indent="-171450" algn="l">
            <a:buFont typeface="Arial" panose="020B0604020202020204" pitchFamily="34" charset="0"/>
            <a:buChar char="•"/>
          </a:pPr>
          <a:r>
            <a:rPr lang="en-GB" sz="1100" b="0">
              <a:solidFill>
                <a:sysClr val="windowText" lastClr="000000"/>
              </a:solidFill>
              <a:latin typeface="+mn-lt"/>
              <a:ea typeface="+mn-ea"/>
              <a:cs typeface="+mn-cs"/>
            </a:rPr>
            <a:t>You can’t go it alone: life is best shared and your success depends on others.</a:t>
          </a:r>
        </a:p>
        <a:p>
          <a:pPr marL="171450" indent="-171450" algn="l">
            <a:buFont typeface="Arial" panose="020B0604020202020204" pitchFamily="34" charset="0"/>
            <a:buChar char="•"/>
          </a:pPr>
          <a:r>
            <a:rPr lang="en-GB" sz="1100" b="0">
              <a:solidFill>
                <a:sysClr val="windowText" lastClr="000000"/>
              </a:solidFill>
              <a:latin typeface="+mn-lt"/>
              <a:ea typeface="+mn-ea"/>
              <a:cs typeface="+mn-cs"/>
            </a:rPr>
            <a:t>Only the size of your heart matters: determination, grit and your will are key. </a:t>
          </a:r>
        </a:p>
        <a:p>
          <a:pPr marL="171450" indent="-171450" algn="l">
            <a:buFont typeface="Arial" panose="020B0604020202020204" pitchFamily="34" charset="0"/>
            <a:buChar char="•"/>
          </a:pPr>
          <a:r>
            <a:rPr lang="en-GB" sz="1100" b="0">
              <a:solidFill>
                <a:sysClr val="windowText" lastClr="000000"/>
              </a:solidFill>
              <a:latin typeface="+mn-lt"/>
              <a:ea typeface="+mn-ea"/>
              <a:cs typeface="+mn-cs"/>
            </a:rPr>
            <a:t>Life’s not fair – drive on: at any time or any level there will be unfairness to deal with. Don’t complain and just stand tall.</a:t>
          </a:r>
        </a:p>
        <a:p>
          <a:pPr marL="171450" indent="-171450" algn="l">
            <a:buFont typeface="Arial" panose="020B0604020202020204" pitchFamily="34" charset="0"/>
            <a:buChar char="•"/>
          </a:pPr>
          <a:r>
            <a:rPr lang="en-GB" sz="1100" b="0">
              <a:solidFill>
                <a:sysClr val="windowText" lastClr="000000"/>
              </a:solidFill>
              <a:latin typeface="+mn-lt"/>
              <a:ea typeface="+mn-ea"/>
              <a:cs typeface="+mn-cs"/>
            </a:rPr>
            <a:t>Failure can make you stronger: by perservering your failures will surely strengthen you.</a:t>
          </a:r>
        </a:p>
        <a:p>
          <a:pPr marL="171450" indent="-171450" algn="l">
            <a:buFont typeface="Arial" panose="020B0604020202020204" pitchFamily="34" charset="0"/>
            <a:buChar char="•"/>
          </a:pPr>
          <a:r>
            <a:rPr lang="en-GB" sz="1100" b="0">
              <a:solidFill>
                <a:sysClr val="windowText" lastClr="000000"/>
              </a:solidFill>
              <a:latin typeface="+mn-lt"/>
              <a:ea typeface="+mn-ea"/>
              <a:cs typeface="+mn-cs"/>
            </a:rPr>
            <a:t>You must dare greatly: push your limits, step out of your comfort zone, go forward head first.</a:t>
          </a:r>
        </a:p>
        <a:p>
          <a:pPr marL="171450" indent="-171450" algn="l">
            <a:buFont typeface="Arial" panose="020B0604020202020204" pitchFamily="34" charset="0"/>
            <a:buChar char="•"/>
          </a:pPr>
          <a:r>
            <a:rPr lang="en-GB" sz="1100" b="0">
              <a:solidFill>
                <a:sysClr val="windowText" lastClr="000000"/>
              </a:solidFill>
              <a:latin typeface="+mn-lt"/>
              <a:ea typeface="+mn-ea"/>
              <a:cs typeface="+mn-cs"/>
            </a:rPr>
            <a:t>Stand up to the bullies: have the courage to define your own path forward and not have that path defined for you.</a:t>
          </a:r>
        </a:p>
        <a:p>
          <a:pPr marL="171450" indent="-171450" algn="l">
            <a:buFont typeface="Arial" panose="020B0604020202020204" pitchFamily="34" charset="0"/>
            <a:buChar char="•"/>
          </a:pPr>
          <a:r>
            <a:rPr lang="en-GB" sz="1100" b="0">
              <a:solidFill>
                <a:sysClr val="windowText" lastClr="000000"/>
              </a:solidFill>
              <a:latin typeface="+mn-lt"/>
              <a:ea typeface="+mn-ea"/>
              <a:cs typeface="+mn-cs"/>
            </a:rPr>
            <a:t>Rise to the occasion: there will inevitably be very dark moments, accept and face them.</a:t>
          </a:r>
        </a:p>
        <a:p>
          <a:pPr marL="171450" indent="-171450" algn="l">
            <a:buFont typeface="Arial" panose="020B0604020202020204" pitchFamily="34" charset="0"/>
            <a:buChar char="•"/>
          </a:pPr>
          <a:r>
            <a:rPr lang="en-GB" sz="1100" b="0">
              <a:solidFill>
                <a:sysClr val="windowText" lastClr="000000"/>
              </a:solidFill>
              <a:latin typeface="+mn-lt"/>
              <a:ea typeface="+mn-ea"/>
              <a:cs typeface="+mn-cs"/>
            </a:rPr>
            <a:t>Give people hope: while pushing through struggle, keep smiling, keep singing, not just for yourself but for those around you.</a:t>
          </a:r>
        </a:p>
        <a:p>
          <a:pPr marL="171450" indent="-171450" algn="l">
            <a:buFont typeface="Arial" panose="020B0604020202020204" pitchFamily="34" charset="0"/>
            <a:buChar char="•"/>
          </a:pPr>
          <a:r>
            <a:rPr lang="en-GB" sz="1100" b="0">
              <a:solidFill>
                <a:sysClr val="windowText" lastClr="000000"/>
              </a:solidFill>
              <a:latin typeface="+mn-lt"/>
              <a:ea typeface="+mn-ea"/>
              <a:cs typeface="+mn-cs"/>
            </a:rPr>
            <a:t>Never, ever quit: it can often seem easier but never give up on yourself or your dreams.</a:t>
          </a:r>
        </a:p>
        <a:p>
          <a:pPr marL="0" indent="0" algn="l"/>
          <a:endParaRPr lang="en-GB" sz="1100" b="1">
            <a:solidFill>
              <a:sysClr val="windowText" lastClr="000000"/>
            </a:solidFill>
            <a:latin typeface="+mn-lt"/>
            <a:ea typeface="+mn-ea"/>
            <a:cs typeface="+mn-cs"/>
          </a:endParaRPr>
        </a:p>
      </xdr:txBody>
    </xdr:sp>
    <xdr:clientData fLocksWithSheet="0"/>
  </xdr:twoCellAnchor>
  <xdr:twoCellAnchor>
    <xdr:from>
      <xdr:col>21</xdr:col>
      <xdr:colOff>0</xdr:colOff>
      <xdr:row>82</xdr:row>
      <xdr:rowOff>0</xdr:rowOff>
    </xdr:from>
    <xdr:to>
      <xdr:col>39</xdr:col>
      <xdr:colOff>0</xdr:colOff>
      <xdr:row>95</xdr:row>
      <xdr:rowOff>0</xdr:rowOff>
    </xdr:to>
    <xdr:sp macro="" textlink="" fLocksText="0">
      <xdr:nvSpPr>
        <xdr:cNvPr id="81" name="TextBox 80">
          <a:extLst>
            <a:ext uri="{FF2B5EF4-FFF2-40B4-BE49-F238E27FC236}">
              <a16:creationId xmlns:a16="http://schemas.microsoft.com/office/drawing/2014/main" id="{F4BD91EA-9228-47C5-A0BF-A803210A8DAB}"/>
            </a:ext>
          </a:extLst>
        </xdr:cNvPr>
        <xdr:cNvSpPr txBox="1"/>
      </xdr:nvSpPr>
      <xdr:spPr>
        <a:xfrm>
          <a:off x="4800600" y="26612850"/>
          <a:ext cx="4114800" cy="2724150"/>
        </a:xfrm>
        <a:prstGeom prst="rect">
          <a:avLst/>
        </a:prstGeom>
        <a:solidFill>
          <a:srgbClr val="FFFFFF">
            <a:alpha val="50196"/>
          </a:srgbClr>
        </a:solidFill>
        <a:ln w="127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b="1">
              <a:solidFill>
                <a:sysClr val="windowText" lastClr="000000"/>
              </a:solidFill>
              <a:latin typeface="+mn-lt"/>
              <a:ea typeface="+mn-ea"/>
              <a:cs typeface="+mn-cs"/>
            </a:rPr>
            <a:t>The 8 Elements of Flow:</a:t>
          </a:r>
        </a:p>
        <a:p>
          <a:pPr marL="0" indent="0"/>
          <a:endParaRPr lang="en-GB" sz="1100">
            <a:solidFill>
              <a:sysClr val="windowText" lastClr="000000"/>
            </a:solidFill>
            <a:latin typeface="+mn-lt"/>
            <a:ea typeface="+mn-ea"/>
            <a:cs typeface="+mn-cs"/>
          </a:endParaRPr>
        </a:p>
        <a:p>
          <a:pPr marL="228600" indent="-228600">
            <a:buFont typeface="+mj-lt"/>
            <a:buAutoNum type="arabicPeriod"/>
          </a:pPr>
          <a:r>
            <a:rPr lang="en-GB" sz="1100">
              <a:solidFill>
                <a:sysClr val="windowText" lastClr="000000"/>
              </a:solidFill>
              <a:latin typeface="+mn-lt"/>
              <a:ea typeface="+mn-ea"/>
              <a:cs typeface="+mn-cs"/>
            </a:rPr>
            <a:t>Clear goals.</a:t>
          </a:r>
        </a:p>
        <a:p>
          <a:pPr marL="228600" indent="-228600">
            <a:buFont typeface="+mj-lt"/>
            <a:buAutoNum type="arabicPeriod"/>
          </a:pPr>
          <a:r>
            <a:rPr lang="en-GB" sz="1100">
              <a:solidFill>
                <a:sysClr val="windowText" lastClr="000000"/>
              </a:solidFill>
              <a:latin typeface="+mn-lt"/>
              <a:ea typeface="+mn-ea"/>
              <a:cs typeface="+mn-cs"/>
            </a:rPr>
            <a:t>Immediate feedback. You get an instant sense of the result of what you're doing.</a:t>
          </a:r>
        </a:p>
        <a:p>
          <a:pPr marL="228600" indent="-228600">
            <a:buFont typeface="+mj-lt"/>
            <a:buAutoNum type="arabicPeriod"/>
          </a:pPr>
          <a:r>
            <a:rPr lang="en-GB" sz="1100">
              <a:solidFill>
                <a:sysClr val="windowText" lastClr="000000"/>
              </a:solidFill>
              <a:latin typeface="+mn-lt"/>
              <a:ea typeface="+mn-ea"/>
              <a:cs typeface="+mn-cs"/>
            </a:rPr>
            <a:t>Matching the challenge with your skill level, not too easy or too hard.</a:t>
          </a:r>
        </a:p>
        <a:p>
          <a:pPr marL="228600" indent="-228600">
            <a:buFont typeface="+mj-lt"/>
            <a:buAutoNum type="arabicPeriod"/>
          </a:pPr>
          <a:r>
            <a:rPr lang="en-GB" sz="1100">
              <a:solidFill>
                <a:sysClr val="windowText" lastClr="000000"/>
              </a:solidFill>
              <a:latin typeface="+mn-lt"/>
              <a:ea typeface="+mn-ea"/>
              <a:cs typeface="+mn-cs"/>
            </a:rPr>
            <a:t>Singular concentration on the activity at hand.</a:t>
          </a:r>
        </a:p>
        <a:p>
          <a:pPr marL="228600" indent="-228600">
            <a:buFont typeface="+mj-lt"/>
            <a:buAutoNum type="arabicPeriod"/>
          </a:pPr>
          <a:r>
            <a:rPr lang="en-GB" sz="1100">
              <a:solidFill>
                <a:sysClr val="windowText" lastClr="000000"/>
              </a:solidFill>
              <a:latin typeface="+mn-lt"/>
              <a:ea typeface="+mn-ea"/>
              <a:cs typeface="+mn-cs"/>
            </a:rPr>
            <a:t>Escape from the everyday worries and stresses.</a:t>
          </a:r>
        </a:p>
        <a:p>
          <a:pPr marL="228600" indent="-228600">
            <a:buFont typeface="+mj-lt"/>
            <a:buAutoNum type="arabicPeriod"/>
          </a:pPr>
          <a:r>
            <a:rPr lang="en-GB" sz="1100">
              <a:solidFill>
                <a:sysClr val="windowText" lastClr="000000"/>
              </a:solidFill>
              <a:latin typeface="+mn-lt"/>
              <a:ea typeface="+mn-ea"/>
              <a:cs typeface="+mn-cs"/>
            </a:rPr>
            <a:t>Feeling of control. Riding the edge of control. </a:t>
          </a:r>
        </a:p>
        <a:p>
          <a:pPr marL="228600" indent="-228600">
            <a:buFont typeface="+mj-lt"/>
            <a:buAutoNum type="arabicPeriod"/>
          </a:pPr>
          <a:r>
            <a:rPr lang="en-GB" sz="1100">
              <a:solidFill>
                <a:sysClr val="windowText" lastClr="000000"/>
              </a:solidFill>
              <a:latin typeface="+mn-lt"/>
              <a:ea typeface="+mn-ea"/>
              <a:cs typeface="+mn-cs"/>
            </a:rPr>
            <a:t>Losing sense of self and ego, with a positive sense of self once flow ends.</a:t>
          </a:r>
        </a:p>
        <a:p>
          <a:pPr marL="228600" indent="-228600">
            <a:buFont typeface="+mj-lt"/>
            <a:buAutoNum type="arabicPeriod"/>
          </a:pPr>
          <a:r>
            <a:rPr lang="en-GB" sz="1100">
              <a:solidFill>
                <a:sysClr val="windowText" lastClr="000000"/>
              </a:solidFill>
              <a:latin typeface="+mn-lt"/>
              <a:ea typeface="+mn-ea"/>
              <a:cs typeface="+mn-cs"/>
            </a:rPr>
            <a:t>Time adapts to your experience. Seconds could seem minutes, or hours seem minutes.</a:t>
          </a:r>
        </a:p>
        <a:p>
          <a:pPr marL="0" indent="0"/>
          <a:endParaRPr lang="en-GB" sz="1100">
            <a:solidFill>
              <a:sysClr val="windowText" lastClr="000000"/>
            </a:solidFill>
            <a:latin typeface="+mn-lt"/>
            <a:ea typeface="+mn-ea"/>
            <a:cs typeface="+mn-cs"/>
          </a:endParaRPr>
        </a:p>
        <a:p>
          <a:pPr marL="0" indent="0"/>
          <a:endParaRPr lang="en-GB" sz="1100">
            <a:solidFill>
              <a:sysClr val="windowText" lastClr="000000"/>
            </a:solidFill>
            <a:latin typeface="+mn-lt"/>
            <a:ea typeface="+mn-ea"/>
            <a:cs typeface="+mn-cs"/>
          </a:endParaRPr>
        </a:p>
        <a:p>
          <a:pPr marL="0" indent="0"/>
          <a:endParaRPr lang="en-GB" sz="1100">
            <a:solidFill>
              <a:sysClr val="windowText" lastClr="000000"/>
            </a:solidFill>
            <a:latin typeface="+mn-lt"/>
            <a:ea typeface="+mn-ea"/>
            <a:cs typeface="+mn-cs"/>
          </a:endParaRPr>
        </a:p>
        <a:p>
          <a:pPr marL="0" indent="0"/>
          <a:endParaRPr lang="en-GB" sz="1100">
            <a:solidFill>
              <a:sysClr val="windowText" lastClr="000000"/>
            </a:solidFill>
            <a:latin typeface="+mn-lt"/>
            <a:ea typeface="+mn-ea"/>
            <a:cs typeface="+mn-cs"/>
          </a:endParaRPr>
        </a:p>
      </xdr:txBody>
    </xdr:sp>
    <xdr:clientData fLocksWithSheet="0"/>
  </xdr:twoCellAnchor>
  <xdr:twoCellAnchor>
    <xdr:from>
      <xdr:col>59</xdr:col>
      <xdr:colOff>1</xdr:colOff>
      <xdr:row>82</xdr:row>
      <xdr:rowOff>0</xdr:rowOff>
    </xdr:from>
    <xdr:to>
      <xdr:col>77</xdr:col>
      <xdr:colOff>0</xdr:colOff>
      <xdr:row>98</xdr:row>
      <xdr:rowOff>0</xdr:rowOff>
    </xdr:to>
    <xdr:sp macro="" textlink="" fLocksText="0">
      <xdr:nvSpPr>
        <xdr:cNvPr id="82" name="TextBox 81">
          <a:extLst>
            <a:ext uri="{FF2B5EF4-FFF2-40B4-BE49-F238E27FC236}">
              <a16:creationId xmlns:a16="http://schemas.microsoft.com/office/drawing/2014/main" id="{9AA2003B-9469-4B91-9693-AE74F076FC14}"/>
            </a:ext>
          </a:extLst>
        </xdr:cNvPr>
        <xdr:cNvSpPr txBox="1"/>
      </xdr:nvSpPr>
      <xdr:spPr>
        <a:xfrm>
          <a:off x="13487401" y="16135350"/>
          <a:ext cx="4114799" cy="3352800"/>
        </a:xfrm>
        <a:prstGeom prst="rect">
          <a:avLst/>
        </a:prstGeom>
        <a:solidFill>
          <a:srgbClr val="FFFFFF">
            <a:alpha val="50196"/>
          </a:srgbClr>
        </a:solidFill>
        <a:ln w="127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b="1">
              <a:solidFill>
                <a:sysClr val="windowText" lastClr="000000"/>
              </a:solidFill>
              <a:latin typeface="+mn-lt"/>
              <a:ea typeface="+mn-ea"/>
              <a:cs typeface="+mn-cs"/>
            </a:rPr>
            <a:t>Self-Actualisation &amp; Productivity Mantra.</a:t>
          </a:r>
        </a:p>
        <a:p>
          <a:pPr marL="0" indent="0"/>
          <a:endParaRPr lang="en-GB" sz="1100" b="1">
            <a:solidFill>
              <a:sysClr val="windowText" lastClr="000000"/>
            </a:solidFill>
            <a:latin typeface="+mn-lt"/>
            <a:ea typeface="+mn-ea"/>
            <a:cs typeface="+mn-cs"/>
          </a:endParaRPr>
        </a:p>
        <a:p>
          <a:pPr marL="0" indent="0"/>
          <a:r>
            <a:rPr lang="en-GB" sz="1100" b="0">
              <a:solidFill>
                <a:sysClr val="windowText" lastClr="000000"/>
              </a:solidFill>
              <a:latin typeface="+mn-lt"/>
              <a:ea typeface="+mn-ea"/>
              <a:cs typeface="+mn-cs"/>
            </a:rPr>
            <a:t>I am engaging in effort. </a:t>
          </a:r>
        </a:p>
        <a:p>
          <a:pPr marL="0" indent="0"/>
          <a:r>
            <a:rPr lang="en-GB" sz="1100" b="0">
              <a:solidFill>
                <a:sysClr val="windowText" lastClr="000000"/>
              </a:solidFill>
              <a:latin typeface="+mn-lt"/>
              <a:ea typeface="+mn-ea"/>
              <a:cs typeface="+mn-cs"/>
            </a:rPr>
            <a:t>I am choosing to do my work. </a:t>
          </a:r>
        </a:p>
        <a:p>
          <a:pPr marL="0" indent="0"/>
          <a:r>
            <a:rPr lang="en-GB" sz="1100" b="0">
              <a:solidFill>
                <a:sysClr val="windowText" lastClr="000000"/>
              </a:solidFill>
              <a:latin typeface="+mn-lt"/>
              <a:ea typeface="+mn-ea"/>
              <a:cs typeface="+mn-cs"/>
            </a:rPr>
            <a:t>I am doing the hard thing.  </a:t>
          </a:r>
        </a:p>
        <a:p>
          <a:pPr marL="0" indent="0"/>
          <a:r>
            <a:rPr lang="en-GB" sz="1100" b="0">
              <a:solidFill>
                <a:sysClr val="windowText" lastClr="000000"/>
              </a:solidFill>
              <a:latin typeface="+mn-lt"/>
              <a:ea typeface="+mn-ea"/>
              <a:cs typeface="+mn-cs"/>
            </a:rPr>
            <a:t>This is challenging, which means it may be difficult or painful or frustrating or confusing.</a:t>
          </a:r>
        </a:p>
        <a:p>
          <a:pPr marL="0" indent="0"/>
          <a:r>
            <a:rPr lang="en-GB" sz="1100" b="0">
              <a:solidFill>
                <a:sysClr val="windowText" lastClr="000000"/>
              </a:solidFill>
              <a:latin typeface="+mn-lt"/>
              <a:ea typeface="+mn-ea"/>
              <a:cs typeface="+mn-cs"/>
            </a:rPr>
            <a:t>But I will still do it. </a:t>
          </a:r>
        </a:p>
        <a:p>
          <a:pPr marL="0" indent="0"/>
          <a:r>
            <a:rPr lang="en-GB" sz="1100" b="0">
              <a:solidFill>
                <a:sysClr val="windowText" lastClr="000000"/>
              </a:solidFill>
              <a:latin typeface="+mn-lt"/>
              <a:ea typeface="+mn-ea"/>
              <a:cs typeface="+mn-cs"/>
            </a:rPr>
            <a:t>Because the act of doing will make me feel good no matter how challenging. </a:t>
          </a:r>
        </a:p>
        <a:p>
          <a:pPr marL="0" indent="0"/>
          <a:r>
            <a:rPr lang="en-GB" sz="1100" b="0">
              <a:solidFill>
                <a:sysClr val="windowText" lastClr="000000"/>
              </a:solidFill>
              <a:latin typeface="+mn-lt"/>
              <a:ea typeface="+mn-ea"/>
              <a:cs typeface="+mn-cs"/>
            </a:rPr>
            <a:t>I am doing this by choice and because I love it. </a:t>
          </a:r>
        </a:p>
        <a:p>
          <a:pPr marL="0" indent="0"/>
          <a:r>
            <a:rPr lang="en-GB" sz="1100" b="0">
              <a:solidFill>
                <a:sysClr val="windowText" lastClr="000000"/>
              </a:solidFill>
              <a:latin typeface="+mn-lt"/>
              <a:ea typeface="+mn-ea"/>
              <a:cs typeface="+mn-cs"/>
            </a:rPr>
            <a:t>I have chosen this through my reason as a worthwhile thing that benefits me. </a:t>
          </a:r>
        </a:p>
        <a:p>
          <a:pPr marL="0" indent="0"/>
          <a:r>
            <a:rPr lang="en-GB" sz="1100" b="0">
              <a:solidFill>
                <a:sysClr val="windowText" lastClr="000000"/>
              </a:solidFill>
              <a:latin typeface="+mn-lt"/>
              <a:ea typeface="+mn-ea"/>
              <a:cs typeface="+mn-cs"/>
            </a:rPr>
            <a:t>I want this and I want it to feel good. </a:t>
          </a:r>
        </a:p>
        <a:p>
          <a:pPr marL="0" indent="0"/>
          <a:r>
            <a:rPr lang="en-GB" sz="1100" b="0">
              <a:solidFill>
                <a:sysClr val="windowText" lastClr="000000"/>
              </a:solidFill>
              <a:latin typeface="+mn-lt"/>
              <a:ea typeface="+mn-ea"/>
              <a:cs typeface="+mn-cs"/>
            </a:rPr>
            <a:t>And my taking action does feel good. </a:t>
          </a:r>
        </a:p>
        <a:p>
          <a:pPr marL="0" indent="0"/>
          <a:r>
            <a:rPr lang="en-GB" sz="1100" b="0">
              <a:solidFill>
                <a:sysClr val="windowText" lastClr="000000"/>
              </a:solidFill>
              <a:latin typeface="+mn-lt"/>
              <a:ea typeface="+mn-ea"/>
              <a:cs typeface="+mn-cs"/>
            </a:rPr>
            <a:t>There is no reward other than the action itself. </a:t>
          </a:r>
        </a:p>
        <a:p>
          <a:pPr marL="0" indent="0"/>
          <a:r>
            <a:rPr lang="en-GB" sz="1100" b="0">
              <a:solidFill>
                <a:sysClr val="windowText" lastClr="000000"/>
              </a:solidFill>
              <a:latin typeface="+mn-lt"/>
              <a:ea typeface="+mn-ea"/>
              <a:cs typeface="+mn-cs"/>
            </a:rPr>
            <a:t>The action is the reward. </a:t>
          </a:r>
        </a:p>
        <a:p>
          <a:pPr marL="0" indent="0"/>
          <a:endParaRPr lang="en-GB" sz="1100" b="1">
            <a:solidFill>
              <a:sysClr val="windowText" lastClr="000000"/>
            </a:solidFill>
            <a:latin typeface="+mn-lt"/>
            <a:ea typeface="+mn-ea"/>
            <a:cs typeface="+mn-cs"/>
          </a:endParaRPr>
        </a:p>
      </xdr:txBody>
    </xdr:sp>
    <xdr:clientData fLocksWithSheet="0"/>
  </xdr:twoCellAnchor>
  <xdr:twoCellAnchor>
    <xdr:from>
      <xdr:col>21</xdr:col>
      <xdr:colOff>0</xdr:colOff>
      <xdr:row>115</xdr:row>
      <xdr:rowOff>201386</xdr:rowOff>
    </xdr:from>
    <xdr:to>
      <xdr:col>39</xdr:col>
      <xdr:colOff>0</xdr:colOff>
      <xdr:row>135</xdr:row>
      <xdr:rowOff>0</xdr:rowOff>
    </xdr:to>
    <xdr:sp macro="" textlink="" fLocksText="0">
      <xdr:nvSpPr>
        <xdr:cNvPr id="216" name="TextBox 215">
          <a:extLst>
            <a:ext uri="{FF2B5EF4-FFF2-40B4-BE49-F238E27FC236}">
              <a16:creationId xmlns:a16="http://schemas.microsoft.com/office/drawing/2014/main" id="{4F9A9F17-C04B-4BFA-8C22-C79744266946}"/>
            </a:ext>
          </a:extLst>
        </xdr:cNvPr>
        <xdr:cNvSpPr txBox="1"/>
      </xdr:nvSpPr>
      <xdr:spPr>
        <a:xfrm>
          <a:off x="4800600" y="24299636"/>
          <a:ext cx="4114800" cy="3989614"/>
        </a:xfrm>
        <a:prstGeom prst="rect">
          <a:avLst/>
        </a:prstGeom>
        <a:solidFill>
          <a:srgbClr val="FFFFFF">
            <a:alpha val="50196"/>
          </a:srgb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b="1">
              <a:solidFill>
                <a:schemeClr val="tx1"/>
              </a:solidFill>
            </a:rPr>
            <a:t>Jordan Peterson</a:t>
          </a:r>
        </a:p>
        <a:p>
          <a:endParaRPr lang="en-GB" sz="1100" baseline="0">
            <a:solidFill>
              <a:schemeClr val="tx1"/>
            </a:solidFill>
          </a:endParaRPr>
        </a:p>
        <a:p>
          <a:r>
            <a:rPr lang="en-GB" sz="1100" b="1" baseline="0">
              <a:solidFill>
                <a:schemeClr val="tx1"/>
              </a:solidFill>
            </a:rPr>
            <a:t>Rules for life:</a:t>
          </a:r>
        </a:p>
        <a:p>
          <a:endParaRPr lang="en-GB" sz="1100" baseline="0">
            <a:solidFill>
              <a:schemeClr val="tx1"/>
            </a:solidFill>
          </a:endParaRPr>
        </a:p>
        <a:p>
          <a:pPr marL="171450" indent="-171450">
            <a:buFont typeface="Arial" panose="020B0604020202020204" pitchFamily="34" charset="0"/>
            <a:buChar char="•"/>
          </a:pPr>
          <a:r>
            <a:rPr lang="en-GB" sz="1100" baseline="0">
              <a:solidFill>
                <a:schemeClr val="tx1"/>
              </a:solidFill>
            </a:rPr>
            <a:t>Stand up straight with your shoulders back.</a:t>
          </a:r>
        </a:p>
        <a:p>
          <a:pPr marL="171450" indent="-171450">
            <a:buFont typeface="Arial" panose="020B0604020202020204" pitchFamily="34" charset="0"/>
            <a:buChar char="•"/>
          </a:pPr>
          <a:r>
            <a:rPr lang="en-GB" sz="1100" baseline="0">
              <a:solidFill>
                <a:schemeClr val="tx1"/>
              </a:solidFill>
            </a:rPr>
            <a:t>Treat yourself like you are someone you are responsible for helping.</a:t>
          </a:r>
        </a:p>
        <a:p>
          <a:pPr marL="171450" indent="-171450">
            <a:buFont typeface="Arial" panose="020B0604020202020204" pitchFamily="34" charset="0"/>
            <a:buChar char="•"/>
          </a:pPr>
          <a:r>
            <a:rPr lang="en-GB" sz="1100" baseline="0">
              <a:solidFill>
                <a:schemeClr val="tx1"/>
              </a:solidFill>
            </a:rPr>
            <a:t>Make friends with people who want the best for you.</a:t>
          </a:r>
        </a:p>
        <a:p>
          <a:pPr marL="171450" indent="-171450">
            <a:buFont typeface="Arial" panose="020B0604020202020204" pitchFamily="34" charset="0"/>
            <a:buChar char="•"/>
          </a:pPr>
          <a:r>
            <a:rPr lang="en-GB" sz="1100" baseline="0">
              <a:solidFill>
                <a:schemeClr val="tx1"/>
              </a:solidFill>
            </a:rPr>
            <a:t>Pursue what is meaningful (not what is expedient).</a:t>
          </a:r>
        </a:p>
        <a:p>
          <a:pPr marL="171450" indent="-171450">
            <a:buFont typeface="Arial" panose="020B0604020202020204" pitchFamily="34" charset="0"/>
            <a:buChar char="•"/>
          </a:pPr>
          <a:r>
            <a:rPr lang="en-GB" sz="1100" baseline="0">
              <a:solidFill>
                <a:schemeClr val="tx1"/>
              </a:solidFill>
            </a:rPr>
            <a:t>Imagine who you could be and then aim single-mindedly at that.</a:t>
          </a:r>
        </a:p>
        <a:p>
          <a:pPr marL="171450" indent="-171450">
            <a:buFont typeface="Arial" panose="020B0604020202020204" pitchFamily="34" charset="0"/>
            <a:buChar char="•"/>
          </a:pPr>
          <a:r>
            <a:rPr lang="en-GB" sz="1100" baseline="0">
              <a:solidFill>
                <a:schemeClr val="tx1"/>
              </a:solidFill>
            </a:rPr>
            <a:t>Work as hard as you possibly can on at least one thing and see what happens.</a:t>
          </a:r>
        </a:p>
        <a:p>
          <a:pPr marL="171450" indent="-171450">
            <a:buFont typeface="Arial" panose="020B0604020202020204" pitchFamily="34" charset="0"/>
            <a:buChar char="•"/>
          </a:pPr>
          <a:r>
            <a:rPr lang="en-GB" sz="1100" baseline="0">
              <a:solidFill>
                <a:schemeClr val="tx1"/>
              </a:solidFill>
            </a:rPr>
            <a:t>Set your house in perfect order before you criticize the world.</a:t>
          </a:r>
        </a:p>
        <a:p>
          <a:pPr marL="171450" indent="-171450">
            <a:buFont typeface="Arial" panose="020B0604020202020204" pitchFamily="34" charset="0"/>
            <a:buChar char="•"/>
          </a:pPr>
          <a:r>
            <a:rPr lang="en-GB" sz="1100" baseline="0">
              <a:solidFill>
                <a:schemeClr val="tx1"/>
              </a:solidFill>
            </a:rPr>
            <a:t>If old memories still upset you, write them down carefully and completely.</a:t>
          </a:r>
        </a:p>
        <a:p>
          <a:pPr marL="171450" indent="-171450">
            <a:buFont typeface="Arial" panose="020B0604020202020204" pitchFamily="34" charset="0"/>
            <a:buChar char="•"/>
          </a:pPr>
          <a:r>
            <a:rPr lang="en-GB" sz="1100" baseline="0">
              <a:solidFill>
                <a:schemeClr val="tx1"/>
              </a:solidFill>
            </a:rPr>
            <a:t>Do not allow yourself to become resentful, deceitful, or arrogant.</a:t>
          </a:r>
        </a:p>
        <a:p>
          <a:pPr marL="171450" indent="-171450">
            <a:buFont typeface="Arial" panose="020B0604020202020204" pitchFamily="34" charset="0"/>
            <a:buChar char="•"/>
          </a:pPr>
          <a:r>
            <a:rPr lang="en-GB" sz="1100" baseline="0">
              <a:solidFill>
                <a:schemeClr val="tx1"/>
              </a:solidFill>
            </a:rPr>
            <a:t>Tell the truth – or, at least, don’t lie.</a:t>
          </a:r>
        </a:p>
        <a:p>
          <a:pPr marL="171450" indent="-171450">
            <a:buFont typeface="Arial" panose="020B0604020202020204" pitchFamily="34" charset="0"/>
            <a:buChar char="•"/>
          </a:pPr>
          <a:r>
            <a:rPr lang="en-GB" sz="1100" baseline="0">
              <a:solidFill>
                <a:schemeClr val="tx1"/>
              </a:solidFill>
            </a:rPr>
            <a:t>Be precise in your speech.</a:t>
          </a:r>
        </a:p>
        <a:p>
          <a:pPr marL="171450" indent="-171450">
            <a:buFont typeface="Arial" panose="020B0604020202020204" pitchFamily="34" charset="0"/>
            <a:buChar char="•"/>
          </a:pPr>
          <a:r>
            <a:rPr lang="en-GB" sz="1100" baseline="0">
              <a:solidFill>
                <a:schemeClr val="tx1"/>
              </a:solidFill>
            </a:rPr>
            <a:t>Do not do what you hate.</a:t>
          </a:r>
        </a:p>
        <a:p>
          <a:pPr marL="171450" indent="-171450">
            <a:buFont typeface="Arial" panose="020B0604020202020204" pitchFamily="34" charset="0"/>
            <a:buChar char="•"/>
          </a:pPr>
          <a:r>
            <a:rPr lang="en-GB" sz="1100" baseline="0">
              <a:solidFill>
                <a:schemeClr val="tx1"/>
              </a:solidFill>
            </a:rPr>
            <a:t>Be grateful in spite of your suffering.</a:t>
          </a:r>
        </a:p>
        <a:p>
          <a:pPr marL="171450" indent="-171450">
            <a:buFont typeface="Arial" panose="020B0604020202020204" pitchFamily="34" charset="0"/>
            <a:buChar char="•"/>
          </a:pPr>
          <a:r>
            <a:rPr lang="en-GB" sz="1100" baseline="0">
              <a:solidFill>
                <a:schemeClr val="tx1"/>
              </a:solidFill>
            </a:rPr>
            <a:t>Pet a cat when you encounter one on the street.</a:t>
          </a:r>
        </a:p>
        <a:p>
          <a:endParaRPr lang="en-GB" sz="1100" baseline="0">
            <a:solidFill>
              <a:schemeClr val="tx1"/>
            </a:solidFill>
          </a:endParaRPr>
        </a:p>
      </xdr:txBody>
    </xdr:sp>
    <xdr:clientData fLocksWithSheet="0"/>
  </xdr:twoCellAnchor>
  <xdr:twoCellAnchor>
    <xdr:from>
      <xdr:col>21</xdr:col>
      <xdr:colOff>0</xdr:colOff>
      <xdr:row>96</xdr:row>
      <xdr:rowOff>0</xdr:rowOff>
    </xdr:from>
    <xdr:to>
      <xdr:col>39</xdr:col>
      <xdr:colOff>0</xdr:colOff>
      <xdr:row>115</xdr:row>
      <xdr:rowOff>0</xdr:rowOff>
    </xdr:to>
    <xdr:sp macro="" textlink="" fLocksText="0">
      <xdr:nvSpPr>
        <xdr:cNvPr id="217" name="TextBox 216">
          <a:extLst>
            <a:ext uri="{FF2B5EF4-FFF2-40B4-BE49-F238E27FC236}">
              <a16:creationId xmlns:a16="http://schemas.microsoft.com/office/drawing/2014/main" id="{9CE24B34-B16E-48F8-9737-F16EEB7034D3}"/>
            </a:ext>
          </a:extLst>
        </xdr:cNvPr>
        <xdr:cNvSpPr txBox="1"/>
      </xdr:nvSpPr>
      <xdr:spPr>
        <a:xfrm>
          <a:off x="4800600" y="29546550"/>
          <a:ext cx="4114800" cy="3981450"/>
        </a:xfrm>
        <a:prstGeom prst="rect">
          <a:avLst/>
        </a:prstGeom>
        <a:solidFill>
          <a:srgbClr val="FFFFFF">
            <a:alpha val="50196"/>
          </a:srgb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b="1">
              <a:solidFill>
                <a:schemeClr val="tx1"/>
              </a:solidFill>
            </a:rPr>
            <a:t>James Clear</a:t>
          </a:r>
        </a:p>
        <a:p>
          <a:endParaRPr lang="en-GB" sz="1100">
            <a:solidFill>
              <a:schemeClr val="tx1"/>
            </a:solidFill>
          </a:endParaRPr>
        </a:p>
        <a:p>
          <a:r>
            <a:rPr lang="en-GB" sz="1100" b="1">
              <a:solidFill>
                <a:schemeClr val="tx1"/>
              </a:solidFill>
            </a:rPr>
            <a:t>Atomic habits:</a:t>
          </a:r>
        </a:p>
        <a:p>
          <a:endParaRPr lang="en-GB" sz="1100">
            <a:solidFill>
              <a:schemeClr val="tx1"/>
            </a:solidFill>
          </a:endParaRPr>
        </a:p>
        <a:p>
          <a:pPr marL="171450" indent="-171450">
            <a:buFont typeface="Arial" panose="020B0604020202020204" pitchFamily="34" charset="0"/>
            <a:buChar char="•"/>
          </a:pPr>
          <a:r>
            <a:rPr lang="en-GB" sz="1100">
              <a:solidFill>
                <a:schemeClr val="tx1"/>
              </a:solidFill>
            </a:rPr>
            <a:t>Make it obvious.</a:t>
          </a:r>
        </a:p>
        <a:p>
          <a:pPr marL="171450" indent="-171450">
            <a:buFont typeface="Arial" panose="020B0604020202020204" pitchFamily="34" charset="0"/>
            <a:buChar char="•"/>
          </a:pPr>
          <a:r>
            <a:rPr lang="en-GB" sz="1100">
              <a:solidFill>
                <a:schemeClr val="tx1"/>
              </a:solidFill>
            </a:rPr>
            <a:t>Make it attractive.</a:t>
          </a:r>
        </a:p>
        <a:p>
          <a:pPr marL="171450" indent="-171450">
            <a:buFont typeface="Arial" panose="020B0604020202020204" pitchFamily="34" charset="0"/>
            <a:buChar char="•"/>
          </a:pPr>
          <a:r>
            <a:rPr lang="en-GB" sz="1100">
              <a:solidFill>
                <a:schemeClr val="tx1"/>
              </a:solidFill>
            </a:rPr>
            <a:t>Make it easy.</a:t>
          </a:r>
        </a:p>
        <a:p>
          <a:pPr marL="171450" indent="-171450">
            <a:buFont typeface="Arial" panose="020B0604020202020204" pitchFamily="34" charset="0"/>
            <a:buChar char="•"/>
          </a:pPr>
          <a:r>
            <a:rPr lang="en-GB" sz="1100">
              <a:solidFill>
                <a:schemeClr val="tx1"/>
              </a:solidFill>
            </a:rPr>
            <a:t>Make it satisfying.</a:t>
          </a:r>
        </a:p>
        <a:p>
          <a:pPr marL="171450" indent="-171450">
            <a:buFont typeface="Arial" panose="020B0604020202020204" pitchFamily="34" charset="0"/>
            <a:buChar char="•"/>
          </a:pPr>
          <a:r>
            <a:rPr lang="en-GB" sz="1100">
              <a:solidFill>
                <a:schemeClr val="tx1"/>
              </a:solidFill>
            </a:rPr>
            <a:t>Do the painful thing first.</a:t>
          </a:r>
        </a:p>
        <a:p>
          <a:pPr marL="171450" indent="-171450">
            <a:buFont typeface="Arial" panose="020B0604020202020204" pitchFamily="34" charset="0"/>
            <a:buChar char="•"/>
          </a:pPr>
          <a:r>
            <a:rPr lang="en-GB" sz="1100">
              <a:solidFill>
                <a:schemeClr val="tx1"/>
              </a:solidFill>
            </a:rPr>
            <a:t>Complete is better than perfect.</a:t>
          </a:r>
        </a:p>
        <a:p>
          <a:pPr marL="171450" indent="-171450">
            <a:buFont typeface="Arial" panose="020B0604020202020204" pitchFamily="34" charset="0"/>
            <a:buChar char="•"/>
          </a:pPr>
          <a:r>
            <a:rPr lang="en-GB" sz="1100">
              <a:solidFill>
                <a:schemeClr val="tx1"/>
              </a:solidFill>
            </a:rPr>
            <a:t>Don’t try to be perfect, aim to be consistent.</a:t>
          </a:r>
        </a:p>
        <a:p>
          <a:pPr marL="171450" indent="-171450">
            <a:buFont typeface="Arial" panose="020B0604020202020204" pitchFamily="34" charset="0"/>
            <a:buChar char="•"/>
          </a:pPr>
          <a:r>
            <a:rPr lang="en-GB" sz="1100">
              <a:solidFill>
                <a:schemeClr val="tx1"/>
              </a:solidFill>
            </a:rPr>
            <a:t>You don’t need X, you need better X habits, then X will be as you want it to be.</a:t>
          </a:r>
        </a:p>
        <a:p>
          <a:pPr marL="171450" indent="-171450">
            <a:buFont typeface="Arial" panose="020B0604020202020204" pitchFamily="34" charset="0"/>
            <a:buChar char="•"/>
          </a:pPr>
          <a:r>
            <a:rPr lang="en-GB" sz="1100">
              <a:solidFill>
                <a:schemeClr val="tx1"/>
              </a:solidFill>
            </a:rPr>
            <a:t>Goals are good for planning your progress, systems are good for making progress.</a:t>
          </a:r>
        </a:p>
        <a:p>
          <a:pPr marL="171450" indent="-171450">
            <a:buFont typeface="Arial" panose="020B0604020202020204" pitchFamily="34" charset="0"/>
            <a:buChar char="•"/>
          </a:pPr>
          <a:r>
            <a:rPr lang="en-GB" sz="1100">
              <a:solidFill>
                <a:schemeClr val="tx1"/>
              </a:solidFill>
            </a:rPr>
            <a:t>Goals are a single thing, systems are a cycle of endless refinement and improvement.</a:t>
          </a:r>
        </a:p>
        <a:p>
          <a:pPr marL="171450" indent="-171450">
            <a:buFont typeface="Arial" panose="020B0604020202020204" pitchFamily="34" charset="0"/>
            <a:buChar char="•"/>
          </a:pPr>
          <a:r>
            <a:rPr lang="en-GB" sz="1100">
              <a:solidFill>
                <a:schemeClr val="tx1"/>
              </a:solidFill>
            </a:rPr>
            <a:t>Small consistent improvements greatly compound with time.</a:t>
          </a:r>
        </a:p>
        <a:p>
          <a:pPr marL="171450" indent="-171450">
            <a:buFont typeface="Arial" panose="020B0604020202020204" pitchFamily="34" charset="0"/>
            <a:buChar char="•"/>
          </a:pPr>
          <a:r>
            <a:rPr lang="en-GB" sz="1100">
              <a:solidFill>
                <a:schemeClr val="tx1"/>
              </a:solidFill>
            </a:rPr>
            <a:t>Motivation often comes after starting, as a result of doing a small bit of something.</a:t>
          </a:r>
        </a:p>
        <a:p>
          <a:endParaRPr lang="en-GB" sz="1100">
            <a:solidFill>
              <a:schemeClr val="tx1"/>
            </a:solidFill>
          </a:endParaRPr>
        </a:p>
        <a:p>
          <a:endParaRPr lang="en-GB" sz="1100">
            <a:solidFill>
              <a:schemeClr val="tx1"/>
            </a:solidFill>
          </a:endParaRPr>
        </a:p>
        <a:p>
          <a:endParaRPr lang="en-GB" sz="1100">
            <a:solidFill>
              <a:schemeClr val="tx1"/>
            </a:solidFill>
          </a:endParaRPr>
        </a:p>
        <a:p>
          <a:endParaRPr lang="en-GB" sz="1100" baseline="0">
            <a:solidFill>
              <a:schemeClr val="tx1"/>
            </a:solidFill>
          </a:endParaRPr>
        </a:p>
        <a:p>
          <a:endParaRPr lang="en-GB" sz="1100">
            <a:solidFill>
              <a:schemeClr val="tx1"/>
            </a:solidFill>
          </a:endParaRPr>
        </a:p>
      </xdr:txBody>
    </xdr:sp>
    <xdr:clientData fLocksWithSheet="0"/>
  </xdr:twoCellAnchor>
  <xdr:twoCellAnchor>
    <xdr:from>
      <xdr:col>40</xdr:col>
      <xdr:colOff>0</xdr:colOff>
      <xdr:row>125</xdr:row>
      <xdr:rowOff>0</xdr:rowOff>
    </xdr:from>
    <xdr:to>
      <xdr:col>58</xdr:col>
      <xdr:colOff>0</xdr:colOff>
      <xdr:row>139</xdr:row>
      <xdr:rowOff>0</xdr:rowOff>
    </xdr:to>
    <xdr:sp macro="" textlink="" fLocksText="0">
      <xdr:nvSpPr>
        <xdr:cNvPr id="218" name="TextBox 217">
          <a:extLst>
            <a:ext uri="{FF2B5EF4-FFF2-40B4-BE49-F238E27FC236}">
              <a16:creationId xmlns:a16="http://schemas.microsoft.com/office/drawing/2014/main" id="{67E6AC62-F157-4043-9369-E64B220F86F0}"/>
            </a:ext>
          </a:extLst>
        </xdr:cNvPr>
        <xdr:cNvSpPr txBox="1"/>
      </xdr:nvSpPr>
      <xdr:spPr>
        <a:xfrm>
          <a:off x="9144000" y="26193750"/>
          <a:ext cx="4114800" cy="2933700"/>
        </a:xfrm>
        <a:prstGeom prst="rect">
          <a:avLst/>
        </a:prstGeom>
        <a:solidFill>
          <a:srgbClr val="FFFFFF">
            <a:alpha val="50196"/>
          </a:srgb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b="1">
              <a:solidFill>
                <a:schemeClr val="tx1"/>
              </a:solidFill>
            </a:rPr>
            <a:t>Beau Lotto </a:t>
          </a:r>
        </a:p>
        <a:p>
          <a:endParaRPr lang="en-GB" sz="1100">
            <a:solidFill>
              <a:schemeClr val="tx1"/>
            </a:solidFill>
          </a:endParaRPr>
        </a:p>
        <a:p>
          <a:r>
            <a:rPr lang="en-GB" sz="1100" b="1">
              <a:solidFill>
                <a:schemeClr val="tx1"/>
              </a:solidFill>
            </a:rPr>
            <a:t>Deviate:</a:t>
          </a:r>
        </a:p>
        <a:p>
          <a:endParaRPr lang="en-GB" sz="1100" baseline="0">
            <a:solidFill>
              <a:schemeClr val="tx1"/>
            </a:solidFill>
          </a:endParaRPr>
        </a:p>
        <a:p>
          <a:r>
            <a:rPr lang="en-GB" sz="1100" baseline="0">
              <a:solidFill>
                <a:schemeClr val="tx1"/>
              </a:solidFill>
            </a:rPr>
            <a:t>Not A.</a:t>
          </a:r>
        </a:p>
        <a:p>
          <a:endParaRPr lang="en-GB" sz="1100" baseline="0">
            <a:solidFill>
              <a:schemeClr val="tx1"/>
            </a:solidFill>
          </a:endParaRPr>
        </a:p>
        <a:p>
          <a:r>
            <a:rPr lang="en-GB" sz="1100" baseline="0">
              <a:solidFill>
                <a:schemeClr val="tx1"/>
              </a:solidFill>
            </a:rPr>
            <a:t>Your default response or action is A.</a:t>
          </a:r>
        </a:p>
        <a:p>
          <a:endParaRPr lang="en-GB" sz="1100" baseline="0">
            <a:solidFill>
              <a:schemeClr val="tx1"/>
            </a:solidFill>
          </a:endParaRPr>
        </a:p>
        <a:p>
          <a:r>
            <a:rPr lang="en-GB" sz="1100" baseline="0">
              <a:solidFill>
                <a:schemeClr val="tx1"/>
              </a:solidFill>
            </a:rPr>
            <a:t>In order to think differently, try absolutely anything but A.</a:t>
          </a:r>
        </a:p>
        <a:p>
          <a:endParaRPr lang="en-GB" sz="1100" baseline="0">
            <a:solidFill>
              <a:schemeClr val="tx1"/>
            </a:solidFill>
          </a:endParaRPr>
        </a:p>
        <a:p>
          <a:r>
            <a:rPr lang="en-GB" sz="1100" baseline="0">
              <a:solidFill>
                <a:schemeClr val="tx1"/>
              </a:solidFill>
            </a:rPr>
            <a:t>Because then the possibilities become wide. </a:t>
          </a:r>
        </a:p>
        <a:p>
          <a:endParaRPr lang="en-GB" sz="1100" baseline="0">
            <a:solidFill>
              <a:schemeClr val="tx1"/>
            </a:solidFill>
          </a:endParaRPr>
        </a:p>
        <a:p>
          <a:r>
            <a:rPr lang="en-GB" sz="1100" baseline="0">
              <a:solidFill>
                <a:schemeClr val="tx1"/>
              </a:solidFill>
            </a:rPr>
            <a:t>Instead of the single option A, you have B, or C, or D, or E,  or F...</a:t>
          </a:r>
        </a:p>
        <a:p>
          <a:endParaRPr lang="en-GB" sz="1100" baseline="0">
            <a:solidFill>
              <a:schemeClr val="tx1"/>
            </a:solidFill>
          </a:endParaRPr>
        </a:p>
        <a:p>
          <a:r>
            <a:rPr lang="en-GB" sz="1100" baseline="0">
              <a:solidFill>
                <a:schemeClr val="tx1"/>
              </a:solidFill>
            </a:rPr>
            <a:t>...and so on. </a:t>
          </a:r>
        </a:p>
        <a:p>
          <a:endParaRPr lang="en-GB" sz="1100">
            <a:solidFill>
              <a:schemeClr val="tx1"/>
            </a:solidFill>
          </a:endParaRPr>
        </a:p>
      </xdr:txBody>
    </xdr:sp>
    <xdr:clientData fLocksWithSheet="0"/>
  </xdr:twoCellAnchor>
  <xdr:twoCellAnchor>
    <xdr:from>
      <xdr:col>59</xdr:col>
      <xdr:colOff>0</xdr:colOff>
      <xdr:row>99</xdr:row>
      <xdr:rowOff>0</xdr:rowOff>
    </xdr:from>
    <xdr:to>
      <xdr:col>77</xdr:col>
      <xdr:colOff>0</xdr:colOff>
      <xdr:row>110</xdr:row>
      <xdr:rowOff>0</xdr:rowOff>
    </xdr:to>
    <xdr:sp macro="" textlink="" fLocksText="0">
      <xdr:nvSpPr>
        <xdr:cNvPr id="219" name="TextBox 218">
          <a:extLst>
            <a:ext uri="{FF2B5EF4-FFF2-40B4-BE49-F238E27FC236}">
              <a16:creationId xmlns:a16="http://schemas.microsoft.com/office/drawing/2014/main" id="{C919DE2D-822B-41D5-B8FD-85ABFFBE0688}"/>
            </a:ext>
          </a:extLst>
        </xdr:cNvPr>
        <xdr:cNvSpPr txBox="1"/>
      </xdr:nvSpPr>
      <xdr:spPr>
        <a:xfrm>
          <a:off x="13487400" y="30175200"/>
          <a:ext cx="4114800" cy="2305050"/>
        </a:xfrm>
        <a:prstGeom prst="rect">
          <a:avLst/>
        </a:prstGeom>
        <a:solidFill>
          <a:srgbClr val="FFFFFF">
            <a:alpha val="50196"/>
          </a:srgb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b="1">
              <a:solidFill>
                <a:schemeClr val="tx1"/>
              </a:solidFill>
            </a:rPr>
            <a:t>From</a:t>
          </a:r>
          <a:r>
            <a:rPr lang="en-GB" sz="1100" b="1" baseline="0">
              <a:solidFill>
                <a:schemeClr val="tx1"/>
              </a:solidFill>
            </a:rPr>
            <a:t> the Stoics</a:t>
          </a:r>
          <a:r>
            <a:rPr lang="en-GB" sz="1100" b="1">
              <a:solidFill>
                <a:schemeClr val="tx1"/>
              </a:solidFill>
            </a:rPr>
            <a:t>:</a:t>
          </a:r>
        </a:p>
        <a:p>
          <a:endParaRPr lang="en-GB" sz="1100">
            <a:solidFill>
              <a:schemeClr val="tx1"/>
            </a:solidFill>
          </a:endParaRPr>
        </a:p>
        <a:p>
          <a:pPr marL="171450" indent="-171450">
            <a:buFont typeface="Arial" panose="020B0604020202020204" pitchFamily="34" charset="0"/>
            <a:buChar char="•"/>
          </a:pPr>
          <a:r>
            <a:rPr lang="en-GB" sz="1100">
              <a:solidFill>
                <a:schemeClr val="tx1"/>
              </a:solidFill>
            </a:rPr>
            <a:t>Accept whatever happens to you as a positive.</a:t>
          </a:r>
        </a:p>
        <a:p>
          <a:pPr marL="171450" indent="-171450">
            <a:buFont typeface="Arial" panose="020B0604020202020204" pitchFamily="34" charset="0"/>
            <a:buChar char="•"/>
          </a:pPr>
          <a:r>
            <a:rPr lang="en-GB" sz="1100">
              <a:solidFill>
                <a:schemeClr val="tx1"/>
              </a:solidFill>
            </a:rPr>
            <a:t>Focus on what you can truly control.</a:t>
          </a:r>
        </a:p>
        <a:p>
          <a:pPr marL="171450" indent="-171450">
            <a:buFont typeface="Arial" panose="020B0604020202020204" pitchFamily="34" charset="0"/>
            <a:buChar char="•"/>
          </a:pPr>
          <a:r>
            <a:rPr lang="en-GB" sz="1100">
              <a:solidFill>
                <a:schemeClr val="tx1"/>
              </a:solidFill>
            </a:rPr>
            <a:t>Learn to love whatever happens to you, not just bear it or accept it, but love it.</a:t>
          </a:r>
        </a:p>
        <a:p>
          <a:pPr marL="171450" indent="-171450">
            <a:buFont typeface="Arial" panose="020B0604020202020204" pitchFamily="34" charset="0"/>
            <a:buChar char="•"/>
          </a:pPr>
          <a:r>
            <a:rPr lang="en-GB" sz="1100">
              <a:solidFill>
                <a:schemeClr val="tx1"/>
              </a:solidFill>
            </a:rPr>
            <a:t>Accept the good things without arrogance, let the bad things go with indifference.</a:t>
          </a:r>
        </a:p>
        <a:p>
          <a:pPr marL="171450" indent="-171450">
            <a:buFont typeface="Arial" panose="020B0604020202020204" pitchFamily="34" charset="0"/>
            <a:buChar char="•"/>
          </a:pPr>
          <a:r>
            <a:rPr lang="en-GB" sz="1100">
              <a:solidFill>
                <a:schemeClr val="tx1"/>
              </a:solidFill>
            </a:rPr>
            <a:t>You could leave life right now, let that determine what you do and say and think.</a:t>
          </a:r>
        </a:p>
        <a:p>
          <a:pPr marL="171450" indent="-171450">
            <a:buFont typeface="Arial" panose="020B0604020202020204" pitchFamily="34" charset="0"/>
            <a:buChar char="•"/>
          </a:pPr>
          <a:r>
            <a:rPr lang="en-GB" sz="1100">
              <a:solidFill>
                <a:schemeClr val="tx1"/>
              </a:solidFill>
            </a:rPr>
            <a:t>Think before you speak and say less than is necessary</a:t>
          </a:r>
        </a:p>
        <a:p>
          <a:endParaRPr lang="en-GB" sz="1100">
            <a:solidFill>
              <a:schemeClr val="tx1"/>
            </a:solidFill>
          </a:endParaRPr>
        </a:p>
        <a:p>
          <a:endParaRPr lang="en-GB" sz="1100">
            <a:solidFill>
              <a:schemeClr val="tx1"/>
            </a:solidFill>
          </a:endParaRPr>
        </a:p>
        <a:p>
          <a:endParaRPr lang="en-GB" sz="1100">
            <a:solidFill>
              <a:schemeClr val="tx1"/>
            </a:solidFill>
          </a:endParaRPr>
        </a:p>
        <a:p>
          <a:endParaRPr lang="en-GB" sz="1100" baseline="0">
            <a:solidFill>
              <a:schemeClr val="tx1"/>
            </a:solidFill>
          </a:endParaRPr>
        </a:p>
        <a:p>
          <a:endParaRPr lang="en-GB" sz="1100">
            <a:solidFill>
              <a:schemeClr val="tx1"/>
            </a:solidFill>
          </a:endParaRPr>
        </a:p>
      </xdr:txBody>
    </xdr:sp>
    <xdr:clientData fLocksWithSheet="0"/>
  </xdr:twoCellAnchor>
  <xdr:twoCellAnchor>
    <xdr:from>
      <xdr:col>40</xdr:col>
      <xdr:colOff>0</xdr:colOff>
      <xdr:row>101</xdr:row>
      <xdr:rowOff>0</xdr:rowOff>
    </xdr:from>
    <xdr:to>
      <xdr:col>58</xdr:col>
      <xdr:colOff>0</xdr:colOff>
      <xdr:row>108</xdr:row>
      <xdr:rowOff>0</xdr:rowOff>
    </xdr:to>
    <xdr:sp macro="" textlink="" fLocksText="0">
      <xdr:nvSpPr>
        <xdr:cNvPr id="220" name="TextBox 219">
          <a:extLst>
            <a:ext uri="{FF2B5EF4-FFF2-40B4-BE49-F238E27FC236}">
              <a16:creationId xmlns:a16="http://schemas.microsoft.com/office/drawing/2014/main" id="{A2FF730C-CB47-46A2-A5B0-F7307BB54E0D}"/>
            </a:ext>
          </a:extLst>
        </xdr:cNvPr>
        <xdr:cNvSpPr txBox="1"/>
      </xdr:nvSpPr>
      <xdr:spPr>
        <a:xfrm>
          <a:off x="9144000" y="30594300"/>
          <a:ext cx="4114800" cy="1466850"/>
        </a:xfrm>
        <a:prstGeom prst="rect">
          <a:avLst/>
        </a:prstGeom>
        <a:solidFill>
          <a:srgbClr val="FFFFFF">
            <a:alpha val="50196"/>
          </a:srgb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b="1">
              <a:solidFill>
                <a:schemeClr val="tx1"/>
              </a:solidFill>
            </a:rPr>
            <a:t>Stop</a:t>
          </a:r>
          <a:r>
            <a:rPr lang="en-GB" sz="1100" b="1" baseline="0">
              <a:solidFill>
                <a:schemeClr val="tx1"/>
              </a:solidFill>
            </a:rPr>
            <a:t> Buying Things</a:t>
          </a:r>
          <a:endParaRPr lang="en-GB" sz="1100" b="1">
            <a:solidFill>
              <a:schemeClr val="tx1"/>
            </a:solidFill>
          </a:endParaRPr>
        </a:p>
        <a:p>
          <a:endParaRPr lang="en-GB" sz="1100">
            <a:solidFill>
              <a:schemeClr val="tx1"/>
            </a:solidFill>
          </a:endParaRPr>
        </a:p>
        <a:p>
          <a:r>
            <a:rPr lang="en-GB" sz="1100" baseline="0">
              <a:solidFill>
                <a:schemeClr val="tx1"/>
              </a:solidFill>
            </a:rPr>
            <a:t>Only buy things necessary to survival.</a:t>
          </a:r>
        </a:p>
        <a:p>
          <a:r>
            <a:rPr lang="en-GB" sz="1100" baseline="0">
              <a:solidFill>
                <a:schemeClr val="tx1"/>
              </a:solidFill>
            </a:rPr>
            <a:t>Only buy things necessary to be clean and tidy.</a:t>
          </a:r>
        </a:p>
        <a:p>
          <a:r>
            <a:rPr lang="en-GB" sz="1100" baseline="0">
              <a:solidFill>
                <a:schemeClr val="tx1"/>
              </a:solidFill>
            </a:rPr>
            <a:t>Only buy to replace something worn out or broken.</a:t>
          </a:r>
        </a:p>
        <a:p>
          <a:r>
            <a:rPr lang="en-GB" sz="1100">
              <a:solidFill>
                <a:schemeClr val="tx1"/>
              </a:solidFill>
            </a:rPr>
            <a:t>Spend on services or experiences</a:t>
          </a:r>
          <a:r>
            <a:rPr lang="en-GB" sz="1100" baseline="0">
              <a:solidFill>
                <a:schemeClr val="tx1"/>
              </a:solidFill>
            </a:rPr>
            <a:t> instead. </a:t>
          </a:r>
          <a:endParaRPr lang="en-GB" sz="1100">
            <a:solidFill>
              <a:schemeClr val="tx1"/>
            </a:solidFill>
          </a:endParaRPr>
        </a:p>
      </xdr:txBody>
    </xdr:sp>
    <xdr:clientData fLocksWithSheet="0"/>
  </xdr:twoCellAnchor>
  <xdr:twoCellAnchor>
    <xdr:from>
      <xdr:col>40</xdr:col>
      <xdr:colOff>0</xdr:colOff>
      <xdr:row>117</xdr:row>
      <xdr:rowOff>0</xdr:rowOff>
    </xdr:from>
    <xdr:to>
      <xdr:col>58</xdr:col>
      <xdr:colOff>0</xdr:colOff>
      <xdr:row>124</xdr:row>
      <xdr:rowOff>0</xdr:rowOff>
    </xdr:to>
    <xdr:sp macro="" textlink="" fLocksText="0">
      <xdr:nvSpPr>
        <xdr:cNvPr id="221" name="TextBox 220">
          <a:extLst>
            <a:ext uri="{FF2B5EF4-FFF2-40B4-BE49-F238E27FC236}">
              <a16:creationId xmlns:a16="http://schemas.microsoft.com/office/drawing/2014/main" id="{E796505C-5B0B-4495-8DF6-CD09692EAFCB}"/>
            </a:ext>
          </a:extLst>
        </xdr:cNvPr>
        <xdr:cNvSpPr txBox="1"/>
      </xdr:nvSpPr>
      <xdr:spPr>
        <a:xfrm>
          <a:off x="9144000" y="33947100"/>
          <a:ext cx="4114800" cy="1466850"/>
        </a:xfrm>
        <a:prstGeom prst="rect">
          <a:avLst/>
        </a:prstGeom>
        <a:solidFill>
          <a:srgbClr val="FFFFFF">
            <a:alpha val="50196"/>
          </a:srgb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b="1">
              <a:solidFill>
                <a:schemeClr val="tx1"/>
              </a:solidFill>
            </a:rPr>
            <a:t>The Five Tenets of Well-Being:</a:t>
          </a:r>
        </a:p>
        <a:p>
          <a:endParaRPr lang="en-GB" sz="1100">
            <a:solidFill>
              <a:schemeClr val="tx1"/>
            </a:solidFill>
          </a:endParaRPr>
        </a:p>
        <a:p>
          <a:pPr marL="171450" indent="-171450">
            <a:buFont typeface="Arial" panose="020B0604020202020204" pitchFamily="34" charset="0"/>
            <a:buChar char="•"/>
          </a:pPr>
          <a:r>
            <a:rPr lang="en-GB" sz="1100">
              <a:solidFill>
                <a:schemeClr val="tx1"/>
              </a:solidFill>
            </a:rPr>
            <a:t>Physical</a:t>
          </a:r>
          <a:r>
            <a:rPr lang="en-GB" sz="1100" baseline="0">
              <a:solidFill>
                <a:schemeClr val="tx1"/>
              </a:solidFill>
            </a:rPr>
            <a:t> Activity</a:t>
          </a:r>
        </a:p>
        <a:p>
          <a:pPr marL="171450" indent="-171450">
            <a:buFont typeface="Arial" panose="020B0604020202020204" pitchFamily="34" charset="0"/>
            <a:buChar char="•"/>
          </a:pPr>
          <a:r>
            <a:rPr lang="en-GB" sz="1100" baseline="0">
              <a:solidFill>
                <a:schemeClr val="tx1"/>
              </a:solidFill>
            </a:rPr>
            <a:t>Personal Interaction</a:t>
          </a:r>
        </a:p>
        <a:p>
          <a:pPr marL="171450" indent="-171450">
            <a:buFont typeface="Arial" panose="020B0604020202020204" pitchFamily="34" charset="0"/>
            <a:buChar char="•"/>
          </a:pPr>
          <a:r>
            <a:rPr lang="en-GB" sz="1100" baseline="0">
              <a:solidFill>
                <a:schemeClr val="tx1"/>
              </a:solidFill>
            </a:rPr>
            <a:t>Learning New Skills</a:t>
          </a:r>
        </a:p>
        <a:p>
          <a:pPr marL="171450" indent="-171450">
            <a:buFont typeface="Arial" panose="020B0604020202020204" pitchFamily="34" charset="0"/>
            <a:buChar char="•"/>
          </a:pPr>
          <a:r>
            <a:rPr lang="en-GB" sz="1100" baseline="0">
              <a:solidFill>
                <a:schemeClr val="tx1"/>
              </a:solidFill>
            </a:rPr>
            <a:t>Doing Good for Others</a:t>
          </a:r>
        </a:p>
        <a:p>
          <a:pPr marL="171450" indent="-171450">
            <a:buFont typeface="Arial" panose="020B0604020202020204" pitchFamily="34" charset="0"/>
            <a:buChar char="•"/>
          </a:pPr>
          <a:r>
            <a:rPr lang="en-GB" sz="1100" baseline="0">
              <a:solidFill>
                <a:schemeClr val="tx1"/>
              </a:solidFill>
            </a:rPr>
            <a:t>Being Mindful</a:t>
          </a:r>
          <a:endParaRPr lang="en-GB" sz="1100">
            <a:solidFill>
              <a:schemeClr val="tx1"/>
            </a:solidFill>
          </a:endParaRPr>
        </a:p>
      </xdr:txBody>
    </xdr:sp>
    <xdr:clientData fLocksWithSheet="0"/>
  </xdr:twoCellAnchor>
  <xdr:twoCellAnchor>
    <xdr:from>
      <xdr:col>2</xdr:col>
      <xdr:colOff>619</xdr:colOff>
      <xdr:row>105</xdr:row>
      <xdr:rowOff>0</xdr:rowOff>
    </xdr:from>
    <xdr:to>
      <xdr:col>20</xdr:col>
      <xdr:colOff>619</xdr:colOff>
      <xdr:row>130</xdr:row>
      <xdr:rowOff>200025</xdr:rowOff>
    </xdr:to>
    <xdr:sp macro="" textlink="" fLocksText="0">
      <xdr:nvSpPr>
        <xdr:cNvPr id="222" name="TextBox 221">
          <a:extLst>
            <a:ext uri="{FF2B5EF4-FFF2-40B4-BE49-F238E27FC236}">
              <a16:creationId xmlns:a16="http://schemas.microsoft.com/office/drawing/2014/main" id="{1629F651-F444-47D1-9CF3-4DFD25C26010}"/>
            </a:ext>
          </a:extLst>
        </xdr:cNvPr>
        <xdr:cNvSpPr txBox="1"/>
      </xdr:nvSpPr>
      <xdr:spPr>
        <a:xfrm>
          <a:off x="457819" y="31432500"/>
          <a:ext cx="4114800" cy="5438775"/>
        </a:xfrm>
        <a:prstGeom prst="rect">
          <a:avLst/>
        </a:prstGeom>
        <a:solidFill>
          <a:srgbClr val="FFFFFF">
            <a:alpha val="50196"/>
          </a:srgb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b="1">
              <a:solidFill>
                <a:schemeClr val="tx1"/>
              </a:solidFill>
            </a:rPr>
            <a:t>Barbara Sher</a:t>
          </a:r>
        </a:p>
        <a:p>
          <a:endParaRPr lang="en-GB" sz="1100">
            <a:solidFill>
              <a:schemeClr val="tx1"/>
            </a:solidFill>
          </a:endParaRPr>
        </a:p>
        <a:p>
          <a:r>
            <a:rPr lang="en-GB" sz="1100" b="1">
              <a:solidFill>
                <a:schemeClr val="tx1"/>
              </a:solidFill>
            </a:rPr>
            <a:t>Isolation is the dream killer, not your rotten attitude.  </a:t>
          </a:r>
        </a:p>
        <a:p>
          <a:endParaRPr lang="en-GB" sz="1100">
            <a:solidFill>
              <a:schemeClr val="tx1"/>
            </a:solidFill>
          </a:endParaRPr>
        </a:p>
        <a:p>
          <a:r>
            <a:rPr lang="en-GB" sz="1100">
              <a:solidFill>
                <a:schemeClr val="tx1"/>
              </a:solidFill>
            </a:rPr>
            <a:t>Cross out 'Positive Thinking' </a:t>
          </a:r>
        </a:p>
        <a:p>
          <a:endParaRPr lang="en-GB" sz="1100">
            <a:solidFill>
              <a:schemeClr val="tx1"/>
            </a:solidFill>
          </a:endParaRPr>
        </a:p>
        <a:p>
          <a:r>
            <a:rPr lang="en-GB" sz="1100">
              <a:solidFill>
                <a:schemeClr val="tx1"/>
              </a:solidFill>
            </a:rPr>
            <a:t>Instead</a:t>
          </a:r>
          <a:r>
            <a:rPr lang="en-GB" sz="1100" baseline="0">
              <a:solidFill>
                <a:schemeClr val="tx1"/>
              </a:solidFill>
            </a:rPr>
            <a:t> think '</a:t>
          </a:r>
          <a:r>
            <a:rPr lang="en-GB" sz="1100">
              <a:solidFill>
                <a:schemeClr val="tx1"/>
              </a:solidFill>
            </a:rPr>
            <a:t>Here's a team.' </a:t>
          </a:r>
        </a:p>
        <a:p>
          <a:endParaRPr lang="en-GB" sz="1100">
            <a:solidFill>
              <a:schemeClr val="tx1"/>
            </a:solidFill>
          </a:endParaRPr>
        </a:p>
        <a:p>
          <a:r>
            <a:rPr lang="en-GB" sz="1100">
              <a:solidFill>
                <a:schemeClr val="tx1"/>
              </a:solidFill>
            </a:rPr>
            <a:t>Not necessarily your closest friends or your parents, because they got attitudes about you, they might not help. </a:t>
          </a:r>
        </a:p>
        <a:p>
          <a:endParaRPr lang="en-GB" sz="1100">
            <a:solidFill>
              <a:schemeClr val="tx1"/>
            </a:solidFill>
          </a:endParaRPr>
        </a:p>
        <a:p>
          <a:r>
            <a:rPr lang="en-GB" sz="1100">
              <a:solidFill>
                <a:schemeClr val="tx1"/>
              </a:solidFill>
            </a:rPr>
            <a:t>Strangers are great, they're absolutely great. </a:t>
          </a:r>
        </a:p>
        <a:p>
          <a:endParaRPr lang="en-GB" sz="1100">
            <a:solidFill>
              <a:schemeClr val="tx1"/>
            </a:solidFill>
          </a:endParaRPr>
        </a:p>
        <a:p>
          <a:r>
            <a:rPr lang="en-GB" sz="1100">
              <a:solidFill>
                <a:schemeClr val="tx1"/>
              </a:solidFill>
            </a:rPr>
            <a:t>So here's what you do: You get a team. </a:t>
          </a:r>
        </a:p>
        <a:p>
          <a:endParaRPr lang="en-GB" sz="1100">
            <a:solidFill>
              <a:schemeClr val="tx1"/>
            </a:solidFill>
          </a:endParaRPr>
        </a:p>
        <a:p>
          <a:r>
            <a:rPr lang="en-GB" sz="1100">
              <a:solidFill>
                <a:schemeClr val="tx1"/>
              </a:solidFill>
            </a:rPr>
            <a:t>You figure out what you want, and then you say, here's my wish, and here's my obstacle. Here's what I want, and here's why I cannot have it. </a:t>
          </a:r>
        </a:p>
        <a:p>
          <a:endParaRPr lang="en-GB" sz="1100">
            <a:solidFill>
              <a:schemeClr val="tx1"/>
            </a:solidFill>
          </a:endParaRPr>
        </a:p>
        <a:p>
          <a:r>
            <a:rPr lang="en-GB" sz="1100">
              <a:solidFill>
                <a:schemeClr val="tx1"/>
              </a:solidFill>
            </a:rPr>
            <a:t>If you don't say both those things, nothing happens. </a:t>
          </a:r>
        </a:p>
        <a:p>
          <a:endParaRPr lang="en-GB" sz="1100">
            <a:solidFill>
              <a:schemeClr val="tx1"/>
            </a:solidFill>
          </a:endParaRPr>
        </a:p>
        <a:p>
          <a:r>
            <a:rPr lang="en-GB" sz="1100">
              <a:solidFill>
                <a:schemeClr val="tx1"/>
              </a:solidFill>
            </a:rPr>
            <a:t>We are problem solving animals. If you say, 'I'd love to be a ballerina.' Everybody goes, 'Mmm.' If you say, 'I'd love to be a ballerina, but I'm 44 years old.' Every mind starts working. </a:t>
          </a:r>
        </a:p>
        <a:p>
          <a:endParaRPr lang="en-GB" sz="1100">
            <a:solidFill>
              <a:schemeClr val="tx1"/>
            </a:solidFill>
          </a:endParaRPr>
        </a:p>
        <a:p>
          <a:r>
            <a:rPr lang="en-GB" sz="1100">
              <a:solidFill>
                <a:schemeClr val="tx1"/>
              </a:solidFill>
            </a:rPr>
            <a:t>Even if people don't like you, they'll solve your problem.</a:t>
          </a:r>
        </a:p>
        <a:p>
          <a:endParaRPr lang="en-GB" sz="1100">
            <a:solidFill>
              <a:schemeClr val="tx1"/>
            </a:solidFill>
          </a:endParaRPr>
        </a:p>
        <a:p>
          <a:r>
            <a:rPr lang="en-GB" sz="1100">
              <a:solidFill>
                <a:schemeClr val="tx1"/>
              </a:solidFill>
            </a:rPr>
            <a:t>People want to help. </a:t>
          </a:r>
        </a:p>
        <a:p>
          <a:endParaRPr lang="en-GB" sz="1100">
            <a:solidFill>
              <a:schemeClr val="tx1"/>
            </a:solidFill>
          </a:endParaRPr>
        </a:p>
        <a:p>
          <a:r>
            <a:rPr lang="en-GB" sz="1100">
              <a:solidFill>
                <a:schemeClr val="tx1"/>
              </a:solidFill>
            </a:rPr>
            <a:t>Amazing things will happen to you.</a:t>
          </a:r>
        </a:p>
      </xdr:txBody>
    </xdr:sp>
    <xdr:clientData fLocksWithSheet="0"/>
  </xdr:twoCellAnchor>
  <xdr:twoCellAnchor>
    <xdr:from>
      <xdr:col>40</xdr:col>
      <xdr:colOff>0</xdr:colOff>
      <xdr:row>109</xdr:row>
      <xdr:rowOff>0</xdr:rowOff>
    </xdr:from>
    <xdr:to>
      <xdr:col>58</xdr:col>
      <xdr:colOff>0</xdr:colOff>
      <xdr:row>116</xdr:row>
      <xdr:rowOff>0</xdr:rowOff>
    </xdr:to>
    <xdr:sp macro="" textlink="" fLocksText="0">
      <xdr:nvSpPr>
        <xdr:cNvPr id="223" name="TextBox 222">
          <a:extLst>
            <a:ext uri="{FF2B5EF4-FFF2-40B4-BE49-F238E27FC236}">
              <a16:creationId xmlns:a16="http://schemas.microsoft.com/office/drawing/2014/main" id="{0348BC55-D69E-4BD7-B3BF-EA967457E7C0}"/>
            </a:ext>
          </a:extLst>
        </xdr:cNvPr>
        <xdr:cNvSpPr txBox="1"/>
      </xdr:nvSpPr>
      <xdr:spPr>
        <a:xfrm>
          <a:off x="9144000" y="32270700"/>
          <a:ext cx="4114800" cy="1466850"/>
        </a:xfrm>
        <a:prstGeom prst="rect">
          <a:avLst/>
        </a:prstGeom>
        <a:solidFill>
          <a:srgbClr val="FFFFFF">
            <a:alpha val="50196"/>
          </a:srgb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b="1">
              <a:solidFill>
                <a:schemeClr val="tx1"/>
              </a:solidFill>
            </a:rPr>
            <a:t>The 3-2-1 Sleep Formula:</a:t>
          </a:r>
        </a:p>
        <a:p>
          <a:endParaRPr lang="en-GB" sz="1100">
            <a:solidFill>
              <a:schemeClr val="tx1"/>
            </a:solidFill>
          </a:endParaRPr>
        </a:p>
        <a:p>
          <a:r>
            <a:rPr lang="en-GB" sz="1100">
              <a:solidFill>
                <a:schemeClr val="tx1"/>
              </a:solidFill>
            </a:rPr>
            <a:t>3</a:t>
          </a:r>
          <a:r>
            <a:rPr lang="en-GB" sz="1100" baseline="0">
              <a:solidFill>
                <a:schemeClr val="tx1"/>
              </a:solidFill>
            </a:rPr>
            <a:t> hours before bed: stop food or alcohol</a:t>
          </a:r>
        </a:p>
        <a:p>
          <a:r>
            <a:rPr lang="en-GB" sz="1100" baseline="0">
              <a:solidFill>
                <a:schemeClr val="tx1"/>
              </a:solidFill>
            </a:rPr>
            <a:t>2 hours before bed: stop working</a:t>
          </a:r>
        </a:p>
        <a:p>
          <a:r>
            <a:rPr lang="en-GB" sz="1100" baseline="0">
              <a:solidFill>
                <a:schemeClr val="tx1"/>
              </a:solidFill>
            </a:rPr>
            <a:t>1 hour before bed: stop using screens</a:t>
          </a:r>
        </a:p>
        <a:p>
          <a:r>
            <a:rPr lang="en-GB" sz="1100" baseline="0">
              <a:solidFill>
                <a:schemeClr val="tx1"/>
              </a:solidFill>
            </a:rPr>
            <a:t>0 is the number of times to hit snooze on morning alarm</a:t>
          </a:r>
          <a:endParaRPr lang="en-GB" sz="1100">
            <a:solidFill>
              <a:schemeClr val="tx1"/>
            </a:solidFill>
          </a:endParaRPr>
        </a:p>
      </xdr:txBody>
    </xdr:sp>
    <xdr:clientData fLocksWithSheet="0"/>
  </xdr:twoCellAnchor>
  <xdr:twoCellAnchor>
    <xdr:from>
      <xdr:col>59</xdr:col>
      <xdr:colOff>0</xdr:colOff>
      <xdr:row>111</xdr:row>
      <xdr:rowOff>0</xdr:rowOff>
    </xdr:from>
    <xdr:to>
      <xdr:col>77</xdr:col>
      <xdr:colOff>0</xdr:colOff>
      <xdr:row>121</xdr:row>
      <xdr:rowOff>200025</xdr:rowOff>
    </xdr:to>
    <xdr:sp macro="" textlink="" fLocksText="0">
      <xdr:nvSpPr>
        <xdr:cNvPr id="224" name="TextBox 223">
          <a:extLst>
            <a:ext uri="{FF2B5EF4-FFF2-40B4-BE49-F238E27FC236}">
              <a16:creationId xmlns:a16="http://schemas.microsoft.com/office/drawing/2014/main" id="{AE0DE54A-A51B-4450-9D9A-8D3754F98846}"/>
            </a:ext>
          </a:extLst>
        </xdr:cNvPr>
        <xdr:cNvSpPr txBox="1"/>
      </xdr:nvSpPr>
      <xdr:spPr>
        <a:xfrm>
          <a:off x="13487400" y="32689800"/>
          <a:ext cx="4114800" cy="2295525"/>
        </a:xfrm>
        <a:prstGeom prst="rect">
          <a:avLst/>
        </a:prstGeom>
        <a:solidFill>
          <a:srgbClr val="FFFFFF">
            <a:alpha val="50196"/>
          </a:srgb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b="1">
              <a:solidFill>
                <a:schemeClr val="tx1"/>
              </a:solidFill>
            </a:rPr>
            <a:t>The</a:t>
          </a:r>
          <a:r>
            <a:rPr lang="en-GB" sz="1100" b="1" baseline="0">
              <a:solidFill>
                <a:schemeClr val="tx1"/>
              </a:solidFill>
            </a:rPr>
            <a:t> Philosophy of Starfleet in Star Trek</a:t>
          </a:r>
          <a:endParaRPr lang="en-GB" sz="1100" b="1">
            <a:solidFill>
              <a:schemeClr val="tx1"/>
            </a:solidFill>
          </a:endParaRPr>
        </a:p>
        <a:p>
          <a:endParaRPr lang="en-GB" sz="1100">
            <a:solidFill>
              <a:schemeClr val="tx1"/>
            </a:solidFill>
          </a:endParaRPr>
        </a:p>
        <a:p>
          <a:r>
            <a:rPr lang="en-GB" sz="1100" b="0">
              <a:solidFill>
                <a:schemeClr val="tx1"/>
              </a:solidFill>
            </a:rPr>
            <a:t>Embrace Minimalism</a:t>
          </a:r>
        </a:p>
        <a:p>
          <a:endParaRPr lang="en-GB" sz="1100" b="0">
            <a:solidFill>
              <a:schemeClr val="tx1"/>
            </a:solidFill>
          </a:endParaRPr>
        </a:p>
        <a:p>
          <a:r>
            <a:rPr lang="en-GB" sz="1100" b="0">
              <a:solidFill>
                <a:schemeClr val="tx1"/>
              </a:solidFill>
            </a:rPr>
            <a:t>Work</a:t>
          </a:r>
          <a:r>
            <a:rPr lang="en-GB" sz="1100" b="0" baseline="0">
              <a:solidFill>
                <a:schemeClr val="tx1"/>
              </a:solidFill>
            </a:rPr>
            <a:t> Really Hard</a:t>
          </a:r>
        </a:p>
        <a:p>
          <a:endParaRPr lang="en-GB" sz="1100" b="0" baseline="0">
            <a:solidFill>
              <a:schemeClr val="tx1"/>
            </a:solidFill>
          </a:endParaRPr>
        </a:p>
        <a:p>
          <a:r>
            <a:rPr lang="en-GB" sz="1100" b="0" baseline="0">
              <a:solidFill>
                <a:schemeClr val="tx1"/>
              </a:solidFill>
            </a:rPr>
            <a:t>Take Advantage of Company Benefits</a:t>
          </a:r>
        </a:p>
        <a:p>
          <a:endParaRPr lang="en-GB" sz="1100" b="0" baseline="0">
            <a:solidFill>
              <a:schemeClr val="tx1"/>
            </a:solidFill>
          </a:endParaRPr>
        </a:p>
        <a:p>
          <a:r>
            <a:rPr lang="en-GB" sz="1100" b="0" baseline="0">
              <a:solidFill>
                <a:schemeClr val="tx1"/>
              </a:solidFill>
            </a:rPr>
            <a:t>Entrepreneurship</a:t>
          </a:r>
        </a:p>
        <a:p>
          <a:endParaRPr lang="en-GB" sz="1100" b="0" baseline="0">
            <a:solidFill>
              <a:schemeClr val="tx1"/>
            </a:solidFill>
          </a:endParaRPr>
        </a:p>
        <a:p>
          <a:r>
            <a:rPr lang="en-GB" sz="1100" b="0" baseline="0">
              <a:solidFill>
                <a:schemeClr val="tx1"/>
              </a:solidFill>
            </a:rPr>
            <a:t>Own Up to Career Busting Mistakes</a:t>
          </a:r>
          <a:endParaRPr lang="en-GB" sz="1100" b="0">
            <a:solidFill>
              <a:schemeClr val="tx1"/>
            </a:solidFill>
          </a:endParaRPr>
        </a:p>
      </xdr:txBody>
    </xdr:sp>
    <xdr:clientData fLocksWithSheet="0"/>
  </xdr:twoCellAnchor>
  <xdr:twoCellAnchor>
    <xdr:from>
      <xdr:col>40</xdr:col>
      <xdr:colOff>0</xdr:colOff>
      <xdr:row>140</xdr:row>
      <xdr:rowOff>0</xdr:rowOff>
    </xdr:from>
    <xdr:to>
      <xdr:col>58</xdr:col>
      <xdr:colOff>0</xdr:colOff>
      <xdr:row>157</xdr:row>
      <xdr:rowOff>0</xdr:rowOff>
    </xdr:to>
    <xdr:sp macro="" textlink="" fLocksText="0">
      <xdr:nvSpPr>
        <xdr:cNvPr id="225" name="TextBox 224">
          <a:extLst>
            <a:ext uri="{FF2B5EF4-FFF2-40B4-BE49-F238E27FC236}">
              <a16:creationId xmlns:a16="http://schemas.microsoft.com/office/drawing/2014/main" id="{028E5A83-4543-4ADF-8A03-ACCA2C1F4479}"/>
            </a:ext>
          </a:extLst>
        </xdr:cNvPr>
        <xdr:cNvSpPr txBox="1"/>
      </xdr:nvSpPr>
      <xdr:spPr>
        <a:xfrm>
          <a:off x="9144000" y="29337000"/>
          <a:ext cx="4114800" cy="3562350"/>
        </a:xfrm>
        <a:prstGeom prst="rect">
          <a:avLst/>
        </a:prstGeom>
        <a:solidFill>
          <a:srgbClr val="FFFFFF">
            <a:alpha val="50196"/>
          </a:srgb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b="1">
              <a:solidFill>
                <a:schemeClr val="tx1"/>
              </a:solidFill>
            </a:rPr>
            <a:t>Dr.</a:t>
          </a:r>
          <a:r>
            <a:rPr lang="en-GB" sz="1100" b="1" baseline="0">
              <a:solidFill>
                <a:schemeClr val="tx1"/>
              </a:solidFill>
            </a:rPr>
            <a:t> Nicole LePera</a:t>
          </a:r>
          <a:endParaRPr lang="en-GB" sz="1100" b="1">
            <a:solidFill>
              <a:schemeClr val="tx1"/>
            </a:solidFill>
          </a:endParaRPr>
        </a:p>
        <a:p>
          <a:endParaRPr lang="en-GB" sz="1100">
            <a:solidFill>
              <a:schemeClr val="tx1"/>
            </a:solidFill>
          </a:endParaRPr>
        </a:p>
        <a:p>
          <a:r>
            <a:rPr lang="en-GB" sz="1100" b="1">
              <a:solidFill>
                <a:schemeClr val="tx1"/>
              </a:solidFill>
            </a:rPr>
            <a:t>Healthy</a:t>
          </a:r>
          <a:r>
            <a:rPr lang="en-GB" sz="1100" b="1" baseline="0">
              <a:solidFill>
                <a:schemeClr val="tx1"/>
              </a:solidFill>
            </a:rPr>
            <a:t> Emotional Responsibility:</a:t>
          </a:r>
          <a:endParaRPr lang="en-GB" sz="1100" b="1">
            <a:solidFill>
              <a:schemeClr val="tx1"/>
            </a:solidFill>
          </a:endParaRPr>
        </a:p>
        <a:p>
          <a:endParaRPr lang="en-GB" sz="1100" baseline="0">
            <a:solidFill>
              <a:schemeClr val="tx1"/>
            </a:solidFill>
          </a:endParaRPr>
        </a:p>
        <a:p>
          <a:pPr marL="171450" indent="-171450">
            <a:buFont typeface="Arial" panose="020B0604020202020204" pitchFamily="34" charset="0"/>
            <a:buChar char="•"/>
          </a:pPr>
          <a:r>
            <a:rPr lang="en-GB" sz="1100" b="0" baseline="0">
              <a:solidFill>
                <a:schemeClr val="tx1"/>
              </a:solidFill>
            </a:rPr>
            <a:t>If someone's upset, they'll need to directly communicate this to me.</a:t>
          </a:r>
        </a:p>
        <a:p>
          <a:pPr marL="171450" indent="-171450">
            <a:buFont typeface="Arial" panose="020B0604020202020204" pitchFamily="34" charset="0"/>
            <a:buChar char="•"/>
          </a:pPr>
          <a:r>
            <a:rPr lang="en-GB" sz="1100" b="0" baseline="0">
              <a:solidFill>
                <a:schemeClr val="tx1"/>
              </a:solidFill>
            </a:rPr>
            <a:t>If I'm upset, I need to directly communicate this to people.</a:t>
          </a:r>
        </a:p>
        <a:p>
          <a:pPr marL="171450" indent="-171450">
            <a:buFont typeface="Arial" panose="020B0604020202020204" pitchFamily="34" charset="0"/>
            <a:buChar char="•"/>
          </a:pPr>
          <a:r>
            <a:rPr lang="en-GB" sz="1100" b="0" baseline="0">
              <a:solidFill>
                <a:schemeClr val="tx1"/>
              </a:solidFill>
            </a:rPr>
            <a:t>Rather than assuming someone's emotional state (like I had to as a child), as an adult, I ask. </a:t>
          </a:r>
        </a:p>
        <a:p>
          <a:pPr marL="171450" indent="-171450">
            <a:buFont typeface="Arial" panose="020B0604020202020204" pitchFamily="34" charset="0"/>
            <a:buChar char="•"/>
          </a:pPr>
          <a:r>
            <a:rPr lang="en-GB" sz="1100" b="0" baseline="0">
              <a:solidFill>
                <a:schemeClr val="tx1"/>
              </a:solidFill>
            </a:rPr>
            <a:t>If I ask and someone says, 'nothing is wrong,' I honour this as truth, not an invitation to keep guessing or digging.</a:t>
          </a:r>
        </a:p>
        <a:p>
          <a:pPr marL="171450" indent="-171450">
            <a:buFont typeface="Arial" panose="020B0604020202020204" pitchFamily="34" charset="0"/>
            <a:buChar char="•"/>
          </a:pPr>
          <a:r>
            <a:rPr lang="en-GB" sz="1100" b="0" baseline="0">
              <a:solidFill>
                <a:schemeClr val="tx1"/>
              </a:solidFill>
            </a:rPr>
            <a:t>If I upset someone, that's ok. Adults are capable of being upset. It no longer means I'm 'bad' like when I was a child.</a:t>
          </a:r>
        </a:p>
        <a:p>
          <a:pPr marL="171450" indent="-171450">
            <a:buFont typeface="Arial" panose="020B0604020202020204" pitchFamily="34" charset="0"/>
            <a:buChar char="•"/>
          </a:pPr>
          <a:r>
            <a:rPr lang="en-GB" sz="1100" b="0" baseline="0">
              <a:solidFill>
                <a:schemeClr val="tx1"/>
              </a:solidFill>
            </a:rPr>
            <a:t>If someone upsets me, I must speak up for myself. This is how I establish boundaries.</a:t>
          </a:r>
        </a:p>
        <a:p>
          <a:endParaRPr lang="en-GB" sz="1100">
            <a:solidFill>
              <a:schemeClr val="tx1"/>
            </a:solidFill>
          </a:endParaRPr>
        </a:p>
        <a:p>
          <a:r>
            <a:rPr lang="en-GB" sz="1100">
              <a:solidFill>
                <a:schemeClr val="tx1"/>
              </a:solidFill>
            </a:rPr>
            <a:t>Our role as adults isn't to</a:t>
          </a:r>
          <a:r>
            <a:rPr lang="en-GB" sz="1100" baseline="0">
              <a:solidFill>
                <a:schemeClr val="tx1"/>
              </a:solidFill>
            </a:rPr>
            <a:t> find the meaning behind people's actions. As adults, we are responsible for openly communicating our issues or problems. We are not responsible for the emotions of other adults. </a:t>
          </a:r>
        </a:p>
      </xdr:txBody>
    </xdr:sp>
    <xdr:clientData fLocksWithSheet="0"/>
  </xdr:twoCellAnchor>
  <xdr:twoCellAnchor>
    <xdr:from>
      <xdr:col>21</xdr:col>
      <xdr:colOff>0</xdr:colOff>
      <xdr:row>136</xdr:row>
      <xdr:rowOff>0</xdr:rowOff>
    </xdr:from>
    <xdr:to>
      <xdr:col>39</xdr:col>
      <xdr:colOff>0</xdr:colOff>
      <xdr:row>143</xdr:row>
      <xdr:rowOff>0</xdr:rowOff>
    </xdr:to>
    <xdr:sp macro="" textlink="" fLocksText="0">
      <xdr:nvSpPr>
        <xdr:cNvPr id="226" name="TextBox 225">
          <a:extLst>
            <a:ext uri="{FF2B5EF4-FFF2-40B4-BE49-F238E27FC236}">
              <a16:creationId xmlns:a16="http://schemas.microsoft.com/office/drawing/2014/main" id="{7FD0F04C-8DC2-46D9-8F99-4516E3989225}"/>
            </a:ext>
          </a:extLst>
        </xdr:cNvPr>
        <xdr:cNvSpPr txBox="1"/>
      </xdr:nvSpPr>
      <xdr:spPr>
        <a:xfrm>
          <a:off x="4800600" y="28498800"/>
          <a:ext cx="4114800" cy="1466850"/>
        </a:xfrm>
        <a:prstGeom prst="rect">
          <a:avLst/>
        </a:prstGeom>
        <a:solidFill>
          <a:srgbClr val="FFFFFF">
            <a:alpha val="50196"/>
          </a:srgb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b="1">
              <a:solidFill>
                <a:schemeClr val="tx1"/>
              </a:solidFill>
            </a:rPr>
            <a:t>4 Things you probably need to hear</a:t>
          </a:r>
          <a:r>
            <a:rPr lang="en-GB" sz="1100" b="1" baseline="0">
              <a:solidFill>
                <a:schemeClr val="tx1"/>
              </a:solidFill>
            </a:rPr>
            <a:t>:</a:t>
          </a:r>
          <a:endParaRPr lang="en-GB" sz="1100" b="1">
            <a:solidFill>
              <a:schemeClr val="tx1"/>
            </a:solidFill>
          </a:endParaRPr>
        </a:p>
        <a:p>
          <a:endParaRPr lang="en-GB" sz="1100" baseline="0">
            <a:solidFill>
              <a:schemeClr val="tx1"/>
            </a:solidFill>
          </a:endParaRPr>
        </a:p>
        <a:p>
          <a:pPr marL="228600" indent="-228600">
            <a:buFont typeface="+mj-lt"/>
            <a:buAutoNum type="arabicPeriod"/>
          </a:pPr>
          <a:r>
            <a:rPr lang="en-GB" sz="1100" baseline="0">
              <a:solidFill>
                <a:schemeClr val="tx1"/>
              </a:solidFill>
            </a:rPr>
            <a:t>Not everything that happens to you is your fault, but everything that happens to you is your responsibility. </a:t>
          </a:r>
        </a:p>
        <a:p>
          <a:pPr marL="228600" indent="-228600">
            <a:buFont typeface="+mj-lt"/>
            <a:buAutoNum type="arabicPeriod"/>
          </a:pPr>
          <a:r>
            <a:rPr lang="en-GB" sz="1100" baseline="0">
              <a:solidFill>
                <a:schemeClr val="tx1"/>
              </a:solidFill>
            </a:rPr>
            <a:t>Life gets easier when you're on your own side.</a:t>
          </a:r>
        </a:p>
        <a:p>
          <a:pPr marL="228600" indent="-228600">
            <a:buFont typeface="+mj-lt"/>
            <a:buAutoNum type="arabicPeriod"/>
          </a:pPr>
          <a:r>
            <a:rPr lang="en-GB" sz="1100" baseline="0">
              <a:solidFill>
                <a:schemeClr val="tx1"/>
              </a:solidFill>
            </a:rPr>
            <a:t>Nobody owes you anything. </a:t>
          </a:r>
        </a:p>
        <a:p>
          <a:pPr marL="228600" indent="-228600">
            <a:buFont typeface="+mj-lt"/>
            <a:buAutoNum type="arabicPeriod"/>
          </a:pPr>
          <a:r>
            <a:rPr lang="en-GB" sz="1100" baseline="0">
              <a:solidFill>
                <a:schemeClr val="tx1"/>
              </a:solidFill>
            </a:rPr>
            <a:t>It's going to be okay. </a:t>
          </a:r>
        </a:p>
      </xdr:txBody>
    </xdr:sp>
    <xdr:clientData fLocksWithSheet="0"/>
  </xdr:twoCellAnchor>
  <xdr:twoCellAnchor>
    <xdr:from>
      <xdr:col>2</xdr:col>
      <xdr:colOff>0</xdr:colOff>
      <xdr:row>132</xdr:row>
      <xdr:rowOff>0</xdr:rowOff>
    </xdr:from>
    <xdr:to>
      <xdr:col>20</xdr:col>
      <xdr:colOff>0</xdr:colOff>
      <xdr:row>182</xdr:row>
      <xdr:rowOff>0</xdr:rowOff>
    </xdr:to>
    <xdr:sp macro="" textlink="" fLocksText="0">
      <xdr:nvSpPr>
        <xdr:cNvPr id="227" name="TextBox 226">
          <a:extLst>
            <a:ext uri="{FF2B5EF4-FFF2-40B4-BE49-F238E27FC236}">
              <a16:creationId xmlns:a16="http://schemas.microsoft.com/office/drawing/2014/main" id="{6952E1BC-A3A8-43A1-987C-33ABE3DE4E67}"/>
            </a:ext>
          </a:extLst>
        </xdr:cNvPr>
        <xdr:cNvSpPr txBox="1"/>
      </xdr:nvSpPr>
      <xdr:spPr>
        <a:xfrm>
          <a:off x="457200" y="27660600"/>
          <a:ext cx="4114800" cy="10477500"/>
        </a:xfrm>
        <a:prstGeom prst="rect">
          <a:avLst/>
        </a:prstGeom>
        <a:solidFill>
          <a:srgbClr val="FFFFFF">
            <a:alpha val="50196"/>
          </a:srgb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b="1">
              <a:solidFill>
                <a:schemeClr val="tx1"/>
              </a:solidFill>
            </a:rPr>
            <a:t>Dr Alok Kanojia aka HealthyGamerGG</a:t>
          </a:r>
        </a:p>
        <a:p>
          <a:endParaRPr lang="en-GB" sz="1100" b="0">
            <a:solidFill>
              <a:schemeClr val="tx1"/>
            </a:solidFill>
          </a:endParaRPr>
        </a:p>
        <a:p>
          <a:r>
            <a:rPr lang="en-GB" sz="1100" b="1">
              <a:solidFill>
                <a:schemeClr val="tx1"/>
              </a:solidFill>
            </a:rPr>
            <a:t>1. Spawn Points are random.</a:t>
          </a:r>
        </a:p>
        <a:p>
          <a:r>
            <a:rPr lang="en-GB" sz="1100" b="0">
              <a:solidFill>
                <a:schemeClr val="tx1"/>
              </a:solidFill>
            </a:rPr>
            <a:t>You don’t get to choose your race, gender, sex, family, and home environment. All you can do is try your best with the hand you’re dealt. </a:t>
          </a:r>
        </a:p>
        <a:p>
          <a:endParaRPr lang="en-GB" sz="1100" b="0">
            <a:solidFill>
              <a:schemeClr val="tx1"/>
            </a:solidFill>
          </a:endParaRPr>
        </a:p>
        <a:p>
          <a:r>
            <a:rPr lang="en-GB" sz="1100" b="1">
              <a:solidFill>
                <a:schemeClr val="tx1"/>
              </a:solidFill>
            </a:rPr>
            <a:t>2. Life isn’t supposed to be anything.</a:t>
          </a:r>
        </a:p>
        <a:p>
          <a:r>
            <a:rPr lang="en-GB" sz="1100" b="0">
              <a:solidFill>
                <a:schemeClr val="tx1"/>
              </a:solidFill>
            </a:rPr>
            <a:t>Its a sandbox game. It is what you make of it. </a:t>
          </a:r>
        </a:p>
        <a:p>
          <a:endParaRPr lang="en-GB" sz="1100" b="0">
            <a:solidFill>
              <a:schemeClr val="tx1"/>
            </a:solidFill>
          </a:endParaRPr>
        </a:p>
        <a:p>
          <a:r>
            <a:rPr lang="en-GB" sz="1100" b="1">
              <a:solidFill>
                <a:schemeClr val="tx1"/>
              </a:solidFill>
            </a:rPr>
            <a:t>3. Its your choice whether life is PVP or Co-Op. </a:t>
          </a:r>
        </a:p>
        <a:p>
          <a:r>
            <a:rPr lang="en-GB" sz="1100" b="0">
              <a:solidFill>
                <a:schemeClr val="tx1"/>
              </a:solidFill>
            </a:rPr>
            <a:t>Think about which one you want and how you play the game of life. </a:t>
          </a:r>
        </a:p>
        <a:p>
          <a:endParaRPr lang="en-GB" sz="1100" b="0">
            <a:solidFill>
              <a:schemeClr val="tx1"/>
            </a:solidFill>
          </a:endParaRPr>
        </a:p>
        <a:p>
          <a:r>
            <a:rPr lang="en-GB" sz="1100" b="1">
              <a:solidFill>
                <a:schemeClr val="tx1"/>
              </a:solidFill>
            </a:rPr>
            <a:t>4. There are world bosses that cannot be defeated on their own.</a:t>
          </a:r>
        </a:p>
        <a:p>
          <a:r>
            <a:rPr lang="en-GB" sz="1100" b="0">
              <a:solidFill>
                <a:schemeClr val="tx1"/>
              </a:solidFill>
            </a:rPr>
            <a:t>Things like school shootings and misogyny cant be defeated by one person, they get downed by everyone trying to take them down; even if they now that they’re strong enough to do it alone. No snowflake thinks its responsible for the avalanche. </a:t>
          </a:r>
        </a:p>
        <a:p>
          <a:endParaRPr lang="en-GB" sz="1100" b="0">
            <a:solidFill>
              <a:schemeClr val="tx1"/>
            </a:solidFill>
          </a:endParaRPr>
        </a:p>
        <a:p>
          <a:r>
            <a:rPr lang="en-GB" sz="1100" b="1">
              <a:solidFill>
                <a:schemeClr val="tx1"/>
              </a:solidFill>
            </a:rPr>
            <a:t>5. No respawns, and the servers die in about 72 years on average. </a:t>
          </a:r>
        </a:p>
        <a:p>
          <a:r>
            <a:rPr lang="en-GB" sz="1100" b="0">
              <a:solidFill>
                <a:schemeClr val="tx1"/>
              </a:solidFill>
            </a:rPr>
            <a:t>The time that you get is what you get, so think about how you use it. </a:t>
          </a:r>
        </a:p>
        <a:p>
          <a:endParaRPr lang="en-GB" sz="1100" b="0">
            <a:solidFill>
              <a:schemeClr val="tx1"/>
            </a:solidFill>
          </a:endParaRPr>
        </a:p>
        <a:p>
          <a:r>
            <a:rPr lang="en-GB" sz="1100" b="1">
              <a:solidFill>
                <a:schemeClr val="tx1"/>
              </a:solidFill>
            </a:rPr>
            <a:t>6. No exponential EXP to level up and learn new things, its static.</a:t>
          </a:r>
        </a:p>
        <a:p>
          <a:r>
            <a:rPr lang="en-GB" sz="1100" b="0">
              <a:solidFill>
                <a:schemeClr val="tx1"/>
              </a:solidFill>
            </a:rPr>
            <a:t>Reading a book, learning a language, and graduating college takes the same amount of time regardless if you’re 20 or 50. </a:t>
          </a:r>
        </a:p>
        <a:p>
          <a:endParaRPr lang="en-GB" sz="1100" b="0">
            <a:solidFill>
              <a:schemeClr val="tx1"/>
            </a:solidFill>
          </a:endParaRPr>
        </a:p>
        <a:p>
          <a:r>
            <a:rPr lang="en-GB" sz="1100" b="1">
              <a:solidFill>
                <a:schemeClr val="tx1"/>
              </a:solidFill>
            </a:rPr>
            <a:t>7. Be aware of people selling walkthroughs of sandbox games.</a:t>
          </a:r>
        </a:p>
        <a:p>
          <a:r>
            <a:rPr lang="en-GB" sz="1100" b="0">
              <a:solidFill>
                <a:schemeClr val="tx1"/>
              </a:solidFill>
            </a:rPr>
            <a:t>Nobody has perfect information on what you should do for your life, because nobody has lived your life. All they can do is guess based on what they know, and just because they say stuff that resonates with you doesn’t mean you should take it as gospel. Dr.K also falls into this bucket, so learn what you can, but take it as suggestions rather than objective truth. </a:t>
          </a:r>
        </a:p>
        <a:p>
          <a:endParaRPr lang="en-GB" sz="1100" b="0">
            <a:solidFill>
              <a:schemeClr val="tx1"/>
            </a:solidFill>
          </a:endParaRPr>
        </a:p>
        <a:p>
          <a:r>
            <a:rPr lang="en-GB" sz="1100" b="1">
              <a:solidFill>
                <a:schemeClr val="tx1"/>
              </a:solidFill>
            </a:rPr>
            <a:t>8. Gear up before you help others. </a:t>
          </a:r>
        </a:p>
        <a:p>
          <a:r>
            <a:rPr lang="en-GB" sz="1100" b="0">
              <a:solidFill>
                <a:schemeClr val="tx1"/>
              </a:solidFill>
            </a:rPr>
            <a:t>Start with yourself before you carey others. Become strong, independent, capable and confident. And the first step to doing that is to be aware that complexity is the refuge of the mind. </a:t>
          </a:r>
        </a:p>
        <a:p>
          <a:endParaRPr lang="en-GB" sz="1100" b="0">
            <a:solidFill>
              <a:schemeClr val="tx1"/>
            </a:solidFill>
          </a:endParaRPr>
        </a:p>
        <a:p>
          <a:r>
            <a:rPr lang="en-GB" sz="1100" b="1">
              <a:solidFill>
                <a:schemeClr val="tx1"/>
              </a:solidFill>
            </a:rPr>
            <a:t>9. Success depends on your raid guild. </a:t>
          </a:r>
        </a:p>
        <a:p>
          <a:r>
            <a:rPr lang="en-GB" sz="1100" b="0">
              <a:solidFill>
                <a:schemeClr val="tx1"/>
              </a:solidFill>
            </a:rPr>
            <a:t>What you are depends on the guild that you’re apart of. </a:t>
          </a:r>
        </a:p>
        <a:p>
          <a:endParaRPr lang="en-GB" sz="1100" b="0">
            <a:solidFill>
              <a:schemeClr val="tx1"/>
            </a:solidFill>
          </a:endParaRPr>
        </a:p>
        <a:p>
          <a:r>
            <a:rPr lang="en-GB" sz="1100" b="1">
              <a:solidFill>
                <a:schemeClr val="tx1"/>
              </a:solidFill>
            </a:rPr>
            <a:t>10. Any build is viable. </a:t>
          </a:r>
        </a:p>
        <a:p>
          <a:r>
            <a:rPr lang="en-GB" sz="1100" b="0">
              <a:solidFill>
                <a:schemeClr val="tx1"/>
              </a:solidFill>
            </a:rPr>
            <a:t>You can be a doctor, lawyer, or a guy making video compilations on the internet. Stop looking at what other people are playing and just play you’re own game. Do what ever you’re good at doing without comparing yourself to others. </a:t>
          </a:r>
        </a:p>
        <a:p>
          <a:endParaRPr lang="en-GB" sz="1100" b="0">
            <a:solidFill>
              <a:schemeClr val="tx1"/>
            </a:solidFill>
          </a:endParaRPr>
        </a:p>
        <a:p>
          <a:r>
            <a:rPr lang="en-GB" sz="1100" b="1">
              <a:solidFill>
                <a:schemeClr val="tx1"/>
              </a:solidFill>
            </a:rPr>
            <a:t>11.Exploit the Meta. </a:t>
          </a:r>
        </a:p>
        <a:p>
          <a:r>
            <a:rPr lang="en-GB" sz="1100" b="0">
              <a:solidFill>
                <a:schemeClr val="tx1"/>
              </a:solidFill>
            </a:rPr>
            <a:t>The meta is always going to change. Whether you play the society well or not determines whether or not its trash. </a:t>
          </a:r>
        </a:p>
        <a:p>
          <a:endParaRPr lang="en-GB" sz="1100" b="0">
            <a:solidFill>
              <a:schemeClr val="tx1"/>
            </a:solidFill>
          </a:endParaRPr>
        </a:p>
        <a:p>
          <a:r>
            <a:rPr lang="en-GB" sz="1100" b="1">
              <a:solidFill>
                <a:schemeClr val="tx1"/>
              </a:solidFill>
            </a:rPr>
            <a:t>12. You are the Final Boss. </a:t>
          </a:r>
        </a:p>
        <a:p>
          <a:r>
            <a:rPr lang="en-GB" sz="1100" b="0">
              <a:solidFill>
                <a:schemeClr val="tx1"/>
              </a:solidFill>
            </a:rPr>
            <a:t>The raid boss is just another mob. You are the only person who determines whether or not you live or die. It doesn’t matter if the enemy is Bowser or a Goomba, at the end of the day you’re the one who has to beat it. Some problems are harder than others, but the steps to solving them are always the same. And the first step Dr.K says is to “Get Good” and focus on what you can do instead of making excuses or thinking about what you should do.</a:t>
          </a:r>
        </a:p>
      </xdr:txBody>
    </xdr:sp>
    <xdr:clientData fLocksWithSheet="0"/>
  </xdr:twoCellAnchor>
  <xdr:twoCellAnchor>
    <xdr:from>
      <xdr:col>73</xdr:col>
      <xdr:colOff>33581</xdr:colOff>
      <xdr:row>2</xdr:row>
      <xdr:rowOff>69909</xdr:rowOff>
    </xdr:from>
    <xdr:to>
      <xdr:col>77</xdr:col>
      <xdr:colOff>0</xdr:colOff>
      <xdr:row>4</xdr:row>
      <xdr:rowOff>154809</xdr:rowOff>
    </xdr:to>
    <xdr:grpSp>
      <xdr:nvGrpSpPr>
        <xdr:cNvPr id="38" name="Group 37">
          <a:extLst>
            <a:ext uri="{FF2B5EF4-FFF2-40B4-BE49-F238E27FC236}">
              <a16:creationId xmlns:a16="http://schemas.microsoft.com/office/drawing/2014/main" id="{C4FAAACE-2C6A-6652-E0CF-9FF4EFECEE01}"/>
            </a:ext>
          </a:extLst>
        </xdr:cNvPr>
        <xdr:cNvGrpSpPr/>
      </xdr:nvGrpSpPr>
      <xdr:grpSpPr>
        <a:xfrm>
          <a:off x="16721381" y="489009"/>
          <a:ext cx="880819" cy="504000"/>
          <a:chOff x="16721381" y="489009"/>
          <a:chExt cx="880819" cy="504000"/>
        </a:xfrm>
      </xdr:grpSpPr>
      <xdr:cxnSp macro="">
        <xdr:nvCxnSpPr>
          <xdr:cNvPr id="168" name="Straight Connector 167">
            <a:extLst>
              <a:ext uri="{FF2B5EF4-FFF2-40B4-BE49-F238E27FC236}">
                <a16:creationId xmlns:a16="http://schemas.microsoft.com/office/drawing/2014/main" id="{58FF1DCA-EF36-A576-78E6-DADC687CBD70}"/>
              </a:ext>
            </a:extLst>
          </xdr:cNvPr>
          <xdr:cNvCxnSpPr>
            <a:cxnSpLocks/>
            <a:stCxn id="170" idx="6"/>
            <a:endCxn id="169" idx="2"/>
          </xdr:cNvCxnSpPr>
        </xdr:nvCxnSpPr>
        <xdr:spPr>
          <a:xfrm>
            <a:off x="16901381" y="738675"/>
            <a:ext cx="196819" cy="2334"/>
          </a:xfrm>
          <a:prstGeom prst="line">
            <a:avLst/>
          </a:prstGeom>
          <a:ln w="12700">
            <a:solidFill>
              <a:srgbClr val="0070C0"/>
            </a:solidFill>
          </a:ln>
        </xdr:spPr>
        <xdr:style>
          <a:lnRef idx="1">
            <a:schemeClr val="accent1"/>
          </a:lnRef>
          <a:fillRef idx="0">
            <a:schemeClr val="accent1"/>
          </a:fillRef>
          <a:effectRef idx="0">
            <a:schemeClr val="accent1"/>
          </a:effectRef>
          <a:fontRef idx="minor">
            <a:schemeClr val="tx1"/>
          </a:fontRef>
        </xdr:style>
      </xdr:cxnSp>
      <xdr:sp macro="" textlink="" fLocksText="0">
        <xdr:nvSpPr>
          <xdr:cNvPr id="169" name="Flowchart: Connector 168">
            <a:extLst>
              <a:ext uri="{FF2B5EF4-FFF2-40B4-BE49-F238E27FC236}">
                <a16:creationId xmlns:a16="http://schemas.microsoft.com/office/drawing/2014/main" id="{27327E01-B6C9-D94D-4C61-75D99078CE83}"/>
              </a:ext>
            </a:extLst>
          </xdr:cNvPr>
          <xdr:cNvSpPr>
            <a:spLocks noChangeAspect="1"/>
          </xdr:cNvSpPr>
        </xdr:nvSpPr>
        <xdr:spPr>
          <a:xfrm>
            <a:off x="17098200" y="489009"/>
            <a:ext cx="504000" cy="504000"/>
          </a:xfrm>
          <a:prstGeom prst="flowChartConnector">
            <a:avLst/>
          </a:prstGeom>
          <a:solidFill>
            <a:srgbClr val="0070C0">
              <a:alpha val="50196"/>
            </a:srgbClr>
          </a:solidFill>
          <a:ln w="1270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GB" sz="800" b="1" baseline="0">
              <a:solidFill>
                <a:schemeClr val="bg1"/>
              </a:solidFill>
              <a:effectLst/>
            </a:endParaRPr>
          </a:p>
        </xdr:txBody>
      </xdr:sp>
      <xdr:sp macro="" textlink="">
        <xdr:nvSpPr>
          <xdr:cNvPr id="170" name="Flowchart: Connector 169">
            <a:extLst>
              <a:ext uri="{FF2B5EF4-FFF2-40B4-BE49-F238E27FC236}">
                <a16:creationId xmlns:a16="http://schemas.microsoft.com/office/drawing/2014/main" id="{BC173C98-D9C8-1936-B4EF-37783A8AE805}"/>
              </a:ext>
            </a:extLst>
          </xdr:cNvPr>
          <xdr:cNvSpPr>
            <a:spLocks noChangeAspect="1"/>
          </xdr:cNvSpPr>
        </xdr:nvSpPr>
        <xdr:spPr>
          <a:xfrm>
            <a:off x="16721381" y="648675"/>
            <a:ext cx="180000" cy="180000"/>
          </a:xfrm>
          <a:prstGeom prst="flowChartConnector">
            <a:avLst/>
          </a:prstGeom>
          <a:solidFill>
            <a:srgbClr val="0070C0">
              <a:alpha val="50196"/>
            </a:srgbClr>
          </a:solidFill>
          <a:ln w="9525">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GB" sz="800" b="0">
              <a:solidFill>
                <a:schemeClr val="bg1"/>
              </a:solidFill>
              <a:effectLst/>
            </a:endParaRPr>
          </a:p>
        </xdr:txBody>
      </xdr:sp>
    </xdr:grpSp>
    <xdr:clientData fLocksWithSheet="0"/>
  </xdr:twoCellAnchor>
  <xdr:twoCellAnchor>
    <xdr:from>
      <xdr:col>73</xdr:col>
      <xdr:colOff>33581</xdr:colOff>
      <xdr:row>6</xdr:row>
      <xdr:rowOff>37349</xdr:rowOff>
    </xdr:from>
    <xdr:to>
      <xdr:col>77</xdr:col>
      <xdr:colOff>0</xdr:colOff>
      <xdr:row>8</xdr:row>
      <xdr:rowOff>122249</xdr:rowOff>
    </xdr:to>
    <xdr:grpSp>
      <xdr:nvGrpSpPr>
        <xdr:cNvPr id="39" name="Group 38">
          <a:extLst>
            <a:ext uri="{FF2B5EF4-FFF2-40B4-BE49-F238E27FC236}">
              <a16:creationId xmlns:a16="http://schemas.microsoft.com/office/drawing/2014/main" id="{761218D7-E4C5-AC3C-D928-C10955ADCE10}"/>
            </a:ext>
          </a:extLst>
        </xdr:cNvPr>
        <xdr:cNvGrpSpPr/>
      </xdr:nvGrpSpPr>
      <xdr:grpSpPr>
        <a:xfrm>
          <a:off x="16721381" y="1294649"/>
          <a:ext cx="880819" cy="504000"/>
          <a:chOff x="16721381" y="1294649"/>
          <a:chExt cx="880819" cy="504000"/>
        </a:xfrm>
      </xdr:grpSpPr>
      <xdr:cxnSp macro="">
        <xdr:nvCxnSpPr>
          <xdr:cNvPr id="178" name="Straight Connector 177">
            <a:extLst>
              <a:ext uri="{FF2B5EF4-FFF2-40B4-BE49-F238E27FC236}">
                <a16:creationId xmlns:a16="http://schemas.microsoft.com/office/drawing/2014/main" id="{07D88933-030A-7913-DC5D-E7A10213A0CD}"/>
              </a:ext>
            </a:extLst>
          </xdr:cNvPr>
          <xdr:cNvCxnSpPr>
            <a:cxnSpLocks/>
            <a:stCxn id="180" idx="6"/>
            <a:endCxn id="179" idx="2"/>
          </xdr:cNvCxnSpPr>
        </xdr:nvCxnSpPr>
        <xdr:spPr>
          <a:xfrm flipV="1">
            <a:off x="16901381" y="1546649"/>
            <a:ext cx="196819" cy="339"/>
          </a:xfrm>
          <a:prstGeom prst="line">
            <a:avLst/>
          </a:prstGeom>
          <a:ln w="12700">
            <a:solidFill>
              <a:srgbClr val="00B0F0"/>
            </a:solidFill>
          </a:ln>
        </xdr:spPr>
        <xdr:style>
          <a:lnRef idx="1">
            <a:schemeClr val="accent1"/>
          </a:lnRef>
          <a:fillRef idx="0">
            <a:schemeClr val="accent1"/>
          </a:fillRef>
          <a:effectRef idx="0">
            <a:schemeClr val="accent1"/>
          </a:effectRef>
          <a:fontRef idx="minor">
            <a:schemeClr val="tx1"/>
          </a:fontRef>
        </xdr:style>
      </xdr:cxnSp>
      <xdr:sp macro="" textlink="" fLocksText="0">
        <xdr:nvSpPr>
          <xdr:cNvPr id="179" name="Flowchart: Connector 178">
            <a:extLst>
              <a:ext uri="{FF2B5EF4-FFF2-40B4-BE49-F238E27FC236}">
                <a16:creationId xmlns:a16="http://schemas.microsoft.com/office/drawing/2014/main" id="{A8583968-575B-2699-1F86-1608EBC27B9F}"/>
              </a:ext>
            </a:extLst>
          </xdr:cNvPr>
          <xdr:cNvSpPr>
            <a:spLocks noChangeAspect="1"/>
          </xdr:cNvSpPr>
        </xdr:nvSpPr>
        <xdr:spPr>
          <a:xfrm>
            <a:off x="17098200" y="1294649"/>
            <a:ext cx="504000" cy="504000"/>
          </a:xfrm>
          <a:prstGeom prst="flowChartConnector">
            <a:avLst/>
          </a:prstGeom>
          <a:solidFill>
            <a:srgbClr val="00B0F0">
              <a:alpha val="50196"/>
            </a:srgbClr>
          </a:solidFill>
          <a:ln w="12700">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GB" sz="800" b="1" baseline="0">
              <a:solidFill>
                <a:schemeClr val="bg1"/>
              </a:solidFill>
              <a:effectLst/>
            </a:endParaRPr>
          </a:p>
        </xdr:txBody>
      </xdr:sp>
      <xdr:sp macro="" textlink="">
        <xdr:nvSpPr>
          <xdr:cNvPr id="180" name="Flowchart: Connector 179">
            <a:extLst>
              <a:ext uri="{FF2B5EF4-FFF2-40B4-BE49-F238E27FC236}">
                <a16:creationId xmlns:a16="http://schemas.microsoft.com/office/drawing/2014/main" id="{6B3C22E0-3319-51FA-08AA-10EB745E641C}"/>
              </a:ext>
            </a:extLst>
          </xdr:cNvPr>
          <xdr:cNvSpPr>
            <a:spLocks noChangeAspect="1"/>
          </xdr:cNvSpPr>
        </xdr:nvSpPr>
        <xdr:spPr>
          <a:xfrm>
            <a:off x="16721381" y="1456988"/>
            <a:ext cx="180000" cy="180000"/>
          </a:xfrm>
          <a:prstGeom prst="flowChartConnector">
            <a:avLst/>
          </a:prstGeom>
          <a:solidFill>
            <a:srgbClr val="00B0F0">
              <a:alpha val="50196"/>
            </a:srgbClr>
          </a:solidFill>
          <a:ln w="9525">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GB" sz="800" b="0">
              <a:solidFill>
                <a:schemeClr val="bg1"/>
              </a:solidFill>
              <a:effectLst/>
            </a:endParaRPr>
          </a:p>
        </xdr:txBody>
      </xdr:sp>
    </xdr:grpSp>
    <xdr:clientData fLocksWithSheet="0"/>
  </xdr:twoCellAnchor>
  <xdr:twoCellAnchor>
    <xdr:from>
      <xdr:col>59</xdr:col>
      <xdr:colOff>0</xdr:colOff>
      <xdr:row>123</xdr:row>
      <xdr:rowOff>0</xdr:rowOff>
    </xdr:from>
    <xdr:to>
      <xdr:col>77</xdr:col>
      <xdr:colOff>0</xdr:colOff>
      <xdr:row>143</xdr:row>
      <xdr:rowOff>0</xdr:rowOff>
    </xdr:to>
    <xdr:sp macro="" textlink="" fLocksText="0">
      <xdr:nvSpPr>
        <xdr:cNvPr id="10" name="TextBox 9">
          <a:extLst>
            <a:ext uri="{FF2B5EF4-FFF2-40B4-BE49-F238E27FC236}">
              <a16:creationId xmlns:a16="http://schemas.microsoft.com/office/drawing/2014/main" id="{EE39E1A3-A37F-466E-9206-75CD3F6118BD}"/>
            </a:ext>
          </a:extLst>
        </xdr:cNvPr>
        <xdr:cNvSpPr txBox="1"/>
      </xdr:nvSpPr>
      <xdr:spPr>
        <a:xfrm>
          <a:off x="13487400" y="25774650"/>
          <a:ext cx="4114800" cy="4191000"/>
        </a:xfrm>
        <a:prstGeom prst="rect">
          <a:avLst/>
        </a:prstGeom>
        <a:solidFill>
          <a:srgbClr val="FFFFFF">
            <a:alpha val="50196"/>
          </a:srgb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r>
            <a:rPr lang="en-GB" sz="1100" b="1">
              <a:solidFill>
                <a:schemeClr val="tx1"/>
              </a:solidFill>
              <a:latin typeface="+mn-lt"/>
              <a:ea typeface="+mn-ea"/>
              <a:cs typeface="+mn-cs"/>
            </a:rPr>
            <a:t>The Cult of Done Manifesto</a:t>
          </a:r>
        </a:p>
        <a:p>
          <a:pPr marL="0" indent="0" algn="l"/>
          <a:endParaRPr lang="en-GB" sz="1100">
            <a:solidFill>
              <a:schemeClr val="tx1"/>
            </a:solidFill>
            <a:latin typeface="+mn-lt"/>
            <a:ea typeface="+mn-ea"/>
            <a:cs typeface="+mn-cs"/>
          </a:endParaRPr>
        </a:p>
        <a:p>
          <a:pPr marL="171450" indent="-171450" algn="l">
            <a:buFont typeface="Arial" panose="020B0604020202020204" pitchFamily="34" charset="0"/>
            <a:buChar char="•"/>
          </a:pPr>
          <a:r>
            <a:rPr lang="en-GB" sz="1100">
              <a:solidFill>
                <a:schemeClr val="tx1"/>
              </a:solidFill>
              <a:latin typeface="+mn-lt"/>
              <a:ea typeface="+mn-ea"/>
              <a:cs typeface="+mn-cs"/>
            </a:rPr>
            <a:t>There are three states of being. Not knowing, action and completion.</a:t>
          </a:r>
        </a:p>
        <a:p>
          <a:pPr marL="171450" indent="-171450" algn="l">
            <a:buFont typeface="Arial" panose="020B0604020202020204" pitchFamily="34" charset="0"/>
            <a:buChar char="•"/>
          </a:pPr>
          <a:r>
            <a:rPr lang="en-GB" sz="1100">
              <a:solidFill>
                <a:schemeClr val="tx1"/>
              </a:solidFill>
              <a:latin typeface="+mn-lt"/>
              <a:ea typeface="+mn-ea"/>
              <a:cs typeface="+mn-cs"/>
            </a:rPr>
            <a:t>Accept that everything is a draft. It helps to get it done.</a:t>
          </a:r>
        </a:p>
        <a:p>
          <a:pPr marL="171450" indent="-171450" algn="l">
            <a:buFont typeface="Arial" panose="020B0604020202020204" pitchFamily="34" charset="0"/>
            <a:buChar char="•"/>
          </a:pPr>
          <a:r>
            <a:rPr lang="en-GB" sz="1100">
              <a:solidFill>
                <a:schemeClr val="tx1"/>
              </a:solidFill>
              <a:latin typeface="+mn-lt"/>
              <a:ea typeface="+mn-ea"/>
              <a:cs typeface="+mn-cs"/>
            </a:rPr>
            <a:t>There is no editing stage.</a:t>
          </a:r>
        </a:p>
        <a:p>
          <a:pPr marL="171450" indent="-171450" algn="l">
            <a:buFont typeface="Arial" panose="020B0604020202020204" pitchFamily="34" charset="0"/>
            <a:buChar char="•"/>
          </a:pPr>
          <a:r>
            <a:rPr lang="en-GB" sz="1100">
              <a:solidFill>
                <a:schemeClr val="tx1"/>
              </a:solidFill>
              <a:latin typeface="+mn-lt"/>
              <a:ea typeface="+mn-ea"/>
              <a:cs typeface="+mn-cs"/>
            </a:rPr>
            <a:t>Pretending you know what you’re doing is almost the same as knowing what you are doing, so just accept that you know what you’re doing even if you don’t and do it.</a:t>
          </a:r>
        </a:p>
        <a:p>
          <a:pPr marL="171450" indent="-171450" algn="l">
            <a:buFont typeface="Arial" panose="020B0604020202020204" pitchFamily="34" charset="0"/>
            <a:buChar char="•"/>
          </a:pPr>
          <a:r>
            <a:rPr lang="en-GB" sz="1100">
              <a:solidFill>
                <a:schemeClr val="tx1"/>
              </a:solidFill>
              <a:latin typeface="+mn-lt"/>
              <a:ea typeface="+mn-ea"/>
              <a:cs typeface="+mn-cs"/>
            </a:rPr>
            <a:t>Banish procrastination. If you wait more than a week to get an idea done, abandon it.</a:t>
          </a:r>
        </a:p>
        <a:p>
          <a:pPr marL="171450" indent="-171450" algn="l">
            <a:buFont typeface="Arial" panose="020B0604020202020204" pitchFamily="34" charset="0"/>
            <a:buChar char="•"/>
          </a:pPr>
          <a:r>
            <a:rPr lang="en-GB" sz="1100">
              <a:solidFill>
                <a:schemeClr val="tx1"/>
              </a:solidFill>
              <a:latin typeface="+mn-lt"/>
              <a:ea typeface="+mn-ea"/>
              <a:cs typeface="+mn-cs"/>
            </a:rPr>
            <a:t>The point of being done is not to finish but to get other things done.</a:t>
          </a:r>
        </a:p>
        <a:p>
          <a:pPr marL="171450" indent="-171450" algn="l">
            <a:buFont typeface="Arial" panose="020B0604020202020204" pitchFamily="34" charset="0"/>
            <a:buChar char="•"/>
          </a:pPr>
          <a:r>
            <a:rPr lang="en-GB" sz="1100">
              <a:solidFill>
                <a:schemeClr val="tx1"/>
              </a:solidFill>
              <a:latin typeface="+mn-lt"/>
              <a:ea typeface="+mn-ea"/>
              <a:cs typeface="+mn-cs"/>
            </a:rPr>
            <a:t>Once you’re done you can throw it away.</a:t>
          </a:r>
        </a:p>
        <a:p>
          <a:pPr marL="171450" indent="-171450" algn="l">
            <a:buFont typeface="Arial" panose="020B0604020202020204" pitchFamily="34" charset="0"/>
            <a:buChar char="•"/>
          </a:pPr>
          <a:r>
            <a:rPr lang="en-GB" sz="1100">
              <a:solidFill>
                <a:schemeClr val="tx1"/>
              </a:solidFill>
              <a:latin typeface="+mn-lt"/>
              <a:ea typeface="+mn-ea"/>
              <a:cs typeface="+mn-cs"/>
            </a:rPr>
            <a:t>Laugh at perfection. It’s boring and keeps you from being done.</a:t>
          </a:r>
        </a:p>
        <a:p>
          <a:pPr marL="171450" indent="-171450" algn="l">
            <a:buFont typeface="Arial" panose="020B0604020202020204" pitchFamily="34" charset="0"/>
            <a:buChar char="•"/>
          </a:pPr>
          <a:r>
            <a:rPr lang="en-GB" sz="1100">
              <a:solidFill>
                <a:schemeClr val="tx1"/>
              </a:solidFill>
              <a:latin typeface="+mn-lt"/>
              <a:ea typeface="+mn-ea"/>
              <a:cs typeface="+mn-cs"/>
            </a:rPr>
            <a:t>People without dirty hands are wrong. Doing something makes you right.</a:t>
          </a:r>
        </a:p>
        <a:p>
          <a:pPr marL="171450" indent="-171450" algn="l">
            <a:buFont typeface="Arial" panose="020B0604020202020204" pitchFamily="34" charset="0"/>
            <a:buChar char="•"/>
          </a:pPr>
          <a:r>
            <a:rPr lang="en-GB" sz="1100">
              <a:solidFill>
                <a:schemeClr val="tx1"/>
              </a:solidFill>
              <a:latin typeface="+mn-lt"/>
              <a:ea typeface="+mn-ea"/>
              <a:cs typeface="+mn-cs"/>
            </a:rPr>
            <a:t>Failure counts as done. So do mistakes.</a:t>
          </a:r>
        </a:p>
        <a:p>
          <a:pPr marL="171450" indent="-171450" algn="l">
            <a:buFont typeface="Arial" panose="020B0604020202020204" pitchFamily="34" charset="0"/>
            <a:buChar char="•"/>
          </a:pPr>
          <a:r>
            <a:rPr lang="en-GB" sz="1100">
              <a:solidFill>
                <a:schemeClr val="tx1"/>
              </a:solidFill>
              <a:latin typeface="+mn-lt"/>
              <a:ea typeface="+mn-ea"/>
              <a:cs typeface="+mn-cs"/>
            </a:rPr>
            <a:t>Destruction is a variant of done.</a:t>
          </a:r>
        </a:p>
        <a:p>
          <a:pPr marL="171450" indent="-171450" algn="l">
            <a:buFont typeface="Arial" panose="020B0604020202020204" pitchFamily="34" charset="0"/>
            <a:buChar char="•"/>
          </a:pPr>
          <a:r>
            <a:rPr lang="en-GB" sz="1100">
              <a:solidFill>
                <a:schemeClr val="tx1"/>
              </a:solidFill>
              <a:latin typeface="+mn-lt"/>
              <a:ea typeface="+mn-ea"/>
              <a:cs typeface="+mn-cs"/>
            </a:rPr>
            <a:t>If you have an idea and publish it on the internet, that counts as a ghost of done.</a:t>
          </a:r>
        </a:p>
        <a:p>
          <a:pPr marL="171450" indent="-171450" algn="l">
            <a:buFont typeface="Arial" panose="020B0604020202020204" pitchFamily="34" charset="0"/>
            <a:buChar char="•"/>
          </a:pPr>
          <a:r>
            <a:rPr lang="en-GB" sz="1100">
              <a:solidFill>
                <a:schemeClr val="tx1"/>
              </a:solidFill>
              <a:latin typeface="+mn-lt"/>
              <a:ea typeface="+mn-ea"/>
              <a:cs typeface="+mn-cs"/>
            </a:rPr>
            <a:t>Done is the engine of more.</a:t>
          </a:r>
        </a:p>
      </xdr:txBody>
    </xdr:sp>
    <xdr:clientData fLocksWithSheet="0"/>
  </xdr:twoCellAnchor>
  <xdr:twoCellAnchor>
    <xdr:from>
      <xdr:col>21</xdr:col>
      <xdr:colOff>0</xdr:colOff>
      <xdr:row>144</xdr:row>
      <xdr:rowOff>0</xdr:rowOff>
    </xdr:from>
    <xdr:to>
      <xdr:col>39</xdr:col>
      <xdr:colOff>0</xdr:colOff>
      <xdr:row>181</xdr:row>
      <xdr:rowOff>0</xdr:rowOff>
    </xdr:to>
    <xdr:sp macro="" textlink="" fLocksText="0">
      <xdr:nvSpPr>
        <xdr:cNvPr id="6" name="TextBox 5">
          <a:extLst>
            <a:ext uri="{FF2B5EF4-FFF2-40B4-BE49-F238E27FC236}">
              <a16:creationId xmlns:a16="http://schemas.microsoft.com/office/drawing/2014/main" id="{7EA31C6C-041A-4325-B470-AA5C8A39D68E}"/>
            </a:ext>
          </a:extLst>
        </xdr:cNvPr>
        <xdr:cNvSpPr txBox="1"/>
      </xdr:nvSpPr>
      <xdr:spPr>
        <a:xfrm>
          <a:off x="4800600" y="30175200"/>
          <a:ext cx="4114800" cy="7753350"/>
        </a:xfrm>
        <a:prstGeom prst="rect">
          <a:avLst/>
        </a:prstGeom>
        <a:solidFill>
          <a:srgbClr val="FFFFFF">
            <a:alpha val="50196"/>
          </a:srgb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b="1">
              <a:solidFill>
                <a:schemeClr val="tx1"/>
              </a:solidFill>
              <a:latin typeface="+mn-lt"/>
              <a:ea typeface="+mn-ea"/>
              <a:cs typeface="+mn-cs"/>
            </a:rPr>
            <a:t>Rian Doris</a:t>
          </a:r>
        </a:p>
        <a:p>
          <a:pPr marL="0" indent="0"/>
          <a:endParaRPr lang="en-GB" sz="1100" b="1">
            <a:solidFill>
              <a:schemeClr val="tx1"/>
            </a:solidFill>
            <a:latin typeface="+mn-lt"/>
            <a:ea typeface="+mn-ea"/>
            <a:cs typeface="+mn-cs"/>
          </a:endParaRPr>
        </a:p>
        <a:p>
          <a:pPr marL="0" indent="0"/>
          <a:r>
            <a:rPr lang="en-GB" sz="1100" b="1">
              <a:solidFill>
                <a:schemeClr val="tx1"/>
              </a:solidFill>
              <a:latin typeface="+mn-lt"/>
              <a:ea typeface="+mn-ea"/>
              <a:cs typeface="+mn-cs"/>
            </a:rPr>
            <a:t>Getting</a:t>
          </a:r>
          <a:r>
            <a:rPr lang="en-GB" sz="1100" b="1" baseline="0">
              <a:solidFill>
                <a:schemeClr val="tx1"/>
              </a:solidFill>
              <a:latin typeface="+mn-lt"/>
              <a:ea typeface="+mn-ea"/>
              <a:cs typeface="+mn-cs"/>
            </a:rPr>
            <a:t> Into Flow State:</a:t>
          </a:r>
          <a:endParaRPr lang="en-GB" sz="1100" b="1">
            <a:solidFill>
              <a:schemeClr val="tx1"/>
            </a:solidFill>
            <a:latin typeface="+mn-lt"/>
            <a:ea typeface="+mn-ea"/>
            <a:cs typeface="+mn-cs"/>
          </a:endParaRPr>
        </a:p>
        <a:p>
          <a:pPr marL="0" indent="0" algn="l"/>
          <a:endParaRPr lang="en-GB" sz="1100" b="1">
            <a:solidFill>
              <a:schemeClr val="tx1"/>
            </a:solidFill>
            <a:latin typeface="+mn-lt"/>
            <a:ea typeface="+mn-ea"/>
            <a:cs typeface="+mn-cs"/>
          </a:endParaRPr>
        </a:p>
        <a:p>
          <a:pPr marL="0" indent="0" algn="l"/>
          <a:r>
            <a:rPr lang="en-GB" sz="1100" b="0">
              <a:solidFill>
                <a:schemeClr val="tx1"/>
              </a:solidFill>
              <a:latin typeface="+mn-lt"/>
              <a:ea typeface="+mn-ea"/>
              <a:cs typeface="+mn-cs"/>
            </a:rPr>
            <a:t>Flow state is a state of consciousness that makes work feel effortless. </a:t>
          </a:r>
        </a:p>
        <a:p>
          <a:pPr marL="0" indent="0" algn="l"/>
          <a:endParaRPr lang="en-GB" sz="1100" b="0">
            <a:solidFill>
              <a:schemeClr val="tx1"/>
            </a:solidFill>
            <a:latin typeface="+mn-lt"/>
            <a:ea typeface="+mn-ea"/>
            <a:cs typeface="+mn-cs"/>
          </a:endParaRPr>
        </a:p>
        <a:p>
          <a:pPr marL="0" indent="0" algn="l"/>
          <a:r>
            <a:rPr lang="en-GB" sz="1100" b="0">
              <a:solidFill>
                <a:schemeClr val="tx1"/>
              </a:solidFill>
              <a:latin typeface="+mn-lt"/>
              <a:ea typeface="+mn-ea"/>
              <a:cs typeface="+mn-cs"/>
            </a:rPr>
            <a:t>The</a:t>
          </a:r>
          <a:r>
            <a:rPr lang="en-GB" sz="1100" b="0" baseline="0">
              <a:solidFill>
                <a:schemeClr val="tx1"/>
              </a:solidFill>
              <a:latin typeface="+mn-lt"/>
              <a:ea typeface="+mn-ea"/>
              <a:cs typeface="+mn-cs"/>
            </a:rPr>
            <a:t> k</a:t>
          </a:r>
          <a:r>
            <a:rPr lang="en-GB" sz="1100" b="0">
              <a:solidFill>
                <a:schemeClr val="tx1"/>
              </a:solidFill>
              <a:latin typeface="+mn-lt"/>
              <a:ea typeface="+mn-ea"/>
              <a:cs typeface="+mn-cs"/>
            </a:rPr>
            <a:t>ey flow triggers:</a:t>
          </a:r>
        </a:p>
        <a:p>
          <a:pPr marL="171450" indent="-171450" algn="l">
            <a:buFont typeface="Arial" panose="020B0604020202020204" pitchFamily="34" charset="0"/>
            <a:buChar char="•"/>
          </a:pPr>
          <a:r>
            <a:rPr lang="en-GB" sz="1100" b="0">
              <a:solidFill>
                <a:schemeClr val="tx1"/>
              </a:solidFill>
              <a:latin typeface="+mn-lt"/>
              <a:ea typeface="+mn-ea"/>
              <a:cs typeface="+mn-cs"/>
            </a:rPr>
            <a:t>Clear goals.</a:t>
          </a:r>
        </a:p>
        <a:p>
          <a:pPr marL="171450" indent="-171450" algn="l">
            <a:buFont typeface="Arial" panose="020B0604020202020204" pitchFamily="34" charset="0"/>
            <a:buChar char="•"/>
          </a:pPr>
          <a:r>
            <a:rPr lang="en-GB" sz="1100" b="0">
              <a:solidFill>
                <a:schemeClr val="tx1"/>
              </a:solidFill>
              <a:latin typeface="+mn-lt"/>
              <a:ea typeface="+mn-ea"/>
              <a:cs typeface="+mn-cs"/>
            </a:rPr>
            <a:t>Immediate feedback.</a:t>
          </a:r>
        </a:p>
        <a:p>
          <a:pPr marL="171450" indent="-171450" algn="l">
            <a:buFont typeface="Arial" panose="020B0604020202020204" pitchFamily="34" charset="0"/>
            <a:buChar char="•"/>
          </a:pPr>
          <a:r>
            <a:rPr lang="en-GB" sz="1100" b="0">
              <a:solidFill>
                <a:schemeClr val="tx1"/>
              </a:solidFill>
              <a:latin typeface="+mn-lt"/>
              <a:ea typeface="+mn-ea"/>
              <a:cs typeface="+mn-cs"/>
            </a:rPr>
            <a:t>Challenge/ skill balance.</a:t>
          </a:r>
        </a:p>
        <a:p>
          <a:pPr marL="0" indent="0" algn="l"/>
          <a:endParaRPr lang="en-GB" sz="1100" b="0">
            <a:solidFill>
              <a:schemeClr val="tx1"/>
            </a:solidFill>
            <a:latin typeface="+mn-lt"/>
            <a:ea typeface="+mn-ea"/>
            <a:cs typeface="+mn-cs"/>
          </a:endParaRPr>
        </a:p>
        <a:p>
          <a:pPr marL="0" indent="0" algn="l"/>
          <a:r>
            <a:rPr lang="en-GB" sz="1100" b="0">
              <a:solidFill>
                <a:schemeClr val="tx1"/>
              </a:solidFill>
              <a:latin typeface="+mn-lt"/>
              <a:ea typeface="+mn-ea"/>
              <a:cs typeface="+mn-cs"/>
            </a:rPr>
            <a:t>The four pillars of flow state: </a:t>
          </a:r>
        </a:p>
        <a:p>
          <a:pPr marL="228600" indent="-228600" algn="l">
            <a:buFont typeface="+mj-lt"/>
            <a:buAutoNum type="arabicPeriod"/>
          </a:pPr>
          <a:r>
            <a:rPr lang="en-GB" sz="1100" b="0">
              <a:solidFill>
                <a:schemeClr val="tx1"/>
              </a:solidFill>
              <a:latin typeface="+mn-lt"/>
              <a:ea typeface="+mn-ea"/>
              <a:cs typeface="+mn-cs"/>
            </a:rPr>
            <a:t>Blockers.</a:t>
          </a:r>
        </a:p>
        <a:p>
          <a:pPr marL="228600" indent="-228600" algn="l">
            <a:buFont typeface="+mj-lt"/>
            <a:buAutoNum type="arabicPeriod"/>
          </a:pPr>
          <a:r>
            <a:rPr lang="en-GB" sz="1100" b="0">
              <a:solidFill>
                <a:schemeClr val="tx1"/>
              </a:solidFill>
              <a:latin typeface="+mn-lt"/>
              <a:ea typeface="+mn-ea"/>
              <a:cs typeface="+mn-cs"/>
            </a:rPr>
            <a:t>Proneness.</a:t>
          </a:r>
        </a:p>
        <a:p>
          <a:pPr marL="228600" indent="-228600" algn="l">
            <a:buFont typeface="+mj-lt"/>
            <a:buAutoNum type="arabicPeriod"/>
          </a:pPr>
          <a:r>
            <a:rPr lang="en-GB" sz="1100" b="0">
              <a:solidFill>
                <a:schemeClr val="tx1"/>
              </a:solidFill>
              <a:latin typeface="+mn-lt"/>
              <a:ea typeface="+mn-ea"/>
              <a:cs typeface="+mn-cs"/>
            </a:rPr>
            <a:t>Triggers.</a:t>
          </a:r>
        </a:p>
        <a:p>
          <a:pPr marL="228600" indent="-228600" algn="l">
            <a:buFont typeface="+mj-lt"/>
            <a:buAutoNum type="arabicPeriod"/>
          </a:pPr>
          <a:r>
            <a:rPr lang="en-GB" sz="1100" b="0">
              <a:solidFill>
                <a:schemeClr val="tx1"/>
              </a:solidFill>
              <a:latin typeface="+mn-lt"/>
              <a:ea typeface="+mn-ea"/>
              <a:cs typeface="+mn-cs"/>
            </a:rPr>
            <a:t>Cycle. </a:t>
          </a:r>
        </a:p>
        <a:p>
          <a:pPr marL="0" indent="0" algn="l"/>
          <a:endParaRPr lang="en-GB" sz="1100" b="0">
            <a:solidFill>
              <a:schemeClr val="tx1"/>
            </a:solidFill>
            <a:latin typeface="+mn-lt"/>
            <a:ea typeface="+mn-ea"/>
            <a:cs typeface="+mn-cs"/>
          </a:endParaRPr>
        </a:p>
        <a:p>
          <a:pPr marL="0" indent="0" algn="l"/>
          <a:r>
            <a:rPr lang="en-GB" sz="1100" b="1">
              <a:solidFill>
                <a:schemeClr val="tx1"/>
              </a:solidFill>
              <a:latin typeface="+mn-lt"/>
              <a:ea typeface="+mn-ea"/>
              <a:cs typeface="+mn-cs"/>
            </a:rPr>
            <a:t>1. Flow Blockers: </a:t>
          </a:r>
        </a:p>
        <a:p>
          <a:pPr marL="171450" indent="-171450" algn="l">
            <a:buFont typeface="Arial" panose="020B0604020202020204" pitchFamily="34" charset="0"/>
            <a:buChar char="•"/>
          </a:pPr>
          <a:r>
            <a:rPr lang="en-GB" sz="1100" b="0">
              <a:solidFill>
                <a:schemeClr val="tx1"/>
              </a:solidFill>
              <a:latin typeface="+mn-lt"/>
              <a:ea typeface="+mn-ea"/>
              <a:cs typeface="+mn-cs"/>
            </a:rPr>
            <a:t>Remove common sources of flow blockers, such as distractions from your phone.</a:t>
          </a:r>
        </a:p>
        <a:p>
          <a:pPr marL="171450" indent="-171450" algn="l">
            <a:buFont typeface="Arial" panose="020B0604020202020204" pitchFamily="34" charset="0"/>
            <a:buChar char="•"/>
          </a:pPr>
          <a:r>
            <a:rPr lang="en-GB" sz="1100" b="0">
              <a:solidFill>
                <a:schemeClr val="tx1"/>
              </a:solidFill>
              <a:latin typeface="+mn-lt"/>
              <a:ea typeface="+mn-ea"/>
              <a:cs typeface="+mn-cs"/>
            </a:rPr>
            <a:t>Practice "flow before phone": complete 2-3 hours of productive work before checking your phone. </a:t>
          </a:r>
        </a:p>
        <a:p>
          <a:pPr marL="0" indent="0" algn="l"/>
          <a:endParaRPr lang="en-GB" sz="1100" b="0">
            <a:solidFill>
              <a:schemeClr val="tx1"/>
            </a:solidFill>
            <a:latin typeface="+mn-lt"/>
            <a:ea typeface="+mn-ea"/>
            <a:cs typeface="+mn-cs"/>
          </a:endParaRPr>
        </a:p>
        <a:p>
          <a:pPr marL="0" indent="0" algn="l"/>
          <a:r>
            <a:rPr lang="en-GB" sz="1100" b="1">
              <a:solidFill>
                <a:schemeClr val="tx1"/>
              </a:solidFill>
              <a:latin typeface="+mn-lt"/>
              <a:ea typeface="+mn-ea"/>
              <a:cs typeface="+mn-cs"/>
            </a:rPr>
            <a:t>2. Flow Proneness: </a:t>
          </a:r>
        </a:p>
        <a:p>
          <a:pPr marL="171450" indent="-171450" algn="l">
            <a:buFont typeface="Arial" panose="020B0604020202020204" pitchFamily="34" charset="0"/>
            <a:buChar char="•"/>
          </a:pPr>
          <a:r>
            <a:rPr lang="en-GB" sz="1100" b="0">
              <a:solidFill>
                <a:schemeClr val="tx1"/>
              </a:solidFill>
              <a:latin typeface="+mn-lt"/>
              <a:ea typeface="+mn-ea"/>
              <a:cs typeface="+mn-cs"/>
            </a:rPr>
            <a:t>Increase your likelihood of accessing flow by optimizing your physiology, psychology, and environment.</a:t>
          </a:r>
        </a:p>
        <a:p>
          <a:pPr marL="171450" indent="-171450" algn="l">
            <a:buFont typeface="Arial" panose="020B0604020202020204" pitchFamily="34" charset="0"/>
            <a:buChar char="•"/>
          </a:pPr>
          <a:r>
            <a:rPr lang="en-GB" sz="1100" b="0">
              <a:solidFill>
                <a:schemeClr val="tx1"/>
              </a:solidFill>
              <a:latin typeface="+mn-lt"/>
              <a:ea typeface="+mn-ea"/>
              <a:cs typeface="+mn-cs"/>
            </a:rPr>
            <a:t>Begin your most important work within 90 seconds of waking up, while your brain is still in a flow-friendly state. </a:t>
          </a:r>
        </a:p>
        <a:p>
          <a:pPr marL="0" indent="0" algn="l"/>
          <a:endParaRPr lang="en-GB" sz="1100" b="0">
            <a:solidFill>
              <a:schemeClr val="tx1"/>
            </a:solidFill>
            <a:latin typeface="+mn-lt"/>
            <a:ea typeface="+mn-ea"/>
            <a:cs typeface="+mn-cs"/>
          </a:endParaRPr>
        </a:p>
        <a:p>
          <a:pPr marL="0" indent="0" algn="l"/>
          <a:r>
            <a:rPr lang="en-GB" sz="1100" b="1">
              <a:solidFill>
                <a:schemeClr val="tx1"/>
              </a:solidFill>
              <a:latin typeface="+mn-lt"/>
              <a:ea typeface="+mn-ea"/>
              <a:cs typeface="+mn-cs"/>
            </a:rPr>
            <a:t>3. Flow Triggers:</a:t>
          </a:r>
        </a:p>
        <a:p>
          <a:pPr marL="171450" indent="-171450" algn="l">
            <a:buFont typeface="Arial" panose="020B0604020202020204" pitchFamily="34" charset="0"/>
            <a:buChar char="•"/>
          </a:pPr>
          <a:r>
            <a:rPr lang="en-GB" sz="1100" b="0">
              <a:solidFill>
                <a:schemeClr val="tx1"/>
              </a:solidFill>
              <a:latin typeface="+mn-lt"/>
              <a:ea typeface="+mn-ea"/>
              <a:cs typeface="+mn-cs"/>
            </a:rPr>
            <a:t>Utilize flow triggers such as clear goals, immediate feedback, and challenge-skill balance.</a:t>
          </a:r>
        </a:p>
        <a:p>
          <a:pPr marL="171450" indent="-171450" algn="l">
            <a:buFont typeface="Arial" panose="020B0604020202020204" pitchFamily="34" charset="0"/>
            <a:buChar char="•"/>
          </a:pPr>
          <a:r>
            <a:rPr lang="en-GB" sz="1100" b="0">
              <a:solidFill>
                <a:schemeClr val="tx1"/>
              </a:solidFill>
              <a:latin typeface="+mn-lt"/>
              <a:ea typeface="+mn-ea"/>
              <a:cs typeface="+mn-cs"/>
            </a:rPr>
            <a:t>Apply these triggers to activities that may not naturally have them, like work tasks.</a:t>
          </a:r>
        </a:p>
        <a:p>
          <a:pPr marL="171450" indent="-171450" algn="l">
            <a:buFont typeface="Arial" panose="020B0604020202020204" pitchFamily="34" charset="0"/>
            <a:buChar char="•"/>
          </a:pPr>
          <a:r>
            <a:rPr lang="en-GB" sz="1100" b="0">
              <a:solidFill>
                <a:schemeClr val="tx1"/>
              </a:solidFill>
              <a:latin typeface="+mn-lt"/>
              <a:ea typeface="+mn-ea"/>
              <a:cs typeface="+mn-cs"/>
            </a:rPr>
            <a:t>Engage in tasks that are about 4% more difficult than your current skill level. </a:t>
          </a:r>
        </a:p>
        <a:p>
          <a:pPr marL="0" indent="0" algn="l"/>
          <a:endParaRPr lang="en-GB" sz="1100" b="0">
            <a:solidFill>
              <a:schemeClr val="tx1"/>
            </a:solidFill>
            <a:latin typeface="+mn-lt"/>
            <a:ea typeface="+mn-ea"/>
            <a:cs typeface="+mn-cs"/>
          </a:endParaRPr>
        </a:p>
        <a:p>
          <a:pPr marL="0" indent="0" algn="l"/>
          <a:r>
            <a:rPr lang="en-GB" sz="1100" b="1">
              <a:solidFill>
                <a:schemeClr val="tx1"/>
              </a:solidFill>
              <a:latin typeface="+mn-lt"/>
              <a:ea typeface="+mn-ea"/>
              <a:cs typeface="+mn-cs"/>
            </a:rPr>
            <a:t>4. Flow Cycle:</a:t>
          </a:r>
        </a:p>
        <a:p>
          <a:pPr marL="171450" indent="-171450" algn="l">
            <a:buFont typeface="Arial" panose="020B0604020202020204" pitchFamily="34" charset="0"/>
            <a:buChar char="•"/>
          </a:pPr>
          <a:r>
            <a:rPr lang="en-GB" sz="1100" b="0">
              <a:solidFill>
                <a:schemeClr val="tx1"/>
              </a:solidFill>
              <a:latin typeface="+mn-lt"/>
              <a:ea typeface="+mn-ea"/>
              <a:cs typeface="+mn-cs"/>
            </a:rPr>
            <a:t>Understand that flow states operate like dimmer switches, not light switches.</a:t>
          </a:r>
        </a:p>
        <a:p>
          <a:pPr marL="171450" indent="-171450" algn="l">
            <a:buFont typeface="Arial" panose="020B0604020202020204" pitchFamily="34" charset="0"/>
            <a:buChar char="•"/>
          </a:pPr>
          <a:r>
            <a:rPr lang="en-GB" sz="1100" b="0">
              <a:solidFill>
                <a:schemeClr val="tx1"/>
              </a:solidFill>
              <a:latin typeface="+mn-lt"/>
              <a:ea typeface="+mn-ea"/>
              <a:cs typeface="+mn-cs"/>
            </a:rPr>
            <a:t>Persist through the struggle phase by practicing task persistence and attention span stretching. </a:t>
          </a:r>
        </a:p>
        <a:p>
          <a:pPr marL="171450" indent="-171450" algn="l">
            <a:buFont typeface="Arial" panose="020B0604020202020204" pitchFamily="34" charset="0"/>
            <a:buChar char="•"/>
          </a:pPr>
          <a:r>
            <a:rPr lang="en-GB" sz="1100" b="0">
              <a:solidFill>
                <a:schemeClr val="tx1"/>
              </a:solidFill>
              <a:latin typeface="+mn-lt"/>
              <a:ea typeface="+mn-ea"/>
              <a:cs typeface="+mn-cs"/>
            </a:rPr>
            <a:t>Allow yourself to release and recover after achieving flow, to replenish energy and integrate new knowledge or skills. </a:t>
          </a:r>
          <a:br>
            <a:rPr lang="en-GB" sz="1100" b="0">
              <a:solidFill>
                <a:schemeClr val="tx1"/>
              </a:solidFill>
              <a:latin typeface="+mn-lt"/>
              <a:ea typeface="+mn-ea"/>
              <a:cs typeface="+mn-cs"/>
            </a:rPr>
          </a:br>
          <a:endParaRPr lang="en-GB" sz="1100" b="0">
            <a:solidFill>
              <a:schemeClr val="tx1"/>
            </a:solidFill>
            <a:latin typeface="+mn-lt"/>
            <a:ea typeface="+mn-ea"/>
            <a:cs typeface="+mn-cs"/>
          </a:endParaRPr>
        </a:p>
        <a:p>
          <a:pPr marL="0" indent="0" algn="l"/>
          <a:endParaRPr lang="en-GB" sz="1100" b="1">
            <a:solidFill>
              <a:schemeClr val="tx1"/>
            </a:solidFill>
            <a:latin typeface="+mn-lt"/>
            <a:ea typeface="+mn-ea"/>
            <a:cs typeface="+mn-cs"/>
          </a:endParaRPr>
        </a:p>
        <a:p>
          <a:pPr marL="0" indent="0" algn="l"/>
          <a:endParaRPr lang="en-GB" sz="1100" b="1">
            <a:solidFill>
              <a:schemeClr val="tx1"/>
            </a:solidFill>
            <a:latin typeface="+mn-lt"/>
            <a:ea typeface="+mn-ea"/>
            <a:cs typeface="+mn-cs"/>
          </a:endParaRPr>
        </a:p>
        <a:p>
          <a:pPr marL="0" indent="0" algn="l"/>
          <a:endParaRPr lang="en-GB" sz="1100" b="1">
            <a:solidFill>
              <a:schemeClr val="tx1"/>
            </a:solidFill>
            <a:latin typeface="+mn-lt"/>
            <a:ea typeface="+mn-ea"/>
            <a:cs typeface="+mn-cs"/>
          </a:endParaRPr>
        </a:p>
        <a:p>
          <a:pPr marL="0" indent="0"/>
          <a:endParaRPr lang="en-GB" sz="1100" b="1">
            <a:solidFill>
              <a:schemeClr val="tx1"/>
            </a:solidFill>
            <a:latin typeface="+mn-lt"/>
            <a:ea typeface="+mn-ea"/>
            <a:cs typeface="+mn-cs"/>
          </a:endParaRPr>
        </a:p>
      </xdr:txBody>
    </xdr:sp>
    <xdr:clientData fLocksWithSheet="0"/>
  </xdr:twoCellAnchor>
  <xdr:twoCellAnchor>
    <xdr:from>
      <xdr:col>59</xdr:col>
      <xdr:colOff>0</xdr:colOff>
      <xdr:row>144</xdr:row>
      <xdr:rowOff>0</xdr:rowOff>
    </xdr:from>
    <xdr:to>
      <xdr:col>77</xdr:col>
      <xdr:colOff>0</xdr:colOff>
      <xdr:row>154</xdr:row>
      <xdr:rowOff>19050</xdr:rowOff>
    </xdr:to>
    <xdr:sp macro="" textlink="" fLocksText="0">
      <xdr:nvSpPr>
        <xdr:cNvPr id="7" name="TextBox 6">
          <a:extLst>
            <a:ext uri="{FF2B5EF4-FFF2-40B4-BE49-F238E27FC236}">
              <a16:creationId xmlns:a16="http://schemas.microsoft.com/office/drawing/2014/main" id="{A393116C-8D44-4204-AD62-D429C0BD3B9A}"/>
            </a:ext>
          </a:extLst>
        </xdr:cNvPr>
        <xdr:cNvSpPr txBox="1"/>
      </xdr:nvSpPr>
      <xdr:spPr>
        <a:xfrm>
          <a:off x="13487400" y="30175200"/>
          <a:ext cx="4114800" cy="2114550"/>
        </a:xfrm>
        <a:prstGeom prst="rect">
          <a:avLst/>
        </a:prstGeom>
        <a:solidFill>
          <a:srgbClr val="FFFFFF">
            <a:alpha val="50196"/>
          </a:srgb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b="1">
              <a:solidFill>
                <a:schemeClr val="tx1"/>
              </a:solidFill>
              <a:latin typeface="+mn-lt"/>
              <a:ea typeface="+mn-ea"/>
              <a:cs typeface="+mn-cs"/>
            </a:rPr>
            <a:t>Dr Alok Kanojia aka HealthyGamerGG</a:t>
          </a:r>
        </a:p>
        <a:p>
          <a:pPr marL="0" indent="0"/>
          <a:endParaRPr lang="en-GB" sz="1100" b="1">
            <a:solidFill>
              <a:schemeClr val="tx1"/>
            </a:solidFill>
            <a:latin typeface="+mn-lt"/>
            <a:ea typeface="+mn-ea"/>
            <a:cs typeface="+mn-cs"/>
          </a:endParaRPr>
        </a:p>
        <a:p>
          <a:pPr marL="0" indent="0"/>
          <a:r>
            <a:rPr lang="en-GB" sz="1100" b="1">
              <a:solidFill>
                <a:schemeClr val="tx1"/>
              </a:solidFill>
              <a:latin typeface="+mn-lt"/>
              <a:ea typeface="+mn-ea"/>
              <a:cs typeface="+mn-cs"/>
            </a:rPr>
            <a:t>Notes on Hand-Written Journalling</a:t>
          </a:r>
        </a:p>
        <a:p>
          <a:pPr marL="0" indent="0" algn="l"/>
          <a:endParaRPr lang="en-GB" sz="1100" b="1">
            <a:solidFill>
              <a:schemeClr val="tx1"/>
            </a:solidFill>
            <a:latin typeface="+mn-lt"/>
            <a:ea typeface="+mn-ea"/>
            <a:cs typeface="+mn-cs"/>
          </a:endParaRPr>
        </a:p>
        <a:p>
          <a:pPr marL="0" indent="0" algn="l"/>
          <a:r>
            <a:rPr lang="en-GB" sz="1100" b="0">
              <a:solidFill>
                <a:schemeClr val="tx1"/>
              </a:solidFill>
              <a:latin typeface="+mn-lt"/>
              <a:ea typeface="+mn-ea"/>
              <a:cs typeface="+mn-cs"/>
            </a:rPr>
            <a:t>By doing hand-written journalling:</a:t>
          </a:r>
        </a:p>
        <a:p>
          <a:pPr marL="171450" indent="-171450" algn="l">
            <a:buFont typeface="Arial" panose="020B0604020202020204" pitchFamily="34" charset="0"/>
            <a:buChar char="•"/>
          </a:pPr>
          <a:r>
            <a:rPr lang="en-GB" sz="1100" b="0">
              <a:solidFill>
                <a:schemeClr val="tx1"/>
              </a:solidFill>
              <a:latin typeface="+mn-lt"/>
              <a:ea typeface="+mn-ea"/>
              <a:cs typeface="+mn-cs"/>
            </a:rPr>
            <a:t>it slows your thoughts down</a:t>
          </a:r>
        </a:p>
        <a:p>
          <a:pPr marL="171450" indent="-171450" algn="l">
            <a:buFont typeface="Arial" panose="020B0604020202020204" pitchFamily="34" charset="0"/>
            <a:buChar char="•"/>
          </a:pPr>
          <a:r>
            <a:rPr lang="en-GB" sz="1100" b="0">
              <a:solidFill>
                <a:schemeClr val="tx1"/>
              </a:solidFill>
              <a:latin typeface="+mn-lt"/>
              <a:ea typeface="+mn-ea"/>
              <a:cs typeface="+mn-cs"/>
            </a:rPr>
            <a:t>so you can sit with your thoughts more</a:t>
          </a:r>
        </a:p>
        <a:p>
          <a:pPr marL="171450" indent="-171450" algn="l">
            <a:buFont typeface="Arial" panose="020B0604020202020204" pitchFamily="34" charset="0"/>
            <a:buChar char="•"/>
          </a:pPr>
          <a:r>
            <a:rPr lang="en-GB" sz="1100" b="0">
              <a:solidFill>
                <a:schemeClr val="tx1"/>
              </a:solidFill>
              <a:latin typeface="+mn-lt"/>
              <a:ea typeface="+mn-ea"/>
              <a:cs typeface="+mn-cs"/>
            </a:rPr>
            <a:t>and you can process things better</a:t>
          </a:r>
        </a:p>
        <a:p>
          <a:pPr marL="171450" indent="-171450" algn="l">
            <a:buFont typeface="Arial" panose="020B0604020202020204" pitchFamily="34" charset="0"/>
            <a:buChar char="•"/>
          </a:pPr>
          <a:r>
            <a:rPr lang="en-GB" sz="1100" b="0">
              <a:solidFill>
                <a:schemeClr val="tx1"/>
              </a:solidFill>
              <a:latin typeface="+mn-lt"/>
              <a:ea typeface="+mn-ea"/>
              <a:cs typeface="+mn-cs"/>
            </a:rPr>
            <a:t>any useful insights are commited better to memory</a:t>
          </a:r>
        </a:p>
        <a:p>
          <a:pPr marL="171450" indent="-171450" algn="l">
            <a:buFont typeface="Arial" panose="020B0604020202020204" pitchFamily="34" charset="0"/>
            <a:buChar char="•"/>
          </a:pPr>
          <a:r>
            <a:rPr lang="en-GB" sz="1100" b="0">
              <a:solidFill>
                <a:schemeClr val="tx1"/>
              </a:solidFill>
              <a:latin typeface="+mn-lt"/>
              <a:ea typeface="+mn-ea"/>
              <a:cs typeface="+mn-cs"/>
            </a:rPr>
            <a:t>so what you journal about will sink in more</a:t>
          </a:r>
        </a:p>
        <a:p>
          <a:pPr marL="0" indent="0"/>
          <a:endParaRPr lang="en-GB" sz="1100" b="1">
            <a:solidFill>
              <a:schemeClr val="tx1"/>
            </a:solidFill>
            <a:latin typeface="+mn-lt"/>
            <a:ea typeface="+mn-ea"/>
            <a:cs typeface="+mn-cs"/>
          </a:endParaRPr>
        </a:p>
      </xdr:txBody>
    </xdr:sp>
    <xdr:clientData fLocksWithSheet="0"/>
  </xdr:twoCellAnchor>
  <xdr:twoCellAnchor>
    <xdr:from>
      <xdr:col>59</xdr:col>
      <xdr:colOff>0</xdr:colOff>
      <xdr:row>155</xdr:row>
      <xdr:rowOff>0</xdr:rowOff>
    </xdr:from>
    <xdr:to>
      <xdr:col>77</xdr:col>
      <xdr:colOff>0</xdr:colOff>
      <xdr:row>171</xdr:row>
      <xdr:rowOff>10876</xdr:rowOff>
    </xdr:to>
    <xdr:sp macro="" textlink="" fLocksText="0">
      <xdr:nvSpPr>
        <xdr:cNvPr id="11" name="TextBox 10">
          <a:extLst>
            <a:ext uri="{FF2B5EF4-FFF2-40B4-BE49-F238E27FC236}">
              <a16:creationId xmlns:a16="http://schemas.microsoft.com/office/drawing/2014/main" id="{8D133807-6FB1-46CB-80BC-2EC85D33523B}"/>
            </a:ext>
          </a:extLst>
        </xdr:cNvPr>
        <xdr:cNvSpPr txBox="1"/>
      </xdr:nvSpPr>
      <xdr:spPr>
        <a:xfrm>
          <a:off x="13487400" y="32480250"/>
          <a:ext cx="4114800" cy="3363676"/>
        </a:xfrm>
        <a:prstGeom prst="rect">
          <a:avLst/>
        </a:prstGeom>
        <a:solidFill>
          <a:srgbClr val="FFFFFF">
            <a:alpha val="50196"/>
          </a:srgb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b="1">
              <a:solidFill>
                <a:schemeClr val="tx1"/>
              </a:solidFill>
              <a:latin typeface="+mn-lt"/>
              <a:ea typeface="+mn-ea"/>
              <a:cs typeface="+mn-cs"/>
            </a:rPr>
            <a:t>Campbell Walker aka struthless</a:t>
          </a:r>
        </a:p>
        <a:p>
          <a:pPr marL="0" indent="0"/>
          <a:endParaRPr lang="en-GB" sz="1100" b="1">
            <a:solidFill>
              <a:schemeClr val="tx1"/>
            </a:solidFill>
            <a:latin typeface="+mn-lt"/>
            <a:ea typeface="+mn-ea"/>
            <a:cs typeface="+mn-cs"/>
          </a:endParaRPr>
        </a:p>
        <a:p>
          <a:pPr marL="0" indent="0"/>
          <a:r>
            <a:rPr lang="en-GB" sz="1100" b="1">
              <a:solidFill>
                <a:schemeClr val="tx1"/>
              </a:solidFill>
              <a:latin typeface="+mn-lt"/>
              <a:ea typeface="+mn-ea"/>
              <a:cs typeface="+mn-cs"/>
            </a:rPr>
            <a:t>Guide to Creating Good Questions</a:t>
          </a:r>
        </a:p>
        <a:p>
          <a:pPr marL="0" indent="0" algn="l"/>
          <a:endParaRPr lang="en-GB" sz="1100" b="1">
            <a:solidFill>
              <a:schemeClr val="tx1"/>
            </a:solidFill>
            <a:latin typeface="+mn-lt"/>
            <a:ea typeface="+mn-ea"/>
            <a:cs typeface="+mn-cs"/>
          </a:endParaRPr>
        </a:p>
        <a:p>
          <a:pPr marL="0" indent="0" algn="l"/>
          <a:r>
            <a:rPr lang="en-GB" sz="1100" b="0">
              <a:solidFill>
                <a:schemeClr val="tx1"/>
              </a:solidFill>
              <a:latin typeface="+mn-lt"/>
              <a:ea typeface="+mn-ea"/>
              <a:cs typeface="+mn-cs"/>
            </a:rPr>
            <a:t>Creating good questions (for journalling)</a:t>
          </a:r>
        </a:p>
        <a:p>
          <a:pPr marL="0" indent="0" algn="l"/>
          <a:endParaRPr lang="en-GB" sz="1100" b="0">
            <a:solidFill>
              <a:schemeClr val="tx1"/>
            </a:solidFill>
            <a:latin typeface="+mn-lt"/>
            <a:ea typeface="+mn-ea"/>
            <a:cs typeface="+mn-cs"/>
          </a:endParaRPr>
        </a:p>
        <a:p>
          <a:pPr marL="0" indent="0" algn="l">
            <a:buFont typeface="Arial" panose="020B0604020202020204" pitchFamily="34" charset="0"/>
            <a:buNone/>
          </a:pPr>
          <a:r>
            <a:rPr lang="en-GB" sz="1100" b="0">
              <a:solidFill>
                <a:schemeClr val="tx1"/>
              </a:solidFill>
              <a:latin typeface="+mn-lt"/>
              <a:ea typeface="+mn-ea"/>
              <a:cs typeface="+mn-cs"/>
            </a:rPr>
            <a:t>3 key elements: </a:t>
          </a:r>
        </a:p>
        <a:p>
          <a:pPr marL="171450" indent="-171450" algn="l">
            <a:buFont typeface="Arial" panose="020B0604020202020204" pitchFamily="34" charset="0"/>
            <a:buChar char="•"/>
          </a:pPr>
          <a:r>
            <a:rPr lang="en-GB" sz="1100" b="0">
              <a:solidFill>
                <a:schemeClr val="tx1"/>
              </a:solidFill>
              <a:latin typeface="+mn-lt"/>
              <a:ea typeface="+mn-ea"/>
              <a:cs typeface="+mn-cs"/>
            </a:rPr>
            <a:t>the story</a:t>
          </a:r>
        </a:p>
        <a:p>
          <a:pPr marL="171450" indent="-171450" algn="l">
            <a:buFont typeface="Arial" panose="020B0604020202020204" pitchFamily="34" charset="0"/>
            <a:buChar char="•"/>
          </a:pPr>
          <a:r>
            <a:rPr lang="en-GB" sz="1100" b="0">
              <a:solidFill>
                <a:schemeClr val="tx1"/>
              </a:solidFill>
              <a:latin typeface="+mn-lt"/>
              <a:ea typeface="+mn-ea"/>
              <a:cs typeface="+mn-cs"/>
            </a:rPr>
            <a:t>the parameters</a:t>
          </a:r>
        </a:p>
        <a:p>
          <a:pPr marL="171450" indent="-171450" algn="l">
            <a:buFont typeface="Arial" panose="020B0604020202020204" pitchFamily="34" charset="0"/>
            <a:buChar char="•"/>
          </a:pPr>
          <a:r>
            <a:rPr lang="en-GB" sz="1100" b="0">
              <a:solidFill>
                <a:schemeClr val="tx1"/>
              </a:solidFill>
              <a:latin typeface="+mn-lt"/>
              <a:ea typeface="+mn-ea"/>
              <a:cs typeface="+mn-cs"/>
            </a:rPr>
            <a:t>the role</a:t>
          </a:r>
        </a:p>
        <a:p>
          <a:pPr marL="0" indent="0" algn="l"/>
          <a:endParaRPr lang="en-GB" sz="1100" b="0">
            <a:solidFill>
              <a:schemeClr val="tx1"/>
            </a:solidFill>
            <a:latin typeface="+mn-lt"/>
            <a:ea typeface="+mn-ea"/>
            <a:cs typeface="+mn-cs"/>
          </a:endParaRPr>
        </a:p>
        <a:p>
          <a:pPr marL="0" indent="0" algn="l"/>
          <a:r>
            <a:rPr lang="en-GB" sz="1100" b="0">
              <a:solidFill>
                <a:schemeClr val="tx1"/>
              </a:solidFill>
              <a:latin typeface="+mn-lt"/>
              <a:ea typeface="+mn-ea"/>
              <a:cs typeface="+mn-cs"/>
            </a:rPr>
            <a:t>Example:</a:t>
          </a:r>
        </a:p>
        <a:p>
          <a:pPr marL="0" indent="0" algn="l"/>
          <a:r>
            <a:rPr lang="en-GB" sz="1100" b="0">
              <a:solidFill>
                <a:schemeClr val="tx1"/>
              </a:solidFill>
              <a:latin typeface="+mn-lt"/>
              <a:ea typeface="+mn-ea"/>
              <a:cs typeface="+mn-cs"/>
            </a:rPr>
            <a:t>If you won the lottery what would you do?</a:t>
          </a:r>
        </a:p>
        <a:p>
          <a:pPr marL="0" indent="0" algn="l"/>
          <a:endParaRPr lang="en-GB" sz="1100" b="0">
            <a:solidFill>
              <a:schemeClr val="tx1"/>
            </a:solidFill>
            <a:latin typeface="+mn-lt"/>
            <a:ea typeface="+mn-ea"/>
            <a:cs typeface="+mn-cs"/>
          </a:endParaRPr>
        </a:p>
        <a:p>
          <a:pPr marL="171450" indent="-171450" algn="l">
            <a:buFont typeface="Arial" panose="020B0604020202020204" pitchFamily="34" charset="0"/>
            <a:buChar char="•"/>
          </a:pPr>
          <a:r>
            <a:rPr lang="en-GB" sz="1100" b="0">
              <a:solidFill>
                <a:schemeClr val="tx1"/>
              </a:solidFill>
              <a:latin typeface="+mn-lt"/>
              <a:ea typeface="+mn-ea"/>
              <a:cs typeface="+mn-cs"/>
            </a:rPr>
            <a:t>the story: here's 14 million dollars, what happens...</a:t>
          </a:r>
        </a:p>
        <a:p>
          <a:pPr marL="171450" indent="-171450" algn="l">
            <a:buFont typeface="Arial" panose="020B0604020202020204" pitchFamily="34" charset="0"/>
            <a:buChar char="•"/>
          </a:pPr>
          <a:r>
            <a:rPr lang="en-GB" sz="1100" b="0">
              <a:solidFill>
                <a:schemeClr val="tx1"/>
              </a:solidFill>
              <a:latin typeface="+mn-lt"/>
              <a:ea typeface="+mn-ea"/>
              <a:cs typeface="+mn-cs"/>
            </a:rPr>
            <a:t>the parameters: how do you spend that money (usualy implied: but in a fun way)</a:t>
          </a:r>
        </a:p>
        <a:p>
          <a:pPr marL="171450" indent="-171450" algn="l">
            <a:buFont typeface="Arial" panose="020B0604020202020204" pitchFamily="34" charset="0"/>
            <a:buChar char="•"/>
          </a:pPr>
          <a:r>
            <a:rPr lang="en-GB" sz="1100" b="0">
              <a:solidFill>
                <a:schemeClr val="tx1"/>
              </a:solidFill>
              <a:latin typeface="+mn-lt"/>
              <a:ea typeface="+mn-ea"/>
              <a:cs typeface="+mn-cs"/>
            </a:rPr>
            <a:t>the role: yourself in the future with lots of money</a:t>
          </a:r>
        </a:p>
        <a:p>
          <a:pPr marL="0" indent="0" algn="l"/>
          <a:endParaRPr lang="en-GB" sz="1100" b="1">
            <a:solidFill>
              <a:schemeClr val="tx1"/>
            </a:solidFill>
            <a:latin typeface="+mn-lt"/>
            <a:ea typeface="+mn-ea"/>
            <a:cs typeface="+mn-cs"/>
          </a:endParaRPr>
        </a:p>
        <a:p>
          <a:pPr marL="0" indent="0"/>
          <a:endParaRPr lang="en-GB" sz="1100" b="1">
            <a:solidFill>
              <a:schemeClr val="tx1"/>
            </a:solidFill>
            <a:latin typeface="+mn-lt"/>
            <a:ea typeface="+mn-ea"/>
            <a:cs typeface="+mn-cs"/>
          </a:endParaRPr>
        </a:p>
      </xdr:txBody>
    </xdr:sp>
    <xdr:clientData fLocksWithSheet="0"/>
  </xdr:twoCellAnchor>
  <xdr:twoCellAnchor>
    <xdr:from>
      <xdr:col>40</xdr:col>
      <xdr:colOff>0</xdr:colOff>
      <xdr:row>158</xdr:row>
      <xdr:rowOff>0</xdr:rowOff>
    </xdr:from>
    <xdr:to>
      <xdr:col>58</xdr:col>
      <xdr:colOff>0</xdr:colOff>
      <xdr:row>178</xdr:row>
      <xdr:rowOff>0</xdr:rowOff>
    </xdr:to>
    <xdr:sp macro="" textlink="" fLocksText="0">
      <xdr:nvSpPr>
        <xdr:cNvPr id="14" name="TextBox 13">
          <a:extLst>
            <a:ext uri="{FF2B5EF4-FFF2-40B4-BE49-F238E27FC236}">
              <a16:creationId xmlns:a16="http://schemas.microsoft.com/office/drawing/2014/main" id="{51DB8B3F-DD20-410F-9755-C77457016FD6}"/>
            </a:ext>
          </a:extLst>
        </xdr:cNvPr>
        <xdr:cNvSpPr txBox="1"/>
      </xdr:nvSpPr>
      <xdr:spPr>
        <a:xfrm>
          <a:off x="9144000" y="33108900"/>
          <a:ext cx="4114800" cy="4191000"/>
        </a:xfrm>
        <a:prstGeom prst="rect">
          <a:avLst/>
        </a:prstGeom>
        <a:solidFill>
          <a:srgbClr val="FFFFFF">
            <a:alpha val="50196"/>
          </a:srgb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b="1">
              <a:solidFill>
                <a:schemeClr val="tx1"/>
              </a:solidFill>
              <a:latin typeface="+mn-lt"/>
              <a:ea typeface="+mn-ea"/>
              <a:cs typeface="+mn-cs"/>
            </a:rPr>
            <a:t>Nick Keomahavong</a:t>
          </a:r>
        </a:p>
        <a:p>
          <a:pPr marL="0" indent="0"/>
          <a:endParaRPr lang="en-GB" sz="1100" b="1">
            <a:solidFill>
              <a:schemeClr val="tx1"/>
            </a:solidFill>
            <a:latin typeface="+mn-lt"/>
            <a:ea typeface="+mn-ea"/>
            <a:cs typeface="+mn-cs"/>
          </a:endParaRPr>
        </a:p>
        <a:p>
          <a:pPr marL="0" indent="0" algn="l"/>
          <a:r>
            <a:rPr lang="en-GB" sz="1100" b="1">
              <a:solidFill>
                <a:schemeClr val="tx1"/>
              </a:solidFill>
              <a:latin typeface="+mn-lt"/>
              <a:ea typeface="+mn-ea"/>
              <a:cs typeface="+mn-cs"/>
            </a:rPr>
            <a:t>Sleep in a Sea of Merits</a:t>
          </a:r>
        </a:p>
        <a:p>
          <a:pPr marL="0" indent="0" algn="l"/>
          <a:endParaRPr lang="en-GB" sz="1100" b="1">
            <a:solidFill>
              <a:schemeClr val="tx1"/>
            </a:solidFill>
            <a:latin typeface="+mn-lt"/>
            <a:ea typeface="+mn-ea"/>
            <a:cs typeface="+mn-cs"/>
          </a:endParaRPr>
        </a:p>
        <a:p>
          <a:pPr marL="0" indent="0" algn="l"/>
          <a:r>
            <a:rPr lang="en-GB" sz="1100" b="0">
              <a:solidFill>
                <a:schemeClr val="tx1"/>
              </a:solidFill>
              <a:latin typeface="+mn-lt"/>
              <a:ea typeface="+mn-ea"/>
              <a:cs typeface="+mn-cs"/>
            </a:rPr>
            <a:t>Your last thought when going to sleep is the first thought when waking.</a:t>
          </a:r>
        </a:p>
        <a:p>
          <a:pPr marL="0" indent="0" algn="l"/>
          <a:endParaRPr lang="en-GB" sz="1100" b="0">
            <a:solidFill>
              <a:schemeClr val="tx1"/>
            </a:solidFill>
            <a:latin typeface="+mn-lt"/>
            <a:ea typeface="+mn-ea"/>
            <a:cs typeface="+mn-cs"/>
          </a:endParaRPr>
        </a:p>
        <a:p>
          <a:pPr marL="0" indent="0" algn="l"/>
          <a:r>
            <a:rPr lang="en-GB" sz="1100" b="0">
              <a:solidFill>
                <a:schemeClr val="tx1"/>
              </a:solidFill>
              <a:latin typeface="+mn-lt"/>
              <a:ea typeface="+mn-ea"/>
              <a:cs typeface="+mn-cs"/>
            </a:rPr>
            <a:t>Sleep in a sea of merits, not focusing on your problems.</a:t>
          </a:r>
        </a:p>
        <a:p>
          <a:pPr marL="0" indent="0" algn="l"/>
          <a:r>
            <a:rPr lang="en-GB" sz="1100" b="0">
              <a:solidFill>
                <a:schemeClr val="tx1"/>
              </a:solidFill>
              <a:latin typeface="+mn-lt"/>
              <a:ea typeface="+mn-ea"/>
              <a:cs typeface="+mn-cs"/>
            </a:rPr>
            <a:t>Contemplate good deeds you've done that day, things that make you proud (or if not for that day, then think for that week). *</a:t>
          </a:r>
        </a:p>
        <a:p>
          <a:pPr marL="0" indent="0" algn="l"/>
          <a:r>
            <a:rPr lang="en-GB" sz="1100" b="0">
              <a:solidFill>
                <a:schemeClr val="tx1"/>
              </a:solidFill>
              <a:latin typeface="+mn-lt"/>
              <a:ea typeface="+mn-ea"/>
              <a:cs typeface="+mn-cs"/>
            </a:rPr>
            <a:t>Or expand further: what good did you do - this week? - this month? - this year? - this lifetime? *</a:t>
          </a:r>
        </a:p>
        <a:p>
          <a:pPr marL="0" indent="0" algn="l"/>
          <a:r>
            <a:rPr lang="en-GB" sz="1100" b="0">
              <a:solidFill>
                <a:schemeClr val="tx1"/>
              </a:solidFill>
              <a:latin typeface="+mn-lt"/>
              <a:ea typeface="+mn-ea"/>
              <a:cs typeface="+mn-cs"/>
            </a:rPr>
            <a:t>Put that thought at your center and let that cover you, then sleep.</a:t>
          </a:r>
        </a:p>
        <a:p>
          <a:pPr marL="0" indent="0" algn="l"/>
          <a:endParaRPr lang="en-GB" sz="1100" b="0">
            <a:solidFill>
              <a:schemeClr val="tx1"/>
            </a:solidFill>
            <a:latin typeface="+mn-lt"/>
            <a:ea typeface="+mn-ea"/>
            <a:cs typeface="+mn-cs"/>
          </a:endParaRPr>
        </a:p>
        <a:p>
          <a:pPr marL="0" indent="0" algn="l"/>
          <a:r>
            <a:rPr lang="en-GB" sz="1100" b="0">
              <a:solidFill>
                <a:schemeClr val="tx1"/>
              </a:solidFill>
              <a:latin typeface="+mn-lt"/>
              <a:ea typeface="+mn-ea"/>
              <a:cs typeface="+mn-cs"/>
            </a:rPr>
            <a:t>* If you are lacking good deeds to contemplate on, then perhaps you should do more (more things that make you feel proud).</a:t>
          </a:r>
        </a:p>
        <a:p>
          <a:pPr marL="0" indent="0" algn="l"/>
          <a:endParaRPr lang="en-GB" sz="1100" b="0">
            <a:solidFill>
              <a:schemeClr val="tx1"/>
            </a:solidFill>
            <a:latin typeface="+mn-lt"/>
            <a:ea typeface="+mn-ea"/>
            <a:cs typeface="+mn-cs"/>
          </a:endParaRPr>
        </a:p>
        <a:p>
          <a:pPr marL="0" indent="0" algn="l"/>
          <a:r>
            <a:rPr lang="en-GB" sz="1100" b="0">
              <a:solidFill>
                <a:schemeClr val="tx1"/>
              </a:solidFill>
              <a:latin typeface="+mn-lt"/>
              <a:ea typeface="+mn-ea"/>
              <a:cs typeface="+mn-cs"/>
            </a:rPr>
            <a:t>Do good deeds:</a:t>
          </a:r>
        </a:p>
        <a:p>
          <a:pPr marL="171450" indent="-171450" algn="l">
            <a:buFont typeface="Arial" panose="020B0604020202020204" pitchFamily="34" charset="0"/>
            <a:buChar char="•"/>
          </a:pPr>
          <a:r>
            <a:rPr lang="en-GB" sz="1100" b="0">
              <a:solidFill>
                <a:schemeClr val="tx1"/>
              </a:solidFill>
              <a:latin typeface="+mn-lt"/>
              <a:ea typeface="+mn-ea"/>
              <a:cs typeface="+mn-cs"/>
            </a:rPr>
            <a:t>to help yourself</a:t>
          </a:r>
        </a:p>
        <a:p>
          <a:pPr marL="171450" indent="-171450" algn="l">
            <a:buFont typeface="Arial" panose="020B0604020202020204" pitchFamily="34" charset="0"/>
            <a:buChar char="•"/>
          </a:pPr>
          <a:r>
            <a:rPr lang="en-GB" sz="1100" b="0">
              <a:solidFill>
                <a:schemeClr val="tx1"/>
              </a:solidFill>
              <a:latin typeface="+mn-lt"/>
              <a:ea typeface="+mn-ea"/>
              <a:cs typeface="+mn-cs"/>
            </a:rPr>
            <a:t>to help others</a:t>
          </a:r>
        </a:p>
        <a:p>
          <a:pPr marL="171450" indent="-171450" algn="l">
            <a:buFont typeface="Arial" panose="020B0604020202020204" pitchFamily="34" charset="0"/>
            <a:buChar char="•"/>
          </a:pPr>
          <a:r>
            <a:rPr lang="en-GB" sz="1100" b="0">
              <a:solidFill>
                <a:schemeClr val="tx1"/>
              </a:solidFill>
              <a:latin typeface="+mn-lt"/>
              <a:ea typeface="+mn-ea"/>
              <a:cs typeface="+mn-cs"/>
            </a:rPr>
            <a:t>to benefit the world</a:t>
          </a:r>
        </a:p>
        <a:p>
          <a:pPr marL="171450" indent="-171450" algn="l">
            <a:buFont typeface="Arial" panose="020B0604020202020204" pitchFamily="34" charset="0"/>
            <a:buChar char="•"/>
          </a:pPr>
          <a:r>
            <a:rPr lang="en-GB" sz="1100" b="0">
              <a:solidFill>
                <a:schemeClr val="tx1"/>
              </a:solidFill>
              <a:latin typeface="+mn-lt"/>
              <a:ea typeface="+mn-ea"/>
              <a:cs typeface="+mn-cs"/>
            </a:rPr>
            <a:t>So that you can truly sleep in a sea of merits.</a:t>
          </a:r>
        </a:p>
        <a:p>
          <a:pPr marL="0" indent="0" algn="l"/>
          <a:endParaRPr lang="en-GB" sz="1100" b="1">
            <a:solidFill>
              <a:schemeClr val="tx1"/>
            </a:solidFill>
            <a:latin typeface="+mn-lt"/>
            <a:ea typeface="+mn-ea"/>
            <a:cs typeface="+mn-cs"/>
          </a:endParaRPr>
        </a:p>
        <a:p>
          <a:pPr marL="0" indent="0" algn="l"/>
          <a:endParaRPr lang="en-GB" sz="1100" b="1">
            <a:solidFill>
              <a:schemeClr val="tx1"/>
            </a:solidFill>
            <a:latin typeface="+mn-lt"/>
            <a:ea typeface="+mn-ea"/>
            <a:cs typeface="+mn-cs"/>
          </a:endParaRPr>
        </a:p>
        <a:p>
          <a:pPr marL="0" indent="0" algn="l"/>
          <a:endParaRPr lang="en-GB" sz="1100" b="1">
            <a:solidFill>
              <a:schemeClr val="tx1"/>
            </a:solidFill>
            <a:latin typeface="+mn-lt"/>
            <a:ea typeface="+mn-ea"/>
            <a:cs typeface="+mn-cs"/>
          </a:endParaRPr>
        </a:p>
        <a:p>
          <a:pPr marL="0" indent="0"/>
          <a:endParaRPr lang="en-GB" sz="1100" b="1">
            <a:solidFill>
              <a:schemeClr val="tx1"/>
            </a:solidFill>
            <a:latin typeface="+mn-lt"/>
            <a:ea typeface="+mn-ea"/>
            <a:cs typeface="+mn-cs"/>
          </a:endParaRPr>
        </a:p>
      </xdr:txBody>
    </xdr:sp>
    <xdr:clientData fLocksWithSheet="0"/>
  </xdr:twoCellAnchor>
  <xdr:twoCellAnchor>
    <xdr:from>
      <xdr:col>59</xdr:col>
      <xdr:colOff>0</xdr:colOff>
      <xdr:row>172</xdr:row>
      <xdr:rowOff>0</xdr:rowOff>
    </xdr:from>
    <xdr:to>
      <xdr:col>77</xdr:col>
      <xdr:colOff>0</xdr:colOff>
      <xdr:row>195</xdr:row>
      <xdr:rowOff>0</xdr:rowOff>
    </xdr:to>
    <xdr:sp macro="" textlink="" fLocksText="0">
      <xdr:nvSpPr>
        <xdr:cNvPr id="15" name="TextBox 14">
          <a:extLst>
            <a:ext uri="{FF2B5EF4-FFF2-40B4-BE49-F238E27FC236}">
              <a16:creationId xmlns:a16="http://schemas.microsoft.com/office/drawing/2014/main" id="{00C878DA-65CE-456D-BBCA-6C5C46583DAE}"/>
            </a:ext>
          </a:extLst>
        </xdr:cNvPr>
        <xdr:cNvSpPr txBox="1"/>
      </xdr:nvSpPr>
      <xdr:spPr>
        <a:xfrm>
          <a:off x="13487400" y="36042600"/>
          <a:ext cx="4114800" cy="4819650"/>
        </a:xfrm>
        <a:prstGeom prst="rect">
          <a:avLst/>
        </a:prstGeom>
        <a:solidFill>
          <a:srgbClr val="FFFFFF">
            <a:alpha val="50196"/>
          </a:srgb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b="1">
              <a:solidFill>
                <a:schemeClr val="tx1"/>
              </a:solidFill>
              <a:latin typeface="+mn-lt"/>
              <a:ea typeface="+mn-ea"/>
              <a:cs typeface="+mn-cs"/>
            </a:rPr>
            <a:t>Colin Galen</a:t>
          </a:r>
        </a:p>
        <a:p>
          <a:pPr marL="0" indent="0"/>
          <a:endParaRPr lang="en-GB" sz="1100" b="1">
            <a:solidFill>
              <a:schemeClr val="tx1"/>
            </a:solidFill>
            <a:latin typeface="+mn-lt"/>
            <a:ea typeface="+mn-ea"/>
            <a:cs typeface="+mn-cs"/>
          </a:endParaRPr>
        </a:p>
        <a:p>
          <a:pPr marL="0" indent="0"/>
          <a:r>
            <a:rPr lang="en-GB" sz="1100" b="1">
              <a:solidFill>
                <a:schemeClr val="tx1"/>
              </a:solidFill>
              <a:latin typeface="+mn-lt"/>
              <a:ea typeface="+mn-ea"/>
              <a:cs typeface="+mn-cs"/>
            </a:rPr>
            <a:t>Controlling Your Unconscious Mind</a:t>
          </a:r>
        </a:p>
        <a:p>
          <a:pPr marL="0" indent="0" algn="l"/>
          <a:endParaRPr lang="en-GB" sz="1100" b="1">
            <a:solidFill>
              <a:schemeClr val="tx1"/>
            </a:solidFill>
            <a:latin typeface="+mn-lt"/>
            <a:ea typeface="+mn-ea"/>
            <a:cs typeface="+mn-cs"/>
          </a:endParaRPr>
        </a:p>
        <a:p>
          <a:pPr marL="0" indent="0" algn="l"/>
          <a:r>
            <a:rPr lang="en-GB" sz="1100" b="0">
              <a:solidFill>
                <a:schemeClr val="tx1"/>
              </a:solidFill>
              <a:latin typeface="+mn-lt"/>
              <a:ea typeface="+mn-ea"/>
              <a:cs typeface="+mn-cs"/>
            </a:rPr>
            <a:t>Using the power of your unconscious mind.</a:t>
          </a:r>
        </a:p>
        <a:p>
          <a:pPr marL="0" indent="0" algn="l"/>
          <a:endParaRPr lang="en-GB" sz="1100" b="0">
            <a:solidFill>
              <a:schemeClr val="tx1"/>
            </a:solidFill>
            <a:latin typeface="+mn-lt"/>
            <a:ea typeface="+mn-ea"/>
            <a:cs typeface="+mn-cs"/>
          </a:endParaRPr>
        </a:p>
        <a:p>
          <a:pPr marL="171450" indent="-171450" algn="l">
            <a:buFont typeface="Arial" panose="020B0604020202020204" pitchFamily="34" charset="0"/>
            <a:buChar char="•"/>
          </a:pPr>
          <a:r>
            <a:rPr lang="en-GB" sz="1100" b="0">
              <a:solidFill>
                <a:schemeClr val="tx1"/>
              </a:solidFill>
              <a:latin typeface="+mn-lt"/>
              <a:ea typeface="+mn-ea"/>
              <a:cs typeface="+mn-cs"/>
            </a:rPr>
            <a:t>Get your unconscious mind to care deeply about the action, so that just by doing the action brings you significant happiness by default, or that the action is fundamental to your survival (or failure to do it will affect your survival - fear based).</a:t>
          </a:r>
        </a:p>
        <a:p>
          <a:pPr marL="171450" indent="-171450" algn="l">
            <a:buFont typeface="Arial" panose="020B0604020202020204" pitchFamily="34" charset="0"/>
            <a:buChar char="•"/>
          </a:pPr>
          <a:r>
            <a:rPr lang="en-GB" sz="1100" b="0">
              <a:solidFill>
                <a:schemeClr val="tx1"/>
              </a:solidFill>
              <a:latin typeface="+mn-lt"/>
              <a:ea typeface="+mn-ea"/>
              <a:cs typeface="+mn-cs"/>
            </a:rPr>
            <a:t>The unconscious mind will not respond to artificial motivators: money, prestige, success.</a:t>
          </a:r>
        </a:p>
        <a:p>
          <a:pPr marL="171450" indent="-171450" algn="l">
            <a:buFont typeface="Arial" panose="020B0604020202020204" pitchFamily="34" charset="0"/>
            <a:buChar char="•"/>
          </a:pPr>
          <a:r>
            <a:rPr lang="en-GB" sz="1100" b="0">
              <a:solidFill>
                <a:schemeClr val="tx1"/>
              </a:solidFill>
              <a:latin typeface="+mn-lt"/>
              <a:ea typeface="+mn-ea"/>
              <a:cs typeface="+mn-cs"/>
            </a:rPr>
            <a:t>The unconscious mind only responds to primal emotions: happiness, fear, survival, love, emotional connection.</a:t>
          </a:r>
        </a:p>
        <a:p>
          <a:pPr marL="171450" indent="-171450" algn="l">
            <a:buFont typeface="Arial" panose="020B0604020202020204" pitchFamily="34" charset="0"/>
            <a:buChar char="•"/>
          </a:pPr>
          <a:r>
            <a:rPr lang="en-GB" sz="1100" b="0">
              <a:solidFill>
                <a:schemeClr val="tx1"/>
              </a:solidFill>
              <a:latin typeface="+mn-lt"/>
              <a:ea typeface="+mn-ea"/>
              <a:cs typeface="+mn-cs"/>
            </a:rPr>
            <a:t>Shift your focus from artificial motivators to primal emotions, using the chain of motivation. Give reasons why to do an action, then keeping asking 'why?' until reaching a primal emotion or nothing.</a:t>
          </a:r>
        </a:p>
        <a:p>
          <a:pPr marL="171450" indent="-171450" algn="l">
            <a:buFont typeface="Arial" panose="020B0604020202020204" pitchFamily="34" charset="0"/>
            <a:buChar char="•"/>
          </a:pPr>
          <a:r>
            <a:rPr lang="en-GB" sz="1100" b="0">
              <a:solidFill>
                <a:schemeClr val="tx1"/>
              </a:solidFill>
              <a:latin typeface="+mn-lt"/>
              <a:ea typeface="+mn-ea"/>
              <a:cs typeface="+mn-cs"/>
            </a:rPr>
            <a:t>If you reach nothing then there is no actual point to the action so it seems illogical to do it. </a:t>
          </a:r>
        </a:p>
        <a:p>
          <a:pPr marL="171450" indent="-171450" algn="l">
            <a:buFont typeface="Arial" panose="020B0604020202020204" pitchFamily="34" charset="0"/>
            <a:buChar char="•"/>
          </a:pPr>
          <a:r>
            <a:rPr lang="en-GB" sz="1100" b="0">
              <a:solidFill>
                <a:schemeClr val="tx1"/>
              </a:solidFill>
              <a:latin typeface="+mn-lt"/>
              <a:ea typeface="+mn-ea"/>
              <a:cs typeface="+mn-cs"/>
            </a:rPr>
            <a:t>When you reach the primal emotion, this is the key motivator for an action.</a:t>
          </a:r>
        </a:p>
        <a:p>
          <a:pPr marL="171450" indent="-171450" algn="l">
            <a:buFont typeface="Arial" panose="020B0604020202020204" pitchFamily="34" charset="0"/>
            <a:buChar char="•"/>
          </a:pPr>
          <a:r>
            <a:rPr lang="en-GB" sz="1100" b="0">
              <a:solidFill>
                <a:schemeClr val="tx1"/>
              </a:solidFill>
              <a:latin typeface="+mn-lt"/>
              <a:ea typeface="+mn-ea"/>
              <a:cs typeface="+mn-cs"/>
            </a:rPr>
            <a:t>Spend a few minutes once to four times per day conditioning yourself; visualise achieving your goal satisfying the key motivator, skip the chain of becauses and directly associate the action with that primal emotion.</a:t>
          </a:r>
          <a:r>
            <a:rPr lang="en-GB" sz="1100" b="1">
              <a:solidFill>
                <a:schemeClr val="tx1"/>
              </a:solidFill>
              <a:latin typeface="+mn-lt"/>
              <a:ea typeface="+mn-ea"/>
              <a:cs typeface="+mn-cs"/>
            </a:rPr>
            <a:t> </a:t>
          </a:r>
        </a:p>
        <a:p>
          <a:pPr marL="0" indent="0" algn="l"/>
          <a:endParaRPr lang="en-GB" sz="1100" b="1">
            <a:solidFill>
              <a:schemeClr val="tx1"/>
            </a:solidFill>
            <a:latin typeface="+mn-lt"/>
            <a:ea typeface="+mn-ea"/>
            <a:cs typeface="+mn-cs"/>
          </a:endParaRPr>
        </a:p>
        <a:p>
          <a:pPr marL="0" indent="0" algn="l"/>
          <a:endParaRPr lang="en-GB" sz="1100" b="1">
            <a:solidFill>
              <a:schemeClr val="tx1"/>
            </a:solidFill>
            <a:latin typeface="+mn-lt"/>
            <a:ea typeface="+mn-ea"/>
            <a:cs typeface="+mn-cs"/>
          </a:endParaRPr>
        </a:p>
        <a:p>
          <a:pPr marL="0" indent="0" algn="l"/>
          <a:endParaRPr lang="en-GB" sz="1100" b="1">
            <a:solidFill>
              <a:schemeClr val="tx1"/>
            </a:solidFill>
            <a:latin typeface="+mn-lt"/>
            <a:ea typeface="+mn-ea"/>
            <a:cs typeface="+mn-cs"/>
          </a:endParaRPr>
        </a:p>
        <a:p>
          <a:pPr marL="0" indent="0" algn="l"/>
          <a:endParaRPr lang="en-GB" sz="1100" b="1">
            <a:solidFill>
              <a:schemeClr val="tx1"/>
            </a:solidFill>
            <a:latin typeface="+mn-lt"/>
            <a:ea typeface="+mn-ea"/>
            <a:cs typeface="+mn-cs"/>
          </a:endParaRPr>
        </a:p>
        <a:p>
          <a:pPr marL="0" indent="0"/>
          <a:endParaRPr lang="en-GB" sz="1100" b="1">
            <a:solidFill>
              <a:schemeClr val="tx1"/>
            </a:solidFill>
            <a:latin typeface="+mn-lt"/>
            <a:ea typeface="+mn-ea"/>
            <a:cs typeface="+mn-cs"/>
          </a:endParaRPr>
        </a:p>
      </xdr:txBody>
    </xdr:sp>
    <xdr:clientData fLocksWithSheet="0"/>
  </xdr:twoCellAnchor>
  <xdr:twoCellAnchor>
    <xdr:from>
      <xdr:col>39</xdr:col>
      <xdr:colOff>228599</xdr:colOff>
      <xdr:row>179</xdr:row>
      <xdr:rowOff>0</xdr:rowOff>
    </xdr:from>
    <xdr:to>
      <xdr:col>58</xdr:col>
      <xdr:colOff>0</xdr:colOff>
      <xdr:row>188</xdr:row>
      <xdr:rowOff>0</xdr:rowOff>
    </xdr:to>
    <xdr:sp macro="" textlink="" fLocksText="0">
      <xdr:nvSpPr>
        <xdr:cNvPr id="19" name="TextBox 18">
          <a:extLst>
            <a:ext uri="{FF2B5EF4-FFF2-40B4-BE49-F238E27FC236}">
              <a16:creationId xmlns:a16="http://schemas.microsoft.com/office/drawing/2014/main" id="{BD8B2131-D846-486D-A316-0B954CD42962}"/>
            </a:ext>
          </a:extLst>
        </xdr:cNvPr>
        <xdr:cNvSpPr txBox="1"/>
      </xdr:nvSpPr>
      <xdr:spPr>
        <a:xfrm>
          <a:off x="9143999" y="37509450"/>
          <a:ext cx="4114801" cy="1885950"/>
        </a:xfrm>
        <a:prstGeom prst="rect">
          <a:avLst/>
        </a:prstGeom>
        <a:solidFill>
          <a:srgbClr val="FFFFFF">
            <a:alpha val="50196"/>
          </a:srgb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r>
            <a:rPr lang="en-GB" sz="1100" b="1">
              <a:solidFill>
                <a:schemeClr val="tx1"/>
              </a:solidFill>
              <a:latin typeface="+mn-lt"/>
              <a:ea typeface="+mn-ea"/>
              <a:cs typeface="+mn-cs"/>
            </a:rPr>
            <a:t>Jesse Itzler</a:t>
          </a:r>
        </a:p>
        <a:p>
          <a:pPr marL="0" indent="0" algn="l"/>
          <a:endParaRPr lang="en-GB" sz="1100">
            <a:solidFill>
              <a:schemeClr val="tx1"/>
            </a:solidFill>
            <a:latin typeface="+mn-lt"/>
            <a:ea typeface="+mn-ea"/>
            <a:cs typeface="+mn-cs"/>
          </a:endParaRPr>
        </a:p>
        <a:p>
          <a:pPr marL="0" indent="0" algn="l"/>
          <a:r>
            <a:rPr lang="en-GB" sz="1100" b="1">
              <a:solidFill>
                <a:schemeClr val="tx1"/>
              </a:solidFill>
              <a:latin typeface="+mn-lt"/>
              <a:ea typeface="+mn-ea"/>
              <a:cs typeface="+mn-cs"/>
            </a:rPr>
            <a:t>Do these</a:t>
          </a:r>
          <a:r>
            <a:rPr lang="en-GB" sz="1100" b="1" baseline="0">
              <a:solidFill>
                <a:schemeClr val="tx1"/>
              </a:solidFill>
              <a:latin typeface="+mn-lt"/>
              <a:ea typeface="+mn-ea"/>
              <a:cs typeface="+mn-cs"/>
            </a:rPr>
            <a:t> three things each year:</a:t>
          </a:r>
        </a:p>
        <a:p>
          <a:pPr marL="0" indent="0" algn="l"/>
          <a:endParaRPr lang="en-GB" sz="1100" baseline="0">
            <a:solidFill>
              <a:schemeClr val="tx1"/>
            </a:solidFill>
            <a:latin typeface="+mn-lt"/>
            <a:ea typeface="+mn-ea"/>
            <a:cs typeface="+mn-cs"/>
          </a:endParaRPr>
        </a:p>
        <a:p>
          <a:pPr marL="171450" indent="-171450" algn="l">
            <a:buFont typeface="Arial" panose="020B0604020202020204" pitchFamily="34" charset="0"/>
            <a:buChar char="•"/>
          </a:pPr>
          <a:r>
            <a:rPr lang="en-GB" sz="1100" b="1">
              <a:solidFill>
                <a:schemeClr val="tx1"/>
              </a:solidFill>
              <a:latin typeface="+mn-lt"/>
              <a:ea typeface="+mn-ea"/>
              <a:cs typeface="+mn-cs"/>
            </a:rPr>
            <a:t>Misogi</a:t>
          </a:r>
          <a:r>
            <a:rPr lang="en-GB" sz="1100">
              <a:solidFill>
                <a:schemeClr val="tx1"/>
              </a:solidFill>
              <a:latin typeface="+mn-lt"/>
              <a:ea typeface="+mn-ea"/>
              <a:cs typeface="+mn-cs"/>
            </a:rPr>
            <a:t>:</a:t>
          </a:r>
          <a:r>
            <a:rPr lang="en-GB" sz="1100" baseline="0">
              <a:solidFill>
                <a:schemeClr val="tx1"/>
              </a:solidFill>
              <a:latin typeface="+mn-lt"/>
              <a:ea typeface="+mn-ea"/>
              <a:cs typeface="+mn-cs"/>
            </a:rPr>
            <a:t> do one big year defining thing.</a:t>
          </a:r>
        </a:p>
        <a:p>
          <a:pPr marL="171450" indent="-171450" algn="l">
            <a:buFont typeface="Arial" panose="020B0604020202020204" pitchFamily="34" charset="0"/>
            <a:buChar char="•"/>
          </a:pPr>
          <a:r>
            <a:rPr lang="en-GB" sz="1100" b="1" baseline="0">
              <a:solidFill>
                <a:schemeClr val="tx1"/>
              </a:solidFill>
              <a:latin typeface="+mn-lt"/>
              <a:ea typeface="+mn-ea"/>
              <a:cs typeface="+mn-cs"/>
            </a:rPr>
            <a:t>Kevin's Rule</a:t>
          </a:r>
          <a:r>
            <a:rPr lang="en-GB" sz="1100" baseline="0">
              <a:solidFill>
                <a:schemeClr val="tx1"/>
              </a:solidFill>
              <a:latin typeface="+mn-lt"/>
              <a:ea typeface="+mn-ea"/>
              <a:cs typeface="+mn-cs"/>
            </a:rPr>
            <a:t>: every 8 weeks take a day for a mini-adventure.</a:t>
          </a:r>
        </a:p>
        <a:p>
          <a:pPr marL="171450" indent="-171450" algn="l">
            <a:buFont typeface="Arial" panose="020B0604020202020204" pitchFamily="34" charset="0"/>
            <a:buChar char="•"/>
          </a:pPr>
          <a:r>
            <a:rPr lang="en-GB" sz="1100" b="1" baseline="0">
              <a:solidFill>
                <a:schemeClr val="tx1"/>
              </a:solidFill>
              <a:latin typeface="+mn-lt"/>
              <a:ea typeface="+mn-ea"/>
              <a:cs typeface="+mn-cs"/>
            </a:rPr>
            <a:t>Quarterly Habit</a:t>
          </a:r>
          <a:r>
            <a:rPr lang="en-GB" sz="1100" baseline="0">
              <a:solidFill>
                <a:schemeClr val="tx1"/>
              </a:solidFill>
              <a:latin typeface="+mn-lt"/>
              <a:ea typeface="+mn-ea"/>
              <a:cs typeface="+mn-cs"/>
            </a:rPr>
            <a:t>: add one new good habit each quarter.</a:t>
          </a:r>
        </a:p>
        <a:p>
          <a:pPr marL="0" indent="0" algn="l">
            <a:buFont typeface="Arial" panose="020B0604020202020204" pitchFamily="34" charset="0"/>
            <a:buNone/>
          </a:pPr>
          <a:endParaRPr lang="en-GB" sz="1100" baseline="0">
            <a:solidFill>
              <a:schemeClr val="tx1"/>
            </a:solidFill>
            <a:latin typeface="+mn-lt"/>
            <a:ea typeface="+mn-ea"/>
            <a:cs typeface="+mn-cs"/>
          </a:endParaRPr>
        </a:p>
        <a:p>
          <a:pPr marL="0" indent="0" algn="l">
            <a:buFont typeface="Arial" panose="020B0604020202020204" pitchFamily="34" charset="0"/>
            <a:buNone/>
          </a:pPr>
          <a:r>
            <a:rPr lang="en-GB" sz="1100">
              <a:solidFill>
                <a:schemeClr val="tx1"/>
              </a:solidFill>
              <a:latin typeface="+mn-lt"/>
              <a:ea typeface="+mn-ea"/>
              <a:cs typeface="+mn-cs"/>
            </a:rPr>
            <a:t>Do all three every year for</a:t>
          </a:r>
          <a:r>
            <a:rPr lang="en-GB" sz="1100" baseline="0">
              <a:solidFill>
                <a:schemeClr val="tx1"/>
              </a:solidFill>
              <a:latin typeface="+mn-lt"/>
              <a:ea typeface="+mn-ea"/>
              <a:cs typeface="+mn-cs"/>
            </a:rPr>
            <a:t> an incredible life. </a:t>
          </a:r>
          <a:endParaRPr lang="en-GB" sz="1100">
            <a:solidFill>
              <a:schemeClr val="tx1"/>
            </a:solidFill>
            <a:latin typeface="+mn-lt"/>
            <a:ea typeface="+mn-ea"/>
            <a:cs typeface="+mn-cs"/>
          </a:endParaRPr>
        </a:p>
      </xdr:txBody>
    </xdr:sp>
    <xdr:clientData fLocksWithSheet="0"/>
  </xdr:twoCellAnchor>
  <xdr:twoCellAnchor>
    <xdr:from>
      <xdr:col>20</xdr:col>
      <xdr:colOff>228599</xdr:colOff>
      <xdr:row>182</xdr:row>
      <xdr:rowOff>0</xdr:rowOff>
    </xdr:from>
    <xdr:to>
      <xdr:col>39</xdr:col>
      <xdr:colOff>0</xdr:colOff>
      <xdr:row>193</xdr:row>
      <xdr:rowOff>0</xdr:rowOff>
    </xdr:to>
    <xdr:sp macro="" textlink="" fLocksText="0">
      <xdr:nvSpPr>
        <xdr:cNvPr id="3" name="TextBox 2">
          <a:extLst>
            <a:ext uri="{FF2B5EF4-FFF2-40B4-BE49-F238E27FC236}">
              <a16:creationId xmlns:a16="http://schemas.microsoft.com/office/drawing/2014/main" id="{55222597-E8A4-4470-96FD-BA80863AA249}"/>
            </a:ext>
          </a:extLst>
        </xdr:cNvPr>
        <xdr:cNvSpPr txBox="1"/>
      </xdr:nvSpPr>
      <xdr:spPr>
        <a:xfrm>
          <a:off x="4800599" y="38138100"/>
          <a:ext cx="4114801" cy="2305050"/>
        </a:xfrm>
        <a:prstGeom prst="rect">
          <a:avLst/>
        </a:prstGeom>
        <a:solidFill>
          <a:srgbClr val="FFFFFF">
            <a:alpha val="50196"/>
          </a:srgb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r>
            <a:rPr lang="en-GB" sz="1100" b="1">
              <a:solidFill>
                <a:schemeClr val="tx1"/>
              </a:solidFill>
              <a:latin typeface="+mn-lt"/>
              <a:ea typeface="+mn-ea"/>
              <a:cs typeface="+mn-cs"/>
            </a:rPr>
            <a:t>The WOOP Technique</a:t>
          </a:r>
        </a:p>
        <a:p>
          <a:pPr marL="0" indent="0" algn="l"/>
          <a:endParaRPr lang="en-GB" sz="1100">
            <a:solidFill>
              <a:schemeClr val="tx1"/>
            </a:solidFill>
            <a:latin typeface="+mn-lt"/>
            <a:ea typeface="+mn-ea"/>
            <a:cs typeface="+mn-cs"/>
          </a:endParaRPr>
        </a:p>
        <a:p>
          <a:pPr marL="0" indent="0" algn="l"/>
          <a:r>
            <a:rPr lang="en-GB" sz="1100" b="1">
              <a:solidFill>
                <a:schemeClr val="tx1"/>
              </a:solidFill>
              <a:latin typeface="+mn-lt"/>
              <a:ea typeface="+mn-ea"/>
              <a:cs typeface="+mn-cs"/>
            </a:rPr>
            <a:t>W</a:t>
          </a:r>
          <a:r>
            <a:rPr lang="en-GB" sz="1100" baseline="0">
              <a:solidFill>
                <a:schemeClr val="tx1"/>
              </a:solidFill>
              <a:latin typeface="+mn-lt"/>
              <a:ea typeface="+mn-ea"/>
              <a:cs typeface="+mn-cs"/>
            </a:rPr>
            <a:t>ish</a:t>
          </a:r>
        </a:p>
        <a:p>
          <a:pPr marL="0" indent="0" algn="l"/>
          <a:r>
            <a:rPr lang="en-GB" sz="1100" b="1" baseline="0">
              <a:solidFill>
                <a:schemeClr val="tx1"/>
              </a:solidFill>
              <a:latin typeface="+mn-lt"/>
              <a:ea typeface="+mn-ea"/>
              <a:cs typeface="+mn-cs"/>
            </a:rPr>
            <a:t>O</a:t>
          </a:r>
          <a:r>
            <a:rPr lang="en-GB" sz="1100" baseline="0">
              <a:solidFill>
                <a:schemeClr val="tx1"/>
              </a:solidFill>
              <a:latin typeface="+mn-lt"/>
              <a:ea typeface="+mn-ea"/>
              <a:cs typeface="+mn-cs"/>
            </a:rPr>
            <a:t>utcome</a:t>
          </a:r>
        </a:p>
        <a:p>
          <a:pPr marL="0" indent="0" algn="l"/>
          <a:r>
            <a:rPr lang="en-GB" sz="1100" b="1" baseline="0">
              <a:solidFill>
                <a:schemeClr val="tx1"/>
              </a:solidFill>
              <a:latin typeface="+mn-lt"/>
              <a:ea typeface="+mn-ea"/>
              <a:cs typeface="+mn-cs"/>
            </a:rPr>
            <a:t>O</a:t>
          </a:r>
          <a:r>
            <a:rPr lang="en-GB" sz="1100" baseline="0">
              <a:solidFill>
                <a:schemeClr val="tx1"/>
              </a:solidFill>
              <a:latin typeface="+mn-lt"/>
              <a:ea typeface="+mn-ea"/>
              <a:cs typeface="+mn-cs"/>
            </a:rPr>
            <a:t>bstacle</a:t>
          </a:r>
        </a:p>
        <a:p>
          <a:pPr marL="0" indent="0" algn="l"/>
          <a:r>
            <a:rPr lang="en-GB" sz="1100" b="1" baseline="0">
              <a:solidFill>
                <a:schemeClr val="tx1"/>
              </a:solidFill>
              <a:latin typeface="+mn-lt"/>
              <a:ea typeface="+mn-ea"/>
              <a:cs typeface="+mn-cs"/>
            </a:rPr>
            <a:t>P</a:t>
          </a:r>
          <a:r>
            <a:rPr lang="en-GB" sz="1100" baseline="0">
              <a:solidFill>
                <a:schemeClr val="tx1"/>
              </a:solidFill>
              <a:latin typeface="+mn-lt"/>
              <a:ea typeface="+mn-ea"/>
              <a:cs typeface="+mn-cs"/>
            </a:rPr>
            <a:t>lan</a:t>
          </a:r>
        </a:p>
        <a:p>
          <a:pPr marL="0" indent="0" algn="l"/>
          <a:endParaRPr lang="en-GB" sz="1100" baseline="0">
            <a:solidFill>
              <a:schemeClr val="tx1"/>
            </a:solidFill>
            <a:latin typeface="+mn-lt"/>
            <a:ea typeface="+mn-ea"/>
            <a:cs typeface="+mn-cs"/>
          </a:endParaRPr>
        </a:p>
        <a:p>
          <a:pPr marL="0" indent="0" algn="l"/>
          <a:r>
            <a:rPr lang="en-GB" sz="1100" baseline="0">
              <a:solidFill>
                <a:schemeClr val="tx1"/>
              </a:solidFill>
              <a:latin typeface="+mn-lt"/>
              <a:ea typeface="+mn-ea"/>
              <a:cs typeface="+mn-cs"/>
            </a:rPr>
            <a:t>Focus on a specific wish.</a:t>
          </a:r>
        </a:p>
        <a:p>
          <a:pPr marL="0" indent="0" algn="l"/>
          <a:r>
            <a:rPr lang="en-GB" sz="1100" baseline="0">
              <a:solidFill>
                <a:schemeClr val="tx1"/>
              </a:solidFill>
              <a:latin typeface="+mn-lt"/>
              <a:ea typeface="+mn-ea"/>
              <a:cs typeface="+mn-cs"/>
            </a:rPr>
            <a:t>Imagine the best outcome for fulfilling the wish.</a:t>
          </a:r>
        </a:p>
        <a:p>
          <a:pPr marL="0" indent="0" algn="l"/>
          <a:r>
            <a:rPr lang="en-GB" sz="1100" baseline="0">
              <a:solidFill>
                <a:schemeClr val="tx1"/>
              </a:solidFill>
              <a:latin typeface="+mn-lt"/>
              <a:ea typeface="+mn-ea"/>
              <a:cs typeface="+mn-cs"/>
            </a:rPr>
            <a:t>Think about an obstacle that prevents realising the wish.</a:t>
          </a:r>
        </a:p>
        <a:p>
          <a:pPr marL="0" indent="0" algn="l"/>
          <a:r>
            <a:rPr lang="en-GB" sz="1100" baseline="0">
              <a:solidFill>
                <a:schemeClr val="tx1"/>
              </a:solidFill>
              <a:latin typeface="+mn-lt"/>
              <a:ea typeface="+mn-ea"/>
              <a:cs typeface="+mn-cs"/>
            </a:rPr>
            <a:t>Create a plan for overcoming the obstacle. </a:t>
          </a:r>
        </a:p>
        <a:p>
          <a:pPr marL="0" indent="0" algn="l"/>
          <a:endParaRPr lang="en-GB" sz="1100" baseline="0">
            <a:solidFill>
              <a:schemeClr val="tx1"/>
            </a:solidFill>
            <a:latin typeface="+mn-lt"/>
            <a:ea typeface="+mn-ea"/>
            <a:cs typeface="+mn-cs"/>
          </a:endParaRPr>
        </a:p>
        <a:p>
          <a:pPr marL="0" indent="0" algn="l"/>
          <a:endParaRPr lang="en-GB" sz="1100" baseline="0">
            <a:solidFill>
              <a:schemeClr val="tx1"/>
            </a:solidFill>
            <a:latin typeface="+mn-lt"/>
            <a:ea typeface="+mn-ea"/>
            <a:cs typeface="+mn-cs"/>
          </a:endParaRPr>
        </a:p>
        <a:p>
          <a:pPr marL="0" indent="0" algn="l"/>
          <a:endParaRPr lang="en-GB" sz="1100" baseline="0">
            <a:solidFill>
              <a:schemeClr val="tx1"/>
            </a:solidFill>
            <a:latin typeface="+mn-lt"/>
            <a:ea typeface="+mn-ea"/>
            <a:cs typeface="+mn-cs"/>
          </a:endParaRPr>
        </a:p>
        <a:p>
          <a:pPr marL="0" indent="0" algn="l"/>
          <a:endParaRPr lang="en-GB" sz="1100">
            <a:solidFill>
              <a:schemeClr val="tx1"/>
            </a:solidFill>
            <a:latin typeface="+mn-lt"/>
            <a:ea typeface="+mn-ea"/>
            <a:cs typeface="+mn-cs"/>
          </a:endParaRPr>
        </a:p>
      </xdr:txBody>
    </xdr:sp>
    <xdr:clientData fLocksWithSheet="0"/>
  </xdr:twoCellAnchor>
</xdr:wsDr>
</file>

<file path=xl/drawings/drawing10.xml><?xml version="1.0" encoding="utf-8"?>
<xdr:wsDr xmlns:xdr="http://schemas.openxmlformats.org/drawingml/2006/spreadsheetDrawing" xmlns:a="http://schemas.openxmlformats.org/drawingml/2006/main">
  <xdr:twoCellAnchor>
    <xdr:from>
      <xdr:col>2</xdr:col>
      <xdr:colOff>1</xdr:colOff>
      <xdr:row>7</xdr:row>
      <xdr:rowOff>0</xdr:rowOff>
    </xdr:from>
    <xdr:to>
      <xdr:col>4</xdr:col>
      <xdr:colOff>0</xdr:colOff>
      <xdr:row>13</xdr:row>
      <xdr:rowOff>0</xdr:rowOff>
    </xdr:to>
    <xdr:sp macro="[0]!FebruaryMonth" textlink="">
      <xdr:nvSpPr>
        <xdr:cNvPr id="2" name="TextBox 1">
          <a:extLst>
            <a:ext uri="{FF2B5EF4-FFF2-40B4-BE49-F238E27FC236}">
              <a16:creationId xmlns:a16="http://schemas.microsoft.com/office/drawing/2014/main" id="{CE7D085B-CE8B-40F9-91DA-B873263AAEE2}"/>
            </a:ext>
          </a:extLst>
        </xdr:cNvPr>
        <xdr:cNvSpPr txBox="1"/>
      </xdr:nvSpPr>
      <xdr:spPr>
        <a:xfrm>
          <a:off x="1238251" y="1466850"/>
          <a:ext cx="1238249" cy="1257300"/>
        </a:xfrm>
        <a:prstGeom prst="rect">
          <a:avLst/>
        </a:prstGeom>
        <a:solidFill>
          <a:schemeClr val="bg1">
            <a:lumMod val="100000"/>
          </a:schemeClr>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1">
              <a:solidFill>
                <a:schemeClr val="tx1">
                  <a:lumMod val="100000"/>
                </a:schemeClr>
              </a:solidFill>
              <a:latin typeface="+mn-lt"/>
              <a:ea typeface="+mn-ea"/>
              <a:cs typeface="+mn-cs"/>
            </a:rPr>
            <a:t>FEBRUARY</a:t>
          </a:r>
        </a:p>
      </xdr:txBody>
    </xdr:sp>
    <xdr:clientData/>
  </xdr:twoCellAnchor>
  <xdr:twoCellAnchor>
    <xdr:from>
      <xdr:col>5</xdr:col>
      <xdr:colOff>1</xdr:colOff>
      <xdr:row>7</xdr:row>
      <xdr:rowOff>0</xdr:rowOff>
    </xdr:from>
    <xdr:to>
      <xdr:col>7</xdr:col>
      <xdr:colOff>0</xdr:colOff>
      <xdr:row>13</xdr:row>
      <xdr:rowOff>0</xdr:rowOff>
    </xdr:to>
    <xdr:sp macro="[0]!FebruaryLeapYearMonth" textlink="">
      <xdr:nvSpPr>
        <xdr:cNvPr id="3" name="TextBox 2">
          <a:extLst>
            <a:ext uri="{FF2B5EF4-FFF2-40B4-BE49-F238E27FC236}">
              <a16:creationId xmlns:a16="http://schemas.microsoft.com/office/drawing/2014/main" id="{0E7E855B-40DF-469D-90F3-31C3F474CF6D}"/>
            </a:ext>
          </a:extLst>
        </xdr:cNvPr>
        <xdr:cNvSpPr txBox="1"/>
      </xdr:nvSpPr>
      <xdr:spPr>
        <a:xfrm>
          <a:off x="3095626" y="1466850"/>
          <a:ext cx="1238249" cy="1257300"/>
        </a:xfrm>
        <a:prstGeom prst="rect">
          <a:avLst/>
        </a:prstGeom>
        <a:solidFill>
          <a:schemeClr val="bg1">
            <a:lumMod val="100000"/>
          </a:schemeClr>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1">
              <a:solidFill>
                <a:schemeClr val="tx1">
                  <a:lumMod val="100000"/>
                </a:schemeClr>
              </a:solidFill>
              <a:latin typeface="+mn-lt"/>
              <a:ea typeface="+mn-ea"/>
              <a:cs typeface="+mn-cs"/>
            </a:rPr>
            <a:t>FEBRUARY</a:t>
          </a:r>
        </a:p>
        <a:p>
          <a:pPr marL="0" indent="0" algn="ctr"/>
          <a:r>
            <a:rPr lang="en-GB" sz="800" b="0">
              <a:solidFill>
                <a:schemeClr val="tx1">
                  <a:lumMod val="100000"/>
                </a:schemeClr>
              </a:solidFill>
              <a:latin typeface="+mn-lt"/>
              <a:ea typeface="+mn-ea"/>
              <a:cs typeface="+mn-cs"/>
            </a:rPr>
            <a:t>[ LEAP YEAR ]</a:t>
          </a:r>
        </a:p>
      </xdr:txBody>
    </xdr:sp>
    <xdr:clientData/>
  </xdr:twoCellAnchor>
  <xdr:twoCellAnchor>
    <xdr:from>
      <xdr:col>8</xdr:col>
      <xdr:colOff>1</xdr:colOff>
      <xdr:row>7</xdr:row>
      <xdr:rowOff>0</xdr:rowOff>
    </xdr:from>
    <xdr:to>
      <xdr:col>10</xdr:col>
      <xdr:colOff>0</xdr:colOff>
      <xdr:row>13</xdr:row>
      <xdr:rowOff>0</xdr:rowOff>
    </xdr:to>
    <xdr:sp macro="[0]!ThirtyDayMonth" textlink="">
      <xdr:nvSpPr>
        <xdr:cNvPr id="4" name="TextBox 3">
          <a:extLst>
            <a:ext uri="{FF2B5EF4-FFF2-40B4-BE49-F238E27FC236}">
              <a16:creationId xmlns:a16="http://schemas.microsoft.com/office/drawing/2014/main" id="{B48C8DA5-ACDC-4D5C-AE13-1FF67E758942}"/>
            </a:ext>
          </a:extLst>
        </xdr:cNvPr>
        <xdr:cNvSpPr txBox="1"/>
      </xdr:nvSpPr>
      <xdr:spPr>
        <a:xfrm>
          <a:off x="4953001" y="1466850"/>
          <a:ext cx="1238249" cy="1257300"/>
        </a:xfrm>
        <a:prstGeom prst="rect">
          <a:avLst/>
        </a:prstGeom>
        <a:solidFill>
          <a:schemeClr val="bg1">
            <a:lumMod val="100000"/>
          </a:schemeClr>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1">
              <a:solidFill>
                <a:schemeClr val="tx1">
                  <a:lumMod val="100000"/>
                </a:schemeClr>
              </a:solidFill>
              <a:latin typeface="+mn-lt"/>
              <a:ea typeface="+mn-ea"/>
              <a:cs typeface="+mn-cs"/>
            </a:rPr>
            <a:t>APRIL</a:t>
          </a:r>
        </a:p>
        <a:p>
          <a:pPr marL="0" indent="0" algn="ctr"/>
          <a:r>
            <a:rPr lang="en-GB" sz="1000" b="1">
              <a:solidFill>
                <a:schemeClr val="tx1">
                  <a:lumMod val="100000"/>
                </a:schemeClr>
              </a:solidFill>
              <a:latin typeface="+mn-lt"/>
              <a:ea typeface="+mn-ea"/>
              <a:cs typeface="+mn-cs"/>
            </a:rPr>
            <a:t>JUNE</a:t>
          </a:r>
        </a:p>
        <a:p>
          <a:pPr marL="0" indent="0" algn="ctr"/>
          <a:r>
            <a:rPr lang="en-GB" sz="1000" b="1">
              <a:solidFill>
                <a:schemeClr val="tx1">
                  <a:lumMod val="100000"/>
                </a:schemeClr>
              </a:solidFill>
              <a:latin typeface="+mn-lt"/>
              <a:ea typeface="+mn-ea"/>
              <a:cs typeface="+mn-cs"/>
            </a:rPr>
            <a:t>SEPTEMBER</a:t>
          </a:r>
        </a:p>
        <a:p>
          <a:pPr marL="0" indent="0" algn="ctr"/>
          <a:r>
            <a:rPr lang="en-GB" sz="1000" b="1">
              <a:solidFill>
                <a:schemeClr val="tx1">
                  <a:lumMod val="100000"/>
                </a:schemeClr>
              </a:solidFill>
              <a:latin typeface="+mn-lt"/>
              <a:ea typeface="+mn-ea"/>
              <a:cs typeface="+mn-cs"/>
            </a:rPr>
            <a:t>NOVEMBER</a:t>
          </a:r>
        </a:p>
      </xdr:txBody>
    </xdr:sp>
    <xdr:clientData/>
  </xdr:twoCellAnchor>
  <xdr:twoCellAnchor>
    <xdr:from>
      <xdr:col>11</xdr:col>
      <xdr:colOff>1</xdr:colOff>
      <xdr:row>7</xdr:row>
      <xdr:rowOff>0</xdr:rowOff>
    </xdr:from>
    <xdr:to>
      <xdr:col>13</xdr:col>
      <xdr:colOff>0</xdr:colOff>
      <xdr:row>13</xdr:row>
      <xdr:rowOff>0</xdr:rowOff>
    </xdr:to>
    <xdr:sp macro="[0]!ThirtyOneDayMonth" textlink="">
      <xdr:nvSpPr>
        <xdr:cNvPr id="5" name="TextBox 4">
          <a:extLst>
            <a:ext uri="{FF2B5EF4-FFF2-40B4-BE49-F238E27FC236}">
              <a16:creationId xmlns:a16="http://schemas.microsoft.com/office/drawing/2014/main" id="{E13EFA8F-6838-42DC-A522-ED58F7EBFF59}"/>
            </a:ext>
          </a:extLst>
        </xdr:cNvPr>
        <xdr:cNvSpPr txBox="1"/>
      </xdr:nvSpPr>
      <xdr:spPr>
        <a:xfrm>
          <a:off x="6810376" y="1466850"/>
          <a:ext cx="1238249" cy="1257300"/>
        </a:xfrm>
        <a:prstGeom prst="rect">
          <a:avLst/>
        </a:prstGeom>
        <a:solidFill>
          <a:schemeClr val="bg1">
            <a:lumMod val="100000"/>
          </a:schemeClr>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1">
              <a:solidFill>
                <a:schemeClr val="tx1">
                  <a:lumMod val="100000"/>
                </a:schemeClr>
              </a:solidFill>
              <a:latin typeface="+mn-lt"/>
              <a:ea typeface="+mn-ea"/>
              <a:cs typeface="+mn-cs"/>
            </a:rPr>
            <a:t>JANUARY</a:t>
          </a:r>
        </a:p>
        <a:p>
          <a:pPr marL="0" indent="0" algn="ctr"/>
          <a:r>
            <a:rPr lang="en-GB" sz="1000" b="1">
              <a:solidFill>
                <a:schemeClr val="tx1">
                  <a:lumMod val="100000"/>
                </a:schemeClr>
              </a:solidFill>
              <a:latin typeface="+mn-lt"/>
              <a:ea typeface="+mn-ea"/>
              <a:cs typeface="+mn-cs"/>
            </a:rPr>
            <a:t>MARCH</a:t>
          </a:r>
        </a:p>
        <a:p>
          <a:pPr marL="0" indent="0" algn="ctr"/>
          <a:r>
            <a:rPr lang="en-GB" sz="1000" b="1">
              <a:solidFill>
                <a:schemeClr val="tx1">
                  <a:lumMod val="100000"/>
                </a:schemeClr>
              </a:solidFill>
              <a:latin typeface="+mn-lt"/>
              <a:ea typeface="+mn-ea"/>
              <a:cs typeface="+mn-cs"/>
            </a:rPr>
            <a:t>MAY</a:t>
          </a:r>
        </a:p>
        <a:p>
          <a:pPr marL="0" indent="0" algn="ctr"/>
          <a:r>
            <a:rPr lang="en-GB" sz="1000" b="1">
              <a:solidFill>
                <a:schemeClr val="tx1">
                  <a:lumMod val="100000"/>
                </a:schemeClr>
              </a:solidFill>
              <a:latin typeface="+mn-lt"/>
              <a:ea typeface="+mn-ea"/>
              <a:cs typeface="+mn-cs"/>
            </a:rPr>
            <a:t>JULY</a:t>
          </a:r>
        </a:p>
        <a:p>
          <a:pPr marL="0" indent="0" algn="ctr"/>
          <a:r>
            <a:rPr lang="en-GB" sz="1000" b="1">
              <a:solidFill>
                <a:schemeClr val="tx1">
                  <a:lumMod val="100000"/>
                </a:schemeClr>
              </a:solidFill>
              <a:latin typeface="+mn-lt"/>
              <a:ea typeface="+mn-ea"/>
              <a:cs typeface="+mn-cs"/>
            </a:rPr>
            <a:t>AUGUST</a:t>
          </a:r>
        </a:p>
        <a:p>
          <a:pPr marL="0" indent="0" algn="ctr"/>
          <a:r>
            <a:rPr lang="en-GB" sz="1000" b="1">
              <a:solidFill>
                <a:schemeClr val="tx1">
                  <a:lumMod val="100000"/>
                </a:schemeClr>
              </a:solidFill>
              <a:latin typeface="+mn-lt"/>
              <a:ea typeface="+mn-ea"/>
              <a:cs typeface="+mn-cs"/>
            </a:rPr>
            <a:t>OCTOBER</a:t>
          </a:r>
        </a:p>
        <a:p>
          <a:pPr marL="0" indent="0" algn="ctr"/>
          <a:r>
            <a:rPr lang="en-GB" sz="1000" b="1">
              <a:solidFill>
                <a:schemeClr val="tx1">
                  <a:lumMod val="100000"/>
                </a:schemeClr>
              </a:solidFill>
              <a:latin typeface="+mn-lt"/>
              <a:ea typeface="+mn-ea"/>
              <a:cs typeface="+mn-cs"/>
            </a:rPr>
            <a:t>DECEMBER</a:t>
          </a:r>
        </a:p>
      </xdr:txBody>
    </xdr:sp>
    <xdr:clientData/>
  </xdr:twoCellAnchor>
  <xdr:twoCellAnchor>
    <xdr:from>
      <xdr:col>16</xdr:col>
      <xdr:colOff>1</xdr:colOff>
      <xdr:row>7</xdr:row>
      <xdr:rowOff>0</xdr:rowOff>
    </xdr:from>
    <xdr:to>
      <xdr:col>18</xdr:col>
      <xdr:colOff>0</xdr:colOff>
      <xdr:row>13</xdr:row>
      <xdr:rowOff>0</xdr:rowOff>
    </xdr:to>
    <xdr:sp macro="[0]!LivesLeftAndMediaNumbers" textlink="">
      <xdr:nvSpPr>
        <xdr:cNvPr id="6" name="TextBox 5">
          <a:extLst>
            <a:ext uri="{FF2B5EF4-FFF2-40B4-BE49-F238E27FC236}">
              <a16:creationId xmlns:a16="http://schemas.microsoft.com/office/drawing/2014/main" id="{031A1183-1AA5-4662-9148-33694230A04F}"/>
            </a:ext>
          </a:extLst>
        </xdr:cNvPr>
        <xdr:cNvSpPr txBox="1"/>
      </xdr:nvSpPr>
      <xdr:spPr>
        <a:xfrm>
          <a:off x="9906001" y="1466850"/>
          <a:ext cx="1238249" cy="1257300"/>
        </a:xfrm>
        <a:prstGeom prst="rect">
          <a:avLst/>
        </a:prstGeom>
        <a:solidFill>
          <a:schemeClr val="bg1">
            <a:lumMod val="100000"/>
          </a:schemeClr>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1">
              <a:solidFill>
                <a:schemeClr val="tx1">
                  <a:lumMod val="100000"/>
                </a:schemeClr>
              </a:solidFill>
              <a:latin typeface="+mn-lt"/>
              <a:ea typeface="+mn-ea"/>
              <a:cs typeface="+mn-cs"/>
            </a:rPr>
            <a:t>LIVES LEFT</a:t>
          </a:r>
        </a:p>
        <a:p>
          <a:pPr marL="0" indent="0" algn="ctr"/>
          <a:r>
            <a:rPr lang="en-GB" sz="1000" b="1">
              <a:solidFill>
                <a:schemeClr val="tx1">
                  <a:lumMod val="100000"/>
                </a:schemeClr>
              </a:solidFill>
              <a:latin typeface="+mn-lt"/>
              <a:ea typeface="+mn-ea"/>
              <a:cs typeface="+mn-cs"/>
            </a:rPr>
            <a:t>&amp;</a:t>
          </a:r>
        </a:p>
        <a:p>
          <a:pPr marL="0" indent="0" algn="ctr"/>
          <a:r>
            <a:rPr lang="en-GB" sz="1000" b="1">
              <a:solidFill>
                <a:schemeClr val="tx1">
                  <a:lumMod val="100000"/>
                </a:schemeClr>
              </a:solidFill>
              <a:latin typeface="+mn-lt"/>
              <a:ea typeface="+mn-ea"/>
              <a:cs typeface="+mn-cs"/>
            </a:rPr>
            <a:t>GAMING TV FILM NUMBERS</a:t>
          </a:r>
        </a:p>
      </xdr:txBody>
    </xdr:sp>
    <xdr:clientData/>
  </xdr:twoCellAnchor>
  <xdr:twoCellAnchor>
    <xdr:from>
      <xdr:col>29</xdr:col>
      <xdr:colOff>1</xdr:colOff>
      <xdr:row>7</xdr:row>
      <xdr:rowOff>0</xdr:rowOff>
    </xdr:from>
    <xdr:to>
      <xdr:col>31</xdr:col>
      <xdr:colOff>0</xdr:colOff>
      <xdr:row>13</xdr:row>
      <xdr:rowOff>0</xdr:rowOff>
    </xdr:to>
    <xdr:sp macro="[0]!XPHistoryTable" textlink="">
      <xdr:nvSpPr>
        <xdr:cNvPr id="11" name="TextBox 10">
          <a:extLst>
            <a:ext uri="{FF2B5EF4-FFF2-40B4-BE49-F238E27FC236}">
              <a16:creationId xmlns:a16="http://schemas.microsoft.com/office/drawing/2014/main" id="{B86014BC-1414-44EB-883A-201FD6BAF0F0}"/>
            </a:ext>
          </a:extLst>
        </xdr:cNvPr>
        <xdr:cNvSpPr txBox="1"/>
      </xdr:nvSpPr>
      <xdr:spPr>
        <a:xfrm>
          <a:off x="17954626" y="1466850"/>
          <a:ext cx="1238249" cy="1257300"/>
        </a:xfrm>
        <a:prstGeom prst="rect">
          <a:avLst/>
        </a:prstGeom>
        <a:solidFill>
          <a:schemeClr val="bg1">
            <a:lumMod val="100000"/>
          </a:schemeClr>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1">
              <a:solidFill>
                <a:schemeClr val="tx1">
                  <a:lumMod val="100000"/>
                </a:schemeClr>
              </a:solidFill>
              <a:latin typeface="+mn-lt"/>
              <a:ea typeface="+mn-ea"/>
              <a:cs typeface="+mn-cs"/>
            </a:rPr>
            <a:t>XP HISTORY</a:t>
          </a:r>
        </a:p>
      </xdr:txBody>
    </xdr:sp>
    <xdr:clientData/>
  </xdr:twoCellAnchor>
  <xdr:twoCellAnchor>
    <xdr:from>
      <xdr:col>21</xdr:col>
      <xdr:colOff>1</xdr:colOff>
      <xdr:row>7</xdr:row>
      <xdr:rowOff>0</xdr:rowOff>
    </xdr:from>
    <xdr:to>
      <xdr:col>23</xdr:col>
      <xdr:colOff>0</xdr:colOff>
      <xdr:row>13</xdr:row>
      <xdr:rowOff>0</xdr:rowOff>
    </xdr:to>
    <xdr:sp macro="[0]!LootTable" textlink="">
      <xdr:nvSpPr>
        <xdr:cNvPr id="12" name="TextBox 11">
          <a:extLst>
            <a:ext uri="{FF2B5EF4-FFF2-40B4-BE49-F238E27FC236}">
              <a16:creationId xmlns:a16="http://schemas.microsoft.com/office/drawing/2014/main" id="{0921B23C-58C7-4BE1-90A3-CD6C80257E5B}"/>
            </a:ext>
          </a:extLst>
        </xdr:cNvPr>
        <xdr:cNvSpPr txBox="1"/>
      </xdr:nvSpPr>
      <xdr:spPr>
        <a:xfrm>
          <a:off x="13001626" y="1466850"/>
          <a:ext cx="1238249" cy="1257300"/>
        </a:xfrm>
        <a:prstGeom prst="rect">
          <a:avLst/>
        </a:prstGeom>
        <a:solidFill>
          <a:schemeClr val="bg1">
            <a:lumMod val="100000"/>
          </a:schemeClr>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1">
              <a:solidFill>
                <a:schemeClr val="tx1">
                  <a:lumMod val="100000"/>
                </a:schemeClr>
              </a:solidFill>
              <a:latin typeface="+mn-lt"/>
              <a:ea typeface="+mn-ea"/>
              <a:cs typeface="+mn-cs"/>
            </a:rPr>
            <a:t>20YY LOOT</a:t>
          </a:r>
        </a:p>
        <a:p>
          <a:pPr marL="0" indent="0" algn="ctr"/>
          <a:r>
            <a:rPr lang="en-GB" sz="800" b="0">
              <a:solidFill>
                <a:schemeClr val="tx1">
                  <a:lumMod val="100000"/>
                </a:schemeClr>
              </a:solidFill>
              <a:latin typeface="+mn-lt"/>
              <a:ea typeface="+mn-ea"/>
              <a:cs typeface="+mn-cs"/>
            </a:rPr>
            <a:t>[ NEW</a:t>
          </a:r>
          <a:r>
            <a:rPr lang="en-GB" sz="800" b="0" baseline="0">
              <a:solidFill>
                <a:schemeClr val="tx1">
                  <a:lumMod val="100000"/>
                </a:schemeClr>
              </a:solidFill>
              <a:latin typeface="+mn-lt"/>
              <a:ea typeface="+mn-ea"/>
              <a:cs typeface="+mn-cs"/>
            </a:rPr>
            <a:t> MONTH IS </a:t>
          </a:r>
        </a:p>
        <a:p>
          <a:pPr marL="0" indent="0" algn="ctr"/>
          <a:r>
            <a:rPr lang="en-GB" sz="800" b="0" baseline="0">
              <a:solidFill>
                <a:schemeClr val="tx1">
                  <a:lumMod val="100000"/>
                </a:schemeClr>
              </a:solidFill>
              <a:latin typeface="+mn-lt"/>
              <a:ea typeface="+mn-ea"/>
              <a:cs typeface="+mn-cs"/>
            </a:rPr>
            <a:t>FEB TO DEC ]</a:t>
          </a:r>
          <a:endParaRPr lang="en-GB" sz="800" b="0">
            <a:solidFill>
              <a:schemeClr val="tx1">
                <a:lumMod val="100000"/>
              </a:schemeClr>
            </a:solidFill>
            <a:latin typeface="+mn-lt"/>
            <a:ea typeface="+mn-ea"/>
            <a:cs typeface="+mn-cs"/>
          </a:endParaRPr>
        </a:p>
      </xdr:txBody>
    </xdr:sp>
    <xdr:clientData/>
  </xdr:twoCellAnchor>
  <xdr:twoCellAnchor>
    <xdr:from>
      <xdr:col>34</xdr:col>
      <xdr:colOff>0</xdr:colOff>
      <xdr:row>7</xdr:row>
      <xdr:rowOff>0</xdr:rowOff>
    </xdr:from>
    <xdr:to>
      <xdr:col>36</xdr:col>
      <xdr:colOff>57149</xdr:colOff>
      <xdr:row>13</xdr:row>
      <xdr:rowOff>0</xdr:rowOff>
    </xdr:to>
    <xdr:sp macro="[0]!ActionsSheetClearData" textlink="">
      <xdr:nvSpPr>
        <xdr:cNvPr id="14" name="TextBox 13">
          <a:extLst>
            <a:ext uri="{FF2B5EF4-FFF2-40B4-BE49-F238E27FC236}">
              <a16:creationId xmlns:a16="http://schemas.microsoft.com/office/drawing/2014/main" id="{71B79A55-DEDC-4926-AC2D-8D1302FFC528}"/>
            </a:ext>
          </a:extLst>
        </xdr:cNvPr>
        <xdr:cNvSpPr txBox="1"/>
      </xdr:nvSpPr>
      <xdr:spPr>
        <a:xfrm>
          <a:off x="21050250" y="1466850"/>
          <a:ext cx="1295399" cy="1257300"/>
        </a:xfrm>
        <a:prstGeom prst="rect">
          <a:avLst/>
        </a:prstGeom>
        <a:solidFill>
          <a:schemeClr val="bg1">
            <a:lumMod val="100000"/>
          </a:schemeClr>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1" baseline="0">
              <a:solidFill>
                <a:schemeClr val="tx1">
                  <a:lumMod val="100000"/>
                </a:schemeClr>
              </a:solidFill>
              <a:latin typeface="+mn-lt"/>
              <a:ea typeface="+mn-ea"/>
              <a:cs typeface="+mn-cs"/>
            </a:rPr>
            <a:t>ACTIONS SHEET CLEAR DATA</a:t>
          </a:r>
        </a:p>
        <a:p>
          <a:pPr marL="0" indent="0" algn="ctr"/>
          <a:r>
            <a:rPr lang="en-GB" sz="800" b="0" baseline="0">
              <a:solidFill>
                <a:schemeClr val="tx1">
                  <a:lumMod val="100000"/>
                </a:schemeClr>
              </a:solidFill>
              <a:latin typeface="+mn-lt"/>
              <a:ea typeface="+mn-ea"/>
              <a:cs typeface="+mn-cs"/>
            </a:rPr>
            <a:t>[ DELETE ALL XP, CHALLENGES COUNTS, COOP MODE COUNTS ]</a:t>
          </a:r>
          <a:endParaRPr lang="en-GB" sz="800" b="0">
            <a:solidFill>
              <a:schemeClr val="tx1">
                <a:lumMod val="100000"/>
              </a:schemeClr>
            </a:solidFill>
            <a:latin typeface="+mn-lt"/>
            <a:ea typeface="+mn-ea"/>
            <a:cs typeface="+mn-cs"/>
          </a:endParaRPr>
        </a:p>
      </xdr:txBody>
    </xdr:sp>
    <xdr:clientData/>
  </xdr:twoCellAnchor>
  <xdr:twoCellAnchor>
    <xdr:from>
      <xdr:col>39</xdr:col>
      <xdr:colOff>0</xdr:colOff>
      <xdr:row>7</xdr:row>
      <xdr:rowOff>0</xdr:rowOff>
    </xdr:from>
    <xdr:to>
      <xdr:col>41</xdr:col>
      <xdr:colOff>9524</xdr:colOff>
      <xdr:row>13</xdr:row>
      <xdr:rowOff>0</xdr:rowOff>
    </xdr:to>
    <xdr:sp macro="[0]!LevelsHistoryTable" textlink="">
      <xdr:nvSpPr>
        <xdr:cNvPr id="16" name="TextBox 15">
          <a:extLst>
            <a:ext uri="{FF2B5EF4-FFF2-40B4-BE49-F238E27FC236}">
              <a16:creationId xmlns:a16="http://schemas.microsoft.com/office/drawing/2014/main" id="{6BEB6A61-12CF-4995-9BBD-5D67FABA2A60}"/>
            </a:ext>
          </a:extLst>
        </xdr:cNvPr>
        <xdr:cNvSpPr txBox="1"/>
      </xdr:nvSpPr>
      <xdr:spPr>
        <a:xfrm>
          <a:off x="24145875" y="1466850"/>
          <a:ext cx="1247774" cy="1257300"/>
        </a:xfrm>
        <a:prstGeom prst="rect">
          <a:avLst/>
        </a:prstGeom>
        <a:solidFill>
          <a:schemeClr val="bg1">
            <a:lumMod val="100000"/>
          </a:schemeClr>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1">
              <a:solidFill>
                <a:schemeClr val="tx1">
                  <a:lumMod val="100000"/>
                </a:schemeClr>
              </a:solidFill>
              <a:latin typeface="+mn-lt"/>
              <a:ea typeface="+mn-ea"/>
              <a:cs typeface="+mn-cs"/>
            </a:rPr>
            <a:t>LEVELS HISTORY</a:t>
          </a:r>
        </a:p>
      </xdr:txBody>
    </xdr:sp>
    <xdr:clientData/>
  </xdr:twoCellAnchor>
  <xdr:twoCellAnchor>
    <xdr:from>
      <xdr:col>44</xdr:col>
      <xdr:colOff>0</xdr:colOff>
      <xdr:row>7</xdr:row>
      <xdr:rowOff>0</xdr:rowOff>
    </xdr:from>
    <xdr:to>
      <xdr:col>46</xdr:col>
      <xdr:colOff>9524</xdr:colOff>
      <xdr:row>13</xdr:row>
      <xdr:rowOff>0</xdr:rowOff>
    </xdr:to>
    <xdr:sp macro="[0]!RandomisedNumbers" textlink="">
      <xdr:nvSpPr>
        <xdr:cNvPr id="17" name="TextBox 16">
          <a:extLst>
            <a:ext uri="{FF2B5EF4-FFF2-40B4-BE49-F238E27FC236}">
              <a16:creationId xmlns:a16="http://schemas.microsoft.com/office/drawing/2014/main" id="{D40FDBA1-8316-4FAA-9120-F3E9EFF9822E}"/>
            </a:ext>
          </a:extLst>
        </xdr:cNvPr>
        <xdr:cNvSpPr txBox="1"/>
      </xdr:nvSpPr>
      <xdr:spPr>
        <a:xfrm>
          <a:off x="27241500" y="1466850"/>
          <a:ext cx="1247774" cy="1257300"/>
        </a:xfrm>
        <a:prstGeom prst="rect">
          <a:avLst/>
        </a:prstGeom>
        <a:solidFill>
          <a:schemeClr val="bg1">
            <a:lumMod val="100000"/>
          </a:schemeClr>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1">
              <a:solidFill>
                <a:schemeClr val="tx1">
                  <a:lumMod val="100000"/>
                </a:schemeClr>
              </a:solidFill>
              <a:latin typeface="+mn-lt"/>
              <a:ea typeface="+mn-ea"/>
              <a:cs typeface="+mn-cs"/>
            </a:rPr>
            <a:t>CREATE RANDOMISED</a:t>
          </a:r>
          <a:r>
            <a:rPr lang="en-GB" sz="1000" b="1" baseline="0">
              <a:solidFill>
                <a:schemeClr val="tx1">
                  <a:lumMod val="100000"/>
                </a:schemeClr>
              </a:solidFill>
              <a:latin typeface="+mn-lt"/>
              <a:ea typeface="+mn-ea"/>
              <a:cs typeface="+mn-cs"/>
            </a:rPr>
            <a:t> NUMBERS</a:t>
          </a:r>
          <a:r>
            <a:rPr lang="en-GB" sz="800" b="1" baseline="0">
              <a:solidFill>
                <a:schemeClr val="tx1">
                  <a:lumMod val="100000"/>
                </a:schemeClr>
              </a:solidFill>
              <a:latin typeface="+mn-lt"/>
              <a:ea typeface="+mn-ea"/>
              <a:cs typeface="+mn-cs"/>
            </a:rPr>
            <a:t> </a:t>
          </a:r>
        </a:p>
        <a:p>
          <a:pPr marL="0" indent="0" algn="ctr"/>
          <a:r>
            <a:rPr lang="en-GB" sz="800" b="0" baseline="0">
              <a:solidFill>
                <a:schemeClr val="tx1">
                  <a:lumMod val="100000"/>
                </a:schemeClr>
              </a:solidFill>
              <a:latin typeface="+mn-lt"/>
              <a:ea typeface="+mn-ea"/>
              <a:cs typeface="+mn-cs"/>
            </a:rPr>
            <a:t>[ FOR BOOBY TRAPS, BOOTY REQUIREMENTS, MERCHANT SELECTION ]</a:t>
          </a:r>
          <a:endParaRPr lang="en-GB" sz="800" b="0">
            <a:solidFill>
              <a:schemeClr val="tx1">
                <a:lumMod val="100000"/>
              </a:schemeClr>
            </a:solidFill>
            <a:latin typeface="+mn-lt"/>
            <a:ea typeface="+mn-ea"/>
            <a:cs typeface="+mn-cs"/>
          </a:endParaRPr>
        </a:p>
      </xdr:txBody>
    </xdr:sp>
    <xdr:clientData/>
  </xdr:twoCellAnchor>
  <xdr:twoCellAnchor>
    <xdr:from>
      <xdr:col>49</xdr:col>
      <xdr:colOff>0</xdr:colOff>
      <xdr:row>7</xdr:row>
      <xdr:rowOff>0</xdr:rowOff>
    </xdr:from>
    <xdr:to>
      <xdr:col>51</xdr:col>
      <xdr:colOff>9524</xdr:colOff>
      <xdr:row>13</xdr:row>
      <xdr:rowOff>0</xdr:rowOff>
    </xdr:to>
    <xdr:sp macro="[0]!ClearDataForPrevMonth" textlink="">
      <xdr:nvSpPr>
        <xdr:cNvPr id="18" name="TextBox 17">
          <a:extLst>
            <a:ext uri="{FF2B5EF4-FFF2-40B4-BE49-F238E27FC236}">
              <a16:creationId xmlns:a16="http://schemas.microsoft.com/office/drawing/2014/main" id="{C829DC94-FDF4-4B17-96C5-D283B2DC4A9F}"/>
            </a:ext>
          </a:extLst>
        </xdr:cNvPr>
        <xdr:cNvSpPr txBox="1"/>
      </xdr:nvSpPr>
      <xdr:spPr>
        <a:xfrm>
          <a:off x="30337125" y="1466850"/>
          <a:ext cx="1247774" cy="1257300"/>
        </a:xfrm>
        <a:prstGeom prst="rect">
          <a:avLst/>
        </a:prstGeom>
        <a:solidFill>
          <a:schemeClr val="bg1">
            <a:lumMod val="100000"/>
          </a:schemeClr>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1">
              <a:solidFill>
                <a:schemeClr val="tx1">
                  <a:lumMod val="100000"/>
                </a:schemeClr>
              </a:solidFill>
              <a:latin typeface="+mn-lt"/>
              <a:ea typeface="+mn-ea"/>
              <a:cs typeface="+mn-cs"/>
            </a:rPr>
            <a:t>CLEAR DATA</a:t>
          </a:r>
          <a:r>
            <a:rPr lang="en-GB" sz="1000" b="1" baseline="0">
              <a:solidFill>
                <a:schemeClr val="tx1">
                  <a:lumMod val="100000"/>
                </a:schemeClr>
              </a:solidFill>
              <a:latin typeface="+mn-lt"/>
              <a:ea typeface="+mn-ea"/>
              <a:cs typeface="+mn-cs"/>
            </a:rPr>
            <a:t> FOR PREVIOUS MONTH</a:t>
          </a:r>
        </a:p>
        <a:p>
          <a:pPr marL="0" indent="0" algn="ctr"/>
          <a:r>
            <a:rPr lang="en-GB" sz="800" b="0" baseline="0">
              <a:solidFill>
                <a:schemeClr val="tx1">
                  <a:lumMod val="100000"/>
                </a:schemeClr>
              </a:solidFill>
              <a:latin typeface="+mn-lt"/>
              <a:ea typeface="+mn-ea"/>
              <a:cs typeface="+mn-cs"/>
            </a:rPr>
            <a:t>[ IN PLANS, MISSIONS, JOURNEY, BOUNTY AND RESPITE ]</a:t>
          </a:r>
        </a:p>
        <a:p>
          <a:pPr marL="0" indent="0" algn="ctr"/>
          <a:endParaRPr lang="en-GB" sz="1000" b="1">
            <a:solidFill>
              <a:schemeClr val="tx1">
                <a:lumMod val="100000"/>
              </a:schemeClr>
            </a:solidFill>
            <a:latin typeface="+mn-lt"/>
            <a:ea typeface="+mn-ea"/>
            <a:cs typeface="+mn-cs"/>
          </a:endParaRPr>
        </a:p>
      </xdr:txBody>
    </xdr:sp>
    <xdr:clientData/>
  </xdr:twoCellAnchor>
  <xdr:twoCellAnchor>
    <xdr:from>
      <xdr:col>102</xdr:col>
      <xdr:colOff>0</xdr:colOff>
      <xdr:row>7</xdr:row>
      <xdr:rowOff>19050</xdr:rowOff>
    </xdr:from>
    <xdr:to>
      <xdr:col>103</xdr:col>
      <xdr:colOff>619124</xdr:colOff>
      <xdr:row>13</xdr:row>
      <xdr:rowOff>19050</xdr:rowOff>
    </xdr:to>
    <xdr:sp macro="" textlink="">
      <xdr:nvSpPr>
        <xdr:cNvPr id="19" name="TextBox 18">
          <a:extLst>
            <a:ext uri="{FF2B5EF4-FFF2-40B4-BE49-F238E27FC236}">
              <a16:creationId xmlns:a16="http://schemas.microsoft.com/office/drawing/2014/main" id="{619F4EB7-6A52-4933-934B-9181DEBAE515}"/>
            </a:ext>
          </a:extLst>
        </xdr:cNvPr>
        <xdr:cNvSpPr txBox="1"/>
      </xdr:nvSpPr>
      <xdr:spPr>
        <a:xfrm>
          <a:off x="47672625" y="1485900"/>
          <a:ext cx="1238249" cy="1257300"/>
        </a:xfrm>
        <a:prstGeom prst="rect">
          <a:avLst/>
        </a:prstGeom>
        <a:solidFill>
          <a:schemeClr val="bg1"/>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1">
              <a:solidFill>
                <a:schemeClr val="bg1">
                  <a:lumMod val="75000"/>
                </a:schemeClr>
              </a:solidFill>
              <a:latin typeface="+mn-lt"/>
              <a:ea typeface="+mn-ea"/>
              <a:cs typeface="+mn-cs"/>
            </a:rPr>
            <a:t>BUTTON</a:t>
          </a:r>
        </a:p>
      </xdr:txBody>
    </xdr:sp>
    <xdr:clientData/>
  </xdr:twoCellAnchor>
  <xdr:twoCellAnchor>
    <xdr:from>
      <xdr:col>24</xdr:col>
      <xdr:colOff>0</xdr:colOff>
      <xdr:row>7</xdr:row>
      <xdr:rowOff>0</xdr:rowOff>
    </xdr:from>
    <xdr:to>
      <xdr:col>26</xdr:col>
      <xdr:colOff>0</xdr:colOff>
      <xdr:row>13</xdr:row>
      <xdr:rowOff>0</xdr:rowOff>
    </xdr:to>
    <xdr:sp macro="[0]!LootTableNewChest" textlink="">
      <xdr:nvSpPr>
        <xdr:cNvPr id="7" name="TextBox 6">
          <a:extLst>
            <a:ext uri="{FF2B5EF4-FFF2-40B4-BE49-F238E27FC236}">
              <a16:creationId xmlns:a16="http://schemas.microsoft.com/office/drawing/2014/main" id="{97599348-92B8-41C1-A498-18B57168F9A5}"/>
            </a:ext>
          </a:extLst>
        </xdr:cNvPr>
        <xdr:cNvSpPr txBox="1"/>
      </xdr:nvSpPr>
      <xdr:spPr>
        <a:xfrm>
          <a:off x="14859000" y="1466850"/>
          <a:ext cx="1238250" cy="1257300"/>
        </a:xfrm>
        <a:prstGeom prst="rect">
          <a:avLst/>
        </a:prstGeom>
        <a:solidFill>
          <a:schemeClr val="bg1">
            <a:lumMod val="100000"/>
          </a:schemeClr>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1">
              <a:solidFill>
                <a:schemeClr val="tx1">
                  <a:lumMod val="100000"/>
                </a:schemeClr>
              </a:solidFill>
              <a:latin typeface="+mn-lt"/>
              <a:ea typeface="+mn-ea"/>
              <a:cs typeface="+mn-cs"/>
            </a:rPr>
            <a:t>20YY</a:t>
          </a:r>
          <a:r>
            <a:rPr lang="en-GB" sz="1000" b="1" baseline="0">
              <a:solidFill>
                <a:schemeClr val="tx1">
                  <a:lumMod val="100000"/>
                </a:schemeClr>
              </a:solidFill>
              <a:latin typeface="+mn-lt"/>
              <a:ea typeface="+mn-ea"/>
              <a:cs typeface="+mn-cs"/>
            </a:rPr>
            <a:t> </a:t>
          </a:r>
          <a:r>
            <a:rPr lang="en-GB" sz="1000" b="1">
              <a:solidFill>
                <a:schemeClr val="tx1">
                  <a:lumMod val="100000"/>
                </a:schemeClr>
              </a:solidFill>
              <a:latin typeface="+mn-lt"/>
              <a:ea typeface="+mn-ea"/>
              <a:cs typeface="+mn-cs"/>
            </a:rPr>
            <a:t>LOOT</a:t>
          </a:r>
        </a:p>
        <a:p>
          <a:pPr marL="0" indent="0" algn="ctr"/>
          <a:r>
            <a:rPr lang="en-GB" sz="1000" b="1">
              <a:solidFill>
                <a:schemeClr val="tx1">
                  <a:lumMod val="100000"/>
                </a:schemeClr>
              </a:solidFill>
              <a:latin typeface="+mn-lt"/>
              <a:ea typeface="+mn-ea"/>
              <a:cs typeface="+mn-cs"/>
            </a:rPr>
            <a:t>BEGINNING</a:t>
          </a:r>
        </a:p>
        <a:p>
          <a:pPr marL="0" indent="0" algn="ctr"/>
          <a:r>
            <a:rPr lang="en-GB" sz="1000" b="1">
              <a:solidFill>
                <a:schemeClr val="tx1">
                  <a:lumMod val="100000"/>
                </a:schemeClr>
              </a:solidFill>
              <a:latin typeface="+mn-lt"/>
              <a:ea typeface="+mn-ea"/>
              <a:cs typeface="+mn-cs"/>
            </a:rPr>
            <a:t>A NEW YEAR</a:t>
          </a:r>
        </a:p>
        <a:p>
          <a:pPr marL="0" indent="0" algn="ctr"/>
          <a:r>
            <a:rPr lang="en-GB" sz="800" b="0">
              <a:solidFill>
                <a:schemeClr val="tx1">
                  <a:lumMod val="100000"/>
                </a:schemeClr>
              </a:solidFill>
              <a:latin typeface="+mn-lt"/>
              <a:ea typeface="+mn-ea"/>
              <a:cs typeface="+mn-cs"/>
            </a:rPr>
            <a:t>[ NEW MONTH IS JANUARY ]</a:t>
          </a:r>
        </a:p>
      </xdr:txBody>
    </xdr:sp>
    <xdr:clientData/>
  </xdr:twoCellAnchor>
  <xdr:twoCellAnchor>
    <xdr:from>
      <xdr:col>102</xdr:col>
      <xdr:colOff>0</xdr:colOff>
      <xdr:row>4</xdr:row>
      <xdr:rowOff>0</xdr:rowOff>
    </xdr:from>
    <xdr:to>
      <xdr:col>103</xdr:col>
      <xdr:colOff>619124</xdr:colOff>
      <xdr:row>6</xdr:row>
      <xdr:rowOff>9524</xdr:rowOff>
    </xdr:to>
    <xdr:sp macro="" textlink="">
      <xdr:nvSpPr>
        <xdr:cNvPr id="28" name="TextBox 27">
          <a:extLst>
            <a:ext uri="{FF2B5EF4-FFF2-40B4-BE49-F238E27FC236}">
              <a16:creationId xmlns:a16="http://schemas.microsoft.com/office/drawing/2014/main" id="{D4D5310C-1ABC-4570-AEF6-F5A6E54C4FFC}"/>
            </a:ext>
          </a:extLst>
        </xdr:cNvPr>
        <xdr:cNvSpPr txBox="1"/>
      </xdr:nvSpPr>
      <xdr:spPr>
        <a:xfrm>
          <a:off x="47672625" y="838200"/>
          <a:ext cx="1238249" cy="428624"/>
        </a:xfrm>
        <a:prstGeom prst="rect">
          <a:avLst/>
        </a:prstGeom>
        <a:solidFill>
          <a:schemeClr val="bg1"/>
        </a:solidFill>
        <a:ln w="28575">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800" b="1">
              <a:solidFill>
                <a:schemeClr val="bg1">
                  <a:lumMod val="75000"/>
                </a:schemeClr>
              </a:solidFill>
              <a:latin typeface="+mn-lt"/>
              <a:ea typeface="+mn-ea"/>
              <a:cs typeface="+mn-cs"/>
            </a:rPr>
            <a:t>BUTTON</a:t>
          </a:r>
        </a:p>
      </xdr:txBody>
    </xdr:sp>
    <xdr:clientData/>
  </xdr:twoCellAnchor>
  <xdr:twoCellAnchor>
    <xdr:from>
      <xdr:col>21</xdr:col>
      <xdr:colOff>0</xdr:colOff>
      <xdr:row>1</xdr:row>
      <xdr:rowOff>0</xdr:rowOff>
    </xdr:from>
    <xdr:to>
      <xdr:col>23</xdr:col>
      <xdr:colOff>0</xdr:colOff>
      <xdr:row>2</xdr:row>
      <xdr:rowOff>0</xdr:rowOff>
    </xdr:to>
    <xdr:sp macro="[0]!ResetButtons" textlink="">
      <xdr:nvSpPr>
        <xdr:cNvPr id="8" name="TextBox 7">
          <a:extLst>
            <a:ext uri="{FF2B5EF4-FFF2-40B4-BE49-F238E27FC236}">
              <a16:creationId xmlns:a16="http://schemas.microsoft.com/office/drawing/2014/main" id="{F17AA476-FADB-4B9B-97A9-3125C1B25DA5}"/>
            </a:ext>
          </a:extLst>
        </xdr:cNvPr>
        <xdr:cNvSpPr txBox="1"/>
      </xdr:nvSpPr>
      <xdr:spPr>
        <a:xfrm>
          <a:off x="13001625" y="209550"/>
          <a:ext cx="1238250" cy="209550"/>
        </a:xfrm>
        <a:prstGeom prst="rect">
          <a:avLst/>
        </a:prstGeom>
        <a:solidFill>
          <a:schemeClr val="bg1"/>
        </a:solidFill>
        <a:ln w="9525">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GB" sz="1000" b="0">
              <a:solidFill>
                <a:schemeClr val="tx1"/>
              </a:solidFill>
              <a:latin typeface="+mn-lt"/>
              <a:ea typeface="+mn-ea"/>
              <a:cs typeface="+mn-cs"/>
            </a:rPr>
            <a:t>RESET</a:t>
          </a:r>
          <a:r>
            <a:rPr lang="en-GB" sz="1000" b="0" baseline="0">
              <a:solidFill>
                <a:schemeClr val="tx1"/>
              </a:solidFill>
              <a:latin typeface="+mn-lt"/>
              <a:ea typeface="+mn-ea"/>
              <a:cs typeface="+mn-cs"/>
            </a:rPr>
            <a:t> </a:t>
          </a:r>
          <a:r>
            <a:rPr lang="en-GB" sz="1000" b="0">
              <a:solidFill>
                <a:schemeClr val="tx1"/>
              </a:solidFill>
              <a:latin typeface="+mn-lt"/>
              <a:ea typeface="+mn-ea"/>
              <a:cs typeface="+mn-cs"/>
            </a:rPr>
            <a:t>BUTTONS</a:t>
          </a:r>
        </a:p>
      </xdr:txBody>
    </xdr:sp>
    <xdr:clientData/>
  </xdr:twoCellAnchor>
</xdr:wsDr>
</file>

<file path=xl/persons/person.xml><?xml version="1.0" encoding="utf-8"?>
<personList xmlns="http://schemas.microsoft.com/office/spreadsheetml/2018/threadedcomments" xmlns:x="http://schemas.openxmlformats.org/spreadsheetml/2006/mai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80142-35D6-411B-9CED-E4653E5AA1A0}">
  <sheetPr codeName="Sheet1"/>
  <dimension ref="A1:FS267"/>
  <sheetViews>
    <sheetView showGridLines="0" showRowColHeaders="0" tabSelected="1" zoomScaleNormal="100" workbookViewId="0">
      <selection activeCell="B63" sqref="B63:S65"/>
    </sheetView>
  </sheetViews>
  <sheetFormatPr defaultColWidth="3.42578125" defaultRowHeight="17.100000000000001" customHeight="1" x14ac:dyDescent="0.15"/>
  <cols>
    <col min="1" max="36" width="3.42578125" style="19"/>
    <col min="37" max="37" width="3.42578125" style="19" customWidth="1"/>
    <col min="38" max="78" width="3.42578125" style="19"/>
    <col min="79" max="79" width="3.42578125" style="19" customWidth="1"/>
    <col min="80" max="105" width="3.42578125" style="1887" hidden="1" customWidth="1"/>
    <col min="106" max="175" width="3.42578125" style="19" hidden="1" customWidth="1"/>
    <col min="176" max="176" width="3.42578125" style="19" customWidth="1"/>
    <col min="177" max="16384" width="3.42578125" style="19"/>
  </cols>
  <sheetData>
    <row r="1" spans="1:173" ht="17.100000000000001" customHeight="1" thickBot="1" x14ac:dyDescent="0.25">
      <c r="A1" s="2694" t="s">
        <v>1706</v>
      </c>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91"/>
      <c r="AV1" s="2829"/>
      <c r="AW1" s="2829"/>
      <c r="AX1" s="2829"/>
      <c r="AY1" s="2722"/>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8"/>
      <c r="CA1" s="18" t="s">
        <v>782</v>
      </c>
      <c r="CC1" s="1953" t="s">
        <v>1423</v>
      </c>
      <c r="CG1" s="1953" t="str">
        <f>data!$FC$23</f>
        <v>CASUAL</v>
      </c>
      <c r="CJ1" s="1953"/>
      <c r="CK1" s="2688">
        <v>1</v>
      </c>
      <c r="CL1" s="2689" t="s">
        <v>1572</v>
      </c>
    </row>
    <row r="2" spans="1:173" ht="17.100000000000001" customHeight="1" thickBot="1" x14ac:dyDescent="0.25">
      <c r="A2" s="17"/>
      <c r="B2" s="20"/>
      <c r="C2" s="20"/>
      <c r="D2" s="20"/>
      <c r="E2" s="20"/>
      <c r="F2" s="20"/>
      <c r="G2" s="20"/>
      <c r="H2" s="20"/>
      <c r="I2" s="20"/>
      <c r="J2" s="20"/>
      <c r="K2" s="20"/>
      <c r="L2" s="20"/>
      <c r="M2" s="20"/>
      <c r="N2" s="20"/>
      <c r="O2" s="20"/>
      <c r="P2" s="20"/>
      <c r="Q2" s="20"/>
      <c r="R2" s="20"/>
      <c r="S2" s="21"/>
      <c r="T2" s="2849"/>
      <c r="U2" s="2850"/>
      <c r="V2" s="2850"/>
      <c r="W2" s="2850"/>
      <c r="X2" s="2850"/>
      <c r="Y2" s="2850"/>
      <c r="Z2" s="2850"/>
      <c r="AA2" s="2850"/>
      <c r="AB2" s="2850"/>
      <c r="AC2" s="2850"/>
      <c r="AD2" s="2850"/>
      <c r="AE2" s="2850"/>
      <c r="AF2" s="2850"/>
      <c r="AG2" s="2850"/>
      <c r="AH2" s="2850"/>
      <c r="AI2" s="2850"/>
      <c r="AJ2" s="2850"/>
      <c r="AK2" s="2850"/>
      <c r="AL2" s="2850"/>
      <c r="AM2" s="2850"/>
      <c r="AN2" s="2850"/>
      <c r="AO2" s="2850"/>
      <c r="AP2" s="2850"/>
      <c r="AQ2" s="2850"/>
      <c r="AR2" s="2850"/>
      <c r="AS2" s="2850"/>
      <c r="AT2" s="2850"/>
      <c r="AU2" s="2850"/>
      <c r="AV2" s="2850"/>
      <c r="AW2" s="2850"/>
      <c r="AX2" s="2850"/>
      <c r="AY2" s="2850"/>
      <c r="AZ2" s="2850"/>
      <c r="BA2" s="2850"/>
      <c r="BB2" s="2850"/>
      <c r="BC2" s="2850"/>
      <c r="BD2" s="2850"/>
      <c r="BE2" s="2850"/>
      <c r="BF2" s="2850"/>
      <c r="BG2" s="2850"/>
      <c r="BH2" s="2850"/>
      <c r="BI2" s="2850"/>
      <c r="BJ2" s="2850"/>
      <c r="BK2" s="2850"/>
      <c r="BL2" s="2850"/>
      <c r="BM2" s="2850"/>
      <c r="BN2" s="2850"/>
      <c r="BO2" s="2850"/>
      <c r="BP2" s="2850"/>
      <c r="BQ2" s="2850"/>
      <c r="BR2" s="2850"/>
      <c r="BS2" s="2850"/>
      <c r="BT2" s="2850"/>
      <c r="BU2" s="2850"/>
      <c r="BV2" s="2850"/>
      <c r="BW2" s="2850"/>
      <c r="BX2" s="2850"/>
      <c r="BY2" s="2850"/>
      <c r="BZ2" s="2850"/>
      <c r="CA2" s="17"/>
      <c r="CC2" s="1953" t="s">
        <v>1425</v>
      </c>
      <c r="CD2" s="2369"/>
      <c r="CE2" s="2429"/>
      <c r="CG2" s="1953" t="str">
        <f>data!$FD$23</f>
        <v>NORMAL</v>
      </c>
      <c r="CJ2" s="1953"/>
      <c r="CK2" s="2688">
        <v>2</v>
      </c>
      <c r="CL2" s="2689" t="s">
        <v>1573</v>
      </c>
      <c r="CT2" s="19"/>
      <c r="CU2" s="19"/>
      <c r="CW2" s="19"/>
      <c r="CY2" s="19"/>
      <c r="DD2" s="2898" t="s">
        <v>1773</v>
      </c>
      <c r="DU2" s="1886"/>
      <c r="EE2" s="2888" t="s">
        <v>1790</v>
      </c>
      <c r="EF2" s="2899">
        <f>data!$BZ$36</f>
        <v>0</v>
      </c>
    </row>
    <row r="3" spans="1:173" ht="17.100000000000001" customHeight="1" thickBot="1" x14ac:dyDescent="0.25">
      <c r="A3" s="17"/>
      <c r="B3" s="20"/>
      <c r="C3" s="23"/>
      <c r="D3" s="23"/>
      <c r="E3" s="23"/>
      <c r="F3" s="23"/>
      <c r="G3" s="23"/>
      <c r="H3" s="23"/>
      <c r="I3" s="23"/>
      <c r="J3" s="23"/>
      <c r="K3" s="23"/>
      <c r="L3" s="23"/>
      <c r="M3" s="23"/>
      <c r="N3" s="23"/>
      <c r="O3" s="23"/>
      <c r="P3" s="23"/>
      <c r="Q3" s="23"/>
      <c r="R3" s="23"/>
      <c r="T3" s="2850"/>
      <c r="U3" s="2840"/>
      <c r="V3" s="2840"/>
      <c r="W3" s="2840"/>
      <c r="X3" s="2840"/>
      <c r="Y3" s="2840"/>
      <c r="Z3" s="2840"/>
      <c r="AA3" s="2840"/>
      <c r="AB3" s="2840"/>
      <c r="AC3" s="2840"/>
      <c r="AD3" s="2840"/>
      <c r="AE3" s="2840"/>
      <c r="AF3" s="2840"/>
      <c r="AG3" s="2840"/>
      <c r="AH3" s="2840"/>
      <c r="AI3" s="2840"/>
      <c r="AJ3" s="2840"/>
      <c r="AK3" s="2840"/>
      <c r="AL3" s="2840"/>
      <c r="AM3" s="2840"/>
      <c r="AN3" s="2840"/>
      <c r="AO3" s="2840"/>
      <c r="AP3" s="2840"/>
      <c r="AQ3" s="2840"/>
      <c r="AR3" s="2840"/>
      <c r="AS3" s="2840"/>
      <c r="AT3" s="2840"/>
      <c r="AU3" s="2840"/>
      <c r="AV3" s="2840"/>
      <c r="AW3" s="2840"/>
      <c r="AX3" s="2840"/>
      <c r="AY3" s="2840"/>
      <c r="AZ3" s="2840"/>
      <c r="BA3" s="2840"/>
      <c r="BB3" s="2840"/>
      <c r="BC3" s="2840"/>
      <c r="BD3" s="2840"/>
      <c r="BE3" s="2840"/>
      <c r="BF3" s="2840"/>
      <c r="BG3" s="2840"/>
      <c r="BH3" s="2840"/>
      <c r="BI3" s="2840"/>
      <c r="BJ3" s="2840"/>
      <c r="BK3" s="2840"/>
      <c r="BL3" s="2840"/>
      <c r="BM3" s="2840"/>
      <c r="BN3" s="2840"/>
      <c r="BO3" s="2840"/>
      <c r="BP3" s="2840"/>
      <c r="BQ3" s="2840"/>
      <c r="BR3" s="2840"/>
      <c r="BS3" s="2840"/>
      <c r="BT3" s="2840"/>
      <c r="BU3" s="2840"/>
      <c r="BV3" s="2840"/>
      <c r="BW3" s="2840"/>
      <c r="BX3" s="2840"/>
      <c r="BY3" s="2840"/>
      <c r="BZ3" s="2850"/>
      <c r="CA3" s="17"/>
      <c r="CC3" s="1953" t="s">
        <v>1426</v>
      </c>
      <c r="CD3" s="2369"/>
      <c r="CE3" s="2429"/>
      <c r="CG3" s="1953" t="str">
        <f>data!$FE$23</f>
        <v>INTENSE</v>
      </c>
      <c r="CJ3" s="1953"/>
      <c r="CK3" s="2688">
        <v>3</v>
      </c>
      <c r="CL3" s="2689" t="s">
        <v>1574</v>
      </c>
      <c r="CT3" s="19"/>
      <c r="DD3" s="1887"/>
      <c r="DE3" s="1887"/>
      <c r="DF3" s="1887"/>
      <c r="DG3" s="1887"/>
      <c r="DH3" s="1887"/>
      <c r="DI3" s="1887"/>
      <c r="DJ3" s="1887"/>
      <c r="DK3" s="1887"/>
      <c r="DL3" s="1887"/>
      <c r="DM3" s="1887"/>
      <c r="DN3" s="1887"/>
      <c r="DO3" s="1887"/>
      <c r="DP3" s="1887"/>
      <c r="DQ3" s="1887"/>
      <c r="DR3" s="1887"/>
      <c r="DS3" s="1887"/>
      <c r="DT3" s="1887"/>
      <c r="DU3" s="1887"/>
      <c r="DV3" s="1887"/>
      <c r="DW3" s="1887"/>
      <c r="DX3" s="1887"/>
      <c r="DY3" s="1887"/>
      <c r="DZ3" s="1887"/>
      <c r="EA3" s="1887"/>
      <c r="EB3" s="1887"/>
      <c r="EC3" s="1887"/>
      <c r="ED3" s="1887"/>
      <c r="EE3" s="2888" t="s">
        <v>1791</v>
      </c>
      <c r="EF3" s="2908">
        <f>EF2</f>
        <v>0</v>
      </c>
      <c r="EG3" s="1887"/>
      <c r="EH3" s="1887"/>
      <c r="EI3" s="1887"/>
      <c r="EJ3" s="1887"/>
      <c r="EK3" s="1887"/>
      <c r="EL3" s="1887"/>
      <c r="EM3" s="1887"/>
      <c r="EN3" s="1887"/>
      <c r="EO3" s="1887"/>
      <c r="EP3" s="1887"/>
      <c r="EQ3" s="1887"/>
      <c r="ER3" s="1887"/>
      <c r="ES3" s="1887"/>
      <c r="ET3" s="1887"/>
      <c r="EU3" s="1887"/>
      <c r="EV3" s="1887"/>
      <c r="EW3" s="1887"/>
      <c r="EX3" s="1887"/>
      <c r="EY3" s="1887"/>
      <c r="EZ3" s="1887"/>
      <c r="FA3" s="1887"/>
      <c r="FB3" s="1887"/>
      <c r="FC3" s="1887"/>
      <c r="FD3" s="1887"/>
      <c r="FE3" s="1887"/>
      <c r="FF3" s="1887"/>
      <c r="FG3" s="1887"/>
      <c r="FH3" s="1887"/>
    </row>
    <row r="4" spans="1:173" ht="17.100000000000001" customHeight="1" thickBot="1" x14ac:dyDescent="0.35">
      <c r="A4" s="17"/>
      <c r="B4" s="20"/>
      <c r="C4" s="3492" t="s">
        <v>482</v>
      </c>
      <c r="D4" s="3492"/>
      <c r="E4" s="3492"/>
      <c r="F4" s="3492"/>
      <c r="G4" s="3492"/>
      <c r="H4" s="3492"/>
      <c r="I4" s="3492"/>
      <c r="J4" s="3492"/>
      <c r="K4" s="3492"/>
      <c r="L4" s="3492"/>
      <c r="M4" s="3492"/>
      <c r="N4" s="3492"/>
      <c r="O4" s="3492"/>
      <c r="P4" s="3492"/>
      <c r="Q4" s="3492"/>
      <c r="R4" s="3492"/>
      <c r="T4" s="2851"/>
      <c r="U4" s="2841"/>
      <c r="V4" s="2841"/>
      <c r="W4" s="2841"/>
      <c r="X4" s="2841"/>
      <c r="Y4" s="2841"/>
      <c r="Z4" s="2841"/>
      <c r="AA4" s="2841"/>
      <c r="AB4" s="2841"/>
      <c r="AC4" s="2841"/>
      <c r="AD4" s="2841"/>
      <c r="AE4" s="2841"/>
      <c r="AF4" s="2841"/>
      <c r="AG4" s="2841"/>
      <c r="AH4" s="2841"/>
      <c r="AI4" s="2841"/>
      <c r="AJ4" s="2841"/>
      <c r="AK4" s="2841"/>
      <c r="AL4" s="2841"/>
      <c r="AM4" s="2841"/>
      <c r="AN4" s="2841"/>
      <c r="AO4" s="2841"/>
      <c r="AP4" s="2841"/>
      <c r="AQ4" s="2841"/>
      <c r="AR4" s="2841"/>
      <c r="AS4" s="2841"/>
      <c r="AT4" s="3433" t="str">
        <f>EC4</f>
        <v/>
      </c>
      <c r="AU4" s="3433"/>
      <c r="AV4" s="2893"/>
      <c r="AW4" s="2893"/>
      <c r="AX4" s="2893"/>
      <c r="AY4" s="3433" t="str">
        <f>EH4</f>
        <v/>
      </c>
      <c r="AZ4" s="3433"/>
      <c r="BA4" s="1759"/>
      <c r="BB4" s="2841"/>
      <c r="BC4" s="2841"/>
      <c r="BD4" s="2841"/>
      <c r="BE4" s="2841"/>
      <c r="BF4" s="2841"/>
      <c r="BG4" s="2841"/>
      <c r="BH4" s="2841"/>
      <c r="BI4" s="2841"/>
      <c r="BJ4" s="2841"/>
      <c r="BK4" s="2841"/>
      <c r="BL4" s="2841"/>
      <c r="BM4" s="2881"/>
      <c r="BN4" s="2841"/>
      <c r="BO4" s="2841"/>
      <c r="BP4" s="2841"/>
      <c r="BQ4" s="2841"/>
      <c r="BR4" s="2841"/>
      <c r="BS4" s="2841"/>
      <c r="BT4" s="2841"/>
      <c r="BU4" s="2841"/>
      <c r="BV4" s="2841"/>
      <c r="BW4" s="2841"/>
      <c r="BX4" s="2841"/>
      <c r="BY4" s="2841"/>
      <c r="BZ4" s="2851"/>
      <c r="CA4" s="17"/>
      <c r="CC4" s="1953" t="s">
        <v>1427</v>
      </c>
      <c r="CD4" s="2369"/>
      <c r="CE4" s="2429"/>
      <c r="CG4" s="1953" t="str">
        <f>data!$FF$23</f>
        <v>EXTREME</v>
      </c>
      <c r="CJ4" s="1953"/>
      <c r="CK4" s="2688">
        <v>4</v>
      </c>
      <c r="CL4" s="2689" t="s">
        <v>1575</v>
      </c>
      <c r="CT4" s="19"/>
      <c r="DD4" s="2872"/>
      <c r="DE4" s="2873"/>
      <c r="DF4" s="3093" t="s">
        <v>2034</v>
      </c>
      <c r="DG4" s="3093"/>
      <c r="DH4" s="3094"/>
      <c r="DI4" s="3094"/>
      <c r="DJ4" s="2873"/>
      <c r="DK4" s="2873"/>
      <c r="DL4" s="2873"/>
      <c r="DM4" s="2873"/>
      <c r="DN4" s="2873"/>
      <c r="DO4" s="2873"/>
      <c r="DP4" s="2873"/>
      <c r="DQ4" s="2873"/>
      <c r="DR4" s="2873"/>
      <c r="DS4" s="2873"/>
      <c r="DT4" s="2873"/>
      <c r="DU4" s="2873"/>
      <c r="DV4" s="2873"/>
      <c r="DW4" s="2873"/>
      <c r="DX4" s="2873"/>
      <c r="DY4" s="2873"/>
      <c r="DZ4" s="2873"/>
      <c r="EA4" s="2873"/>
      <c r="EB4" s="2873"/>
      <c r="EC4" s="3437" t="str">
        <f>IF(AND($EF$3&gt;=$EF$7,OR($EQ$9=ED5,$EQ$9="equal"))," ✳","")</f>
        <v/>
      </c>
      <c r="ED4" s="3438"/>
      <c r="EE4" s="2874"/>
      <c r="EF4" s="2874"/>
      <c r="EG4" s="2874"/>
      <c r="EH4" s="3437" t="str">
        <f>IF(AND($EF$3&gt;=$EF$7,OR($EQ$9=EH5,,$EQ$9="equal")),"   ✳","")</f>
        <v/>
      </c>
      <c r="EI4" s="3438"/>
      <c r="EJ4" s="2875"/>
      <c r="EK4" s="2873"/>
      <c r="EL4" s="2873"/>
      <c r="EM4" s="2873"/>
      <c r="EN4" s="2873"/>
      <c r="EO4" s="2873"/>
      <c r="EP4" s="2873"/>
      <c r="EQ4" s="2873"/>
      <c r="ER4" s="2873"/>
      <c r="ES4" s="2873"/>
      <c r="ET4" s="2873"/>
      <c r="EU4" s="2873"/>
      <c r="EV4" s="2876"/>
      <c r="EW4" s="2873"/>
      <c r="EX4" s="2873"/>
      <c r="EY4" s="2873"/>
      <c r="EZ4" s="2873"/>
      <c r="FA4" s="2873"/>
      <c r="FB4" s="2873"/>
      <c r="FC4" s="2873"/>
      <c r="FD4" s="2873"/>
      <c r="FE4" s="2873"/>
      <c r="FF4" s="2873"/>
      <c r="FG4" s="2873"/>
      <c r="FH4" s="2877"/>
    </row>
    <row r="5" spans="1:173" ht="17.100000000000001" customHeight="1" x14ac:dyDescent="0.2">
      <c r="A5" s="17"/>
      <c r="B5" s="20"/>
      <c r="C5" s="3492"/>
      <c r="D5" s="3492"/>
      <c r="E5" s="3492"/>
      <c r="F5" s="3492"/>
      <c r="G5" s="3492"/>
      <c r="H5" s="3492"/>
      <c r="I5" s="3492"/>
      <c r="J5" s="3492"/>
      <c r="K5" s="3492"/>
      <c r="L5" s="3492"/>
      <c r="M5" s="3492"/>
      <c r="N5" s="3492"/>
      <c r="O5" s="3492"/>
      <c r="P5" s="3492"/>
      <c r="Q5" s="3492"/>
      <c r="R5" s="3492"/>
      <c r="T5" s="2851"/>
      <c r="U5" s="2841"/>
      <c r="V5" s="2889"/>
      <c r="W5" s="2870"/>
      <c r="X5" s="2854"/>
      <c r="Z5" s="2871"/>
      <c r="AG5" s="2871"/>
      <c r="AI5" s="2841"/>
      <c r="AJ5" s="2871"/>
      <c r="AK5" s="2841"/>
      <c r="AL5" s="2841"/>
      <c r="AM5" s="2841"/>
      <c r="AN5" s="2871"/>
      <c r="AO5" s="2841"/>
      <c r="AP5" s="2841"/>
      <c r="AQ5" s="2841"/>
      <c r="AR5" s="2841"/>
      <c r="AS5" s="2841"/>
      <c r="AT5" s="2842"/>
      <c r="AU5" s="2842"/>
      <c r="AV5" s="7"/>
      <c r="AW5" s="7"/>
      <c r="AX5" s="7"/>
      <c r="AY5" s="2842"/>
      <c r="AZ5" s="2842"/>
      <c r="BA5" s="2842"/>
      <c r="BB5" s="2841"/>
      <c r="BC5" s="2894"/>
      <c r="BD5" s="2841"/>
      <c r="BE5" s="2841"/>
      <c r="BF5" s="2841"/>
      <c r="BG5" s="2841"/>
      <c r="BH5" s="2841"/>
      <c r="BK5" s="2841"/>
      <c r="BL5" s="2841"/>
      <c r="BM5" s="2841"/>
      <c r="BP5" s="1887"/>
      <c r="BQ5" s="1868"/>
      <c r="BR5" s="1887"/>
      <c r="BS5" s="1887"/>
      <c r="BT5" s="1887"/>
      <c r="BU5" s="1868"/>
      <c r="BV5" s="1887"/>
      <c r="BW5" s="2841"/>
      <c r="BX5" s="2841"/>
      <c r="BY5" s="2841"/>
      <c r="BZ5" s="2851"/>
      <c r="CA5" s="17"/>
      <c r="CC5" s="1953" t="s">
        <v>1428</v>
      </c>
      <c r="CD5" s="2369"/>
      <c r="CE5" s="2429"/>
      <c r="CG5" s="1953"/>
      <c r="CK5" s="2688">
        <v>5</v>
      </c>
      <c r="CL5" s="2689" t="s">
        <v>1576</v>
      </c>
      <c r="CT5" s="19"/>
      <c r="DD5" s="2878"/>
      <c r="DE5" s="2889" t="s">
        <v>1766</v>
      </c>
      <c r="DF5" s="2870"/>
      <c r="DG5" s="2854" t="s">
        <v>1771</v>
      </c>
      <c r="DI5" s="2871"/>
      <c r="DJ5" s="2854" t="s">
        <v>2033</v>
      </c>
      <c r="DP5" s="2871" t="s">
        <v>1772</v>
      </c>
      <c r="DR5" s="2841"/>
      <c r="DS5" s="2871" t="s">
        <v>1787</v>
      </c>
      <c r="DT5" s="2841"/>
      <c r="DU5" s="2841"/>
      <c r="DV5" s="2841"/>
      <c r="DW5" s="2871" t="s">
        <v>1788</v>
      </c>
      <c r="DX5" s="2841"/>
      <c r="DY5" s="2841"/>
      <c r="DZ5" s="2841"/>
      <c r="EA5" s="2841"/>
      <c r="EB5" s="2841"/>
      <c r="EC5" s="2842"/>
      <c r="ED5" s="2920" t="str">
        <f>$FK$6</f>
        <v>MIND</v>
      </c>
      <c r="EE5" s="7"/>
      <c r="EF5" s="101"/>
      <c r="EG5" s="7"/>
      <c r="EH5" s="2919" t="str">
        <f>$FO$6</f>
        <v>BODY</v>
      </c>
      <c r="EI5" s="2842"/>
      <c r="EJ5" s="2842"/>
      <c r="EK5" s="2841"/>
      <c r="EM5" s="2841"/>
      <c r="EN5" s="2841"/>
      <c r="EO5" s="1887"/>
      <c r="EP5" s="1868" t="s">
        <v>1764</v>
      </c>
      <c r="EQ5" s="1887"/>
      <c r="ER5" s="1887"/>
      <c r="ES5" s="1887"/>
      <c r="ET5" s="1868" t="s">
        <v>1764</v>
      </c>
      <c r="EU5" s="1887"/>
      <c r="EY5" s="1887"/>
      <c r="EZ5" s="1868" t="s">
        <v>1765</v>
      </c>
      <c r="FA5" s="1887"/>
      <c r="FB5" s="1887"/>
      <c r="FC5" s="1887"/>
      <c r="FD5" s="1868" t="s">
        <v>1765</v>
      </c>
      <c r="FE5" s="1887"/>
      <c r="FF5" s="2841"/>
      <c r="FG5" s="2841"/>
      <c r="FH5" s="2879"/>
      <c r="FK5" s="2910" t="s">
        <v>1796</v>
      </c>
      <c r="FL5" s="2904"/>
      <c r="FM5" s="2904"/>
      <c r="FN5" s="2904"/>
      <c r="FO5" s="2911" t="s">
        <v>1797</v>
      </c>
      <c r="FQ5" s="1530" t="s">
        <v>1332</v>
      </c>
    </row>
    <row r="6" spans="1:173" ht="17.100000000000001" customHeight="1" x14ac:dyDescent="0.2">
      <c r="A6" s="17"/>
      <c r="B6" s="20"/>
      <c r="T6" s="2850"/>
      <c r="U6" s="2840"/>
      <c r="V6" s="2870"/>
      <c r="X6" s="2870"/>
      <c r="Y6" s="2870"/>
      <c r="Z6" s="2895"/>
      <c r="AA6" s="2895"/>
      <c r="AB6" s="1887"/>
      <c r="AC6" s="1886"/>
      <c r="AG6" s="2889"/>
      <c r="AH6" s="2889"/>
      <c r="AI6" s="2840"/>
      <c r="AJ6" s="2894"/>
      <c r="AK6" s="1886"/>
      <c r="AL6" s="2840"/>
      <c r="AM6" s="2840"/>
      <c r="AN6" s="2840"/>
      <c r="AO6" s="2840"/>
      <c r="AP6" s="2840"/>
      <c r="AQ6" s="2840"/>
      <c r="AR6" s="2840"/>
      <c r="AS6" s="2840"/>
      <c r="AT6" s="2843"/>
      <c r="AU6" s="7"/>
      <c r="AV6" s="7"/>
      <c r="AW6" s="3019"/>
      <c r="AX6" s="7"/>
      <c r="AY6" s="7"/>
      <c r="AZ6" s="2843"/>
      <c r="BA6" s="2840"/>
      <c r="BB6" s="2840"/>
      <c r="BC6" s="2840"/>
      <c r="BD6" s="2840"/>
      <c r="BE6" s="2840"/>
      <c r="BF6" s="2881"/>
      <c r="BG6" s="2840"/>
      <c r="BH6" s="2840"/>
      <c r="BK6" s="2840"/>
      <c r="BL6" s="2840"/>
      <c r="BM6" s="2840"/>
      <c r="BP6" s="1887"/>
      <c r="BQ6" s="2890"/>
      <c r="BR6" s="1887"/>
      <c r="BS6" s="1887"/>
      <c r="BT6" s="1887"/>
      <c r="BU6" s="2890"/>
      <c r="BV6" s="1887"/>
      <c r="BW6" s="2840"/>
      <c r="BX6" s="2840"/>
      <c r="BY6" s="2840"/>
      <c r="BZ6" s="2850"/>
      <c r="CA6" s="17"/>
      <c r="CC6" s="1953" t="s">
        <v>1429</v>
      </c>
      <c r="CD6" s="2369"/>
      <c r="CE6" s="2429"/>
      <c r="CK6" s="2688">
        <v>6</v>
      </c>
      <c r="CL6" s="2689" t="s">
        <v>1577</v>
      </c>
      <c r="CT6" s="19"/>
      <c r="DD6" s="2880"/>
      <c r="DE6" s="2900" t="e">
        <f ca="1">IF(OR($DG$6=DJ6,AND(DF6=0,OR($DG$6=DJ6+1,$DG$6=DJ6+2,$DG$6=DJ6+3,$DG$6=DJ6+4,$DG$6=DJ6+5,$DG$6=DJ6+6,$DG$6=DJ6+7))),1,0)</f>
        <v>#VALUE!</v>
      </c>
      <c r="DF6" s="39">
        <f>MONEY!$CT$87</f>
        <v>0</v>
      </c>
      <c r="DG6" s="3426" t="e">
        <f ca="1">IF($BK$45="A C T I V E",TODAY(),$CC$58)</f>
        <v>#VALUE!</v>
      </c>
      <c r="DH6" s="3427"/>
      <c r="DI6" s="3428"/>
      <c r="DJ6" s="3429" t="e">
        <f>IF($BS$58="",0,DATE($BK$55,MONTH($BS$58),DAY($BS$58)))</f>
        <v>#VALUE!</v>
      </c>
      <c r="DK6" s="3427"/>
      <c r="DL6" s="3430"/>
      <c r="DM6" s="1886" t="s">
        <v>1786</v>
      </c>
      <c r="DP6" s="3424" t="e">
        <f>IF($BS$58="",0,DATE($BK$55,MONTH($BS$58),DAY($BS$58)))</f>
        <v>#VALUE!</v>
      </c>
      <c r="DQ6" s="3425"/>
      <c r="DR6" s="2840"/>
      <c r="DS6" s="2852" t="s">
        <v>1778</v>
      </c>
      <c r="DT6" s="1886" t="s">
        <v>1786</v>
      </c>
      <c r="DU6" s="2840"/>
      <c r="DV6" s="2840"/>
      <c r="DW6" s="2852" t="s">
        <v>1778</v>
      </c>
      <c r="DX6" s="2942" t="s">
        <v>1760</v>
      </c>
      <c r="DY6" s="1886"/>
      <c r="DZ6" s="2852" t="s">
        <v>1472</v>
      </c>
      <c r="EA6" s="2840"/>
      <c r="EB6" s="2840"/>
      <c r="EC6" s="2843"/>
      <c r="ED6" s="7"/>
      <c r="EE6" s="7"/>
      <c r="EG6" s="7"/>
      <c r="EH6" s="7"/>
      <c r="EI6" s="2843"/>
      <c r="EJ6" s="2840"/>
      <c r="EK6" s="2840"/>
      <c r="EM6" s="2840"/>
      <c r="EN6" s="2840"/>
      <c r="EO6" s="1887"/>
      <c r="EP6" s="2890" t="s">
        <v>1762</v>
      </c>
      <c r="EQ6" s="1887"/>
      <c r="ER6" s="1887"/>
      <c r="ES6" s="1887"/>
      <c r="ET6" s="2890" t="s">
        <v>1763</v>
      </c>
      <c r="EU6" s="1887"/>
      <c r="EY6" s="1887"/>
      <c r="EZ6" s="2890" t="s">
        <v>1762</v>
      </c>
      <c r="FA6" s="1887"/>
      <c r="FB6" s="1887"/>
      <c r="FC6" s="1887"/>
      <c r="FD6" s="2890" t="s">
        <v>1763</v>
      </c>
      <c r="FE6" s="1887"/>
      <c r="FF6" s="2840"/>
      <c r="FG6" s="2840"/>
      <c r="FH6" s="2882"/>
      <c r="FK6" s="2909" t="s">
        <v>1332</v>
      </c>
      <c r="FL6" s="2905"/>
      <c r="FM6" s="2905"/>
      <c r="FN6" s="2905"/>
      <c r="FO6" s="2913" t="s">
        <v>1341</v>
      </c>
      <c r="FQ6" s="1530" t="s">
        <v>1341</v>
      </c>
    </row>
    <row r="7" spans="1:173" ht="17.100000000000001" customHeight="1" thickBot="1" x14ac:dyDescent="0.25">
      <c r="A7" s="17"/>
      <c r="B7" s="20"/>
      <c r="F7" s="3495" t="str">
        <f>CL49</f>
        <v/>
      </c>
      <c r="G7" s="3495"/>
      <c r="H7" s="3495"/>
      <c r="I7" s="3495"/>
      <c r="J7" s="3495"/>
      <c r="K7" s="3495"/>
      <c r="L7" s="3495"/>
      <c r="M7" s="3495"/>
      <c r="N7" s="3495"/>
      <c r="O7" s="3495"/>
      <c r="T7" s="2850"/>
      <c r="U7" s="2840"/>
      <c r="V7" s="2870"/>
      <c r="X7" s="1887"/>
      <c r="Z7" s="2895"/>
      <c r="AA7" s="2895"/>
      <c r="AB7" s="2895"/>
      <c r="AC7" s="2895"/>
      <c r="AD7" s="1886"/>
      <c r="AG7" s="2889"/>
      <c r="AH7" s="2889"/>
      <c r="AI7" s="2840"/>
      <c r="AJ7" s="2894"/>
      <c r="AK7" s="1886"/>
      <c r="AL7" s="2840"/>
      <c r="AM7" s="2840"/>
      <c r="AN7" s="2840"/>
      <c r="AO7" s="2840"/>
      <c r="AP7" s="2840"/>
      <c r="AQ7" s="2840"/>
      <c r="AR7" s="2840"/>
      <c r="AS7" s="2840"/>
      <c r="AT7" s="7"/>
      <c r="AU7" s="7"/>
      <c r="AV7" s="7"/>
      <c r="AW7" s="7"/>
      <c r="AX7" s="7"/>
      <c r="AY7" s="7"/>
      <c r="AZ7" s="7"/>
      <c r="BA7" s="2840"/>
      <c r="BB7" s="2840"/>
      <c r="BC7" s="2840"/>
      <c r="BD7" s="2840"/>
      <c r="BE7" s="2840"/>
      <c r="BF7" s="2840"/>
      <c r="BG7" s="2840"/>
      <c r="BH7" s="2840"/>
      <c r="BI7" s="2840"/>
      <c r="BJ7" s="2840"/>
      <c r="BK7" s="2840"/>
      <c r="BL7" s="2840"/>
      <c r="BM7" s="2840"/>
      <c r="BP7" s="3397"/>
      <c r="BQ7" s="3398"/>
      <c r="BR7" s="3398"/>
      <c r="BS7" s="1887"/>
      <c r="BT7" s="3397"/>
      <c r="BU7" s="3398"/>
      <c r="BV7" s="3398"/>
      <c r="BW7" s="2840"/>
      <c r="BX7" s="2840"/>
      <c r="BY7" s="2840"/>
      <c r="BZ7" s="2850"/>
      <c r="CA7" s="17"/>
      <c r="CC7" s="1953" t="s">
        <v>1430</v>
      </c>
      <c r="CD7" s="2369"/>
      <c r="CE7" s="2429"/>
      <c r="CF7" s="2430"/>
      <c r="CK7" s="2688">
        <v>7</v>
      </c>
      <c r="CL7" s="2689" t="s">
        <v>1578</v>
      </c>
      <c r="CT7" s="19"/>
      <c r="DD7" s="2880"/>
      <c r="DE7" s="2900" t="e">
        <f ca="1">IF(OR(OR($DG$6=DJ7,$DG$6=DJ7+1,$DG$6=DJ7+2),AND(DF7=0,OR($DG$6=DJ7+3,$DG$6=DJ7+4,$DG$6=DJ7+5,$DG$6=DJ7+6,$DG$6=DJ7+7))),1,0)</f>
        <v>#VALUE!</v>
      </c>
      <c r="DF7" s="39">
        <f>MONEY!$DC$87</f>
        <v>0</v>
      </c>
      <c r="DJ7" s="3426" t="e">
        <f>DATE($BK$55,12,24)</f>
        <v>#VALUE!</v>
      </c>
      <c r="DK7" s="3427"/>
      <c r="DL7" s="3430"/>
      <c r="DM7" s="1886" t="s">
        <v>1779</v>
      </c>
      <c r="DP7" s="2840"/>
      <c r="DQ7" s="2840"/>
      <c r="DR7" s="2840"/>
      <c r="DS7" s="2852" t="s">
        <v>1753</v>
      </c>
      <c r="DT7" s="1886" t="s">
        <v>1779</v>
      </c>
      <c r="DU7" s="2840"/>
      <c r="DV7" s="2840"/>
      <c r="DW7" s="2852" t="s">
        <v>1753</v>
      </c>
      <c r="DX7" s="2942" t="s">
        <v>1759</v>
      </c>
      <c r="DY7" s="1886"/>
      <c r="DZ7" s="2852" t="s">
        <v>1756</v>
      </c>
      <c r="EA7" s="2840"/>
      <c r="EB7" s="2840"/>
      <c r="EC7" s="7"/>
      <c r="ED7" s="7"/>
      <c r="EE7" s="7"/>
      <c r="EF7" s="2371">
        <v>414</v>
      </c>
      <c r="EG7" s="7"/>
      <c r="EH7" s="7"/>
      <c r="EI7" s="7"/>
      <c r="EJ7" s="2840"/>
      <c r="EK7" s="2840"/>
      <c r="EL7" s="2840"/>
      <c r="EM7" s="2840"/>
      <c r="EN7" s="2840"/>
      <c r="EO7" s="3431">
        <f>data!$EK$56</f>
        <v>0</v>
      </c>
      <c r="EP7" s="3432"/>
      <c r="EQ7" s="3432"/>
      <c r="ER7" s="1887"/>
      <c r="ES7" s="3431">
        <f>data!$EV$56</f>
        <v>0</v>
      </c>
      <c r="ET7" s="3432"/>
      <c r="EU7" s="3432"/>
      <c r="EY7" s="3431">
        <f>data!$CM$26</f>
        <v>0</v>
      </c>
      <c r="EZ7" s="3432"/>
      <c r="FA7" s="3432"/>
      <c r="FB7" s="1887"/>
      <c r="FC7" s="3431">
        <f>data!$CM$31</f>
        <v>0</v>
      </c>
      <c r="FD7" s="3432"/>
      <c r="FE7" s="3432"/>
      <c r="FF7" s="2840"/>
      <c r="FG7" s="2840"/>
      <c r="FH7" s="2882"/>
      <c r="FK7" s="48"/>
      <c r="FL7" s="2912"/>
      <c r="FM7" s="2912" t="s">
        <v>1791</v>
      </c>
      <c r="FN7" s="2912"/>
      <c r="FO7" s="2906"/>
      <c r="FQ7" s="1530" t="s">
        <v>1798</v>
      </c>
    </row>
    <row r="8" spans="1:173" ht="17.100000000000001" customHeight="1" x14ac:dyDescent="0.2">
      <c r="A8" s="17"/>
      <c r="B8" s="20"/>
      <c r="D8" s="818"/>
      <c r="E8" s="818"/>
      <c r="F8" s="3495"/>
      <c r="G8" s="3495"/>
      <c r="H8" s="3495"/>
      <c r="I8" s="3495"/>
      <c r="J8" s="3495"/>
      <c r="K8" s="3495"/>
      <c r="L8" s="3495"/>
      <c r="M8" s="3495"/>
      <c r="N8" s="3495"/>
      <c r="O8" s="3495"/>
      <c r="P8" s="818"/>
      <c r="Q8" s="818"/>
      <c r="R8" s="818"/>
      <c r="T8" s="2850"/>
      <c r="U8" s="2840"/>
      <c r="V8" s="2840"/>
      <c r="W8" s="2840"/>
      <c r="X8" s="2840"/>
      <c r="Y8" s="2840"/>
      <c r="Z8" s="2840"/>
      <c r="AA8" s="2840"/>
      <c r="AB8" s="2840"/>
      <c r="AC8" s="2840"/>
      <c r="AD8" s="2840"/>
      <c r="AE8" s="2840"/>
      <c r="AF8" s="2840"/>
      <c r="AG8" s="2840"/>
      <c r="AH8" s="2840"/>
      <c r="AI8" s="2840"/>
      <c r="AJ8" s="2840"/>
      <c r="AK8" s="2840"/>
      <c r="AL8" s="2840"/>
      <c r="AM8" s="2840"/>
      <c r="AN8" s="2840"/>
      <c r="AO8" s="2840"/>
      <c r="AP8" s="2840"/>
      <c r="AQ8" s="2840"/>
      <c r="AR8" s="2840"/>
      <c r="AS8" s="2840"/>
      <c r="AT8" s="3395" t="str">
        <f>EC8</f>
        <v/>
      </c>
      <c r="AU8" s="3395"/>
      <c r="AV8" s="3395"/>
      <c r="AW8" s="3395"/>
      <c r="AX8" s="3395"/>
      <c r="AY8" s="3395"/>
      <c r="AZ8" s="3395"/>
      <c r="BA8" s="2840"/>
      <c r="BB8" s="2840"/>
      <c r="BC8" s="2894"/>
      <c r="BD8" s="1886"/>
      <c r="BE8" s="2840"/>
      <c r="BF8" s="2840"/>
      <c r="BG8" s="2840"/>
      <c r="BH8" s="2840"/>
      <c r="BI8" s="2881"/>
      <c r="BJ8" s="2840"/>
      <c r="BK8" s="2840"/>
      <c r="BL8" s="2881"/>
      <c r="BM8" s="2840"/>
      <c r="BR8" s="1887"/>
      <c r="BS8" s="1868"/>
      <c r="BT8" s="1887"/>
      <c r="BW8" s="2840"/>
      <c r="BX8" s="2840"/>
      <c r="BY8" s="2840"/>
      <c r="BZ8" s="2850"/>
      <c r="CA8" s="17"/>
      <c r="CC8" s="1953" t="s">
        <v>1431</v>
      </c>
      <c r="CD8" s="2369"/>
      <c r="CE8" s="2369"/>
      <c r="CF8" s="2369"/>
      <c r="CK8" s="2688">
        <v>8</v>
      </c>
      <c r="CL8" s="2689" t="s">
        <v>1579</v>
      </c>
      <c r="CT8" s="19"/>
      <c r="DD8" s="2880"/>
      <c r="DE8" s="2840"/>
      <c r="DF8" s="2840"/>
      <c r="DG8" s="2840"/>
      <c r="DH8" s="2840"/>
      <c r="DI8" s="2840"/>
      <c r="DJ8" s="2840"/>
      <c r="DK8" s="2840"/>
      <c r="DL8" s="2840"/>
      <c r="DM8" s="2840"/>
      <c r="DN8" s="2840"/>
      <c r="DO8" s="2840"/>
      <c r="DP8" s="2840"/>
      <c r="DQ8" s="2840"/>
      <c r="DR8" s="2840"/>
      <c r="DU8" s="2840"/>
      <c r="DV8" s="2840"/>
      <c r="DW8" s="2840"/>
      <c r="DX8" s="2840"/>
      <c r="DY8" s="2840"/>
      <c r="DZ8" s="2852" t="s">
        <v>1799</v>
      </c>
      <c r="EA8" s="2840"/>
      <c r="EB8" s="2840"/>
      <c r="EC8" s="3465" t="str">
        <f>IF($EF$3&gt;=$EF$7,"🏆","")</f>
        <v/>
      </c>
      <c r="ED8" s="3466"/>
      <c r="EE8" s="3466"/>
      <c r="EF8" s="3466"/>
      <c r="EG8" s="3466"/>
      <c r="EH8" s="3466"/>
      <c r="EI8" s="3467"/>
      <c r="EJ8" s="377"/>
      <c r="EK8" s="2840"/>
      <c r="EM8" s="1886"/>
      <c r="EN8" s="2840"/>
      <c r="EO8" s="1887"/>
      <c r="EP8" s="1887"/>
      <c r="EQ8" s="1887"/>
      <c r="ER8" s="1868" t="s">
        <v>1767</v>
      </c>
      <c r="ES8" s="1887"/>
      <c r="ET8" s="1887"/>
      <c r="EU8" s="1887"/>
      <c r="FA8" s="1887"/>
      <c r="FB8" s="1868" t="s">
        <v>1768</v>
      </c>
      <c r="FC8" s="1887"/>
      <c r="FF8" s="2840"/>
      <c r="FG8" s="2840"/>
      <c r="FH8" s="2882"/>
    </row>
    <row r="9" spans="1:173" ht="17.100000000000001" customHeight="1" x14ac:dyDescent="0.2">
      <c r="A9" s="17"/>
      <c r="B9" s="20"/>
      <c r="C9" s="818"/>
      <c r="D9" s="818"/>
      <c r="E9" s="818"/>
      <c r="F9" s="3501" t="str">
        <f ca="1">IF(AND($BK$49&gt;=1,$BK$45="I N A C T I V E"),"COMPLETE","")</f>
        <v/>
      </c>
      <c r="G9" s="3501"/>
      <c r="H9" s="3501"/>
      <c r="I9" s="3501"/>
      <c r="J9" s="3501"/>
      <c r="K9" s="3501"/>
      <c r="L9" s="3501"/>
      <c r="M9" s="3501"/>
      <c r="N9" s="3501"/>
      <c r="O9" s="3501"/>
      <c r="P9" s="818"/>
      <c r="Q9" s="818"/>
      <c r="R9" s="818"/>
      <c r="T9" s="2850"/>
      <c r="U9" s="2840"/>
      <c r="V9" s="2889"/>
      <c r="W9" s="1571"/>
      <c r="X9" s="2854"/>
      <c r="Y9" s="2891"/>
      <c r="Z9" s="2854"/>
      <c r="AA9" s="2892"/>
      <c r="AG9" s="2871"/>
      <c r="AH9" s="1571"/>
      <c r="AI9" s="2840"/>
      <c r="AJ9" s="2894"/>
      <c r="AK9" s="1886"/>
      <c r="AL9" s="2840"/>
      <c r="AM9" s="2840"/>
      <c r="AN9" s="2894"/>
      <c r="AO9" s="2840"/>
      <c r="AP9" s="2840"/>
      <c r="AQ9" s="2840"/>
      <c r="AR9" s="2840"/>
      <c r="AS9" s="2840"/>
      <c r="AT9" s="3395"/>
      <c r="AU9" s="3395"/>
      <c r="AV9" s="3395"/>
      <c r="AW9" s="3395"/>
      <c r="AX9" s="3395"/>
      <c r="AY9" s="3395"/>
      <c r="AZ9" s="3395"/>
      <c r="BA9" s="2840"/>
      <c r="BB9" s="2840"/>
      <c r="BC9" s="2840"/>
      <c r="BD9" s="2840"/>
      <c r="BE9" s="2840"/>
      <c r="BF9" s="2840"/>
      <c r="BG9" s="2840"/>
      <c r="BH9" s="2840"/>
      <c r="BI9" s="2840"/>
      <c r="BJ9" s="2840"/>
      <c r="BK9" s="2840"/>
      <c r="BL9" s="2840"/>
      <c r="BM9" s="2840"/>
      <c r="BP9" s="420"/>
      <c r="BR9" s="3434"/>
      <c r="BS9" s="3435"/>
      <c r="BT9" s="3435"/>
      <c r="BW9" s="2840"/>
      <c r="BX9" s="2840"/>
      <c r="BY9" s="2840"/>
      <c r="BZ9" s="2850"/>
      <c r="CA9" s="17"/>
      <c r="CC9" s="1953" t="s">
        <v>1432</v>
      </c>
      <c r="CD9" s="2369"/>
      <c r="CE9" s="2431"/>
      <c r="CF9" s="2369"/>
      <c r="CK9" s="2688">
        <v>9</v>
      </c>
      <c r="CL9" s="2689" t="s">
        <v>1580</v>
      </c>
      <c r="CT9" s="19"/>
      <c r="DD9" s="2880"/>
      <c r="DE9" s="2889" t="s">
        <v>1766</v>
      </c>
      <c r="DF9" s="1571"/>
      <c r="DG9" s="2854" t="s">
        <v>1769</v>
      </c>
      <c r="DH9" s="2892"/>
      <c r="DI9" s="2854" t="s">
        <v>1770</v>
      </c>
      <c r="DJ9" s="2891"/>
      <c r="DP9" s="2871" t="s">
        <v>1772</v>
      </c>
      <c r="DQ9" s="1571"/>
      <c r="DR9" s="2840"/>
      <c r="DS9" s="2852" t="s">
        <v>1777</v>
      </c>
      <c r="DT9" s="1886" t="s">
        <v>1780</v>
      </c>
      <c r="DU9" s="2840"/>
      <c r="DV9" s="2840"/>
      <c r="DW9" s="2852" t="s">
        <v>1776</v>
      </c>
      <c r="DX9" s="2852" t="s">
        <v>1776</v>
      </c>
      <c r="DY9" s="2840"/>
      <c r="EA9" s="2840"/>
      <c r="EB9" s="2840"/>
      <c r="EC9" s="3468"/>
      <c r="ED9" s="3395"/>
      <c r="EE9" s="3395"/>
      <c r="EF9" s="3395"/>
      <c r="EG9" s="3395"/>
      <c r="EH9" s="3395"/>
      <c r="EI9" s="3469"/>
      <c r="EJ9" s="2840"/>
      <c r="EK9" s="2840"/>
      <c r="EL9" s="2840"/>
      <c r="EM9" s="2840"/>
      <c r="EN9" s="2840"/>
      <c r="EO9" s="420"/>
      <c r="EP9" s="1887"/>
      <c r="EQ9" s="3456" t="str" cm="1">
        <f t="array" ref="EQ9">_xlfn.IFS(EO7&gt;ES7,"MIND",ES7&gt;EO7,"BODY",EO7=ES7,"equal",TRUE,"")</f>
        <v>equal</v>
      </c>
      <c r="ER9" s="3457"/>
      <c r="ES9" s="3457"/>
      <c r="ET9" s="1887"/>
      <c r="EU9" s="1887"/>
      <c r="EY9" s="420"/>
      <c r="FA9" s="3456" t="str" cm="1">
        <f t="array" ref="FA9">IF(SUM(EY7,FC7)=0,"",_xlfn.IFS(EY7&gt;FC7,"MIND",FC7&gt;EY7,"BODY",EY7=FC7,"equal",TRUE,""))</f>
        <v/>
      </c>
      <c r="FB9" s="3457"/>
      <c r="FC9" s="3457"/>
      <c r="FF9" s="2840"/>
      <c r="FG9" s="2840"/>
      <c r="FH9" s="2882"/>
      <c r="FK9" s="2904" t="s">
        <v>1794</v>
      </c>
      <c r="FL9" s="2904"/>
      <c r="FM9" s="2904" t="s">
        <v>1795</v>
      </c>
      <c r="FO9" s="2904" t="s">
        <v>1794</v>
      </c>
      <c r="FP9" s="2904"/>
      <c r="FQ9" s="2904" t="s">
        <v>1795</v>
      </c>
    </row>
    <row r="10" spans="1:173" ht="17.100000000000001" customHeight="1" thickBot="1" x14ac:dyDescent="0.2">
      <c r="A10" s="17"/>
      <c r="B10" s="20"/>
      <c r="D10" s="2690"/>
      <c r="Q10" s="23"/>
      <c r="R10" s="24"/>
      <c r="T10" s="2850"/>
      <c r="U10" s="2840"/>
      <c r="V10" s="2870"/>
      <c r="X10" s="2896"/>
      <c r="Y10" s="2896"/>
      <c r="Z10" s="2897"/>
      <c r="AA10" s="2897"/>
      <c r="AB10" s="1886"/>
      <c r="AG10" s="2892"/>
      <c r="AH10" s="2892"/>
      <c r="AI10" s="2840"/>
      <c r="AJ10" s="2894"/>
      <c r="AK10" s="1886"/>
      <c r="AL10" s="2840"/>
      <c r="AM10" s="2840"/>
      <c r="AN10" s="2894"/>
      <c r="AO10" s="2840"/>
      <c r="AP10" s="2840"/>
      <c r="AQ10" s="2840"/>
      <c r="AR10" s="2840"/>
      <c r="AS10" s="2840"/>
      <c r="AT10" s="3395"/>
      <c r="AU10" s="3395"/>
      <c r="AV10" s="3395"/>
      <c r="AW10" s="3395"/>
      <c r="AX10" s="3395"/>
      <c r="AY10" s="3395"/>
      <c r="AZ10" s="3395"/>
      <c r="BA10" s="2840"/>
      <c r="BB10" s="2840"/>
      <c r="BC10" s="2840"/>
      <c r="BD10" s="2840"/>
      <c r="BE10" s="2840"/>
      <c r="BF10" s="2840"/>
      <c r="BG10" s="2840"/>
      <c r="BH10" s="2840"/>
      <c r="BI10" s="2840"/>
      <c r="BJ10" s="2840"/>
      <c r="BK10" s="2840"/>
      <c r="BL10" s="2840"/>
      <c r="BM10" s="2840"/>
      <c r="BO10" s="1886"/>
      <c r="BP10" s="2840"/>
      <c r="BQ10" s="2840"/>
      <c r="BR10" s="2840"/>
      <c r="BT10" s="1886"/>
      <c r="BU10" s="2840"/>
      <c r="BV10" s="2840"/>
      <c r="BW10" s="2840"/>
      <c r="BX10" s="2840"/>
      <c r="BY10" s="2840"/>
      <c r="BZ10" s="2850"/>
      <c r="CA10" s="17"/>
      <c r="CD10" s="2369"/>
      <c r="CE10" s="2431"/>
      <c r="CF10" s="2369"/>
      <c r="CK10" s="2688">
        <v>10</v>
      </c>
      <c r="CL10" s="2689" t="s">
        <v>1581</v>
      </c>
      <c r="CT10" s="19"/>
      <c r="DD10" s="2880"/>
      <c r="DE10" s="2900">
        <f>IF(DG10&gt;=DI10,1,0)</f>
        <v>0</v>
      </c>
      <c r="DG10" s="3396">
        <f>PROGRESS!$AD$21</f>
        <v>0</v>
      </c>
      <c r="DH10" s="3396"/>
      <c r="DI10" s="3396">
        <f>DM10*60</f>
        <v>960</v>
      </c>
      <c r="DJ10" s="3396"/>
      <c r="DL10" s="2901" t="s">
        <v>1792</v>
      </c>
      <c r="DM10" s="2853">
        <v>16</v>
      </c>
      <c r="DP10" s="3432">
        <f>PROGRESS!$AD$21</f>
        <v>0</v>
      </c>
      <c r="DQ10" s="3432"/>
      <c r="DR10" s="2840"/>
      <c r="DS10" s="2852" t="s">
        <v>1754</v>
      </c>
      <c r="DT10" s="1886" t="str">
        <f>"HP&gt;="&amp;DM10</f>
        <v>HP&gt;=16</v>
      </c>
      <c r="DU10" s="2840"/>
      <c r="DV10" s="2840"/>
      <c r="DW10" s="2852" t="s">
        <v>1755</v>
      </c>
      <c r="DX10" s="2840"/>
      <c r="DY10" s="2840"/>
      <c r="EA10" s="2840"/>
      <c r="EB10" s="2840"/>
      <c r="EC10" s="3470"/>
      <c r="ED10" s="3471"/>
      <c r="EE10" s="3471"/>
      <c r="EF10" s="3471"/>
      <c r="EG10" s="3471"/>
      <c r="EH10" s="3471"/>
      <c r="EI10" s="3472"/>
      <c r="EJ10" s="2840"/>
      <c r="EK10" s="2840"/>
      <c r="EL10" s="2840"/>
      <c r="EM10" s="2840"/>
      <c r="EN10" s="2840"/>
      <c r="EO10" s="2840"/>
      <c r="EP10" s="2840"/>
      <c r="EQ10" s="2840"/>
      <c r="ER10" s="2840"/>
      <c r="ES10" s="2840"/>
      <c r="ET10" s="2840"/>
      <c r="EU10" s="2840"/>
      <c r="EW10" s="2889" t="s">
        <v>1793</v>
      </c>
      <c r="EZ10" s="2840"/>
      <c r="FA10" s="2840"/>
      <c r="FC10" s="1886"/>
      <c r="FD10" s="2840"/>
      <c r="FE10" s="2840"/>
      <c r="FF10" s="2840"/>
      <c r="FG10" s="2840"/>
      <c r="FH10" s="2882"/>
      <c r="FK10" s="2907">
        <v>0</v>
      </c>
      <c r="FL10" s="2905" t="s">
        <v>167</v>
      </c>
      <c r="FM10" s="2907">
        <v>0</v>
      </c>
      <c r="FO10" s="2907">
        <v>0</v>
      </c>
      <c r="FP10" s="2905" t="s">
        <v>167</v>
      </c>
      <c r="FQ10" s="2907">
        <v>0</v>
      </c>
    </row>
    <row r="11" spans="1:173" ht="17.100000000000001" customHeight="1" x14ac:dyDescent="0.2">
      <c r="A11" s="17"/>
      <c r="B11" s="20"/>
      <c r="C11" s="23"/>
      <c r="Q11" s="23"/>
      <c r="R11" s="24"/>
      <c r="T11" s="2850"/>
      <c r="U11" s="2840"/>
      <c r="V11" s="2870"/>
      <c r="X11" s="2896"/>
      <c r="Y11" s="2896"/>
      <c r="Z11" s="2897"/>
      <c r="AA11" s="2897"/>
      <c r="AB11" s="1886"/>
      <c r="AC11" s="2840"/>
      <c r="AD11" s="2840"/>
      <c r="AE11" s="2840"/>
      <c r="AF11" s="2840"/>
      <c r="AG11" s="2840"/>
      <c r="AH11" s="2840"/>
      <c r="AI11" s="2840"/>
      <c r="AJ11" s="2894"/>
      <c r="AK11" s="1886"/>
      <c r="AL11" s="2844"/>
      <c r="AM11" s="2844"/>
      <c r="AN11" s="2894"/>
      <c r="AO11" s="2840"/>
      <c r="AP11" s="2840"/>
      <c r="AQ11" s="2840"/>
      <c r="AR11" s="2840"/>
      <c r="AS11" s="2845"/>
      <c r="AT11" s="3401" t="str">
        <f>EC11</f>
        <v/>
      </c>
      <c r="AU11" s="3401"/>
      <c r="AV11" s="3401"/>
      <c r="AW11" s="3402" t="str">
        <f>EE11</f>
        <v/>
      </c>
      <c r="AX11" s="3393" t="str">
        <f>EG11</f>
        <v/>
      </c>
      <c r="AY11" s="3403" t="str">
        <f>EH11</f>
        <v/>
      </c>
      <c r="AZ11" s="3403"/>
      <c r="BA11" s="1759"/>
      <c r="BB11" s="2840"/>
      <c r="BC11" s="2840"/>
      <c r="BD11" s="2840"/>
      <c r="BE11" s="2840"/>
      <c r="BF11" s="2840"/>
      <c r="BG11" s="2840"/>
      <c r="BH11" s="2840"/>
      <c r="BI11" s="2840"/>
      <c r="BJ11" s="2840"/>
      <c r="BK11" s="2881"/>
      <c r="BL11" s="2840"/>
      <c r="BM11" s="2840"/>
      <c r="BN11" s="2840"/>
      <c r="BO11" s="2840"/>
      <c r="BP11" s="1887"/>
      <c r="BQ11" s="1868"/>
      <c r="BR11" s="1887"/>
      <c r="BS11" s="1887"/>
      <c r="BT11" s="1887"/>
      <c r="BU11" s="1868"/>
      <c r="BV11" s="1887"/>
      <c r="BW11" s="2840"/>
      <c r="BX11" s="2840"/>
      <c r="BY11" s="2840"/>
      <c r="BZ11" s="2850"/>
      <c r="CA11" s="17"/>
      <c r="CC11" s="1765" t="s">
        <v>2198</v>
      </c>
      <c r="CG11" s="3217" t="s">
        <v>1074</v>
      </c>
      <c r="CK11" s="2688">
        <v>11</v>
      </c>
      <c r="CL11" s="2689" t="s">
        <v>1582</v>
      </c>
      <c r="DD11" s="2880"/>
      <c r="DE11" s="2900">
        <f>IF(DG10&gt;=DI11,1,0)</f>
        <v>0</v>
      </c>
      <c r="DI11" s="3396">
        <f>DM11*60</f>
        <v>600</v>
      </c>
      <c r="DJ11" s="3396"/>
      <c r="DK11" s="1886"/>
      <c r="DL11" s="2901" t="s">
        <v>1792</v>
      </c>
      <c r="DM11" s="2853">
        <v>10</v>
      </c>
      <c r="DN11" s="2840"/>
      <c r="DO11" s="2840"/>
      <c r="DP11" s="2840"/>
      <c r="DQ11" s="2840"/>
      <c r="DR11" s="2840"/>
      <c r="DS11" s="2852" t="s">
        <v>1752</v>
      </c>
      <c r="DT11" s="1886" t="str">
        <f>"HP&gt;="&amp;DM11</f>
        <v>HP&gt;=10</v>
      </c>
      <c r="DU11" s="2844"/>
      <c r="DV11" s="2844"/>
      <c r="DW11" s="2852" t="s">
        <v>1757</v>
      </c>
      <c r="DX11" s="2840"/>
      <c r="DY11" s="2840"/>
      <c r="EA11" s="2840"/>
      <c r="EB11" s="2702" t="str">
        <f>$FK$6</f>
        <v>MIND</v>
      </c>
      <c r="EC11" s="3528" t="str" cm="1">
        <f t="array" ref="EC11">IF(AND($EF$3&gt;=EC13,$EF$3&lt;ED13),
_xlfn.IFS($EQ$9=EB11,
_xlfn.IFS(
$DE$6=1,$DS$6,
$DE$7=1,$DS$7,
$DE$10=1,$DS$10,
$DE$11=1,$DS$11,
TRUE,$DS$12),
$EQ$9="equal",$DS$9,
TRUE,""
),"")</f>
        <v/>
      </c>
      <c r="ED11" s="3529"/>
      <c r="EE11" s="3461" t="str" cm="1">
        <f t="array" ref="EE11">IF(AND($EF$3&gt;=EC13,$EF$3&lt;ED13),
_xlfn.IFS(
AND($EQ$9=EB11,$DE$14=1),$DS$14,
AND($EQ$9="equal",$DE$14=1),"",
TRUE,""
),"")</f>
        <v/>
      </c>
      <c r="EF11" s="3461" t="str">
        <f>IF(AND($EF$3&gt;=EC13,$EF$3&lt;ED13),
IF(AND($EQ$9="equal",$DE$14=1),$DS$15,""),"")</f>
        <v/>
      </c>
      <c r="EG11" s="3463" t="str" cm="1">
        <f t="array" ref="EG11">IF(AND($EF$3&gt;=EH13,$EF$3&lt;EI13),
_xlfn.IFS(
AND($EQ$9=EJ11,$DE$14=1),$DS$14,
AND($EQ$9="equal",$DE$14=1),"",
TRUE,""
),"")</f>
        <v/>
      </c>
      <c r="EH11" s="3473" t="str" cm="1">
        <f t="array" ref="EH11">IF(AND($EF$3&gt;=EH13,$EF$3&lt;EI13),
_xlfn.IFS($EQ$9=EJ11,
_xlfn.IFS(
$DE$6=1,$DS$6,
$DE$7=1,$DS$7,
$DE$10=1,$DS$10,
$DE$11=1,$DS$11,
TRUE,$DS$12),
$EQ$9="equal",$DS$9,
TRUE,""
),"")</f>
        <v/>
      </c>
      <c r="EI11" s="3473"/>
      <c r="EJ11" s="377" t="str">
        <f>$FO$6</f>
        <v>BODY</v>
      </c>
      <c r="EK11" s="2840"/>
      <c r="EL11" s="2840"/>
      <c r="EM11" s="2840"/>
      <c r="EN11" s="2840"/>
      <c r="EO11" s="2840"/>
      <c r="EP11" s="2840"/>
      <c r="EQ11" s="2923"/>
      <c r="ER11" s="2897"/>
      <c r="ES11" s="2897"/>
      <c r="ET11" s="2881"/>
      <c r="EU11" s="2840"/>
      <c r="EV11" s="3456" t="str" cm="1">
        <f t="array" ref="EV11">IF(SUM(ET9,EX9)=0,"",_xlfn.IFS(ET9&gt;EX9,"MIND",EX9&gt;ET9,"BODY",ET9=EX9,"equal",TRUE,""))</f>
        <v/>
      </c>
      <c r="EW11" s="3457"/>
      <c r="EX11" s="3457"/>
      <c r="FF11" s="2840"/>
      <c r="FG11" s="2840"/>
      <c r="FH11" s="2882"/>
      <c r="FK11" s="48"/>
      <c r="FL11" s="2912" t="s">
        <v>1791</v>
      </c>
      <c r="FM11" s="2906"/>
      <c r="FO11" s="48"/>
      <c r="FP11" s="2912" t="s">
        <v>1791</v>
      </c>
      <c r="FQ11" s="2906"/>
    </row>
    <row r="12" spans="1:173" ht="17.100000000000001" customHeight="1" x14ac:dyDescent="0.15">
      <c r="A12" s="17"/>
      <c r="B12" s="20"/>
      <c r="C12" s="23"/>
      <c r="Q12" s="23"/>
      <c r="R12" s="24"/>
      <c r="T12" s="2850"/>
      <c r="U12" s="2840"/>
      <c r="V12" s="2840"/>
      <c r="W12" s="2840"/>
      <c r="X12" s="2840"/>
      <c r="Y12" s="2840"/>
      <c r="Z12" s="2840"/>
      <c r="AA12" s="2840"/>
      <c r="AB12" s="2840"/>
      <c r="AC12" s="2840"/>
      <c r="AD12" s="2840"/>
      <c r="AE12" s="2840"/>
      <c r="AF12" s="2840"/>
      <c r="AG12" s="2840"/>
      <c r="AH12" s="2840"/>
      <c r="AI12" s="2840"/>
      <c r="AJ12" s="2894"/>
      <c r="AK12" s="1886"/>
      <c r="AL12" s="2844"/>
      <c r="AM12" s="2844"/>
      <c r="AN12" s="2894"/>
      <c r="AO12" s="2840"/>
      <c r="AP12" s="2840"/>
      <c r="AQ12" s="2840"/>
      <c r="AR12" s="2840"/>
      <c r="AS12" s="2840"/>
      <c r="AT12" s="3401"/>
      <c r="AU12" s="3401"/>
      <c r="AV12" s="3401"/>
      <c r="AW12" s="3402"/>
      <c r="AX12" s="3393"/>
      <c r="AY12" s="3403"/>
      <c r="AZ12" s="3403"/>
      <c r="BA12" s="2840"/>
      <c r="BB12" s="2840"/>
      <c r="BC12" s="2840"/>
      <c r="BD12" s="2840"/>
      <c r="BE12" s="2840"/>
      <c r="BF12" s="2840"/>
      <c r="BG12" s="2840"/>
      <c r="BH12" s="2840"/>
      <c r="BI12" s="2840"/>
      <c r="BJ12" s="2840"/>
      <c r="BK12" s="2840"/>
      <c r="BL12" s="2840"/>
      <c r="BM12" s="2840"/>
      <c r="BN12" s="2840"/>
      <c r="BO12" s="2840"/>
      <c r="BP12" s="1887"/>
      <c r="BQ12" s="2890"/>
      <c r="BR12" s="1887"/>
      <c r="BS12" s="1887"/>
      <c r="BT12" s="1887"/>
      <c r="BU12" s="2890"/>
      <c r="BV12" s="1887"/>
      <c r="BW12" s="2840"/>
      <c r="BX12" s="2840"/>
      <c r="BY12" s="2840"/>
      <c r="BZ12" s="2850"/>
      <c r="CA12" s="17"/>
      <c r="CK12" s="2688">
        <v>12</v>
      </c>
      <c r="CL12" s="2689" t="s">
        <v>1583</v>
      </c>
      <c r="CT12" s="19"/>
      <c r="DD12" s="2880"/>
      <c r="DE12" s="2840"/>
      <c r="DF12" s="2840"/>
      <c r="DG12" s="2840"/>
      <c r="DH12" s="2840"/>
      <c r="DI12" s="2840"/>
      <c r="DJ12" s="2840"/>
      <c r="DK12" s="2840"/>
      <c r="DL12" s="2840"/>
      <c r="DM12" s="2840"/>
      <c r="DN12" s="2840"/>
      <c r="DO12" s="2840"/>
      <c r="DP12" s="2840"/>
      <c r="DQ12" s="2840"/>
      <c r="DR12" s="2840"/>
      <c r="DS12" s="2852" t="s">
        <v>1696</v>
      </c>
      <c r="DT12" s="1886" t="s">
        <v>1774</v>
      </c>
      <c r="DU12" s="1886"/>
      <c r="DV12" s="2844"/>
      <c r="DW12" s="2852" t="s">
        <v>1754</v>
      </c>
      <c r="DY12" s="2840"/>
      <c r="DZ12" s="2840"/>
      <c r="EA12" s="2840"/>
      <c r="EB12" s="2840"/>
      <c r="EC12" s="3530"/>
      <c r="ED12" s="3531"/>
      <c r="EE12" s="3462"/>
      <c r="EF12" s="3462"/>
      <c r="EG12" s="3422"/>
      <c r="EH12" s="3474"/>
      <c r="EI12" s="3474"/>
      <c r="EJ12" s="2840"/>
      <c r="EK12" s="2840"/>
      <c r="EL12" s="2840"/>
      <c r="EM12" s="2840"/>
      <c r="EN12" s="2840"/>
      <c r="EO12" s="2840"/>
      <c r="EP12" s="2840"/>
      <c r="EQ12" s="2840"/>
      <c r="ER12" s="2840"/>
      <c r="ES12" s="2840"/>
      <c r="ET12" s="2840"/>
      <c r="EU12" s="2840"/>
      <c r="EV12" s="2840"/>
      <c r="EW12" s="2840"/>
      <c r="EX12" s="2840"/>
      <c r="FF12" s="2840"/>
      <c r="FG12" s="2840"/>
      <c r="FH12" s="2882"/>
      <c r="FK12" s="48"/>
      <c r="FL12" s="48"/>
      <c r="FM12" s="48"/>
    </row>
    <row r="13" spans="1:173" ht="17.100000000000001" customHeight="1" thickBot="1" x14ac:dyDescent="0.2">
      <c r="A13" s="17"/>
      <c r="B13" s="20"/>
      <c r="C13" s="23"/>
      <c r="Q13" s="23"/>
      <c r="R13" s="24"/>
      <c r="T13" s="2850"/>
      <c r="U13" s="2840"/>
      <c r="V13" s="2889"/>
      <c r="W13" s="1571"/>
      <c r="X13" s="2854"/>
      <c r="Y13" s="2891"/>
      <c r="Z13" s="2854"/>
      <c r="AA13" s="2892"/>
      <c r="AG13" s="2871"/>
      <c r="AH13" s="1571"/>
      <c r="AI13" s="2840"/>
      <c r="AJ13" s="2894"/>
      <c r="AK13" s="1886"/>
      <c r="AL13" s="2840"/>
      <c r="AM13" s="2840"/>
      <c r="AN13" s="2840"/>
      <c r="AO13" s="2840"/>
      <c r="AP13" s="2840"/>
      <c r="AQ13" s="2840"/>
      <c r="AR13" s="7"/>
      <c r="AS13" s="7"/>
      <c r="AT13" s="7"/>
      <c r="AU13" s="7"/>
      <c r="AV13" s="2844"/>
      <c r="AW13" s="2883"/>
      <c r="AX13" s="2883"/>
      <c r="AY13" s="2840"/>
      <c r="AZ13" s="2840"/>
      <c r="BA13" s="2840"/>
      <c r="BB13" s="2840"/>
      <c r="BC13" s="2840"/>
      <c r="BD13" s="2840"/>
      <c r="BE13" s="2840"/>
      <c r="BF13" s="2840"/>
      <c r="BG13" s="2840"/>
      <c r="BH13" s="2840"/>
      <c r="BI13" s="2840"/>
      <c r="BJ13" s="2840"/>
      <c r="BK13" s="2840"/>
      <c r="BL13" s="2840"/>
      <c r="BM13" s="2840"/>
      <c r="BN13" s="2840"/>
      <c r="BO13" s="2840"/>
      <c r="BP13" s="3397"/>
      <c r="BQ13" s="3398"/>
      <c r="BR13" s="3398"/>
      <c r="BS13" s="1887"/>
      <c r="BT13" s="3397"/>
      <c r="BU13" s="3398"/>
      <c r="BV13" s="3398"/>
      <c r="BW13" s="2840"/>
      <c r="BX13" s="2840"/>
      <c r="BY13" s="2840"/>
      <c r="BZ13" s="2850"/>
      <c r="CA13" s="17"/>
      <c r="CG13" s="1932"/>
      <c r="CH13" s="1932"/>
      <c r="CJ13" s="1932"/>
      <c r="CK13" s="1932"/>
      <c r="CT13" s="19"/>
      <c r="CY13" s="1887" t="s">
        <v>47</v>
      </c>
      <c r="DD13" s="2880"/>
      <c r="DE13" s="2889" t="s">
        <v>1766</v>
      </c>
      <c r="DF13" s="1571"/>
      <c r="DG13" s="2854" t="s">
        <v>1769</v>
      </c>
      <c r="DH13" s="2892"/>
      <c r="DI13" s="2854" t="s">
        <v>1770</v>
      </c>
      <c r="DJ13" s="2891"/>
      <c r="DP13" s="2871" t="s">
        <v>1772</v>
      </c>
      <c r="DQ13" s="1571"/>
      <c r="DR13" s="2840"/>
      <c r="DU13" s="1886"/>
      <c r="DV13" s="2840"/>
      <c r="DW13" s="2840"/>
      <c r="DX13" s="2840"/>
      <c r="DY13" s="2840"/>
      <c r="DZ13" s="2840"/>
      <c r="EA13" s="7"/>
      <c r="EB13" s="7"/>
      <c r="EC13" s="2902">
        <f>IF($FK$10=0,$FK13,$FK$10)</f>
        <v>400</v>
      </c>
      <c r="ED13" s="2902">
        <f>IF($FM$10=0,$FM13,$FM$10)</f>
        <v>414</v>
      </c>
      <c r="EE13" s="2844"/>
      <c r="EF13" s="2883"/>
      <c r="EG13" s="2883"/>
      <c r="EH13" s="2902">
        <f>IF($FK$10=0,$FK13,$FK$10)</f>
        <v>400</v>
      </c>
      <c r="EI13" s="2902">
        <f>IF($FM$10=0,$FM13,$FM$10)</f>
        <v>414</v>
      </c>
      <c r="EJ13" s="2840"/>
      <c r="EK13" s="2840"/>
      <c r="EL13" s="2840"/>
      <c r="EM13" s="2840"/>
      <c r="EN13" s="2840"/>
      <c r="EO13" s="2840"/>
      <c r="EP13" s="2840"/>
      <c r="EQ13" s="2840"/>
      <c r="ER13" s="2840"/>
      <c r="ES13" s="2840"/>
      <c r="ET13" s="2840"/>
      <c r="EU13" s="2840"/>
      <c r="EV13" s="2840"/>
      <c r="EW13" s="2840"/>
      <c r="EX13" s="2840"/>
      <c r="FF13" s="2840"/>
      <c r="FG13" s="2840"/>
      <c r="FH13" s="2882"/>
      <c r="FK13" s="2914">
        <v>400</v>
      </c>
      <c r="FL13" s="2915"/>
      <c r="FM13" s="2914">
        <v>414</v>
      </c>
      <c r="FN13" s="2916"/>
      <c r="FO13" s="2916"/>
      <c r="FP13" s="2916"/>
      <c r="FQ13" s="2916"/>
    </row>
    <row r="14" spans="1:173" ht="17.100000000000001" customHeight="1" x14ac:dyDescent="0.55000000000000004">
      <c r="A14" s="17"/>
      <c r="B14" s="20"/>
      <c r="C14" s="23"/>
      <c r="D14" s="23"/>
      <c r="E14" s="23"/>
      <c r="F14" s="23"/>
      <c r="G14" s="23"/>
      <c r="H14" s="23"/>
      <c r="I14" s="23"/>
      <c r="J14" s="23"/>
      <c r="K14" s="23"/>
      <c r="L14" s="23"/>
      <c r="M14" s="23"/>
      <c r="N14" s="23"/>
      <c r="O14" s="23"/>
      <c r="P14" s="23"/>
      <c r="Q14" s="23"/>
      <c r="R14" s="24"/>
      <c r="T14" s="2850"/>
      <c r="U14" s="2840"/>
      <c r="V14" s="2870"/>
      <c r="X14" s="2896"/>
      <c r="Y14" s="2896"/>
      <c r="Z14" s="2897"/>
      <c r="AA14" s="2897"/>
      <c r="AB14" s="1886"/>
      <c r="AG14" s="2892"/>
      <c r="AH14" s="2892"/>
      <c r="AI14" s="2840"/>
      <c r="AJ14" s="2894"/>
      <c r="AK14" s="1886"/>
      <c r="AL14" s="2840"/>
      <c r="AM14" s="2840"/>
      <c r="AN14" s="2894"/>
      <c r="AO14" s="2840"/>
      <c r="AP14" s="2845"/>
      <c r="AQ14" s="2847"/>
      <c r="AR14" s="3392" t="str">
        <f>EA14</f>
        <v/>
      </c>
      <c r="AS14" s="3392"/>
      <c r="AT14" s="3392"/>
      <c r="AU14" s="3393" t="str">
        <f>EC14</f>
        <v/>
      </c>
      <c r="AV14" s="3436" t="str">
        <f>EE14</f>
        <v/>
      </c>
      <c r="AW14" s="3436"/>
      <c r="AX14" s="3436"/>
      <c r="AY14" s="2840"/>
      <c r="AZ14" s="3393" t="str">
        <f>EI14</f>
        <v/>
      </c>
      <c r="BA14" s="3392" t="str">
        <f>EJ14</f>
        <v/>
      </c>
      <c r="BB14" s="3392"/>
      <c r="BC14" s="1759"/>
      <c r="BD14" s="1759"/>
      <c r="BE14" s="2840"/>
      <c r="BF14" s="2840"/>
      <c r="BG14" s="2840"/>
      <c r="BH14" s="2840"/>
      <c r="BI14" s="2840"/>
      <c r="BJ14" s="2840"/>
      <c r="BK14" s="2840"/>
      <c r="BL14" s="2840"/>
      <c r="BM14" s="2840"/>
      <c r="BN14" s="2840"/>
      <c r="BO14" s="2840"/>
      <c r="BP14" s="1887"/>
      <c r="BQ14" s="1887"/>
      <c r="BR14" s="1887"/>
      <c r="BS14" s="1868"/>
      <c r="BT14" s="1887"/>
      <c r="BU14" s="1887"/>
      <c r="BV14" s="1887"/>
      <c r="BW14" s="2840"/>
      <c r="BX14" s="2840"/>
      <c r="BY14" s="2840"/>
      <c r="BZ14" s="2850"/>
      <c r="CA14" s="17"/>
      <c r="CC14" s="2855"/>
      <c r="CD14" s="2855"/>
      <c r="CE14" s="2855"/>
      <c r="CF14" s="2855"/>
      <c r="CG14" s="1932"/>
      <c r="CH14" s="1932"/>
      <c r="CJ14" s="101"/>
      <c r="CK14" s="101"/>
      <c r="CL14" s="2855"/>
      <c r="CT14" s="19"/>
      <c r="DD14" s="2880"/>
      <c r="DE14" s="2900">
        <f ca="1">IF(DG14&lt;=DI14,1,0)</f>
        <v>0</v>
      </c>
      <c r="DG14" s="3396">
        <f ca="1">ACTIONS!$CH$37</f>
        <v>3</v>
      </c>
      <c r="DH14" s="3396"/>
      <c r="DI14" s="3396">
        <v>0</v>
      </c>
      <c r="DJ14" s="3396"/>
      <c r="DK14" s="1886" t="s">
        <v>1761</v>
      </c>
      <c r="DP14" s="3432">
        <f ca="1">ACTIONS!$CH$37</f>
        <v>3</v>
      </c>
      <c r="DQ14" s="3432"/>
      <c r="DR14" s="2840"/>
      <c r="DS14" s="2852" t="s">
        <v>1775</v>
      </c>
      <c r="DT14" s="1886" t="s">
        <v>1785</v>
      </c>
      <c r="DU14" s="2840"/>
      <c r="DV14" s="2840"/>
      <c r="DW14" s="2852" t="s">
        <v>1782</v>
      </c>
      <c r="DX14" s="2840"/>
      <c r="DY14" s="2845"/>
      <c r="DZ14" s="2702" t="str">
        <f>$FK$6</f>
        <v>MIND</v>
      </c>
      <c r="EA14" s="3532" t="str" cm="1">
        <f t="array" ref="EA14">IF(AND($EF$3&gt;=EA16,$EF$3&lt;EB16),
_xlfn.IFS($EQ$9=DZ14,
_xlfn.IFS(
$DE$6=1,$DS$6,
$DE$7=1,$DS$7,
$DE$10=1,$DS$10,
$DE$11=1,$DS$11,
TRUE,$DS$12),
$EQ$9="equal",$DS$9,
TRUE,""
),"")</f>
        <v/>
      </c>
      <c r="EB14" s="3533"/>
      <c r="EC14" s="3464" t="str" cm="1">
        <f t="array" ref="EC14">IF(AND($EF$3&gt;=EA16,$EF$3&lt;EB16),
_xlfn.IFS(
AND($EQ$9=DZ14,$DE$14=1),$DS$14,
AND($EQ$9="equal",$DE$14=1),$DS$15,
TRUE,""
),"")</f>
        <v/>
      </c>
      <c r="EE14" s="3439" t="str" cm="1">
        <f t="array" ref="EE14">IF(AND($EF$3&gt;=EE16,$EF$3&lt;EG16,$EQ$9="equal"),
_xlfn.IFS(
$DE$6=1,$DS$6,
$DE$7=1,$DS$7,
TRUE,""
),"")</f>
        <v/>
      </c>
      <c r="EF14" s="3440"/>
      <c r="EG14" s="3441"/>
      <c r="EH14" s="2840"/>
      <c r="EI14" s="3422" t="str" cm="1">
        <f t="array" ref="EI14">IF(AND($EF$3&gt;=EJ16,$EF$3&lt;EK16),
_xlfn.IFS(
AND($EQ$9=EL14,$DE$14=1),$DS$14,
AND($EQ$9="equal",$DE$14=1),$DS$15,
TRUE,""
),"")</f>
        <v/>
      </c>
      <c r="EJ14" s="3459" t="str" cm="1">
        <f t="array" ref="EJ14">IF(AND($EF$3&gt;=EJ16,$EF$3&lt;EK16),
_xlfn.IFS($EQ$9=EL14,
_xlfn.IFS(
$DE$6=1,$DS$6,
$DE$7=1,$DS$7,
$DE$10=1,$DS$10,
$DE$11=1,$DS$11,
TRUE,$DS$12),
$EQ$9="equal",$DS$9,
TRUE,""
),"")</f>
        <v/>
      </c>
      <c r="EK14" s="3459"/>
      <c r="EL14" s="377" t="str">
        <f>$FO$6</f>
        <v>BODY</v>
      </c>
      <c r="EM14" s="1759"/>
      <c r="EN14" s="2840"/>
      <c r="EO14" s="2840"/>
      <c r="EP14" s="2840"/>
      <c r="EQ14" s="2840"/>
      <c r="ER14" s="2840"/>
      <c r="ES14" s="2840"/>
      <c r="ET14" s="2840"/>
      <c r="EU14" s="2840"/>
      <c r="EV14" s="2840"/>
      <c r="EW14" s="2840"/>
      <c r="EX14" s="2840"/>
      <c r="FF14" s="2840"/>
      <c r="FG14" s="2840"/>
      <c r="FH14" s="2882"/>
      <c r="FK14" s="2917"/>
      <c r="FL14" s="2917"/>
      <c r="FM14" s="2917"/>
      <c r="FN14" s="2916"/>
      <c r="FO14" s="2916"/>
      <c r="FP14" s="2916"/>
      <c r="FQ14" s="2916"/>
    </row>
    <row r="15" spans="1:173" ht="17.100000000000001" customHeight="1" thickBot="1" x14ac:dyDescent="0.6">
      <c r="A15" s="17"/>
      <c r="B15" s="20"/>
      <c r="C15" s="23"/>
      <c r="D15" s="23"/>
      <c r="E15" s="23"/>
      <c r="F15" s="23"/>
      <c r="G15" s="23"/>
      <c r="H15" s="23"/>
      <c r="I15" s="23"/>
      <c r="J15" s="23"/>
      <c r="K15" s="23"/>
      <c r="L15" s="23"/>
      <c r="M15" s="23"/>
      <c r="N15" s="23"/>
      <c r="O15" s="23"/>
      <c r="P15" s="23"/>
      <c r="Q15" s="23"/>
      <c r="R15" s="24"/>
      <c r="T15" s="2850"/>
      <c r="U15" s="2840"/>
      <c r="V15" s="2840"/>
      <c r="W15" s="2840"/>
      <c r="X15" s="2840"/>
      <c r="Y15" s="2840"/>
      <c r="Z15" s="2840"/>
      <c r="AA15" s="2840"/>
      <c r="AB15" s="2840"/>
      <c r="AC15" s="2840"/>
      <c r="AD15" s="2840"/>
      <c r="AE15" s="2840"/>
      <c r="AF15" s="2840"/>
      <c r="AG15" s="2840"/>
      <c r="AH15" s="2840"/>
      <c r="AI15" s="2840"/>
      <c r="AJ15" s="2840"/>
      <c r="AK15" s="2840"/>
      <c r="AL15" s="2840"/>
      <c r="AM15" s="2840"/>
      <c r="AN15" s="2840"/>
      <c r="AO15" s="2840"/>
      <c r="AP15" s="2840"/>
      <c r="AQ15" s="2847"/>
      <c r="AR15" s="3392"/>
      <c r="AS15" s="3392"/>
      <c r="AT15" s="3392"/>
      <c r="AU15" s="3393"/>
      <c r="AV15" s="3436"/>
      <c r="AW15" s="3436"/>
      <c r="AX15" s="3436"/>
      <c r="AY15" s="2840"/>
      <c r="AZ15" s="3393"/>
      <c r="BA15" s="3392"/>
      <c r="BB15" s="3392"/>
      <c r="BC15" s="2844"/>
      <c r="BD15" s="2840"/>
      <c r="BE15" s="2840"/>
      <c r="BF15" s="2840"/>
      <c r="BG15" s="2840"/>
      <c r="BH15" s="2840"/>
      <c r="BI15" s="2840"/>
      <c r="BJ15" s="2840"/>
      <c r="BK15" s="2840"/>
      <c r="BL15" s="2840"/>
      <c r="BM15" s="2840"/>
      <c r="BN15" s="2840"/>
      <c r="BO15" s="2840"/>
      <c r="BP15" s="420"/>
      <c r="BQ15" s="1887"/>
      <c r="BR15" s="3434"/>
      <c r="BS15" s="3435"/>
      <c r="BT15" s="3435"/>
      <c r="BU15" s="1887"/>
      <c r="BV15" s="1887"/>
      <c r="BW15" s="2840"/>
      <c r="BX15" s="2840"/>
      <c r="BY15" s="2840"/>
      <c r="BZ15" s="2850"/>
      <c r="CA15" s="17"/>
      <c r="CC15" s="2855"/>
      <c r="CD15" s="2855"/>
      <c r="CE15" s="2855"/>
      <c r="CF15" s="2855"/>
      <c r="CG15" s="1932"/>
      <c r="CH15" s="1932"/>
      <c r="CJ15" s="101"/>
      <c r="CK15" s="101"/>
      <c r="CL15" s="2855"/>
      <c r="CM15" s="1886"/>
      <c r="DD15" s="2880"/>
      <c r="DE15" s="2840"/>
      <c r="DF15" s="2840"/>
      <c r="DI15" s="2840"/>
      <c r="DJ15" s="2840"/>
      <c r="DK15" s="2840"/>
      <c r="DL15" s="2840"/>
      <c r="DM15" s="2840"/>
      <c r="DN15" s="2840"/>
      <c r="DO15" s="2840"/>
      <c r="DP15" s="2840"/>
      <c r="DQ15" s="2840"/>
      <c r="DR15" s="2840"/>
      <c r="DS15" s="2852" t="s">
        <v>1758</v>
      </c>
      <c r="DT15" s="1886" t="s">
        <v>1789</v>
      </c>
      <c r="DU15" s="2840"/>
      <c r="DV15" s="2840"/>
      <c r="DW15" s="2840"/>
      <c r="DX15" s="2840"/>
      <c r="DY15" s="2840"/>
      <c r="DZ15" s="2847"/>
      <c r="EA15" s="3530"/>
      <c r="EB15" s="3531"/>
      <c r="EC15" s="3422"/>
      <c r="EE15" s="3442"/>
      <c r="EF15" s="3443"/>
      <c r="EG15" s="3444"/>
      <c r="EH15" s="2840"/>
      <c r="EI15" s="3422"/>
      <c r="EJ15" s="3459"/>
      <c r="EK15" s="3459"/>
      <c r="EL15" s="2844"/>
      <c r="EM15" s="2840"/>
      <c r="EN15" s="2840"/>
      <c r="EO15" s="2840"/>
      <c r="EP15" s="2840"/>
      <c r="EQ15" s="2840"/>
      <c r="ER15" s="2840"/>
      <c r="ES15" s="2840"/>
      <c r="ET15" s="2840"/>
      <c r="EU15" s="2840"/>
      <c r="EV15" s="2840"/>
      <c r="EW15" s="2840"/>
      <c r="EX15" s="2840"/>
      <c r="FF15" s="2840"/>
      <c r="FG15" s="2840"/>
      <c r="FH15" s="2882"/>
      <c r="FK15" s="2917"/>
      <c r="FL15" s="2917"/>
      <c r="FM15" s="2917"/>
      <c r="FN15" s="2916"/>
      <c r="FO15" s="2916"/>
      <c r="FP15" s="2916"/>
      <c r="FQ15" s="2916"/>
    </row>
    <row r="16" spans="1:173" ht="17.100000000000001" customHeight="1" x14ac:dyDescent="0.15">
      <c r="A16" s="17"/>
      <c r="B16" s="20"/>
      <c r="C16" s="23"/>
      <c r="D16" s="23"/>
      <c r="E16" s="23"/>
      <c r="F16" s="23"/>
      <c r="G16" s="23"/>
      <c r="H16" s="23"/>
      <c r="I16" s="23"/>
      <c r="J16" s="23"/>
      <c r="K16" s="23"/>
      <c r="L16" s="23"/>
      <c r="M16" s="23"/>
      <c r="N16" s="23"/>
      <c r="O16" s="23"/>
      <c r="P16" s="23"/>
      <c r="Q16" s="23"/>
      <c r="R16" s="24"/>
      <c r="T16" s="2850"/>
      <c r="U16" s="2840"/>
      <c r="V16" s="2840"/>
      <c r="W16" s="2840"/>
      <c r="X16" s="2840"/>
      <c r="Y16" s="2840"/>
      <c r="Z16" s="2840"/>
      <c r="AA16" s="2840"/>
      <c r="AB16" s="2840"/>
      <c r="AC16" s="2840"/>
      <c r="AD16" s="2840"/>
      <c r="AE16" s="2840"/>
      <c r="AF16" s="2840"/>
      <c r="AG16" s="2840"/>
      <c r="AH16" s="2840"/>
      <c r="AI16" s="2840"/>
      <c r="AL16" s="2840"/>
      <c r="AM16" s="2840"/>
      <c r="AO16" s="7"/>
      <c r="AP16" s="7"/>
      <c r="AQ16" s="2846"/>
      <c r="AR16" s="2846"/>
      <c r="AS16" s="2846"/>
      <c r="AT16" s="2846"/>
      <c r="AU16" s="2846"/>
      <c r="AV16" s="2840"/>
      <c r="AW16" s="2840"/>
      <c r="AX16" s="2840"/>
      <c r="AY16" s="2840"/>
      <c r="AZ16" s="2840"/>
      <c r="BA16" s="2840"/>
      <c r="BB16" s="2840"/>
      <c r="BC16" s="2840"/>
      <c r="BD16" s="7"/>
      <c r="BE16" s="7"/>
      <c r="BF16" s="2840"/>
      <c r="BG16" s="2840"/>
      <c r="BH16" s="2840"/>
      <c r="BI16" s="2840"/>
      <c r="BJ16" s="2840"/>
      <c r="BK16" s="2840"/>
      <c r="BL16" s="2840"/>
      <c r="BM16" s="2840"/>
      <c r="BN16" s="2840"/>
      <c r="BO16" s="2840"/>
      <c r="BP16" s="2896"/>
      <c r="BQ16" s="2896"/>
      <c r="BR16" s="2896"/>
      <c r="BS16" s="2896"/>
      <c r="BT16" s="2896"/>
      <c r="BU16" s="2896"/>
      <c r="BV16" s="2896"/>
      <c r="BW16" s="2884"/>
      <c r="BX16" s="2840"/>
      <c r="BY16" s="2840"/>
      <c r="BZ16" s="2850"/>
      <c r="CA16" s="17"/>
      <c r="CC16" s="2855"/>
      <c r="CD16" s="2855"/>
      <c r="CE16" s="2855"/>
      <c r="CF16" s="2855"/>
      <c r="CG16" s="1932"/>
      <c r="CH16" s="1932"/>
      <c r="CJ16" s="101"/>
      <c r="CK16" s="101"/>
      <c r="CL16" s="2855"/>
      <c r="CO16" s="3489">
        <f>IF($CO$25=1,12,$CO$25-1)</f>
        <v>12</v>
      </c>
      <c r="CP16" s="3490"/>
      <c r="CQ16" s="3490"/>
      <c r="CR16" s="3490"/>
      <c r="CS16" s="3490"/>
      <c r="CT16" s="3490"/>
      <c r="CU16" s="3490"/>
      <c r="CV16" s="3490"/>
      <c r="CW16" s="3490"/>
      <c r="CX16" s="3491"/>
      <c r="DD16" s="2880"/>
      <c r="DE16" s="2840"/>
      <c r="DF16" s="2840"/>
      <c r="DI16" s="2840"/>
      <c r="DJ16" s="2840"/>
      <c r="DK16" s="2840"/>
      <c r="DL16" s="2840"/>
      <c r="DM16" s="2840"/>
      <c r="DN16" s="2840"/>
      <c r="DO16" s="2840"/>
      <c r="DP16" s="2840"/>
      <c r="DQ16" s="2840"/>
      <c r="DR16" s="2840"/>
      <c r="DT16" s="1886"/>
      <c r="DU16" s="2840"/>
      <c r="DV16" s="2840"/>
      <c r="DX16" s="7"/>
      <c r="DY16" s="7"/>
      <c r="DZ16" s="2846"/>
      <c r="EA16" s="2902">
        <f>IF($FK$10=0,$FK16,$FK$10)</f>
        <v>350</v>
      </c>
      <c r="EB16" s="2902">
        <f>IF($FM$10=0,$FM16,$FM$10)</f>
        <v>400</v>
      </c>
      <c r="EC16" s="2844"/>
      <c r="ED16" s="2844"/>
      <c r="EE16" s="2902">
        <f>IF($FO$10=0,$FO16,$FO$10)</f>
        <v>350</v>
      </c>
      <c r="EF16" s="2840"/>
      <c r="EG16" s="2902">
        <f>IF($FQ$10=0,$FQ16,$FQ$10)</f>
        <v>414</v>
      </c>
      <c r="EH16" s="2840"/>
      <c r="EI16" s="2840"/>
      <c r="EJ16" s="2902">
        <f>IF($FK$10=0,$FK16,$FK$10)</f>
        <v>350</v>
      </c>
      <c r="EK16" s="2902">
        <f>IF($FM$10=0,$FM16,$FM$10)</f>
        <v>400</v>
      </c>
      <c r="EL16" s="2840"/>
      <c r="EM16" s="7"/>
      <c r="EN16" s="7"/>
      <c r="EO16" s="2840"/>
      <c r="EP16" s="2840"/>
      <c r="EQ16" s="2840"/>
      <c r="ER16" s="2840"/>
      <c r="ES16" s="2840"/>
      <c r="ET16" s="2840"/>
      <c r="EU16" s="2840"/>
      <c r="EV16" s="2840"/>
      <c r="EW16" s="2840"/>
      <c r="EX16" s="2840"/>
      <c r="EY16" s="2840"/>
      <c r="EZ16" s="2840"/>
      <c r="FA16" s="2840"/>
      <c r="FB16" s="2840"/>
      <c r="FC16" s="2840"/>
      <c r="FD16" s="2840"/>
      <c r="FE16" s="2840"/>
      <c r="FF16" s="2884"/>
      <c r="FG16" s="2840"/>
      <c r="FH16" s="2882"/>
      <c r="FK16" s="2914">
        <v>350</v>
      </c>
      <c r="FL16" s="2915"/>
      <c r="FM16" s="2914">
        <v>400</v>
      </c>
      <c r="FN16" s="2916"/>
      <c r="FO16" s="2914">
        <v>350</v>
      </c>
      <c r="FP16" s="2915"/>
      <c r="FQ16" s="2914">
        <v>414</v>
      </c>
    </row>
    <row r="17" spans="1:173" ht="17.100000000000001" customHeight="1" x14ac:dyDescent="0.45">
      <c r="A17" s="17"/>
      <c r="B17" s="20"/>
      <c r="C17" s="23"/>
      <c r="D17" s="23"/>
      <c r="E17" s="23"/>
      <c r="F17" s="23"/>
      <c r="G17" s="23"/>
      <c r="H17" s="23"/>
      <c r="I17" s="23"/>
      <c r="J17" s="23"/>
      <c r="K17" s="23"/>
      <c r="L17" s="23"/>
      <c r="M17" s="23"/>
      <c r="N17" s="23"/>
      <c r="O17" s="23"/>
      <c r="P17" s="23"/>
      <c r="Q17" s="23"/>
      <c r="R17" s="24"/>
      <c r="T17" s="2850"/>
      <c r="U17" s="2840"/>
      <c r="V17" s="2840"/>
      <c r="W17" s="2840"/>
      <c r="X17" s="2840"/>
      <c r="Y17" s="2840"/>
      <c r="Z17" s="2840"/>
      <c r="AA17" s="2840"/>
      <c r="AB17" s="2840"/>
      <c r="AC17" s="2840"/>
      <c r="AD17" s="2840"/>
      <c r="AE17" s="2840"/>
      <c r="AF17" s="2840"/>
      <c r="AG17" s="2840"/>
      <c r="AH17" s="2840"/>
      <c r="AI17" s="2840"/>
      <c r="AL17" s="2840"/>
      <c r="AM17" s="2845"/>
      <c r="AN17" s="2845"/>
      <c r="AO17" s="3404" t="str">
        <f>DX17</f>
        <v/>
      </c>
      <c r="AP17" s="3404"/>
      <c r="AQ17" s="3393" t="str">
        <f>DZ17</f>
        <v/>
      </c>
      <c r="AR17" s="2846"/>
      <c r="AS17" s="2846"/>
      <c r="AT17" s="2846"/>
      <c r="AU17" s="2846"/>
      <c r="AV17" s="2840"/>
      <c r="AW17" s="2840"/>
      <c r="AX17" s="2840"/>
      <c r="AY17" s="2840"/>
      <c r="AZ17" s="2840"/>
      <c r="BA17" s="2840"/>
      <c r="BB17" s="2840"/>
      <c r="BC17" s="2840"/>
      <c r="BD17" s="3393" t="str">
        <f>EM17</f>
        <v/>
      </c>
      <c r="BE17" s="3405" t="str">
        <f>EN17</f>
        <v/>
      </c>
      <c r="BF17" s="3405"/>
      <c r="BG17" s="1759"/>
      <c r="BH17" s="2840"/>
      <c r="BI17" s="2840"/>
      <c r="BJ17" s="2840"/>
      <c r="BK17" s="2840"/>
      <c r="BL17" s="2840"/>
      <c r="BM17" s="2840"/>
      <c r="BN17" s="2840"/>
      <c r="BO17" s="2840"/>
      <c r="BS17" s="2889"/>
      <c r="BW17" s="2840"/>
      <c r="BX17" s="2840"/>
      <c r="BY17" s="2840"/>
      <c r="BZ17" s="2850"/>
      <c r="CA17" s="17"/>
      <c r="CC17" s="2855"/>
      <c r="CD17" s="2856"/>
      <c r="CE17" s="2856"/>
      <c r="CF17" s="2855"/>
      <c r="CG17" s="1932"/>
      <c r="CH17" s="1932"/>
      <c r="CJ17" s="101"/>
      <c r="CK17" s="101"/>
      <c r="CL17" s="2855"/>
      <c r="CO17" s="3489">
        <f>IF($CO$25=1,$CO$26-1,$CO$26)</f>
        <v>1899</v>
      </c>
      <c r="CP17" s="3490"/>
      <c r="CQ17" s="3490"/>
      <c r="CR17" s="3490"/>
      <c r="CS17" s="3490"/>
      <c r="CT17" s="3490"/>
      <c r="CU17" s="3490"/>
      <c r="CV17" s="3490"/>
      <c r="CW17" s="3490"/>
      <c r="CX17" s="3491"/>
      <c r="DD17" s="2880"/>
      <c r="DE17" s="2840"/>
      <c r="DF17" s="2840"/>
      <c r="DI17" s="2840"/>
      <c r="DJ17" s="2840"/>
      <c r="DK17" s="2840"/>
      <c r="DL17" s="3566" t="str" cm="1">
        <f t="array" ref="DL17">IF($EF$3&gt;=$EF$7,
_xlfn.IFS($FA$9=DO19,
_xlfn.IFS(
$DE$10=1,$DW$10,
TRUE,""),
$FA$9="equal",$DX$9,
TRUE,""
),"")</f>
        <v/>
      </c>
      <c r="DM17" s="3567"/>
      <c r="DN17" s="3453" t="str" cm="1">
        <f t="array" ref="DN17">IF($EF$3&gt;=$EF$7,
_xlfn.IFS($FA$9=DO19,
_xlfn.IFS(
$DE$11=1,$DW$11,
TRUE,""),
$FA$9="equal",$DW$9,
TRUE,""
),"")</f>
        <v/>
      </c>
      <c r="DO17" s="3453"/>
      <c r="DP17" s="2840"/>
      <c r="DQ17" s="2840"/>
      <c r="DR17" s="2840"/>
      <c r="DT17" s="3230"/>
      <c r="DU17" s="2840"/>
      <c r="DV17" s="2845"/>
      <c r="DW17" s="2702" t="str">
        <f>$FK$6</f>
        <v>MIND</v>
      </c>
      <c r="DX17" s="3418" t="str" cm="1">
        <f t="array" ref="DX17">IF(AND($EF$3&gt;=DX19,$EF$3&lt;DY19),
_xlfn.IFS($EQ$9=DW17,
_xlfn.IFS(
$DE$6=1,$DS$6,
$DE$7=1,$DS$7,
$DE$10=1,$DS$10,
$DE$11=1,$DS$11,
TRUE,$DS$12),
$EQ$9="equal",$DS$9,
TRUE,""
),"")</f>
        <v/>
      </c>
      <c r="DY17" s="3418"/>
      <c r="DZ17" s="3422" t="str" cm="1">
        <f t="array" ref="DZ17">IF(AND($EF$3&gt;=DX19,$EF$3&lt;DY19),
_xlfn.IFS(
AND($EQ$9=DW17,$DE$14=1),$DS$14,
AND($EQ$9="equal",$DE$14=1),$DS$15,
TRUE,""
),"")</f>
        <v/>
      </c>
      <c r="EA17" s="2846"/>
      <c r="EB17" s="2846"/>
      <c r="EC17" s="2846"/>
      <c r="ED17" s="2846"/>
      <c r="EE17" s="2840"/>
      <c r="EF17" s="2840"/>
      <c r="EG17" s="2840"/>
      <c r="EH17" s="2840"/>
      <c r="EI17" s="2840"/>
      <c r="EJ17" s="2840"/>
      <c r="EK17" s="2840"/>
      <c r="EL17" s="2840"/>
      <c r="EM17" s="3422" t="str" cm="1">
        <f t="array" ref="EM17">IF(AND($EF$3&gt;=EN19,$EF$3&lt;EO19),
_xlfn.IFS(
AND($EQ$9=EP17,$DE$14=1),$DS$14,
AND($EQ$9="equal",$DE$14=1),$DS$15,
TRUE,""
),"")</f>
        <v/>
      </c>
      <c r="EN17" s="3460" t="str" cm="1">
        <f t="array" ref="EN17">IF(AND($EF$3&gt;=EN19,$EF$3&lt;EO19),
_xlfn.IFS($EQ$9=EP17,
_xlfn.IFS(
$DE$6=1,$DS$6,
$DE$7=1,$DS$7,
$DE$10=1,$DS$10,
$DE$11=1,$DS$11,
TRUE,$DS$12),
$EQ$9="equal",$DS$9,
TRUE,""
),"")</f>
        <v/>
      </c>
      <c r="EO17" s="3460"/>
      <c r="EP17" s="377" t="str">
        <f>$FO$6</f>
        <v>BODY</v>
      </c>
      <c r="EQ17" s="2840"/>
      <c r="ER17" s="2840"/>
      <c r="ES17" s="2840"/>
      <c r="EV17" s="2840"/>
      <c r="EW17" s="3452" t="str" cm="1">
        <f t="array" ref="EW17">IF($EF$3&gt;=$EF$7,
_xlfn.IFS($FA$9=EW19,
_xlfn.IFS(
$DE$11=1,$DW$11,
TRUE,""),
$FA$9="equal",$DW$9,
TRUE,""
),"")</f>
        <v/>
      </c>
      <c r="EX17" s="3452"/>
      <c r="EY17" s="3543" t="str" cm="1">
        <f t="array" ref="EY17">IF($EF$3&gt;=$EF$7,
_xlfn.IFS($FA$9=EW19,
_xlfn.IFS(
$DE$10=1,$DW$10,
TRUE,""),
$FA$9="equal",$DX$9,
TRUE,""
),"")</f>
        <v/>
      </c>
      <c r="EZ17" s="3543"/>
      <c r="FF17" s="2840"/>
      <c r="FG17" s="2840"/>
      <c r="FH17" s="2882"/>
      <c r="FK17" s="2918"/>
      <c r="FL17" s="2917"/>
      <c r="FM17" s="2918"/>
      <c r="FN17" s="2916"/>
      <c r="FO17" s="2916"/>
      <c r="FP17" s="2916"/>
      <c r="FQ17" s="2916"/>
    </row>
    <row r="18" spans="1:173" ht="17.100000000000001" customHeight="1" x14ac:dyDescent="0.55000000000000004">
      <c r="A18" s="17"/>
      <c r="B18" s="20"/>
      <c r="C18" s="23"/>
      <c r="D18" s="23"/>
      <c r="E18" s="23"/>
      <c r="F18" s="23"/>
      <c r="G18" s="23"/>
      <c r="H18" s="23"/>
      <c r="I18" s="23"/>
      <c r="J18" s="23"/>
      <c r="K18" s="23"/>
      <c r="L18" s="23"/>
      <c r="M18" s="23"/>
      <c r="N18" s="23"/>
      <c r="O18" s="23"/>
      <c r="P18" s="23"/>
      <c r="Q18" s="23"/>
      <c r="R18" s="24"/>
      <c r="T18" s="2850"/>
      <c r="U18" s="2840"/>
      <c r="V18" s="2840"/>
      <c r="W18" s="2840"/>
      <c r="X18" s="2840"/>
      <c r="Y18" s="2840"/>
      <c r="Z18" s="2840"/>
      <c r="AA18" s="2840"/>
      <c r="AB18" s="2840"/>
      <c r="AC18" s="2840"/>
      <c r="AD18" s="2840"/>
      <c r="AF18" s="2840"/>
      <c r="AG18" s="2840"/>
      <c r="AH18" s="2840"/>
      <c r="AI18" s="2840"/>
      <c r="AJ18" s="2840"/>
      <c r="AK18" s="2840"/>
      <c r="AL18" s="2840"/>
      <c r="AM18" s="2840"/>
      <c r="AN18" s="2847"/>
      <c r="AO18" s="3404"/>
      <c r="AP18" s="3404"/>
      <c r="AQ18" s="3393"/>
      <c r="AR18" s="2840"/>
      <c r="AS18" s="2840"/>
      <c r="AT18" s="2840"/>
      <c r="AU18" s="2840"/>
      <c r="AV18" s="2840"/>
      <c r="AW18" s="2840"/>
      <c r="AX18" s="2840"/>
      <c r="AY18" s="2840"/>
      <c r="AZ18" s="2840"/>
      <c r="BA18" s="2840"/>
      <c r="BB18" s="2840"/>
      <c r="BC18" s="2840"/>
      <c r="BD18" s="3393"/>
      <c r="BE18" s="3405"/>
      <c r="BF18" s="3405"/>
      <c r="BG18" s="2840"/>
      <c r="BH18" s="2840"/>
      <c r="BI18" s="2840"/>
      <c r="BJ18" s="2840"/>
      <c r="BK18" s="2840"/>
      <c r="BL18" s="2840"/>
      <c r="BO18" s="1759"/>
      <c r="BR18" s="3397"/>
      <c r="BS18" s="3398"/>
      <c r="BT18" s="3398"/>
      <c r="BW18" s="2840"/>
      <c r="BX18" s="2840"/>
      <c r="BY18" s="2840"/>
      <c r="BZ18" s="2850"/>
      <c r="CA18" s="17"/>
      <c r="CC18" s="2855"/>
      <c r="CD18" s="2856"/>
      <c r="CE18" s="2856"/>
      <c r="CF18" s="2855"/>
      <c r="CG18" s="1932"/>
      <c r="CH18" s="1932"/>
      <c r="CJ18" s="101"/>
      <c r="CK18" s="101"/>
      <c r="CL18" s="2855"/>
      <c r="DD18" s="2880"/>
      <c r="DE18" s="2840"/>
      <c r="DF18" s="2840"/>
      <c r="DG18" s="2840"/>
      <c r="DH18" s="2840"/>
      <c r="DI18" s="2840"/>
      <c r="DJ18" s="2840"/>
      <c r="DK18" s="3564" t="str" cm="1">
        <f t="array" ref="DK18">IF($EF$3&gt;=414,
_xlfn.IFS(
AND(OR($FA$9=DO19,$FA$9="equal"),$DE$6=1),$DW$6,
AND(OR($FA$9=DO19,$FA$9="equal"),$DE$7=1),$DW$7,
TRUE,""
),"")</f>
        <v/>
      </c>
      <c r="DL18" s="3568"/>
      <c r="DM18" s="3569"/>
      <c r="DN18" s="3453"/>
      <c r="DO18" s="3453"/>
      <c r="DP18" s="3458" t="str" cm="1">
        <f t="array" ref="DP18">IF($EF$3&gt;=414,
_xlfn.IFS(
AND($FA$9=DO19,$DE$14=1),$DW$14,
AND($FA$9="equal",$DE$14=1),$DS$15,
TRUE,""
),"")</f>
        <v/>
      </c>
      <c r="DQ18" s="2840"/>
      <c r="DR18" s="2840"/>
      <c r="DS18" s="2840"/>
      <c r="DT18" s="2840"/>
      <c r="DU18" s="2840"/>
      <c r="DV18" s="2840"/>
      <c r="DW18" s="2847"/>
      <c r="DX18" s="3418"/>
      <c r="DY18" s="3418"/>
      <c r="DZ18" s="3422"/>
      <c r="EA18" s="2840"/>
      <c r="EB18" s="2840"/>
      <c r="EC18" s="2840"/>
      <c r="ED18" s="2840"/>
      <c r="EE18" s="2840"/>
      <c r="EF18" s="2840"/>
      <c r="EG18" s="2840"/>
      <c r="EH18" s="2840"/>
      <c r="EI18" s="2840"/>
      <c r="EJ18" s="2840"/>
      <c r="EK18" s="2840"/>
      <c r="EL18" s="2840"/>
      <c r="EM18" s="3422"/>
      <c r="EN18" s="3460"/>
      <c r="EO18" s="3460"/>
      <c r="EP18" s="2840"/>
      <c r="EQ18" s="2840"/>
      <c r="ER18" s="2840"/>
      <c r="ES18" s="2840"/>
      <c r="EV18" s="3458" t="str" cm="1">
        <f t="array" ref="EV18">IF($EF$3&gt;=414,
_xlfn.IFS(
AND($FA$9=EW19,$DE$14=1),$DW$14,
AND($FA$9="equal",$DE$14=1),$DS$15,
TRUE,""
),"")</f>
        <v/>
      </c>
      <c r="EW18" s="3452"/>
      <c r="EX18" s="3452"/>
      <c r="EY18" s="3543"/>
      <c r="EZ18" s="3543"/>
      <c r="FA18" s="3454" t="str" cm="1">
        <f t="array" ref="FA18">IF($EF$3&gt;=414,
_xlfn.IFS(
AND(OR($FA$9=EW19,$FA$9="equal"),$DE$6=1),$DW$6,
AND(OR($FA$9=EW19,$FA$9="equal"),$DE$7=1),$DW$7,
TRUE,""
),"")</f>
        <v/>
      </c>
      <c r="FF18" s="2840"/>
      <c r="FG18" s="2840"/>
      <c r="FH18" s="2882"/>
      <c r="FK18" s="2917"/>
      <c r="FL18" s="2917"/>
      <c r="FM18" s="2917"/>
      <c r="FN18" s="2916"/>
      <c r="FO18" s="2916"/>
      <c r="FP18" s="2916"/>
      <c r="FQ18" s="2916"/>
    </row>
    <row r="19" spans="1:173" ht="17.100000000000001" customHeight="1" thickBot="1" x14ac:dyDescent="0.6">
      <c r="A19" s="17"/>
      <c r="B19" s="20"/>
      <c r="C19" s="23"/>
      <c r="D19" s="819"/>
      <c r="E19" s="819"/>
      <c r="F19" s="810"/>
      <c r="G19" s="810"/>
      <c r="H19" s="810"/>
      <c r="I19" s="810"/>
      <c r="J19" s="810"/>
      <c r="K19" s="810"/>
      <c r="L19" s="810"/>
      <c r="M19" s="810"/>
      <c r="N19" s="810"/>
      <c r="O19" s="810"/>
      <c r="P19" s="819"/>
      <c r="Q19" s="819"/>
      <c r="R19" s="24"/>
      <c r="T19" s="2850"/>
      <c r="U19" s="2840"/>
      <c r="V19" s="2840"/>
      <c r="W19" s="2840"/>
      <c r="X19" s="2840"/>
      <c r="Y19" s="2840"/>
      <c r="Z19" s="2840"/>
      <c r="AA19" s="2840"/>
      <c r="AB19" s="2840"/>
      <c r="AC19" s="2840"/>
      <c r="AD19" s="2840"/>
      <c r="AF19" s="2840"/>
      <c r="AG19" s="3409" t="str">
        <f>DL17</f>
        <v/>
      </c>
      <c r="AH19" s="3409"/>
      <c r="AI19" s="2840"/>
      <c r="AJ19" s="2847"/>
      <c r="AK19" s="2845"/>
      <c r="AL19" s="2840"/>
      <c r="AM19" s="2840"/>
      <c r="AN19" s="2840"/>
      <c r="AO19" s="2840"/>
      <c r="AP19" s="2840"/>
      <c r="AQ19" s="2840"/>
      <c r="AR19" s="2840"/>
      <c r="AS19" s="2840"/>
      <c r="AT19" s="2840"/>
      <c r="AU19" s="2840"/>
      <c r="AV19" s="2840"/>
      <c r="AW19" s="2840"/>
      <c r="AX19" s="2840"/>
      <c r="AY19" s="2840"/>
      <c r="AZ19" s="2840"/>
      <c r="BA19" s="2840"/>
      <c r="BB19" s="2840"/>
      <c r="BC19" s="2840"/>
      <c r="BD19" s="2840"/>
      <c r="BE19" s="2840"/>
      <c r="BF19" s="2840"/>
      <c r="BG19" s="2840"/>
      <c r="BH19" s="2840"/>
      <c r="BI19" s="7"/>
      <c r="BJ19" s="7"/>
      <c r="BK19" s="3411" t="str">
        <f>EW17</f>
        <v/>
      </c>
      <c r="BL19" s="3411"/>
      <c r="BM19" s="3409" t="str">
        <f>EY17</f>
        <v/>
      </c>
      <c r="BN19" s="3409"/>
      <c r="BO19" s="7"/>
      <c r="BQ19" s="2884"/>
      <c r="BR19" s="7"/>
      <c r="BS19" s="7"/>
      <c r="BT19" s="7"/>
      <c r="BU19" s="7"/>
      <c r="BV19" s="7"/>
      <c r="BY19" s="2840"/>
      <c r="BZ19" s="2850"/>
      <c r="CA19" s="17"/>
      <c r="CC19" s="2855"/>
      <c r="CD19" s="2855"/>
      <c r="CE19" s="2855"/>
      <c r="CF19" s="2855"/>
      <c r="CG19" s="1932"/>
      <c r="CH19" s="1932"/>
      <c r="CJ19" s="101"/>
      <c r="CK19" s="101"/>
      <c r="CL19" s="2855"/>
      <c r="CO19" s="3445" t="s">
        <v>2358</v>
      </c>
      <c r="CP19" s="3446"/>
      <c r="CQ19" s="3446"/>
      <c r="CR19" s="3446"/>
      <c r="CS19" s="3446"/>
      <c r="CT19" s="3446"/>
      <c r="CU19" s="3446"/>
      <c r="CV19" s="3446"/>
      <c r="CW19" s="3446"/>
      <c r="CX19" s="3447"/>
      <c r="DD19" s="2880"/>
      <c r="DE19" s="2840"/>
      <c r="DF19" s="2840"/>
      <c r="DG19" s="2840"/>
      <c r="DH19" s="2840"/>
      <c r="DI19" s="2840"/>
      <c r="DJ19" s="2840"/>
      <c r="DK19" s="3565"/>
      <c r="DL19" s="2840"/>
      <c r="DM19" s="2702"/>
      <c r="DO19" s="2859" t="str">
        <f>$FK$6</f>
        <v>MIND</v>
      </c>
      <c r="DP19" s="3458"/>
      <c r="DS19" s="2847"/>
      <c r="DT19" s="2845"/>
      <c r="DU19" s="2840"/>
      <c r="DV19" s="2840"/>
      <c r="DW19" s="2840"/>
      <c r="DX19" s="2902">
        <f>IF($FK$10=0,$FK19,$FK$10)</f>
        <v>300</v>
      </c>
      <c r="DY19" s="2902">
        <f>IF($FM$10=0,$FM19,$FM$10)</f>
        <v>350</v>
      </c>
      <c r="DZ19" s="2840"/>
      <c r="EA19" s="2840"/>
      <c r="EB19" s="2840"/>
      <c r="EC19" s="2840"/>
      <c r="ED19" s="2840"/>
      <c r="EE19" s="2840"/>
      <c r="EF19" s="2840"/>
      <c r="EG19" s="2840"/>
      <c r="EH19" s="2840"/>
      <c r="EI19" s="2840"/>
      <c r="EJ19" s="2840"/>
      <c r="EK19" s="2840"/>
      <c r="EL19" s="2840"/>
      <c r="EM19" s="2840"/>
      <c r="EN19" s="2902">
        <f>IF($FK$10=0,$FK19,$FK$10)</f>
        <v>300</v>
      </c>
      <c r="EO19" s="2902">
        <f>IF($FM$10=0,$FM19,$FM$10)</f>
        <v>350</v>
      </c>
      <c r="EP19" s="2840"/>
      <c r="EQ19" s="2840"/>
      <c r="ER19" s="7"/>
      <c r="ES19" s="7"/>
      <c r="EV19" s="3458"/>
      <c r="EW19" s="1750" t="str">
        <f>$FO$6</f>
        <v>BODY</v>
      </c>
      <c r="EZ19" s="7"/>
      <c r="FA19" s="3455"/>
      <c r="FB19" s="7"/>
      <c r="FC19" s="7"/>
      <c r="FD19" s="7"/>
      <c r="FE19" s="7"/>
      <c r="FH19" s="2882"/>
      <c r="FK19" s="2914">
        <v>300</v>
      </c>
      <c r="FL19" s="2915"/>
      <c r="FM19" s="2914">
        <v>350</v>
      </c>
      <c r="FN19" s="2916"/>
      <c r="FO19" s="2916"/>
      <c r="FP19" s="2916"/>
      <c r="FQ19" s="2916"/>
    </row>
    <row r="20" spans="1:173" ht="17.100000000000001" customHeight="1" x14ac:dyDescent="0.4">
      <c r="A20" s="17"/>
      <c r="B20" s="20"/>
      <c r="C20" s="23"/>
      <c r="D20" s="819"/>
      <c r="E20" s="819"/>
      <c r="P20" s="819"/>
      <c r="Q20" s="819"/>
      <c r="R20" s="24"/>
      <c r="T20" s="2850"/>
      <c r="U20" s="2840"/>
      <c r="V20" s="2840"/>
      <c r="W20" s="10"/>
      <c r="Z20" s="2840"/>
      <c r="AA20" s="2840"/>
      <c r="AB20" s="2840"/>
      <c r="AC20" s="2840"/>
      <c r="AD20" s="2840"/>
      <c r="AE20" s="2840"/>
      <c r="AF20" s="2840"/>
      <c r="AG20" s="3409"/>
      <c r="AH20" s="3409"/>
      <c r="AI20" s="3410" t="str">
        <f>DN17</f>
        <v/>
      </c>
      <c r="AJ20" s="3410"/>
      <c r="AK20" s="3404" t="str">
        <f>DT20</f>
        <v/>
      </c>
      <c r="AL20" s="3404"/>
      <c r="AM20" s="3393" t="str">
        <f>DV20</f>
        <v/>
      </c>
      <c r="AN20" s="2840"/>
      <c r="AO20" s="2840"/>
      <c r="AP20" s="2840"/>
      <c r="AQ20" s="2840"/>
      <c r="AR20" s="2840"/>
      <c r="AS20" s="2840"/>
      <c r="AT20" s="2840"/>
      <c r="AU20" s="2840"/>
      <c r="AV20" s="3392" t="str">
        <f>EE20</f>
        <v/>
      </c>
      <c r="AW20" s="3392"/>
      <c r="AX20" s="3392"/>
      <c r="AY20" s="2840"/>
      <c r="AZ20" s="2840"/>
      <c r="BA20" s="2840"/>
      <c r="BB20" s="2840"/>
      <c r="BC20" s="2840"/>
      <c r="BD20" s="2840"/>
      <c r="BE20" s="2840"/>
      <c r="BF20" s="2840"/>
      <c r="BG20" s="3393" t="str">
        <f>EP20</f>
        <v/>
      </c>
      <c r="BH20" s="3399" t="str">
        <f>EQ20</f>
        <v/>
      </c>
      <c r="BI20" s="3399"/>
      <c r="BJ20" s="3391" t="str">
        <f>EV18</f>
        <v/>
      </c>
      <c r="BK20" s="3411"/>
      <c r="BL20" s="3411"/>
      <c r="BM20" s="3409"/>
      <c r="BN20" s="3409"/>
      <c r="BO20" s="3400" t="str">
        <f>FA18</f>
        <v/>
      </c>
      <c r="BP20" s="2884"/>
      <c r="BQ20" s="2884"/>
      <c r="BR20" s="7"/>
      <c r="BS20" s="7"/>
      <c r="BT20" s="7"/>
      <c r="BU20" s="7"/>
      <c r="BV20" s="7"/>
      <c r="BY20" s="2840"/>
      <c r="BZ20" s="2850"/>
      <c r="CA20" s="17"/>
      <c r="CC20" s="2855"/>
      <c r="CD20" s="2855"/>
      <c r="CE20" s="2855"/>
      <c r="CF20" s="2855"/>
      <c r="CG20" s="1932"/>
      <c r="CH20" s="1932"/>
      <c r="CJ20" s="101"/>
      <c r="CK20" s="101"/>
      <c r="CL20" s="2855"/>
      <c r="CO20" s="3448" t="str">
        <f>IFERROR(VALUE($CO$16&amp;"/"&amp;$CO$17),"")</f>
        <v/>
      </c>
      <c r="CP20" s="3449"/>
      <c r="CQ20" s="3449"/>
      <c r="CR20" s="3449"/>
      <c r="CS20" s="3449"/>
      <c r="CT20" s="3449"/>
      <c r="CU20" s="3449"/>
      <c r="CV20" s="3449"/>
      <c r="CW20" s="3449"/>
      <c r="CX20" s="3450"/>
      <c r="DD20" s="2880"/>
      <c r="DE20" s="2840"/>
      <c r="DF20" s="10"/>
      <c r="DG20" s="2840"/>
      <c r="DH20" s="2840"/>
      <c r="DI20" s="2840"/>
      <c r="DJ20" s="2840"/>
      <c r="DK20" s="2840"/>
      <c r="DL20" s="2840"/>
      <c r="DS20" s="2702" t="str">
        <f>$FK$6</f>
        <v>MIND</v>
      </c>
      <c r="DT20" s="3418" t="str" cm="1">
        <f t="array" ref="DT20">IF(AND($EF$3&gt;=DT22,$EF$3&lt;DU22),
_xlfn.IFS($EQ$9=DS20,
_xlfn.IFS(
$DE$6=1,$DS$6,
$DE$7=1,$DS$7,
$DE$10=1,$DS$10,
$DE$11=1,$DS$11,
TRUE,$DS$12),
$EQ$9="equal",$DS$9,
TRUE,""
),"")</f>
        <v/>
      </c>
      <c r="DU20" s="3418"/>
      <c r="DV20" s="3422" t="str" cm="1">
        <f t="array" ref="DV20">IF(AND($EF$3&gt;=DT22,$EF$3&lt;DU22),
_xlfn.IFS(
AND($EQ$9=DS20,$DE$14=1),$DS$14,
AND($EQ$9="equal",$DE$14=1),$DS$15,
TRUE,""
),"")</f>
        <v/>
      </c>
      <c r="DW20" s="2840"/>
      <c r="DX20" s="2840"/>
      <c r="DY20" s="2840"/>
      <c r="DZ20" s="2840"/>
      <c r="EA20" s="2840"/>
      <c r="EB20" s="2840"/>
      <c r="EC20" s="2840"/>
      <c r="ED20" s="2840"/>
      <c r="EE20" s="3548" t="str" cm="1">
        <f t="array" ref="EE20">IF(AND($EF$3&gt;=EE22,$EF$3&lt;EG22,$EQ$9="equal"),
_xlfn.IFS(
$DE$6=1,$DS$6,
$DE$7=1,$DS$7,
TRUE,""
),"")</f>
        <v/>
      </c>
      <c r="EF20" s="3549"/>
      <c r="EG20" s="3550"/>
      <c r="EH20" s="2840"/>
      <c r="EI20" s="2840"/>
      <c r="EJ20" s="2840"/>
      <c r="EK20" s="2840"/>
      <c r="EL20" s="2840"/>
      <c r="EM20" s="2840"/>
      <c r="EN20" s="2840"/>
      <c r="EO20" s="2840"/>
      <c r="EP20" s="3422" t="str" cm="1">
        <f t="array" ref="EP20">IF(AND($EF$3&gt;=EQ22,$EF$3&lt;ER22),
_xlfn.IFS(
AND($EQ$9=ES20,$DE$14=1),$DS$14,
AND($EQ$9="equal",$DE$14=1),$DS$15,
TRUE,""
),"")</f>
        <v/>
      </c>
      <c r="EQ20" s="3460" t="str" cm="1">
        <f t="array" ref="EQ20">IF(AND($EF$3&gt;=EQ22,$EF$3&lt;ER22),
_xlfn.IFS($EQ$9=ES20,
_xlfn.IFS(
$DE$6=1,$DS$6,
$DE$7=1,$DS$7,
$DE$10=1,$DS$10,
$DE$11=1,$DS$11,
TRUE,$DS$12),
$EQ$9="equal",$DS$9,
TRUE,""
),"")</f>
        <v/>
      </c>
      <c r="ER20" s="3460"/>
      <c r="ES20" s="377" t="str">
        <f>$FO$6</f>
        <v>BODY</v>
      </c>
      <c r="EY20" s="2884"/>
      <c r="EZ20" s="2884"/>
      <c r="FA20" s="7"/>
      <c r="FB20" s="7"/>
      <c r="FC20" s="7"/>
      <c r="FD20" s="7"/>
      <c r="FE20" s="7"/>
      <c r="FH20" s="2882"/>
      <c r="FK20" s="2917"/>
      <c r="FL20" s="2917"/>
      <c r="FM20" s="2917"/>
      <c r="FN20" s="2916"/>
      <c r="FO20" s="2916"/>
      <c r="FP20" s="2916"/>
      <c r="FQ20" s="2916"/>
    </row>
    <row r="21" spans="1:173" ht="17.100000000000001" customHeight="1" thickBot="1" x14ac:dyDescent="0.25">
      <c r="A21" s="17"/>
      <c r="B21" s="20"/>
      <c r="C21" s="25"/>
      <c r="D21" s="2830"/>
      <c r="E21" s="2831"/>
      <c r="F21" s="3501" t="str">
        <f>IF(OR($BK$49&lt;&gt;"",$BK$49&lt;&gt;0),"LVL","")</f>
        <v>LVL</v>
      </c>
      <c r="G21" s="3501"/>
      <c r="H21" s="3501"/>
      <c r="I21" s="3501"/>
      <c r="J21" s="3501"/>
      <c r="K21" s="3501"/>
      <c r="L21" s="3501"/>
      <c r="M21" s="3501"/>
      <c r="N21" s="3501"/>
      <c r="O21" s="3501"/>
      <c r="P21" s="2830"/>
      <c r="Q21" s="2830"/>
      <c r="R21" s="25"/>
      <c r="T21" s="2850"/>
      <c r="U21" s="2840"/>
      <c r="V21" s="2840"/>
      <c r="W21" s="10"/>
      <c r="Z21" s="2840"/>
      <c r="AA21" s="2840"/>
      <c r="AB21" s="2840"/>
      <c r="AC21" s="2840"/>
      <c r="AD21" s="2840"/>
      <c r="AE21" s="2840"/>
      <c r="AF21" s="3390" t="str">
        <f>DK18</f>
        <v/>
      </c>
      <c r="AG21" s="3409"/>
      <c r="AH21" s="3409"/>
      <c r="AI21" s="3410"/>
      <c r="AJ21" s="3410"/>
      <c r="AK21" s="3404"/>
      <c r="AL21" s="3404"/>
      <c r="AM21" s="3393"/>
      <c r="AN21" s="2840"/>
      <c r="AO21" s="2840"/>
      <c r="AP21" s="2840"/>
      <c r="AQ21" s="2840"/>
      <c r="AR21" s="2840"/>
      <c r="AS21" s="2840"/>
      <c r="AT21" s="2840"/>
      <c r="AU21" s="2840"/>
      <c r="AV21" s="3392"/>
      <c r="AW21" s="3392"/>
      <c r="AX21" s="3392"/>
      <c r="AY21" s="2840"/>
      <c r="AZ21" s="2840"/>
      <c r="BA21" s="2840"/>
      <c r="BB21" s="2840"/>
      <c r="BC21" s="2840"/>
      <c r="BD21" s="2840"/>
      <c r="BE21" s="2840"/>
      <c r="BF21" s="2840"/>
      <c r="BG21" s="3393"/>
      <c r="BH21" s="3399"/>
      <c r="BI21" s="3399"/>
      <c r="BJ21" s="3391"/>
      <c r="BK21" s="7"/>
      <c r="BL21" s="3406" t="str">
        <f>EU22</f>
        <v/>
      </c>
      <c r="BM21" s="3406"/>
      <c r="BN21" s="7"/>
      <c r="BO21" s="3400"/>
      <c r="BP21" s="2884"/>
      <c r="BQ21" s="2884"/>
      <c r="BR21" s="7"/>
      <c r="BS21" s="7"/>
      <c r="BT21" s="7"/>
      <c r="BU21" s="7"/>
      <c r="BY21" s="2840"/>
      <c r="BZ21" s="2850"/>
      <c r="CA21" s="17"/>
      <c r="CC21" s="2855"/>
      <c r="CD21" s="2855"/>
      <c r="CE21" s="2855"/>
      <c r="CF21" s="2855"/>
      <c r="CG21" s="2855"/>
      <c r="CH21" s="2855"/>
      <c r="CI21" s="2855"/>
      <c r="CJ21" s="2855"/>
      <c r="CK21" s="2855"/>
      <c r="CL21" s="2855"/>
      <c r="CM21" s="1886"/>
      <c r="CO21" s="3451" t="s">
        <v>2359</v>
      </c>
      <c r="CP21" s="3451"/>
      <c r="CQ21" s="3451"/>
      <c r="CR21" s="3451"/>
      <c r="CS21" s="3451"/>
      <c r="CT21" s="3451"/>
      <c r="CU21" s="3451"/>
      <c r="CV21" s="3451"/>
      <c r="CW21" s="3451"/>
      <c r="CX21" s="3451"/>
      <c r="DC21" s="2859" t="str">
        <f>$FK$6</f>
        <v>MIND</v>
      </c>
      <c r="DD21" s="2880"/>
      <c r="DE21" s="2840"/>
      <c r="DF21" s="10"/>
      <c r="DG21" s="2840"/>
      <c r="DH21" s="2840"/>
      <c r="DI21" s="2840"/>
      <c r="DJ21" s="2840"/>
      <c r="DK21" s="2840"/>
      <c r="DL21" s="2840"/>
      <c r="DT21" s="3418"/>
      <c r="DU21" s="3418"/>
      <c r="DV21" s="3422"/>
      <c r="DW21" s="2840"/>
      <c r="DX21" s="2840"/>
      <c r="DY21" s="2840"/>
      <c r="DZ21" s="2840"/>
      <c r="EA21" s="2840"/>
      <c r="EB21" s="2840"/>
      <c r="EC21" s="2840"/>
      <c r="ED21" s="2840"/>
      <c r="EE21" s="3551"/>
      <c r="EF21" s="3552"/>
      <c r="EG21" s="3553"/>
      <c r="EH21" s="2840"/>
      <c r="EI21" s="2840"/>
      <c r="EJ21" s="2840"/>
      <c r="EK21" s="2840"/>
      <c r="EL21" s="2840"/>
      <c r="EM21" s="2840"/>
      <c r="EN21" s="2840"/>
      <c r="EO21" s="2840"/>
      <c r="EP21" s="3422"/>
      <c r="EQ21" s="3460"/>
      <c r="ER21" s="3460"/>
      <c r="ET21" s="7"/>
      <c r="EW21" s="7"/>
      <c r="EY21" s="2884"/>
      <c r="EZ21" s="2884"/>
      <c r="FA21" s="7"/>
      <c r="FB21" s="7"/>
      <c r="FC21" s="7"/>
      <c r="FD21" s="7"/>
      <c r="FE21" s="7"/>
      <c r="FH21" s="2882"/>
      <c r="FI21" s="1750" t="str">
        <f>$FO$6</f>
        <v>BODY</v>
      </c>
      <c r="FK21" s="2917"/>
      <c r="FL21" s="2917"/>
      <c r="FM21" s="2917"/>
      <c r="FN21" s="2916"/>
      <c r="FO21" s="2916"/>
      <c r="FP21" s="2916"/>
      <c r="FQ21" s="2916"/>
    </row>
    <row r="22" spans="1:173" ht="17.100000000000001" customHeight="1" x14ac:dyDescent="0.2">
      <c r="A22" s="17"/>
      <c r="B22" s="20"/>
      <c r="C22" s="25"/>
      <c r="D22" s="2830"/>
      <c r="E22" s="2830"/>
      <c r="F22" s="3495" cm="1">
        <f t="array" ref="F22">IF(OR($BK$49&lt;&gt;"",$BK$49&lt;&gt;0),_xlfn.IFS(
LEN(data!$BZ$36)=3,MID(data!$BZ$36,1,1)&amp;" "&amp;MID(data!$BZ$36,2,1)&amp;" "&amp;MID(data!$BZ$36,3,1),
LEN(data!$BZ$36)=2,MID(data!$BZ$36,1,1)&amp;" "&amp;MID(data!$BZ$36,2,1),
LEN(data!$BZ$36)=1,data!$BZ$36,
TRUE,""),
"")</f>
        <v>0</v>
      </c>
      <c r="G22" s="3495"/>
      <c r="H22" s="3495"/>
      <c r="I22" s="3495"/>
      <c r="J22" s="3495"/>
      <c r="K22" s="3495"/>
      <c r="L22" s="3495"/>
      <c r="M22" s="3495"/>
      <c r="N22" s="3495"/>
      <c r="O22" s="3495"/>
      <c r="P22" s="2830"/>
      <c r="Q22" s="2830"/>
      <c r="R22" s="25"/>
      <c r="T22" s="3394" t="str">
        <f>DC22</f>
        <v/>
      </c>
      <c r="U22" s="3394"/>
      <c r="V22" s="2840"/>
      <c r="W22" s="10"/>
      <c r="X22" s="2840"/>
      <c r="Y22" s="2840"/>
      <c r="Z22" s="2840"/>
      <c r="AA22" s="2840"/>
      <c r="AB22" s="2840"/>
      <c r="AC22" s="2840"/>
      <c r="AD22" s="2840"/>
      <c r="AE22" s="2840"/>
      <c r="AF22" s="3390"/>
      <c r="AI22" s="7"/>
      <c r="AJ22" s="3391" t="str">
        <f>DP18</f>
        <v/>
      </c>
      <c r="AK22" s="2840"/>
      <c r="AL22" s="2840"/>
      <c r="AM22" s="2840"/>
      <c r="AN22" s="2840"/>
      <c r="AO22" s="2840"/>
      <c r="AP22" s="2840"/>
      <c r="AQ22" s="2840"/>
      <c r="AR22" s="2840"/>
      <c r="AS22" s="2840"/>
      <c r="AT22" s="2840"/>
      <c r="AU22" s="2840"/>
      <c r="AV22" s="2840"/>
      <c r="AW22" s="2990"/>
      <c r="AX22" s="2840"/>
      <c r="AY22" s="2840"/>
      <c r="AZ22" s="2840"/>
      <c r="BA22" s="2840"/>
      <c r="BB22" s="2840"/>
      <c r="BC22" s="2840"/>
      <c r="BD22" s="2840"/>
      <c r="BE22" s="2840"/>
      <c r="BF22" s="2840"/>
      <c r="BG22" s="2840"/>
      <c r="BH22" s="2840"/>
      <c r="BI22" s="7"/>
      <c r="BJ22" s="7"/>
      <c r="BK22" s="3393" t="str">
        <f>ET22</f>
        <v/>
      </c>
      <c r="BL22" s="3406"/>
      <c r="BM22" s="3406"/>
      <c r="BN22" s="1759"/>
      <c r="BO22" s="7"/>
      <c r="BP22" s="7"/>
      <c r="BQ22" s="7"/>
      <c r="BR22" s="7"/>
      <c r="BS22" s="7"/>
      <c r="BT22" s="7"/>
      <c r="BU22" s="7"/>
      <c r="BY22" s="3555" t="str">
        <f>FH22</f>
        <v/>
      </c>
      <c r="BZ22" s="3555"/>
      <c r="CA22" s="17"/>
      <c r="DC22" s="3560" t="str">
        <f>IF(AND(OR($FA$9=DC21,$FA$9="equal"),AND(BOUNTY!$AG$35&gt;0,OR($BK$52=BOUNTY!$AB$57,$BK$52=BOUNTY!$AZ$57))),"🏦","")</f>
        <v/>
      </c>
      <c r="DD22" s="3561"/>
      <c r="DE22" s="2840"/>
      <c r="DF22" s="10"/>
      <c r="DG22" s="2840"/>
      <c r="DH22" s="2840"/>
      <c r="DI22" s="2840"/>
      <c r="DJ22" s="2840"/>
      <c r="DK22" s="2840"/>
      <c r="DL22" s="2840"/>
      <c r="DM22" s="2840"/>
      <c r="DN22" s="2840"/>
      <c r="DO22" s="2702" t="str">
        <f>$FK$6</f>
        <v>MIND</v>
      </c>
      <c r="DP22" s="3534" t="str" cm="1">
        <f t="array" ref="DP22">IF(AND($EF$3&gt;=DP24,$EF$3&lt;DQ24),
_xlfn.IFS($EQ$9=DO22,
_xlfn.IFS(
$DE$6=1,$DS$6,
$DE$7=1,$DS$7,
$DE$10=1,$DS$10,
$DE$11=1,$DS$11,
TRUE,$DS$12),
$EQ$9="equal",$DS$9,
TRUE,""
),"")</f>
        <v/>
      </c>
      <c r="DQ22" s="3535"/>
      <c r="DR22" s="3556" t="str" cm="1">
        <f t="array" ref="DR22">IF(AND($EF$3&gt;=DP24,$EF$3&lt;DQ24),
_xlfn.IFS(
AND($EQ$9=DO22,$DE$14=1),$DS$14,
AND($EQ$9="equal",$DE$14=1),$DS$15,
TRUE,""
),"")</f>
        <v/>
      </c>
      <c r="DT22" s="2902">
        <f>IF($FK$10=0,$FK22,$FK$10)</f>
        <v>250</v>
      </c>
      <c r="DU22" s="2902">
        <f>IF($FM$10=0,$FM22,$FM$10)</f>
        <v>300</v>
      </c>
      <c r="DV22" s="2840"/>
      <c r="DW22" s="2840"/>
      <c r="DX22" s="2840"/>
      <c r="DY22" s="2840"/>
      <c r="DZ22" s="2840"/>
      <c r="EA22" s="2840"/>
      <c r="EB22" s="2840"/>
      <c r="EC22" s="2840"/>
      <c r="ED22" s="2840"/>
      <c r="EE22" s="2902">
        <f>IF($FO$10=0,$FO22,$FO$10)</f>
        <v>250</v>
      </c>
      <c r="EF22" s="2840"/>
      <c r="EG22" s="2902">
        <f>IF($FQ$10=0,$FQ22,$FQ$10)</f>
        <v>350</v>
      </c>
      <c r="EH22" s="2840"/>
      <c r="EI22" s="2840"/>
      <c r="EJ22" s="2840"/>
      <c r="EK22" s="2840"/>
      <c r="EL22" s="2840"/>
      <c r="EM22" s="2840"/>
      <c r="EN22" s="2840"/>
      <c r="EO22" s="2840"/>
      <c r="EP22" s="2840"/>
      <c r="EQ22" s="2902">
        <f>IF($FK$10=0,$FK22,$FK$10)</f>
        <v>250</v>
      </c>
      <c r="ER22" s="2902">
        <f>IF($FM$10=0,$FM22,$FM$10)</f>
        <v>300</v>
      </c>
      <c r="ES22" s="7"/>
      <c r="ET22" s="3422" t="str" cm="1">
        <f t="array" ref="ET22">IF(AND($EF$3&gt;=EU24,$EF$3&lt;EV24),
_xlfn.IFS(
AND($EQ$9=EW22,$DE$14=1),$DS$14,
AND($EQ$9="equal",$DE$14=1),$DS$15,
TRUE,""
),"")</f>
        <v/>
      </c>
      <c r="EU22" s="3534" t="str" cm="1">
        <f t="array" ref="EU22">IF(AND($EF$3&gt;=EU24,$EF$3&lt;EV24),
_xlfn.IFS($EQ$9=EW22,
_xlfn.IFS(
$DE$6=1,$DS$6,
$DE$7=1,$DS$7,
$DE$10=1,$DS$10,
$DE$11=1,$DS$11,
TRUE,$DS$12),
$EQ$9="equal",$DS$9,
TRUE,""
),"")</f>
        <v/>
      </c>
      <c r="EV22" s="3535"/>
      <c r="EW22" s="377" t="str">
        <f>$FO$6</f>
        <v>BODY</v>
      </c>
      <c r="EX22" s="7"/>
      <c r="EY22" s="7"/>
      <c r="EZ22" s="7"/>
      <c r="FA22" s="7"/>
      <c r="FB22" s="7"/>
      <c r="FC22" s="7"/>
      <c r="FD22" s="7"/>
      <c r="FE22" s="7"/>
      <c r="FG22" s="2702" t="str">
        <f>$FO$6</f>
        <v>BODY</v>
      </c>
      <c r="FH22" s="3544" t="str">
        <f>IF(AND(OR($FA$9=FI21,$FA$9="equal"),AND(BOUNTY!$AG$35&gt;0,OR($BK$52=BOUNTY!$AB$57,$BK$52=BOUNTY!$AZ$57))),"🏦","")</f>
        <v/>
      </c>
      <c r="FI22" s="3545"/>
      <c r="FK22" s="2914">
        <v>250</v>
      </c>
      <c r="FL22" s="2915"/>
      <c r="FM22" s="2914">
        <v>300</v>
      </c>
      <c r="FN22" s="2916"/>
      <c r="FO22" s="2914">
        <v>250</v>
      </c>
      <c r="FP22" s="2915"/>
      <c r="FQ22" s="2914">
        <v>350</v>
      </c>
    </row>
    <row r="23" spans="1:173" ht="17.100000000000001" customHeight="1" thickBot="1" x14ac:dyDescent="0.25">
      <c r="A23" s="17"/>
      <c r="B23" s="20"/>
      <c r="C23" s="25"/>
      <c r="D23" s="25"/>
      <c r="E23" s="25"/>
      <c r="F23" s="3495"/>
      <c r="G23" s="3495"/>
      <c r="H23" s="3495"/>
      <c r="I23" s="3495"/>
      <c r="J23" s="3495"/>
      <c r="K23" s="3495"/>
      <c r="L23" s="3495"/>
      <c r="M23" s="3495"/>
      <c r="N23" s="3495"/>
      <c r="O23" s="3495"/>
      <c r="P23" s="25"/>
      <c r="Q23" s="25"/>
      <c r="R23" s="25"/>
      <c r="T23" s="3394"/>
      <c r="U23" s="3394"/>
      <c r="V23" s="2885"/>
      <c r="X23" s="2840"/>
      <c r="Y23" s="2840"/>
      <c r="Z23" s="2840"/>
      <c r="AA23" s="2840"/>
      <c r="AB23" s="2840"/>
      <c r="AC23" s="2840"/>
      <c r="AD23" s="2840"/>
      <c r="AE23" s="2840"/>
      <c r="AF23" s="3390"/>
      <c r="AG23" s="3392" t="str">
        <f>DP22</f>
        <v/>
      </c>
      <c r="AH23" s="3392"/>
      <c r="AI23" s="3393" t="str">
        <f>DR22</f>
        <v/>
      </c>
      <c r="AJ23" s="3391"/>
      <c r="AK23" s="2840"/>
      <c r="AL23" s="2840"/>
      <c r="AM23" s="2840"/>
      <c r="AN23" s="2840"/>
      <c r="AO23" s="2840"/>
      <c r="AP23" s="2840"/>
      <c r="AQ23" s="2840"/>
      <c r="AR23" s="2840"/>
      <c r="AS23" s="2840"/>
      <c r="AT23" s="2840"/>
      <c r="AU23" s="2840"/>
      <c r="AV23" s="2840"/>
      <c r="AW23" s="2840"/>
      <c r="AX23" s="2840"/>
      <c r="AY23" s="2840"/>
      <c r="AZ23" s="2840"/>
      <c r="BA23" s="2840"/>
      <c r="BB23" s="2840"/>
      <c r="BC23" s="2840"/>
      <c r="BD23" s="2840"/>
      <c r="BE23" s="2840"/>
      <c r="BF23" s="2840"/>
      <c r="BG23" s="2840"/>
      <c r="BH23" s="2840"/>
      <c r="BI23" s="7"/>
      <c r="BJ23" s="7"/>
      <c r="BK23" s="3393"/>
      <c r="BL23" s="3406"/>
      <c r="BM23" s="3406"/>
      <c r="BN23" s="7"/>
      <c r="BO23" s="7"/>
      <c r="BP23" s="7"/>
      <c r="BQ23" s="7"/>
      <c r="BR23" s="7"/>
      <c r="BS23" s="7"/>
      <c r="BT23" s="7"/>
      <c r="BU23" s="7"/>
      <c r="BV23" s="7"/>
      <c r="BX23" s="3390" t="str">
        <f>FG23</f>
        <v/>
      </c>
      <c r="BY23" s="3555"/>
      <c r="BZ23" s="3555"/>
      <c r="CA23" s="17"/>
      <c r="CC23" s="19"/>
      <c r="DC23" s="3562"/>
      <c r="DD23" s="3563"/>
      <c r="DE23" s="377" t="str">
        <f>$FK$6</f>
        <v>MIND</v>
      </c>
      <c r="DG23" s="2840"/>
      <c r="DH23" s="2840"/>
      <c r="DI23" s="2840"/>
      <c r="DJ23" s="2840"/>
      <c r="DK23" s="2840"/>
      <c r="DL23" s="2840"/>
      <c r="DM23" s="2840"/>
      <c r="DN23" s="2840"/>
      <c r="DO23" s="2845"/>
      <c r="DP23" s="3536"/>
      <c r="DQ23" s="3537"/>
      <c r="DR23" s="3557"/>
      <c r="DT23" s="2840"/>
      <c r="DU23" s="2840"/>
      <c r="DV23" s="2840"/>
      <c r="DW23" s="2840"/>
      <c r="DX23" s="2840"/>
      <c r="DY23" s="2840"/>
      <c r="DZ23" s="2840"/>
      <c r="EA23" s="2840"/>
      <c r="EB23" s="2840"/>
      <c r="EC23" s="2840"/>
      <c r="ED23" s="2840"/>
      <c r="EE23" s="2840"/>
      <c r="EF23" s="2840"/>
      <c r="EG23" s="2840"/>
      <c r="EH23" s="2840"/>
      <c r="EI23" s="2840"/>
      <c r="EJ23" s="2840"/>
      <c r="EK23" s="2840"/>
      <c r="EL23" s="2840"/>
      <c r="EM23" s="2840"/>
      <c r="EN23" s="2840"/>
      <c r="EO23" s="2840"/>
      <c r="EP23" s="2840"/>
      <c r="EQ23" s="2840"/>
      <c r="ER23" s="7"/>
      <c r="ES23" s="7"/>
      <c r="ET23" s="3422"/>
      <c r="EU23" s="3536"/>
      <c r="EV23" s="3537"/>
      <c r="EW23" s="7"/>
      <c r="EX23" s="7"/>
      <c r="EY23" s="7"/>
      <c r="EZ23" s="7"/>
      <c r="FA23" s="7"/>
      <c r="FB23" s="7"/>
      <c r="FC23" s="7"/>
      <c r="FD23" s="7"/>
      <c r="FE23" s="7"/>
      <c r="FG23" s="3526" t="str" cm="1">
        <f t="array" ref="FG23">IF($EF$3&lt;414,_xlfn.IFS($FA$9=FG22,$DS$12,$FA$9="equal",$DS$9,TRUE,""),"")</f>
        <v/>
      </c>
      <c r="FH23" s="3546"/>
      <c r="FI23" s="3547"/>
      <c r="FK23" s="2917"/>
      <c r="FL23" s="2917"/>
      <c r="FM23" s="2917"/>
      <c r="FN23" s="2916"/>
      <c r="FO23" s="2916"/>
      <c r="FP23" s="2916"/>
      <c r="FQ23" s="2916"/>
    </row>
    <row r="24" spans="1:173" ht="17.100000000000001" customHeight="1" x14ac:dyDescent="0.2">
      <c r="A24" s="17"/>
      <c r="B24" s="20"/>
      <c r="C24" s="25"/>
      <c r="D24" s="25"/>
      <c r="E24" s="25"/>
      <c r="P24" s="25"/>
      <c r="Q24" s="25"/>
      <c r="R24" s="25"/>
      <c r="T24" s="2392"/>
      <c r="U24" s="2846"/>
      <c r="V24" s="3390" t="str">
        <f>DE24</f>
        <v/>
      </c>
      <c r="X24" s="2840"/>
      <c r="Y24" s="2840"/>
      <c r="Z24" s="2840"/>
      <c r="AA24" s="10"/>
      <c r="AB24" s="2845"/>
      <c r="AC24" s="3406" t="str">
        <f>DL24</f>
        <v/>
      </c>
      <c r="AD24" s="3406"/>
      <c r="AE24" s="3407" t="str">
        <f>DN24</f>
        <v/>
      </c>
      <c r="AF24" s="2845"/>
      <c r="AG24" s="3392"/>
      <c r="AH24" s="3392"/>
      <c r="AI24" s="3393"/>
      <c r="AJ24" s="2840"/>
      <c r="AK24" s="2840"/>
      <c r="AL24" s="3406" t="str">
        <f>DU24</f>
        <v/>
      </c>
      <c r="AM24" s="3406"/>
      <c r="AN24" s="3406"/>
      <c r="AO24" s="2840"/>
      <c r="AP24" s="2840"/>
      <c r="AQ24" s="2840"/>
      <c r="AR24" s="2840"/>
      <c r="AS24" s="2840"/>
      <c r="AT24" s="2840"/>
      <c r="AU24" s="2840"/>
      <c r="AV24" s="2840"/>
      <c r="AW24" s="2840"/>
      <c r="AX24" s="2840"/>
      <c r="AY24" s="2840"/>
      <c r="AZ24" s="2840"/>
      <c r="BA24" s="2840"/>
      <c r="BB24" s="2840"/>
      <c r="BC24" s="2840"/>
      <c r="BD24" s="2840"/>
      <c r="BE24" s="3406" t="str">
        <f>EN24</f>
        <v/>
      </c>
      <c r="BF24" s="3406"/>
      <c r="BG24" s="3406"/>
      <c r="BH24" s="2840"/>
      <c r="BI24" s="2840"/>
      <c r="BJ24" s="2840"/>
      <c r="BK24" s="2840"/>
      <c r="BL24" s="2840"/>
      <c r="BM24" s="2840"/>
      <c r="BN24" s="2840"/>
      <c r="BO24" s="3393" t="str">
        <f>EX24</f>
        <v/>
      </c>
      <c r="BP24" s="3408" t="str">
        <f>EY24</f>
        <v/>
      </c>
      <c r="BQ24" s="3408"/>
      <c r="BR24" s="1759"/>
      <c r="BS24" s="2840"/>
      <c r="BT24" s="2840"/>
      <c r="BU24" s="2840"/>
      <c r="BV24" s="2840"/>
      <c r="BX24" s="3390"/>
      <c r="BY24" s="2840"/>
      <c r="BZ24" s="2850"/>
      <c r="CA24" s="17"/>
      <c r="DD24" s="2886"/>
      <c r="DE24" s="3527" t="str" cm="1">
        <f t="array" ref="DE24">IF($EF$3&lt;414,_xlfn.IFS($FA$9=DE23,$DS$12,$FA$9="equal",$DS$9,TRUE,""),"")</f>
        <v/>
      </c>
      <c r="DG24" s="2840"/>
      <c r="DH24" s="2840"/>
      <c r="DI24" s="2840"/>
      <c r="DJ24" s="10"/>
      <c r="DK24" s="2702" t="str">
        <f>$FK$6</f>
        <v>MIND</v>
      </c>
      <c r="DL24" s="3534" t="str" cm="1">
        <f t="array" ref="DL24">IF(AND($EF$3&gt;=DL26,$EF$3&lt;DM26),
_xlfn.IFS($EQ$9=DK24,
_xlfn.IFS(
$DE$6=1,$DS$6,
$DE$7=1,$DS$7,
$DE$10=1,$DS$10,
$DE$11=1,$DS$11,
TRUE,$DS$12),
$EQ$9="equal",$DS$9,
TRUE,""
),"")</f>
        <v/>
      </c>
      <c r="DM24" s="3535"/>
      <c r="DN24" s="3558" t="str" cm="1">
        <f t="array" ref="DN24">IF(AND($EF$3&gt;=DL26,$EF$3&lt;DM26),
_xlfn.IFS(
AND($EQ$9=DK24,$DE$14=1),$DS$14,
AND($EQ$9="equal",$DE$14=1),$DS$15,
TRUE,""
),"")</f>
        <v/>
      </c>
      <c r="DO24" s="2840"/>
      <c r="DP24" s="2902">
        <f>IF($FK$10=0,$FK24,$FK$10)</f>
        <v>200</v>
      </c>
      <c r="DQ24" s="2902">
        <f>IF($FM$10=0,$FM24,$FM$10)</f>
        <v>250</v>
      </c>
      <c r="DR24" s="2840"/>
      <c r="DS24" s="2840"/>
      <c r="DT24" s="2840"/>
      <c r="DU24" s="3412" t="str" cm="1">
        <f t="array" ref="DU24">IF(AND($EF$3&gt;=DU26,$EF$3&lt;DW26,$EQ$9="equal"),
_xlfn.IFS(
$DE$6=1,$DS$6,
$DE$7=1,$DS$7,
TRUE,""
),"")</f>
        <v/>
      </c>
      <c r="DV24" s="3413"/>
      <c r="DW24" s="3414"/>
      <c r="DX24" s="2840"/>
      <c r="DY24" s="2840"/>
      <c r="DZ24" s="2840"/>
      <c r="EA24" s="2840"/>
      <c r="EB24" s="2840"/>
      <c r="EC24" s="2840"/>
      <c r="ED24" s="2840"/>
      <c r="EH24" s="2840"/>
      <c r="EI24" s="2840"/>
      <c r="EJ24" s="2840"/>
      <c r="EK24" s="2840"/>
      <c r="EL24" s="2840"/>
      <c r="EM24" s="2840"/>
      <c r="EN24" s="3412" t="str" cm="1">
        <f t="array" ref="EN24">IF(AND($EF$3&gt;=EN26,$EF$3&lt;EP26,$EQ$9="equal"),
_xlfn.IFS(
$DE$6=1,$DS$6,
$DE$7=1,$DS$7,
TRUE,""
),"")</f>
        <v/>
      </c>
      <c r="EO24" s="3413"/>
      <c r="EP24" s="3414"/>
      <c r="EQ24" s="2840"/>
      <c r="ER24" s="2840"/>
      <c r="ES24" s="2840"/>
      <c r="ET24" s="2840"/>
      <c r="EU24" s="2902">
        <f>IF($FK$10=0,$FK24,$FK$10)</f>
        <v>200</v>
      </c>
      <c r="EV24" s="2902">
        <f>IF($FM$10=0,$FM24,$FM$10)</f>
        <v>250</v>
      </c>
      <c r="EW24" s="2840"/>
      <c r="EX24" s="3422" t="str" cm="1">
        <f t="array" ref="EX24">IF(AND($EF$3&gt;=EY26,$EF$3&lt;EZ26),
_xlfn.IFS(
AND($EQ$9=FA24,$DE$14=1),$DS$14,
AND($EQ$9="equal",$DE$14=1),$DS$15,
TRUE,""
),"")</f>
        <v/>
      </c>
      <c r="EY24" s="3538" t="str" cm="1">
        <f t="array" ref="EY24">IF(AND($EF$3&gt;=EY26,$EF$3&lt;EZ26),
_xlfn.IFS($EQ$9=FA24,
_xlfn.IFS(
$DE$6=1,$DS$6,
$DE$7=1,$DS$7,
$DE$10=1,$DS$10,
$DE$11=1,$DS$11,
TRUE,$DS$12),
$EQ$9="equal",$DS$9,
TRUE,""
),"")</f>
        <v/>
      </c>
      <c r="EZ24" s="3538"/>
      <c r="FA24" s="377" t="str">
        <f>$FO$6</f>
        <v>BODY</v>
      </c>
      <c r="FB24" s="2840"/>
      <c r="FC24" s="2840"/>
      <c r="FD24" s="2840"/>
      <c r="FE24" s="2840"/>
      <c r="FG24" s="3527"/>
      <c r="FH24" s="2882"/>
      <c r="FK24" s="2914">
        <v>200</v>
      </c>
      <c r="FL24" s="2915"/>
      <c r="FM24" s="2914">
        <v>250</v>
      </c>
      <c r="FN24" s="2916"/>
      <c r="FO24" s="2916"/>
      <c r="FP24" s="2916"/>
      <c r="FQ24" s="2916"/>
    </row>
    <row r="25" spans="1:173" ht="17.100000000000001" customHeight="1" thickBot="1" x14ac:dyDescent="0.6">
      <c r="A25" s="17"/>
      <c r="B25" s="20"/>
      <c r="C25" s="678"/>
      <c r="D25" s="678"/>
      <c r="E25" s="678"/>
      <c r="F25" s="3501" t="str">
        <f>IF($BK$49&gt;=1,IF($BK$45="A C T I V E","DAY","END OF MONTH DAY"),"DAY")</f>
        <v>DAY</v>
      </c>
      <c r="G25" s="3501"/>
      <c r="H25" s="3501"/>
      <c r="I25" s="3501"/>
      <c r="J25" s="3501"/>
      <c r="K25" s="3501"/>
      <c r="L25" s="3501"/>
      <c r="M25" s="3501"/>
      <c r="N25" s="3501"/>
      <c r="O25" s="3501"/>
      <c r="P25" s="678"/>
      <c r="Q25" s="678"/>
      <c r="R25" s="678"/>
      <c r="S25" s="3040"/>
      <c r="T25" s="2392"/>
      <c r="U25" s="2846"/>
      <c r="V25" s="3390"/>
      <c r="W25" s="10"/>
      <c r="X25" s="2840"/>
      <c r="Y25" s="2840"/>
      <c r="Z25" s="2840"/>
      <c r="AA25" s="10"/>
      <c r="AB25" s="2840"/>
      <c r="AC25" s="3406"/>
      <c r="AD25" s="3406"/>
      <c r="AE25" s="3407"/>
      <c r="AF25" s="2840"/>
      <c r="AG25" s="2846"/>
      <c r="AH25" s="2846"/>
      <c r="AI25" s="2840"/>
      <c r="AJ25" s="2840"/>
      <c r="AK25" s="2840"/>
      <c r="AL25" s="3406"/>
      <c r="AM25" s="3406"/>
      <c r="AN25" s="3406"/>
      <c r="AO25" s="2840"/>
      <c r="AP25" s="2840"/>
      <c r="AQ25" s="2840"/>
      <c r="AR25" s="2840"/>
      <c r="AS25" s="2840"/>
      <c r="AT25" s="2840"/>
      <c r="AU25" s="2840"/>
      <c r="AV25" s="2840"/>
      <c r="AW25" s="2840"/>
      <c r="AX25" s="2840"/>
      <c r="AY25" s="2840"/>
      <c r="AZ25" s="2840"/>
      <c r="BA25" s="2840"/>
      <c r="BB25" s="2840"/>
      <c r="BC25" s="2840"/>
      <c r="BD25" s="2840"/>
      <c r="BE25" s="3406"/>
      <c r="BF25" s="3406"/>
      <c r="BG25" s="3406"/>
      <c r="BH25" s="2840"/>
      <c r="BI25" s="2840"/>
      <c r="BJ25" s="2840"/>
      <c r="BK25" s="2840"/>
      <c r="BL25" s="2840"/>
      <c r="BM25" s="2840"/>
      <c r="BN25" s="2840"/>
      <c r="BO25" s="3393"/>
      <c r="BP25" s="3408"/>
      <c r="BQ25" s="3408"/>
      <c r="BR25" s="7"/>
      <c r="BS25" s="2847"/>
      <c r="BT25" s="2847"/>
      <c r="BU25" s="2847"/>
      <c r="BV25" s="2840"/>
      <c r="BW25" s="2840"/>
      <c r="BX25" s="2840"/>
      <c r="BY25" s="2840"/>
      <c r="BZ25" s="2850"/>
      <c r="CA25" s="17"/>
      <c r="CO25" s="3489">
        <f>MONTH($CC$29)</f>
        <v>1</v>
      </c>
      <c r="CP25" s="3490"/>
      <c r="CQ25" s="3490"/>
      <c r="CR25" s="3490"/>
      <c r="CS25" s="3490"/>
      <c r="CT25" s="3490"/>
      <c r="CU25" s="3490"/>
      <c r="CV25" s="3490"/>
      <c r="CW25" s="3490"/>
      <c r="CX25" s="3491"/>
      <c r="DD25" s="2886"/>
      <c r="DE25" s="3527"/>
      <c r="DF25" s="10"/>
      <c r="DG25" s="2840"/>
      <c r="DH25" s="2840"/>
      <c r="DI25" s="2840"/>
      <c r="DJ25" s="10"/>
      <c r="DK25" s="2840"/>
      <c r="DL25" s="3536"/>
      <c r="DM25" s="3537"/>
      <c r="DN25" s="3559"/>
      <c r="DS25" s="2840"/>
      <c r="DT25" s="2840"/>
      <c r="DU25" s="3415"/>
      <c r="DV25" s="3416"/>
      <c r="DW25" s="3417"/>
      <c r="DX25" s="2840"/>
      <c r="DY25" s="2840"/>
      <c r="DZ25" s="2840"/>
      <c r="EA25" s="2840"/>
      <c r="EB25" s="2840"/>
      <c r="EC25" s="2840"/>
      <c r="ED25" s="2840"/>
      <c r="EH25" s="2840"/>
      <c r="EI25" s="2840"/>
      <c r="EJ25" s="2840"/>
      <c r="EK25" s="2840"/>
      <c r="EL25" s="2840"/>
      <c r="EM25" s="2840"/>
      <c r="EN25" s="3415"/>
      <c r="EO25" s="3416"/>
      <c r="EP25" s="3417"/>
      <c r="EQ25" s="2840"/>
      <c r="ER25" s="2840"/>
      <c r="ES25" s="2840"/>
      <c r="ET25" s="2840"/>
      <c r="EU25" s="2840"/>
      <c r="EV25" s="2840"/>
      <c r="EW25" s="2840"/>
      <c r="EX25" s="3422"/>
      <c r="EY25" s="3538"/>
      <c r="EZ25" s="3538"/>
      <c r="FA25" s="7"/>
      <c r="FB25" s="2847"/>
      <c r="FC25" s="2847"/>
      <c r="FD25" s="2847"/>
      <c r="FE25" s="2840"/>
      <c r="FF25" s="2840"/>
      <c r="FG25" s="2840"/>
      <c r="FH25" s="2882"/>
      <c r="FK25" s="2917"/>
      <c r="FL25" s="2917"/>
      <c r="FM25" s="2917"/>
      <c r="FN25" s="2916"/>
      <c r="FO25" s="2916"/>
      <c r="FP25" s="2916"/>
      <c r="FQ25" s="2916"/>
    </row>
    <row r="26" spans="1:173" ht="17.100000000000001" customHeight="1" x14ac:dyDescent="0.55000000000000004">
      <c r="A26" s="17"/>
      <c r="B26" s="1657"/>
      <c r="C26" s="821"/>
      <c r="D26" s="821"/>
      <c r="E26" s="821"/>
      <c r="F26" s="3499">
        <f ca="1">IF($BK$49&gt;=1,IF($BK$45="A C T I V E",_xlfn.DAYS(TODAY(),$F$30),_xlfn.DAYS($CC$58,$F$30)),0)</f>
        <v>0</v>
      </c>
      <c r="G26" s="3499"/>
      <c r="H26" s="3499"/>
      <c r="I26" s="3499"/>
      <c r="J26" s="3499"/>
      <c r="K26" s="3499"/>
      <c r="L26" s="3499"/>
      <c r="M26" s="3499"/>
      <c r="N26" s="3499"/>
      <c r="O26" s="3499"/>
      <c r="P26" s="821"/>
      <c r="Q26" s="821"/>
      <c r="R26" s="821"/>
      <c r="S26" s="203"/>
      <c r="T26" s="2850"/>
      <c r="U26" s="2840"/>
      <c r="V26" s="2840"/>
      <c r="W26" s="10"/>
      <c r="X26" s="2845"/>
      <c r="Y26" s="3404" t="str">
        <f>DH26</f>
        <v/>
      </c>
      <c r="Z26" s="3404"/>
      <c r="AA26" s="3393" t="str">
        <f>DJ26</f>
        <v/>
      </c>
      <c r="AB26" s="2847"/>
      <c r="AC26" s="3406"/>
      <c r="AD26" s="3406"/>
      <c r="AE26" s="3407"/>
      <c r="AF26" s="2840"/>
      <c r="AG26" s="2840"/>
      <c r="AH26" s="2840"/>
      <c r="AI26" s="2840"/>
      <c r="AJ26" s="2840"/>
      <c r="AK26" s="2840"/>
      <c r="AL26" s="2840"/>
      <c r="AM26" s="2840"/>
      <c r="AN26" s="2840"/>
      <c r="AO26" s="2840"/>
      <c r="AP26" s="2840"/>
      <c r="AQ26" s="2840"/>
      <c r="AR26" s="2840"/>
      <c r="AS26" s="2840"/>
      <c r="AT26" s="2840"/>
      <c r="AU26" s="2840"/>
      <c r="AV26" s="2840"/>
      <c r="AW26" s="2840"/>
      <c r="AX26" s="2840"/>
      <c r="AY26" s="2840"/>
      <c r="AZ26" s="2840"/>
      <c r="BA26" s="2840"/>
      <c r="BB26" s="2840"/>
      <c r="BC26" s="2840"/>
      <c r="BD26" s="2840"/>
      <c r="BE26" s="2840"/>
      <c r="BF26" s="2840"/>
      <c r="BG26" s="2840"/>
      <c r="BH26" s="2840"/>
      <c r="BI26" s="2840"/>
      <c r="BJ26" s="2840"/>
      <c r="BK26" s="2840"/>
      <c r="BL26" s="2840"/>
      <c r="BM26" s="2840"/>
      <c r="BN26" s="2840"/>
      <c r="BO26" s="2840"/>
      <c r="BP26" s="2840"/>
      <c r="BQ26" s="2840"/>
      <c r="BR26" s="2840"/>
      <c r="BS26" s="3393" t="str">
        <f>FB26</f>
        <v/>
      </c>
      <c r="BT26" s="3399" t="str">
        <f>FC26</f>
        <v/>
      </c>
      <c r="BU26" s="3399"/>
      <c r="BV26" s="1759"/>
      <c r="BW26" s="2840"/>
      <c r="BX26" s="2840"/>
      <c r="BY26" s="2840"/>
      <c r="BZ26" s="2850"/>
      <c r="CA26" s="17"/>
      <c r="CO26" s="3489">
        <f>YEAR($CC$29)</f>
        <v>1900</v>
      </c>
      <c r="CP26" s="3490"/>
      <c r="CQ26" s="3490"/>
      <c r="CR26" s="3490"/>
      <c r="CS26" s="3490"/>
      <c r="CT26" s="3490"/>
      <c r="CU26" s="3490"/>
      <c r="CV26" s="3490"/>
      <c r="CW26" s="3490"/>
      <c r="CX26" s="3491"/>
      <c r="DD26" s="2880"/>
      <c r="DE26" s="2840"/>
      <c r="DF26" s="10"/>
      <c r="DG26" s="2702" t="str">
        <f>$FK$6</f>
        <v>MIND</v>
      </c>
      <c r="DH26" s="3418" t="str" cm="1">
        <f t="array" ref="DH26">IF(AND($EF$3&gt;=DH28,$EF$3&lt;DI28),
_xlfn.IFS($EQ$9=DG26,
_xlfn.IFS(
$DE$6=1,$DS$6,
$DE$7=1,$DS$7,
$DE$10=1,$DS$10,
$DE$11=1,$DS$11,
TRUE,$DS$12),
$EQ$9="equal",$DS$9,
TRUE,""
),"")</f>
        <v/>
      </c>
      <c r="DI26" s="3418"/>
      <c r="DJ26" s="3422" t="str" cm="1">
        <f t="array" ref="DJ26">IF(AND($EF$3&gt;=DH28,$EF$3&lt;DI28),
_xlfn.IFS(
AND($EQ$9=DG26,$DE$14=1),$DS$14,
AND($EQ$9="equal",$DE$14=1),$DS$15,
TRUE,""
),"")</f>
        <v/>
      </c>
      <c r="DK26" s="2847"/>
      <c r="DL26" s="2902">
        <f>IF($FK$10=0,$FK26,$FK$10)</f>
        <v>150</v>
      </c>
      <c r="DM26" s="2902">
        <f>IF($FM$10=0,$FM26,$FM$10)</f>
        <v>200</v>
      </c>
      <c r="DN26" s="2840"/>
      <c r="DO26" s="2840"/>
      <c r="DP26" s="2840"/>
      <c r="DQ26" s="2840"/>
      <c r="DR26" s="2840"/>
      <c r="DS26" s="2840"/>
      <c r="DT26" s="2840"/>
      <c r="DU26" s="2902">
        <f>IF($FO$10=0,$FO26,$FO$10)</f>
        <v>150</v>
      </c>
      <c r="DV26" s="2840"/>
      <c r="DW26" s="2902">
        <f>IF($FQ$10=0,$FQ26,$FQ$10)</f>
        <v>250</v>
      </c>
      <c r="DX26" s="2840"/>
      <c r="DY26" s="2840"/>
      <c r="DZ26" s="2840"/>
      <c r="EA26" s="2840"/>
      <c r="EB26" s="2840"/>
      <c r="EC26" s="2840"/>
      <c r="ED26" s="2840"/>
      <c r="EH26" s="2840"/>
      <c r="EI26" s="2840"/>
      <c r="EJ26" s="2840"/>
      <c r="EK26" s="2840"/>
      <c r="EL26" s="2840"/>
      <c r="EM26" s="2840"/>
      <c r="EN26" s="2902">
        <f>IF($FO$10=0,$FO26,$FO$10)</f>
        <v>150</v>
      </c>
      <c r="EO26" s="2840"/>
      <c r="EP26" s="2902">
        <f>IF($FQ$10=0,$FQ26,$FQ$10)</f>
        <v>250</v>
      </c>
      <c r="EQ26" s="2840"/>
      <c r="ER26" s="2840"/>
      <c r="ES26" s="2840"/>
      <c r="ET26" s="2840"/>
      <c r="EU26" s="2840"/>
      <c r="EV26" s="2840"/>
      <c r="EW26" s="2840"/>
      <c r="EX26" s="2840"/>
      <c r="EY26" s="2902">
        <f>IF($FK$10=0,$FK26,$FK$10)</f>
        <v>150</v>
      </c>
      <c r="EZ26" s="2902">
        <f>IF($FM$10=0,$FM26,$FM$10)</f>
        <v>200</v>
      </c>
      <c r="FA26" s="2840"/>
      <c r="FB26" s="3422" t="str" cm="1">
        <f t="array" ref="FB26">IF(AND($EF$3&gt;=FC28,$EF$3&lt;FD28),
_xlfn.IFS(
AND($EQ$9=FE26,$DE$14=1),$DS$14,
AND($EQ$9="equal",$DE$14=1),$DS$15,
TRUE,""
),"")</f>
        <v/>
      </c>
      <c r="FC26" s="3539" t="str" cm="1">
        <f t="array" ref="FC26">IF(AND($EF$3&gt;=FC28,$EF$3&lt;FD28),
_xlfn.IFS($EQ$9=FE26,
_xlfn.IFS(
$DE$6=1,$DS$6,
$DE$7=1,$DS$7,
$DE$10=1,$DS$10,
$DE$11=1,$DS$11,
TRUE,$DS$12),
$EQ$9="equal",$DS$9,
TRUE,""
),"")</f>
        <v/>
      </c>
      <c r="FD26" s="3539"/>
      <c r="FE26" s="377" t="str">
        <f>$FO$6</f>
        <v>BODY</v>
      </c>
      <c r="FF26" s="2840"/>
      <c r="FG26" s="2840"/>
      <c r="FH26" s="2882"/>
      <c r="FK26" s="2914">
        <v>150</v>
      </c>
      <c r="FL26" s="2915"/>
      <c r="FM26" s="2914">
        <v>200</v>
      </c>
      <c r="FN26" s="2916"/>
      <c r="FO26" s="2914">
        <v>150</v>
      </c>
      <c r="FP26" s="2915"/>
      <c r="FQ26" s="2914">
        <v>250</v>
      </c>
    </row>
    <row r="27" spans="1:173" ht="17.100000000000001" customHeight="1" thickBot="1" x14ac:dyDescent="0.3">
      <c r="A27" s="17"/>
      <c r="B27" s="20"/>
      <c r="C27" s="678"/>
      <c r="D27" s="678"/>
      <c r="E27" s="678"/>
      <c r="F27" s="3500" t="s">
        <v>1747</v>
      </c>
      <c r="G27" s="3500"/>
      <c r="H27" s="3500"/>
      <c r="I27" s="3500"/>
      <c r="J27" s="3500"/>
      <c r="K27" s="3500"/>
      <c r="L27" s="3500"/>
      <c r="M27" s="3500"/>
      <c r="N27" s="3500"/>
      <c r="O27" s="3500"/>
      <c r="P27" s="678"/>
      <c r="Q27" s="678"/>
      <c r="R27" s="678"/>
      <c r="S27" s="203"/>
      <c r="T27" s="2850"/>
      <c r="U27" s="2840"/>
      <c r="V27" s="2840"/>
      <c r="W27" s="10"/>
      <c r="X27" s="2840"/>
      <c r="Y27" s="3404"/>
      <c r="Z27" s="3404"/>
      <c r="AA27" s="3393"/>
      <c r="AB27" s="2840"/>
      <c r="AC27" s="2840"/>
      <c r="AD27" s="2840"/>
      <c r="AE27" s="2840"/>
      <c r="AF27" s="2840"/>
      <c r="AG27" s="2840"/>
      <c r="AH27" s="2840"/>
      <c r="AI27" s="2840"/>
      <c r="AJ27" s="2840"/>
      <c r="AK27" s="2840"/>
      <c r="AL27" s="2840"/>
      <c r="AM27" s="2990"/>
      <c r="AN27" s="2840"/>
      <c r="AO27" s="2840"/>
      <c r="AP27" s="2840"/>
      <c r="AQ27" s="2840"/>
      <c r="AR27" s="2840"/>
      <c r="AS27" s="2840"/>
      <c r="AT27" s="2840"/>
      <c r="AU27" s="2840"/>
      <c r="AV27" s="2840"/>
      <c r="AW27" s="2990"/>
      <c r="AX27" s="2840"/>
      <c r="AY27" s="2840"/>
      <c r="AZ27" s="2840"/>
      <c r="BA27" s="2840"/>
      <c r="BB27" s="2840"/>
      <c r="BC27" s="2840"/>
      <c r="BD27" s="2840"/>
      <c r="BE27" s="2840"/>
      <c r="BF27" s="2840"/>
      <c r="BG27" s="2990"/>
      <c r="BH27" s="2840"/>
      <c r="BI27" s="2840"/>
      <c r="BJ27" s="2840"/>
      <c r="BK27" s="2840"/>
      <c r="BL27" s="2840"/>
      <c r="BM27" s="2840"/>
      <c r="BN27" s="2840"/>
      <c r="BO27" s="2840"/>
      <c r="BP27" s="2840"/>
      <c r="BQ27" s="2840"/>
      <c r="BR27" s="2840"/>
      <c r="BS27" s="3393"/>
      <c r="BT27" s="3399"/>
      <c r="BU27" s="3399"/>
      <c r="BV27" s="7"/>
      <c r="BW27" s="2840"/>
      <c r="BX27" s="2840"/>
      <c r="BY27" s="2840"/>
      <c r="BZ27" s="2850"/>
      <c r="CA27" s="17"/>
      <c r="DD27" s="2880"/>
      <c r="DE27" s="2840"/>
      <c r="DF27" s="10"/>
      <c r="DG27" s="2840"/>
      <c r="DH27" s="3418"/>
      <c r="DI27" s="3418"/>
      <c r="DJ27" s="3422"/>
      <c r="DK27" s="2840"/>
      <c r="DL27" s="2840"/>
      <c r="DM27" s="2840"/>
      <c r="DN27" s="2840"/>
      <c r="DO27" s="2840"/>
      <c r="DP27" s="2840"/>
      <c r="DQ27" s="2840"/>
      <c r="DR27" s="2840"/>
      <c r="DS27" s="2840"/>
      <c r="DT27" s="2840"/>
      <c r="DU27" s="2840"/>
      <c r="DV27" s="2840"/>
      <c r="DW27" s="2840"/>
      <c r="DX27" s="2840"/>
      <c r="DY27" s="2840"/>
      <c r="DZ27" s="2840"/>
      <c r="EA27" s="2840"/>
      <c r="EB27" s="2840"/>
      <c r="EC27" s="2840"/>
      <c r="ED27" s="2840"/>
      <c r="EE27" s="2840"/>
      <c r="EF27" s="2840"/>
      <c r="EG27" s="2840"/>
      <c r="EH27" s="2840"/>
      <c r="EI27" s="2840"/>
      <c r="EJ27" s="2840"/>
      <c r="EK27" s="2840"/>
      <c r="EL27" s="2840"/>
      <c r="EM27" s="2840"/>
      <c r="EN27" s="2840"/>
      <c r="EO27" s="2840"/>
      <c r="EP27" s="2840"/>
      <c r="EQ27" s="2840"/>
      <c r="ER27" s="2840"/>
      <c r="ES27" s="2840"/>
      <c r="ET27" s="2840"/>
      <c r="EU27" s="2840"/>
      <c r="EV27" s="2840"/>
      <c r="EW27" s="2840"/>
      <c r="EX27" s="2840"/>
      <c r="EY27" s="2840"/>
      <c r="EZ27" s="2840"/>
      <c r="FA27" s="2840"/>
      <c r="FB27" s="3422"/>
      <c r="FC27" s="3539"/>
      <c r="FD27" s="3539"/>
      <c r="FE27" s="7"/>
      <c r="FF27" s="2840"/>
      <c r="FG27" s="2840"/>
      <c r="FH27" s="2882"/>
      <c r="FK27" s="2917"/>
      <c r="FL27" s="2917"/>
      <c r="FM27" s="2917"/>
      <c r="FN27" s="2916"/>
      <c r="FO27" s="2916"/>
      <c r="FP27" s="2916"/>
      <c r="FQ27" s="2916"/>
    </row>
    <row r="28" spans="1:173" ht="17.100000000000001" customHeight="1" x14ac:dyDescent="0.25">
      <c r="A28" s="17"/>
      <c r="B28" s="20"/>
      <c r="C28" s="678"/>
      <c r="D28" s="678"/>
      <c r="E28" s="678"/>
      <c r="F28" s="3506" cm="1">
        <f t="array" ref="F28">IF($BK$49&gt;=1,
_xlfn.IFS(
F26&gt;=402,ROUNDDOWN(F26/365,1)&amp;" YEARS",
AND(F26&gt;=365,F26&lt;402),ROUNDDOWN(F26/365,1)&amp;" YEAR",
AND(F26&gt;=34,F26&lt;365),ROUNDDOWN(F26/(365/12),1)&amp;" MONTHS",
AND(F26&gt;=31,F26&lt;34),ROUNDDOWN(F26/(365/12),1)&amp;" MONTH",
AND(F26&gt;=4,F26&lt;31),ROUNDDOWN(F26/(365/12),1)&amp;" MONTHS",
TRUE,F26*24&amp;" HOURS"),
0)</f>
        <v>0</v>
      </c>
      <c r="G28" s="3506"/>
      <c r="H28" s="3506"/>
      <c r="I28" s="3506"/>
      <c r="J28" s="3506"/>
      <c r="K28" s="3506"/>
      <c r="L28" s="3506"/>
      <c r="M28" s="3506"/>
      <c r="N28" s="3506"/>
      <c r="O28" s="3506"/>
      <c r="P28" s="678"/>
      <c r="Q28" s="678"/>
      <c r="R28" s="678"/>
      <c r="S28" s="203"/>
      <c r="T28" s="2838"/>
      <c r="U28" s="3404" t="str">
        <f>DD28</f>
        <v/>
      </c>
      <c r="V28" s="3404"/>
      <c r="W28" s="3393" t="str">
        <f>DF28</f>
        <v/>
      </c>
      <c r="X28" s="2840"/>
      <c r="Y28" s="2840"/>
      <c r="Z28" s="2840"/>
      <c r="AA28" s="2840"/>
      <c r="AB28" s="2840"/>
      <c r="AC28" s="3406" t="str">
        <f>DL28</f>
        <v/>
      </c>
      <c r="AD28" s="3406"/>
      <c r="AE28" s="3406"/>
      <c r="AF28" s="2840"/>
      <c r="AG28" s="2840"/>
      <c r="AH28" s="2840"/>
      <c r="AI28" s="2840"/>
      <c r="AJ28" s="2840"/>
      <c r="AK28" s="2840"/>
      <c r="AL28" s="2840"/>
      <c r="AM28" s="2840"/>
      <c r="AN28" s="2840"/>
      <c r="AO28" s="2840"/>
      <c r="AP28" s="2840"/>
      <c r="AQ28" s="2840"/>
      <c r="AR28" s="2840"/>
      <c r="AS28" s="2840"/>
      <c r="AT28" s="2840"/>
      <c r="AU28" s="2840"/>
      <c r="AV28" s="2840"/>
      <c r="AW28" s="2840"/>
      <c r="AX28" s="2840"/>
      <c r="AY28" s="2840"/>
      <c r="AZ28" s="2840"/>
      <c r="BA28" s="2840"/>
      <c r="BB28" s="2840"/>
      <c r="BC28" s="2840"/>
      <c r="BD28" s="2840"/>
      <c r="BE28" s="2840"/>
      <c r="BF28" s="2840"/>
      <c r="BG28" s="2840"/>
      <c r="BH28" s="2840"/>
      <c r="BI28" s="2840"/>
      <c r="BJ28" s="2840"/>
      <c r="BK28" s="2840"/>
      <c r="BL28" s="2840"/>
      <c r="BM28" s="2840"/>
      <c r="BN28" s="2840"/>
      <c r="BO28" s="3406" t="str">
        <f>EX28</f>
        <v/>
      </c>
      <c r="BP28" s="3406"/>
      <c r="BQ28" s="3406"/>
      <c r="BR28" s="2840"/>
      <c r="BS28" s="2840"/>
      <c r="BT28" s="2840"/>
      <c r="BU28" s="2840"/>
      <c r="BV28" s="2840"/>
      <c r="BW28" s="3393" t="str">
        <f>FF28</f>
        <v/>
      </c>
      <c r="BX28" s="3403" t="str">
        <f>FG28</f>
        <v/>
      </c>
      <c r="BY28" s="3403"/>
      <c r="BZ28" s="2837"/>
      <c r="CA28" s="17"/>
      <c r="CC28" s="3478" t="s">
        <v>1505</v>
      </c>
      <c r="CD28" s="3479"/>
      <c r="CE28" s="3479"/>
      <c r="CF28" s="3479"/>
      <c r="CG28" s="3479"/>
      <c r="CH28" s="3479"/>
      <c r="CI28" s="3479"/>
      <c r="CJ28" s="3479"/>
      <c r="CK28" s="3479"/>
      <c r="CL28" s="3480"/>
      <c r="CO28" s="3478" t="s">
        <v>1693</v>
      </c>
      <c r="CP28" s="3479"/>
      <c r="CQ28" s="3479"/>
      <c r="CR28" s="3479"/>
      <c r="CS28" s="3479"/>
      <c r="CT28" s="3479"/>
      <c r="CU28" s="3479"/>
      <c r="CV28" s="3479"/>
      <c r="CW28" s="3479"/>
      <c r="CX28" s="3480"/>
      <c r="DC28" s="2702" t="str">
        <f>$FK$6</f>
        <v>MIND</v>
      </c>
      <c r="DD28" s="3419" t="str" cm="1">
        <f t="array" ref="DD28">IF(AND($EF$3&gt;=DD30,$EF$3&lt;DE30),
_xlfn.IFS($EQ$9=DC28,
_xlfn.IFS(
$DE$6=1,$DS$6,
$DE$7=1,$DS$7,
$DE$10=1,$DS$10,
$DE$11=1,$DS$11,
TRUE,$DS$12),
$EQ$9="equal",$DS$9,
TRUE,""
),"")</f>
        <v/>
      </c>
      <c r="DE28" s="3418"/>
      <c r="DF28" s="3422" t="str" cm="1">
        <f t="array" ref="DF28">IF(AND($EF$3&gt;=DD30,$EF$3&lt;DE30),
_xlfn.IFS(
AND($EQ$9=DC28,$DE$14=1),$DS$14,
AND($EQ$9="equal",$DE$14=1),$DS$15,
TRUE,""
),"")</f>
        <v/>
      </c>
      <c r="DG28" s="2840"/>
      <c r="DH28" s="2902">
        <f>IF($FK$10=0,$FK28,$FK$10)</f>
        <v>100</v>
      </c>
      <c r="DI28" s="2902">
        <f>IF($FM$10=0,$FM28,$FM$10)</f>
        <v>150</v>
      </c>
      <c r="DJ28" s="2840"/>
      <c r="DK28" s="2840"/>
      <c r="DL28" s="3412" t="str" cm="1">
        <f t="array" ref="DL28">IF(AND($EF$3&gt;=DL30,$EF$3&lt;DN30,$EQ$9="equal"),
_xlfn.IFS(
$DE$6=1,$DS$6,
$DE$7=1,$DS$7,
TRUE,""
),"")</f>
        <v/>
      </c>
      <c r="DM28" s="3413"/>
      <c r="DN28" s="3414"/>
      <c r="DO28" s="2840"/>
      <c r="DP28" s="2840"/>
      <c r="DQ28" s="2840"/>
      <c r="DR28" s="2840"/>
      <c r="DS28" s="2840"/>
      <c r="DT28" s="2840"/>
      <c r="DU28" s="2840"/>
      <c r="DV28" s="2840"/>
      <c r="DW28" s="2840"/>
      <c r="DX28" s="2840"/>
      <c r="DY28" s="2840"/>
      <c r="DZ28" s="2840"/>
      <c r="EA28" s="2840"/>
      <c r="EB28" s="2840"/>
      <c r="EC28" s="2840"/>
      <c r="ED28" s="2840"/>
      <c r="EE28" s="2840"/>
      <c r="EF28" s="2840"/>
      <c r="EG28" s="2840"/>
      <c r="EH28" s="2840"/>
      <c r="EI28" s="2840"/>
      <c r="EJ28" s="2840"/>
      <c r="EK28" s="2840"/>
      <c r="EL28" s="2840"/>
      <c r="EM28" s="2840"/>
      <c r="EN28" s="2840"/>
      <c r="EO28" s="2840"/>
      <c r="EP28" s="2840"/>
      <c r="EQ28" s="2840"/>
      <c r="ER28" s="2840"/>
      <c r="ES28" s="2840"/>
      <c r="ET28" s="2840"/>
      <c r="EU28" s="2840"/>
      <c r="EV28" s="2840"/>
      <c r="EW28" s="2840"/>
      <c r="EX28" s="3412" t="str" cm="1">
        <f t="array" ref="EX28">IF(AND($EF$3&gt;=EX30,$EF$3&lt;EZ30,$EQ$9="equal"),
_xlfn.IFS(
$DE$6=1,$DS$6,
$DE$7=1,$DS$7,
TRUE,""
),"")</f>
        <v/>
      </c>
      <c r="EY28" s="3413"/>
      <c r="EZ28" s="3414"/>
      <c r="FA28" s="2840"/>
      <c r="FB28" s="2840"/>
      <c r="FC28" s="2902">
        <f>IF($FK$10=0,$FK28,$FK$10)</f>
        <v>100</v>
      </c>
      <c r="FD28" s="2902">
        <f>IF($FM$10=0,$FM28,$FM$10)</f>
        <v>150</v>
      </c>
      <c r="FE28" s="2840"/>
      <c r="FF28" s="3422" t="str" cm="1">
        <f t="array" ref="FF28">IF(AND($EF$3&gt;=FG30,$EF$3&lt;FH30),
_xlfn.IFS(
AND($EQ$9=FI28,$DE$14=1),$DS$14,
AND($EQ$9="equal",$DE$14=1),$DS$15,
TRUE,""
),"")</f>
        <v/>
      </c>
      <c r="FG28" s="3474" t="str" cm="1">
        <f t="array" ref="FG28">IF(AND($EF$3&gt;=FG30,$EF$3&lt;FH30),
_xlfn.IFS($EQ$9=FI28,
_xlfn.IFS(
$DE$6=1,$DS$6,
$DE$7=1,$DS$7,
$DE$10=1,$DS$10,
$DE$11=1,$DS$11,
TRUE,$DS$12),
$EQ$9="equal",$DS$9,
TRUE,""
),"")</f>
        <v/>
      </c>
      <c r="FH28" s="3540"/>
      <c r="FI28" s="377" t="str">
        <f>$FO$6</f>
        <v>BODY</v>
      </c>
      <c r="FK28" s="2914">
        <v>100</v>
      </c>
      <c r="FL28" s="2915"/>
      <c r="FM28" s="2914">
        <v>150</v>
      </c>
      <c r="FN28" s="2916"/>
      <c r="FO28" s="2916"/>
      <c r="FP28" s="2916"/>
      <c r="FQ28" s="2916"/>
    </row>
    <row r="29" spans="1:173" ht="17.100000000000001" customHeight="1" thickBot="1" x14ac:dyDescent="0.3">
      <c r="A29" s="17"/>
      <c r="B29" s="20"/>
      <c r="C29" s="678"/>
      <c r="D29" s="678"/>
      <c r="E29" s="678"/>
      <c r="F29" s="3500" t="str">
        <f>IF($CC$29&lt;&gt;"","SINCE","")</f>
        <v/>
      </c>
      <c r="G29" s="3500"/>
      <c r="H29" s="3500"/>
      <c r="I29" s="3500"/>
      <c r="J29" s="3500"/>
      <c r="K29" s="3500"/>
      <c r="L29" s="3500"/>
      <c r="M29" s="3500"/>
      <c r="N29" s="3500"/>
      <c r="O29" s="3500"/>
      <c r="P29" s="678"/>
      <c r="Q29" s="678"/>
      <c r="R29" s="678"/>
      <c r="S29" s="203"/>
      <c r="T29" s="2850"/>
      <c r="U29" s="3404"/>
      <c r="V29" s="3404"/>
      <c r="W29" s="3393"/>
      <c r="X29" s="2840"/>
      <c r="Y29" s="2840"/>
      <c r="Z29" s="2840"/>
      <c r="AA29" s="2840"/>
      <c r="AB29" s="2840"/>
      <c r="AC29" s="3406"/>
      <c r="AD29" s="3406"/>
      <c r="AE29" s="3406"/>
      <c r="AF29" s="2840"/>
      <c r="AG29" s="2840"/>
      <c r="AH29" s="2840"/>
      <c r="AI29" s="2840"/>
      <c r="AJ29" s="2840"/>
      <c r="AK29" s="2840"/>
      <c r="AL29" s="2840"/>
      <c r="AM29" s="2840"/>
      <c r="AN29" s="2840"/>
      <c r="AO29" s="2840"/>
      <c r="AP29" s="2840"/>
      <c r="AQ29" s="2840"/>
      <c r="AR29" s="2840"/>
      <c r="AS29" s="2840"/>
      <c r="AT29" s="2840"/>
      <c r="AU29" s="2840"/>
      <c r="AV29" s="2840"/>
      <c r="AW29" s="2840"/>
      <c r="AX29" s="2840"/>
      <c r="AY29" s="2840"/>
      <c r="AZ29" s="2840"/>
      <c r="BA29" s="2840"/>
      <c r="BB29" s="2840"/>
      <c r="BC29" s="2840"/>
      <c r="BD29" s="2840"/>
      <c r="BE29" s="2840"/>
      <c r="BF29" s="2840"/>
      <c r="BG29" s="2840"/>
      <c r="BH29" s="2840"/>
      <c r="BI29" s="2840"/>
      <c r="BJ29" s="2840"/>
      <c r="BK29" s="2840"/>
      <c r="BL29" s="2840"/>
      <c r="BM29" s="2840"/>
      <c r="BN29" s="2840"/>
      <c r="BO29" s="3406"/>
      <c r="BP29" s="3406"/>
      <c r="BQ29" s="3406"/>
      <c r="BR29" s="2840"/>
      <c r="BS29" s="2840"/>
      <c r="BT29" s="2840"/>
      <c r="BU29" s="2840"/>
      <c r="BV29" s="2840"/>
      <c r="BW29" s="3393"/>
      <c r="BX29" s="3403"/>
      <c r="BY29" s="3403"/>
      <c r="BZ29" s="2392"/>
      <c r="CA29" s="17"/>
      <c r="CC29" s="3481"/>
      <c r="CD29" s="3482"/>
      <c r="CE29" s="3482"/>
      <c r="CF29" s="3482"/>
      <c r="CG29" s="3482"/>
      <c r="CH29" s="3482"/>
      <c r="CI29" s="3482"/>
      <c r="CJ29" s="3482"/>
      <c r="CK29" s="3482"/>
      <c r="CL29" s="3483"/>
      <c r="CO29" s="3484">
        <f>VALUE($CO$25&amp;"/"&amp;$CO$26)</f>
        <v>1</v>
      </c>
      <c r="CP29" s="3485"/>
      <c r="CQ29" s="3485"/>
      <c r="CR29" s="3485"/>
      <c r="CS29" s="3485"/>
      <c r="CT29" s="3485"/>
      <c r="CU29" s="3485"/>
      <c r="CV29" s="3485"/>
      <c r="CW29" s="3485"/>
      <c r="CX29" s="3486"/>
      <c r="DD29" s="3420"/>
      <c r="DE29" s="3421"/>
      <c r="DF29" s="3423"/>
      <c r="DG29" s="2887"/>
      <c r="DH29" s="2887"/>
      <c r="DI29" s="2887"/>
      <c r="DJ29" s="2887"/>
      <c r="DK29" s="2887"/>
      <c r="DL29" s="3415"/>
      <c r="DM29" s="3416"/>
      <c r="DN29" s="3417"/>
      <c r="DO29" s="2887"/>
      <c r="DP29" s="2887"/>
      <c r="DQ29" s="2887"/>
      <c r="DR29" s="2887"/>
      <c r="DS29" s="2887"/>
      <c r="DT29" s="2887"/>
      <c r="DU29" s="2887"/>
      <c r="DV29" s="2887"/>
      <c r="DW29" s="2887"/>
      <c r="DX29" s="2887"/>
      <c r="DY29" s="2887"/>
      <c r="DZ29" s="2887"/>
      <c r="EA29" s="2887"/>
      <c r="EB29" s="2887"/>
      <c r="EC29" s="2887"/>
      <c r="ED29" s="2887"/>
      <c r="EE29" s="2887"/>
      <c r="EF29" s="2887"/>
      <c r="EG29" s="2887"/>
      <c r="EH29" s="2887"/>
      <c r="EI29" s="2887"/>
      <c r="EJ29" s="2887"/>
      <c r="EK29" s="2887"/>
      <c r="EL29" s="2887"/>
      <c r="EM29" s="2887"/>
      <c r="EN29" s="2887"/>
      <c r="EO29" s="2887"/>
      <c r="EP29" s="2887"/>
      <c r="EQ29" s="2887"/>
      <c r="ER29" s="2887"/>
      <c r="ES29" s="2887"/>
      <c r="ET29" s="2887"/>
      <c r="EU29" s="2887"/>
      <c r="EV29" s="2887"/>
      <c r="EW29" s="2887"/>
      <c r="EX29" s="3415"/>
      <c r="EY29" s="3416"/>
      <c r="EZ29" s="3417"/>
      <c r="FA29" s="2887"/>
      <c r="FB29" s="2887"/>
      <c r="FC29" s="2887"/>
      <c r="FD29" s="2887"/>
      <c r="FE29" s="2887"/>
      <c r="FF29" s="3423"/>
      <c r="FG29" s="3541"/>
      <c r="FH29" s="3542"/>
      <c r="FK29" s="2917"/>
      <c r="FL29" s="2917"/>
      <c r="FM29" s="2917"/>
      <c r="FN29" s="2916"/>
      <c r="FO29" s="2916"/>
      <c r="FP29" s="2916"/>
      <c r="FQ29" s="2916"/>
    </row>
    <row r="30" spans="1:173" ht="17.100000000000001" customHeight="1" x14ac:dyDescent="0.25">
      <c r="A30" s="17"/>
      <c r="B30" s="20"/>
      <c r="C30" s="678"/>
      <c r="D30" s="678"/>
      <c r="E30" s="678"/>
      <c r="F30" s="3498" t="str">
        <f>IF($CC$29&lt;&gt;"",$CC$29,"")</f>
        <v/>
      </c>
      <c r="G30" s="3498"/>
      <c r="H30" s="3498"/>
      <c r="I30" s="3498"/>
      <c r="J30" s="3498"/>
      <c r="K30" s="3498"/>
      <c r="L30" s="3498"/>
      <c r="M30" s="3498"/>
      <c r="N30" s="3498"/>
      <c r="O30" s="3498"/>
      <c r="P30" s="678"/>
      <c r="Q30" s="678"/>
      <c r="R30" s="678"/>
      <c r="S30" s="203"/>
      <c r="T30" s="2850"/>
      <c r="U30" s="2840"/>
      <c r="V30" s="2840"/>
      <c r="W30" s="2840"/>
      <c r="X30" s="2840"/>
      <c r="Y30" s="2840"/>
      <c r="Z30" s="2840"/>
      <c r="AA30" s="2840"/>
      <c r="AB30" s="2840"/>
      <c r="AC30" s="2840"/>
      <c r="AD30" s="2840"/>
      <c r="AE30" s="2840"/>
      <c r="AF30" s="2840"/>
      <c r="AG30" s="2840"/>
      <c r="AH30" s="2840"/>
      <c r="AI30" s="2840"/>
      <c r="AJ30" s="2840"/>
      <c r="AK30" s="2840"/>
      <c r="AL30" s="2840"/>
      <c r="AM30" s="2840"/>
      <c r="AN30" s="2840"/>
      <c r="AO30" s="2840"/>
      <c r="AP30" s="2840"/>
      <c r="AQ30" s="2840"/>
      <c r="AR30" s="2840"/>
      <c r="AS30" s="2840"/>
      <c r="AT30" s="2840"/>
      <c r="AU30" s="2840"/>
      <c r="AV30" s="2840"/>
      <c r="AW30" s="2840"/>
      <c r="AX30" s="2840"/>
      <c r="AY30" s="2840"/>
      <c r="AZ30" s="2840"/>
      <c r="BA30" s="2840"/>
      <c r="BB30" s="2840"/>
      <c r="BC30" s="2840"/>
      <c r="BD30" s="2840"/>
      <c r="BE30" s="2840"/>
      <c r="BF30" s="2840"/>
      <c r="BG30" s="2840"/>
      <c r="BH30" s="2840"/>
      <c r="BI30" s="2840"/>
      <c r="BJ30" s="2840"/>
      <c r="BK30" s="2840"/>
      <c r="BL30" s="2840"/>
      <c r="BM30" s="2840"/>
      <c r="BN30" s="2840"/>
      <c r="BO30" s="2840"/>
      <c r="BP30" s="2840"/>
      <c r="BQ30" s="2840"/>
      <c r="BR30" s="2840"/>
      <c r="BS30" s="2840"/>
      <c r="BT30" s="2840"/>
      <c r="BU30" s="2840"/>
      <c r="BV30" s="2840"/>
      <c r="BW30" s="2840"/>
      <c r="BX30" s="2840"/>
      <c r="BY30" s="2840"/>
      <c r="BZ30" s="2850"/>
      <c r="CA30" s="17"/>
      <c r="CO30" s="3451" t="s">
        <v>1694</v>
      </c>
      <c r="CP30" s="3451"/>
      <c r="CQ30" s="3451"/>
      <c r="CR30" s="3451"/>
      <c r="CS30" s="3451"/>
      <c r="CT30" s="3451"/>
      <c r="CU30" s="3451"/>
      <c r="CV30" s="3451"/>
      <c r="CW30" s="3451"/>
      <c r="CX30" s="3451"/>
      <c r="DD30" s="2902">
        <f>IF($FK$10=0,$FK30,$FK$10)</f>
        <v>50</v>
      </c>
      <c r="DE30" s="2902">
        <f>IF($FM$10=0,$FM30,$FM$10)</f>
        <v>100</v>
      </c>
      <c r="DF30" s="496"/>
      <c r="DG30" s="496"/>
      <c r="DH30" s="496"/>
      <c r="DI30" s="496"/>
      <c r="DJ30" s="2903"/>
      <c r="DK30" s="496"/>
      <c r="DL30" s="2902">
        <f>IF($FO$10=0,$FO30,$FO$10)</f>
        <v>50</v>
      </c>
      <c r="DM30" s="2840"/>
      <c r="DN30" s="2902">
        <f>IF($FQ$10=0,$FQ30,$FQ$10)</f>
        <v>150</v>
      </c>
      <c r="DO30" s="496"/>
      <c r="DP30" s="496"/>
      <c r="DQ30" s="496"/>
      <c r="DR30" s="496"/>
      <c r="DS30" s="496"/>
      <c r="DT30" s="496"/>
      <c r="DU30" s="496"/>
      <c r="DV30" s="496"/>
      <c r="DW30" s="496"/>
      <c r="DX30" s="496"/>
      <c r="DY30" s="496"/>
      <c r="DZ30" s="496"/>
      <c r="EA30" s="496"/>
      <c r="EB30" s="496"/>
      <c r="EC30" s="496"/>
      <c r="ED30" s="496"/>
      <c r="EE30" s="496"/>
      <c r="EF30" s="496"/>
      <c r="EG30" s="496"/>
      <c r="EH30" s="496"/>
      <c r="EI30" s="496"/>
      <c r="EJ30" s="496"/>
      <c r="EK30" s="496"/>
      <c r="EL30" s="496"/>
      <c r="EM30" s="496"/>
      <c r="EN30" s="496"/>
      <c r="EO30" s="496"/>
      <c r="EP30" s="496"/>
      <c r="EQ30" s="496"/>
      <c r="ER30" s="496"/>
      <c r="ES30" s="496"/>
      <c r="ET30" s="496"/>
      <c r="EU30" s="496"/>
      <c r="EV30" s="496"/>
      <c r="EW30" s="496"/>
      <c r="EX30" s="2902">
        <f>IF($FO$10=0,$FO30,$FO$10)</f>
        <v>50</v>
      </c>
      <c r="EY30" s="2840"/>
      <c r="EZ30" s="2902">
        <f>IF($FQ$10=0,$FQ30,$FQ$10)</f>
        <v>150</v>
      </c>
      <c r="FA30" s="496"/>
      <c r="FB30" s="496"/>
      <c r="FC30" s="496"/>
      <c r="FD30" s="496"/>
      <c r="FE30" s="496"/>
      <c r="FF30" s="496"/>
      <c r="FG30" s="2902">
        <f>IF($FK$10=0,$FK30,$FK$10)</f>
        <v>50</v>
      </c>
      <c r="FH30" s="2902">
        <f>IF($FM$10=0,$FM30,$FM$10)</f>
        <v>100</v>
      </c>
      <c r="FK30" s="2914">
        <v>50</v>
      </c>
      <c r="FL30" s="2915"/>
      <c r="FM30" s="2914">
        <v>100</v>
      </c>
      <c r="FN30" s="2916"/>
      <c r="FO30" s="2914">
        <v>50</v>
      </c>
      <c r="FP30" s="2915"/>
      <c r="FQ30" s="2914">
        <v>150</v>
      </c>
    </row>
    <row r="31" spans="1:173" ht="17.100000000000001" customHeight="1" x14ac:dyDescent="0.15">
      <c r="A31" s="17"/>
      <c r="B31" s="20"/>
      <c r="C31" s="25"/>
      <c r="D31" s="25"/>
      <c r="E31" s="25"/>
      <c r="Q31" s="25"/>
      <c r="R31" s="25"/>
      <c r="T31" s="2850"/>
      <c r="U31" s="2840"/>
      <c r="V31" s="2840"/>
      <c r="W31" s="2840"/>
      <c r="X31" s="2840"/>
      <c r="Y31" s="2840"/>
      <c r="Z31" s="2840"/>
      <c r="AA31" s="2840"/>
      <c r="AB31" s="2840"/>
      <c r="AC31" s="2840"/>
      <c r="AD31" s="2840"/>
      <c r="AE31" s="2840"/>
      <c r="AF31" s="2840"/>
      <c r="AG31" s="2840"/>
      <c r="AH31" s="2840"/>
      <c r="AI31" s="2840"/>
      <c r="AJ31" s="2840"/>
      <c r="AK31" s="2840"/>
      <c r="AL31" s="2840"/>
      <c r="AM31" s="2840"/>
      <c r="AN31" s="2840"/>
      <c r="AO31" s="2840"/>
      <c r="AP31" s="2840"/>
      <c r="AQ31" s="2840"/>
      <c r="AR31" s="2840"/>
      <c r="AS31" s="2840"/>
      <c r="AT31" s="2840"/>
      <c r="AU31" s="2840"/>
      <c r="AV31" s="2840"/>
      <c r="AW31" s="2840"/>
      <c r="AX31" s="2840"/>
      <c r="AY31" s="2840"/>
      <c r="AZ31" s="2840"/>
      <c r="BA31" s="2840"/>
      <c r="BB31" s="2840"/>
      <c r="BC31" s="2840"/>
      <c r="BD31" s="2840"/>
      <c r="BE31" s="2840"/>
      <c r="BF31" s="2840"/>
      <c r="BG31" s="2840"/>
      <c r="BH31" s="2840"/>
      <c r="BI31" s="2840"/>
      <c r="BJ31" s="2840"/>
      <c r="BK31" s="2840"/>
      <c r="BL31" s="2840"/>
      <c r="BM31" s="2840"/>
      <c r="BN31" s="2840"/>
      <c r="BO31" s="2840"/>
      <c r="BP31" s="2840"/>
      <c r="BQ31" s="2840"/>
      <c r="BR31" s="2840"/>
      <c r="BS31" s="2840"/>
      <c r="BT31" s="2840"/>
      <c r="BU31" s="2840"/>
      <c r="BV31" s="2840"/>
      <c r="BW31" s="2840"/>
      <c r="BX31" s="2840"/>
      <c r="BY31" s="2840"/>
      <c r="BZ31" s="2850"/>
      <c r="CA31" s="17"/>
      <c r="CD31" s="3006"/>
    </row>
    <row r="32" spans="1:173" ht="17.100000000000001" customHeight="1" x14ac:dyDescent="0.4">
      <c r="A32" s="17"/>
      <c r="B32" s="20"/>
      <c r="C32" s="27"/>
      <c r="D32" s="27"/>
      <c r="E32" s="27"/>
      <c r="F32" s="3496" t="str" cm="1">
        <f t="array" ref="F32">_xlfn.IFS($E$56&gt;=4,$D$54,$E$56=3,$D$51,$E$56=2,$D$48,$E$56=1,$D$45,TRUE,$CC$11)</f>
        <v>S T A R T   G A M E</v>
      </c>
      <c r="G32" s="3496"/>
      <c r="H32" s="3496"/>
      <c r="I32" s="3496"/>
      <c r="J32" s="3496"/>
      <c r="K32" s="3496"/>
      <c r="L32" s="3496"/>
      <c r="M32" s="3496"/>
      <c r="N32" s="3496"/>
      <c r="O32" s="3496"/>
      <c r="R32" s="25"/>
      <c r="T32" s="2850"/>
      <c r="U32" s="2840"/>
      <c r="V32" s="2840"/>
      <c r="W32" s="2840"/>
      <c r="X32" s="2840"/>
      <c r="Y32" s="2840"/>
      <c r="Z32" s="2840"/>
      <c r="AA32" s="2840"/>
      <c r="AB32" s="2840"/>
      <c r="AC32" s="2990"/>
      <c r="AD32" s="2840"/>
      <c r="AE32" s="2840"/>
      <c r="AF32" s="2840"/>
      <c r="AG32" s="2840"/>
      <c r="AH32" s="2840"/>
      <c r="AI32" s="2840"/>
      <c r="AJ32" s="2840"/>
      <c r="AK32" s="2840"/>
      <c r="AL32" s="2840"/>
      <c r="AM32" s="2990"/>
      <c r="AN32" s="2840"/>
      <c r="AO32" s="2840"/>
      <c r="AP32" s="2840"/>
      <c r="AQ32" s="2840"/>
      <c r="AR32" s="2840"/>
      <c r="AS32" s="2840"/>
      <c r="AT32" s="2840"/>
      <c r="AU32" s="2840"/>
      <c r="AV32" s="2840"/>
      <c r="AW32" s="2990"/>
      <c r="AX32" s="2840"/>
      <c r="AY32" s="2840"/>
      <c r="AZ32" s="2840"/>
      <c r="BA32" s="2840"/>
      <c r="BB32" s="2840"/>
      <c r="BC32" s="2840"/>
      <c r="BD32" s="2840"/>
      <c r="BE32" s="2840"/>
      <c r="BF32" s="2840"/>
      <c r="BG32" s="2990"/>
      <c r="BH32" s="2840"/>
      <c r="BI32" s="2840"/>
      <c r="BJ32" s="2840"/>
      <c r="BK32" s="2840"/>
      <c r="BL32" s="2840"/>
      <c r="BM32" s="2840"/>
      <c r="BN32" s="2840"/>
      <c r="BO32" s="2840"/>
      <c r="BP32" s="2840"/>
      <c r="BQ32" s="2990"/>
      <c r="BR32" s="2840"/>
      <c r="BS32" s="2840"/>
      <c r="BT32" s="2840"/>
      <c r="BU32" s="2840"/>
      <c r="BV32" s="2840"/>
      <c r="BW32" s="2840"/>
      <c r="BX32" s="2840"/>
      <c r="BY32" s="2840"/>
      <c r="BZ32" s="2850"/>
      <c r="CA32" s="17"/>
      <c r="CD32" s="3006"/>
      <c r="DC32" s="28"/>
      <c r="DD32" s="28"/>
      <c r="DE32" s="28"/>
      <c r="DF32" s="28"/>
      <c r="DG32" s="28"/>
      <c r="DH32" s="28"/>
      <c r="DI32" s="28"/>
      <c r="DJ32" s="28"/>
      <c r="DK32" s="28"/>
      <c r="DL32" s="28"/>
      <c r="DM32" s="28"/>
      <c r="DN32" s="28"/>
      <c r="DO32" s="28"/>
      <c r="DP32" s="28"/>
    </row>
    <row r="33" spans="1:137" ht="17.100000000000001" customHeight="1" x14ac:dyDescent="0.4">
      <c r="A33" s="17"/>
      <c r="B33" s="20"/>
      <c r="C33" s="27"/>
      <c r="D33" s="27"/>
      <c r="E33" s="27"/>
      <c r="F33" s="3496"/>
      <c r="G33" s="3496"/>
      <c r="H33" s="3496"/>
      <c r="I33" s="3496"/>
      <c r="J33" s="3496"/>
      <c r="K33" s="3496"/>
      <c r="L33" s="3496"/>
      <c r="M33" s="3496"/>
      <c r="N33" s="3496"/>
      <c r="O33" s="3496"/>
      <c r="R33" s="25"/>
      <c r="T33" s="2850"/>
      <c r="U33" s="2840"/>
      <c r="V33" s="2840"/>
      <c r="W33" s="2840"/>
      <c r="X33" s="2840"/>
      <c r="Y33" s="2840"/>
      <c r="Z33" s="2840"/>
      <c r="AA33" s="2840"/>
      <c r="AB33" s="2840"/>
      <c r="AC33" s="2840"/>
      <c r="AD33" s="2840"/>
      <c r="AE33" s="2840"/>
      <c r="AF33" s="2840"/>
      <c r="AG33" s="2840"/>
      <c r="AH33" s="2840"/>
      <c r="AI33" s="2840"/>
      <c r="AJ33" s="2840"/>
      <c r="AK33" s="2840"/>
      <c r="AL33" s="2840"/>
      <c r="AM33" s="2840"/>
      <c r="AN33" s="2840"/>
      <c r="AO33" s="2840"/>
      <c r="AP33" s="2840"/>
      <c r="AQ33" s="2840"/>
      <c r="AR33" s="2840"/>
      <c r="AS33" s="2840"/>
      <c r="AT33" s="2840"/>
      <c r="AU33" s="2840"/>
      <c r="AV33" s="2840"/>
      <c r="AW33" s="2840"/>
      <c r="AX33" s="2840"/>
      <c r="AY33" s="2840"/>
      <c r="AZ33" s="2840"/>
      <c r="BA33" s="2840"/>
      <c r="BB33" s="2840"/>
      <c r="BC33" s="2840"/>
      <c r="BD33" s="2840"/>
      <c r="BE33" s="2840"/>
      <c r="BF33" s="2840"/>
      <c r="BG33" s="2840"/>
      <c r="BH33" s="2840"/>
      <c r="BI33" s="2840"/>
      <c r="BJ33" s="2840"/>
      <c r="BK33" s="2840"/>
      <c r="BL33" s="2840"/>
      <c r="BM33" s="2840"/>
      <c r="BN33" s="2840"/>
      <c r="BO33" s="2840"/>
      <c r="BP33" s="2840"/>
      <c r="BQ33" s="2840"/>
      <c r="BR33" s="2840"/>
      <c r="BS33" s="2840"/>
      <c r="BT33" s="2840"/>
      <c r="BU33" s="2840"/>
      <c r="BV33" s="2840"/>
      <c r="BW33" s="2840"/>
      <c r="BX33" s="2840"/>
      <c r="BY33" s="2840"/>
      <c r="BZ33" s="2850"/>
      <c r="CA33" s="17"/>
      <c r="CC33" s="7"/>
      <c r="CD33" s="3006"/>
      <c r="CE33" s="7"/>
      <c r="CF33" s="7"/>
      <c r="DC33" s="28"/>
      <c r="DD33" s="28"/>
      <c r="DE33" s="28"/>
      <c r="DF33" s="28"/>
      <c r="DG33" s="28"/>
      <c r="DH33" s="28"/>
      <c r="DI33" s="28"/>
      <c r="DJ33" s="28"/>
      <c r="DK33" s="28"/>
      <c r="DL33" s="28"/>
      <c r="DM33" s="28"/>
      <c r="DN33" s="28"/>
      <c r="DO33" s="28"/>
      <c r="DP33" s="28"/>
    </row>
    <row r="34" spans="1:137" ht="17.100000000000001" customHeight="1" x14ac:dyDescent="0.15">
      <c r="A34" s="17"/>
      <c r="B34" s="20"/>
      <c r="C34" s="29"/>
      <c r="D34" s="29"/>
      <c r="E34" s="29"/>
      <c r="F34" s="3497" t="str" cm="1">
        <f t="array" ref="F34">IF($E$56=0,$CG$11,_xlfn.IFS($L$58=$CG$1,$L$45,$L$58=$CG$2,$L$48,$L$58=$CG$3,$L$51,$L$58=$CG$4,$L$54,TRUE,$L$45))</f>
        <v>˅</v>
      </c>
      <c r="G34" s="3497"/>
      <c r="H34" s="3497"/>
      <c r="I34" s="3497"/>
      <c r="J34" s="3497"/>
      <c r="K34" s="3497"/>
      <c r="L34" s="3497"/>
      <c r="M34" s="3497"/>
      <c r="N34" s="3497"/>
      <c r="O34" s="3497"/>
      <c r="R34" s="25"/>
      <c r="T34" s="2850"/>
      <c r="U34" s="2840"/>
      <c r="V34" s="2840"/>
      <c r="W34" s="2840"/>
      <c r="X34" s="2840"/>
      <c r="Y34" s="2840"/>
      <c r="Z34" s="2840"/>
      <c r="AA34" s="2840"/>
      <c r="AB34" s="2840"/>
      <c r="AC34" s="2840"/>
      <c r="AD34" s="2840"/>
      <c r="AE34" s="2840"/>
      <c r="AF34" s="2840"/>
      <c r="AG34" s="2840"/>
      <c r="AH34" s="2840"/>
      <c r="AI34" s="2840"/>
      <c r="AJ34" s="2840"/>
      <c r="AK34" s="2840"/>
      <c r="AL34" s="2840"/>
      <c r="AM34" s="2840"/>
      <c r="AN34" s="2840"/>
      <c r="AO34" s="2840"/>
      <c r="AP34" s="2840"/>
      <c r="AQ34" s="2840"/>
      <c r="AR34" s="2840"/>
      <c r="AS34" s="2840"/>
      <c r="AT34" s="2840"/>
      <c r="AU34" s="2840"/>
      <c r="AV34" s="2840"/>
      <c r="AW34" s="2840"/>
      <c r="AX34" s="2840"/>
      <c r="AY34" s="2840"/>
      <c r="AZ34" s="2840"/>
      <c r="BA34" s="2840"/>
      <c r="BB34" s="2840"/>
      <c r="BC34" s="2840"/>
      <c r="BD34" s="2840"/>
      <c r="BE34" s="2840"/>
      <c r="BF34" s="2840"/>
      <c r="BG34" s="2840"/>
      <c r="BH34" s="2840"/>
      <c r="BI34" s="2840"/>
      <c r="BJ34" s="2840"/>
      <c r="BK34" s="2840"/>
      <c r="BL34" s="2840"/>
      <c r="BM34" s="2840"/>
      <c r="BN34" s="2840"/>
      <c r="BO34" s="2840"/>
      <c r="BP34" s="2840"/>
      <c r="BQ34" s="2840"/>
      <c r="BR34" s="2840"/>
      <c r="BS34" s="2840"/>
      <c r="BT34" s="2840"/>
      <c r="BU34" s="2840"/>
      <c r="BV34" s="2840"/>
      <c r="BW34" s="2840"/>
      <c r="BX34" s="2840"/>
      <c r="BY34" s="2840"/>
      <c r="BZ34" s="2850"/>
      <c r="CA34" s="17"/>
      <c r="DC34" s="28"/>
      <c r="DD34" s="28"/>
      <c r="DE34" s="28"/>
      <c r="DF34" s="28"/>
      <c r="DG34" s="28"/>
      <c r="DH34" s="28"/>
      <c r="DI34" s="28"/>
      <c r="DJ34" s="28"/>
      <c r="DK34" s="28"/>
      <c r="DL34" s="28"/>
      <c r="DM34" s="28"/>
      <c r="DN34" s="28"/>
      <c r="DO34" s="28"/>
      <c r="DP34" s="28"/>
    </row>
    <row r="35" spans="1:137" ht="17.100000000000001" customHeight="1" x14ac:dyDescent="0.15">
      <c r="A35" s="17"/>
      <c r="B35" s="20"/>
      <c r="C35" s="29"/>
      <c r="D35" s="29"/>
      <c r="E35" s="29"/>
      <c r="F35" s="3497"/>
      <c r="G35" s="3497"/>
      <c r="H35" s="3497"/>
      <c r="I35" s="3497"/>
      <c r="J35" s="3497"/>
      <c r="K35" s="3497"/>
      <c r="L35" s="3497"/>
      <c r="M35" s="3497"/>
      <c r="N35" s="3497"/>
      <c r="O35" s="3497"/>
      <c r="R35" s="25"/>
      <c r="T35" s="2850"/>
      <c r="U35" s="2840"/>
      <c r="V35" s="2840"/>
      <c r="W35" s="2840"/>
      <c r="X35" s="2840"/>
      <c r="Y35" s="2840"/>
      <c r="Z35" s="2840"/>
      <c r="AA35" s="2840"/>
      <c r="AB35" s="2840"/>
      <c r="AC35" s="2840"/>
      <c r="AD35" s="2840"/>
      <c r="AE35" s="2840"/>
      <c r="AF35" s="2840"/>
      <c r="AG35" s="2840"/>
      <c r="AH35" s="2840"/>
      <c r="AI35" s="2840"/>
      <c r="AJ35" s="2840"/>
      <c r="AK35" s="2840"/>
      <c r="AL35" s="2840"/>
      <c r="AM35" s="2840"/>
      <c r="AN35" s="2840"/>
      <c r="AO35" s="2840"/>
      <c r="AP35" s="2840"/>
      <c r="AQ35" s="2840"/>
      <c r="AR35" s="2840"/>
      <c r="AS35" s="2840"/>
      <c r="AT35" s="2840"/>
      <c r="AU35" s="2840"/>
      <c r="AV35" s="2840"/>
      <c r="AW35" s="2840"/>
      <c r="AX35" s="2840"/>
      <c r="AY35" s="2840"/>
      <c r="AZ35" s="2840"/>
      <c r="BA35" s="2840"/>
      <c r="BB35" s="2840"/>
      <c r="BC35" s="2840"/>
      <c r="BD35" s="2840"/>
      <c r="BE35" s="2840"/>
      <c r="BF35" s="2840"/>
      <c r="BG35" s="2840"/>
      <c r="BH35" s="2840"/>
      <c r="BI35" s="2840"/>
      <c r="BJ35" s="2840"/>
      <c r="BK35" s="2840"/>
      <c r="BL35" s="2840"/>
      <c r="BM35" s="2840"/>
      <c r="BN35" s="2840"/>
      <c r="BO35" s="2840"/>
      <c r="BP35" s="2840"/>
      <c r="BQ35" s="2840"/>
      <c r="BR35" s="2840"/>
      <c r="BS35" s="2840"/>
      <c r="BT35" s="2840"/>
      <c r="BU35" s="2840"/>
      <c r="BV35" s="2840"/>
      <c r="BW35" s="2840"/>
      <c r="BX35" s="2840"/>
      <c r="BY35" s="2840"/>
      <c r="BZ35" s="2850"/>
      <c r="CA35" s="17"/>
      <c r="CC35" s="2373"/>
      <c r="CD35" s="2373"/>
      <c r="DC35" s="28"/>
      <c r="DD35" s="28"/>
      <c r="DE35" s="28"/>
      <c r="DF35" s="28"/>
      <c r="DG35" s="28"/>
      <c r="DH35" s="28"/>
      <c r="DI35" s="28"/>
      <c r="DJ35" s="28"/>
      <c r="DK35" s="28"/>
      <c r="DL35" s="28"/>
      <c r="DM35" s="28"/>
      <c r="DN35" s="28"/>
      <c r="DO35" s="28"/>
      <c r="DP35" s="28"/>
    </row>
    <row r="36" spans="1:137" ht="17.100000000000001" customHeight="1" x14ac:dyDescent="0.15">
      <c r="A36" s="17"/>
      <c r="B36" s="20"/>
      <c r="C36" s="25"/>
      <c r="D36" s="3020"/>
      <c r="E36" s="25"/>
      <c r="F36" s="3020" t="str">
        <f>IF($E$56=0,"SCROLL DOWN FOR INSTRUCTIONS","")</f>
        <v>SCROLL DOWN FOR INSTRUCTIONS</v>
      </c>
      <c r="J36" s="3020"/>
      <c r="P36" s="25"/>
      <c r="Q36" s="25"/>
      <c r="R36" s="25"/>
      <c r="T36" s="22"/>
      <c r="U36" s="2848"/>
      <c r="V36" s="2848"/>
      <c r="W36" s="2848"/>
      <c r="X36" s="2848"/>
      <c r="Y36" s="2848"/>
      <c r="Z36" s="2848"/>
      <c r="AA36" s="2848"/>
      <c r="AB36" s="2848"/>
      <c r="AC36" s="2848"/>
      <c r="AD36" s="2848"/>
      <c r="AE36" s="2848"/>
      <c r="AF36" s="2848"/>
      <c r="AG36" s="2848"/>
      <c r="AH36" s="2848"/>
      <c r="AI36" s="2848"/>
      <c r="AJ36" s="2848"/>
      <c r="AK36" s="2848"/>
      <c r="AL36" s="2848"/>
      <c r="AM36" s="2848"/>
      <c r="AN36" s="2848"/>
      <c r="AO36" s="2848"/>
      <c r="AP36" s="2848"/>
      <c r="AQ36" s="2848"/>
      <c r="AR36" s="2848"/>
      <c r="AS36" s="2848"/>
      <c r="AT36" s="2848"/>
      <c r="AU36" s="2848"/>
      <c r="AV36" s="2848"/>
      <c r="AW36" s="2848"/>
      <c r="AX36" s="2848"/>
      <c r="AY36" s="2848"/>
      <c r="AZ36" s="2848"/>
      <c r="BA36" s="2848"/>
      <c r="BB36" s="2848"/>
      <c r="BC36" s="2848"/>
      <c r="BD36" s="2848"/>
      <c r="BE36" s="2848"/>
      <c r="BF36" s="2848"/>
      <c r="BG36" s="2848"/>
      <c r="BH36" s="2848"/>
      <c r="BI36" s="2848"/>
      <c r="BJ36" s="2848"/>
      <c r="BK36" s="2848"/>
      <c r="BL36" s="2848"/>
      <c r="BM36" s="2848"/>
      <c r="BN36" s="2848"/>
      <c r="BO36" s="2848"/>
      <c r="BP36" s="2848"/>
      <c r="BQ36" s="2848"/>
      <c r="BR36" s="2848"/>
      <c r="BS36" s="2848"/>
      <c r="BT36" s="2848"/>
      <c r="BU36" s="2848"/>
      <c r="BV36" s="2848"/>
      <c r="BW36" s="2848"/>
      <c r="BX36" s="2848"/>
      <c r="BY36" s="2848"/>
      <c r="BZ36" s="22"/>
      <c r="CA36" s="17"/>
      <c r="CC36" s="2373"/>
      <c r="CD36" s="2373"/>
      <c r="DC36" s="28"/>
      <c r="DD36" s="28"/>
      <c r="DE36" s="28"/>
      <c r="DF36" s="28"/>
      <c r="DG36" s="28"/>
      <c r="DH36" s="28"/>
      <c r="DI36" s="28"/>
      <c r="DJ36" s="28"/>
      <c r="DK36" s="28"/>
      <c r="DL36" s="28"/>
      <c r="DM36" s="28"/>
      <c r="DN36" s="28"/>
      <c r="DO36" s="28"/>
      <c r="DP36" s="28"/>
    </row>
    <row r="37" spans="1:137" ht="17.100000000000001" customHeight="1" x14ac:dyDescent="0.15">
      <c r="A37" s="17"/>
      <c r="B37" s="20"/>
      <c r="C37" s="20"/>
      <c r="D37" s="20"/>
      <c r="E37" s="20"/>
      <c r="F37" s="30"/>
      <c r="G37" s="30"/>
      <c r="H37" s="30"/>
      <c r="I37" s="30"/>
      <c r="J37" s="30"/>
      <c r="K37" s="30"/>
      <c r="L37" s="30"/>
      <c r="M37" s="30"/>
      <c r="N37" s="30"/>
      <c r="O37" s="30"/>
      <c r="P37" s="20"/>
      <c r="Q37" s="20"/>
      <c r="R37" s="20"/>
      <c r="S37" s="21"/>
      <c r="T37" s="22"/>
      <c r="U37" s="22"/>
      <c r="V37" s="22"/>
      <c r="W37" s="22"/>
      <c r="X37" s="22"/>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17"/>
      <c r="CC37" s="2373"/>
      <c r="CD37" s="2373"/>
      <c r="DC37" s="28"/>
      <c r="DD37" s="28"/>
      <c r="DE37" s="28"/>
      <c r="DF37" s="28"/>
      <c r="DG37" s="28"/>
      <c r="DH37" s="28"/>
      <c r="DI37" s="28"/>
      <c r="DJ37" s="28"/>
      <c r="DK37" s="28"/>
      <c r="DL37" s="28"/>
      <c r="DM37" s="28"/>
      <c r="DN37" s="28"/>
      <c r="DO37" s="28"/>
      <c r="DP37" s="28"/>
    </row>
    <row r="38" spans="1:137" ht="17.100000000000001" customHeight="1" x14ac:dyDescent="0.15">
      <c r="A38" s="17"/>
      <c r="B38" s="31"/>
      <c r="C38" s="32"/>
      <c r="D38" s="17"/>
      <c r="E38" s="17"/>
      <c r="F38" s="17"/>
      <c r="G38" s="17"/>
      <c r="H38" s="17"/>
      <c r="I38" s="17"/>
      <c r="J38" s="3505" t="s">
        <v>1</v>
      </c>
      <c r="K38" s="3505"/>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2991"/>
      <c r="AX38" s="17"/>
      <c r="AY38" s="17"/>
      <c r="AZ38" s="17"/>
      <c r="BA38" s="17"/>
      <c r="BB38" s="17"/>
      <c r="BC38" s="17"/>
      <c r="BD38" s="17"/>
      <c r="BE38" s="17"/>
      <c r="BF38" s="17"/>
      <c r="BG38" s="17"/>
      <c r="BH38" s="17"/>
      <c r="BI38" s="17"/>
      <c r="BJ38" s="17"/>
      <c r="BK38" s="17"/>
      <c r="BL38" s="17"/>
      <c r="BM38" s="17"/>
      <c r="BN38" s="17"/>
      <c r="BO38" s="17"/>
      <c r="BP38" s="17"/>
      <c r="BQ38" s="17"/>
      <c r="BR38" s="17"/>
      <c r="BS38" s="17"/>
      <c r="BT38" s="17"/>
      <c r="BU38" s="17"/>
      <c r="BV38" s="17"/>
      <c r="BW38" s="17"/>
      <c r="BX38" s="17"/>
      <c r="BY38" s="17"/>
      <c r="BZ38" s="17"/>
      <c r="CA38" s="17"/>
      <c r="DC38" s="28"/>
      <c r="DD38" s="28"/>
      <c r="DE38" s="28"/>
      <c r="DF38" s="28"/>
      <c r="DG38" s="28"/>
      <c r="DH38" s="28"/>
      <c r="DI38" s="28"/>
      <c r="DJ38" s="28"/>
      <c r="DK38" s="28"/>
      <c r="DL38" s="28"/>
      <c r="DM38" s="28"/>
      <c r="DN38" s="28"/>
      <c r="DO38" s="28"/>
      <c r="DP38" s="28"/>
    </row>
    <row r="39" spans="1:137" ht="17.100000000000001" customHeight="1" x14ac:dyDescent="0.15">
      <c r="B39" s="33"/>
      <c r="C39" s="34"/>
      <c r="J39" s="3504" t="s">
        <v>1</v>
      </c>
      <c r="K39" s="3504"/>
    </row>
    <row r="40" spans="1:137" ht="17.100000000000001" customHeight="1" x14ac:dyDescent="0.15">
      <c r="B40" s="33"/>
      <c r="C40" s="34"/>
      <c r="J40" s="3504" t="s">
        <v>1</v>
      </c>
      <c r="K40" s="3504"/>
      <c r="AV40" s="1239"/>
    </row>
    <row r="41" spans="1:137" ht="17.100000000000001" customHeight="1" x14ac:dyDescent="0.2">
      <c r="B41" s="1241"/>
      <c r="C41" s="1242"/>
      <c r="D41" s="631"/>
      <c r="E41" s="631"/>
      <c r="F41" s="631"/>
      <c r="G41" s="631"/>
      <c r="H41" s="631"/>
      <c r="I41" s="631"/>
      <c r="J41" s="1241"/>
      <c r="K41" s="1241"/>
      <c r="L41" s="631"/>
      <c r="M41" s="631"/>
      <c r="N41" s="631"/>
      <c r="O41" s="631"/>
      <c r="P41" s="631"/>
      <c r="Q41" s="631"/>
      <c r="R41" s="631"/>
      <c r="S41" s="631"/>
      <c r="V41" s="2676"/>
      <c r="W41" s="2677"/>
      <c r="X41" s="2677"/>
      <c r="Y41" s="2677"/>
      <c r="Z41" s="2677"/>
      <c r="AA41" s="2677"/>
      <c r="AB41" s="2677"/>
      <c r="AC41" s="2677"/>
      <c r="AD41" s="2677"/>
      <c r="AE41" s="2677"/>
      <c r="AF41" s="2677"/>
      <c r="AG41" s="2677"/>
      <c r="AH41" s="2677"/>
      <c r="AI41" s="2677"/>
      <c r="AJ41" s="2677"/>
      <c r="AK41" s="2677"/>
      <c r="AL41" s="2677"/>
      <c r="AM41" s="2677"/>
      <c r="AN41" s="2677"/>
      <c r="AO41" s="2677"/>
      <c r="AP41" s="2677"/>
      <c r="AQ41" s="2677"/>
      <c r="AR41" s="2677"/>
      <c r="AS41" s="2677"/>
      <c r="AT41" s="2677"/>
      <c r="AU41" s="2677"/>
      <c r="AV41" s="2678"/>
      <c r="AW41" s="2677"/>
      <c r="AX41" s="2677"/>
      <c r="AY41" s="2677"/>
      <c r="AZ41" s="2677"/>
      <c r="BA41" s="2677"/>
      <c r="BB41" s="2677"/>
      <c r="BC41" s="2677"/>
      <c r="BD41" s="2677"/>
      <c r="BE41" s="2677"/>
      <c r="BF41" s="2679"/>
      <c r="BI41" s="631"/>
      <c r="BJ41" s="631"/>
      <c r="BK41" s="631"/>
      <c r="BL41" s="631"/>
      <c r="BM41" s="631"/>
      <c r="BN41" s="631"/>
      <c r="BO41" s="631"/>
      <c r="BP41" s="631"/>
      <c r="BQ41" s="631"/>
      <c r="BR41" s="631"/>
      <c r="BS41" s="631"/>
      <c r="BT41" s="631"/>
      <c r="BU41" s="631"/>
      <c r="BV41" s="631"/>
      <c r="BW41" s="631"/>
      <c r="BX41" s="631"/>
      <c r="BY41" s="631"/>
      <c r="BZ41" s="631"/>
      <c r="DD41" s="2970"/>
      <c r="DE41" s="384"/>
    </row>
    <row r="42" spans="1:137" ht="17.100000000000001" customHeight="1" x14ac:dyDescent="0.2">
      <c r="B42" s="2321"/>
      <c r="C42" s="2321"/>
      <c r="D42" s="3502" t="s">
        <v>865</v>
      </c>
      <c r="E42" s="3502"/>
      <c r="F42" s="3502"/>
      <c r="G42" s="3502"/>
      <c r="H42" s="3502"/>
      <c r="I42" s="3502"/>
      <c r="J42" s="2971"/>
      <c r="K42" s="2971"/>
      <c r="L42" s="3502" t="s">
        <v>3</v>
      </c>
      <c r="M42" s="3502"/>
      <c r="N42" s="3502"/>
      <c r="O42" s="3502"/>
      <c r="P42" s="3502"/>
      <c r="Q42" s="3502"/>
      <c r="R42" s="2395"/>
      <c r="S42" s="631"/>
      <c r="V42" s="2680"/>
      <c r="W42" s="816"/>
      <c r="X42" s="2921" t="s">
        <v>1706</v>
      </c>
      <c r="Y42" s="2819" t="s">
        <v>1746</v>
      </c>
      <c r="Z42" s="2820"/>
      <c r="AA42" s="2820"/>
      <c r="AB42" s="43"/>
      <c r="AC42" s="43"/>
      <c r="AD42" s="2821"/>
      <c r="AE42" s="743"/>
      <c r="AF42" s="43"/>
      <c r="AG42" s="2821"/>
      <c r="AU42" s="43"/>
      <c r="AV42" s="2823"/>
      <c r="AW42" s="1976"/>
      <c r="AX42" s="43"/>
      <c r="AY42" s="43"/>
      <c r="AZ42" s="43"/>
      <c r="BA42" s="43"/>
      <c r="BB42" s="43"/>
      <c r="BC42" s="2824" t="s">
        <v>1085</v>
      </c>
      <c r="BD42" s="2825" t="s">
        <v>782</v>
      </c>
      <c r="BE42" s="816"/>
      <c r="BF42" s="2681"/>
      <c r="BI42" s="631"/>
      <c r="BJ42" s="631"/>
      <c r="BK42" s="3554" t="s">
        <v>0</v>
      </c>
      <c r="BL42" s="3554"/>
      <c r="BM42" s="3554"/>
      <c r="BN42" s="3554"/>
      <c r="BO42" s="3554"/>
      <c r="BP42" s="3554"/>
      <c r="BQ42" s="2424"/>
      <c r="BR42" s="2425"/>
      <c r="BS42" s="3554" t="s">
        <v>1500</v>
      </c>
      <c r="BT42" s="3554"/>
      <c r="BU42" s="3554"/>
      <c r="BV42" s="3554"/>
      <c r="BW42" s="3554"/>
      <c r="BX42" s="3554"/>
      <c r="BY42" s="631"/>
      <c r="BZ42" s="631"/>
      <c r="CC42" s="3475" t="s">
        <v>1666</v>
      </c>
      <c r="CD42" s="3475"/>
      <c r="CE42" s="3475"/>
      <c r="CF42" s="3475" t="s">
        <v>1661</v>
      </c>
      <c r="CG42" s="3475"/>
      <c r="CH42" s="3475"/>
      <c r="CI42" s="3475" t="s">
        <v>1662</v>
      </c>
      <c r="CJ42" s="3475"/>
      <c r="CK42" s="3475"/>
      <c r="CL42" s="3475" t="s">
        <v>1437</v>
      </c>
      <c r="CM42" s="3475"/>
      <c r="CN42" s="3475"/>
      <c r="CP42" s="3475" t="s">
        <v>1663</v>
      </c>
      <c r="CQ42" s="3475"/>
      <c r="CR42" s="3475"/>
      <c r="CS42" s="3475" t="s">
        <v>1664</v>
      </c>
      <c r="CT42" s="3475"/>
      <c r="CU42" s="3475"/>
      <c r="CV42" s="3475" t="s">
        <v>1665</v>
      </c>
      <c r="CW42" s="3475"/>
      <c r="CX42" s="3475"/>
      <c r="CY42" s="3475" t="s">
        <v>1437</v>
      </c>
      <c r="CZ42" s="3475"/>
      <c r="DA42" s="3475"/>
      <c r="DD42" s="2970"/>
      <c r="DE42" s="384"/>
    </row>
    <row r="43" spans="1:137" ht="17.100000000000001" customHeight="1" x14ac:dyDescent="0.2">
      <c r="B43" s="631"/>
      <c r="C43" s="631"/>
      <c r="D43" s="3503" t="s">
        <v>1828</v>
      </c>
      <c r="E43" s="3503"/>
      <c r="F43" s="3503"/>
      <c r="G43" s="3503"/>
      <c r="H43" s="3503"/>
      <c r="I43" s="3503"/>
      <c r="J43" s="2972"/>
      <c r="K43" s="2973"/>
      <c r="L43" s="3503" t="s">
        <v>181</v>
      </c>
      <c r="M43" s="3503"/>
      <c r="N43" s="3503"/>
      <c r="O43" s="3503"/>
      <c r="P43" s="3503"/>
      <c r="Q43" s="3503"/>
      <c r="R43" s="2423"/>
      <c r="S43" s="2244"/>
      <c r="V43" s="2680"/>
      <c r="W43" s="816"/>
      <c r="X43" s="2337"/>
      <c r="Y43" s="1271"/>
      <c r="Z43" s="2630"/>
      <c r="AA43" s="2630"/>
      <c r="AB43" s="2630"/>
      <c r="AC43" s="2630"/>
      <c r="AD43" s="2630"/>
      <c r="AE43" s="2630"/>
      <c r="AF43" s="2861"/>
      <c r="AG43" s="2861"/>
      <c r="AH43" s="2861"/>
      <c r="AI43" s="2861"/>
      <c r="AJ43" s="2861"/>
      <c r="AK43" s="2861"/>
      <c r="AL43" s="2861"/>
      <c r="AM43" s="2861"/>
      <c r="AN43" s="2822"/>
      <c r="AO43" s="2861"/>
      <c r="AP43" s="2861"/>
      <c r="AQ43" s="2861"/>
      <c r="AR43" s="2861"/>
      <c r="AS43" s="2861"/>
      <c r="AT43" s="2861"/>
      <c r="AU43" s="2857"/>
      <c r="AV43" s="2857"/>
      <c r="AW43" s="816"/>
      <c r="AX43" s="2682"/>
      <c r="AY43" s="816"/>
      <c r="AZ43" s="816"/>
      <c r="BA43" s="816"/>
      <c r="BB43" s="816"/>
      <c r="BC43" s="816"/>
      <c r="BD43" s="816"/>
      <c r="BE43" s="816"/>
      <c r="BF43" s="2681"/>
      <c r="BI43" s="2244"/>
      <c r="BJ43" s="2244"/>
      <c r="BK43" s="3488" t="s">
        <v>1502</v>
      </c>
      <c r="BL43" s="3488"/>
      <c r="BM43" s="3488"/>
      <c r="BN43" s="3488"/>
      <c r="BO43" s="3488"/>
      <c r="BP43" s="3488"/>
      <c r="BQ43" s="2424"/>
      <c r="BR43" s="2425"/>
      <c r="BS43" s="3488" t="s">
        <v>1085</v>
      </c>
      <c r="BT43" s="3488"/>
      <c r="BU43" s="3488"/>
      <c r="BV43" s="3488"/>
      <c r="BW43" s="3488"/>
      <c r="BX43" s="3488"/>
      <c r="BY43" s="631"/>
      <c r="BZ43" s="631"/>
      <c r="CC43" s="3476"/>
      <c r="CD43" s="3476"/>
      <c r="CE43" s="3476"/>
      <c r="CF43" s="3476"/>
      <c r="CG43" s="3476"/>
      <c r="CH43" s="3476"/>
      <c r="CI43" s="3476"/>
      <c r="CJ43" s="3476"/>
      <c r="CK43" s="3476"/>
      <c r="CL43" s="3476"/>
      <c r="CM43" s="3476"/>
      <c r="CN43" s="3476"/>
      <c r="CP43" s="3476"/>
      <c r="CQ43" s="3476"/>
      <c r="CR43" s="3476"/>
      <c r="CS43" s="3476"/>
      <c r="CT43" s="3476"/>
      <c r="CU43" s="3476"/>
      <c r="CV43" s="3476"/>
      <c r="CW43" s="3476"/>
      <c r="CX43" s="3476"/>
      <c r="CY43" s="3476"/>
      <c r="CZ43" s="3476"/>
      <c r="DA43" s="3476"/>
      <c r="DD43" s="2970"/>
      <c r="DE43" s="384"/>
    </row>
    <row r="44" spans="1:137" ht="17.100000000000001" customHeight="1" x14ac:dyDescent="0.2">
      <c r="B44" s="1243"/>
      <c r="C44" s="1243"/>
      <c r="D44" s="1243"/>
      <c r="E44" s="1243"/>
      <c r="F44" s="1243"/>
      <c r="G44" s="1243"/>
      <c r="H44" s="1243"/>
      <c r="I44" s="1243"/>
      <c r="J44" s="1243"/>
      <c r="K44" s="1243"/>
      <c r="L44" s="1243"/>
      <c r="M44" s="1243"/>
      <c r="N44" s="1243"/>
      <c r="O44" s="1243"/>
      <c r="P44" s="1243"/>
      <c r="Q44" s="1243"/>
      <c r="R44" s="1243"/>
      <c r="S44" s="631"/>
      <c r="V44" s="2680"/>
      <c r="W44" s="816"/>
      <c r="X44" s="613"/>
      <c r="Y44" s="816"/>
      <c r="Z44" s="816"/>
      <c r="AA44" s="816"/>
      <c r="AB44" s="816"/>
      <c r="AC44" s="816"/>
      <c r="AD44" s="816"/>
      <c r="AE44" s="816"/>
      <c r="AF44" s="2924"/>
      <c r="AG44" s="2924"/>
      <c r="AH44" s="2924"/>
      <c r="AI44" s="2924"/>
      <c r="AJ44" s="2924"/>
      <c r="AK44" s="2924"/>
      <c r="AL44" s="2924"/>
      <c r="AM44" s="2924"/>
      <c r="AN44" s="2924"/>
      <c r="AO44" s="2924"/>
      <c r="AP44" s="2924"/>
      <c r="AQ44" s="2924"/>
      <c r="AR44" s="2924"/>
      <c r="AS44" s="2924"/>
      <c r="AT44" s="2924"/>
      <c r="AU44" s="2924"/>
      <c r="AV44" s="2924"/>
      <c r="AW44" s="2933"/>
      <c r="AX44" s="816"/>
      <c r="AY44" s="816"/>
      <c r="AZ44" s="816"/>
      <c r="BA44" s="816"/>
      <c r="BB44" s="816"/>
      <c r="BC44" s="816"/>
      <c r="BD44" s="816"/>
      <c r="BE44" s="816"/>
      <c r="BF44" s="2681"/>
      <c r="BI44" s="631"/>
      <c r="BJ44" s="2402"/>
      <c r="BK44" s="2420"/>
      <c r="BL44" s="2420"/>
      <c r="BM44" s="2420"/>
      <c r="BN44" s="2420"/>
      <c r="BO44" s="2420"/>
      <c r="BP44" s="2420"/>
      <c r="BQ44" s="2402"/>
      <c r="BR44" s="2402"/>
      <c r="BS44" s="2420"/>
      <c r="BT44" s="2420"/>
      <c r="BU44" s="2420"/>
      <c r="BV44" s="2420"/>
      <c r="BW44" s="2420"/>
      <c r="BX44" s="2420"/>
      <c r="BY44" s="631"/>
      <c r="BZ44" s="631"/>
      <c r="CC44" s="2371"/>
      <c r="CD44" s="2372">
        <f>VICTORY!$CE$30</f>
        <v>0</v>
      </c>
      <c r="CE44" s="2373"/>
      <c r="CG44" s="2352">
        <v>0</v>
      </c>
      <c r="CJ44" s="2352">
        <f>IF(CD44&gt;CG44,CD44-CG44,0)</f>
        <v>0</v>
      </c>
      <c r="CM44" s="2372">
        <f>CJ44</f>
        <v>0</v>
      </c>
      <c r="CP44" s="2371"/>
      <c r="CQ44" s="2372">
        <f>VICTORY!$CE$22</f>
        <v>0</v>
      </c>
      <c r="CR44" s="2373"/>
      <c r="CT44" s="2352">
        <v>0</v>
      </c>
      <c r="CW44" s="2352">
        <f>IF(CQ44&gt;CT44,CQ44-CT44,0)</f>
        <v>0</v>
      </c>
      <c r="CZ44" s="2372">
        <f>CW44</f>
        <v>0</v>
      </c>
      <c r="DD44" s="2970"/>
      <c r="DE44" s="384"/>
      <c r="DU44" s="1750"/>
      <c r="DV44" s="1750"/>
      <c r="DW44" s="1750"/>
      <c r="DX44" s="1750"/>
      <c r="DY44" s="1750"/>
      <c r="DZ44" s="1750"/>
      <c r="EA44" s="1750"/>
      <c r="EB44" s="1750"/>
      <c r="EC44" s="1750"/>
      <c r="ED44" s="1750"/>
      <c r="EE44" s="1750"/>
      <c r="EF44" s="1750"/>
      <c r="EG44" s="1750"/>
    </row>
    <row r="45" spans="1:137" ht="17.100000000000001" customHeight="1" x14ac:dyDescent="0.2">
      <c r="B45" s="1243"/>
      <c r="C45" s="1243"/>
      <c r="D45" s="3493" t="s">
        <v>563</v>
      </c>
      <c r="E45" s="3493"/>
      <c r="F45" s="3493"/>
      <c r="G45" s="3493"/>
      <c r="H45" s="3493"/>
      <c r="I45" s="3493"/>
      <c r="J45" s="1243"/>
      <c r="K45" s="1243"/>
      <c r="L45" s="3494" t="s">
        <v>1507</v>
      </c>
      <c r="M45" s="3494"/>
      <c r="N45" s="3494"/>
      <c r="O45" s="3494"/>
      <c r="P45" s="3494"/>
      <c r="Q45" s="3494"/>
      <c r="R45" s="1243"/>
      <c r="S45" s="631"/>
      <c r="V45" s="2680"/>
      <c r="W45" s="816"/>
      <c r="X45" s="28"/>
      <c r="Y45" s="28"/>
      <c r="AC45" s="2822"/>
      <c r="AD45" s="2822"/>
      <c r="AE45" s="2827"/>
      <c r="AF45" s="2926"/>
      <c r="AG45" s="2926"/>
      <c r="AH45" s="2926"/>
      <c r="AI45" s="2926"/>
      <c r="AJ45" s="2926"/>
      <c r="AK45" s="2926"/>
      <c r="AL45" s="2926"/>
      <c r="AM45" s="2926"/>
      <c r="AN45" s="2926"/>
      <c r="AO45" s="2926"/>
      <c r="AP45" s="2926"/>
      <c r="AQ45" s="2926"/>
      <c r="AR45" s="2926"/>
      <c r="AS45" s="2926"/>
      <c r="AT45" s="2926"/>
      <c r="AU45" s="2926"/>
      <c r="AV45" s="2926"/>
      <c r="AW45" s="2934"/>
      <c r="AX45" s="2862"/>
      <c r="BC45" s="28"/>
      <c r="BD45" s="28"/>
      <c r="BE45" s="2867"/>
      <c r="BF45" s="2681"/>
      <c r="BI45" s="631"/>
      <c r="BJ45" s="631"/>
      <c r="BK45" s="3516" t="str">
        <f ca="1">IF(AND($E$56&gt;=1,$BK$49&gt;=1,YEAR(TODAY())=$BK$55,MONTH(TODAY())=$BK$52),"A C T I V E","I N A C T I V E")</f>
        <v>I N A C T I V E</v>
      </c>
      <c r="BL45" s="3516"/>
      <c r="BM45" s="3516"/>
      <c r="BN45" s="3516"/>
      <c r="BO45" s="3516"/>
      <c r="BP45" s="3516"/>
      <c r="BQ45" s="2402"/>
      <c r="BR45" s="2395"/>
      <c r="BS45" s="3477" t="str" cm="1">
        <f t="array" ref="BS45">IF($BW$47="","",
_xlfn.IFS(
LEN($BW$47)=1,
MID($BW$47,1,1),
LEN($BW$47)=2,
MID($BW$47,1,1)&amp;" "&amp;MID($BW$47,2,1),
LEN($BW$47)=3,
MID($BW$47,1,1)&amp;" "&amp;MID($BW$47,2,1)&amp;" "&amp;MID($BW$47,3,1),
TRUE,"")
)</f>
        <v/>
      </c>
      <c r="BT45" s="3477"/>
      <c r="BU45" s="3477"/>
      <c r="BV45" s="3477"/>
      <c r="BW45" s="3477"/>
      <c r="BX45" s="3477"/>
      <c r="BY45" s="2402"/>
      <c r="BZ45" s="631"/>
      <c r="CC45" s="2432"/>
      <c r="CD45" s="2433"/>
      <c r="CE45" s="2433"/>
      <c r="CF45" s="2433"/>
      <c r="CG45" s="2433"/>
      <c r="CH45" s="2433"/>
      <c r="DD45" s="2970"/>
      <c r="DE45" s="384"/>
      <c r="DU45" s="1750"/>
      <c r="DV45" s="1750"/>
      <c r="DW45" s="1750"/>
      <c r="DX45" s="1750"/>
      <c r="DY45" s="1750"/>
      <c r="DZ45" s="1750"/>
      <c r="EA45" s="1750"/>
      <c r="EB45" s="1750"/>
      <c r="EC45" s="1750"/>
      <c r="ED45" s="1750"/>
      <c r="EE45" s="1750"/>
      <c r="EF45" s="1750"/>
      <c r="EG45" s="1750"/>
    </row>
    <row r="46" spans="1:137" ht="17.100000000000001" customHeight="1" x14ac:dyDescent="0.2">
      <c r="B46" s="1243"/>
      <c r="C46" s="1243"/>
      <c r="D46" s="3493"/>
      <c r="E46" s="3493"/>
      <c r="F46" s="3493"/>
      <c r="G46" s="3493"/>
      <c r="H46" s="3493"/>
      <c r="I46" s="3493"/>
      <c r="J46" s="1243"/>
      <c r="K46" s="1243"/>
      <c r="L46" s="3494"/>
      <c r="M46" s="3494"/>
      <c r="N46" s="3494"/>
      <c r="O46" s="3494"/>
      <c r="P46" s="3494"/>
      <c r="Q46" s="3494"/>
      <c r="R46" s="1243"/>
      <c r="S46" s="631"/>
      <c r="V46" s="2680"/>
      <c r="W46" s="816"/>
      <c r="X46" s="28"/>
      <c r="Y46" s="28"/>
      <c r="AC46" s="2822"/>
      <c r="AD46" s="2822"/>
      <c r="AE46" s="2827"/>
      <c r="AF46" s="2926"/>
      <c r="AG46" s="2926"/>
      <c r="AH46" s="2926"/>
      <c r="AI46" s="2926"/>
      <c r="AJ46" s="2926"/>
      <c r="AK46" s="2926"/>
      <c r="AL46" s="2926"/>
      <c r="AM46" s="2926"/>
      <c r="AN46" s="2925" t="s">
        <v>1472</v>
      </c>
      <c r="AO46" s="2926"/>
      <c r="AP46" s="2926"/>
      <c r="AQ46" s="2926"/>
      <c r="AR46" s="2926"/>
      <c r="AS46" s="2926"/>
      <c r="AT46" s="2926"/>
      <c r="AU46" s="2926"/>
      <c r="AV46" s="2926"/>
      <c r="AW46" s="2934"/>
      <c r="AX46" s="2862"/>
      <c r="BC46" s="28"/>
      <c r="BD46" s="28"/>
      <c r="BE46" s="2867"/>
      <c r="BF46" s="2681"/>
      <c r="BI46" s="631"/>
      <c r="BJ46" s="2395"/>
      <c r="BK46" s="3516"/>
      <c r="BL46" s="3516"/>
      <c r="BM46" s="3516"/>
      <c r="BN46" s="3516"/>
      <c r="BO46" s="3516"/>
      <c r="BP46" s="3516"/>
      <c r="BQ46" s="2402"/>
      <c r="BR46" s="2395"/>
      <c r="BS46" s="3477"/>
      <c r="BT46" s="3477"/>
      <c r="BU46" s="3477"/>
      <c r="BV46" s="3477"/>
      <c r="BW46" s="3477"/>
      <c r="BX46" s="3477"/>
      <c r="BY46" s="2402"/>
      <c r="BZ46" s="631"/>
      <c r="CC46" s="2432"/>
      <c r="DD46" s="2970"/>
      <c r="DE46" s="384"/>
      <c r="DU46" s="1750"/>
      <c r="DV46" s="1750"/>
      <c r="DW46" s="1750"/>
      <c r="DX46" s="1750"/>
      <c r="DY46" s="1750"/>
      <c r="DZ46" s="1750"/>
      <c r="EA46" s="1750"/>
      <c r="EB46" s="1750"/>
      <c r="EC46" s="1750"/>
      <c r="ED46" s="1750"/>
      <c r="EE46" s="1750"/>
      <c r="EF46" s="1750"/>
      <c r="EG46" s="1750"/>
    </row>
    <row r="47" spans="1:137" ht="17.100000000000001" customHeight="1" x14ac:dyDescent="0.2">
      <c r="B47" s="1243"/>
      <c r="C47" s="1243"/>
      <c r="D47" s="2400"/>
      <c r="E47" s="2400"/>
      <c r="F47" s="2400"/>
      <c r="G47" s="2400"/>
      <c r="H47" s="2401"/>
      <c r="I47" s="2401"/>
      <c r="J47" s="1243"/>
      <c r="K47" s="1243"/>
      <c r="L47" s="2398"/>
      <c r="M47" s="2398"/>
      <c r="N47" s="2398"/>
      <c r="O47" s="2398"/>
      <c r="P47" s="2399"/>
      <c r="Q47" s="2399"/>
      <c r="R47" s="1243"/>
      <c r="S47" s="631"/>
      <c r="V47" s="2680"/>
      <c r="W47" s="816"/>
      <c r="AC47" s="2822"/>
      <c r="AD47" s="2822"/>
      <c r="AE47" s="2827"/>
      <c r="AF47" s="2926"/>
      <c r="AG47" s="2926"/>
      <c r="AH47" s="2926"/>
      <c r="AI47" s="2926"/>
      <c r="AJ47" s="2926"/>
      <c r="AK47" s="2926"/>
      <c r="AL47" s="2926"/>
      <c r="AM47" s="2926"/>
      <c r="AN47" s="2926"/>
      <c r="AO47" s="2926"/>
      <c r="AP47" s="2926"/>
      <c r="AQ47" s="2926"/>
      <c r="AR47" s="2926"/>
      <c r="AS47" s="2926"/>
      <c r="AT47" s="2926"/>
      <c r="AU47" s="2926"/>
      <c r="AV47" s="2926"/>
      <c r="AW47" s="2934"/>
      <c r="AX47" s="2862"/>
      <c r="BE47" s="2867"/>
      <c r="BF47" s="2681"/>
      <c r="BI47" s="631"/>
      <c r="BJ47" s="631"/>
      <c r="BK47" s="2421"/>
      <c r="BL47" s="2421"/>
      <c r="BM47" s="2421"/>
      <c r="BN47" s="2421"/>
      <c r="BO47" s="2421"/>
      <c r="BP47" s="2421"/>
      <c r="BQ47" s="2395"/>
      <c r="BR47" s="2395"/>
      <c r="BS47" s="2954"/>
      <c r="BT47" s="2954"/>
      <c r="BU47" s="2954"/>
      <c r="BV47" s="2954"/>
      <c r="BW47" s="3220" t="str">
        <f>IF(AND($BK$49=0,OR($BS$49=$DD$53,$BS$52=$DD$52,$BS$55=$DD$51)),"",
LEFT(UPPER($BS$49),1)&amp;LEFT(UPPER($BS$52),1)&amp;LEFT(UPPER($BS$55),1)
)</f>
        <v/>
      </c>
      <c r="BX47" s="2954"/>
      <c r="BY47" s="631"/>
      <c r="BZ47" s="631"/>
      <c r="CC47" s="3475" t="s">
        <v>332</v>
      </c>
      <c r="CD47" s="3475"/>
      <c r="CE47" s="3475"/>
      <c r="CF47" s="3475" t="s">
        <v>334</v>
      </c>
      <c r="CG47" s="3475"/>
      <c r="CH47" s="3475"/>
      <c r="CI47" s="3475" t="s">
        <v>335</v>
      </c>
      <c r="CJ47" s="3475"/>
      <c r="CK47" s="3475"/>
      <c r="CL47" s="3475" t="s">
        <v>333</v>
      </c>
      <c r="CM47" s="3475"/>
      <c r="CN47" s="3475"/>
      <c r="CQ47" s="3007"/>
      <c r="CR47" s="3008" t="s">
        <v>1503</v>
      </c>
      <c r="CS47" s="3009"/>
      <c r="CT47" s="3009"/>
      <c r="CU47" s="2354"/>
      <c r="DB47" s="227"/>
      <c r="DC47" s="228"/>
      <c r="DD47" s="3015"/>
      <c r="DE47" s="3018" t="s">
        <v>1842</v>
      </c>
      <c r="DF47" s="228"/>
      <c r="DG47" s="228"/>
      <c r="DH47" s="256"/>
      <c r="DU47" s="1750"/>
      <c r="DV47" s="1750"/>
      <c r="DW47" s="1750"/>
      <c r="DX47" s="1750"/>
      <c r="DY47" s="1750"/>
      <c r="DZ47" s="1750"/>
      <c r="EA47" s="1750"/>
      <c r="EB47" s="1750"/>
      <c r="EC47" s="1750"/>
      <c r="ED47" s="1750"/>
      <c r="EE47" s="1750"/>
      <c r="EF47" s="1750"/>
      <c r="EG47" s="1750"/>
    </row>
    <row r="48" spans="1:137" ht="17.100000000000001" customHeight="1" x14ac:dyDescent="0.2">
      <c r="B48" s="1243"/>
      <c r="C48" s="1243"/>
      <c r="D48" s="3493" t="s">
        <v>5</v>
      </c>
      <c r="E48" s="3493"/>
      <c r="F48" s="3493"/>
      <c r="G48" s="3493"/>
      <c r="H48" s="3493"/>
      <c r="I48" s="3493"/>
      <c r="J48" s="1243"/>
      <c r="K48" s="1243"/>
      <c r="L48" s="3494" t="s">
        <v>1508</v>
      </c>
      <c r="M48" s="3494"/>
      <c r="N48" s="3494"/>
      <c r="O48" s="3494"/>
      <c r="P48" s="3494"/>
      <c r="Q48" s="3494"/>
      <c r="R48" s="1243"/>
      <c r="S48" s="631"/>
      <c r="V48" s="2680"/>
      <c r="W48" s="816"/>
      <c r="X48" s="28"/>
      <c r="Y48" s="28"/>
      <c r="AA48" s="28"/>
      <c r="AB48" s="28"/>
      <c r="AC48" s="2822"/>
      <c r="AD48" s="2822"/>
      <c r="AE48" s="2827"/>
      <c r="AF48" s="2926"/>
      <c r="AG48" s="2926"/>
      <c r="AH48" s="2926"/>
      <c r="AI48" s="2926"/>
      <c r="AJ48" s="2926"/>
      <c r="AK48" s="2926"/>
      <c r="AL48" s="2925" t="s">
        <v>1696</v>
      </c>
      <c r="AM48" s="2926"/>
      <c r="AN48" s="2926"/>
      <c r="AO48" s="2926"/>
      <c r="AP48" s="2927" t="s">
        <v>1756</v>
      </c>
      <c r="AQ48" s="2926"/>
      <c r="AR48" s="2926"/>
      <c r="AS48" s="2926"/>
      <c r="AT48" s="2926"/>
      <c r="AU48" s="2926"/>
      <c r="AV48" s="2926"/>
      <c r="AW48" s="2934"/>
      <c r="AX48" s="2862"/>
      <c r="AZ48" s="28"/>
      <c r="BA48" s="28"/>
      <c r="BC48" s="28"/>
      <c r="BD48" s="28"/>
      <c r="BE48" s="2867"/>
      <c r="BF48" s="2681"/>
      <c r="BI48" s="631"/>
      <c r="BJ48" s="631"/>
      <c r="BK48" s="3521" t="s">
        <v>1490</v>
      </c>
      <c r="BL48" s="3521"/>
      <c r="BM48" s="3521"/>
      <c r="BN48" s="3521"/>
      <c r="BO48" s="3521"/>
      <c r="BP48" s="3521"/>
      <c r="BQ48" s="2395"/>
      <c r="BR48" s="2395"/>
      <c r="BS48" s="3521" t="s">
        <v>1504</v>
      </c>
      <c r="BT48" s="3521"/>
      <c r="BU48" s="3521"/>
      <c r="BV48" s="3521"/>
      <c r="BW48" s="3521"/>
      <c r="BX48" s="3521"/>
      <c r="BY48" s="631"/>
      <c r="BZ48" s="631"/>
      <c r="CC48" s="3476"/>
      <c r="CD48" s="3476"/>
      <c r="CE48" s="3476"/>
      <c r="CF48" s="3476"/>
      <c r="CG48" s="3476"/>
      <c r="CH48" s="3476"/>
      <c r="CI48" s="3476"/>
      <c r="CJ48" s="3476"/>
      <c r="CK48" s="3476"/>
      <c r="CL48" s="3476"/>
      <c r="CM48" s="3476"/>
      <c r="CN48" s="3476"/>
      <c r="CQ48" s="3010"/>
      <c r="CR48" s="2430" t="s">
        <v>1490</v>
      </c>
      <c r="CU48" s="3011"/>
      <c r="DB48" s="242"/>
      <c r="DD48" s="2901" t="s">
        <v>1843</v>
      </c>
      <c r="DE48" s="2998" t="s">
        <v>1836</v>
      </c>
      <c r="DH48" s="299"/>
      <c r="DU48" s="1750"/>
      <c r="DV48" s="1750"/>
      <c r="DW48" s="1750"/>
      <c r="DX48" s="1750"/>
      <c r="DY48" s="1750"/>
      <c r="DZ48" s="1750"/>
      <c r="EA48" s="1750"/>
      <c r="EB48" s="1750"/>
      <c r="EC48" s="1750"/>
      <c r="ED48" s="1750"/>
      <c r="EE48" s="1750"/>
      <c r="EF48" s="1750"/>
      <c r="EG48" s="1750"/>
    </row>
    <row r="49" spans="2:137" ht="17.100000000000001" customHeight="1" x14ac:dyDescent="0.2">
      <c r="B49" s="1243"/>
      <c r="C49" s="1243"/>
      <c r="D49" s="3493"/>
      <c r="E49" s="3493"/>
      <c r="F49" s="3493"/>
      <c r="G49" s="3493"/>
      <c r="H49" s="3493"/>
      <c r="I49" s="3493"/>
      <c r="J49" s="1243"/>
      <c r="K49" s="1243"/>
      <c r="L49" s="3494"/>
      <c r="M49" s="3494"/>
      <c r="N49" s="3494"/>
      <c r="O49" s="3494"/>
      <c r="P49" s="3494"/>
      <c r="Q49" s="3494"/>
      <c r="R49" s="1243"/>
      <c r="S49" s="631"/>
      <c r="V49" s="2680"/>
      <c r="W49" s="816"/>
      <c r="X49" s="28"/>
      <c r="Y49" s="28"/>
      <c r="AA49" s="28"/>
      <c r="AB49" s="28"/>
      <c r="AC49" s="2822"/>
      <c r="AD49" s="2928"/>
      <c r="AE49" s="2928"/>
      <c r="AF49" s="2392"/>
      <c r="AG49" s="2392"/>
      <c r="AH49" s="2392"/>
      <c r="AI49" s="2392"/>
      <c r="AJ49" s="2392"/>
      <c r="AK49" s="2392"/>
      <c r="AL49" s="2392"/>
      <c r="AM49" s="2392"/>
      <c r="AN49" s="2392"/>
      <c r="AO49" s="2392"/>
      <c r="AP49" s="2392"/>
      <c r="AQ49" s="2392"/>
      <c r="AR49" s="2392"/>
      <c r="AS49" s="2392"/>
      <c r="AT49" s="2392"/>
      <c r="AU49" s="2392"/>
      <c r="AV49" s="2392"/>
      <c r="AW49" s="7"/>
      <c r="AX49" s="2928"/>
      <c r="AZ49" s="28"/>
      <c r="BA49" s="28"/>
      <c r="BC49" s="28"/>
      <c r="BD49" s="28"/>
      <c r="BE49" s="2867"/>
      <c r="BF49" s="2681"/>
      <c r="BI49" s="631"/>
      <c r="BJ49" s="631"/>
      <c r="BK49" s="3522">
        <v>0</v>
      </c>
      <c r="BL49" s="3522"/>
      <c r="BM49" s="3522"/>
      <c r="BN49" s="3522"/>
      <c r="BO49" s="3522"/>
      <c r="BP49" s="3522"/>
      <c r="BQ49" s="3001" t="str">
        <f>IF(AND($BK$52&lt;&gt;$DD$56,$BK$49=$DD$57),$DE$57,"")</f>
        <v/>
      </c>
      <c r="BR49" s="2996"/>
      <c r="BS49" s="3523" t="s">
        <v>1846</v>
      </c>
      <c r="BT49" s="3523"/>
      <c r="BU49" s="3523"/>
      <c r="BV49" s="3523"/>
      <c r="BW49" s="3523"/>
      <c r="BX49" s="3523"/>
      <c r="BY49" s="3000" t="str">
        <f>IF(AND($BK$49=0,OR($BS$52&lt;&gt;$DD$52,$BS$52=""),$BS$49=$DD$53),$DE$53,"")</f>
        <v/>
      </c>
      <c r="BZ49" s="631"/>
      <c r="CC49" s="3487">
        <f>BK49</f>
        <v>0</v>
      </c>
      <c r="CD49" s="3487"/>
      <c r="CE49" s="3487"/>
      <c r="CF49" s="3487" t="str">
        <f>ROMAN(CC49)</f>
        <v/>
      </c>
      <c r="CG49" s="3487"/>
      <c r="CH49" s="3487"/>
      <c r="CI49" s="3487">
        <f>LEN(CF49)</f>
        <v>0</v>
      </c>
      <c r="CJ49" s="3487"/>
      <c r="CK49" s="3487"/>
      <c r="CL49" s="3487" t="str">
        <f>_xlfn.IFS(
CI49=1,CF49,
CI49=2,LEFT(CF49,1) &amp;" "&amp; RIGHT(CF49,1),
CI49=3,LEFT(CF49,1) &amp;" "&amp; MID(CF49,2,1) &amp;" "&amp; RIGHT(CF49,1),
CI49=4,LEFT(CF49,1) &amp;" "&amp; MID(CF49,2,1) &amp;" "&amp; MID(CF49,3,1) &amp;" "&amp; RIGHT(CF49,1),
CI49=5,LEFT(CF49,1) &amp;" "&amp; MID(CF49,2,1) &amp;" "&amp; MID(CF49,3,1) &amp;" "&amp; MID(CF49,4,1) &amp;" "&amp; RIGHT(CF49,1),
CI49=6,LEFT(CF49,1) &amp;" "&amp; MID(CF49,2,1) &amp;" "&amp; MID(CF49,3,1) &amp;" "&amp; MID(CF49,4,1) &amp;" "&amp; MID(CF49,5,1) &amp;" "&amp; RIGHT(CF49,1),
CI49=7,LEFT(CF49,1) &amp;" "&amp; MID(CF49,2,1) &amp;" "&amp; MID(CF49,3,1) &amp;" "&amp; MID(CF49,4,1) &amp;" "&amp; MID(CF49,5,1) &amp;" "&amp; MID(CF49,6,1) &amp;" "&amp; RIGHT(CF49,1),
CI49=8,LEFT(CF49,1) &amp;" "&amp; MID(CF49,2,1) &amp;" "&amp; MID(CF49,3,1) &amp;" "&amp; MID(CF49,4,1) &amp;" "&amp; MID(CF49,5,1) &amp;" "&amp; MID(CF49,6,1) &amp;" "&amp; MID(CF49,7,1) &amp;" "&amp; RIGHT(CF49,1),
CI49=9,LEFT(CF49,1) &amp;" "&amp; MID(CF49,2,1) &amp;" "&amp; MID(CF49,3,1) &amp;" "&amp; MID(CF49,4,1) &amp;" "&amp; MID(CF49,5,1) &amp;" "&amp; MID(CF49,6,1) &amp;" "&amp; MID(CF49,7,1) &amp;" "&amp; MID(CF49,8,1) &amp;" "&amp; RIGHT(CF49,1),
CI49=10,LEFT(CF49,1) &amp;" "&amp; MID(CF49,2,1) &amp;" "&amp; MID(CF49,3,1) &amp;" "&amp; MID(CF49,4,1) &amp;" "&amp; MID(CF49,5,1) &amp;" "&amp; MID(CF49,6,1) &amp;" "&amp; MID(CF49,7,1) &amp;" "&amp; MID(CF49,8,1) &amp;" "&amp; MID(CF49,9,1) &amp;" "&amp; RIGHT(CF49,1),
TRUE,"")</f>
        <v/>
      </c>
      <c r="CM49" s="3487"/>
      <c r="CN49" s="3487"/>
      <c r="CQ49" s="3010"/>
      <c r="CR49" s="2435">
        <f>IF($E$56=0,1,$BK$49+1)</f>
        <v>1</v>
      </c>
      <c r="CU49" s="3011"/>
      <c r="DB49" s="242"/>
      <c r="DD49" s="2901" t="s">
        <v>2197</v>
      </c>
      <c r="DE49" s="2998" t="s">
        <v>1837</v>
      </c>
      <c r="DH49" s="299"/>
      <c r="DU49" s="1750"/>
      <c r="DV49" s="1750"/>
      <c r="DW49" s="1750"/>
      <c r="DX49" s="1750"/>
      <c r="DY49" s="1750"/>
      <c r="DZ49" s="1750"/>
      <c r="EA49" s="1750"/>
      <c r="EB49" s="1750"/>
      <c r="EC49" s="1750"/>
      <c r="ED49" s="1750"/>
      <c r="EE49" s="1750"/>
      <c r="EF49" s="1750"/>
      <c r="EG49" s="1750"/>
    </row>
    <row r="50" spans="2:137" ht="17.100000000000001" customHeight="1" x14ac:dyDescent="0.25">
      <c r="B50" s="1243"/>
      <c r="C50" s="1243"/>
      <c r="D50" s="2400"/>
      <c r="E50" s="2400"/>
      <c r="F50" s="2400"/>
      <c r="G50" s="2400"/>
      <c r="H50" s="2401"/>
      <c r="I50" s="2401"/>
      <c r="J50" s="1243"/>
      <c r="K50" s="1243"/>
      <c r="L50" s="2398"/>
      <c r="M50" s="2398"/>
      <c r="N50" s="2398"/>
      <c r="O50" s="2398"/>
      <c r="P50" s="2399"/>
      <c r="Q50" s="2399"/>
      <c r="R50" s="1243"/>
      <c r="S50" s="631"/>
      <c r="V50" s="2680"/>
      <c r="W50" s="816"/>
      <c r="AC50" s="2822"/>
      <c r="AD50" s="2928"/>
      <c r="AE50" s="2928"/>
      <c r="AF50" s="2392"/>
      <c r="AG50" s="2392"/>
      <c r="AH50" s="2392"/>
      <c r="AI50" s="2392"/>
      <c r="AJ50" s="2925" t="s">
        <v>1752</v>
      </c>
      <c r="AK50" s="2392"/>
      <c r="AL50" s="2392"/>
      <c r="AM50" s="2392"/>
      <c r="AN50" s="2925" t="s">
        <v>1758</v>
      </c>
      <c r="AO50" s="2392"/>
      <c r="AP50" s="2392"/>
      <c r="AQ50" s="2392"/>
      <c r="AR50" s="2925" t="s">
        <v>1757</v>
      </c>
      <c r="AS50" s="2392"/>
      <c r="AT50" s="2392"/>
      <c r="AU50" s="2392"/>
      <c r="AV50" s="2392"/>
      <c r="AW50" s="7"/>
      <c r="AX50" s="2928"/>
      <c r="BE50" s="2867"/>
      <c r="BF50" s="2681"/>
      <c r="BI50" s="631"/>
      <c r="BJ50" s="631"/>
      <c r="BK50" s="631"/>
      <c r="BL50" s="631"/>
      <c r="BM50" s="631"/>
      <c r="BN50" s="631"/>
      <c r="BO50" s="631"/>
      <c r="BP50" s="631"/>
      <c r="BQ50" s="3003"/>
      <c r="BR50" s="2395"/>
      <c r="BS50" s="631"/>
      <c r="BT50" s="631"/>
      <c r="BU50" s="631"/>
      <c r="BV50" s="631"/>
      <c r="BW50" s="631"/>
      <c r="BX50" s="631"/>
      <c r="BY50" s="3004"/>
      <c r="BZ50" s="631"/>
      <c r="CQ50" s="3010"/>
      <c r="CU50" s="3011"/>
      <c r="DB50" s="242"/>
      <c r="DD50" s="2901" t="s">
        <v>2199</v>
      </c>
      <c r="DE50" s="2998" t="s">
        <v>1838</v>
      </c>
      <c r="DH50" s="299"/>
      <c r="DU50" s="1750"/>
      <c r="DV50" s="1750"/>
      <c r="DW50" s="1750"/>
      <c r="DX50" s="1750"/>
      <c r="DY50" s="1750"/>
      <c r="DZ50" s="1750"/>
      <c r="EA50" s="1750"/>
      <c r="EB50" s="1750"/>
      <c r="EC50" s="1750"/>
      <c r="ED50" s="1750"/>
      <c r="EE50" s="1750"/>
      <c r="EF50" s="1750"/>
      <c r="EG50" s="1750"/>
    </row>
    <row r="51" spans="2:137" ht="17.100000000000001" customHeight="1" x14ac:dyDescent="0.25">
      <c r="B51" s="1243"/>
      <c r="C51" s="1243"/>
      <c r="D51" s="3493" t="s">
        <v>6</v>
      </c>
      <c r="E51" s="3493"/>
      <c r="F51" s="3493"/>
      <c r="G51" s="3493"/>
      <c r="H51" s="3493"/>
      <c r="I51" s="3493"/>
      <c r="J51" s="1243"/>
      <c r="K51" s="1243"/>
      <c r="L51" s="3494" t="s">
        <v>1509</v>
      </c>
      <c r="M51" s="3494"/>
      <c r="N51" s="3494"/>
      <c r="O51" s="3494"/>
      <c r="P51" s="3494"/>
      <c r="Q51" s="3494"/>
      <c r="R51" s="1243"/>
      <c r="S51" s="631"/>
      <c r="V51" s="2680"/>
      <c r="W51" s="816"/>
      <c r="X51" s="28"/>
      <c r="Y51" s="28"/>
      <c r="AA51" s="28"/>
      <c r="AB51" s="28"/>
      <c r="AC51" s="2822"/>
      <c r="AD51" s="2928"/>
      <c r="AE51" s="2928"/>
      <c r="AF51" s="2925"/>
      <c r="AG51" s="2925"/>
      <c r="AH51" s="2925"/>
      <c r="AI51" s="2925"/>
      <c r="AJ51" s="2925"/>
      <c r="AK51" s="2925"/>
      <c r="AL51" s="2925"/>
      <c r="AM51" s="2925"/>
      <c r="AN51" s="2925"/>
      <c r="AO51" s="2925"/>
      <c r="AP51" s="2925"/>
      <c r="AQ51" s="2925"/>
      <c r="AR51" s="2925"/>
      <c r="AS51" s="2925"/>
      <c r="AT51" s="2925"/>
      <c r="AU51" s="2925"/>
      <c r="AV51" s="2925"/>
      <c r="AW51" s="2935"/>
      <c r="AX51" s="2928"/>
      <c r="AZ51" s="28"/>
      <c r="BA51" s="28"/>
      <c r="BC51" s="28"/>
      <c r="BD51" s="28"/>
      <c r="BE51" s="2867"/>
      <c r="BF51" s="2681"/>
      <c r="BI51" s="631"/>
      <c r="BJ51" s="631"/>
      <c r="BK51" s="3521" t="s">
        <v>251</v>
      </c>
      <c r="BL51" s="3521"/>
      <c r="BM51" s="3521"/>
      <c r="BN51" s="3521"/>
      <c r="BO51" s="3521"/>
      <c r="BP51" s="3521"/>
      <c r="BQ51" s="3003"/>
      <c r="BR51" s="2395"/>
      <c r="BS51" s="3521" t="s">
        <v>900</v>
      </c>
      <c r="BT51" s="3521"/>
      <c r="BU51" s="3521"/>
      <c r="BV51" s="3521"/>
      <c r="BW51" s="3521"/>
      <c r="BX51" s="3521"/>
      <c r="BY51" s="3004"/>
      <c r="BZ51" s="631"/>
      <c r="CQ51" s="3010"/>
      <c r="CR51" s="2430" t="s">
        <v>251</v>
      </c>
      <c r="CU51" s="3011"/>
      <c r="DB51" s="242"/>
      <c r="DD51" s="2901" t="s">
        <v>1847</v>
      </c>
      <c r="DE51" s="2998" t="s">
        <v>1839</v>
      </c>
      <c r="DF51" s="2998"/>
      <c r="DG51" s="1766"/>
      <c r="DH51" s="299"/>
      <c r="DJ51" s="2998"/>
      <c r="DK51" s="1766"/>
      <c r="DU51" s="1750"/>
      <c r="DV51" s="1750"/>
      <c r="DW51" s="1750"/>
      <c r="DX51" s="1750"/>
      <c r="DY51" s="1750"/>
      <c r="DZ51" s="1750"/>
      <c r="EA51" s="1750"/>
      <c r="EB51" s="1750"/>
      <c r="EC51" s="1750"/>
      <c r="ED51" s="1750"/>
      <c r="EE51" s="1750"/>
      <c r="EF51" s="1750"/>
      <c r="EG51" s="1750"/>
    </row>
    <row r="52" spans="2:137" ht="17.100000000000001" customHeight="1" x14ac:dyDescent="0.2">
      <c r="B52" s="1243"/>
      <c r="C52" s="1243"/>
      <c r="D52" s="3493"/>
      <c r="E52" s="3493"/>
      <c r="F52" s="3493"/>
      <c r="G52" s="3493"/>
      <c r="H52" s="3493"/>
      <c r="I52" s="3493"/>
      <c r="J52" s="1243"/>
      <c r="K52" s="1243"/>
      <c r="L52" s="3494"/>
      <c r="M52" s="3494"/>
      <c r="N52" s="3494"/>
      <c r="O52" s="3494"/>
      <c r="P52" s="3494"/>
      <c r="Q52" s="3494"/>
      <c r="R52" s="1243"/>
      <c r="S52" s="631"/>
      <c r="V52" s="2680"/>
      <c r="W52" s="816"/>
      <c r="X52" s="28"/>
      <c r="Y52" s="28"/>
      <c r="AA52" s="28"/>
      <c r="AB52" s="28"/>
      <c r="AC52" s="2822"/>
      <c r="AD52" s="2822"/>
      <c r="AE52" s="2827"/>
      <c r="AF52" s="2926"/>
      <c r="AG52" s="2926"/>
      <c r="AH52" s="2925" t="s">
        <v>1754</v>
      </c>
      <c r="AI52" s="2926"/>
      <c r="AJ52" s="2926"/>
      <c r="AK52" s="2926"/>
      <c r="AL52" s="2925" t="s">
        <v>1777</v>
      </c>
      <c r="AM52" s="2926"/>
      <c r="AN52" s="2926"/>
      <c r="AO52" s="2926"/>
      <c r="AP52" s="2925" t="s">
        <v>1776</v>
      </c>
      <c r="AQ52" s="2926"/>
      <c r="AR52" s="2926"/>
      <c r="AS52" s="2926"/>
      <c r="AT52" s="2925" t="s">
        <v>1755</v>
      </c>
      <c r="AU52" s="2926"/>
      <c r="AV52" s="2926"/>
      <c r="AW52" s="2934"/>
      <c r="AX52" s="2862"/>
      <c r="AZ52" s="28"/>
      <c r="BA52" s="28"/>
      <c r="BC52" s="28"/>
      <c r="BD52" s="28"/>
      <c r="BE52" s="2867"/>
      <c r="BF52" s="2681"/>
      <c r="BI52" s="631"/>
      <c r="BJ52" s="631"/>
      <c r="BK52" s="3522" t="s">
        <v>1844</v>
      </c>
      <c r="BL52" s="3522"/>
      <c r="BM52" s="3522"/>
      <c r="BN52" s="3522"/>
      <c r="BO52" s="3522"/>
      <c r="BP52" s="3522"/>
      <c r="BQ52" s="2997" t="str">
        <f>IF(AND($BK$49=0,$BK$55&lt;&gt;$DD$55,$BK$52=$DD$56),$DE$56,"")</f>
        <v/>
      </c>
      <c r="BR52" s="2983"/>
      <c r="BS52" s="3523" t="s">
        <v>1848</v>
      </c>
      <c r="BT52" s="3523"/>
      <c r="BU52" s="3523"/>
      <c r="BV52" s="3523"/>
      <c r="BW52" s="3523"/>
      <c r="BX52" s="3523"/>
      <c r="BY52" s="2994" t="str">
        <f>IF(AND($BK$49=0,$BS$55&lt;&gt;$DD$51,$BS$52=$DD$52),$DE$52,"")</f>
        <v/>
      </c>
      <c r="BZ52" s="631"/>
      <c r="CC52" s="3475" t="s">
        <v>1434</v>
      </c>
      <c r="CD52" s="3475"/>
      <c r="CE52" s="3475"/>
      <c r="CF52" s="3475" t="s">
        <v>1435</v>
      </c>
      <c r="CG52" s="3475"/>
      <c r="CH52" s="3475"/>
      <c r="CI52" s="3475" t="s">
        <v>1436</v>
      </c>
      <c r="CJ52" s="3475"/>
      <c r="CK52" s="3475"/>
      <c r="CL52" s="3475" t="s">
        <v>1437</v>
      </c>
      <c r="CM52" s="3475"/>
      <c r="CN52" s="3475"/>
      <c r="CQ52" s="3010"/>
      <c r="CR52" s="2435">
        <f ca="1">MONTH(TODAY())</f>
        <v>6</v>
      </c>
      <c r="CU52" s="3011"/>
      <c r="DB52" s="242"/>
      <c r="DD52" s="2901" t="s">
        <v>1848</v>
      </c>
      <c r="DE52" s="2998" t="s">
        <v>1840</v>
      </c>
      <c r="DH52" s="299"/>
      <c r="DU52" s="1750"/>
      <c r="DV52" s="1750"/>
      <c r="DW52" s="1750"/>
      <c r="DX52" s="1750"/>
      <c r="DY52" s="1750"/>
      <c r="DZ52" s="1750"/>
      <c r="EA52" s="1750"/>
      <c r="EB52" s="1750"/>
      <c r="EC52" s="1750"/>
      <c r="ED52" s="1750"/>
      <c r="EE52" s="1750"/>
      <c r="EF52" s="1750"/>
      <c r="EG52" s="1750"/>
    </row>
    <row r="53" spans="2:137" ht="17.100000000000001" customHeight="1" x14ac:dyDescent="0.25">
      <c r="B53" s="1243"/>
      <c r="C53" s="1243"/>
      <c r="D53" s="2400"/>
      <c r="E53" s="2400"/>
      <c r="F53" s="2400"/>
      <c r="G53" s="2400"/>
      <c r="H53" s="2401"/>
      <c r="I53" s="2401"/>
      <c r="J53" s="1243"/>
      <c r="K53" s="1243"/>
      <c r="L53" s="2398"/>
      <c r="M53" s="2398"/>
      <c r="N53" s="2398"/>
      <c r="O53" s="2398"/>
      <c r="P53" s="2399"/>
      <c r="Q53" s="2399"/>
      <c r="R53" s="1243"/>
      <c r="S53" s="631"/>
      <c r="V53" s="2680"/>
      <c r="W53" s="816"/>
      <c r="X53" s="2939"/>
      <c r="AC53" s="2822"/>
      <c r="AD53" s="2822"/>
      <c r="AE53" s="2827"/>
      <c r="AF53" s="2926"/>
      <c r="AG53" s="2926"/>
      <c r="AH53" s="2926"/>
      <c r="AI53" s="2926"/>
      <c r="AJ53" s="2926"/>
      <c r="AK53" s="2926"/>
      <c r="AL53" s="2926"/>
      <c r="AM53" s="2926"/>
      <c r="AN53" s="2926"/>
      <c r="AO53" s="2926"/>
      <c r="AP53" s="2926"/>
      <c r="AQ53" s="2926"/>
      <c r="AR53" s="2926"/>
      <c r="AS53" s="2926"/>
      <c r="AT53" s="2926"/>
      <c r="AU53" s="2926"/>
      <c r="AV53" s="2926"/>
      <c r="AW53" s="2934"/>
      <c r="AX53" s="2862"/>
      <c r="BE53" s="2867"/>
      <c r="BF53" s="2681"/>
      <c r="BI53" s="631"/>
      <c r="BJ53" s="631"/>
      <c r="BK53" s="631"/>
      <c r="BL53" s="631"/>
      <c r="BM53" s="631"/>
      <c r="BN53" s="631"/>
      <c r="BO53" s="631"/>
      <c r="BP53" s="631"/>
      <c r="BQ53" s="3003"/>
      <c r="BR53" s="2395"/>
      <c r="BS53" s="631"/>
      <c r="BT53" s="631"/>
      <c r="BU53" s="631"/>
      <c r="BV53" s="631"/>
      <c r="BW53" s="631"/>
      <c r="BX53" s="631"/>
      <c r="BY53" s="3004"/>
      <c r="BZ53" s="631"/>
      <c r="CC53" s="3476"/>
      <c r="CD53" s="3476"/>
      <c r="CE53" s="3476"/>
      <c r="CF53" s="3476"/>
      <c r="CG53" s="3476"/>
      <c r="CH53" s="3476"/>
      <c r="CI53" s="3476"/>
      <c r="CJ53" s="3476"/>
      <c r="CK53" s="3476"/>
      <c r="CL53" s="3476"/>
      <c r="CM53" s="3476"/>
      <c r="CN53" s="3476"/>
      <c r="CQ53" s="3010"/>
      <c r="CU53" s="3011"/>
      <c r="DB53" s="242"/>
      <c r="DD53" s="2901" t="s">
        <v>1846</v>
      </c>
      <c r="DE53" s="2998" t="s">
        <v>1841</v>
      </c>
      <c r="DF53" s="2998"/>
      <c r="DG53" s="1766"/>
      <c r="DH53" s="299"/>
      <c r="DJ53" s="2998"/>
      <c r="DK53" s="1766"/>
    </row>
    <row r="54" spans="2:137" ht="17.100000000000001" customHeight="1" x14ac:dyDescent="0.25">
      <c r="B54" s="1243"/>
      <c r="C54" s="1243"/>
      <c r="D54" s="3493" t="str">
        <f>IF($E$56&lt;=4,"N G + + +","N G " &amp; $E$56)</f>
        <v>N G + + +</v>
      </c>
      <c r="E54" s="3493"/>
      <c r="F54" s="3493"/>
      <c r="G54" s="3493"/>
      <c r="H54" s="3493"/>
      <c r="I54" s="3493"/>
      <c r="J54" s="1243"/>
      <c r="K54" s="1243"/>
      <c r="L54" s="3494" t="s">
        <v>1510</v>
      </c>
      <c r="M54" s="3494"/>
      <c r="N54" s="3494"/>
      <c r="O54" s="3494"/>
      <c r="P54" s="3494"/>
      <c r="Q54" s="3494"/>
      <c r="R54" s="1243"/>
      <c r="S54" s="631"/>
      <c r="V54" s="2680"/>
      <c r="W54" s="816"/>
      <c r="X54" s="2938"/>
      <c r="Y54" s="28"/>
      <c r="AC54" s="2822"/>
      <c r="AD54" s="2822"/>
      <c r="AE54" s="2827"/>
      <c r="AF54" s="2925" t="s">
        <v>1775</v>
      </c>
      <c r="AG54" s="2926"/>
      <c r="AH54" s="2926"/>
      <c r="AI54" s="2926"/>
      <c r="AJ54" s="2925" t="s">
        <v>1778</v>
      </c>
      <c r="AK54" s="2926"/>
      <c r="AL54" s="2926"/>
      <c r="AM54" s="2926"/>
      <c r="AN54" s="2925" t="s">
        <v>1799</v>
      </c>
      <c r="AO54" s="2926"/>
      <c r="AP54" s="2926"/>
      <c r="AQ54" s="2926"/>
      <c r="AR54" s="2925" t="s">
        <v>1753</v>
      </c>
      <c r="AS54" s="2926"/>
      <c r="AT54" s="2926"/>
      <c r="AU54" s="2926"/>
      <c r="AV54" s="2925" t="s">
        <v>1782</v>
      </c>
      <c r="AW54" s="2934"/>
      <c r="AX54" s="2862"/>
      <c r="BC54" s="28"/>
      <c r="BD54" s="28"/>
      <c r="BE54" s="2867"/>
      <c r="BF54" s="2681"/>
      <c r="BI54" s="631"/>
      <c r="BJ54" s="1248"/>
      <c r="BK54" s="3521" t="s">
        <v>177</v>
      </c>
      <c r="BL54" s="3521"/>
      <c r="BM54" s="3521"/>
      <c r="BN54" s="3521"/>
      <c r="BO54" s="3521"/>
      <c r="BP54" s="3521"/>
      <c r="BQ54" s="3003"/>
      <c r="BR54" s="2395"/>
      <c r="BS54" s="3521" t="s">
        <v>901</v>
      </c>
      <c r="BT54" s="3521"/>
      <c r="BU54" s="3521"/>
      <c r="BV54" s="3521"/>
      <c r="BW54" s="3521"/>
      <c r="BX54" s="3521"/>
      <c r="BY54" s="3004"/>
      <c r="BZ54" s="631"/>
      <c r="CC54" s="2371"/>
      <c r="CD54" s="2372">
        <f>JOURNEY!$AD$4</f>
        <v>0</v>
      </c>
      <c r="CE54" s="2373"/>
      <c r="CG54" s="2352">
        <v>0</v>
      </c>
      <c r="CJ54" s="2352">
        <f>IF(CD54&gt;CG54,CD54-CG54,0)</f>
        <v>0</v>
      </c>
      <c r="CM54" s="2372">
        <f>CJ54</f>
        <v>0</v>
      </c>
      <c r="CQ54" s="3010"/>
      <c r="CR54" s="2430" t="s">
        <v>177</v>
      </c>
      <c r="CU54" s="3011"/>
      <c r="DB54" s="242"/>
      <c r="DD54" s="2901" t="s">
        <v>2199</v>
      </c>
      <c r="DE54" s="2998" t="s">
        <v>1850</v>
      </c>
      <c r="DH54" s="299"/>
    </row>
    <row r="55" spans="2:137" ht="17.100000000000001" customHeight="1" x14ac:dyDescent="0.2">
      <c r="B55" s="1243"/>
      <c r="C55" s="1243"/>
      <c r="D55" s="3493"/>
      <c r="E55" s="3493"/>
      <c r="F55" s="3493"/>
      <c r="G55" s="3493"/>
      <c r="H55" s="3493"/>
      <c r="I55" s="3493"/>
      <c r="J55" s="1243"/>
      <c r="K55" s="1243"/>
      <c r="L55" s="3494"/>
      <c r="M55" s="3494"/>
      <c r="N55" s="3494"/>
      <c r="O55" s="3494"/>
      <c r="P55" s="3494"/>
      <c r="Q55" s="3494"/>
      <c r="R55" s="1243"/>
      <c r="S55" s="631"/>
      <c r="V55" s="2680"/>
      <c r="W55" s="816"/>
      <c r="X55" s="2937"/>
      <c r="Y55" s="28"/>
      <c r="AC55" s="2822"/>
      <c r="AD55" s="2822"/>
      <c r="AE55" s="2827"/>
      <c r="AF55" s="2922"/>
      <c r="AG55" s="2922"/>
      <c r="AH55" s="2392"/>
      <c r="AI55" s="2392"/>
      <c r="AJ55" s="2392"/>
      <c r="AK55" s="2392"/>
      <c r="AL55" s="2392"/>
      <c r="AM55" s="2392"/>
      <c r="AN55" s="2392"/>
      <c r="AO55" s="2392"/>
      <c r="AP55" s="2392"/>
      <c r="AQ55" s="2392"/>
      <c r="AR55" s="2392"/>
      <c r="AS55" s="2392"/>
      <c r="AT55" s="2392"/>
      <c r="AU55" s="2392"/>
      <c r="AV55" s="2922"/>
      <c r="AW55" s="2936"/>
      <c r="AX55" s="2862"/>
      <c r="BC55" s="28"/>
      <c r="BD55" s="28"/>
      <c r="BE55" s="2867"/>
      <c r="BF55" s="2681"/>
      <c r="BI55" s="1248"/>
      <c r="BJ55" s="1248"/>
      <c r="BK55" s="3522" t="s">
        <v>1845</v>
      </c>
      <c r="BL55" s="3522"/>
      <c r="BM55" s="3522"/>
      <c r="BN55" s="3522"/>
      <c r="BO55" s="3522"/>
      <c r="BP55" s="3522"/>
      <c r="BQ55" s="2996" t="str">
        <f>IF(AND($BK$49=0,$BK$58&lt;&gt;$DD$54,$BK$55=$DD$55),$DE$55,"")</f>
        <v/>
      </c>
      <c r="BR55" s="2996"/>
      <c r="BS55" s="3523" t="s">
        <v>1847</v>
      </c>
      <c r="BT55" s="3523"/>
      <c r="BU55" s="3523"/>
      <c r="BV55" s="3523"/>
      <c r="BW55" s="3523"/>
      <c r="BX55" s="3523"/>
      <c r="BY55" s="3002" t="str">
        <f>IF(AND($BK$49=0,$BS$58&lt;&gt;$DD$50,$BS$55=$DD$51),$DE$51,"")</f>
        <v/>
      </c>
      <c r="BZ55" s="3002"/>
      <c r="CE55" s="2373"/>
      <c r="CK55" s="1997"/>
      <c r="CL55" s="1996"/>
      <c r="CQ55" s="3010"/>
      <c r="CR55" s="2436">
        <f ca="1">YEAR(TODAY())</f>
        <v>2024</v>
      </c>
      <c r="CU55" s="3011"/>
      <c r="DB55" s="242"/>
      <c r="DD55" s="2901" t="s">
        <v>1845</v>
      </c>
      <c r="DE55" s="2998" t="s">
        <v>1851</v>
      </c>
      <c r="DH55" s="299"/>
    </row>
    <row r="56" spans="2:137" ht="17.100000000000001" customHeight="1" x14ac:dyDescent="0.25">
      <c r="B56" s="2951"/>
      <c r="C56" s="2951"/>
      <c r="D56" s="2951"/>
      <c r="E56" s="3218" cm="1">
        <f t="array" ref="E56">_xlfn.IFS($D$58=$CC$1,1,$D$58=$CC$2,2,$D$58=$CC$3,3,$D$58=$CC$4,4,$D$58=$CC$5,5,$D$58=$CC$6,6,$D$58=$CC$7,7,D$58=$CC$8,8,D$58=$CC$9,9,TRUE,0)</f>
        <v>0</v>
      </c>
      <c r="F56" s="2951"/>
      <c r="G56" s="2951"/>
      <c r="H56" s="2951"/>
      <c r="I56" s="2951"/>
      <c r="J56" s="2951"/>
      <c r="K56" s="1243"/>
      <c r="L56" s="2396"/>
      <c r="M56" s="2396"/>
      <c r="N56" s="2396"/>
      <c r="O56" s="2396"/>
      <c r="P56" s="2397"/>
      <c r="Q56" s="2397"/>
      <c r="R56" s="1243"/>
      <c r="S56" s="631"/>
      <c r="V56" s="2680"/>
      <c r="W56" s="816"/>
      <c r="X56" s="2937"/>
      <c r="Y56" s="2863"/>
      <c r="Z56" s="2863"/>
      <c r="AA56" s="2863"/>
      <c r="AB56" s="2861"/>
      <c r="AC56" s="2861"/>
      <c r="AD56" s="2861"/>
      <c r="AE56" s="2630"/>
      <c r="AF56" s="907"/>
      <c r="AG56" s="907"/>
      <c r="AH56" s="915"/>
      <c r="AI56" s="915"/>
      <c r="AJ56" s="915"/>
      <c r="AK56" s="2862"/>
      <c r="AL56" s="915"/>
      <c r="AM56" s="915"/>
      <c r="AN56" s="714"/>
      <c r="AO56" s="915"/>
      <c r="AP56" s="915"/>
      <c r="AQ56" s="2862"/>
      <c r="AR56" s="915"/>
      <c r="AS56" s="915"/>
      <c r="AT56" s="915"/>
      <c r="AU56" s="915"/>
      <c r="AV56" s="915"/>
      <c r="AW56" s="2934"/>
      <c r="AX56" s="2864"/>
      <c r="AY56" s="2864"/>
      <c r="AZ56" s="2864"/>
      <c r="BA56" s="2864"/>
      <c r="BB56" s="2865"/>
      <c r="BC56" s="2866"/>
      <c r="BD56" s="2866"/>
      <c r="BE56" s="2860"/>
      <c r="BF56" s="2681"/>
      <c r="BI56" s="1248"/>
      <c r="BJ56" s="1248"/>
      <c r="BK56" s="2982"/>
      <c r="BL56" s="2982"/>
      <c r="BM56" s="2982"/>
      <c r="BN56" s="2982"/>
      <c r="BO56" s="2982"/>
      <c r="BP56" s="2982"/>
      <c r="BQ56" s="3003"/>
      <c r="BR56" s="2395"/>
      <c r="BS56" s="2422"/>
      <c r="BT56" s="2422"/>
      <c r="BU56" s="2422"/>
      <c r="BV56" s="2422"/>
      <c r="BW56" s="2422"/>
      <c r="BX56" s="2422"/>
      <c r="BY56" s="3005"/>
      <c r="BZ56" s="1248"/>
      <c r="CC56" s="2373"/>
      <c r="CD56" s="2373"/>
      <c r="CE56" s="2373"/>
      <c r="CK56" s="1997"/>
      <c r="CQ56" s="3012"/>
      <c r="CR56" s="3013"/>
      <c r="CS56" s="3013"/>
      <c r="CT56" s="3013"/>
      <c r="CU56" s="3014"/>
      <c r="DB56" s="242"/>
      <c r="DD56" s="2901" t="s">
        <v>1844</v>
      </c>
      <c r="DE56" s="2998" t="s">
        <v>1852</v>
      </c>
      <c r="DH56" s="299"/>
    </row>
    <row r="57" spans="2:137" ht="16.899999999999999" customHeight="1" x14ac:dyDescent="0.35">
      <c r="B57" s="2951"/>
      <c r="C57" s="668"/>
      <c r="D57" s="3514" t="s">
        <v>1424</v>
      </c>
      <c r="E57" s="3514"/>
      <c r="F57" s="3514"/>
      <c r="G57" s="3514"/>
      <c r="H57" s="3514"/>
      <c r="I57" s="3514"/>
      <c r="J57" s="668"/>
      <c r="K57" s="631"/>
      <c r="L57" s="3514" t="s">
        <v>1826</v>
      </c>
      <c r="M57" s="3514"/>
      <c r="N57" s="3514"/>
      <c r="O57" s="3514"/>
      <c r="P57" s="3514"/>
      <c r="Q57" s="3514"/>
      <c r="R57" s="631"/>
      <c r="S57" s="631"/>
      <c r="V57" s="2680"/>
      <c r="W57" s="816"/>
      <c r="X57" s="2921"/>
      <c r="Y57" s="2696"/>
      <c r="Z57" s="2696"/>
      <c r="AA57" s="2696"/>
      <c r="AB57" s="2697"/>
      <c r="AC57" s="2697"/>
      <c r="AD57" s="2698"/>
      <c r="AE57" s="2697"/>
      <c r="AF57" s="2717"/>
      <c r="AG57" s="2718"/>
      <c r="AH57" s="2719"/>
      <c r="AI57" s="2717"/>
      <c r="AJ57" s="2717"/>
      <c r="AK57" s="2717"/>
      <c r="AL57" s="2718"/>
      <c r="AM57" s="2717"/>
      <c r="AN57" s="2822"/>
      <c r="AO57" s="2718"/>
      <c r="AP57" s="2720"/>
      <c r="AQ57" s="2717"/>
      <c r="AR57" s="2717"/>
      <c r="AS57" s="2717"/>
      <c r="AT57" s="2718"/>
      <c r="AU57" s="2721"/>
      <c r="AV57" s="2721"/>
      <c r="AW57" s="2698"/>
      <c r="AX57" s="30"/>
      <c r="AY57" s="2697"/>
      <c r="AZ57" s="2697"/>
      <c r="BA57" s="2697"/>
      <c r="BB57" s="2697"/>
      <c r="BC57" s="2700"/>
      <c r="BD57" s="2695"/>
      <c r="BE57" s="816"/>
      <c r="BF57" s="2681"/>
      <c r="BI57" s="1248"/>
      <c r="BJ57" s="631"/>
      <c r="BK57" s="3513" t="s">
        <v>1501</v>
      </c>
      <c r="BL57" s="3513"/>
      <c r="BM57" s="3513"/>
      <c r="BN57" s="3513"/>
      <c r="BO57" s="3513"/>
      <c r="BP57" s="3513"/>
      <c r="BQ57" s="3003"/>
      <c r="BR57" s="2395"/>
      <c r="BS57" s="3524" t="s">
        <v>1824</v>
      </c>
      <c r="BT57" s="3524"/>
      <c r="BU57" s="3524"/>
      <c r="BV57" s="3524"/>
      <c r="BW57" s="3524"/>
      <c r="BX57" s="3524"/>
      <c r="BY57" s="3004"/>
      <c r="BZ57" s="631"/>
      <c r="CC57" s="3520" t="s">
        <v>1691</v>
      </c>
      <c r="CD57" s="3520"/>
      <c r="CE57" s="3520"/>
      <c r="CF57" s="3520"/>
      <c r="CG57" s="3520"/>
      <c r="CH57" s="3520"/>
      <c r="CK57" s="1997"/>
      <c r="CR57" s="1766" t="s">
        <v>1501</v>
      </c>
      <c r="DB57" s="251"/>
      <c r="DC57" s="252"/>
      <c r="DD57" s="3016">
        <v>0</v>
      </c>
      <c r="DE57" s="3017" t="s">
        <v>1853</v>
      </c>
      <c r="DF57" s="252"/>
      <c r="DG57" s="252"/>
      <c r="DH57" s="253"/>
    </row>
    <row r="58" spans="2:137" ht="17.100000000000001" customHeight="1" x14ac:dyDescent="0.2">
      <c r="B58" s="2989"/>
      <c r="C58" s="2989" t="str">
        <f>IF(AND($BK$49=0,$D$58=$DD$48),$DE$48,"")</f>
        <v>①</v>
      </c>
      <c r="D58" s="3515" t="s">
        <v>1843</v>
      </c>
      <c r="E58" s="3515"/>
      <c r="F58" s="3515"/>
      <c r="G58" s="3515"/>
      <c r="H58" s="3515"/>
      <c r="I58" s="3515"/>
      <c r="J58" s="2952"/>
      <c r="K58" s="2992" t="str">
        <f>IF(AND($BK$49=0,$D$58&lt;&gt;$DD$48,$L$58=$DD$49),$DE$49,"")</f>
        <v/>
      </c>
      <c r="L58" s="3515" t="s">
        <v>2197</v>
      </c>
      <c r="M58" s="3515"/>
      <c r="N58" s="3515"/>
      <c r="O58" s="3515"/>
      <c r="P58" s="3515"/>
      <c r="Q58" s="3515"/>
      <c r="R58" s="631"/>
      <c r="S58" s="631"/>
      <c r="V58" s="2680"/>
      <c r="W58" s="2990"/>
      <c r="X58" s="2940" t="s">
        <v>4</v>
      </c>
      <c r="Y58" s="2819" t="s">
        <v>1707</v>
      </c>
      <c r="Z58" s="300"/>
      <c r="AA58" s="300"/>
      <c r="AB58" s="300"/>
      <c r="AC58" s="300"/>
      <c r="AD58" s="300"/>
      <c r="AE58" s="2826"/>
      <c r="AF58" s="300"/>
      <c r="AG58" s="300"/>
      <c r="AH58" s="43"/>
      <c r="AI58" s="43"/>
      <c r="AJ58" s="43"/>
      <c r="AK58" s="43"/>
      <c r="AL58" s="43"/>
      <c r="AM58" s="43"/>
      <c r="AN58" s="43"/>
      <c r="AO58" s="43"/>
      <c r="AP58" s="43"/>
      <c r="AQ58" s="43"/>
      <c r="AR58" s="43"/>
      <c r="AS58" s="43"/>
      <c r="AT58" s="43"/>
      <c r="AU58" s="2932"/>
      <c r="AV58" s="2827"/>
      <c r="AW58" s="2827"/>
      <c r="AX58" s="2828"/>
      <c r="AY58" s="2827"/>
      <c r="AZ58" s="2827"/>
      <c r="BA58" s="2827"/>
      <c r="BB58" s="2827"/>
      <c r="BC58" s="2824" t="s">
        <v>1707</v>
      </c>
      <c r="BD58" s="2940" t="s">
        <v>4</v>
      </c>
      <c r="BE58" s="816"/>
      <c r="BF58" s="2681"/>
      <c r="BI58" s="1248"/>
      <c r="BJ58" s="631"/>
      <c r="BK58" s="3519" t="s">
        <v>2199</v>
      </c>
      <c r="BL58" s="3519"/>
      <c r="BM58" s="3519"/>
      <c r="BN58" s="3519"/>
      <c r="BO58" s="3519"/>
      <c r="BP58" s="3519"/>
      <c r="BQ58" s="2995" t="str">
        <f>IF(AND($BK$49=0,$BS$49&lt;&gt;$DD$53,$BK$58=$DD$54),$DE$54,"")</f>
        <v/>
      </c>
      <c r="BR58" s="2395"/>
      <c r="BS58" s="3519" t="s">
        <v>2199</v>
      </c>
      <c r="BT58" s="3525"/>
      <c r="BU58" s="3525"/>
      <c r="BV58" s="3525"/>
      <c r="BW58" s="3525"/>
      <c r="BX58" s="3525"/>
      <c r="BY58" s="2993" t="str">
        <f>IF(AND($BK$49=0,$L$58&lt;&gt;$DD$49,$BS$58=$DD$50),$DE$50,"")</f>
        <v/>
      </c>
      <c r="BZ58" s="631"/>
      <c r="CC58" s="3517" t="e" cm="1">
        <f t="array" ref="CC58">DATE($BK$55,$BK$52,_xlfn.IFS( OR($BK$52=1,$BK$52=3,$BK$52=5,$BK$52=7,$BK$52=8,$BK$52=10,$BK$52=12),31, OR($BK$52=4,$BK$52=6,$BK$52=9,$BK$52=11),30,AND($BK$52=2,PLANS!$CD$57=0),28,AND($BK$52=2,PLANS!$CD$57=1),29))</f>
        <v>#VALUE!</v>
      </c>
      <c r="CD58" s="3518"/>
      <c r="CE58" s="3518"/>
      <c r="CF58" s="3518"/>
      <c r="CG58" s="3518"/>
      <c r="CH58" s="3518"/>
      <c r="CI58" s="2016"/>
      <c r="CK58" s="1997"/>
      <c r="CR58" s="2437">
        <f ca="1">IF($BK$49=0,TODAY(),$CC$29)</f>
        <v>45454</v>
      </c>
      <c r="DD58" s="2970"/>
      <c r="DE58" s="384"/>
    </row>
    <row r="59" spans="2:137" ht="17.100000000000001" customHeight="1" x14ac:dyDescent="0.2">
      <c r="B59" s="2951"/>
      <c r="C59" s="2989"/>
      <c r="D59" s="2989"/>
      <c r="E59" s="2989"/>
      <c r="F59" s="2989"/>
      <c r="G59" s="2989"/>
      <c r="H59" s="2989"/>
      <c r="I59" s="2955"/>
      <c r="J59" s="2953"/>
      <c r="K59" s="1246"/>
      <c r="L59" s="1247"/>
      <c r="M59" s="1245"/>
      <c r="N59" s="1245"/>
      <c r="O59" s="1245"/>
      <c r="P59" s="1245"/>
      <c r="Q59" s="1245"/>
      <c r="R59" s="1245"/>
      <c r="S59" s="631"/>
      <c r="V59" s="2683"/>
      <c r="W59" s="2684"/>
      <c r="X59" s="2684"/>
      <c r="Y59" s="2684"/>
      <c r="Z59" s="2684"/>
      <c r="AA59" s="2684"/>
      <c r="AB59" s="2684"/>
      <c r="AC59" s="2684"/>
      <c r="AD59" s="2684"/>
      <c r="AE59" s="2684"/>
      <c r="AF59" s="2684"/>
      <c r="AG59" s="2684"/>
      <c r="AH59" s="2684"/>
      <c r="AI59" s="2684"/>
      <c r="AJ59" s="2684"/>
      <c r="AK59" s="2684"/>
      <c r="AL59" s="2684"/>
      <c r="AM59" s="2684"/>
      <c r="AN59" s="2684"/>
      <c r="AO59" s="2684"/>
      <c r="AP59" s="2684"/>
      <c r="AQ59" s="2684"/>
      <c r="AR59" s="2684"/>
      <c r="AS59" s="2684"/>
      <c r="AT59" s="2684"/>
      <c r="AU59" s="2684"/>
      <c r="AV59" s="2684"/>
      <c r="AW59" s="2684"/>
      <c r="AX59" s="2684"/>
      <c r="AY59" s="2684"/>
      <c r="AZ59" s="2684"/>
      <c r="BA59" s="2684"/>
      <c r="BB59" s="2684"/>
      <c r="BC59" s="2684"/>
      <c r="BD59" s="2684"/>
      <c r="BE59" s="2684"/>
      <c r="BF59" s="2685"/>
      <c r="BI59" s="1248"/>
      <c r="BJ59" s="1248"/>
      <c r="BK59" s="631"/>
      <c r="BL59" s="1249"/>
      <c r="BM59" s="2988"/>
      <c r="BN59" s="1250"/>
      <c r="BO59" s="1250"/>
      <c r="BP59" s="2965"/>
      <c r="BQ59" s="1250"/>
      <c r="BR59" s="1249"/>
      <c r="BS59" s="1248"/>
      <c r="BT59" s="1248"/>
      <c r="BU59" s="1248"/>
      <c r="BV59" s="1248"/>
      <c r="BW59" s="1248"/>
      <c r="BX59" s="1248"/>
      <c r="BY59" s="631"/>
      <c r="BZ59" s="631"/>
      <c r="CC59" s="2967"/>
      <c r="CD59" s="2373"/>
      <c r="CE59" s="2373"/>
      <c r="CG59" s="2966"/>
      <c r="CI59" s="2016"/>
      <c r="CK59" s="1997"/>
      <c r="DD59" s="2970"/>
      <c r="DE59" s="384"/>
    </row>
    <row r="60" spans="2:137" ht="17.100000000000001" customHeight="1" x14ac:dyDescent="0.15">
      <c r="CC60" s="2967"/>
      <c r="CD60" s="2373"/>
      <c r="CE60" s="2373"/>
      <c r="CG60" s="2966"/>
      <c r="DD60" s="2970"/>
      <c r="DE60" s="384"/>
    </row>
    <row r="61" spans="2:137" ht="17.100000000000001" customHeight="1" x14ac:dyDescent="0.15">
      <c r="B61" s="33"/>
      <c r="C61" s="33"/>
      <c r="F61" s="33"/>
      <c r="H61" s="33"/>
      <c r="J61" s="3504" t="s">
        <v>9</v>
      </c>
      <c r="K61" s="3504"/>
      <c r="T61" s="820"/>
      <c r="U61" s="820"/>
      <c r="AX61" s="41"/>
      <c r="BI61" s="33"/>
      <c r="BJ61" s="33"/>
      <c r="BM61" s="33"/>
      <c r="BO61" s="33"/>
      <c r="BQ61" s="3504" t="s">
        <v>9</v>
      </c>
      <c r="BR61" s="3504"/>
      <c r="BW61" s="34"/>
      <c r="CC61" s="2968"/>
      <c r="CD61" s="2373"/>
      <c r="CE61" s="2373"/>
      <c r="CG61" s="2966"/>
    </row>
    <row r="62" spans="2:137" ht="17.100000000000001" customHeight="1" thickBot="1" x14ac:dyDescent="0.2">
      <c r="B62" s="33"/>
      <c r="C62" s="33"/>
      <c r="F62" s="33"/>
      <c r="H62" s="33"/>
      <c r="J62" s="3504" t="s">
        <v>9</v>
      </c>
      <c r="K62" s="3504"/>
      <c r="T62" s="820"/>
      <c r="U62" s="820"/>
      <c r="BI62" s="33"/>
      <c r="BJ62" s="33"/>
      <c r="BM62" s="33"/>
      <c r="BO62" s="33"/>
      <c r="BQ62" s="3504" t="s">
        <v>9</v>
      </c>
      <c r="BR62" s="3504"/>
      <c r="BW62" s="34"/>
      <c r="CC62" s="1997"/>
      <c r="CD62" s="2373"/>
      <c r="CE62" s="2373"/>
      <c r="CG62" s="2966"/>
    </row>
    <row r="63" spans="2:137" ht="17.100000000000001" customHeight="1" x14ac:dyDescent="0.15">
      <c r="B63" s="3507" t="s">
        <v>1405</v>
      </c>
      <c r="C63" s="3508"/>
      <c r="D63" s="3508"/>
      <c r="E63" s="3508"/>
      <c r="F63" s="3508"/>
      <c r="G63" s="3508"/>
      <c r="H63" s="3508"/>
      <c r="I63" s="3508"/>
      <c r="J63" s="3508"/>
      <c r="K63" s="3508"/>
      <c r="L63" s="3508"/>
      <c r="M63" s="3508"/>
      <c r="N63" s="3508"/>
      <c r="O63" s="3508"/>
      <c r="P63" s="3508"/>
      <c r="Q63" s="3508"/>
      <c r="R63" s="3508"/>
      <c r="S63" s="3509"/>
      <c r="T63" s="820"/>
      <c r="U63" s="820"/>
      <c r="V63" s="227"/>
      <c r="W63" s="228"/>
      <c r="X63" s="228"/>
      <c r="Y63" s="2671"/>
      <c r="Z63" s="228"/>
      <c r="AA63" s="228"/>
      <c r="AB63" s="228"/>
      <c r="AC63" s="228"/>
      <c r="AD63" s="228"/>
      <c r="AE63" s="228"/>
      <c r="AF63" s="228"/>
      <c r="AG63" s="228"/>
      <c r="AH63" s="228"/>
      <c r="AI63" s="228"/>
      <c r="AJ63" s="228"/>
      <c r="AK63" s="228"/>
      <c r="AL63" s="228"/>
      <c r="AM63" s="228"/>
      <c r="AN63" s="228"/>
      <c r="AO63" s="228"/>
      <c r="AP63" s="228"/>
      <c r="AQ63" s="228"/>
      <c r="AR63" s="228"/>
      <c r="AS63" s="228"/>
      <c r="AT63" s="228"/>
      <c r="AU63" s="228"/>
      <c r="AV63" s="228"/>
      <c r="AW63" s="228"/>
      <c r="AX63" s="228"/>
      <c r="AY63" s="228"/>
      <c r="AZ63" s="228"/>
      <c r="BA63" s="228"/>
      <c r="BB63" s="228"/>
      <c r="BC63" s="228"/>
      <c r="BD63" s="228"/>
      <c r="BE63" s="228"/>
      <c r="BF63" s="256"/>
      <c r="BI63" s="3507" t="s">
        <v>1231</v>
      </c>
      <c r="BJ63" s="3508"/>
      <c r="BK63" s="3508"/>
      <c r="BL63" s="3508"/>
      <c r="BM63" s="3508"/>
      <c r="BN63" s="3508"/>
      <c r="BO63" s="3508"/>
      <c r="BP63" s="3508"/>
      <c r="BQ63" s="3508"/>
      <c r="BR63" s="3508"/>
      <c r="BS63" s="3508"/>
      <c r="BT63" s="3508"/>
      <c r="BU63" s="3508"/>
      <c r="BV63" s="3508"/>
      <c r="BW63" s="3508"/>
      <c r="BX63" s="3508"/>
      <c r="BY63" s="3508"/>
      <c r="BZ63" s="3509"/>
      <c r="CC63" s="2969"/>
      <c r="CD63" s="2373"/>
      <c r="CE63" s="2373"/>
      <c r="CG63" s="2966"/>
    </row>
    <row r="64" spans="2:137" ht="17.100000000000001" customHeight="1" x14ac:dyDescent="0.2">
      <c r="B64" s="3510"/>
      <c r="C64" s="3511"/>
      <c r="D64" s="3511"/>
      <c r="E64" s="3511"/>
      <c r="F64" s="3511"/>
      <c r="G64" s="3511"/>
      <c r="H64" s="3511"/>
      <c r="I64" s="3511"/>
      <c r="J64" s="3511"/>
      <c r="K64" s="3511"/>
      <c r="L64" s="3511"/>
      <c r="M64" s="3511"/>
      <c r="N64" s="3511"/>
      <c r="O64" s="3511"/>
      <c r="P64" s="3511"/>
      <c r="Q64" s="3511"/>
      <c r="R64" s="3511"/>
      <c r="S64" s="3512"/>
      <c r="V64" s="242"/>
      <c r="W64" s="46"/>
      <c r="X64" s="2935" t="s">
        <v>1822</v>
      </c>
      <c r="Y64" s="2686" t="s">
        <v>1783</v>
      </c>
      <c r="Z64" s="35"/>
      <c r="AA64" s="35"/>
      <c r="AB64" s="35"/>
      <c r="AC64" s="35"/>
      <c r="AD64" s="35"/>
      <c r="AE64" s="35"/>
      <c r="AF64" s="35"/>
      <c r="AG64" s="35"/>
      <c r="AH64" s="35"/>
      <c r="AI64" s="35"/>
      <c r="AJ64" s="35"/>
      <c r="AK64" s="35"/>
      <c r="AL64" s="35"/>
      <c r="AM64" s="35"/>
      <c r="AN64" s="2868"/>
      <c r="AO64" s="35"/>
      <c r="AP64" s="35"/>
      <c r="AQ64" s="35"/>
      <c r="AR64" s="35"/>
      <c r="AS64" s="35"/>
      <c r="AT64" s="35"/>
      <c r="AU64" s="35"/>
      <c r="AV64" s="35"/>
      <c r="AW64" s="35"/>
      <c r="AX64" s="35"/>
      <c r="AY64" s="35"/>
      <c r="AZ64" s="35"/>
      <c r="BA64" s="35"/>
      <c r="BB64" s="35"/>
      <c r="BC64" s="2869" t="s">
        <v>1784</v>
      </c>
      <c r="BD64" s="2935" t="s">
        <v>1822</v>
      </c>
      <c r="BF64" s="299"/>
      <c r="BI64" s="3510"/>
      <c r="BJ64" s="3511"/>
      <c r="BK64" s="3511"/>
      <c r="BL64" s="3511"/>
      <c r="BM64" s="3511"/>
      <c r="BN64" s="3511"/>
      <c r="BO64" s="3511"/>
      <c r="BP64" s="3511"/>
      <c r="BQ64" s="3511"/>
      <c r="BR64" s="3511"/>
      <c r="BS64" s="3511"/>
      <c r="BT64" s="3511"/>
      <c r="BU64" s="3511"/>
      <c r="BV64" s="3511"/>
      <c r="BW64" s="3511"/>
      <c r="BX64" s="3511"/>
      <c r="BY64" s="3511"/>
      <c r="BZ64" s="3512"/>
      <c r="CC64" s="2432"/>
      <c r="CD64" s="2373"/>
      <c r="CE64" s="2373"/>
      <c r="CG64" s="2966"/>
    </row>
    <row r="65" spans="2:85" ht="17.100000000000001" customHeight="1" x14ac:dyDescent="0.15">
      <c r="B65" s="3510"/>
      <c r="C65" s="3511"/>
      <c r="D65" s="3511"/>
      <c r="E65" s="3511"/>
      <c r="F65" s="3511"/>
      <c r="G65" s="3511"/>
      <c r="H65" s="3511"/>
      <c r="I65" s="3511"/>
      <c r="J65" s="3511"/>
      <c r="K65" s="3511"/>
      <c r="L65" s="3511"/>
      <c r="M65" s="3511"/>
      <c r="N65" s="3511"/>
      <c r="O65" s="3511"/>
      <c r="P65" s="3511"/>
      <c r="Q65" s="3511"/>
      <c r="R65" s="3511"/>
      <c r="S65" s="3512"/>
      <c r="V65" s="242"/>
      <c r="W65" s="46"/>
      <c r="X65" s="2672"/>
      <c r="Y65" s="2673"/>
      <c r="BF65" s="299"/>
      <c r="BI65" s="3510"/>
      <c r="BJ65" s="3511"/>
      <c r="BK65" s="3511"/>
      <c r="BL65" s="3511"/>
      <c r="BM65" s="3511"/>
      <c r="BN65" s="3511"/>
      <c r="BO65" s="3511"/>
      <c r="BP65" s="3511"/>
      <c r="BQ65" s="3511"/>
      <c r="BR65" s="3511"/>
      <c r="BS65" s="3511"/>
      <c r="BT65" s="3511"/>
      <c r="BU65" s="3511"/>
      <c r="BV65" s="3511"/>
      <c r="BW65" s="3511"/>
      <c r="BX65" s="3511"/>
      <c r="BY65" s="3511"/>
      <c r="BZ65" s="3512"/>
      <c r="CC65" s="2969"/>
      <c r="CD65" s="2373"/>
      <c r="CE65" s="2373"/>
      <c r="CG65" s="2966"/>
    </row>
    <row r="66" spans="2:85" ht="17.100000000000001" customHeight="1" x14ac:dyDescent="0.2">
      <c r="B66" s="1178"/>
      <c r="C66" s="1177"/>
      <c r="D66" s="1177"/>
      <c r="E66" s="1177"/>
      <c r="F66" s="1177"/>
      <c r="G66" s="1177"/>
      <c r="H66" s="1177"/>
      <c r="I66" s="1177"/>
      <c r="J66" s="1177"/>
      <c r="K66" s="1177"/>
      <c r="L66" s="1177"/>
      <c r="M66" s="1177"/>
      <c r="N66" s="1177"/>
      <c r="O66" s="1177"/>
      <c r="P66" s="1177"/>
      <c r="Q66" s="1177"/>
      <c r="R66" s="1177"/>
      <c r="S66" s="1179"/>
      <c r="V66" s="242"/>
      <c r="W66" s="46"/>
      <c r="X66" s="613"/>
      <c r="Y66" s="2673"/>
      <c r="BF66" s="299"/>
      <c r="BI66" s="1178"/>
      <c r="BJ66" s="1177"/>
      <c r="BK66" s="1177"/>
      <c r="BL66" s="1177"/>
      <c r="BM66" s="1177"/>
      <c r="BN66" s="1177"/>
      <c r="BO66" s="1177"/>
      <c r="BP66" s="1177"/>
      <c r="BQ66" s="1177"/>
      <c r="BR66" s="1177"/>
      <c r="BS66" s="1177"/>
      <c r="BT66" s="1177"/>
      <c r="BU66" s="1177"/>
      <c r="BV66" s="1177"/>
      <c r="BW66" s="1177"/>
      <c r="BX66" s="1177"/>
      <c r="BY66" s="1177"/>
      <c r="BZ66" s="1179"/>
      <c r="CC66" s="2969"/>
      <c r="CD66" s="2373"/>
      <c r="CE66" s="2373"/>
      <c r="CG66" s="2966"/>
    </row>
    <row r="67" spans="2:85" ht="17.100000000000001" customHeight="1" x14ac:dyDescent="0.2">
      <c r="B67" s="1178"/>
      <c r="C67" s="1177"/>
      <c r="D67" s="1177"/>
      <c r="E67" s="1177"/>
      <c r="F67" s="1177"/>
      <c r="G67" s="1177"/>
      <c r="H67" s="1177"/>
      <c r="I67" s="1177"/>
      <c r="J67" s="1177"/>
      <c r="K67" s="1177"/>
      <c r="L67" s="1177"/>
      <c r="M67" s="1177"/>
      <c r="N67" s="1177"/>
      <c r="O67" s="1177"/>
      <c r="P67" s="1177"/>
      <c r="Q67" s="1177"/>
      <c r="R67" s="1177"/>
      <c r="S67" s="1179"/>
      <c r="V67" s="242"/>
      <c r="W67" s="46"/>
      <c r="X67" s="1271"/>
      <c r="Y67" s="2673"/>
      <c r="BF67" s="299"/>
      <c r="BI67" s="1178"/>
      <c r="BJ67" s="1177"/>
      <c r="BK67" s="1177"/>
      <c r="BL67" s="1177"/>
      <c r="BM67" s="1177"/>
      <c r="BN67" s="1177"/>
      <c r="BO67" s="1177"/>
      <c r="BP67" s="1177"/>
      <c r="BQ67" s="1177"/>
      <c r="BR67" s="1177"/>
      <c r="BS67" s="1177"/>
      <c r="BT67" s="1177"/>
      <c r="BU67" s="1177"/>
      <c r="BV67" s="1177"/>
      <c r="BW67" s="1177"/>
      <c r="BX67" s="1177"/>
      <c r="BY67" s="1177"/>
      <c r="BZ67" s="1179"/>
      <c r="CC67" s="2969"/>
      <c r="CD67" s="2373"/>
      <c r="CE67" s="2373"/>
      <c r="CG67" s="2966"/>
    </row>
    <row r="68" spans="2:85" ht="17.100000000000001" customHeight="1" x14ac:dyDescent="0.15">
      <c r="B68" s="1178"/>
      <c r="C68" s="1177"/>
      <c r="D68" s="1177"/>
      <c r="E68" s="1177"/>
      <c r="F68" s="1177"/>
      <c r="G68" s="1177"/>
      <c r="H68" s="1177"/>
      <c r="I68" s="1177"/>
      <c r="J68" s="1177"/>
      <c r="K68" s="1177"/>
      <c r="L68" s="1177"/>
      <c r="M68" s="1177"/>
      <c r="N68" s="1177"/>
      <c r="O68" s="1177"/>
      <c r="P68" s="1177"/>
      <c r="Q68" s="1177"/>
      <c r="R68" s="1177"/>
      <c r="S68" s="1179"/>
      <c r="V68" s="242"/>
      <c r="W68" s="46"/>
      <c r="X68" s="2687"/>
      <c r="Y68" s="2673"/>
      <c r="BF68" s="299"/>
      <c r="BI68" s="1178"/>
      <c r="BJ68" s="1177"/>
      <c r="BK68" s="1177"/>
      <c r="BL68" s="1177"/>
      <c r="BM68" s="1177"/>
      <c r="BN68" s="1177"/>
      <c r="BO68" s="1177"/>
      <c r="BP68" s="1177"/>
      <c r="BQ68" s="1177"/>
      <c r="BR68" s="1177"/>
      <c r="BS68" s="1177"/>
      <c r="BT68" s="1177"/>
      <c r="BU68" s="1177"/>
      <c r="BV68" s="1177"/>
      <c r="BW68" s="1177"/>
      <c r="BX68" s="1177"/>
      <c r="BY68" s="1177"/>
      <c r="BZ68" s="1179"/>
      <c r="CC68" s="2969"/>
      <c r="CD68" s="2373"/>
      <c r="CE68" s="2373"/>
      <c r="CG68" s="2966"/>
    </row>
    <row r="69" spans="2:85" ht="17.100000000000001" customHeight="1" x14ac:dyDescent="0.15">
      <c r="B69" s="1178"/>
      <c r="C69" s="1177"/>
      <c r="D69" s="1177"/>
      <c r="E69" s="1177"/>
      <c r="F69" s="1177"/>
      <c r="G69" s="1177"/>
      <c r="H69" s="1177"/>
      <c r="I69" s="1177"/>
      <c r="J69" s="1177"/>
      <c r="K69" s="1177"/>
      <c r="L69" s="1177"/>
      <c r="M69" s="1177"/>
      <c r="N69" s="1177"/>
      <c r="O69" s="1177"/>
      <c r="P69" s="1177"/>
      <c r="Q69" s="1177"/>
      <c r="R69" s="1177"/>
      <c r="S69" s="1179"/>
      <c r="V69" s="242"/>
      <c r="W69" s="46"/>
      <c r="X69" s="2672"/>
      <c r="Y69" s="2673"/>
      <c r="BF69" s="299"/>
      <c r="BI69" s="1178"/>
      <c r="BJ69" s="1177"/>
      <c r="BK69" s="1177"/>
      <c r="BL69" s="1177"/>
      <c r="BM69" s="1177"/>
      <c r="BN69" s="1177"/>
      <c r="BO69" s="1177"/>
      <c r="BP69" s="1177"/>
      <c r="BQ69" s="1177"/>
      <c r="BR69" s="1177"/>
      <c r="BS69" s="1177"/>
      <c r="BT69" s="1177"/>
      <c r="BU69" s="1177"/>
      <c r="BV69" s="1177"/>
      <c r="BW69" s="1177"/>
      <c r="BX69" s="1177"/>
      <c r="BY69" s="1177"/>
      <c r="BZ69" s="1179"/>
      <c r="CC69" s="2969"/>
      <c r="CD69" s="2373"/>
      <c r="CE69" s="2373"/>
      <c r="CG69" s="2966"/>
    </row>
    <row r="70" spans="2:85" ht="17.100000000000001" customHeight="1" x14ac:dyDescent="0.2">
      <c r="B70" s="1178"/>
      <c r="C70" s="1177"/>
      <c r="D70" s="1177"/>
      <c r="E70" s="1177"/>
      <c r="F70" s="1177"/>
      <c r="G70" s="1177"/>
      <c r="H70" s="1177"/>
      <c r="I70" s="1177"/>
      <c r="J70" s="1177"/>
      <c r="K70" s="1177"/>
      <c r="L70" s="1177"/>
      <c r="M70" s="1177"/>
      <c r="N70" s="1177"/>
      <c r="O70" s="1177"/>
      <c r="P70" s="1177"/>
      <c r="Q70" s="1177"/>
      <c r="R70" s="1177"/>
      <c r="S70" s="1179"/>
      <c r="V70" s="242"/>
      <c r="W70" s="46"/>
      <c r="X70" s="1271"/>
      <c r="Y70" s="2673"/>
      <c r="BF70" s="299"/>
      <c r="BI70" s="1178"/>
      <c r="BJ70" s="1177"/>
      <c r="BK70" s="1177"/>
      <c r="BL70" s="1177"/>
      <c r="BM70" s="1177"/>
      <c r="BN70" s="1177"/>
      <c r="BO70" s="1177"/>
      <c r="BP70" s="1177"/>
      <c r="BQ70" s="1177"/>
      <c r="BR70" s="1177"/>
      <c r="BS70" s="1177"/>
      <c r="BT70" s="1177"/>
      <c r="BU70" s="1177"/>
      <c r="BV70" s="1177"/>
      <c r="BW70" s="1177"/>
      <c r="BX70" s="1177"/>
      <c r="BY70" s="1177"/>
      <c r="BZ70" s="1179"/>
      <c r="CC70" s="2373"/>
      <c r="CD70" s="2373"/>
      <c r="CE70" s="2373"/>
      <c r="CG70" s="2966"/>
    </row>
    <row r="71" spans="2:85" ht="17.100000000000001" customHeight="1" x14ac:dyDescent="0.15">
      <c r="B71" s="1178"/>
      <c r="C71" s="1177"/>
      <c r="D71" s="1177"/>
      <c r="E71" s="1177"/>
      <c r="F71" s="1177"/>
      <c r="G71" s="1177"/>
      <c r="H71" s="1177"/>
      <c r="I71" s="1177"/>
      <c r="J71" s="1177"/>
      <c r="K71" s="1177"/>
      <c r="L71" s="1177"/>
      <c r="M71" s="1177"/>
      <c r="N71" s="1177"/>
      <c r="O71" s="1177"/>
      <c r="P71" s="1177"/>
      <c r="Q71" s="1177"/>
      <c r="R71" s="1177"/>
      <c r="S71" s="1179"/>
      <c r="V71" s="242"/>
      <c r="W71" s="46"/>
      <c r="X71" s="2687"/>
      <c r="Y71" s="2673"/>
      <c r="BF71" s="299"/>
      <c r="BI71" s="1178"/>
      <c r="BJ71" s="1177"/>
      <c r="BK71" s="1177"/>
      <c r="BL71" s="1177"/>
      <c r="BM71" s="1177"/>
      <c r="BN71" s="1177"/>
      <c r="BO71" s="1177"/>
      <c r="BP71" s="1177"/>
      <c r="BQ71" s="1177"/>
      <c r="BR71" s="1177"/>
      <c r="BS71" s="1177"/>
      <c r="BT71" s="1177"/>
      <c r="BU71" s="1177"/>
      <c r="BV71" s="1177"/>
      <c r="BW71" s="1177"/>
      <c r="BX71" s="1177"/>
      <c r="BY71" s="1177"/>
      <c r="BZ71" s="1179"/>
      <c r="CC71" s="2373"/>
      <c r="CD71" s="2373"/>
      <c r="CE71" s="2373"/>
      <c r="CG71" s="2966"/>
    </row>
    <row r="72" spans="2:85" ht="17.100000000000001" customHeight="1" x14ac:dyDescent="0.15">
      <c r="B72" s="1178"/>
      <c r="C72" s="1177"/>
      <c r="D72" s="1177"/>
      <c r="E72" s="1177"/>
      <c r="F72" s="1177"/>
      <c r="G72" s="1177"/>
      <c r="H72" s="1177"/>
      <c r="I72" s="1177"/>
      <c r="J72" s="1177"/>
      <c r="K72" s="1177"/>
      <c r="L72" s="1177"/>
      <c r="M72" s="1177"/>
      <c r="N72" s="1177"/>
      <c r="O72" s="1177"/>
      <c r="P72" s="1177"/>
      <c r="Q72" s="1177"/>
      <c r="R72" s="1177"/>
      <c r="S72" s="1179"/>
      <c r="V72" s="2674"/>
      <c r="W72" s="46"/>
      <c r="X72" s="2672"/>
      <c r="Y72" s="2673"/>
      <c r="BF72" s="299"/>
      <c r="BI72" s="1178"/>
      <c r="BJ72" s="1177"/>
      <c r="BK72" s="1177"/>
      <c r="BL72" s="1177"/>
      <c r="BM72" s="1177"/>
      <c r="BN72" s="1177"/>
      <c r="BO72" s="1177"/>
      <c r="BP72" s="1177"/>
      <c r="BQ72" s="1177"/>
      <c r="BR72" s="1177"/>
      <c r="BS72" s="1177"/>
      <c r="BT72" s="1177"/>
      <c r="BU72" s="1177"/>
      <c r="BV72" s="1177"/>
      <c r="BW72" s="1177"/>
      <c r="BX72" s="1177"/>
      <c r="BY72" s="1177"/>
      <c r="BZ72" s="1179"/>
      <c r="CC72" s="2373"/>
      <c r="CD72" s="2373"/>
      <c r="CE72" s="2373"/>
      <c r="CG72" s="2966"/>
    </row>
    <row r="73" spans="2:85" ht="17.100000000000001" customHeight="1" x14ac:dyDescent="0.2">
      <c r="B73" s="1178"/>
      <c r="C73" s="1177"/>
      <c r="D73" s="1177"/>
      <c r="E73" s="1177"/>
      <c r="F73" s="1177"/>
      <c r="G73" s="1177"/>
      <c r="H73" s="1177"/>
      <c r="I73" s="1177"/>
      <c r="J73" s="1177"/>
      <c r="K73" s="1177"/>
      <c r="L73" s="1177"/>
      <c r="M73" s="1177"/>
      <c r="N73" s="1177"/>
      <c r="O73" s="1177"/>
      <c r="P73" s="1177"/>
      <c r="Q73" s="1177"/>
      <c r="R73" s="1177"/>
      <c r="S73" s="1179"/>
      <c r="V73" s="242"/>
      <c r="W73" s="46"/>
      <c r="X73" s="1271"/>
      <c r="Y73" s="2673"/>
      <c r="BF73" s="299"/>
      <c r="BI73" s="1178"/>
      <c r="BJ73" s="1177"/>
      <c r="BK73" s="1177"/>
      <c r="BL73" s="1177"/>
      <c r="BM73" s="1177"/>
      <c r="BN73" s="1177"/>
      <c r="BO73" s="1177"/>
      <c r="BP73" s="1177"/>
      <c r="BQ73" s="1177"/>
      <c r="BR73" s="1177"/>
      <c r="BS73" s="1177"/>
      <c r="BT73" s="1177"/>
      <c r="BU73" s="1177"/>
      <c r="BV73" s="1177"/>
      <c r="BW73" s="1177"/>
      <c r="BX73" s="1177"/>
      <c r="BY73" s="1177"/>
      <c r="BZ73" s="1179"/>
      <c r="CC73" s="2373"/>
      <c r="CD73" s="2373"/>
      <c r="CE73" s="2373"/>
      <c r="CG73" s="2966"/>
    </row>
    <row r="74" spans="2:85" ht="17.100000000000001" customHeight="1" x14ac:dyDescent="0.15">
      <c r="B74" s="1178"/>
      <c r="C74" s="1177"/>
      <c r="D74" s="1177"/>
      <c r="E74" s="1177"/>
      <c r="F74" s="1177"/>
      <c r="G74" s="1177"/>
      <c r="H74" s="1177"/>
      <c r="I74" s="1177"/>
      <c r="J74" s="1177"/>
      <c r="K74" s="1177"/>
      <c r="L74" s="1177"/>
      <c r="M74" s="1177"/>
      <c r="N74" s="1177"/>
      <c r="O74" s="1177"/>
      <c r="P74" s="1177"/>
      <c r="Q74" s="1177"/>
      <c r="R74" s="1177"/>
      <c r="S74" s="1179"/>
      <c r="V74" s="242"/>
      <c r="W74" s="46"/>
      <c r="X74" s="2687"/>
      <c r="Y74" s="2673"/>
      <c r="BF74" s="299"/>
      <c r="BI74" s="1178"/>
      <c r="BJ74" s="1177"/>
      <c r="BK74" s="1177"/>
      <c r="BL74" s="1177"/>
      <c r="BM74" s="1177"/>
      <c r="BN74" s="1177"/>
      <c r="BO74" s="1177"/>
      <c r="BP74" s="1177"/>
      <c r="BQ74" s="1177"/>
      <c r="BR74" s="1177"/>
      <c r="BS74" s="1177"/>
      <c r="BT74" s="1177"/>
      <c r="BU74" s="1177"/>
      <c r="BV74" s="1177"/>
      <c r="BW74" s="1177"/>
      <c r="BX74" s="1177"/>
      <c r="BY74" s="1177"/>
      <c r="BZ74" s="1179"/>
      <c r="CC74" s="2373"/>
      <c r="CD74" s="2373"/>
      <c r="CE74" s="2373"/>
      <c r="CG74" s="2966"/>
    </row>
    <row r="75" spans="2:85" ht="17.100000000000001" customHeight="1" x14ac:dyDescent="0.15">
      <c r="B75" s="1178"/>
      <c r="C75" s="1177"/>
      <c r="D75" s="1177"/>
      <c r="E75" s="1177"/>
      <c r="F75" s="1177"/>
      <c r="G75" s="1177"/>
      <c r="H75" s="1177"/>
      <c r="I75" s="1177"/>
      <c r="J75" s="1177"/>
      <c r="K75" s="1177"/>
      <c r="L75" s="1177"/>
      <c r="M75" s="1177"/>
      <c r="N75" s="1177"/>
      <c r="O75" s="1177"/>
      <c r="P75" s="1177"/>
      <c r="Q75" s="1177"/>
      <c r="R75" s="1177"/>
      <c r="S75" s="1179"/>
      <c r="V75" s="242"/>
      <c r="W75" s="46"/>
      <c r="X75" s="2672"/>
      <c r="Y75" s="2673"/>
      <c r="BF75" s="299"/>
      <c r="BI75" s="1178"/>
      <c r="BJ75" s="1177"/>
      <c r="BK75" s="1177"/>
      <c r="BL75" s="1177"/>
      <c r="BM75" s="1177"/>
      <c r="BN75" s="1177"/>
      <c r="BO75" s="1177"/>
      <c r="BP75" s="1177"/>
      <c r="BQ75" s="1177"/>
      <c r="BR75" s="1177"/>
      <c r="BS75" s="1177"/>
      <c r="BT75" s="1177"/>
      <c r="BU75" s="1177"/>
      <c r="BV75" s="1177"/>
      <c r="BW75" s="1177"/>
      <c r="BX75" s="1177"/>
      <c r="BY75" s="1177"/>
      <c r="BZ75" s="1179"/>
      <c r="CC75" s="2373"/>
      <c r="CD75" s="2373"/>
      <c r="CE75" s="2373"/>
      <c r="CG75" s="2966"/>
    </row>
    <row r="76" spans="2:85" ht="17.100000000000001" customHeight="1" x14ac:dyDescent="0.2">
      <c r="B76" s="1178"/>
      <c r="C76" s="1177"/>
      <c r="D76" s="1177"/>
      <c r="E76" s="1177"/>
      <c r="F76" s="1177"/>
      <c r="G76" s="1177"/>
      <c r="H76" s="1177"/>
      <c r="I76" s="1177"/>
      <c r="J76" s="1177"/>
      <c r="K76" s="1177"/>
      <c r="L76" s="1177"/>
      <c r="M76" s="1177"/>
      <c r="N76" s="1177"/>
      <c r="O76" s="1177"/>
      <c r="P76" s="1177"/>
      <c r="Q76" s="1177"/>
      <c r="R76" s="1177"/>
      <c r="S76" s="1179"/>
      <c r="V76" s="242"/>
      <c r="W76" s="46"/>
      <c r="X76" s="1271"/>
      <c r="Y76" s="2673"/>
      <c r="BF76" s="299"/>
      <c r="BI76" s="1178"/>
      <c r="BJ76" s="1177"/>
      <c r="BK76" s="1177"/>
      <c r="BL76" s="1177"/>
      <c r="BM76" s="1177"/>
      <c r="BN76" s="1177"/>
      <c r="BO76" s="1177"/>
      <c r="BP76" s="1177"/>
      <c r="BQ76" s="1177"/>
      <c r="BR76" s="1177"/>
      <c r="BS76" s="1177"/>
      <c r="BT76" s="1177"/>
      <c r="BU76" s="1177"/>
      <c r="BV76" s="1177"/>
      <c r="BW76" s="1177"/>
      <c r="BX76" s="1177"/>
      <c r="BY76" s="1177"/>
      <c r="BZ76" s="1179"/>
      <c r="CG76" s="2966"/>
    </row>
    <row r="77" spans="2:85" ht="17.100000000000001" customHeight="1" x14ac:dyDescent="0.15">
      <c r="B77" s="1178"/>
      <c r="C77" s="1177"/>
      <c r="D77" s="1177"/>
      <c r="E77" s="1177"/>
      <c r="F77" s="1177"/>
      <c r="G77" s="1177"/>
      <c r="H77" s="1177"/>
      <c r="I77" s="1177"/>
      <c r="J77" s="1177"/>
      <c r="K77" s="1177"/>
      <c r="L77" s="1177"/>
      <c r="M77" s="1177"/>
      <c r="N77" s="1177"/>
      <c r="O77" s="1177"/>
      <c r="P77" s="1177"/>
      <c r="Q77" s="1177"/>
      <c r="R77" s="1177"/>
      <c r="S77" s="1179"/>
      <c r="V77" s="242"/>
      <c r="W77" s="46"/>
      <c r="X77" s="2687"/>
      <c r="Y77" s="2673"/>
      <c r="BF77" s="299"/>
      <c r="BI77" s="1178"/>
      <c r="BJ77" s="1177"/>
      <c r="BK77" s="1177"/>
      <c r="BL77" s="1177"/>
      <c r="BM77" s="1177"/>
      <c r="BN77" s="1177"/>
      <c r="BO77" s="1177"/>
      <c r="BP77" s="1177"/>
      <c r="BQ77" s="1177"/>
      <c r="BR77" s="1177"/>
      <c r="BS77" s="1177"/>
      <c r="BT77" s="1177"/>
      <c r="BU77" s="1177"/>
      <c r="BV77" s="1177"/>
      <c r="BW77" s="1177"/>
      <c r="BX77" s="1177"/>
      <c r="BY77" s="1177"/>
      <c r="BZ77" s="1179"/>
      <c r="CG77" s="2966"/>
    </row>
    <row r="78" spans="2:85" ht="17.100000000000001" customHeight="1" x14ac:dyDescent="0.15">
      <c r="B78" s="1178"/>
      <c r="C78" s="1177"/>
      <c r="D78" s="1177"/>
      <c r="E78" s="1177"/>
      <c r="F78" s="1177"/>
      <c r="G78" s="1177"/>
      <c r="H78" s="1177"/>
      <c r="I78" s="1177"/>
      <c r="J78" s="1177"/>
      <c r="K78" s="1177"/>
      <c r="L78" s="1177"/>
      <c r="M78" s="1177"/>
      <c r="N78" s="1177"/>
      <c r="O78" s="1177"/>
      <c r="P78" s="1177"/>
      <c r="Q78" s="1177"/>
      <c r="R78" s="1177"/>
      <c r="S78" s="1179"/>
      <c r="V78" s="242"/>
      <c r="W78" s="46"/>
      <c r="X78" s="2672"/>
      <c r="Y78" s="2673"/>
      <c r="BF78" s="299"/>
      <c r="BI78" s="1178"/>
      <c r="BJ78" s="1177"/>
      <c r="BK78" s="1177"/>
      <c r="BL78" s="1177"/>
      <c r="BM78" s="1177"/>
      <c r="BN78" s="1177"/>
      <c r="BO78" s="1177"/>
      <c r="BP78" s="1177"/>
      <c r="BQ78" s="1177"/>
      <c r="BR78" s="1177"/>
      <c r="BS78" s="1177"/>
      <c r="BT78" s="1177"/>
      <c r="BU78" s="1177"/>
      <c r="BV78" s="1177"/>
      <c r="BW78" s="1177"/>
      <c r="BX78" s="1177"/>
      <c r="BY78" s="1177"/>
      <c r="BZ78" s="1179"/>
      <c r="CG78" s="2966"/>
    </row>
    <row r="79" spans="2:85" ht="17.100000000000001" customHeight="1" x14ac:dyDescent="0.2">
      <c r="B79" s="1178"/>
      <c r="C79" s="1177"/>
      <c r="D79" s="1177"/>
      <c r="E79" s="1177"/>
      <c r="F79" s="1177"/>
      <c r="G79" s="1177"/>
      <c r="H79" s="1177"/>
      <c r="I79" s="1177"/>
      <c r="J79" s="1177"/>
      <c r="K79" s="1177"/>
      <c r="L79" s="1177"/>
      <c r="M79" s="1177"/>
      <c r="N79" s="1177"/>
      <c r="O79" s="1177"/>
      <c r="P79" s="1177"/>
      <c r="Q79" s="1177"/>
      <c r="R79" s="1177"/>
      <c r="S79" s="1179"/>
      <c r="V79" s="242"/>
      <c r="W79" s="46"/>
      <c r="X79" s="1271"/>
      <c r="Y79" s="2673"/>
      <c r="BF79" s="299"/>
      <c r="BI79" s="1178"/>
      <c r="BJ79" s="1177"/>
      <c r="BK79" s="1177"/>
      <c r="BL79" s="1177"/>
      <c r="BM79" s="1177"/>
      <c r="BN79" s="1177"/>
      <c r="BO79" s="1177"/>
      <c r="BP79" s="1177"/>
      <c r="BQ79" s="1177"/>
      <c r="BR79" s="1177"/>
      <c r="BS79" s="1177"/>
      <c r="BT79" s="1177"/>
      <c r="BU79" s="1177"/>
      <c r="BV79" s="1177"/>
      <c r="BW79" s="1177"/>
      <c r="BX79" s="1177"/>
      <c r="BY79" s="1177"/>
      <c r="BZ79" s="1179"/>
      <c r="CG79" s="2966"/>
    </row>
    <row r="80" spans="2:85" ht="17.100000000000001" customHeight="1" x14ac:dyDescent="0.15">
      <c r="B80" s="1178"/>
      <c r="C80" s="1177"/>
      <c r="D80" s="1177"/>
      <c r="E80" s="1177"/>
      <c r="F80" s="1177"/>
      <c r="G80" s="1177"/>
      <c r="H80" s="1177"/>
      <c r="I80" s="1177"/>
      <c r="J80" s="1177"/>
      <c r="K80" s="1177"/>
      <c r="L80" s="1177"/>
      <c r="M80" s="1177"/>
      <c r="N80" s="1177"/>
      <c r="O80" s="1177"/>
      <c r="P80" s="1177"/>
      <c r="Q80" s="1177"/>
      <c r="R80" s="1177"/>
      <c r="S80" s="1179"/>
      <c r="V80" s="242"/>
      <c r="W80" s="46"/>
      <c r="X80" s="2687"/>
      <c r="Y80" s="2673"/>
      <c r="BF80" s="299"/>
      <c r="BI80" s="1178"/>
      <c r="BJ80" s="1177"/>
      <c r="BK80" s="1177"/>
      <c r="BL80" s="1177"/>
      <c r="BM80" s="1177"/>
      <c r="BN80" s="1177"/>
      <c r="BO80" s="1177"/>
      <c r="BP80" s="1177"/>
      <c r="BQ80" s="1177"/>
      <c r="BR80" s="1177"/>
      <c r="BS80" s="1177"/>
      <c r="BT80" s="1177"/>
      <c r="BU80" s="1177"/>
      <c r="BV80" s="1177"/>
      <c r="BW80" s="1177"/>
      <c r="BX80" s="1177"/>
      <c r="BY80" s="1177"/>
      <c r="BZ80" s="1179"/>
      <c r="CG80" s="2966"/>
    </row>
    <row r="81" spans="2:85" ht="17.100000000000001" customHeight="1" x14ac:dyDescent="0.15">
      <c r="B81" s="1178"/>
      <c r="C81" s="1177"/>
      <c r="D81" s="1177"/>
      <c r="E81" s="1177"/>
      <c r="F81" s="1177"/>
      <c r="G81" s="1177"/>
      <c r="H81" s="1177"/>
      <c r="I81" s="1177"/>
      <c r="J81" s="1177"/>
      <c r="K81" s="1177"/>
      <c r="L81" s="1177"/>
      <c r="M81" s="1177"/>
      <c r="N81" s="1177"/>
      <c r="O81" s="1177"/>
      <c r="P81" s="1177"/>
      <c r="Q81" s="1177"/>
      <c r="R81" s="1177"/>
      <c r="S81" s="1179"/>
      <c r="V81" s="242"/>
      <c r="W81" s="46"/>
      <c r="X81" s="2672"/>
      <c r="BF81" s="299"/>
      <c r="BI81" s="1178"/>
      <c r="BJ81" s="1177"/>
      <c r="BK81" s="1177"/>
      <c r="BL81" s="1177"/>
      <c r="BM81" s="1177"/>
      <c r="BN81" s="1177"/>
      <c r="BO81" s="1177"/>
      <c r="BP81" s="1177"/>
      <c r="BQ81" s="1177"/>
      <c r="BR81" s="1177"/>
      <c r="BS81" s="1177"/>
      <c r="BT81" s="1177"/>
      <c r="BU81" s="1177"/>
      <c r="BV81" s="1177"/>
      <c r="BW81" s="1177"/>
      <c r="BX81" s="1177"/>
      <c r="BY81" s="1177"/>
      <c r="BZ81" s="1179"/>
      <c r="CG81" s="2966"/>
    </row>
    <row r="82" spans="2:85" ht="17.100000000000001" customHeight="1" x14ac:dyDescent="0.2">
      <c r="B82" s="1178"/>
      <c r="C82" s="1177"/>
      <c r="D82" s="1177"/>
      <c r="E82" s="1177"/>
      <c r="F82" s="1177"/>
      <c r="G82" s="1177"/>
      <c r="H82" s="1177"/>
      <c r="I82" s="1177"/>
      <c r="J82" s="1177"/>
      <c r="K82" s="1177"/>
      <c r="L82" s="1177"/>
      <c r="M82" s="1177"/>
      <c r="N82" s="1177"/>
      <c r="O82" s="1177"/>
      <c r="P82" s="1177"/>
      <c r="Q82" s="1177"/>
      <c r="R82" s="1177"/>
      <c r="S82" s="1179"/>
      <c r="V82" s="242"/>
      <c r="X82" s="1271"/>
      <c r="BF82" s="299"/>
      <c r="BI82" s="1178"/>
      <c r="BJ82" s="1177"/>
      <c r="BK82" s="1177"/>
      <c r="BL82" s="1177"/>
      <c r="BM82" s="1177"/>
      <c r="BN82" s="1177"/>
      <c r="BO82" s="1177"/>
      <c r="BP82" s="1177"/>
      <c r="BQ82" s="1177"/>
      <c r="BR82" s="1177"/>
      <c r="BS82" s="1177"/>
      <c r="BT82" s="1177"/>
      <c r="BU82" s="1177"/>
      <c r="BV82" s="1177"/>
      <c r="BW82" s="1177"/>
      <c r="BX82" s="1177"/>
      <c r="BY82" s="1177"/>
      <c r="BZ82" s="1179"/>
      <c r="CG82" s="2966"/>
    </row>
    <row r="83" spans="2:85" ht="17.100000000000001" customHeight="1" x14ac:dyDescent="0.15">
      <c r="B83" s="1178"/>
      <c r="C83" s="1177"/>
      <c r="D83" s="1177"/>
      <c r="E83" s="1177"/>
      <c r="F83" s="1177"/>
      <c r="G83" s="1177"/>
      <c r="H83" s="1177"/>
      <c r="I83" s="1177"/>
      <c r="J83" s="1177"/>
      <c r="K83" s="1177"/>
      <c r="L83" s="1177"/>
      <c r="M83" s="1177"/>
      <c r="N83" s="1177"/>
      <c r="O83" s="1177"/>
      <c r="P83" s="1177"/>
      <c r="Q83" s="1177"/>
      <c r="R83" s="1177"/>
      <c r="S83" s="1179"/>
      <c r="V83" s="242"/>
      <c r="X83" s="2687"/>
      <c r="BF83" s="299"/>
      <c r="BI83" s="1178"/>
      <c r="BJ83" s="1177"/>
      <c r="BK83" s="1177"/>
      <c r="BL83" s="1177"/>
      <c r="BM83" s="1177"/>
      <c r="BN83" s="1177"/>
      <c r="BO83" s="1177"/>
      <c r="BP83" s="1177"/>
      <c r="BQ83" s="1177"/>
      <c r="BR83" s="1177"/>
      <c r="BS83" s="1177"/>
      <c r="BT83" s="1177"/>
      <c r="BU83" s="1177"/>
      <c r="BV83" s="1177"/>
      <c r="BW83" s="1177"/>
      <c r="BX83" s="1177"/>
      <c r="BY83" s="1177"/>
      <c r="BZ83" s="1179"/>
      <c r="CG83" s="2966"/>
    </row>
    <row r="84" spans="2:85" ht="17.100000000000001" customHeight="1" x14ac:dyDescent="0.15">
      <c r="B84" s="1178"/>
      <c r="C84" s="1177"/>
      <c r="D84" s="1177"/>
      <c r="E84" s="1177"/>
      <c r="F84" s="1177"/>
      <c r="G84" s="1177"/>
      <c r="H84" s="1177"/>
      <c r="I84" s="1177"/>
      <c r="J84" s="1177"/>
      <c r="K84" s="1177"/>
      <c r="L84" s="1177"/>
      <c r="M84" s="1177"/>
      <c r="N84" s="1177"/>
      <c r="O84" s="1177"/>
      <c r="P84" s="1177"/>
      <c r="Q84" s="1177"/>
      <c r="R84" s="1177"/>
      <c r="S84" s="1179"/>
      <c r="V84" s="242"/>
      <c r="X84" s="2672"/>
      <c r="BF84" s="299"/>
      <c r="BI84" s="1178"/>
      <c r="BJ84" s="1177"/>
      <c r="BK84" s="1177"/>
      <c r="BL84" s="1177"/>
      <c r="BM84" s="1177"/>
      <c r="BN84" s="1177"/>
      <c r="BO84" s="1177"/>
      <c r="BP84" s="1177"/>
      <c r="BQ84" s="1177"/>
      <c r="BR84" s="1177"/>
      <c r="BS84" s="1177"/>
      <c r="BT84" s="1177"/>
      <c r="BU84" s="1177"/>
      <c r="BV84" s="1177"/>
      <c r="BW84" s="1177"/>
      <c r="BX84" s="1177"/>
      <c r="BY84" s="1177"/>
      <c r="BZ84" s="1179"/>
      <c r="CG84" s="2966"/>
    </row>
    <row r="85" spans="2:85" ht="17.100000000000001" customHeight="1" x14ac:dyDescent="0.2">
      <c r="B85" s="1178"/>
      <c r="C85" s="1177"/>
      <c r="D85" s="1177"/>
      <c r="E85" s="1177"/>
      <c r="F85" s="1177"/>
      <c r="G85" s="1177"/>
      <c r="H85" s="1177"/>
      <c r="I85" s="1177"/>
      <c r="J85" s="1177"/>
      <c r="K85" s="1177"/>
      <c r="L85" s="1177"/>
      <c r="M85" s="1177"/>
      <c r="N85" s="1177"/>
      <c r="O85" s="1177"/>
      <c r="P85" s="1177"/>
      <c r="Q85" s="1177"/>
      <c r="R85" s="1177"/>
      <c r="S85" s="1179"/>
      <c r="V85" s="242"/>
      <c r="X85" s="1271"/>
      <c r="BF85" s="299"/>
      <c r="BI85" s="1178"/>
      <c r="BJ85" s="1177"/>
      <c r="BK85" s="1177"/>
      <c r="BL85" s="1177"/>
      <c r="BM85" s="1177"/>
      <c r="BN85" s="1177"/>
      <c r="BO85" s="1177"/>
      <c r="BP85" s="1177"/>
      <c r="BQ85" s="1177"/>
      <c r="BR85" s="1177"/>
      <c r="BS85" s="1177"/>
      <c r="BT85" s="1177"/>
      <c r="BU85" s="1177"/>
      <c r="BV85" s="1177"/>
      <c r="BW85" s="1177"/>
      <c r="BX85" s="1177"/>
      <c r="BY85" s="1177"/>
      <c r="BZ85" s="1179"/>
      <c r="CG85" s="2966"/>
    </row>
    <row r="86" spans="2:85" ht="17.100000000000001" customHeight="1" x14ac:dyDescent="0.15">
      <c r="B86" s="1178"/>
      <c r="C86" s="1177"/>
      <c r="D86" s="1177"/>
      <c r="E86" s="1177"/>
      <c r="F86" s="1177"/>
      <c r="G86" s="1177"/>
      <c r="H86" s="1177"/>
      <c r="I86" s="1177"/>
      <c r="J86" s="1177"/>
      <c r="K86" s="1177"/>
      <c r="L86" s="1177"/>
      <c r="M86" s="1177"/>
      <c r="N86" s="1177"/>
      <c r="O86" s="1177"/>
      <c r="P86" s="1177"/>
      <c r="Q86" s="1177"/>
      <c r="R86" s="1177"/>
      <c r="S86" s="1179"/>
      <c r="V86" s="242"/>
      <c r="X86" s="2687"/>
      <c r="BF86" s="299"/>
      <c r="BI86" s="1178"/>
      <c r="BJ86" s="1177"/>
      <c r="BK86" s="1177"/>
      <c r="BL86" s="1177"/>
      <c r="BM86" s="1177"/>
      <c r="BN86" s="1177"/>
      <c r="BO86" s="1177"/>
      <c r="BP86" s="1177"/>
      <c r="BQ86" s="1177"/>
      <c r="BR86" s="1177"/>
      <c r="BS86" s="1177"/>
      <c r="BT86" s="1177"/>
      <c r="BU86" s="1177"/>
      <c r="BV86" s="1177"/>
      <c r="BW86" s="1177"/>
      <c r="BX86" s="1177"/>
      <c r="BY86" s="1177"/>
      <c r="BZ86" s="1179"/>
      <c r="CG86" s="2966"/>
    </row>
    <row r="87" spans="2:85" ht="17.100000000000001" customHeight="1" x14ac:dyDescent="0.15">
      <c r="B87" s="1178"/>
      <c r="C87" s="1177"/>
      <c r="D87" s="1177"/>
      <c r="E87" s="1177"/>
      <c r="F87" s="1177"/>
      <c r="G87" s="1177"/>
      <c r="H87" s="1177"/>
      <c r="I87" s="1177"/>
      <c r="J87" s="1177"/>
      <c r="K87" s="1177"/>
      <c r="L87" s="1177"/>
      <c r="M87" s="1177"/>
      <c r="N87" s="1177"/>
      <c r="O87" s="1177"/>
      <c r="P87" s="1177"/>
      <c r="Q87" s="1177"/>
      <c r="R87" s="1177"/>
      <c r="S87" s="1179"/>
      <c r="V87" s="242"/>
      <c r="X87" s="2672"/>
      <c r="BF87" s="299"/>
      <c r="BI87" s="1178"/>
      <c r="BJ87" s="1177"/>
      <c r="BK87" s="1177"/>
      <c r="BL87" s="1177"/>
      <c r="BM87" s="1177"/>
      <c r="BN87" s="1177"/>
      <c r="BO87" s="1177"/>
      <c r="BP87" s="1177"/>
      <c r="BQ87" s="1177"/>
      <c r="BR87" s="1177"/>
      <c r="BS87" s="1177"/>
      <c r="BT87" s="1177"/>
      <c r="BU87" s="1177"/>
      <c r="BV87" s="1177"/>
      <c r="BW87" s="1177"/>
      <c r="BX87" s="1177"/>
      <c r="BY87" s="1177"/>
      <c r="BZ87" s="1179"/>
      <c r="CG87" s="2966"/>
    </row>
    <row r="88" spans="2:85" ht="17.100000000000001" customHeight="1" x14ac:dyDescent="0.2">
      <c r="B88" s="1178"/>
      <c r="C88" s="1177"/>
      <c r="D88" s="1177"/>
      <c r="E88" s="1177"/>
      <c r="F88" s="1177"/>
      <c r="G88" s="1177"/>
      <c r="H88" s="1177"/>
      <c r="I88" s="1177"/>
      <c r="J88" s="1177"/>
      <c r="K88" s="1177"/>
      <c r="L88" s="1177"/>
      <c r="M88" s="1177"/>
      <c r="N88" s="1177"/>
      <c r="O88" s="1177"/>
      <c r="P88" s="1177"/>
      <c r="Q88" s="1177"/>
      <c r="R88" s="1177"/>
      <c r="S88" s="1179"/>
      <c r="V88" s="242"/>
      <c r="X88" s="1271"/>
      <c r="BF88" s="299"/>
      <c r="BI88" s="1178"/>
      <c r="BJ88" s="1177"/>
      <c r="BK88" s="1177"/>
      <c r="BL88" s="1177"/>
      <c r="BM88" s="1177"/>
      <c r="BN88" s="1177"/>
      <c r="BO88" s="1177"/>
      <c r="BP88" s="1177"/>
      <c r="BQ88" s="1177"/>
      <c r="BR88" s="1177"/>
      <c r="BS88" s="1177"/>
      <c r="BT88" s="1177"/>
      <c r="BU88" s="1177"/>
      <c r="BV88" s="1177"/>
      <c r="BW88" s="1177"/>
      <c r="BX88" s="1177"/>
      <c r="BY88" s="1177"/>
      <c r="BZ88" s="1179"/>
      <c r="CG88" s="2966"/>
    </row>
    <row r="89" spans="2:85" ht="17.100000000000001" customHeight="1" x14ac:dyDescent="0.15">
      <c r="B89" s="1178"/>
      <c r="C89" s="1177"/>
      <c r="D89" s="1177"/>
      <c r="E89" s="1177"/>
      <c r="F89" s="1177"/>
      <c r="G89" s="1177"/>
      <c r="H89" s="1177"/>
      <c r="I89" s="1177"/>
      <c r="J89" s="1177"/>
      <c r="K89" s="1177"/>
      <c r="L89" s="1177"/>
      <c r="M89" s="1177"/>
      <c r="N89" s="1177"/>
      <c r="O89" s="1177"/>
      <c r="P89" s="1177"/>
      <c r="Q89" s="1177"/>
      <c r="R89" s="1177"/>
      <c r="S89" s="1179"/>
      <c r="V89" s="242"/>
      <c r="X89" s="2687"/>
      <c r="BF89" s="299"/>
      <c r="BI89" s="1178"/>
      <c r="BJ89" s="1177"/>
      <c r="BK89" s="1177"/>
      <c r="BL89" s="1177"/>
      <c r="BM89" s="1177"/>
      <c r="BN89" s="1177"/>
      <c r="BO89" s="1177"/>
      <c r="BP89" s="1177"/>
      <c r="BQ89" s="1177"/>
      <c r="BR89" s="1177"/>
      <c r="BS89" s="1177"/>
      <c r="BT89" s="1177"/>
      <c r="BU89" s="1177"/>
      <c r="BV89" s="1177"/>
      <c r="BW89" s="1177"/>
      <c r="BX89" s="1177"/>
      <c r="BY89" s="1177"/>
      <c r="BZ89" s="1179"/>
      <c r="CG89" s="2966"/>
    </row>
    <row r="90" spans="2:85" ht="17.100000000000001" customHeight="1" x14ac:dyDescent="0.15">
      <c r="B90" s="1178"/>
      <c r="C90" s="1177"/>
      <c r="D90" s="1177"/>
      <c r="E90" s="1177"/>
      <c r="F90" s="1177"/>
      <c r="G90" s="1177"/>
      <c r="H90" s="1177"/>
      <c r="I90" s="1177"/>
      <c r="J90" s="1177"/>
      <c r="K90" s="1177"/>
      <c r="L90" s="1177"/>
      <c r="M90" s="1177"/>
      <c r="N90" s="1177"/>
      <c r="O90" s="1177"/>
      <c r="P90" s="1177"/>
      <c r="Q90" s="1177"/>
      <c r="R90" s="1177"/>
      <c r="S90" s="1179"/>
      <c r="V90" s="242"/>
      <c r="X90" s="2672"/>
      <c r="BF90" s="299"/>
      <c r="BI90" s="1178"/>
      <c r="BJ90" s="1177"/>
      <c r="BK90" s="1177"/>
      <c r="BL90" s="1177"/>
      <c r="BM90" s="1177"/>
      <c r="BN90" s="1177"/>
      <c r="BO90" s="1177"/>
      <c r="BP90" s="1177"/>
      <c r="BQ90" s="1177"/>
      <c r="BR90" s="1177"/>
      <c r="BS90" s="1177"/>
      <c r="BT90" s="1177"/>
      <c r="BU90" s="1177"/>
      <c r="BV90" s="1177"/>
      <c r="BW90" s="1177"/>
      <c r="BX90" s="1177"/>
      <c r="BY90" s="1177"/>
      <c r="BZ90" s="1179"/>
      <c r="CG90" s="2966"/>
    </row>
    <row r="91" spans="2:85" ht="17.100000000000001" customHeight="1" x14ac:dyDescent="0.2">
      <c r="B91" s="1178"/>
      <c r="C91" s="1177"/>
      <c r="D91" s="1177"/>
      <c r="E91" s="1177"/>
      <c r="F91" s="1177"/>
      <c r="G91" s="1177"/>
      <c r="H91" s="1177"/>
      <c r="I91" s="1177"/>
      <c r="J91" s="1177"/>
      <c r="K91" s="1177"/>
      <c r="L91" s="1177"/>
      <c r="M91" s="1177"/>
      <c r="N91" s="1177"/>
      <c r="O91" s="1177"/>
      <c r="P91" s="1177"/>
      <c r="Q91" s="1177"/>
      <c r="R91" s="1177"/>
      <c r="S91" s="1179"/>
      <c r="V91" s="242"/>
      <c r="X91" s="1271"/>
      <c r="BF91" s="299"/>
      <c r="BI91" s="1178"/>
      <c r="BJ91" s="1177"/>
      <c r="BK91" s="1177"/>
      <c r="BL91" s="1177"/>
      <c r="BM91" s="1177"/>
      <c r="BN91" s="1177"/>
      <c r="BO91" s="1177"/>
      <c r="BP91" s="1177"/>
      <c r="BQ91" s="1177"/>
      <c r="BR91" s="1177"/>
      <c r="BS91" s="1177"/>
      <c r="BT91" s="1177"/>
      <c r="BU91" s="1177"/>
      <c r="BV91" s="1177"/>
      <c r="BW91" s="1177"/>
      <c r="BX91" s="1177"/>
      <c r="BY91" s="1177"/>
      <c r="BZ91" s="1179"/>
      <c r="CG91" s="2966"/>
    </row>
    <row r="92" spans="2:85" ht="17.100000000000001" customHeight="1" x14ac:dyDescent="0.15">
      <c r="B92" s="1178"/>
      <c r="C92" s="1177"/>
      <c r="D92" s="1177"/>
      <c r="E92" s="1177"/>
      <c r="F92" s="1177"/>
      <c r="G92" s="1177"/>
      <c r="H92" s="1177"/>
      <c r="I92" s="1177"/>
      <c r="J92" s="1177"/>
      <c r="K92" s="1177"/>
      <c r="L92" s="1177"/>
      <c r="M92" s="1177"/>
      <c r="N92" s="1177"/>
      <c r="O92" s="1177"/>
      <c r="P92" s="1177"/>
      <c r="Q92" s="1177"/>
      <c r="R92" s="1177"/>
      <c r="S92" s="1179"/>
      <c r="V92" s="242"/>
      <c r="X92" s="2687"/>
      <c r="BF92" s="299"/>
      <c r="BI92" s="1178"/>
      <c r="BJ92" s="1177"/>
      <c r="BK92" s="1177"/>
      <c r="BL92" s="1177"/>
      <c r="BM92" s="1177"/>
      <c r="BN92" s="1177"/>
      <c r="BO92" s="1177"/>
      <c r="BP92" s="1177"/>
      <c r="BQ92" s="1177"/>
      <c r="BR92" s="1177"/>
      <c r="BS92" s="1177"/>
      <c r="BT92" s="1177"/>
      <c r="BU92" s="1177"/>
      <c r="BV92" s="1177"/>
      <c r="BW92" s="1177"/>
      <c r="BX92" s="1177"/>
      <c r="BY92" s="1177"/>
      <c r="BZ92" s="1179"/>
      <c r="CG92" s="2966"/>
    </row>
    <row r="93" spans="2:85" ht="17.100000000000001" customHeight="1" x14ac:dyDescent="0.15">
      <c r="B93" s="1178"/>
      <c r="C93" s="1177"/>
      <c r="D93" s="1177"/>
      <c r="E93" s="1177"/>
      <c r="F93" s="1177"/>
      <c r="G93" s="1177"/>
      <c r="H93" s="1177"/>
      <c r="I93" s="1177"/>
      <c r="J93" s="1177"/>
      <c r="K93" s="1177"/>
      <c r="L93" s="1177"/>
      <c r="M93" s="1177"/>
      <c r="N93" s="1177"/>
      <c r="O93" s="1177"/>
      <c r="P93" s="1177"/>
      <c r="Q93" s="1177"/>
      <c r="R93" s="1177"/>
      <c r="S93" s="1179"/>
      <c r="V93" s="242"/>
      <c r="X93" s="2672"/>
      <c r="BF93" s="299"/>
      <c r="BI93" s="1178"/>
      <c r="BJ93" s="1177"/>
      <c r="BK93" s="1177"/>
      <c r="BL93" s="1177"/>
      <c r="BM93" s="1177"/>
      <c r="BN93" s="1177"/>
      <c r="BO93" s="1177"/>
      <c r="BP93" s="1177"/>
      <c r="BQ93" s="1177"/>
      <c r="BR93" s="1177"/>
      <c r="BS93" s="1177"/>
      <c r="BT93" s="1177"/>
      <c r="BU93" s="1177"/>
      <c r="BV93" s="1177"/>
      <c r="BW93" s="1177"/>
      <c r="BX93" s="1177"/>
      <c r="BY93" s="1177"/>
      <c r="BZ93" s="1179"/>
      <c r="CG93" s="2966"/>
    </row>
    <row r="94" spans="2:85" ht="17.100000000000001" customHeight="1" x14ac:dyDescent="0.2">
      <c r="B94" s="1178"/>
      <c r="C94" s="1177"/>
      <c r="D94" s="1177"/>
      <c r="E94" s="1177"/>
      <c r="F94" s="1177"/>
      <c r="G94" s="1177"/>
      <c r="H94" s="1177"/>
      <c r="I94" s="1177"/>
      <c r="J94" s="1177"/>
      <c r="K94" s="1177"/>
      <c r="L94" s="1177"/>
      <c r="M94" s="1177"/>
      <c r="N94" s="1177"/>
      <c r="O94" s="1177"/>
      <c r="P94" s="1177"/>
      <c r="Q94" s="1177"/>
      <c r="R94" s="1177"/>
      <c r="S94" s="1179"/>
      <c r="V94" s="242"/>
      <c r="X94" s="1271"/>
      <c r="BF94" s="299"/>
      <c r="BI94" s="1178"/>
      <c r="BJ94" s="1177"/>
      <c r="BK94" s="1177"/>
      <c r="BL94" s="1177"/>
      <c r="BM94" s="1177"/>
      <c r="BN94" s="1177"/>
      <c r="BO94" s="1177"/>
      <c r="BP94" s="1177"/>
      <c r="BQ94" s="1177"/>
      <c r="BR94" s="1177"/>
      <c r="BS94" s="1177"/>
      <c r="BT94" s="1177"/>
      <c r="BU94" s="1177"/>
      <c r="BV94" s="1177"/>
      <c r="BW94" s="1177"/>
      <c r="BX94" s="1177"/>
      <c r="BY94" s="1177"/>
      <c r="BZ94" s="1179"/>
      <c r="CG94" s="2966"/>
    </row>
    <row r="95" spans="2:85" ht="17.100000000000001" customHeight="1" x14ac:dyDescent="0.15">
      <c r="B95" s="1178"/>
      <c r="C95" s="1177"/>
      <c r="D95" s="1177"/>
      <c r="E95" s="1177"/>
      <c r="F95" s="1177"/>
      <c r="G95" s="1177"/>
      <c r="H95" s="1177"/>
      <c r="I95" s="1177"/>
      <c r="J95" s="1177"/>
      <c r="K95" s="1177"/>
      <c r="L95" s="1177"/>
      <c r="M95" s="1177"/>
      <c r="N95" s="1177"/>
      <c r="O95" s="1177"/>
      <c r="P95" s="1177"/>
      <c r="Q95" s="1177"/>
      <c r="R95" s="1177"/>
      <c r="S95" s="1179"/>
      <c r="V95" s="242"/>
      <c r="BF95" s="299"/>
      <c r="BI95" s="1178"/>
      <c r="BJ95" s="1177"/>
      <c r="BK95" s="1177"/>
      <c r="BL95" s="1177"/>
      <c r="BM95" s="1177"/>
      <c r="BN95" s="1177"/>
      <c r="BO95" s="1177"/>
      <c r="BP95" s="1177"/>
      <c r="BQ95" s="1177"/>
      <c r="BR95" s="1177"/>
      <c r="BS95" s="1177"/>
      <c r="BT95" s="1177"/>
      <c r="BU95" s="1177"/>
      <c r="BV95" s="1177"/>
      <c r="BW95" s="1177"/>
      <c r="BX95" s="1177"/>
      <c r="BY95" s="1177"/>
      <c r="BZ95" s="1179"/>
      <c r="CG95" s="2966"/>
    </row>
    <row r="96" spans="2:85" ht="17.100000000000001" customHeight="1" x14ac:dyDescent="0.15">
      <c r="B96" s="1178"/>
      <c r="C96" s="1177"/>
      <c r="D96" s="1177"/>
      <c r="E96" s="1177"/>
      <c r="F96" s="1177"/>
      <c r="G96" s="1177"/>
      <c r="H96" s="1177"/>
      <c r="I96" s="1177"/>
      <c r="J96" s="1177"/>
      <c r="K96" s="1177"/>
      <c r="L96" s="1177"/>
      <c r="M96" s="1177"/>
      <c r="N96" s="1177"/>
      <c r="O96" s="1177"/>
      <c r="P96" s="1177"/>
      <c r="Q96" s="1177"/>
      <c r="R96" s="1177"/>
      <c r="S96" s="1179"/>
      <c r="V96" s="242"/>
      <c r="BF96" s="299"/>
      <c r="BI96" s="1178"/>
      <c r="BJ96" s="1177"/>
      <c r="BK96" s="1177"/>
      <c r="BL96" s="1177"/>
      <c r="BM96" s="1177"/>
      <c r="BN96" s="1177"/>
      <c r="BO96" s="1177"/>
      <c r="BP96" s="1177"/>
      <c r="BQ96" s="1177"/>
      <c r="BR96" s="1177"/>
      <c r="BS96" s="1177"/>
      <c r="BT96" s="1177"/>
      <c r="BU96" s="1177"/>
      <c r="BV96" s="1177"/>
      <c r="BW96" s="1177"/>
      <c r="BX96" s="1177"/>
      <c r="BY96" s="1177"/>
      <c r="BZ96" s="1179"/>
      <c r="CG96" s="2966"/>
    </row>
    <row r="97" spans="2:85" ht="17.100000000000001" customHeight="1" x14ac:dyDescent="0.15">
      <c r="B97" s="1178"/>
      <c r="C97" s="1177"/>
      <c r="D97" s="1177"/>
      <c r="E97" s="1177"/>
      <c r="F97" s="1177"/>
      <c r="G97" s="1177"/>
      <c r="H97" s="1177"/>
      <c r="I97" s="1177"/>
      <c r="J97" s="1177"/>
      <c r="K97" s="1177"/>
      <c r="L97" s="1177"/>
      <c r="M97" s="1177"/>
      <c r="N97" s="1177"/>
      <c r="O97" s="1177"/>
      <c r="P97" s="1177"/>
      <c r="Q97" s="1177"/>
      <c r="R97" s="1177"/>
      <c r="S97" s="1179"/>
      <c r="V97" s="242"/>
      <c r="BF97" s="299"/>
      <c r="BI97" s="1178"/>
      <c r="BJ97" s="1177"/>
      <c r="BK97" s="1177"/>
      <c r="BL97" s="1177"/>
      <c r="BM97" s="1177"/>
      <c r="BN97" s="1177"/>
      <c r="BO97" s="1177"/>
      <c r="BP97" s="1177"/>
      <c r="BQ97" s="1177"/>
      <c r="BR97" s="1177"/>
      <c r="BS97" s="1177"/>
      <c r="BT97" s="1177"/>
      <c r="BU97" s="1177"/>
      <c r="BV97" s="1177"/>
      <c r="BW97" s="1177"/>
      <c r="BX97" s="1177"/>
      <c r="BY97" s="1177"/>
      <c r="BZ97" s="1179"/>
      <c r="CB97" s="7"/>
      <c r="CG97" s="2966"/>
    </row>
    <row r="98" spans="2:85" ht="17.100000000000001" customHeight="1" x14ac:dyDescent="0.15">
      <c r="B98" s="1178"/>
      <c r="C98" s="1177"/>
      <c r="D98" s="1177"/>
      <c r="E98" s="1177"/>
      <c r="F98" s="1177"/>
      <c r="G98" s="1177"/>
      <c r="H98" s="1177"/>
      <c r="I98" s="1177"/>
      <c r="J98" s="1177"/>
      <c r="K98" s="1177"/>
      <c r="L98" s="1177"/>
      <c r="M98" s="1177"/>
      <c r="N98" s="1177"/>
      <c r="O98" s="1177"/>
      <c r="P98" s="1177"/>
      <c r="Q98" s="1177"/>
      <c r="R98" s="1177"/>
      <c r="S98" s="1179"/>
      <c r="V98" s="242"/>
      <c r="BF98" s="299"/>
      <c r="BI98" s="1178"/>
      <c r="BJ98" s="1177"/>
      <c r="BK98" s="1177"/>
      <c r="BL98" s="1177"/>
      <c r="BM98" s="1177"/>
      <c r="BN98" s="1177"/>
      <c r="BO98" s="1177"/>
      <c r="BP98" s="1177"/>
      <c r="BQ98" s="1177"/>
      <c r="BR98" s="1177"/>
      <c r="BS98" s="1177"/>
      <c r="BT98" s="1177"/>
      <c r="BU98" s="1177"/>
      <c r="BV98" s="1177"/>
      <c r="BW98" s="1177"/>
      <c r="BX98" s="1177"/>
      <c r="BY98" s="1177"/>
      <c r="BZ98" s="1179"/>
      <c r="CB98" s="7"/>
    </row>
    <row r="99" spans="2:85" ht="17.100000000000001" customHeight="1" x14ac:dyDescent="0.15">
      <c r="B99" s="1178"/>
      <c r="C99" s="1177"/>
      <c r="D99" s="1177"/>
      <c r="E99" s="1177"/>
      <c r="F99" s="1177"/>
      <c r="G99" s="1177"/>
      <c r="H99" s="1177"/>
      <c r="I99" s="1177"/>
      <c r="J99" s="1177"/>
      <c r="K99" s="1177"/>
      <c r="L99" s="1177"/>
      <c r="M99" s="1177"/>
      <c r="N99" s="1177"/>
      <c r="O99" s="1177"/>
      <c r="P99" s="1177"/>
      <c r="Q99" s="1177"/>
      <c r="R99" s="1177"/>
      <c r="S99" s="1179"/>
      <c r="V99" s="242"/>
      <c r="BF99" s="299"/>
      <c r="BI99" s="1178"/>
      <c r="BJ99" s="1177"/>
      <c r="BK99" s="1177"/>
      <c r="BL99" s="1177"/>
      <c r="BM99" s="1177"/>
      <c r="BN99" s="1177"/>
      <c r="BO99" s="1177"/>
      <c r="BP99" s="1177"/>
      <c r="BQ99" s="1177"/>
      <c r="BR99" s="1177"/>
      <c r="BS99" s="1177"/>
      <c r="BT99" s="1177"/>
      <c r="BU99" s="1177"/>
      <c r="BV99" s="1177"/>
      <c r="BW99" s="1177"/>
      <c r="BX99" s="1177"/>
      <c r="BY99" s="1177"/>
      <c r="BZ99" s="1179"/>
      <c r="CB99" s="7"/>
    </row>
    <row r="100" spans="2:85" ht="17.100000000000001" customHeight="1" x14ac:dyDescent="0.15">
      <c r="B100" s="1178"/>
      <c r="C100" s="1177"/>
      <c r="D100" s="1177"/>
      <c r="E100" s="1177"/>
      <c r="F100" s="1177"/>
      <c r="G100" s="1177"/>
      <c r="H100" s="1177"/>
      <c r="I100" s="1177"/>
      <c r="J100" s="1177"/>
      <c r="K100" s="1177"/>
      <c r="L100" s="1177"/>
      <c r="M100" s="1177"/>
      <c r="N100" s="1177"/>
      <c r="O100" s="1177"/>
      <c r="P100" s="1177"/>
      <c r="Q100" s="1177"/>
      <c r="R100" s="1177"/>
      <c r="S100" s="1179"/>
      <c r="V100" s="242"/>
      <c r="BF100" s="299"/>
      <c r="BI100" s="1178"/>
      <c r="BJ100" s="1177"/>
      <c r="BK100" s="1177"/>
      <c r="BL100" s="1177"/>
      <c r="BM100" s="1177"/>
      <c r="BN100" s="1177"/>
      <c r="BO100" s="1177"/>
      <c r="BP100" s="1177"/>
      <c r="BQ100" s="1177"/>
      <c r="BR100" s="1177"/>
      <c r="BS100" s="1177"/>
      <c r="BT100" s="1177"/>
      <c r="BU100" s="1177"/>
      <c r="BV100" s="1177"/>
      <c r="BW100" s="1177"/>
      <c r="BX100" s="1177"/>
      <c r="BY100" s="1177"/>
      <c r="BZ100" s="1179"/>
      <c r="CB100" s="7"/>
    </row>
    <row r="101" spans="2:85" ht="17.100000000000001" customHeight="1" x14ac:dyDescent="0.15">
      <c r="B101" s="1178"/>
      <c r="C101" s="1177"/>
      <c r="D101" s="1177"/>
      <c r="E101" s="1177"/>
      <c r="F101" s="1177"/>
      <c r="G101" s="1177"/>
      <c r="H101" s="1177"/>
      <c r="I101" s="1177"/>
      <c r="J101" s="1177"/>
      <c r="K101" s="1177"/>
      <c r="L101" s="1177"/>
      <c r="M101" s="1177"/>
      <c r="N101" s="1177"/>
      <c r="O101" s="1177"/>
      <c r="P101" s="1177"/>
      <c r="Q101" s="1177"/>
      <c r="R101" s="1177"/>
      <c r="S101" s="1179"/>
      <c r="V101" s="242"/>
      <c r="BF101" s="299"/>
      <c r="BI101" s="1178"/>
      <c r="BJ101" s="1177"/>
      <c r="BK101" s="1177"/>
      <c r="BL101" s="1177"/>
      <c r="BM101" s="1177"/>
      <c r="BN101" s="1177"/>
      <c r="BO101" s="1177"/>
      <c r="BP101" s="1177"/>
      <c r="BQ101" s="1177"/>
      <c r="BR101" s="1177"/>
      <c r="BS101" s="1177"/>
      <c r="BT101" s="1177"/>
      <c r="BU101" s="1177"/>
      <c r="BV101" s="1177"/>
      <c r="BW101" s="1177"/>
      <c r="BX101" s="1177"/>
      <c r="BY101" s="1177"/>
      <c r="BZ101" s="1179"/>
      <c r="CB101" s="7"/>
    </row>
    <row r="102" spans="2:85" ht="17.100000000000001" customHeight="1" x14ac:dyDescent="0.15">
      <c r="B102" s="1178"/>
      <c r="C102" s="1177"/>
      <c r="D102" s="1177"/>
      <c r="E102" s="1177"/>
      <c r="F102" s="1177"/>
      <c r="G102" s="1177"/>
      <c r="H102" s="1177"/>
      <c r="I102" s="1177"/>
      <c r="J102" s="1177"/>
      <c r="K102" s="1177"/>
      <c r="L102" s="1177"/>
      <c r="M102" s="1177"/>
      <c r="N102" s="1177"/>
      <c r="O102" s="1177"/>
      <c r="P102" s="1177"/>
      <c r="Q102" s="1177"/>
      <c r="R102" s="1177"/>
      <c r="S102" s="1179"/>
      <c r="V102" s="242"/>
      <c r="BF102" s="299"/>
      <c r="BI102" s="1178"/>
      <c r="BJ102" s="1177"/>
      <c r="BK102" s="1177"/>
      <c r="BL102" s="1177"/>
      <c r="BM102" s="1177"/>
      <c r="BN102" s="1177"/>
      <c r="BO102" s="1177"/>
      <c r="BP102" s="1177"/>
      <c r="BQ102" s="1177"/>
      <c r="BR102" s="1177"/>
      <c r="BS102" s="1177"/>
      <c r="BT102" s="1177"/>
      <c r="BU102" s="1177"/>
      <c r="BV102" s="1177"/>
      <c r="BW102" s="1177"/>
      <c r="BX102" s="1177"/>
      <c r="BY102" s="1177"/>
      <c r="BZ102" s="1179"/>
      <c r="CB102" s="7"/>
    </row>
    <row r="103" spans="2:85" ht="17.100000000000001" customHeight="1" x14ac:dyDescent="0.15">
      <c r="B103" s="1178"/>
      <c r="C103" s="1177"/>
      <c r="D103" s="1177"/>
      <c r="E103" s="1177"/>
      <c r="F103" s="1177"/>
      <c r="G103" s="1177"/>
      <c r="H103" s="1177"/>
      <c r="I103" s="1177"/>
      <c r="J103" s="1177"/>
      <c r="K103" s="1177"/>
      <c r="L103" s="1177"/>
      <c r="M103" s="1177"/>
      <c r="N103" s="1177"/>
      <c r="O103" s="1177"/>
      <c r="P103" s="1177"/>
      <c r="Q103" s="1177"/>
      <c r="R103" s="1177"/>
      <c r="S103" s="1179"/>
      <c r="V103" s="242"/>
      <c r="BF103" s="299"/>
      <c r="BI103" s="1178"/>
      <c r="BJ103" s="1177"/>
      <c r="BK103" s="1177"/>
      <c r="BL103" s="1177"/>
      <c r="BM103" s="1177"/>
      <c r="BN103" s="1177"/>
      <c r="BO103" s="1177"/>
      <c r="BP103" s="1177"/>
      <c r="BQ103" s="1177"/>
      <c r="BR103" s="1177"/>
      <c r="BS103" s="1177"/>
      <c r="BT103" s="1177"/>
      <c r="BU103" s="1177"/>
      <c r="BV103" s="1177"/>
      <c r="BW103" s="1177"/>
      <c r="BX103" s="1177"/>
      <c r="BY103" s="1177"/>
      <c r="BZ103" s="1179"/>
      <c r="CB103" s="7"/>
    </row>
    <row r="104" spans="2:85" ht="17.100000000000001" customHeight="1" x14ac:dyDescent="0.15">
      <c r="B104" s="1178"/>
      <c r="C104" s="1177"/>
      <c r="D104" s="1177"/>
      <c r="E104" s="1177"/>
      <c r="F104" s="1177"/>
      <c r="G104" s="1177"/>
      <c r="H104" s="1177"/>
      <c r="I104" s="1177"/>
      <c r="J104" s="1177"/>
      <c r="K104" s="1177"/>
      <c r="L104" s="1177"/>
      <c r="M104" s="1177"/>
      <c r="N104" s="1177"/>
      <c r="O104" s="1177"/>
      <c r="P104" s="1177"/>
      <c r="Q104" s="1177"/>
      <c r="R104" s="1177"/>
      <c r="S104" s="1179"/>
      <c r="V104" s="242"/>
      <c r="BF104" s="299"/>
      <c r="BI104" s="1178"/>
      <c r="BJ104" s="1177"/>
      <c r="BK104" s="1177"/>
      <c r="BL104" s="1177"/>
      <c r="BM104" s="1177"/>
      <c r="BN104" s="1177"/>
      <c r="BO104" s="1177"/>
      <c r="BP104" s="1177"/>
      <c r="BQ104" s="1177"/>
      <c r="BR104" s="1177"/>
      <c r="BS104" s="1177"/>
      <c r="BT104" s="1177"/>
      <c r="BU104" s="1177"/>
      <c r="BV104" s="1177"/>
      <c r="BW104" s="1177"/>
      <c r="BX104" s="1177"/>
      <c r="BY104" s="1177"/>
      <c r="BZ104" s="1179"/>
      <c r="CB104" s="7"/>
    </row>
    <row r="105" spans="2:85" ht="17.100000000000001" customHeight="1" x14ac:dyDescent="0.15">
      <c r="B105" s="1178"/>
      <c r="C105" s="1177"/>
      <c r="D105" s="1177"/>
      <c r="E105" s="1177"/>
      <c r="F105" s="1177"/>
      <c r="G105" s="1177"/>
      <c r="H105" s="1177"/>
      <c r="I105" s="1177"/>
      <c r="J105" s="1177"/>
      <c r="K105" s="1177"/>
      <c r="L105" s="1177"/>
      <c r="M105" s="1177"/>
      <c r="N105" s="1177"/>
      <c r="O105" s="1177"/>
      <c r="P105" s="1177"/>
      <c r="Q105" s="1177"/>
      <c r="R105" s="1177"/>
      <c r="S105" s="1179"/>
      <c r="V105" s="242"/>
      <c r="BF105" s="299"/>
      <c r="BI105" s="1178"/>
      <c r="BJ105" s="1177"/>
      <c r="BK105" s="1177"/>
      <c r="BL105" s="1177"/>
      <c r="BM105" s="1177"/>
      <c r="BN105" s="1177"/>
      <c r="BO105" s="1177"/>
      <c r="BP105" s="1177"/>
      <c r="BQ105" s="1177"/>
      <c r="BR105" s="1177"/>
      <c r="BS105" s="1177"/>
      <c r="BT105" s="1177"/>
      <c r="BU105" s="1177"/>
      <c r="BV105" s="1177"/>
      <c r="BW105" s="1177"/>
      <c r="BX105" s="1177"/>
      <c r="BY105" s="1177"/>
      <c r="BZ105" s="1179"/>
      <c r="CB105" s="7"/>
    </row>
    <row r="106" spans="2:85" ht="17.100000000000001" customHeight="1" x14ac:dyDescent="0.15">
      <c r="B106" s="1178"/>
      <c r="C106" s="1177"/>
      <c r="D106" s="1177"/>
      <c r="E106" s="1177"/>
      <c r="F106" s="1177"/>
      <c r="G106" s="1177"/>
      <c r="H106" s="1177"/>
      <c r="I106" s="1177"/>
      <c r="J106" s="1177"/>
      <c r="K106" s="1177"/>
      <c r="L106" s="1177"/>
      <c r="M106" s="1177"/>
      <c r="N106" s="1177"/>
      <c r="O106" s="1177"/>
      <c r="P106" s="1177"/>
      <c r="Q106" s="1177"/>
      <c r="R106" s="1177"/>
      <c r="S106" s="1179"/>
      <c r="V106" s="242"/>
      <c r="BF106" s="299"/>
      <c r="BI106" s="1178"/>
      <c r="BJ106" s="1177"/>
      <c r="BK106" s="1177"/>
      <c r="BL106" s="1177"/>
      <c r="BM106" s="1177"/>
      <c r="BN106" s="1177"/>
      <c r="BO106" s="1177"/>
      <c r="BP106" s="1177"/>
      <c r="BQ106" s="1177"/>
      <c r="BR106" s="1177"/>
      <c r="BS106" s="1177"/>
      <c r="BT106" s="1177"/>
      <c r="BU106" s="1177"/>
      <c r="BV106" s="1177"/>
      <c r="BW106" s="1177"/>
      <c r="BX106" s="1177"/>
      <c r="BY106" s="1177"/>
      <c r="BZ106" s="1179"/>
      <c r="CA106" s="28"/>
      <c r="CB106" s="7"/>
    </row>
    <row r="107" spans="2:85" ht="17.100000000000001" customHeight="1" x14ac:dyDescent="0.15">
      <c r="B107" s="1178"/>
      <c r="C107" s="1177"/>
      <c r="D107" s="1177"/>
      <c r="E107" s="1177"/>
      <c r="F107" s="1177"/>
      <c r="G107" s="1177"/>
      <c r="H107" s="1177"/>
      <c r="I107" s="1177"/>
      <c r="J107" s="1177"/>
      <c r="K107" s="1177"/>
      <c r="L107" s="1177"/>
      <c r="M107" s="1177"/>
      <c r="N107" s="1177"/>
      <c r="O107" s="1177"/>
      <c r="P107" s="1177"/>
      <c r="Q107" s="1177"/>
      <c r="R107" s="1177"/>
      <c r="S107" s="1179"/>
      <c r="V107" s="242"/>
      <c r="BF107" s="299"/>
      <c r="BI107" s="1178"/>
      <c r="BJ107" s="1177"/>
      <c r="BK107" s="1177"/>
      <c r="BL107" s="1177"/>
      <c r="BM107" s="1177"/>
      <c r="BN107" s="1177"/>
      <c r="BO107" s="1177"/>
      <c r="BP107" s="1177"/>
      <c r="BQ107" s="1177"/>
      <c r="BR107" s="1177"/>
      <c r="BS107" s="1177"/>
      <c r="BT107" s="1177"/>
      <c r="BU107" s="1177"/>
      <c r="BV107" s="1177"/>
      <c r="BW107" s="1177"/>
      <c r="BX107" s="1177"/>
      <c r="BY107" s="1177"/>
      <c r="BZ107" s="1179"/>
      <c r="CA107" s="28"/>
      <c r="CB107" s="7"/>
    </row>
    <row r="108" spans="2:85" ht="17.100000000000001" customHeight="1" x14ac:dyDescent="0.15">
      <c r="B108" s="1178"/>
      <c r="C108" s="1177"/>
      <c r="D108" s="1177"/>
      <c r="E108" s="1177"/>
      <c r="F108" s="1177"/>
      <c r="G108" s="1177"/>
      <c r="H108" s="1177"/>
      <c r="I108" s="1177"/>
      <c r="J108" s="1177"/>
      <c r="K108" s="1177"/>
      <c r="L108" s="1177"/>
      <c r="M108" s="1177"/>
      <c r="N108" s="1177"/>
      <c r="O108" s="1177"/>
      <c r="P108" s="1177"/>
      <c r="Q108" s="1177"/>
      <c r="R108" s="1177"/>
      <c r="S108" s="1179"/>
      <c r="V108" s="242"/>
      <c r="BF108" s="299"/>
      <c r="BI108" s="1178"/>
      <c r="BJ108" s="1177"/>
      <c r="BK108" s="1177"/>
      <c r="BL108" s="1177"/>
      <c r="BM108" s="1177"/>
      <c r="BN108" s="1177"/>
      <c r="BO108" s="1177"/>
      <c r="BP108" s="1177"/>
      <c r="BQ108" s="1177"/>
      <c r="BR108" s="1177"/>
      <c r="BS108" s="1177"/>
      <c r="BT108" s="1177"/>
      <c r="BU108" s="1177"/>
      <c r="BV108" s="1177"/>
      <c r="BW108" s="1177"/>
      <c r="BX108" s="1177"/>
      <c r="BY108" s="1177"/>
      <c r="BZ108" s="1179"/>
      <c r="CA108" s="28"/>
      <c r="CB108" s="7"/>
    </row>
    <row r="109" spans="2:85" ht="17.100000000000001" customHeight="1" x14ac:dyDescent="0.15">
      <c r="B109" s="1178"/>
      <c r="C109" s="1177"/>
      <c r="D109" s="1177"/>
      <c r="E109" s="1177"/>
      <c r="F109" s="1177"/>
      <c r="G109" s="1177"/>
      <c r="H109" s="1177"/>
      <c r="I109" s="1177"/>
      <c r="J109" s="1177"/>
      <c r="K109" s="1177"/>
      <c r="L109" s="1177"/>
      <c r="M109" s="1177"/>
      <c r="N109" s="1177"/>
      <c r="O109" s="1177"/>
      <c r="P109" s="1177"/>
      <c r="Q109" s="1177"/>
      <c r="R109" s="1177"/>
      <c r="S109" s="1179"/>
      <c r="V109" s="242"/>
      <c r="BF109" s="299"/>
      <c r="BI109" s="1178"/>
      <c r="BJ109" s="1177"/>
      <c r="BK109" s="1177"/>
      <c r="BL109" s="1177"/>
      <c r="BM109" s="1177"/>
      <c r="BN109" s="1177"/>
      <c r="BO109" s="1177"/>
      <c r="BP109" s="1177"/>
      <c r="BQ109" s="1177"/>
      <c r="BR109" s="1177"/>
      <c r="BS109" s="1177"/>
      <c r="BT109" s="1177"/>
      <c r="BU109" s="1177"/>
      <c r="BV109" s="1177"/>
      <c r="BW109" s="1177"/>
      <c r="BX109" s="1177"/>
      <c r="BY109" s="1177"/>
      <c r="BZ109" s="1179"/>
      <c r="CA109" s="28"/>
      <c r="CB109" s="7"/>
    </row>
    <row r="110" spans="2:85" ht="17.100000000000001" customHeight="1" x14ac:dyDescent="0.15">
      <c r="B110" s="1178"/>
      <c r="C110" s="1177"/>
      <c r="D110" s="1177"/>
      <c r="E110" s="1177"/>
      <c r="F110" s="1177"/>
      <c r="G110" s="1177"/>
      <c r="H110" s="1177"/>
      <c r="I110" s="1177"/>
      <c r="J110" s="1177"/>
      <c r="K110" s="1177"/>
      <c r="L110" s="1177"/>
      <c r="M110" s="1177"/>
      <c r="N110" s="1177"/>
      <c r="O110" s="1177"/>
      <c r="P110" s="1177"/>
      <c r="Q110" s="1177"/>
      <c r="R110" s="1177"/>
      <c r="S110" s="1179"/>
      <c r="V110" s="242"/>
      <c r="BF110" s="299"/>
      <c r="BI110" s="1178"/>
      <c r="BJ110" s="1177"/>
      <c r="BK110" s="1177"/>
      <c r="BL110" s="1177"/>
      <c r="BM110" s="1177"/>
      <c r="BN110" s="1177"/>
      <c r="BO110" s="1177"/>
      <c r="BP110" s="1177"/>
      <c r="BQ110" s="1177"/>
      <c r="BR110" s="1177"/>
      <c r="BS110" s="1177"/>
      <c r="BT110" s="1177"/>
      <c r="BU110" s="1177"/>
      <c r="BV110" s="1177"/>
      <c r="BW110" s="1177"/>
      <c r="BX110" s="1177"/>
      <c r="BY110" s="1177"/>
      <c r="BZ110" s="1179"/>
      <c r="CA110" s="28"/>
      <c r="CB110" s="7"/>
    </row>
    <row r="111" spans="2:85" ht="17.100000000000001" customHeight="1" x14ac:dyDescent="0.15">
      <c r="B111" s="1178"/>
      <c r="C111" s="1177"/>
      <c r="D111" s="1177"/>
      <c r="E111" s="1177"/>
      <c r="F111" s="1177"/>
      <c r="G111" s="1177"/>
      <c r="H111" s="1177"/>
      <c r="I111" s="1177"/>
      <c r="J111" s="1177"/>
      <c r="K111" s="1177"/>
      <c r="L111" s="1177"/>
      <c r="M111" s="1177"/>
      <c r="N111" s="1177"/>
      <c r="O111" s="1177"/>
      <c r="P111" s="1177"/>
      <c r="Q111" s="1177"/>
      <c r="R111" s="1177"/>
      <c r="S111" s="1179"/>
      <c r="V111" s="242"/>
      <c r="BF111" s="299"/>
      <c r="BI111" s="1178"/>
      <c r="BJ111" s="1177"/>
      <c r="BK111" s="1177"/>
      <c r="BL111" s="1177"/>
      <c r="BM111" s="1177"/>
      <c r="BN111" s="1177"/>
      <c r="BO111" s="1177"/>
      <c r="BP111" s="1177"/>
      <c r="BQ111" s="1177"/>
      <c r="BR111" s="1177"/>
      <c r="BS111" s="1177"/>
      <c r="BT111" s="1177"/>
      <c r="BU111" s="1177"/>
      <c r="BV111" s="1177"/>
      <c r="BW111" s="1177"/>
      <c r="BX111" s="1177"/>
      <c r="BY111" s="1177"/>
      <c r="BZ111" s="1179"/>
      <c r="CA111" s="28"/>
      <c r="CB111" s="7"/>
    </row>
    <row r="112" spans="2:85" ht="17.100000000000001" customHeight="1" x14ac:dyDescent="0.15">
      <c r="B112" s="1178"/>
      <c r="C112" s="1177"/>
      <c r="D112" s="1177"/>
      <c r="E112" s="1177"/>
      <c r="F112" s="1177"/>
      <c r="G112" s="1177"/>
      <c r="H112" s="1177"/>
      <c r="I112" s="1177"/>
      <c r="J112" s="1177"/>
      <c r="K112" s="1177"/>
      <c r="L112" s="1177"/>
      <c r="M112" s="1177"/>
      <c r="N112" s="1177"/>
      <c r="O112" s="1177"/>
      <c r="P112" s="1177"/>
      <c r="Q112" s="1177"/>
      <c r="R112" s="1177"/>
      <c r="S112" s="1179"/>
      <c r="V112" s="242"/>
      <c r="BF112" s="299"/>
      <c r="BI112" s="1178"/>
      <c r="BJ112" s="1177"/>
      <c r="BK112" s="1177"/>
      <c r="BL112" s="1177"/>
      <c r="BM112" s="1177"/>
      <c r="BN112" s="1177"/>
      <c r="BO112" s="1177"/>
      <c r="BP112" s="1177"/>
      <c r="BQ112" s="1177"/>
      <c r="BR112" s="1177"/>
      <c r="BS112" s="1177"/>
      <c r="BT112" s="1177"/>
      <c r="BU112" s="1177"/>
      <c r="BV112" s="1177"/>
      <c r="BW112" s="1177"/>
      <c r="BX112" s="1177"/>
      <c r="BY112" s="1177"/>
      <c r="BZ112" s="1179"/>
      <c r="CA112" s="28"/>
      <c r="CB112" s="7"/>
    </row>
    <row r="113" spans="2:80" ht="17.100000000000001" customHeight="1" x14ac:dyDescent="0.15">
      <c r="B113" s="1178"/>
      <c r="C113" s="1177"/>
      <c r="D113" s="1177"/>
      <c r="E113" s="1177"/>
      <c r="F113" s="1177"/>
      <c r="G113" s="1177"/>
      <c r="H113" s="1177"/>
      <c r="I113" s="1177"/>
      <c r="J113" s="1177"/>
      <c r="K113" s="1177"/>
      <c r="L113" s="1177"/>
      <c r="M113" s="1177"/>
      <c r="N113" s="1177"/>
      <c r="O113" s="1177"/>
      <c r="P113" s="1177"/>
      <c r="Q113" s="1177"/>
      <c r="R113" s="1177"/>
      <c r="S113" s="1179"/>
      <c r="V113" s="242"/>
      <c r="BF113" s="299"/>
      <c r="BI113" s="1178"/>
      <c r="BJ113" s="1177"/>
      <c r="BK113" s="1177"/>
      <c r="BL113" s="1177"/>
      <c r="BM113" s="1177"/>
      <c r="BN113" s="1177"/>
      <c r="BO113" s="1177"/>
      <c r="BP113" s="1177"/>
      <c r="BQ113" s="1177"/>
      <c r="BR113" s="1177"/>
      <c r="BS113" s="1177"/>
      <c r="BT113" s="1177"/>
      <c r="BU113" s="1177"/>
      <c r="BV113" s="1177"/>
      <c r="BW113" s="1177"/>
      <c r="BX113" s="1177"/>
      <c r="BY113" s="1177"/>
      <c r="BZ113" s="1179"/>
      <c r="CA113" s="28"/>
      <c r="CB113" s="7"/>
    </row>
    <row r="114" spans="2:80" ht="17.100000000000001" customHeight="1" x14ac:dyDescent="0.15">
      <c r="B114" s="1178"/>
      <c r="C114" s="1177"/>
      <c r="D114" s="1177"/>
      <c r="E114" s="1177"/>
      <c r="F114" s="1177"/>
      <c r="G114" s="1177"/>
      <c r="H114" s="1177"/>
      <c r="I114" s="1177"/>
      <c r="J114" s="1177"/>
      <c r="K114" s="1177"/>
      <c r="L114" s="1177"/>
      <c r="M114" s="1177"/>
      <c r="N114" s="1177"/>
      <c r="O114" s="1177"/>
      <c r="P114" s="1177"/>
      <c r="Q114" s="1177"/>
      <c r="R114" s="1177"/>
      <c r="S114" s="1179"/>
      <c r="V114" s="242"/>
      <c r="BF114" s="299"/>
      <c r="BI114" s="1178"/>
      <c r="BJ114" s="1177"/>
      <c r="BK114" s="1177"/>
      <c r="BL114" s="1177"/>
      <c r="BM114" s="1177"/>
      <c r="BN114" s="1177"/>
      <c r="BO114" s="1177"/>
      <c r="BP114" s="1177"/>
      <c r="BQ114" s="1177"/>
      <c r="BR114" s="1177"/>
      <c r="BS114" s="1177"/>
      <c r="BT114" s="1177"/>
      <c r="BU114" s="1177"/>
      <c r="BV114" s="1177"/>
      <c r="BW114" s="1177"/>
      <c r="BX114" s="1177"/>
      <c r="BY114" s="1177"/>
      <c r="BZ114" s="1179"/>
      <c r="CA114" s="28"/>
      <c r="CB114" s="7"/>
    </row>
    <row r="115" spans="2:80" ht="17.100000000000001" customHeight="1" x14ac:dyDescent="0.15">
      <c r="B115" s="1178"/>
      <c r="C115" s="1177"/>
      <c r="D115" s="1177"/>
      <c r="E115" s="1177"/>
      <c r="F115" s="1177"/>
      <c r="G115" s="1177"/>
      <c r="H115" s="1177"/>
      <c r="I115" s="1177"/>
      <c r="J115" s="1177"/>
      <c r="K115" s="1177"/>
      <c r="L115" s="1177"/>
      <c r="M115" s="1177"/>
      <c r="N115" s="1177"/>
      <c r="O115" s="1177"/>
      <c r="P115" s="1177"/>
      <c r="Q115" s="1177"/>
      <c r="R115" s="1177"/>
      <c r="S115" s="1179"/>
      <c r="V115" s="242"/>
      <c r="BF115" s="299"/>
      <c r="BI115" s="1178"/>
      <c r="BJ115" s="1177"/>
      <c r="BK115" s="1177"/>
      <c r="BL115" s="1177"/>
      <c r="BM115" s="1177"/>
      <c r="BN115" s="1177"/>
      <c r="BO115" s="1177"/>
      <c r="BP115" s="1177"/>
      <c r="BQ115" s="1177"/>
      <c r="BR115" s="1177"/>
      <c r="BS115" s="1177"/>
      <c r="BT115" s="1177"/>
      <c r="BU115" s="1177"/>
      <c r="BV115" s="1177"/>
      <c r="BW115" s="1177"/>
      <c r="BX115" s="1177"/>
      <c r="BY115" s="1177"/>
      <c r="BZ115" s="1179"/>
      <c r="CA115" s="28"/>
      <c r="CB115" s="7"/>
    </row>
    <row r="116" spans="2:80" ht="17.100000000000001" customHeight="1" x14ac:dyDescent="0.15">
      <c r="B116" s="1178"/>
      <c r="C116" s="1177"/>
      <c r="D116" s="1177"/>
      <c r="E116" s="1177"/>
      <c r="F116" s="1177"/>
      <c r="G116" s="1177"/>
      <c r="H116" s="1177"/>
      <c r="I116" s="1177"/>
      <c r="J116" s="1177"/>
      <c r="K116" s="1177"/>
      <c r="L116" s="1177"/>
      <c r="M116" s="1177"/>
      <c r="N116" s="1177"/>
      <c r="O116" s="1177"/>
      <c r="P116" s="1177"/>
      <c r="Q116" s="1177"/>
      <c r="R116" s="1177"/>
      <c r="S116" s="1179"/>
      <c r="V116" s="242"/>
      <c r="BF116" s="299"/>
      <c r="BI116" s="1178"/>
      <c r="BJ116" s="1177"/>
      <c r="BK116" s="1177"/>
      <c r="BL116" s="1177"/>
      <c r="BM116" s="1177"/>
      <c r="BN116" s="1177"/>
      <c r="BO116" s="1177"/>
      <c r="BP116" s="1177"/>
      <c r="BQ116" s="1177"/>
      <c r="BR116" s="1177"/>
      <c r="BS116" s="1177"/>
      <c r="BT116" s="1177"/>
      <c r="BU116" s="1177"/>
      <c r="BV116" s="1177"/>
      <c r="BW116" s="1177"/>
      <c r="BX116" s="1177"/>
      <c r="BY116" s="1177"/>
      <c r="BZ116" s="1179"/>
      <c r="CA116" s="28"/>
      <c r="CB116" s="7"/>
    </row>
    <row r="117" spans="2:80" ht="17.100000000000001" customHeight="1" x14ac:dyDescent="0.15">
      <c r="B117" s="1178"/>
      <c r="C117" s="1177"/>
      <c r="D117" s="1177"/>
      <c r="E117" s="1177"/>
      <c r="F117" s="1177"/>
      <c r="G117" s="1177"/>
      <c r="H117" s="1177"/>
      <c r="I117" s="1177"/>
      <c r="J117" s="1177"/>
      <c r="K117" s="1177"/>
      <c r="L117" s="1177"/>
      <c r="M117" s="1177"/>
      <c r="N117" s="1177"/>
      <c r="O117" s="1177"/>
      <c r="P117" s="1177"/>
      <c r="Q117" s="1177"/>
      <c r="R117" s="1177"/>
      <c r="S117" s="1179"/>
      <c r="V117" s="242"/>
      <c r="BF117" s="299"/>
      <c r="BI117" s="1178"/>
      <c r="BJ117" s="1177"/>
      <c r="BK117" s="1177"/>
      <c r="BL117" s="1177"/>
      <c r="BM117" s="1177"/>
      <c r="BN117" s="1177"/>
      <c r="BO117" s="1177"/>
      <c r="BP117" s="1177"/>
      <c r="BQ117" s="1177"/>
      <c r="BR117" s="1177"/>
      <c r="BS117" s="1177"/>
      <c r="BT117" s="1177"/>
      <c r="BU117" s="1177"/>
      <c r="BV117" s="1177"/>
      <c r="BW117" s="1177"/>
      <c r="BX117" s="1177"/>
      <c r="BY117" s="1177"/>
      <c r="BZ117" s="1179"/>
      <c r="CA117" s="28"/>
      <c r="CB117" s="7"/>
    </row>
    <row r="118" spans="2:80" ht="17.100000000000001" customHeight="1" x14ac:dyDescent="0.15">
      <c r="B118" s="1178"/>
      <c r="C118" s="1177"/>
      <c r="D118" s="1177"/>
      <c r="E118" s="1177"/>
      <c r="F118" s="1177"/>
      <c r="G118" s="1177"/>
      <c r="H118" s="1177"/>
      <c r="I118" s="1177"/>
      <c r="J118" s="1177"/>
      <c r="K118" s="1177"/>
      <c r="L118" s="1177"/>
      <c r="M118" s="1177"/>
      <c r="N118" s="1177"/>
      <c r="O118" s="1177"/>
      <c r="P118" s="1177"/>
      <c r="Q118" s="1177"/>
      <c r="R118" s="1177"/>
      <c r="S118" s="1179"/>
      <c r="V118" s="242"/>
      <c r="BF118" s="299"/>
      <c r="BI118" s="1178"/>
      <c r="BJ118" s="1177"/>
      <c r="BK118" s="1177"/>
      <c r="BL118" s="1177"/>
      <c r="BM118" s="1177"/>
      <c r="BN118" s="1177"/>
      <c r="BO118" s="1177"/>
      <c r="BP118" s="1177"/>
      <c r="BQ118" s="1177"/>
      <c r="BR118" s="1177"/>
      <c r="BS118" s="1177"/>
      <c r="BT118" s="1177"/>
      <c r="BU118" s="1177"/>
      <c r="BV118" s="1177"/>
      <c r="BW118" s="1177"/>
      <c r="BX118" s="1177"/>
      <c r="BY118" s="1177"/>
      <c r="BZ118" s="1179"/>
      <c r="CA118" s="28"/>
      <c r="CB118" s="7"/>
    </row>
    <row r="119" spans="2:80" ht="17.100000000000001" customHeight="1" x14ac:dyDescent="0.15">
      <c r="B119" s="1178"/>
      <c r="C119" s="1177"/>
      <c r="D119" s="1177"/>
      <c r="E119" s="1177"/>
      <c r="F119" s="1177"/>
      <c r="G119" s="1177"/>
      <c r="H119" s="1177"/>
      <c r="I119" s="1177"/>
      <c r="J119" s="1177"/>
      <c r="K119" s="1177"/>
      <c r="L119" s="1177"/>
      <c r="M119" s="1177"/>
      <c r="N119" s="1177"/>
      <c r="O119" s="1177"/>
      <c r="P119" s="1177"/>
      <c r="Q119" s="1177"/>
      <c r="R119" s="1177"/>
      <c r="S119" s="1179"/>
      <c r="V119" s="242"/>
      <c r="BF119" s="299"/>
      <c r="BI119" s="1178"/>
      <c r="BJ119" s="1177"/>
      <c r="BK119" s="1177"/>
      <c r="BL119" s="1177"/>
      <c r="BM119" s="1177"/>
      <c r="BN119" s="1177"/>
      <c r="BO119" s="1177"/>
      <c r="BP119" s="1177"/>
      <c r="BQ119" s="1177"/>
      <c r="BR119" s="1177"/>
      <c r="BS119" s="1177"/>
      <c r="BT119" s="1177"/>
      <c r="BU119" s="1177"/>
      <c r="BV119" s="1177"/>
      <c r="BW119" s="1177"/>
      <c r="BX119" s="1177"/>
      <c r="BY119" s="1177"/>
      <c r="BZ119" s="1179"/>
      <c r="CA119" s="28"/>
      <c r="CB119" s="7"/>
    </row>
    <row r="120" spans="2:80" ht="17.100000000000001" customHeight="1" x14ac:dyDescent="0.15">
      <c r="B120" s="1178"/>
      <c r="C120" s="1177"/>
      <c r="D120" s="1177"/>
      <c r="E120" s="1177"/>
      <c r="F120" s="1177"/>
      <c r="G120" s="1177"/>
      <c r="H120" s="1177"/>
      <c r="I120" s="1177"/>
      <c r="J120" s="1177"/>
      <c r="K120" s="1177"/>
      <c r="L120" s="1177"/>
      <c r="M120" s="1177"/>
      <c r="N120" s="1177"/>
      <c r="O120" s="1177"/>
      <c r="P120" s="1177"/>
      <c r="Q120" s="1177"/>
      <c r="R120" s="1177"/>
      <c r="S120" s="1179"/>
      <c r="V120" s="242"/>
      <c r="BF120" s="299"/>
      <c r="BI120" s="1178"/>
      <c r="BJ120" s="1177"/>
      <c r="BK120" s="1177"/>
      <c r="BL120" s="1177"/>
      <c r="BM120" s="1177"/>
      <c r="BN120" s="1177"/>
      <c r="BO120" s="1177"/>
      <c r="BP120" s="1177"/>
      <c r="BQ120" s="1177"/>
      <c r="BR120" s="1177"/>
      <c r="BS120" s="1177"/>
      <c r="BT120" s="1177"/>
      <c r="BU120" s="1177"/>
      <c r="BV120" s="1177"/>
      <c r="BW120" s="1177"/>
      <c r="BX120" s="1177"/>
      <c r="BY120" s="1177"/>
      <c r="BZ120" s="1179"/>
      <c r="CA120" s="28"/>
      <c r="CB120" s="7"/>
    </row>
    <row r="121" spans="2:80" ht="17.100000000000001" customHeight="1" x14ac:dyDescent="0.15">
      <c r="B121" s="1178"/>
      <c r="C121" s="1177"/>
      <c r="D121" s="1177"/>
      <c r="E121" s="1177"/>
      <c r="F121" s="1177"/>
      <c r="G121" s="1177"/>
      <c r="H121" s="1177"/>
      <c r="I121" s="1177"/>
      <c r="J121" s="1177"/>
      <c r="K121" s="1177"/>
      <c r="L121" s="1177"/>
      <c r="M121" s="1177"/>
      <c r="N121" s="1177"/>
      <c r="O121" s="1177"/>
      <c r="P121" s="1177"/>
      <c r="Q121" s="1177"/>
      <c r="R121" s="1177"/>
      <c r="S121" s="1179"/>
      <c r="V121" s="242"/>
      <c r="BF121" s="299"/>
      <c r="BI121" s="1178"/>
      <c r="BJ121" s="1177"/>
      <c r="BK121" s="1177"/>
      <c r="BL121" s="1177"/>
      <c r="BM121" s="1177"/>
      <c r="BN121" s="1177"/>
      <c r="BO121" s="1177"/>
      <c r="BP121" s="1177"/>
      <c r="BQ121" s="1177"/>
      <c r="BR121" s="1177"/>
      <c r="BS121" s="1177"/>
      <c r="BT121" s="1177"/>
      <c r="BU121" s="1177"/>
      <c r="BV121" s="1177"/>
      <c r="BW121" s="1177"/>
      <c r="BX121" s="1177"/>
      <c r="BY121" s="1177"/>
      <c r="BZ121" s="1179"/>
      <c r="CA121" s="28"/>
      <c r="CB121" s="7"/>
    </row>
    <row r="122" spans="2:80" ht="17.100000000000001" customHeight="1" x14ac:dyDescent="0.15">
      <c r="B122" s="1178"/>
      <c r="C122" s="1177"/>
      <c r="D122" s="1177"/>
      <c r="E122" s="1177"/>
      <c r="F122" s="1177"/>
      <c r="G122" s="1177"/>
      <c r="H122" s="1177"/>
      <c r="I122" s="1177"/>
      <c r="J122" s="1177"/>
      <c r="K122" s="1177"/>
      <c r="L122" s="1177"/>
      <c r="M122" s="1177"/>
      <c r="N122" s="1177"/>
      <c r="O122" s="1177"/>
      <c r="P122" s="1177"/>
      <c r="Q122" s="1177"/>
      <c r="R122" s="1177"/>
      <c r="S122" s="1179"/>
      <c r="V122" s="242"/>
      <c r="BF122" s="299"/>
      <c r="BI122" s="1178"/>
      <c r="BJ122" s="1177"/>
      <c r="BK122" s="1177"/>
      <c r="BL122" s="1177"/>
      <c r="BM122" s="1177"/>
      <c r="BN122" s="1177"/>
      <c r="BO122" s="1177"/>
      <c r="BP122" s="1177"/>
      <c r="BQ122" s="1177"/>
      <c r="BR122" s="1177"/>
      <c r="BS122" s="1177"/>
      <c r="BT122" s="1177"/>
      <c r="BU122" s="1177"/>
      <c r="BV122" s="1177"/>
      <c r="BW122" s="1177"/>
      <c r="BX122" s="1177"/>
      <c r="BY122" s="1177"/>
      <c r="BZ122" s="1179"/>
      <c r="CA122" s="28"/>
      <c r="CB122" s="7"/>
    </row>
    <row r="123" spans="2:80" ht="17.100000000000001" customHeight="1" x14ac:dyDescent="0.15">
      <c r="B123" s="1178"/>
      <c r="C123" s="1177"/>
      <c r="D123" s="1177"/>
      <c r="E123" s="1177"/>
      <c r="F123" s="1177"/>
      <c r="G123" s="1177"/>
      <c r="H123" s="1177"/>
      <c r="I123" s="1177"/>
      <c r="J123" s="1177"/>
      <c r="K123" s="1177"/>
      <c r="L123" s="1177"/>
      <c r="M123" s="1177"/>
      <c r="N123" s="1177"/>
      <c r="O123" s="1177"/>
      <c r="P123" s="1177"/>
      <c r="Q123" s="1177"/>
      <c r="R123" s="1177"/>
      <c r="S123" s="1179"/>
      <c r="V123" s="242"/>
      <c r="BF123" s="299"/>
      <c r="BI123" s="1178"/>
      <c r="BJ123" s="1177"/>
      <c r="BK123" s="1177"/>
      <c r="BL123" s="1177"/>
      <c r="BM123" s="1177"/>
      <c r="BN123" s="1177"/>
      <c r="BO123" s="1177"/>
      <c r="BP123" s="1177"/>
      <c r="BQ123" s="1177"/>
      <c r="BR123" s="1177"/>
      <c r="BS123" s="1177"/>
      <c r="BT123" s="1177"/>
      <c r="BU123" s="1177"/>
      <c r="BV123" s="1177"/>
      <c r="BW123" s="1177"/>
      <c r="BX123" s="1177"/>
      <c r="BY123" s="1177"/>
      <c r="BZ123" s="1179"/>
      <c r="CA123" s="28"/>
      <c r="CB123" s="7"/>
    </row>
    <row r="124" spans="2:80" ht="17.100000000000001" customHeight="1" x14ac:dyDescent="0.15">
      <c r="B124" s="1178"/>
      <c r="C124" s="1177"/>
      <c r="D124" s="1177"/>
      <c r="E124" s="1177"/>
      <c r="F124" s="1177"/>
      <c r="G124" s="1177"/>
      <c r="H124" s="1177"/>
      <c r="I124" s="1177"/>
      <c r="J124" s="1177"/>
      <c r="K124" s="1177"/>
      <c r="L124" s="1177"/>
      <c r="M124" s="1177"/>
      <c r="N124" s="1177"/>
      <c r="O124" s="1177"/>
      <c r="P124" s="1177"/>
      <c r="Q124" s="1177"/>
      <c r="R124" s="1177"/>
      <c r="S124" s="1179"/>
      <c r="V124" s="242"/>
      <c r="BF124" s="299"/>
      <c r="BI124" s="1178"/>
      <c r="BJ124" s="1177"/>
      <c r="BK124" s="1177"/>
      <c r="BL124" s="1177"/>
      <c r="BM124" s="1177"/>
      <c r="BN124" s="1177"/>
      <c r="BO124" s="1177"/>
      <c r="BP124" s="1177"/>
      <c r="BQ124" s="1177"/>
      <c r="BR124" s="1177"/>
      <c r="BS124" s="1177"/>
      <c r="BT124" s="1177"/>
      <c r="BU124" s="1177"/>
      <c r="BV124" s="1177"/>
      <c r="BW124" s="1177"/>
      <c r="BX124" s="1177"/>
      <c r="BY124" s="1177"/>
      <c r="BZ124" s="1179"/>
      <c r="CA124" s="28"/>
      <c r="CB124" s="7"/>
    </row>
    <row r="125" spans="2:80" ht="17.100000000000001" customHeight="1" x14ac:dyDescent="0.15">
      <c r="B125" s="1178"/>
      <c r="C125" s="1177"/>
      <c r="D125" s="1177"/>
      <c r="E125" s="1177"/>
      <c r="F125" s="1177"/>
      <c r="G125" s="1177"/>
      <c r="H125" s="1177"/>
      <c r="I125" s="1177"/>
      <c r="J125" s="1177"/>
      <c r="K125" s="1177"/>
      <c r="L125" s="1177"/>
      <c r="M125" s="1177"/>
      <c r="N125" s="1177"/>
      <c r="O125" s="1177"/>
      <c r="P125" s="1177"/>
      <c r="Q125" s="1177"/>
      <c r="R125" s="1177"/>
      <c r="S125" s="1179"/>
      <c r="V125" s="242"/>
      <c r="BF125" s="299"/>
      <c r="BI125" s="1178"/>
      <c r="BJ125" s="1177"/>
      <c r="BK125" s="1177"/>
      <c r="BL125" s="1177"/>
      <c r="BM125" s="1177"/>
      <c r="BN125" s="1177"/>
      <c r="BO125" s="1177"/>
      <c r="BP125" s="1177"/>
      <c r="BQ125" s="1177"/>
      <c r="BR125" s="1177"/>
      <c r="BS125" s="1177"/>
      <c r="BT125" s="1177"/>
      <c r="BU125" s="1177"/>
      <c r="BV125" s="1177"/>
      <c r="BW125" s="1177"/>
      <c r="BX125" s="1177"/>
      <c r="BY125" s="1177"/>
      <c r="BZ125" s="1179"/>
      <c r="CA125" s="28"/>
      <c r="CB125" s="7"/>
    </row>
    <row r="126" spans="2:80" ht="17.100000000000001" customHeight="1" x14ac:dyDescent="0.15">
      <c r="B126" s="1178"/>
      <c r="C126" s="1177"/>
      <c r="D126" s="1177"/>
      <c r="E126" s="1177"/>
      <c r="F126" s="1177"/>
      <c r="G126" s="1177"/>
      <c r="H126" s="1177"/>
      <c r="I126" s="1177"/>
      <c r="J126" s="1177"/>
      <c r="K126" s="1177"/>
      <c r="L126" s="1177"/>
      <c r="M126" s="1177"/>
      <c r="N126" s="1177"/>
      <c r="O126" s="1177"/>
      <c r="P126" s="1177"/>
      <c r="Q126" s="1177"/>
      <c r="R126" s="1177"/>
      <c r="S126" s="1179"/>
      <c r="V126" s="242"/>
      <c r="BF126" s="299"/>
      <c r="BI126" s="1178"/>
      <c r="BJ126" s="1177"/>
      <c r="BK126" s="1177"/>
      <c r="BL126" s="1177"/>
      <c r="BM126" s="1177"/>
      <c r="BN126" s="1177"/>
      <c r="BO126" s="1177"/>
      <c r="BP126" s="1177"/>
      <c r="BQ126" s="1177"/>
      <c r="BR126" s="1177"/>
      <c r="BS126" s="1177"/>
      <c r="BT126" s="1177"/>
      <c r="BU126" s="1177"/>
      <c r="BV126" s="1177"/>
      <c r="BW126" s="1177"/>
      <c r="BX126" s="1177"/>
      <c r="BY126" s="1177"/>
      <c r="BZ126" s="1179"/>
      <c r="CA126" s="28"/>
      <c r="CB126" s="7"/>
    </row>
    <row r="127" spans="2:80" ht="17.100000000000001" customHeight="1" x14ac:dyDescent="0.15">
      <c r="B127" s="1178"/>
      <c r="C127" s="1177"/>
      <c r="D127" s="1177"/>
      <c r="E127" s="1177"/>
      <c r="F127" s="1177"/>
      <c r="G127" s="1177"/>
      <c r="H127" s="1177"/>
      <c r="I127" s="1177"/>
      <c r="J127" s="1177"/>
      <c r="K127" s="1177"/>
      <c r="L127" s="1177"/>
      <c r="M127" s="1177"/>
      <c r="N127" s="1177"/>
      <c r="O127" s="1177"/>
      <c r="P127" s="1177"/>
      <c r="Q127" s="1177"/>
      <c r="R127" s="1177"/>
      <c r="S127" s="1179"/>
      <c r="V127" s="242"/>
      <c r="BF127" s="299"/>
      <c r="BI127" s="1178"/>
      <c r="BJ127" s="1177"/>
      <c r="BK127" s="1177"/>
      <c r="BL127" s="1177"/>
      <c r="BM127" s="1177"/>
      <c r="BN127" s="1177"/>
      <c r="BO127" s="1177"/>
      <c r="BP127" s="1177"/>
      <c r="BQ127" s="1177"/>
      <c r="BR127" s="1177"/>
      <c r="BS127" s="1177"/>
      <c r="BT127" s="1177"/>
      <c r="BU127" s="1177"/>
      <c r="BV127" s="1177"/>
      <c r="BW127" s="1177"/>
      <c r="BX127" s="1177"/>
      <c r="BY127" s="1177"/>
      <c r="BZ127" s="1179"/>
      <c r="CA127" s="28"/>
      <c r="CB127" s="7"/>
    </row>
    <row r="128" spans="2:80" ht="17.100000000000001" customHeight="1" x14ac:dyDescent="0.15">
      <c r="B128" s="1178"/>
      <c r="C128" s="1177"/>
      <c r="D128" s="1177"/>
      <c r="E128" s="1177"/>
      <c r="F128" s="1177"/>
      <c r="G128" s="1177"/>
      <c r="H128" s="1177"/>
      <c r="I128" s="1177"/>
      <c r="J128" s="1177"/>
      <c r="K128" s="1177"/>
      <c r="L128" s="1177"/>
      <c r="M128" s="1177"/>
      <c r="N128" s="1177"/>
      <c r="O128" s="1177"/>
      <c r="P128" s="1177"/>
      <c r="Q128" s="1177"/>
      <c r="R128" s="1177"/>
      <c r="S128" s="1179"/>
      <c r="V128" s="242"/>
      <c r="BF128" s="299"/>
      <c r="BI128" s="1178"/>
      <c r="BJ128" s="1177"/>
      <c r="BK128" s="1177"/>
      <c r="BL128" s="1177"/>
      <c r="BM128" s="1177"/>
      <c r="BN128" s="1177"/>
      <c r="BO128" s="1177"/>
      <c r="BP128" s="1177"/>
      <c r="BQ128" s="1177"/>
      <c r="BR128" s="1177"/>
      <c r="BS128" s="1177"/>
      <c r="BT128" s="1177"/>
      <c r="BU128" s="1177"/>
      <c r="BV128" s="1177"/>
      <c r="BW128" s="1177"/>
      <c r="BX128" s="1177"/>
      <c r="BY128" s="1177"/>
      <c r="BZ128" s="1179"/>
      <c r="CA128" s="28"/>
      <c r="CB128" s="7"/>
    </row>
    <row r="129" spans="2:158" ht="17.100000000000001" customHeight="1" x14ac:dyDescent="0.15">
      <c r="B129" s="1178"/>
      <c r="C129" s="1177"/>
      <c r="D129" s="1177"/>
      <c r="E129" s="1177"/>
      <c r="F129" s="1177"/>
      <c r="G129" s="1177"/>
      <c r="H129" s="1177"/>
      <c r="I129" s="1177"/>
      <c r="J129" s="1177"/>
      <c r="K129" s="1177"/>
      <c r="L129" s="1177"/>
      <c r="M129" s="1177"/>
      <c r="N129" s="1177"/>
      <c r="O129" s="1177"/>
      <c r="P129" s="1177"/>
      <c r="Q129" s="1177"/>
      <c r="R129" s="1177"/>
      <c r="S129" s="1179"/>
      <c r="V129" s="242"/>
      <c r="BF129" s="299"/>
      <c r="BI129" s="1178"/>
      <c r="BJ129" s="1177"/>
      <c r="BK129" s="1177"/>
      <c r="BL129" s="1177"/>
      <c r="BM129" s="1177"/>
      <c r="BN129" s="1177"/>
      <c r="BO129" s="1177"/>
      <c r="BP129" s="1177"/>
      <c r="BQ129" s="1177"/>
      <c r="BR129" s="1177"/>
      <c r="BS129" s="1177"/>
      <c r="BT129" s="1177"/>
      <c r="BU129" s="1177"/>
      <c r="BV129" s="1177"/>
      <c r="BW129" s="1177"/>
      <c r="BX129" s="1177"/>
      <c r="BY129" s="1177"/>
      <c r="BZ129" s="1179"/>
      <c r="CA129" s="28"/>
      <c r="CB129" s="7"/>
    </row>
    <row r="130" spans="2:158" ht="17.100000000000001" customHeight="1" thickBot="1" x14ac:dyDescent="0.2">
      <c r="B130" s="1180"/>
      <c r="C130" s="1181"/>
      <c r="D130" s="1181"/>
      <c r="E130" s="1181"/>
      <c r="F130" s="1181"/>
      <c r="G130" s="1181"/>
      <c r="H130" s="1181"/>
      <c r="I130" s="1181"/>
      <c r="J130" s="1181"/>
      <c r="K130" s="1181"/>
      <c r="L130" s="1181"/>
      <c r="M130" s="1181"/>
      <c r="N130" s="1181"/>
      <c r="O130" s="1181"/>
      <c r="P130" s="1181"/>
      <c r="Q130" s="1181"/>
      <c r="R130" s="1181"/>
      <c r="S130" s="1182"/>
      <c r="T130" s="28"/>
      <c r="U130" s="28"/>
      <c r="V130" s="2584"/>
      <c r="W130" s="1975"/>
      <c r="X130" s="1975"/>
      <c r="Y130" s="1975"/>
      <c r="Z130" s="1975"/>
      <c r="AA130" s="1975"/>
      <c r="AB130" s="1975"/>
      <c r="AC130" s="1975"/>
      <c r="AD130" s="1975"/>
      <c r="AE130" s="1975"/>
      <c r="AF130" s="1975"/>
      <c r="AG130" s="1975"/>
      <c r="AH130" s="1975"/>
      <c r="AI130" s="1975"/>
      <c r="AJ130" s="1975"/>
      <c r="AK130" s="1975"/>
      <c r="AL130" s="1975"/>
      <c r="AM130" s="1975"/>
      <c r="AN130" s="1975"/>
      <c r="AO130" s="1975"/>
      <c r="AP130" s="1975"/>
      <c r="AQ130" s="1975"/>
      <c r="AR130" s="1975"/>
      <c r="AS130" s="1975"/>
      <c r="AT130" s="1975"/>
      <c r="AU130" s="1975"/>
      <c r="AV130" s="1975"/>
      <c r="AW130" s="1975"/>
      <c r="AX130" s="1975"/>
      <c r="AY130" s="1975"/>
      <c r="AZ130" s="1975"/>
      <c r="BA130" s="1975"/>
      <c r="BB130" s="1975"/>
      <c r="BC130" s="1975"/>
      <c r="BD130" s="1975"/>
      <c r="BE130" s="1975"/>
      <c r="BF130" s="2675"/>
      <c r="BG130" s="28"/>
      <c r="BH130" s="28"/>
      <c r="BI130" s="1180"/>
      <c r="BJ130" s="1181"/>
      <c r="BK130" s="1181"/>
      <c r="BL130" s="1181"/>
      <c r="BM130" s="1181"/>
      <c r="BN130" s="1181"/>
      <c r="BO130" s="1181"/>
      <c r="BP130" s="1181"/>
      <c r="BQ130" s="1181"/>
      <c r="BR130" s="1181"/>
      <c r="BS130" s="1181"/>
      <c r="BT130" s="1181"/>
      <c r="BU130" s="1181"/>
      <c r="BV130" s="1181"/>
      <c r="BW130" s="1181"/>
      <c r="BX130" s="1181"/>
      <c r="BY130" s="1181"/>
      <c r="BZ130" s="1182"/>
      <c r="CA130" s="28"/>
      <c r="CB130" s="7"/>
    </row>
    <row r="132" spans="2:158" ht="17.100000000000001" customHeight="1" x14ac:dyDescent="0.15">
      <c r="CC132" s="7"/>
      <c r="CD132" s="7"/>
      <c r="CE132" s="7"/>
      <c r="CF132" s="7"/>
      <c r="CG132" s="7"/>
      <c r="CH132" s="7"/>
      <c r="CI132" s="7"/>
      <c r="CJ132" s="7"/>
      <c r="CK132" s="7"/>
      <c r="CL132" s="7"/>
      <c r="CM132" s="7"/>
      <c r="CN132" s="7"/>
      <c r="CO132" s="7"/>
      <c r="CP132" s="7"/>
      <c r="CQ132" s="7"/>
      <c r="CR132" s="7"/>
      <c r="CS132" s="7"/>
      <c r="CT132" s="7"/>
      <c r="CU132" s="7"/>
      <c r="CV132" s="7"/>
      <c r="CW132" s="7"/>
      <c r="CX132" s="7"/>
      <c r="CY132" s="7"/>
      <c r="CZ132" s="7"/>
      <c r="DA132" s="7"/>
      <c r="DB132" s="7"/>
      <c r="DC132" s="7"/>
      <c r="DD132" s="7"/>
      <c r="DE132" s="7"/>
      <c r="DF132" s="7"/>
      <c r="DG132" s="7"/>
      <c r="DH132" s="7"/>
      <c r="DI132" s="7"/>
      <c r="DJ132" s="7"/>
      <c r="DK132" s="7"/>
      <c r="DL132" s="7"/>
      <c r="DM132" s="7"/>
      <c r="DN132" s="7"/>
      <c r="DO132" s="7"/>
      <c r="DP132" s="7"/>
      <c r="DQ132" s="7"/>
      <c r="DR132" s="7"/>
      <c r="DS132" s="7"/>
      <c r="DT132" s="7"/>
      <c r="DU132" s="7"/>
      <c r="DV132" s="7"/>
      <c r="DW132" s="7"/>
      <c r="DX132" s="7"/>
      <c r="DY132" s="7"/>
      <c r="DZ132" s="7"/>
      <c r="EA132" s="7"/>
      <c r="EB132" s="7"/>
      <c r="EC132" s="7"/>
      <c r="ED132" s="7"/>
      <c r="EE132" s="7"/>
      <c r="EF132" s="7"/>
      <c r="EG132" s="7"/>
      <c r="EH132" s="7"/>
      <c r="EI132" s="7"/>
      <c r="EJ132" s="7"/>
      <c r="EK132" s="7"/>
      <c r="EL132" s="7"/>
      <c r="EM132" s="7"/>
      <c r="EN132" s="7"/>
      <c r="EO132" s="7"/>
      <c r="EP132" s="7"/>
      <c r="EQ132" s="7"/>
      <c r="ER132" s="7"/>
      <c r="ES132" s="7"/>
      <c r="ET132" s="7"/>
      <c r="EU132" s="7"/>
      <c r="EV132" s="7"/>
      <c r="EW132" s="7"/>
      <c r="EX132" s="7"/>
      <c r="EY132" s="7"/>
      <c r="EZ132" s="7"/>
      <c r="FA132" s="7"/>
      <c r="FB132" s="7"/>
    </row>
    <row r="133" spans="2:158" ht="17.100000000000001" customHeight="1" x14ac:dyDescent="0.15">
      <c r="CC133" s="7"/>
      <c r="CD133" s="7"/>
      <c r="CE133" s="7"/>
      <c r="CF133" s="7"/>
      <c r="CG133" s="7"/>
      <c r="CH133" s="7"/>
      <c r="CI133" s="7"/>
      <c r="CJ133" s="7"/>
      <c r="CK133" s="7"/>
      <c r="CL133" s="7"/>
      <c r="CM133" s="7"/>
      <c r="CN133" s="7"/>
      <c r="CO133" s="7"/>
      <c r="CP133" s="7"/>
      <c r="CQ133" s="7"/>
      <c r="CR133" s="7"/>
      <c r="CS133" s="7"/>
      <c r="CT133" s="7"/>
      <c r="CU133" s="7"/>
      <c r="CV133" s="7"/>
      <c r="CW133" s="7"/>
      <c r="CX133" s="7"/>
      <c r="CY133" s="7"/>
      <c r="CZ133" s="7"/>
      <c r="DA133" s="7"/>
      <c r="DB133" s="7"/>
      <c r="DC133" s="7"/>
      <c r="DD133" s="7"/>
      <c r="DE133" s="7"/>
      <c r="DF133" s="7"/>
      <c r="DG133" s="7"/>
      <c r="DH133" s="7"/>
      <c r="DI133" s="7"/>
      <c r="DJ133" s="7"/>
      <c r="DK133" s="7"/>
      <c r="DL133" s="7"/>
      <c r="DM133" s="7"/>
      <c r="DN133" s="7"/>
      <c r="DO133" s="7"/>
      <c r="DP133" s="7"/>
      <c r="DQ133" s="7"/>
      <c r="DR133" s="7"/>
      <c r="DS133" s="7"/>
      <c r="DT133" s="7"/>
      <c r="DU133" s="7"/>
      <c r="DV133" s="7"/>
      <c r="DW133" s="7"/>
      <c r="DX133" s="7"/>
      <c r="DY133" s="7"/>
      <c r="DZ133" s="7"/>
      <c r="EA133" s="7"/>
      <c r="EB133" s="7"/>
      <c r="EC133" s="7"/>
      <c r="ED133" s="7"/>
      <c r="EE133" s="7"/>
      <c r="EF133" s="7"/>
      <c r="EG133" s="7"/>
      <c r="EH133" s="7"/>
      <c r="EI133" s="7"/>
      <c r="EJ133" s="7"/>
      <c r="EK133" s="7"/>
      <c r="EL133" s="7"/>
      <c r="EM133" s="7"/>
      <c r="EN133" s="7"/>
      <c r="EO133" s="7"/>
      <c r="EP133" s="7"/>
      <c r="EQ133" s="7"/>
      <c r="ER133" s="7"/>
      <c r="ES133" s="7"/>
      <c r="ET133" s="7"/>
      <c r="EU133" s="7"/>
      <c r="EV133" s="7"/>
      <c r="EW133" s="7"/>
      <c r="EX133" s="7"/>
      <c r="EY133" s="7"/>
      <c r="EZ133" s="7"/>
      <c r="FA133" s="7"/>
      <c r="FB133" s="7"/>
    </row>
    <row r="134" spans="2:158" ht="17.100000000000001" customHeight="1" x14ac:dyDescent="0.15">
      <c r="CC134" s="7"/>
      <c r="CD134" s="7"/>
      <c r="CE134" s="7"/>
      <c r="CF134" s="7"/>
      <c r="CG134" s="7"/>
      <c r="CH134" s="7"/>
      <c r="CI134" s="7"/>
      <c r="CJ134" s="7"/>
      <c r="CK134" s="7"/>
      <c r="CL134" s="7"/>
      <c r="CM134" s="7"/>
      <c r="CN134" s="7"/>
      <c r="CO134" s="7"/>
      <c r="CP134" s="7"/>
      <c r="CQ134" s="7"/>
      <c r="CR134" s="7"/>
      <c r="CS134" s="7"/>
      <c r="CT134" s="7"/>
      <c r="CU134" s="7"/>
      <c r="CV134" s="7"/>
      <c r="CW134" s="7"/>
      <c r="CX134" s="7"/>
      <c r="CY134" s="7"/>
      <c r="CZ134" s="7"/>
      <c r="DA134" s="7"/>
      <c r="DB134" s="7"/>
      <c r="DC134" s="7"/>
      <c r="DD134" s="7"/>
      <c r="DE134" s="7"/>
      <c r="DF134" s="7"/>
      <c r="DG134" s="7"/>
      <c r="DH134" s="7"/>
      <c r="DI134" s="7"/>
      <c r="DJ134" s="7"/>
      <c r="DK134" s="7"/>
      <c r="DL134" s="7"/>
      <c r="DM134" s="7"/>
      <c r="DN134" s="7"/>
      <c r="DO134" s="7"/>
      <c r="DP134" s="7"/>
      <c r="DQ134" s="7"/>
      <c r="DR134" s="7"/>
      <c r="DS134" s="7"/>
      <c r="DT134" s="7"/>
      <c r="DU134" s="7"/>
      <c r="DV134" s="7"/>
      <c r="DW134" s="7"/>
      <c r="DX134" s="7"/>
      <c r="DY134" s="7"/>
      <c r="DZ134" s="7"/>
      <c r="EA134" s="7"/>
      <c r="EB134" s="7"/>
      <c r="EC134" s="7"/>
      <c r="ED134" s="7"/>
      <c r="EE134" s="7"/>
      <c r="EF134" s="7"/>
      <c r="EG134" s="7"/>
      <c r="EH134" s="7"/>
      <c r="EI134" s="7"/>
      <c r="EJ134" s="7"/>
      <c r="EK134" s="7"/>
      <c r="EL134" s="7"/>
      <c r="EM134" s="7"/>
      <c r="EN134" s="7"/>
      <c r="EO134" s="7"/>
      <c r="EP134" s="7"/>
      <c r="EQ134" s="7"/>
      <c r="ER134" s="7"/>
      <c r="ES134" s="7"/>
      <c r="ET134" s="7"/>
      <c r="EU134" s="7"/>
      <c r="EV134" s="7"/>
      <c r="EW134" s="7"/>
      <c r="EX134" s="7"/>
      <c r="EY134" s="7"/>
      <c r="EZ134" s="7"/>
      <c r="FA134" s="7"/>
      <c r="FB134" s="7"/>
    </row>
    <row r="135" spans="2:158" ht="17.100000000000001" customHeight="1" x14ac:dyDescent="0.15">
      <c r="CC135" s="7"/>
      <c r="CD135" s="7"/>
      <c r="CE135" s="7"/>
      <c r="CF135" s="7"/>
      <c r="CG135" s="7"/>
      <c r="CH135" s="7"/>
      <c r="CI135" s="7"/>
      <c r="CJ135" s="7"/>
      <c r="CK135" s="7"/>
      <c r="CL135" s="7"/>
      <c r="CM135" s="7"/>
      <c r="CN135" s="7"/>
      <c r="CO135" s="7"/>
      <c r="CP135" s="7"/>
      <c r="CQ135" s="7"/>
      <c r="CR135" s="7"/>
      <c r="CS135" s="7"/>
      <c r="CT135" s="7"/>
      <c r="CU135" s="7"/>
      <c r="CV135" s="7"/>
      <c r="CW135" s="7"/>
      <c r="CX135" s="7"/>
      <c r="CY135" s="7"/>
      <c r="CZ135" s="7"/>
      <c r="DA135" s="7"/>
      <c r="DB135" s="7"/>
      <c r="DC135" s="7"/>
      <c r="DD135" s="7"/>
      <c r="DE135" s="7"/>
      <c r="DF135" s="7"/>
      <c r="DG135" s="7"/>
      <c r="DH135" s="7"/>
      <c r="DI135" s="7"/>
      <c r="DJ135" s="7"/>
      <c r="DK135" s="7"/>
      <c r="DL135" s="7"/>
      <c r="DM135" s="7"/>
      <c r="DN135" s="7"/>
      <c r="DO135" s="7"/>
      <c r="DP135" s="7"/>
      <c r="DQ135" s="7"/>
      <c r="DR135" s="7"/>
      <c r="DS135" s="7"/>
      <c r="DT135" s="7"/>
      <c r="DU135" s="7"/>
      <c r="DV135" s="7"/>
      <c r="DW135" s="7"/>
      <c r="DX135" s="7"/>
      <c r="DY135" s="7"/>
      <c r="DZ135" s="7"/>
      <c r="EA135" s="7"/>
      <c r="EB135" s="7"/>
      <c r="EC135" s="7"/>
      <c r="ED135" s="7"/>
      <c r="EE135" s="7"/>
      <c r="EF135" s="7"/>
      <c r="EG135" s="7"/>
      <c r="EH135" s="7"/>
      <c r="EI135" s="7"/>
      <c r="EJ135" s="7"/>
      <c r="EK135" s="7"/>
      <c r="EL135" s="7"/>
      <c r="EM135" s="7"/>
      <c r="EN135" s="7"/>
      <c r="EO135" s="7"/>
      <c r="EP135" s="7"/>
      <c r="EQ135" s="7"/>
      <c r="ER135" s="7"/>
      <c r="ES135" s="7"/>
      <c r="ET135" s="7"/>
      <c r="EU135" s="7"/>
      <c r="EV135" s="7"/>
      <c r="EW135" s="7"/>
      <c r="EX135" s="7"/>
      <c r="EY135" s="7"/>
      <c r="EZ135" s="7"/>
      <c r="FA135" s="7"/>
      <c r="FB135" s="7"/>
    </row>
    <row r="136" spans="2:158" ht="17.100000000000001" customHeight="1" x14ac:dyDescent="0.15">
      <c r="CC136" s="7"/>
      <c r="CD136" s="7"/>
      <c r="CE136" s="7"/>
      <c r="CF136" s="7"/>
      <c r="CG136" s="7"/>
      <c r="CH136" s="7"/>
      <c r="CI136" s="7"/>
      <c r="CJ136" s="7"/>
      <c r="CK136" s="7"/>
      <c r="CL136" s="7"/>
      <c r="CM136" s="7"/>
      <c r="CN136" s="7"/>
      <c r="CO136" s="7"/>
      <c r="CP136" s="7"/>
      <c r="CQ136" s="7"/>
      <c r="CR136" s="7"/>
      <c r="CS136" s="7"/>
      <c r="CT136" s="7"/>
      <c r="CU136" s="7"/>
      <c r="CV136" s="7"/>
      <c r="CW136" s="7"/>
      <c r="CX136" s="7"/>
      <c r="CY136" s="7"/>
      <c r="CZ136" s="7"/>
      <c r="DA136" s="7"/>
      <c r="DB136" s="7"/>
      <c r="DC136" s="7"/>
      <c r="DD136" s="7"/>
      <c r="DE136" s="7"/>
      <c r="DF136" s="7"/>
      <c r="DG136" s="7"/>
      <c r="DH136" s="7"/>
      <c r="DI136" s="7"/>
      <c r="DJ136" s="7"/>
      <c r="DK136" s="7"/>
      <c r="DL136" s="7"/>
      <c r="DM136" s="7"/>
      <c r="DN136" s="7"/>
      <c r="DO136" s="7"/>
      <c r="DP136" s="7"/>
      <c r="DQ136" s="7"/>
      <c r="DR136" s="7"/>
      <c r="DS136" s="7"/>
      <c r="DT136" s="7"/>
      <c r="DU136" s="7"/>
      <c r="DV136" s="7"/>
      <c r="DW136" s="7"/>
      <c r="DX136" s="7"/>
      <c r="DY136" s="7"/>
      <c r="DZ136" s="7"/>
      <c r="EA136" s="7"/>
      <c r="EB136" s="7"/>
      <c r="EC136" s="7"/>
      <c r="ED136" s="7"/>
      <c r="EE136" s="7"/>
      <c r="EF136" s="7"/>
      <c r="EG136" s="7"/>
      <c r="EH136" s="7"/>
      <c r="EI136" s="7"/>
      <c r="EJ136" s="7"/>
      <c r="EK136" s="7"/>
      <c r="EL136" s="7"/>
      <c r="EM136" s="7"/>
      <c r="EN136" s="7"/>
      <c r="EO136" s="7"/>
      <c r="EP136" s="7"/>
      <c r="EQ136" s="7"/>
      <c r="ER136" s="7"/>
      <c r="ES136" s="7"/>
      <c r="ET136" s="7"/>
      <c r="EU136" s="7"/>
      <c r="EV136" s="7"/>
      <c r="EW136" s="7"/>
      <c r="EX136" s="7"/>
      <c r="EY136" s="7"/>
      <c r="EZ136" s="7"/>
      <c r="FA136" s="7"/>
      <c r="FB136" s="7"/>
    </row>
    <row r="137" spans="2:158" ht="17.100000000000001" customHeight="1" x14ac:dyDescent="0.15">
      <c r="CC137" s="7"/>
      <c r="CD137" s="7"/>
      <c r="CE137" s="7"/>
      <c r="CF137" s="7"/>
      <c r="CG137" s="7"/>
      <c r="CH137" s="7"/>
      <c r="CI137" s="7"/>
      <c r="CJ137" s="7"/>
      <c r="CK137" s="7"/>
      <c r="CL137" s="7"/>
      <c r="CM137" s="7"/>
      <c r="CN137" s="7"/>
      <c r="CO137" s="7"/>
      <c r="CP137" s="7"/>
      <c r="CQ137" s="7"/>
      <c r="CR137" s="7"/>
      <c r="CS137" s="7"/>
      <c r="CT137" s="7"/>
      <c r="CU137" s="7"/>
      <c r="CV137" s="7"/>
      <c r="CW137" s="7"/>
      <c r="CX137" s="7"/>
      <c r="CY137" s="7"/>
      <c r="CZ137" s="7"/>
      <c r="DA137" s="7"/>
      <c r="DB137" s="7"/>
      <c r="DC137" s="7"/>
      <c r="DD137" s="7"/>
      <c r="DE137" s="7"/>
      <c r="DF137" s="7"/>
      <c r="DG137" s="7"/>
      <c r="DH137" s="7"/>
      <c r="DI137" s="7"/>
      <c r="DJ137" s="7"/>
      <c r="DK137" s="7"/>
      <c r="DL137" s="7"/>
      <c r="DM137" s="7"/>
      <c r="DN137" s="7"/>
      <c r="DO137" s="7"/>
      <c r="DP137" s="7"/>
      <c r="DQ137" s="7"/>
      <c r="DR137" s="7"/>
      <c r="DS137" s="7"/>
      <c r="DT137" s="7"/>
      <c r="DU137" s="7"/>
      <c r="DV137" s="7"/>
      <c r="DW137" s="7"/>
      <c r="DX137" s="7"/>
      <c r="DY137" s="7"/>
      <c r="DZ137" s="7"/>
      <c r="EA137" s="7"/>
      <c r="EB137" s="7"/>
      <c r="EC137" s="7"/>
      <c r="ED137" s="7"/>
      <c r="EE137" s="7"/>
      <c r="EF137" s="7"/>
      <c r="EG137" s="7"/>
      <c r="EH137" s="7"/>
      <c r="EI137" s="7"/>
      <c r="EJ137" s="7"/>
      <c r="EK137" s="7"/>
      <c r="EL137" s="7"/>
      <c r="EM137" s="7"/>
      <c r="EN137" s="7"/>
      <c r="EO137" s="7"/>
      <c r="EP137" s="7"/>
      <c r="EQ137" s="7"/>
      <c r="ER137" s="7"/>
      <c r="ES137" s="7"/>
      <c r="ET137" s="7"/>
      <c r="EU137" s="7"/>
      <c r="EV137" s="7"/>
      <c r="EW137" s="7"/>
      <c r="EX137" s="7"/>
      <c r="EY137" s="7"/>
      <c r="EZ137" s="7"/>
      <c r="FA137" s="7"/>
      <c r="FB137" s="7"/>
    </row>
    <row r="138" spans="2:158" ht="17.100000000000001" customHeight="1" x14ac:dyDescent="0.15">
      <c r="CC138" s="7"/>
      <c r="CD138" s="7"/>
      <c r="CE138" s="7"/>
      <c r="CF138" s="7"/>
      <c r="CG138" s="7"/>
      <c r="CH138" s="7"/>
      <c r="CI138" s="7"/>
      <c r="CJ138" s="7"/>
      <c r="CK138" s="7"/>
      <c r="CL138" s="7"/>
      <c r="CM138" s="7"/>
      <c r="CN138" s="7"/>
      <c r="CO138" s="7"/>
      <c r="CP138" s="7"/>
      <c r="CQ138" s="7"/>
      <c r="CR138" s="7"/>
      <c r="CS138" s="7"/>
      <c r="CT138" s="7"/>
      <c r="CU138" s="7"/>
      <c r="CV138" s="7"/>
      <c r="CW138" s="7"/>
      <c r="CX138" s="7"/>
      <c r="CY138" s="7"/>
      <c r="CZ138" s="7"/>
      <c r="DA138" s="7"/>
      <c r="DB138" s="7"/>
      <c r="DC138" s="7"/>
      <c r="DD138" s="7"/>
      <c r="DE138" s="7"/>
      <c r="DF138" s="7"/>
      <c r="DG138" s="7"/>
      <c r="DH138" s="7"/>
      <c r="DI138" s="7"/>
      <c r="DJ138" s="7"/>
      <c r="DK138" s="7"/>
      <c r="DL138" s="7"/>
      <c r="DM138" s="7"/>
      <c r="DN138" s="7"/>
      <c r="DO138" s="7"/>
      <c r="DP138" s="7"/>
      <c r="DQ138" s="7"/>
      <c r="DR138" s="7"/>
      <c r="DS138" s="7"/>
      <c r="DT138" s="7"/>
      <c r="DU138" s="7"/>
      <c r="DV138" s="7"/>
      <c r="DW138" s="7"/>
      <c r="DX138" s="7"/>
      <c r="DY138" s="7"/>
      <c r="DZ138" s="7"/>
      <c r="EA138" s="7"/>
      <c r="EB138" s="7"/>
      <c r="EC138" s="7"/>
      <c r="ED138" s="7"/>
      <c r="EE138" s="7"/>
      <c r="EF138" s="7"/>
      <c r="EG138" s="7"/>
      <c r="EH138" s="7"/>
      <c r="EI138" s="7"/>
      <c r="EJ138" s="7"/>
      <c r="EK138" s="7"/>
      <c r="EL138" s="7"/>
      <c r="EM138" s="7"/>
      <c r="EN138" s="7"/>
      <c r="EO138" s="7"/>
      <c r="EP138" s="7"/>
      <c r="EQ138" s="7"/>
      <c r="ER138" s="7"/>
      <c r="ES138" s="7"/>
      <c r="ET138" s="7"/>
      <c r="EU138" s="7"/>
      <c r="EV138" s="7"/>
      <c r="EW138" s="7"/>
      <c r="EX138" s="7"/>
      <c r="EY138" s="7"/>
      <c r="EZ138" s="7"/>
      <c r="FA138" s="7"/>
      <c r="FB138" s="7"/>
    </row>
    <row r="139" spans="2:158" ht="17.100000000000001" customHeight="1" x14ac:dyDescent="0.15">
      <c r="CC139" s="7"/>
      <c r="CD139" s="7"/>
      <c r="CE139" s="7"/>
      <c r="CF139" s="7"/>
      <c r="CG139" s="7"/>
      <c r="CH139" s="7"/>
      <c r="CI139" s="7"/>
      <c r="CJ139" s="7"/>
      <c r="CK139" s="7"/>
      <c r="CL139" s="7"/>
      <c r="CM139" s="7"/>
      <c r="CN139" s="7"/>
      <c r="CO139" s="7"/>
      <c r="CP139" s="7"/>
      <c r="CQ139" s="7"/>
      <c r="CR139" s="7"/>
      <c r="CS139" s="7"/>
      <c r="CT139" s="7"/>
      <c r="CU139" s="7"/>
      <c r="CV139" s="7"/>
      <c r="CW139" s="7"/>
      <c r="CX139" s="7"/>
      <c r="CY139" s="7"/>
      <c r="CZ139" s="7"/>
      <c r="DA139" s="7"/>
      <c r="DB139" s="7"/>
      <c r="DC139" s="7"/>
      <c r="DD139" s="7"/>
      <c r="DE139" s="7"/>
      <c r="DF139" s="7"/>
      <c r="DG139" s="7"/>
      <c r="DH139" s="7"/>
      <c r="DI139" s="7"/>
      <c r="DJ139" s="7"/>
      <c r="DK139" s="7"/>
      <c r="DL139" s="7"/>
      <c r="DM139" s="7"/>
      <c r="DN139" s="7"/>
      <c r="DO139" s="7"/>
      <c r="DP139" s="7"/>
      <c r="DQ139" s="7"/>
      <c r="DR139" s="7"/>
      <c r="DS139" s="7"/>
      <c r="DT139" s="7"/>
      <c r="DU139" s="7"/>
      <c r="DV139" s="7"/>
      <c r="DW139" s="7"/>
      <c r="DX139" s="7"/>
      <c r="DY139" s="7"/>
      <c r="DZ139" s="7"/>
      <c r="EA139" s="7"/>
      <c r="EB139" s="7"/>
      <c r="EC139" s="7"/>
      <c r="ED139" s="7"/>
      <c r="EE139" s="7"/>
      <c r="EF139" s="7"/>
      <c r="EG139" s="7"/>
      <c r="EH139" s="7"/>
      <c r="EI139" s="7"/>
      <c r="EJ139" s="7"/>
      <c r="EK139" s="7"/>
      <c r="EL139" s="7"/>
      <c r="EM139" s="7"/>
      <c r="EN139" s="7"/>
      <c r="EO139" s="7"/>
      <c r="EP139" s="7"/>
      <c r="EQ139" s="7"/>
      <c r="ER139" s="7"/>
      <c r="ES139" s="7"/>
      <c r="ET139" s="7"/>
      <c r="EU139" s="7"/>
      <c r="EV139" s="7"/>
      <c r="EW139" s="7"/>
      <c r="EX139" s="7"/>
      <c r="EY139" s="7"/>
      <c r="EZ139" s="7"/>
      <c r="FA139" s="7"/>
      <c r="FB139" s="7"/>
    </row>
    <row r="140" spans="2:158" ht="17.100000000000001" customHeight="1" x14ac:dyDescent="0.15">
      <c r="CC140" s="7"/>
      <c r="CD140" s="7"/>
      <c r="CE140" s="7"/>
      <c r="CF140" s="7"/>
      <c r="CG140" s="7"/>
      <c r="CH140" s="7"/>
      <c r="CI140" s="7"/>
      <c r="CJ140" s="7"/>
      <c r="CK140" s="7"/>
      <c r="CL140" s="7"/>
      <c r="CM140" s="7"/>
      <c r="CN140" s="7"/>
      <c r="CO140" s="7"/>
      <c r="CP140" s="7"/>
      <c r="CQ140" s="7"/>
      <c r="CR140" s="7"/>
      <c r="CS140" s="7"/>
      <c r="CT140" s="7"/>
      <c r="CU140" s="7"/>
      <c r="CV140" s="7"/>
      <c r="CW140" s="7"/>
      <c r="CX140" s="7"/>
      <c r="CY140" s="7"/>
      <c r="CZ140" s="7"/>
      <c r="DA140" s="7"/>
      <c r="DB140" s="7"/>
      <c r="DC140" s="7"/>
      <c r="DD140" s="7"/>
      <c r="DE140" s="7"/>
      <c r="DF140" s="7"/>
      <c r="DG140" s="7"/>
      <c r="DH140" s="7"/>
      <c r="DI140" s="7"/>
      <c r="DJ140" s="7"/>
      <c r="DK140" s="7"/>
      <c r="DL140" s="7"/>
      <c r="DM140" s="7"/>
      <c r="DN140" s="7"/>
      <c r="DO140" s="7"/>
      <c r="DP140" s="7"/>
      <c r="DQ140" s="7"/>
      <c r="DR140" s="7"/>
      <c r="DS140" s="7"/>
      <c r="DT140" s="7"/>
      <c r="DU140" s="7"/>
      <c r="DV140" s="7"/>
      <c r="DW140" s="7"/>
      <c r="DX140" s="7"/>
      <c r="DY140" s="7"/>
      <c r="DZ140" s="7"/>
      <c r="EA140" s="7"/>
      <c r="EB140" s="7"/>
      <c r="EC140" s="7"/>
      <c r="ED140" s="7"/>
      <c r="EE140" s="7"/>
      <c r="EF140" s="7"/>
      <c r="EG140" s="7"/>
      <c r="EH140" s="7"/>
      <c r="EI140" s="7"/>
      <c r="EJ140" s="7"/>
      <c r="EK140" s="7"/>
      <c r="EL140" s="7"/>
      <c r="EM140" s="7"/>
      <c r="EN140" s="7"/>
      <c r="EO140" s="7"/>
      <c r="EP140" s="7"/>
      <c r="EQ140" s="7"/>
      <c r="ER140" s="7"/>
      <c r="ES140" s="7"/>
      <c r="ET140" s="7"/>
      <c r="EU140" s="7"/>
      <c r="EV140" s="7"/>
      <c r="EW140" s="7"/>
      <c r="EX140" s="7"/>
      <c r="EY140" s="7"/>
      <c r="EZ140" s="7"/>
      <c r="FA140" s="7"/>
      <c r="FB140" s="7"/>
    </row>
    <row r="141" spans="2:158" ht="17.100000000000001" customHeight="1" x14ac:dyDescent="0.15">
      <c r="CC141" s="7"/>
      <c r="CD141" s="7"/>
      <c r="CE141" s="7"/>
      <c r="CF141" s="7"/>
      <c r="CG141" s="7"/>
      <c r="CH141" s="7"/>
      <c r="CI141" s="7"/>
      <c r="CJ141" s="7"/>
      <c r="CK141" s="7"/>
      <c r="CL141" s="7"/>
      <c r="CM141" s="7"/>
      <c r="CN141" s="7"/>
      <c r="CO141" s="7"/>
      <c r="CP141" s="7"/>
      <c r="CQ141" s="7"/>
      <c r="CR141" s="7"/>
      <c r="CS141" s="7"/>
      <c r="CT141" s="7"/>
      <c r="CU141" s="7"/>
      <c r="CV141" s="7"/>
      <c r="CW141" s="7"/>
      <c r="CX141" s="7"/>
      <c r="CY141" s="7"/>
      <c r="CZ141" s="7"/>
      <c r="DA141" s="7"/>
      <c r="DB141" s="7"/>
      <c r="DC141" s="7"/>
      <c r="DD141" s="7"/>
      <c r="DE141" s="7"/>
      <c r="DF141" s="7"/>
      <c r="DG141" s="7"/>
      <c r="DH141" s="7"/>
      <c r="DI141" s="7"/>
      <c r="DJ141" s="7"/>
      <c r="DK141" s="7"/>
      <c r="DL141" s="7"/>
      <c r="DM141" s="7"/>
      <c r="DN141" s="7"/>
      <c r="DO141" s="7"/>
      <c r="DP141" s="7"/>
      <c r="DQ141" s="7"/>
      <c r="DR141" s="7"/>
      <c r="DS141" s="7"/>
      <c r="DT141" s="7"/>
      <c r="DU141" s="7"/>
      <c r="DV141" s="7"/>
      <c r="DW141" s="7"/>
      <c r="DX141" s="7"/>
      <c r="DY141" s="7"/>
      <c r="DZ141" s="7"/>
      <c r="EA141" s="7"/>
      <c r="EB141" s="7"/>
      <c r="EC141" s="7"/>
      <c r="ED141" s="7"/>
      <c r="EE141" s="7"/>
      <c r="EF141" s="7"/>
      <c r="EG141" s="7"/>
      <c r="EH141" s="7"/>
      <c r="EI141" s="7"/>
      <c r="EJ141" s="7"/>
      <c r="EK141" s="7"/>
      <c r="EL141" s="7"/>
      <c r="EM141" s="7"/>
      <c r="EN141" s="7"/>
      <c r="EO141" s="7"/>
      <c r="EP141" s="7"/>
      <c r="EQ141" s="7"/>
      <c r="ER141" s="7"/>
      <c r="ES141" s="7"/>
      <c r="ET141" s="7"/>
      <c r="EU141" s="7"/>
      <c r="EV141" s="7"/>
      <c r="EW141" s="7"/>
      <c r="EX141" s="7"/>
      <c r="EY141" s="7"/>
      <c r="EZ141" s="7"/>
      <c r="FA141" s="7"/>
      <c r="FB141" s="7"/>
    </row>
    <row r="142" spans="2:158" ht="17.100000000000001" customHeight="1" x14ac:dyDescent="0.15">
      <c r="CC142" s="7"/>
      <c r="CD142" s="7"/>
      <c r="CE142" s="7"/>
      <c r="CF142" s="7"/>
      <c r="CG142" s="7"/>
      <c r="CH142" s="7"/>
      <c r="CI142" s="7"/>
      <c r="CJ142" s="7"/>
      <c r="CK142" s="7"/>
      <c r="CL142" s="7"/>
      <c r="CM142" s="7"/>
      <c r="CN142" s="7"/>
      <c r="CO142" s="7"/>
      <c r="CP142" s="7"/>
      <c r="CQ142" s="7"/>
      <c r="CR142" s="7"/>
      <c r="CS142" s="7"/>
      <c r="CT142" s="7"/>
      <c r="CU142" s="7"/>
      <c r="CV142" s="7"/>
      <c r="CW142" s="7"/>
      <c r="CX142" s="7"/>
      <c r="CY142" s="7"/>
      <c r="CZ142" s="7"/>
      <c r="DA142" s="7"/>
      <c r="DB142" s="7"/>
      <c r="DC142" s="7"/>
      <c r="DD142" s="7"/>
      <c r="DE142" s="7"/>
      <c r="DF142" s="7"/>
      <c r="DG142" s="7"/>
      <c r="DH142" s="7"/>
      <c r="DI142" s="7"/>
      <c r="DJ142" s="7"/>
      <c r="DK142" s="7"/>
      <c r="DL142" s="7"/>
      <c r="DM142" s="7"/>
      <c r="DN142" s="7"/>
      <c r="DO142" s="7"/>
      <c r="DP142" s="7"/>
      <c r="DQ142" s="7"/>
      <c r="DR142" s="7"/>
      <c r="DS142" s="7"/>
      <c r="DT142" s="7"/>
      <c r="DU142" s="7"/>
      <c r="DV142" s="7"/>
      <c r="DW142" s="7"/>
      <c r="DX142" s="7"/>
      <c r="DY142" s="7"/>
      <c r="DZ142" s="7"/>
      <c r="EA142" s="7"/>
      <c r="EB142" s="7"/>
      <c r="EC142" s="7"/>
      <c r="ED142" s="7"/>
      <c r="EE142" s="7"/>
      <c r="EF142" s="7"/>
      <c r="EG142" s="7"/>
      <c r="EH142" s="7"/>
      <c r="EI142" s="7"/>
      <c r="EJ142" s="7"/>
      <c r="EK142" s="7"/>
      <c r="EL142" s="7"/>
      <c r="EM142" s="7"/>
      <c r="EN142" s="7"/>
      <c r="EO142" s="7"/>
      <c r="EP142" s="7"/>
      <c r="EQ142" s="7"/>
      <c r="ER142" s="7"/>
      <c r="ES142" s="7"/>
      <c r="ET142" s="7"/>
      <c r="EU142" s="7"/>
      <c r="EV142" s="7"/>
      <c r="EW142" s="7"/>
      <c r="EX142" s="7"/>
      <c r="EY142" s="7"/>
      <c r="EZ142" s="7"/>
      <c r="FA142" s="7"/>
      <c r="FB142" s="7"/>
    </row>
    <row r="143" spans="2:158" ht="17.100000000000001" customHeight="1" x14ac:dyDescent="0.15">
      <c r="CC143" s="7"/>
      <c r="CD143" s="7"/>
      <c r="CE143" s="7"/>
      <c r="CF143" s="7"/>
      <c r="CG143" s="7"/>
      <c r="CH143" s="7"/>
      <c r="CI143" s="7"/>
      <c r="CJ143" s="7"/>
      <c r="CK143" s="7"/>
      <c r="CL143" s="7"/>
      <c r="CM143" s="7"/>
      <c r="CN143" s="7"/>
      <c r="CO143" s="7"/>
      <c r="CP143" s="7"/>
      <c r="CQ143" s="7"/>
      <c r="CR143" s="7"/>
      <c r="CS143" s="7"/>
      <c r="CT143" s="7"/>
      <c r="CU143" s="7"/>
      <c r="CV143" s="7"/>
      <c r="CW143" s="7"/>
      <c r="CX143" s="7"/>
      <c r="CY143" s="7"/>
      <c r="CZ143" s="7"/>
      <c r="DA143" s="7"/>
      <c r="DB143" s="7"/>
      <c r="DC143" s="7"/>
      <c r="DD143" s="7"/>
      <c r="DE143" s="7"/>
      <c r="DF143" s="7"/>
      <c r="DG143" s="7"/>
      <c r="DH143" s="7"/>
      <c r="DI143" s="7"/>
      <c r="DJ143" s="7"/>
      <c r="DK143" s="7"/>
      <c r="DL143" s="7"/>
      <c r="DM143" s="7"/>
      <c r="DN143" s="7"/>
      <c r="DO143" s="7"/>
      <c r="DP143" s="7"/>
      <c r="DQ143" s="7"/>
      <c r="DR143" s="7"/>
      <c r="DS143" s="7"/>
      <c r="DT143" s="7"/>
      <c r="DU143" s="7"/>
      <c r="DV143" s="7"/>
      <c r="DW143" s="7"/>
      <c r="DX143" s="7"/>
      <c r="DY143" s="7"/>
      <c r="DZ143" s="7"/>
      <c r="EA143" s="7"/>
      <c r="EB143" s="7"/>
      <c r="EC143" s="7"/>
      <c r="ED143" s="7"/>
      <c r="EE143" s="7"/>
      <c r="EF143" s="7"/>
      <c r="EG143" s="7"/>
      <c r="EH143" s="7"/>
      <c r="EI143" s="7"/>
      <c r="EJ143" s="7"/>
      <c r="EK143" s="7"/>
      <c r="EL143" s="7"/>
      <c r="EM143" s="7"/>
      <c r="EN143" s="7"/>
      <c r="EO143" s="7"/>
      <c r="EP143" s="7"/>
      <c r="EQ143" s="7"/>
      <c r="ER143" s="7"/>
      <c r="ES143" s="7"/>
      <c r="ET143" s="7"/>
      <c r="EU143" s="7"/>
      <c r="EV143" s="7"/>
      <c r="EW143" s="7"/>
      <c r="EX143" s="7"/>
      <c r="EY143" s="7"/>
      <c r="EZ143" s="7"/>
      <c r="FA143" s="7"/>
      <c r="FB143" s="7"/>
    </row>
    <row r="144" spans="2:158" ht="17.100000000000001" customHeight="1" x14ac:dyDescent="0.15">
      <c r="CC144" s="7"/>
      <c r="CD144" s="7"/>
      <c r="CE144" s="7"/>
      <c r="CF144" s="7"/>
      <c r="CG144" s="7"/>
      <c r="CH144" s="7"/>
      <c r="CI144" s="7"/>
      <c r="CJ144" s="7"/>
      <c r="CK144" s="7"/>
      <c r="CL144" s="7"/>
      <c r="CM144" s="7"/>
      <c r="CN144" s="7"/>
      <c r="CO144" s="7"/>
      <c r="CP144" s="7"/>
      <c r="CQ144" s="7"/>
      <c r="CR144" s="7"/>
      <c r="CS144" s="7"/>
      <c r="CT144" s="7"/>
      <c r="CU144" s="7"/>
      <c r="CV144" s="7"/>
      <c r="CW144" s="7"/>
      <c r="CX144" s="7"/>
      <c r="CY144" s="7"/>
      <c r="CZ144" s="7"/>
      <c r="DA144" s="7"/>
      <c r="DB144" s="7"/>
      <c r="DC144" s="7"/>
      <c r="DD144" s="7"/>
      <c r="DE144" s="7"/>
      <c r="DF144" s="7"/>
      <c r="DG144" s="7"/>
      <c r="DH144" s="7"/>
      <c r="DI144" s="7"/>
      <c r="DJ144" s="7"/>
      <c r="DK144" s="7"/>
      <c r="DL144" s="7"/>
      <c r="DM144" s="7"/>
      <c r="DN144" s="7"/>
      <c r="DO144" s="7"/>
      <c r="DP144" s="7"/>
      <c r="DQ144" s="7"/>
      <c r="DR144" s="7"/>
      <c r="DS144" s="7"/>
      <c r="DT144" s="7"/>
      <c r="DU144" s="7"/>
      <c r="DV144" s="7"/>
      <c r="DW144" s="7"/>
      <c r="DX144" s="7"/>
      <c r="DY144" s="7"/>
      <c r="DZ144" s="7"/>
      <c r="EA144" s="7"/>
      <c r="EB144" s="7"/>
      <c r="EC144" s="7"/>
      <c r="ED144" s="7"/>
      <c r="EE144" s="7"/>
      <c r="EF144" s="7"/>
      <c r="EG144" s="7"/>
      <c r="EH144" s="7"/>
      <c r="EI144" s="7"/>
      <c r="EJ144" s="7"/>
      <c r="EK144" s="7"/>
      <c r="EL144" s="7"/>
      <c r="EM144" s="7"/>
      <c r="EN144" s="7"/>
      <c r="EO144" s="7"/>
      <c r="EP144" s="7"/>
      <c r="EQ144" s="7"/>
      <c r="ER144" s="7"/>
      <c r="ES144" s="7"/>
      <c r="ET144" s="7"/>
      <c r="EU144" s="7"/>
      <c r="EV144" s="7"/>
      <c r="EW144" s="7"/>
      <c r="EX144" s="7"/>
      <c r="EY144" s="7"/>
      <c r="EZ144" s="7"/>
      <c r="FA144" s="7"/>
      <c r="FB144" s="7"/>
    </row>
    <row r="145" spans="81:158" ht="17.100000000000001" customHeight="1" x14ac:dyDescent="0.15">
      <c r="CC145" s="7"/>
      <c r="CD145" s="7"/>
      <c r="CE145" s="7"/>
      <c r="CF145" s="7"/>
      <c r="CG145" s="7"/>
      <c r="CH145" s="7"/>
      <c r="CI145" s="7"/>
      <c r="CJ145" s="7"/>
      <c r="CK145" s="7"/>
      <c r="CL145" s="7"/>
      <c r="CM145" s="7"/>
      <c r="CN145" s="7"/>
      <c r="CO145" s="7"/>
      <c r="CP145" s="7"/>
      <c r="CQ145" s="7"/>
      <c r="CR145" s="7"/>
      <c r="CS145" s="7"/>
      <c r="CT145" s="7"/>
      <c r="CU145" s="7"/>
      <c r="CV145" s="7"/>
      <c r="CW145" s="7"/>
      <c r="CX145" s="7"/>
      <c r="CY145" s="7"/>
      <c r="CZ145" s="7"/>
      <c r="DA145" s="7"/>
      <c r="DB145" s="7"/>
      <c r="DC145" s="7"/>
      <c r="DD145" s="7"/>
      <c r="DE145" s="7"/>
      <c r="DF145" s="7"/>
      <c r="DG145" s="7"/>
      <c r="DH145" s="7"/>
      <c r="DI145" s="7"/>
      <c r="DJ145" s="7"/>
      <c r="DK145" s="7"/>
      <c r="DL145" s="7"/>
      <c r="DM145" s="7"/>
      <c r="DN145" s="7"/>
      <c r="DO145" s="7"/>
      <c r="DP145" s="7"/>
      <c r="DQ145" s="7"/>
      <c r="DR145" s="7"/>
      <c r="DS145" s="7"/>
      <c r="DT145" s="7"/>
      <c r="DU145" s="7"/>
      <c r="DV145" s="7"/>
      <c r="DW145" s="7"/>
      <c r="DX145" s="7"/>
      <c r="DY145" s="7"/>
      <c r="DZ145" s="7"/>
      <c r="EA145" s="7"/>
      <c r="EB145" s="7"/>
      <c r="EC145" s="7"/>
      <c r="ED145" s="7"/>
      <c r="EE145" s="7"/>
      <c r="EF145" s="7"/>
      <c r="EG145" s="7"/>
      <c r="EH145" s="7"/>
      <c r="EI145" s="7"/>
      <c r="EJ145" s="7"/>
      <c r="EK145" s="7"/>
      <c r="EL145" s="7"/>
      <c r="EM145" s="7"/>
      <c r="EN145" s="7"/>
      <c r="EO145" s="7"/>
      <c r="EP145" s="7"/>
      <c r="EQ145" s="7"/>
      <c r="ER145" s="7"/>
      <c r="ES145" s="7"/>
      <c r="ET145" s="7"/>
      <c r="EU145" s="7"/>
      <c r="EV145" s="7"/>
      <c r="EW145" s="7"/>
      <c r="EX145" s="7"/>
      <c r="EY145" s="7"/>
      <c r="EZ145" s="7"/>
      <c r="FA145" s="7"/>
      <c r="FB145" s="7"/>
    </row>
    <row r="146" spans="81:158" ht="17.100000000000001" customHeight="1" x14ac:dyDescent="0.15">
      <c r="CC146" s="7"/>
      <c r="CD146" s="7"/>
      <c r="CE146" s="7"/>
      <c r="CF146" s="7"/>
      <c r="CG146" s="7"/>
      <c r="CH146" s="7"/>
      <c r="CI146" s="7"/>
      <c r="CJ146" s="7"/>
      <c r="CK146" s="7"/>
      <c r="CL146" s="7"/>
      <c r="CM146" s="7"/>
      <c r="CN146" s="7"/>
      <c r="CO146" s="7"/>
      <c r="CP146" s="7"/>
      <c r="CQ146" s="7"/>
      <c r="CR146" s="7"/>
      <c r="CS146" s="7"/>
      <c r="CT146" s="7"/>
      <c r="CU146" s="7"/>
      <c r="CV146" s="7"/>
      <c r="CW146" s="7"/>
      <c r="CX146" s="7"/>
      <c r="CY146" s="7"/>
      <c r="CZ146" s="7"/>
      <c r="DA146" s="7"/>
      <c r="DB146" s="7"/>
      <c r="DC146" s="7"/>
      <c r="DD146" s="7"/>
      <c r="DE146" s="7"/>
      <c r="DF146" s="7"/>
      <c r="DG146" s="7"/>
      <c r="DH146" s="7"/>
      <c r="DI146" s="7"/>
      <c r="DJ146" s="7"/>
      <c r="DK146" s="7"/>
      <c r="DL146" s="7"/>
      <c r="DM146" s="7"/>
      <c r="DN146" s="7"/>
      <c r="DO146" s="7"/>
      <c r="DP146" s="7"/>
      <c r="DQ146" s="7"/>
      <c r="DR146" s="7"/>
      <c r="DS146" s="7"/>
      <c r="DT146" s="7"/>
      <c r="DU146" s="7"/>
      <c r="DV146" s="7"/>
      <c r="DW146" s="7"/>
      <c r="DX146" s="7"/>
      <c r="DY146" s="7"/>
      <c r="DZ146" s="7"/>
      <c r="EA146" s="7"/>
      <c r="EB146" s="7"/>
      <c r="EC146" s="7"/>
      <c r="ED146" s="7"/>
      <c r="EE146" s="7"/>
      <c r="EF146" s="7"/>
      <c r="EG146" s="7"/>
      <c r="EH146" s="7"/>
      <c r="EI146" s="7"/>
      <c r="EJ146" s="7"/>
      <c r="EK146" s="7"/>
      <c r="EL146" s="7"/>
      <c r="EM146" s="7"/>
      <c r="EN146" s="7"/>
      <c r="EO146" s="7"/>
      <c r="EP146" s="7"/>
      <c r="EQ146" s="7"/>
      <c r="ER146" s="7"/>
      <c r="ES146" s="7"/>
      <c r="ET146" s="7"/>
      <c r="EU146" s="7"/>
      <c r="EV146" s="7"/>
      <c r="EW146" s="7"/>
      <c r="EX146" s="7"/>
      <c r="EY146" s="7"/>
      <c r="EZ146" s="7"/>
      <c r="FA146" s="7"/>
      <c r="FB146" s="7"/>
    </row>
    <row r="147" spans="81:158" ht="17.100000000000001" customHeight="1" x14ac:dyDescent="0.15">
      <c r="CC147" s="7"/>
      <c r="CD147" s="7"/>
      <c r="CE147" s="7"/>
      <c r="CF147" s="7"/>
      <c r="CG147" s="7"/>
      <c r="CH147" s="7"/>
      <c r="CI147" s="7"/>
      <c r="CJ147" s="7"/>
      <c r="CK147" s="7"/>
      <c r="CL147" s="7"/>
      <c r="CM147" s="7"/>
      <c r="CN147" s="7"/>
      <c r="CO147" s="7"/>
      <c r="CP147" s="7"/>
      <c r="CQ147" s="7"/>
      <c r="CR147" s="7"/>
      <c r="CS147" s="7"/>
      <c r="CT147" s="7"/>
      <c r="CU147" s="7"/>
      <c r="CV147" s="7"/>
      <c r="CW147" s="7"/>
      <c r="CX147" s="7"/>
      <c r="CY147" s="7"/>
      <c r="CZ147" s="7"/>
      <c r="DA147" s="7"/>
      <c r="DB147" s="7"/>
      <c r="DC147" s="7"/>
      <c r="DD147" s="7"/>
      <c r="DE147" s="7"/>
      <c r="DF147" s="7"/>
      <c r="DG147" s="7"/>
      <c r="DH147" s="7"/>
      <c r="DI147" s="7"/>
      <c r="DJ147" s="7"/>
      <c r="DK147" s="7"/>
      <c r="DL147" s="7"/>
      <c r="DM147" s="7"/>
      <c r="DN147" s="7"/>
      <c r="DO147" s="7"/>
      <c r="DP147" s="7"/>
      <c r="DQ147" s="7"/>
      <c r="DR147" s="7"/>
      <c r="DS147" s="7"/>
      <c r="DT147" s="7"/>
      <c r="DU147" s="7"/>
      <c r="DV147" s="7"/>
      <c r="DW147" s="7"/>
      <c r="DX147" s="7"/>
      <c r="DY147" s="7"/>
      <c r="DZ147" s="7"/>
      <c r="EA147" s="7"/>
      <c r="EB147" s="7"/>
      <c r="EC147" s="7"/>
      <c r="ED147" s="7"/>
      <c r="EE147" s="7"/>
      <c r="EF147" s="7"/>
      <c r="EG147" s="7"/>
      <c r="EH147" s="7"/>
      <c r="EI147" s="7"/>
      <c r="EJ147" s="7"/>
      <c r="EK147" s="7"/>
      <c r="EL147" s="7"/>
      <c r="EM147" s="7"/>
      <c r="EN147" s="7"/>
      <c r="EO147" s="7"/>
      <c r="EP147" s="7"/>
      <c r="EQ147" s="7"/>
      <c r="ER147" s="7"/>
      <c r="ES147" s="7"/>
      <c r="ET147" s="7"/>
      <c r="EU147" s="7"/>
      <c r="EV147" s="7"/>
      <c r="EW147" s="7"/>
      <c r="EX147" s="7"/>
      <c r="EY147" s="7"/>
      <c r="EZ147" s="7"/>
      <c r="FA147" s="7"/>
      <c r="FB147" s="7"/>
    </row>
    <row r="148" spans="81:158" ht="17.100000000000001" customHeight="1" x14ac:dyDescent="0.15">
      <c r="CC148" s="7"/>
      <c r="CD148" s="7"/>
      <c r="CE148" s="7"/>
      <c r="CF148" s="7"/>
      <c r="CG148" s="7"/>
      <c r="CH148" s="7"/>
      <c r="CI148" s="7"/>
      <c r="CJ148" s="7"/>
      <c r="CK148" s="7"/>
      <c r="CL148" s="7"/>
      <c r="CM148" s="7"/>
      <c r="CN148" s="7"/>
      <c r="CO148" s="7"/>
      <c r="CP148" s="7"/>
      <c r="CQ148" s="7"/>
      <c r="CR148" s="7"/>
      <c r="CS148" s="7"/>
      <c r="CT148" s="7"/>
      <c r="CU148" s="7"/>
      <c r="CV148" s="7"/>
      <c r="CW148" s="7"/>
      <c r="CX148" s="7"/>
      <c r="CY148" s="7"/>
      <c r="CZ148" s="7"/>
      <c r="DA148" s="7"/>
      <c r="DB148" s="7"/>
      <c r="DC148" s="7"/>
      <c r="DD148" s="7"/>
      <c r="DE148" s="7"/>
      <c r="DF148" s="7"/>
      <c r="DG148" s="7"/>
      <c r="DH148" s="7"/>
      <c r="DI148" s="7"/>
      <c r="DJ148" s="7"/>
      <c r="DK148" s="7"/>
      <c r="DL148" s="7"/>
      <c r="DM148" s="7"/>
      <c r="DN148" s="7"/>
      <c r="DO148" s="7"/>
      <c r="DP148" s="7"/>
      <c r="DQ148" s="7"/>
      <c r="DR148" s="7"/>
      <c r="DS148" s="7"/>
      <c r="DT148" s="7"/>
      <c r="DU148" s="7"/>
      <c r="DV148" s="7"/>
      <c r="DW148" s="7"/>
      <c r="DX148" s="7"/>
      <c r="DY148" s="7"/>
      <c r="DZ148" s="7"/>
      <c r="EA148" s="7"/>
      <c r="EB148" s="7"/>
      <c r="EC148" s="7"/>
      <c r="ED148" s="7"/>
      <c r="EE148" s="7"/>
      <c r="EF148" s="7"/>
      <c r="EG148" s="7"/>
      <c r="EH148" s="7"/>
      <c r="EI148" s="7"/>
      <c r="EJ148" s="7"/>
      <c r="EK148" s="7"/>
      <c r="EL148" s="7"/>
      <c r="EM148" s="7"/>
      <c r="EN148" s="7"/>
      <c r="EO148" s="7"/>
      <c r="EP148" s="7"/>
      <c r="EQ148" s="7"/>
      <c r="ER148" s="7"/>
      <c r="ES148" s="7"/>
      <c r="ET148" s="7"/>
      <c r="EU148" s="7"/>
      <c r="EV148" s="7"/>
      <c r="EW148" s="7"/>
      <c r="EX148" s="7"/>
      <c r="EY148" s="7"/>
      <c r="EZ148" s="7"/>
      <c r="FA148" s="7"/>
      <c r="FB148" s="7"/>
    </row>
    <row r="149" spans="81:158" ht="17.100000000000001" customHeight="1" x14ac:dyDescent="0.15">
      <c r="CC149" s="7"/>
      <c r="CD149" s="7"/>
      <c r="CE149" s="7"/>
      <c r="CF149" s="7"/>
      <c r="CG149" s="7"/>
      <c r="CH149" s="7"/>
      <c r="CI149" s="7"/>
      <c r="CJ149" s="7"/>
      <c r="CK149" s="7"/>
      <c r="CL149" s="7"/>
      <c r="CM149" s="7"/>
      <c r="CN149" s="7"/>
      <c r="CO149" s="7"/>
      <c r="CP149" s="7"/>
      <c r="CQ149" s="7"/>
      <c r="CR149" s="7"/>
      <c r="CS149" s="7"/>
      <c r="CT149" s="7"/>
      <c r="CU149" s="7"/>
      <c r="CV149" s="7"/>
      <c r="CW149" s="7"/>
      <c r="CX149" s="7"/>
      <c r="CY149" s="7"/>
      <c r="CZ149" s="7"/>
      <c r="DA149" s="7"/>
      <c r="DB149" s="7"/>
      <c r="DC149" s="7"/>
      <c r="DD149" s="7"/>
      <c r="DE149" s="7"/>
      <c r="DF149" s="7"/>
      <c r="DG149" s="7"/>
      <c r="DH149" s="7"/>
      <c r="DI149" s="7"/>
      <c r="DJ149" s="7"/>
      <c r="DK149" s="7"/>
      <c r="DL149" s="7"/>
      <c r="DM149" s="7"/>
      <c r="DN149" s="7"/>
      <c r="DO149" s="7"/>
      <c r="DP149" s="7"/>
      <c r="DQ149" s="7"/>
      <c r="DR149" s="7"/>
      <c r="DS149" s="7"/>
      <c r="DT149" s="7"/>
      <c r="DU149" s="7"/>
      <c r="DV149" s="7"/>
      <c r="DW149" s="7"/>
      <c r="DX149" s="7"/>
      <c r="DY149" s="7"/>
      <c r="DZ149" s="7"/>
      <c r="EA149" s="7"/>
      <c r="EB149" s="7"/>
      <c r="EC149" s="7"/>
      <c r="ED149" s="7"/>
      <c r="EE149" s="7"/>
      <c r="EF149" s="7"/>
      <c r="EG149" s="7"/>
      <c r="EH149" s="7"/>
      <c r="EI149" s="7"/>
      <c r="EJ149" s="7"/>
      <c r="EK149" s="7"/>
      <c r="EL149" s="7"/>
      <c r="EM149" s="7"/>
      <c r="EN149" s="7"/>
      <c r="EO149" s="7"/>
      <c r="EP149" s="7"/>
      <c r="EQ149" s="7"/>
      <c r="ER149" s="7"/>
      <c r="ES149" s="7"/>
      <c r="ET149" s="7"/>
      <c r="EU149" s="7"/>
      <c r="EV149" s="7"/>
      <c r="EW149" s="7"/>
      <c r="EX149" s="7"/>
      <c r="EY149" s="7"/>
      <c r="EZ149" s="7"/>
      <c r="FA149" s="7"/>
      <c r="FB149" s="7"/>
    </row>
    <row r="150" spans="81:158" ht="17.100000000000001" customHeight="1" x14ac:dyDescent="0.15">
      <c r="CC150" s="7"/>
      <c r="CD150" s="7"/>
      <c r="CE150" s="7"/>
      <c r="CF150" s="7"/>
      <c r="CG150" s="7"/>
      <c r="CH150" s="7"/>
      <c r="CI150" s="7"/>
      <c r="CJ150" s="7"/>
      <c r="CK150" s="7"/>
      <c r="CL150" s="7"/>
      <c r="CM150" s="7"/>
      <c r="CN150" s="7"/>
      <c r="CO150" s="7"/>
      <c r="CP150" s="7"/>
      <c r="CQ150" s="7"/>
      <c r="CR150" s="7"/>
      <c r="CS150" s="7"/>
      <c r="CT150" s="7"/>
      <c r="CU150" s="7"/>
      <c r="CV150" s="7"/>
      <c r="CW150" s="7"/>
      <c r="CX150" s="7"/>
      <c r="CY150" s="7"/>
      <c r="CZ150" s="7"/>
      <c r="DA150" s="7"/>
      <c r="DB150" s="7"/>
      <c r="DC150" s="7"/>
      <c r="DD150" s="7"/>
      <c r="DE150" s="7"/>
      <c r="DF150" s="7"/>
      <c r="DG150" s="7"/>
      <c r="DH150" s="7"/>
      <c r="DI150" s="7"/>
      <c r="DJ150" s="7"/>
      <c r="DK150" s="7"/>
      <c r="DL150" s="7"/>
      <c r="DM150" s="7"/>
      <c r="DN150" s="7"/>
      <c r="DO150" s="7"/>
      <c r="DP150" s="7"/>
      <c r="DQ150" s="7"/>
      <c r="DR150" s="7"/>
      <c r="DS150" s="7"/>
      <c r="DT150" s="7"/>
      <c r="DU150" s="7"/>
      <c r="DV150" s="7"/>
      <c r="DW150" s="7"/>
      <c r="DX150" s="7"/>
      <c r="DY150" s="7"/>
      <c r="DZ150" s="7"/>
      <c r="EA150" s="7"/>
      <c r="EB150" s="7"/>
      <c r="EC150" s="7"/>
      <c r="ED150" s="7"/>
      <c r="EE150" s="7"/>
      <c r="EF150" s="7"/>
      <c r="EG150" s="7"/>
      <c r="EH150" s="7"/>
      <c r="EI150" s="7"/>
      <c r="EJ150" s="7"/>
      <c r="EK150" s="7"/>
      <c r="EL150" s="7"/>
      <c r="EM150" s="7"/>
      <c r="EN150" s="7"/>
      <c r="EO150" s="7"/>
      <c r="EP150" s="7"/>
      <c r="EQ150" s="7"/>
      <c r="ER150" s="7"/>
      <c r="ES150" s="7"/>
      <c r="ET150" s="7"/>
      <c r="EU150" s="7"/>
      <c r="EV150" s="7"/>
      <c r="EW150" s="7"/>
      <c r="EX150" s="7"/>
      <c r="EY150" s="7"/>
      <c r="EZ150" s="7"/>
      <c r="FA150" s="7"/>
      <c r="FB150" s="7"/>
    </row>
    <row r="151" spans="81:158" ht="17.100000000000001" customHeight="1" x14ac:dyDescent="0.15">
      <c r="CC151" s="7"/>
      <c r="CD151" s="7"/>
      <c r="CE151" s="7"/>
      <c r="CF151" s="7"/>
      <c r="CG151" s="7"/>
      <c r="CH151" s="7"/>
      <c r="CI151" s="7"/>
      <c r="CJ151" s="7"/>
      <c r="CK151" s="7"/>
      <c r="CL151" s="7"/>
      <c r="CM151" s="7"/>
      <c r="CN151" s="7"/>
      <c r="CO151" s="7"/>
      <c r="CP151" s="7"/>
      <c r="CQ151" s="7"/>
      <c r="CR151" s="7"/>
      <c r="CS151" s="7"/>
      <c r="CT151" s="7"/>
      <c r="CU151" s="7"/>
      <c r="CV151" s="7"/>
      <c r="CW151" s="7"/>
      <c r="CX151" s="7"/>
      <c r="CY151" s="7"/>
      <c r="CZ151" s="7"/>
      <c r="DA151" s="7"/>
      <c r="DB151" s="7"/>
      <c r="DC151" s="7"/>
      <c r="DD151" s="7"/>
      <c r="DE151" s="7"/>
      <c r="DF151" s="7"/>
      <c r="DG151" s="7"/>
      <c r="DH151" s="7"/>
      <c r="DI151" s="7"/>
      <c r="DJ151" s="7"/>
      <c r="DK151" s="7"/>
      <c r="DL151" s="7"/>
      <c r="DM151" s="7"/>
      <c r="DN151" s="7"/>
      <c r="DO151" s="7"/>
      <c r="DP151" s="7"/>
      <c r="DQ151" s="7"/>
      <c r="DR151" s="7"/>
      <c r="DS151" s="7"/>
      <c r="DT151" s="7"/>
      <c r="DU151" s="7"/>
      <c r="DV151" s="7"/>
      <c r="DW151" s="7"/>
      <c r="DX151" s="7"/>
      <c r="DY151" s="7"/>
      <c r="DZ151" s="7"/>
      <c r="EA151" s="7"/>
      <c r="EB151" s="7"/>
      <c r="EC151" s="7"/>
      <c r="ED151" s="7"/>
      <c r="EE151" s="7"/>
      <c r="EF151" s="7"/>
      <c r="EG151" s="7"/>
      <c r="EH151" s="7"/>
      <c r="EI151" s="7"/>
      <c r="EJ151" s="7"/>
      <c r="EK151" s="7"/>
      <c r="EL151" s="7"/>
      <c r="EM151" s="7"/>
      <c r="EN151" s="7"/>
      <c r="EO151" s="7"/>
      <c r="EP151" s="7"/>
      <c r="EQ151" s="7"/>
      <c r="ER151" s="7"/>
      <c r="ES151" s="7"/>
      <c r="ET151" s="7"/>
      <c r="EU151" s="7"/>
      <c r="EV151" s="7"/>
      <c r="EW151" s="7"/>
      <c r="EX151" s="7"/>
      <c r="EY151" s="7"/>
      <c r="EZ151" s="7"/>
      <c r="FA151" s="7"/>
      <c r="FB151" s="7"/>
    </row>
    <row r="152" spans="81:158" ht="17.100000000000001" customHeight="1" x14ac:dyDescent="0.15">
      <c r="CC152" s="7"/>
      <c r="CD152" s="7"/>
      <c r="CE152" s="7"/>
      <c r="CF152" s="7"/>
      <c r="CG152" s="7"/>
      <c r="CH152" s="7"/>
      <c r="CI152" s="7"/>
      <c r="CJ152" s="7"/>
      <c r="CK152" s="7"/>
      <c r="CL152" s="7"/>
      <c r="CM152" s="7"/>
      <c r="CN152" s="7"/>
      <c r="CO152" s="7"/>
      <c r="CP152" s="7"/>
      <c r="CQ152" s="7"/>
      <c r="CR152" s="7"/>
      <c r="CS152" s="7"/>
      <c r="CT152" s="7"/>
      <c r="CU152" s="7"/>
      <c r="CV152" s="7"/>
      <c r="CW152" s="7"/>
      <c r="CX152" s="7"/>
      <c r="CY152" s="7"/>
      <c r="CZ152" s="7"/>
      <c r="DA152" s="7"/>
      <c r="DB152" s="7"/>
      <c r="DC152" s="7"/>
      <c r="DD152" s="7"/>
      <c r="DE152" s="7"/>
      <c r="DF152" s="7"/>
      <c r="DG152" s="7"/>
      <c r="DH152" s="7"/>
      <c r="DI152" s="7"/>
      <c r="DJ152" s="7"/>
      <c r="DK152" s="7"/>
      <c r="DL152" s="7"/>
      <c r="DM152" s="7"/>
      <c r="DN152" s="7"/>
      <c r="DO152" s="7"/>
      <c r="DP152" s="7"/>
      <c r="DQ152" s="7"/>
      <c r="DR152" s="7"/>
      <c r="DS152" s="7"/>
      <c r="DT152" s="7"/>
      <c r="DU152" s="7"/>
      <c r="DV152" s="7"/>
      <c r="DW152" s="7"/>
      <c r="DX152" s="7"/>
      <c r="DY152" s="7"/>
      <c r="DZ152" s="7"/>
      <c r="EA152" s="7"/>
      <c r="EB152" s="7"/>
      <c r="EC152" s="7"/>
      <c r="ED152" s="7"/>
      <c r="EE152" s="7"/>
      <c r="EF152" s="7"/>
      <c r="EG152" s="7"/>
      <c r="EH152" s="7"/>
      <c r="EI152" s="7"/>
      <c r="EJ152" s="7"/>
      <c r="EK152" s="7"/>
      <c r="EL152" s="7"/>
      <c r="EM152" s="7"/>
      <c r="EN152" s="7"/>
      <c r="EO152" s="7"/>
      <c r="EP152" s="7"/>
      <c r="EQ152" s="7"/>
      <c r="ER152" s="7"/>
      <c r="ES152" s="7"/>
      <c r="ET152" s="7"/>
      <c r="EU152" s="7"/>
      <c r="EV152" s="7"/>
      <c r="EW152" s="7"/>
      <c r="EX152" s="7"/>
      <c r="EY152" s="7"/>
      <c r="EZ152" s="7"/>
      <c r="FA152" s="7"/>
      <c r="FB152" s="7"/>
    </row>
    <row r="153" spans="81:158" ht="17.100000000000001" customHeight="1" x14ac:dyDescent="0.15">
      <c r="CC153" s="7"/>
      <c r="CD153" s="7"/>
      <c r="CE153" s="7"/>
      <c r="CF153" s="7"/>
      <c r="CG153" s="7"/>
      <c r="CH153" s="7"/>
      <c r="CI153" s="7"/>
      <c r="CJ153" s="7"/>
      <c r="CK153" s="7"/>
      <c r="CL153" s="7"/>
      <c r="CM153" s="7"/>
      <c r="CN153" s="7"/>
      <c r="CO153" s="7"/>
      <c r="CP153" s="7"/>
      <c r="CQ153" s="7"/>
      <c r="CR153" s="7"/>
      <c r="CS153" s="7"/>
      <c r="CT153" s="7"/>
      <c r="CU153" s="7"/>
      <c r="CV153" s="7"/>
      <c r="CW153" s="7"/>
      <c r="CX153" s="7"/>
      <c r="CY153" s="7"/>
      <c r="CZ153" s="7"/>
      <c r="DA153" s="7"/>
      <c r="DB153" s="7"/>
      <c r="DC153" s="7"/>
      <c r="DD153" s="7"/>
      <c r="DE153" s="7"/>
      <c r="DF153" s="7"/>
      <c r="DG153" s="7"/>
      <c r="DH153" s="7"/>
      <c r="DI153" s="7"/>
      <c r="DJ153" s="7"/>
      <c r="DK153" s="7"/>
      <c r="DL153" s="7"/>
      <c r="DM153" s="7"/>
      <c r="DN153" s="7"/>
      <c r="DO153" s="7"/>
      <c r="DP153" s="7"/>
      <c r="DQ153" s="7"/>
      <c r="DR153" s="7"/>
      <c r="DS153" s="7"/>
      <c r="DT153" s="7"/>
      <c r="DU153" s="7"/>
      <c r="DV153" s="7"/>
      <c r="DW153" s="7"/>
      <c r="DX153" s="7"/>
      <c r="DY153" s="7"/>
      <c r="DZ153" s="7"/>
      <c r="EA153" s="7"/>
      <c r="EB153" s="7"/>
      <c r="EC153" s="7"/>
      <c r="ED153" s="7"/>
      <c r="EE153" s="7"/>
      <c r="EF153" s="7"/>
      <c r="EG153" s="7"/>
      <c r="EH153" s="7"/>
      <c r="EI153" s="7"/>
      <c r="EJ153" s="7"/>
      <c r="EK153" s="7"/>
      <c r="EL153" s="7"/>
      <c r="EM153" s="7"/>
      <c r="EN153" s="7"/>
      <c r="EO153" s="7"/>
      <c r="EP153" s="7"/>
      <c r="EQ153" s="7"/>
      <c r="ER153" s="7"/>
      <c r="ES153" s="7"/>
      <c r="ET153" s="7"/>
      <c r="EU153" s="7"/>
      <c r="EV153" s="7"/>
      <c r="EW153" s="7"/>
      <c r="EX153" s="7"/>
      <c r="EY153" s="7"/>
      <c r="EZ153" s="7"/>
      <c r="FA153" s="7"/>
      <c r="FB153" s="7"/>
    </row>
    <row r="154" spans="81:158" ht="17.100000000000001" customHeight="1" x14ac:dyDescent="0.15">
      <c r="CC154" s="7"/>
      <c r="CD154" s="7"/>
      <c r="CE154" s="7"/>
      <c r="CF154" s="7"/>
      <c r="CG154" s="7"/>
      <c r="CH154" s="7"/>
      <c r="CI154" s="7"/>
      <c r="CJ154" s="7"/>
      <c r="CK154" s="7"/>
      <c r="CL154" s="7"/>
      <c r="CM154" s="7"/>
      <c r="CN154" s="7"/>
      <c r="CO154" s="7"/>
      <c r="CP154" s="7"/>
      <c r="CQ154" s="7"/>
      <c r="CR154" s="7"/>
      <c r="CS154" s="7"/>
      <c r="CT154" s="7"/>
      <c r="CU154" s="7"/>
      <c r="CV154" s="7"/>
      <c r="CW154" s="7"/>
      <c r="CX154" s="7"/>
      <c r="CY154" s="7"/>
      <c r="CZ154" s="7"/>
      <c r="DA154" s="7"/>
      <c r="DB154" s="7"/>
      <c r="DC154" s="7"/>
      <c r="DD154" s="7"/>
      <c r="DE154" s="7"/>
      <c r="DF154" s="7"/>
      <c r="DG154" s="7"/>
      <c r="DH154" s="7"/>
      <c r="DI154" s="7"/>
      <c r="DJ154" s="7"/>
      <c r="DK154" s="7"/>
      <c r="DL154" s="7"/>
      <c r="DM154" s="7"/>
      <c r="DN154" s="7"/>
      <c r="DO154" s="7"/>
      <c r="DP154" s="7"/>
      <c r="DQ154" s="7"/>
      <c r="DR154" s="7"/>
      <c r="DS154" s="7"/>
      <c r="DT154" s="7"/>
      <c r="DU154" s="7"/>
      <c r="DV154" s="7"/>
      <c r="DW154" s="7"/>
      <c r="DX154" s="7"/>
      <c r="DY154" s="7"/>
      <c r="DZ154" s="7"/>
      <c r="EA154" s="7"/>
      <c r="EB154" s="7"/>
      <c r="EC154" s="7"/>
      <c r="ED154" s="7"/>
      <c r="EE154" s="7"/>
      <c r="EF154" s="7"/>
      <c r="EG154" s="7"/>
      <c r="EH154" s="7"/>
      <c r="EI154" s="7"/>
      <c r="EJ154" s="7"/>
      <c r="EK154" s="7"/>
      <c r="EL154" s="7"/>
      <c r="EM154" s="7"/>
      <c r="EN154" s="7"/>
      <c r="EO154" s="7"/>
      <c r="EP154" s="7"/>
      <c r="EQ154" s="7"/>
      <c r="ER154" s="7"/>
      <c r="ES154" s="7"/>
      <c r="ET154" s="7"/>
      <c r="EU154" s="7"/>
      <c r="EV154" s="7"/>
      <c r="EW154" s="7"/>
      <c r="EX154" s="7"/>
      <c r="EY154" s="7"/>
      <c r="EZ154" s="7"/>
      <c r="FA154" s="7"/>
      <c r="FB154" s="7"/>
    </row>
    <row r="155" spans="81:158" ht="17.100000000000001" customHeight="1" x14ac:dyDescent="0.15">
      <c r="CC155" s="7"/>
      <c r="CD155" s="7"/>
      <c r="CE155" s="7"/>
      <c r="CF155" s="7"/>
      <c r="CG155" s="7"/>
      <c r="CH155" s="7"/>
      <c r="CI155" s="7"/>
      <c r="CJ155" s="7"/>
      <c r="CK155" s="7"/>
      <c r="CL155" s="7"/>
      <c r="CM155" s="7"/>
      <c r="CN155" s="7"/>
      <c r="CO155" s="7"/>
      <c r="CP155" s="7"/>
      <c r="CQ155" s="7"/>
      <c r="CR155" s="7"/>
      <c r="CS155" s="7"/>
      <c r="CT155" s="7"/>
      <c r="CU155" s="7"/>
      <c r="CV155" s="7"/>
      <c r="CW155" s="7"/>
      <c r="CX155" s="7"/>
      <c r="CY155" s="7"/>
      <c r="CZ155" s="7"/>
      <c r="DA155" s="7"/>
      <c r="DB155" s="7"/>
      <c r="DC155" s="7"/>
      <c r="DD155" s="7"/>
      <c r="DE155" s="7"/>
      <c r="DF155" s="7"/>
      <c r="DG155" s="7"/>
      <c r="DH155" s="7"/>
      <c r="DI155" s="7"/>
      <c r="DJ155" s="7"/>
      <c r="DK155" s="7"/>
      <c r="DL155" s="7"/>
      <c r="DM155" s="7"/>
      <c r="DN155" s="7"/>
      <c r="DO155" s="7"/>
      <c r="DP155" s="7"/>
      <c r="DQ155" s="7"/>
      <c r="DR155" s="7"/>
      <c r="DS155" s="7"/>
      <c r="DT155" s="7"/>
      <c r="DU155" s="7"/>
      <c r="DV155" s="7"/>
      <c r="DW155" s="7"/>
      <c r="DX155" s="7"/>
      <c r="DY155" s="7"/>
      <c r="DZ155" s="7"/>
      <c r="EA155" s="7"/>
      <c r="EB155" s="7"/>
      <c r="EC155" s="7"/>
      <c r="ED155" s="7"/>
      <c r="EE155" s="7"/>
      <c r="EF155" s="7"/>
      <c r="EG155" s="7"/>
      <c r="EH155" s="7"/>
      <c r="EI155" s="7"/>
      <c r="EJ155" s="7"/>
      <c r="EK155" s="7"/>
      <c r="EL155" s="7"/>
      <c r="EM155" s="7"/>
      <c r="EN155" s="7"/>
      <c r="EO155" s="7"/>
      <c r="EP155" s="7"/>
      <c r="EQ155" s="7"/>
      <c r="ER155" s="7"/>
      <c r="ES155" s="7"/>
      <c r="ET155" s="7"/>
      <c r="EU155" s="7"/>
      <c r="EV155" s="7"/>
      <c r="EW155" s="7"/>
      <c r="EX155" s="7"/>
      <c r="EY155" s="7"/>
      <c r="EZ155" s="7"/>
      <c r="FA155" s="7"/>
      <c r="FB155" s="7"/>
    </row>
    <row r="156" spans="81:158" ht="17.100000000000001" customHeight="1" x14ac:dyDescent="0.15">
      <c r="CC156" s="7"/>
      <c r="CD156" s="7"/>
      <c r="CE156" s="7"/>
      <c r="CF156" s="7"/>
      <c r="CG156" s="7"/>
      <c r="CH156" s="7"/>
      <c r="CI156" s="7"/>
      <c r="CJ156" s="7"/>
      <c r="CK156" s="7"/>
      <c r="CL156" s="7"/>
      <c r="CM156" s="7"/>
      <c r="CN156" s="7"/>
      <c r="CO156" s="7"/>
      <c r="CP156" s="7"/>
      <c r="CQ156" s="7"/>
      <c r="CR156" s="7"/>
      <c r="CS156" s="7"/>
      <c r="CT156" s="7"/>
      <c r="CU156" s="7"/>
      <c r="CV156" s="7"/>
      <c r="CW156" s="7"/>
      <c r="CX156" s="7"/>
      <c r="CY156" s="7"/>
      <c r="CZ156" s="7"/>
      <c r="DA156" s="7"/>
      <c r="DB156" s="7"/>
      <c r="DC156" s="7"/>
      <c r="DD156" s="7"/>
      <c r="DE156" s="7"/>
      <c r="DF156" s="7"/>
      <c r="DG156" s="7"/>
      <c r="DH156" s="7"/>
      <c r="DI156" s="7"/>
      <c r="DJ156" s="7"/>
      <c r="DK156" s="7"/>
      <c r="DL156" s="7"/>
      <c r="DM156" s="7"/>
      <c r="DN156" s="7"/>
      <c r="DO156" s="7"/>
      <c r="DP156" s="7"/>
      <c r="DQ156" s="7"/>
      <c r="DR156" s="7"/>
      <c r="DS156" s="7"/>
      <c r="DT156" s="7"/>
      <c r="DU156" s="7"/>
      <c r="DV156" s="7"/>
      <c r="DW156" s="7"/>
      <c r="DX156" s="7"/>
      <c r="DY156" s="7"/>
      <c r="DZ156" s="7"/>
      <c r="EA156" s="7"/>
      <c r="EB156" s="7"/>
      <c r="EC156" s="7"/>
      <c r="ED156" s="7"/>
      <c r="EE156" s="7"/>
      <c r="EF156" s="7"/>
      <c r="EG156" s="7"/>
      <c r="EH156" s="7"/>
      <c r="EI156" s="7"/>
      <c r="EJ156" s="7"/>
      <c r="EK156" s="7"/>
      <c r="EL156" s="7"/>
      <c r="EM156" s="7"/>
      <c r="EN156" s="7"/>
      <c r="EO156" s="7"/>
      <c r="EP156" s="7"/>
      <c r="EQ156" s="7"/>
      <c r="ER156" s="7"/>
      <c r="ES156" s="7"/>
      <c r="ET156" s="7"/>
      <c r="EU156" s="7"/>
      <c r="EV156" s="7"/>
      <c r="EW156" s="7"/>
      <c r="EX156" s="7"/>
      <c r="EY156" s="7"/>
      <c r="EZ156" s="7"/>
      <c r="FA156" s="7"/>
      <c r="FB156" s="7"/>
    </row>
    <row r="157" spans="81:158" ht="17.100000000000001" customHeight="1" x14ac:dyDescent="0.15">
      <c r="CC157" s="7"/>
      <c r="CD157" s="7"/>
      <c r="CE157" s="7"/>
      <c r="CF157" s="7"/>
      <c r="CG157" s="7"/>
      <c r="CH157" s="7"/>
      <c r="CI157" s="7"/>
      <c r="CJ157" s="7"/>
      <c r="CK157" s="7"/>
      <c r="CL157" s="7"/>
      <c r="CM157" s="7"/>
      <c r="CN157" s="7"/>
      <c r="CO157" s="7"/>
      <c r="CP157" s="7"/>
      <c r="CQ157" s="7"/>
      <c r="CR157" s="7"/>
      <c r="CS157" s="7"/>
      <c r="CT157" s="7"/>
      <c r="CU157" s="7"/>
      <c r="CV157" s="7"/>
      <c r="CW157" s="7"/>
      <c r="CX157" s="7"/>
      <c r="CY157" s="7"/>
      <c r="CZ157" s="7"/>
      <c r="DA157" s="7"/>
      <c r="DB157" s="7"/>
      <c r="DC157" s="7"/>
      <c r="DD157" s="7"/>
      <c r="DE157" s="7"/>
      <c r="DF157" s="7"/>
      <c r="DG157" s="7"/>
      <c r="DH157" s="7"/>
      <c r="DI157" s="7"/>
      <c r="DJ157" s="7"/>
      <c r="DK157" s="7"/>
      <c r="DL157" s="7"/>
      <c r="DM157" s="7"/>
      <c r="DN157" s="7"/>
      <c r="DO157" s="7"/>
      <c r="DP157" s="7"/>
      <c r="DQ157" s="7"/>
      <c r="DR157" s="7"/>
      <c r="DS157" s="7"/>
      <c r="DT157" s="7"/>
      <c r="DU157" s="7"/>
      <c r="DV157" s="7"/>
      <c r="DW157" s="7"/>
      <c r="DX157" s="7"/>
      <c r="DY157" s="7"/>
      <c r="DZ157" s="7"/>
      <c r="EA157" s="7"/>
      <c r="EB157" s="7"/>
      <c r="EC157" s="7"/>
      <c r="ED157" s="7"/>
      <c r="EE157" s="7"/>
      <c r="EF157" s="7"/>
      <c r="EG157" s="7"/>
      <c r="EH157" s="7"/>
      <c r="EI157" s="7"/>
      <c r="EJ157" s="7"/>
      <c r="EK157" s="7"/>
      <c r="EL157" s="7"/>
      <c r="EM157" s="7"/>
      <c r="EN157" s="7"/>
      <c r="EO157" s="7"/>
      <c r="EP157" s="7"/>
      <c r="EQ157" s="7"/>
      <c r="ER157" s="7"/>
      <c r="ES157" s="7"/>
      <c r="ET157" s="7"/>
      <c r="EU157" s="7"/>
      <c r="EV157" s="7"/>
      <c r="EW157" s="7"/>
      <c r="EX157" s="7"/>
      <c r="EY157" s="7"/>
      <c r="EZ157" s="7"/>
      <c r="FA157" s="7"/>
      <c r="FB157" s="7"/>
    </row>
    <row r="158" spans="81:158" ht="17.100000000000001" customHeight="1" x14ac:dyDescent="0.15">
      <c r="CC158" s="7"/>
      <c r="CD158" s="7"/>
      <c r="CE158" s="7"/>
      <c r="CF158" s="7"/>
      <c r="CG158" s="7"/>
      <c r="CH158" s="7"/>
      <c r="CI158" s="7"/>
      <c r="CJ158" s="7"/>
      <c r="CK158" s="7"/>
      <c r="CL158" s="7"/>
      <c r="CM158" s="7"/>
      <c r="CN158" s="7"/>
      <c r="CO158" s="7"/>
      <c r="CP158" s="7"/>
      <c r="CQ158" s="7"/>
      <c r="CR158" s="7"/>
      <c r="CS158" s="7"/>
      <c r="CT158" s="7"/>
      <c r="CU158" s="7"/>
      <c r="CV158" s="7"/>
      <c r="CW158" s="7"/>
      <c r="CX158" s="7"/>
      <c r="CY158" s="7"/>
      <c r="CZ158" s="7"/>
      <c r="DA158" s="7"/>
      <c r="DB158" s="7"/>
      <c r="DC158" s="7"/>
      <c r="DD158" s="7"/>
      <c r="DE158" s="7"/>
      <c r="DF158" s="7"/>
      <c r="DG158" s="7"/>
      <c r="DH158" s="7"/>
      <c r="DI158" s="7"/>
      <c r="DJ158" s="7"/>
      <c r="DK158" s="7"/>
      <c r="DL158" s="7"/>
      <c r="DM158" s="7"/>
      <c r="DN158" s="7"/>
      <c r="DO158" s="7"/>
      <c r="DP158" s="7"/>
      <c r="DQ158" s="7"/>
      <c r="DR158" s="7"/>
      <c r="DS158" s="7"/>
      <c r="DT158" s="7"/>
      <c r="DU158" s="7"/>
      <c r="DV158" s="7"/>
      <c r="DW158" s="7"/>
      <c r="DX158" s="7"/>
      <c r="DY158" s="7"/>
      <c r="DZ158" s="7"/>
      <c r="EA158" s="7"/>
      <c r="EB158" s="7"/>
      <c r="EC158" s="7"/>
      <c r="ED158" s="7"/>
      <c r="EE158" s="7"/>
      <c r="EF158" s="7"/>
      <c r="EG158" s="7"/>
      <c r="EH158" s="7"/>
      <c r="EI158" s="7"/>
      <c r="EJ158" s="7"/>
      <c r="EK158" s="7"/>
      <c r="EL158" s="7"/>
      <c r="EM158" s="7"/>
      <c r="EN158" s="7"/>
      <c r="EO158" s="7"/>
      <c r="EP158" s="7"/>
      <c r="EQ158" s="7"/>
      <c r="ER158" s="7"/>
      <c r="ES158" s="7"/>
      <c r="ET158" s="7"/>
      <c r="EU158" s="7"/>
      <c r="EV158" s="7"/>
      <c r="EW158" s="7"/>
      <c r="EX158" s="7"/>
      <c r="EY158" s="7"/>
      <c r="EZ158" s="7"/>
      <c r="FA158" s="7"/>
      <c r="FB158" s="7"/>
    </row>
    <row r="159" spans="81:158" ht="17.100000000000001" customHeight="1" x14ac:dyDescent="0.15">
      <c r="CC159" s="7"/>
      <c r="CD159" s="7"/>
      <c r="CE159" s="7"/>
      <c r="CF159" s="7"/>
      <c r="CG159" s="7"/>
      <c r="CH159" s="7"/>
      <c r="CI159" s="7"/>
      <c r="CJ159" s="7"/>
      <c r="CK159" s="7"/>
      <c r="CL159" s="7"/>
      <c r="CM159" s="7"/>
      <c r="CN159" s="7"/>
      <c r="CO159" s="7"/>
      <c r="CP159" s="7"/>
      <c r="CQ159" s="7"/>
      <c r="CR159" s="7"/>
      <c r="CS159" s="7"/>
      <c r="CT159" s="7"/>
      <c r="CU159" s="7"/>
      <c r="CV159" s="7"/>
      <c r="CW159" s="7"/>
      <c r="CX159" s="7"/>
      <c r="CY159" s="7"/>
      <c r="CZ159" s="7"/>
      <c r="DA159" s="7"/>
      <c r="DB159" s="7"/>
      <c r="DC159" s="7"/>
      <c r="DD159" s="7"/>
      <c r="DE159" s="7"/>
      <c r="DF159" s="7"/>
      <c r="DG159" s="7"/>
      <c r="DH159" s="7"/>
      <c r="DI159" s="7"/>
      <c r="DJ159" s="7"/>
      <c r="DK159" s="7"/>
      <c r="DL159" s="7"/>
      <c r="DM159" s="7"/>
      <c r="DN159" s="7"/>
      <c r="DO159" s="7"/>
      <c r="DP159" s="7"/>
      <c r="DQ159" s="7"/>
      <c r="DR159" s="7"/>
      <c r="DS159" s="7"/>
      <c r="DT159" s="7"/>
      <c r="DU159" s="7"/>
      <c r="DV159" s="7"/>
      <c r="DW159" s="7"/>
      <c r="DX159" s="7"/>
      <c r="DY159" s="7"/>
      <c r="DZ159" s="7"/>
      <c r="EA159" s="7"/>
      <c r="EB159" s="7"/>
      <c r="EC159" s="7"/>
      <c r="ED159" s="7"/>
      <c r="EE159" s="7"/>
      <c r="EF159" s="7"/>
      <c r="EG159" s="7"/>
      <c r="EH159" s="7"/>
      <c r="EI159" s="7"/>
      <c r="EJ159" s="7"/>
      <c r="EK159" s="7"/>
      <c r="EL159" s="7"/>
      <c r="EM159" s="7"/>
      <c r="EN159" s="7"/>
      <c r="EO159" s="7"/>
      <c r="EP159" s="7"/>
      <c r="EQ159" s="7"/>
      <c r="ER159" s="7"/>
      <c r="ES159" s="7"/>
      <c r="ET159" s="7"/>
      <c r="EU159" s="7"/>
      <c r="EV159" s="7"/>
      <c r="EW159" s="7"/>
      <c r="EX159" s="7"/>
      <c r="EY159" s="7"/>
      <c r="EZ159" s="7"/>
      <c r="FA159" s="7"/>
      <c r="FB159" s="7"/>
    </row>
    <row r="160" spans="81:158" ht="17.100000000000001" customHeight="1" x14ac:dyDescent="0.15">
      <c r="CC160" s="7"/>
      <c r="CD160" s="7"/>
      <c r="CE160" s="7"/>
      <c r="CF160" s="7"/>
      <c r="CG160" s="7"/>
      <c r="CH160" s="7"/>
      <c r="CI160" s="7"/>
      <c r="CJ160" s="7"/>
      <c r="CK160" s="7"/>
      <c r="CL160" s="7"/>
      <c r="CM160" s="7"/>
      <c r="CN160" s="7"/>
      <c r="CO160" s="7"/>
      <c r="CP160" s="7"/>
      <c r="CQ160" s="7"/>
      <c r="CR160" s="7"/>
      <c r="CS160" s="7"/>
      <c r="CT160" s="7"/>
      <c r="CU160" s="7"/>
      <c r="CV160" s="7"/>
      <c r="CW160" s="7"/>
      <c r="CX160" s="7"/>
      <c r="CY160" s="7"/>
      <c r="CZ160" s="7"/>
      <c r="DA160" s="7"/>
      <c r="DB160" s="7"/>
      <c r="DC160" s="7"/>
      <c r="DD160" s="7"/>
      <c r="DE160" s="7"/>
      <c r="DF160" s="7"/>
      <c r="DG160" s="7"/>
      <c r="DH160" s="7"/>
      <c r="DI160" s="7"/>
      <c r="DJ160" s="7"/>
      <c r="DK160" s="7"/>
      <c r="DL160" s="7"/>
      <c r="DM160" s="7"/>
      <c r="DN160" s="7"/>
      <c r="DO160" s="7"/>
      <c r="DP160" s="7"/>
      <c r="DQ160" s="7"/>
      <c r="DR160" s="7"/>
      <c r="DS160" s="7"/>
      <c r="DT160" s="7"/>
      <c r="DU160" s="7"/>
      <c r="DV160" s="7"/>
      <c r="DW160" s="7"/>
      <c r="DX160" s="7"/>
      <c r="DY160" s="7"/>
      <c r="DZ160" s="7"/>
      <c r="EA160" s="7"/>
      <c r="EB160" s="7"/>
      <c r="EC160" s="7"/>
      <c r="ED160" s="7"/>
      <c r="EE160" s="7"/>
      <c r="EF160" s="7"/>
      <c r="EG160" s="7"/>
      <c r="EH160" s="7"/>
      <c r="EI160" s="7"/>
      <c r="EJ160" s="7"/>
      <c r="EK160" s="7"/>
      <c r="EL160" s="7"/>
      <c r="EM160" s="7"/>
      <c r="EN160" s="7"/>
      <c r="EO160" s="7"/>
      <c r="EP160" s="7"/>
      <c r="EQ160" s="7"/>
      <c r="ER160" s="7"/>
      <c r="ES160" s="7"/>
      <c r="ET160" s="7"/>
      <c r="EU160" s="7"/>
      <c r="EV160" s="7"/>
      <c r="EW160" s="7"/>
      <c r="EX160" s="7"/>
      <c r="EY160" s="7"/>
      <c r="EZ160" s="7"/>
      <c r="FA160" s="7"/>
      <c r="FB160" s="7"/>
    </row>
    <row r="161" spans="81:158" ht="17.100000000000001" customHeight="1" x14ac:dyDescent="0.15">
      <c r="CC161" s="7"/>
      <c r="CD161" s="7"/>
      <c r="CE161" s="7"/>
      <c r="CF161" s="7"/>
      <c r="CG161" s="7"/>
      <c r="CH161" s="7"/>
      <c r="CI161" s="7"/>
      <c r="CJ161" s="7"/>
      <c r="CK161" s="7"/>
      <c r="CL161" s="7"/>
      <c r="CM161" s="7"/>
      <c r="CN161" s="7"/>
      <c r="CO161" s="7"/>
      <c r="CP161" s="7"/>
      <c r="CQ161" s="7"/>
      <c r="CR161" s="7"/>
      <c r="CS161" s="7"/>
      <c r="CT161" s="7"/>
      <c r="CU161" s="7"/>
      <c r="CV161" s="7"/>
      <c r="CW161" s="7"/>
      <c r="CX161" s="7"/>
      <c r="CY161" s="7"/>
      <c r="CZ161" s="7"/>
      <c r="DA161" s="7"/>
      <c r="DB161" s="7"/>
      <c r="DC161" s="7"/>
      <c r="DD161" s="7"/>
      <c r="DE161" s="7"/>
      <c r="DF161" s="7"/>
      <c r="DG161" s="7"/>
      <c r="DH161" s="7"/>
      <c r="DI161" s="7"/>
      <c r="DJ161" s="7"/>
      <c r="DK161" s="7"/>
      <c r="DL161" s="7"/>
      <c r="DM161" s="7"/>
      <c r="DN161" s="7"/>
      <c r="DO161" s="7"/>
      <c r="DP161" s="7"/>
      <c r="DQ161" s="7"/>
      <c r="DR161" s="7"/>
      <c r="DS161" s="7"/>
      <c r="DT161" s="7"/>
      <c r="DU161" s="7"/>
      <c r="DV161" s="7"/>
      <c r="DW161" s="7"/>
      <c r="DX161" s="7"/>
      <c r="DY161" s="7"/>
      <c r="DZ161" s="7"/>
      <c r="EA161" s="7"/>
      <c r="EB161" s="7"/>
      <c r="EC161" s="7"/>
      <c r="ED161" s="7"/>
      <c r="EE161" s="7"/>
      <c r="EF161" s="7"/>
      <c r="EG161" s="7"/>
      <c r="EH161" s="7"/>
      <c r="EI161" s="7"/>
      <c r="EJ161" s="7"/>
      <c r="EK161" s="7"/>
      <c r="EL161" s="7"/>
      <c r="EM161" s="7"/>
      <c r="EN161" s="7"/>
      <c r="EO161" s="7"/>
      <c r="EP161" s="7"/>
      <c r="EQ161" s="7"/>
      <c r="ER161" s="7"/>
      <c r="ES161" s="7"/>
      <c r="ET161" s="7"/>
      <c r="EU161" s="7"/>
      <c r="EV161" s="7"/>
      <c r="EW161" s="7"/>
      <c r="EX161" s="7"/>
      <c r="EY161" s="7"/>
      <c r="EZ161" s="7"/>
      <c r="FA161" s="7"/>
      <c r="FB161" s="7"/>
    </row>
    <row r="162" spans="81:158" ht="17.100000000000001" customHeight="1" x14ac:dyDescent="0.15">
      <c r="CC162" s="7"/>
      <c r="CD162" s="7"/>
      <c r="CE162" s="7"/>
      <c r="CF162" s="7"/>
      <c r="CG162" s="7"/>
      <c r="CH162" s="7"/>
      <c r="CI162" s="7"/>
      <c r="CJ162" s="7"/>
      <c r="CK162" s="7"/>
      <c r="CL162" s="7"/>
      <c r="CM162" s="7"/>
      <c r="CN162" s="7"/>
      <c r="CO162" s="7"/>
      <c r="CP162" s="7"/>
      <c r="CQ162" s="7"/>
      <c r="CR162" s="7"/>
      <c r="CS162" s="7"/>
      <c r="CT162" s="7"/>
      <c r="CU162" s="7"/>
      <c r="CV162" s="7"/>
      <c r="CW162" s="7"/>
      <c r="CX162" s="7"/>
      <c r="CY162" s="7"/>
      <c r="CZ162" s="7"/>
      <c r="DA162" s="7"/>
      <c r="DB162" s="7"/>
      <c r="DC162" s="7"/>
      <c r="DD162" s="7"/>
      <c r="DE162" s="7"/>
      <c r="DF162" s="7"/>
      <c r="DG162" s="7"/>
      <c r="DH162" s="7"/>
      <c r="DI162" s="7"/>
      <c r="DJ162" s="7"/>
      <c r="DK162" s="7"/>
      <c r="DL162" s="7"/>
      <c r="DM162" s="7"/>
      <c r="DN162" s="7"/>
      <c r="DO162" s="7"/>
      <c r="DP162" s="7"/>
      <c r="DQ162" s="7"/>
      <c r="DR162" s="7"/>
      <c r="DS162" s="7"/>
      <c r="DT162" s="7"/>
      <c r="DU162" s="7"/>
      <c r="DV162" s="7"/>
      <c r="DW162" s="7"/>
      <c r="DX162" s="7"/>
      <c r="DY162" s="7"/>
      <c r="DZ162" s="7"/>
      <c r="EA162" s="7"/>
      <c r="EB162" s="7"/>
      <c r="EC162" s="7"/>
      <c r="ED162" s="7"/>
      <c r="EE162" s="7"/>
      <c r="EF162" s="7"/>
      <c r="EG162" s="7"/>
      <c r="EH162" s="7"/>
      <c r="EI162" s="7"/>
      <c r="EJ162" s="7"/>
      <c r="EK162" s="7"/>
      <c r="EL162" s="7"/>
      <c r="EM162" s="7"/>
      <c r="EN162" s="7"/>
      <c r="EO162" s="7"/>
      <c r="EP162" s="7"/>
      <c r="EQ162" s="7"/>
      <c r="ER162" s="7"/>
      <c r="ES162" s="7"/>
      <c r="ET162" s="7"/>
      <c r="EU162" s="7"/>
      <c r="EV162" s="7"/>
      <c r="EW162" s="7"/>
      <c r="EX162" s="7"/>
      <c r="EY162" s="7"/>
      <c r="EZ162" s="7"/>
      <c r="FA162" s="7"/>
      <c r="FB162" s="7"/>
    </row>
    <row r="163" spans="81:158" ht="17.100000000000001" customHeight="1" x14ac:dyDescent="0.15">
      <c r="CC163" s="7"/>
      <c r="CD163" s="7"/>
      <c r="CE163" s="7"/>
      <c r="CF163" s="7"/>
      <c r="CG163" s="7"/>
      <c r="CH163" s="7"/>
      <c r="CI163" s="7"/>
      <c r="CJ163" s="7"/>
      <c r="CK163" s="7"/>
      <c r="CL163" s="7"/>
      <c r="CM163" s="7"/>
      <c r="CN163" s="7"/>
      <c r="CO163" s="7"/>
      <c r="CP163" s="7"/>
      <c r="CQ163" s="7"/>
      <c r="CR163" s="7"/>
      <c r="CS163" s="7"/>
      <c r="CT163" s="7"/>
      <c r="CU163" s="7"/>
      <c r="CV163" s="7"/>
      <c r="CW163" s="7"/>
      <c r="CX163" s="7"/>
      <c r="CY163" s="7"/>
      <c r="CZ163" s="7"/>
      <c r="DA163" s="7"/>
      <c r="DB163" s="7"/>
      <c r="DC163" s="7"/>
      <c r="DD163" s="7"/>
      <c r="DE163" s="7"/>
      <c r="DF163" s="7"/>
      <c r="DG163" s="7"/>
      <c r="DH163" s="7"/>
      <c r="DI163" s="7"/>
      <c r="DJ163" s="7"/>
      <c r="DK163" s="7"/>
      <c r="DL163" s="7"/>
      <c r="DM163" s="7"/>
      <c r="DN163" s="7"/>
      <c r="DO163" s="7"/>
      <c r="DP163" s="7"/>
      <c r="DQ163" s="7"/>
      <c r="DR163" s="7"/>
      <c r="DS163" s="7"/>
      <c r="DT163" s="7"/>
      <c r="DU163" s="7"/>
      <c r="DV163" s="7"/>
      <c r="DW163" s="7"/>
      <c r="DX163" s="7"/>
      <c r="DY163" s="7"/>
      <c r="DZ163" s="7"/>
      <c r="EA163" s="7"/>
      <c r="EB163" s="7"/>
      <c r="EC163" s="7"/>
      <c r="ED163" s="7"/>
      <c r="EE163" s="7"/>
      <c r="EF163" s="7"/>
      <c r="EG163" s="7"/>
      <c r="EH163" s="7"/>
      <c r="EI163" s="7"/>
      <c r="EJ163" s="7"/>
      <c r="EK163" s="7"/>
      <c r="EL163" s="7"/>
      <c r="EM163" s="7"/>
      <c r="EN163" s="7"/>
      <c r="EO163" s="7"/>
      <c r="EP163" s="7"/>
      <c r="EQ163" s="7"/>
      <c r="ER163" s="7"/>
      <c r="ES163" s="7"/>
      <c r="ET163" s="7"/>
      <c r="EU163" s="7"/>
      <c r="EV163" s="7"/>
      <c r="EW163" s="7"/>
      <c r="EX163" s="7"/>
      <c r="EY163" s="7"/>
      <c r="EZ163" s="7"/>
      <c r="FA163" s="7"/>
      <c r="FB163" s="7"/>
    </row>
    <row r="164" spans="81:158" ht="17.100000000000001" customHeight="1" x14ac:dyDescent="0.15">
      <c r="CC164" s="7"/>
      <c r="CD164" s="7"/>
      <c r="CE164" s="7"/>
      <c r="CF164" s="7"/>
      <c r="CG164" s="7"/>
      <c r="CH164" s="7"/>
      <c r="CI164" s="7"/>
      <c r="CJ164" s="7"/>
      <c r="CK164" s="7"/>
      <c r="CL164" s="7"/>
      <c r="CM164" s="7"/>
      <c r="CN164" s="7"/>
      <c r="CO164" s="7"/>
      <c r="CP164" s="7"/>
      <c r="CQ164" s="7"/>
      <c r="CR164" s="7"/>
      <c r="CS164" s="7"/>
      <c r="CT164" s="7"/>
      <c r="CU164" s="7"/>
      <c r="CV164" s="7"/>
      <c r="CW164" s="7"/>
      <c r="CX164" s="7"/>
      <c r="CY164" s="7"/>
      <c r="CZ164" s="7"/>
      <c r="DA164" s="7"/>
      <c r="DB164" s="7"/>
      <c r="DC164" s="7"/>
      <c r="DD164" s="7"/>
      <c r="DE164" s="7"/>
      <c r="DF164" s="7"/>
      <c r="DG164" s="7"/>
      <c r="DH164" s="7"/>
      <c r="DI164" s="7"/>
      <c r="DJ164" s="7"/>
      <c r="DK164" s="7"/>
      <c r="DL164" s="7"/>
      <c r="DM164" s="7"/>
      <c r="DN164" s="7"/>
      <c r="DO164" s="7"/>
      <c r="DP164" s="7"/>
      <c r="DQ164" s="7"/>
      <c r="DR164" s="7"/>
      <c r="DS164" s="7"/>
      <c r="DT164" s="7"/>
      <c r="DU164" s="7"/>
      <c r="DV164" s="7"/>
      <c r="DW164" s="7"/>
      <c r="DX164" s="7"/>
      <c r="DY164" s="7"/>
      <c r="DZ164" s="7"/>
      <c r="EA164" s="7"/>
      <c r="EB164" s="7"/>
      <c r="EC164" s="7"/>
      <c r="ED164" s="7"/>
      <c r="EE164" s="7"/>
      <c r="EF164" s="7"/>
      <c r="EG164" s="7"/>
      <c r="EH164" s="7"/>
      <c r="EI164" s="7"/>
      <c r="EJ164" s="7"/>
      <c r="EK164" s="7"/>
      <c r="EL164" s="7"/>
      <c r="EM164" s="7"/>
      <c r="EN164" s="7"/>
      <c r="EO164" s="7"/>
      <c r="EP164" s="7"/>
      <c r="EQ164" s="7"/>
      <c r="ER164" s="7"/>
      <c r="ES164" s="7"/>
      <c r="ET164" s="7"/>
      <c r="EU164" s="7"/>
      <c r="EV164" s="7"/>
      <c r="EW164" s="7"/>
      <c r="EX164" s="7"/>
      <c r="EY164" s="7"/>
      <c r="EZ164" s="7"/>
      <c r="FA164" s="7"/>
      <c r="FB164" s="7"/>
    </row>
    <row r="165" spans="81:158" ht="17.100000000000001" customHeight="1" x14ac:dyDescent="0.15">
      <c r="CC165" s="7"/>
      <c r="CD165" s="7"/>
      <c r="CE165" s="7"/>
      <c r="CF165" s="7"/>
      <c r="CG165" s="7"/>
      <c r="CH165" s="7"/>
      <c r="CI165" s="7"/>
      <c r="CJ165" s="7"/>
      <c r="CK165" s="7"/>
      <c r="CL165" s="7"/>
      <c r="CM165" s="7"/>
      <c r="CN165" s="7"/>
      <c r="CO165" s="7"/>
      <c r="CP165" s="7"/>
      <c r="CQ165" s="7"/>
      <c r="CR165" s="7"/>
      <c r="CS165" s="7"/>
      <c r="CT165" s="7"/>
      <c r="CU165" s="7"/>
      <c r="CV165" s="7"/>
      <c r="CW165" s="7"/>
      <c r="CX165" s="7"/>
      <c r="CY165" s="7"/>
      <c r="CZ165" s="7"/>
      <c r="DA165" s="7"/>
      <c r="DB165" s="7"/>
      <c r="DC165" s="7"/>
      <c r="DD165" s="7"/>
      <c r="DE165" s="7"/>
      <c r="DF165" s="7"/>
      <c r="DG165" s="7"/>
      <c r="DH165" s="7"/>
      <c r="DI165" s="7"/>
      <c r="DJ165" s="7"/>
      <c r="DK165" s="7"/>
      <c r="DL165" s="7"/>
      <c r="DM165" s="7"/>
      <c r="DN165" s="7"/>
      <c r="DO165" s="7"/>
      <c r="DP165" s="7"/>
      <c r="DQ165" s="7"/>
      <c r="DR165" s="7"/>
      <c r="DS165" s="7"/>
      <c r="DT165" s="7"/>
      <c r="DU165" s="7"/>
      <c r="DV165" s="7"/>
      <c r="DW165" s="7"/>
      <c r="DX165" s="7"/>
      <c r="DY165" s="7"/>
      <c r="DZ165" s="7"/>
      <c r="EA165" s="7"/>
      <c r="EB165" s="7"/>
      <c r="EC165" s="7"/>
      <c r="ED165" s="7"/>
      <c r="EE165" s="7"/>
      <c r="EF165" s="7"/>
      <c r="EG165" s="7"/>
      <c r="EH165" s="7"/>
      <c r="EI165" s="7"/>
      <c r="EJ165" s="7"/>
      <c r="EK165" s="7"/>
      <c r="EL165" s="7"/>
      <c r="EM165" s="7"/>
      <c r="EN165" s="7"/>
      <c r="EO165" s="7"/>
      <c r="EP165" s="7"/>
      <c r="EQ165" s="7"/>
      <c r="ER165" s="7"/>
      <c r="ES165" s="7"/>
      <c r="ET165" s="7"/>
      <c r="EU165" s="7"/>
      <c r="EV165" s="7"/>
      <c r="EW165" s="7"/>
      <c r="EX165" s="7"/>
      <c r="EY165" s="7"/>
      <c r="EZ165" s="7"/>
      <c r="FA165" s="7"/>
      <c r="FB165" s="7"/>
    </row>
    <row r="166" spans="81:158" ht="17.100000000000001" customHeight="1" x14ac:dyDescent="0.15">
      <c r="CC166" s="7"/>
      <c r="CD166" s="7"/>
      <c r="CE166" s="7"/>
      <c r="CF166" s="7"/>
      <c r="CG166" s="7"/>
      <c r="CH166" s="7"/>
      <c r="CI166" s="7"/>
      <c r="CJ166" s="7"/>
      <c r="CK166" s="7"/>
      <c r="CL166" s="7"/>
      <c r="CM166" s="7"/>
      <c r="CN166" s="7"/>
      <c r="CO166" s="7"/>
      <c r="CP166" s="7"/>
      <c r="CQ166" s="7"/>
      <c r="CR166" s="7"/>
      <c r="CS166" s="7"/>
      <c r="CT166" s="7"/>
      <c r="CU166" s="7"/>
      <c r="CV166" s="7"/>
      <c r="CW166" s="7"/>
      <c r="CX166" s="7"/>
      <c r="CY166" s="7"/>
      <c r="CZ166" s="7"/>
      <c r="DA166" s="7"/>
      <c r="DB166" s="7"/>
      <c r="DC166" s="7"/>
      <c r="DD166" s="7"/>
      <c r="DE166" s="7"/>
      <c r="DF166" s="7"/>
      <c r="DG166" s="7"/>
      <c r="DH166" s="7"/>
      <c r="DI166" s="7"/>
      <c r="DJ166" s="7"/>
      <c r="DK166" s="7"/>
      <c r="DL166" s="7"/>
      <c r="DM166" s="7"/>
      <c r="DN166" s="7"/>
      <c r="DO166" s="7"/>
      <c r="DP166" s="7"/>
      <c r="DQ166" s="7"/>
      <c r="DR166" s="7"/>
      <c r="DS166" s="7"/>
      <c r="DT166" s="7"/>
      <c r="DU166" s="7"/>
      <c r="DV166" s="7"/>
      <c r="DW166" s="7"/>
      <c r="DX166" s="7"/>
      <c r="DY166" s="7"/>
      <c r="DZ166" s="7"/>
      <c r="EA166" s="7"/>
      <c r="EB166" s="7"/>
      <c r="EC166" s="7"/>
      <c r="ED166" s="7"/>
      <c r="EE166" s="7"/>
      <c r="EF166" s="7"/>
      <c r="EG166" s="7"/>
      <c r="EH166" s="7"/>
      <c r="EI166" s="7"/>
      <c r="EJ166" s="7"/>
      <c r="EK166" s="7"/>
      <c r="EL166" s="7"/>
      <c r="EM166" s="7"/>
      <c r="EN166" s="7"/>
      <c r="EO166" s="7"/>
      <c r="EP166" s="7"/>
      <c r="EQ166" s="7"/>
      <c r="ER166" s="7"/>
      <c r="ES166" s="7"/>
      <c r="ET166" s="7"/>
      <c r="EU166" s="7"/>
      <c r="EV166" s="7"/>
      <c r="EW166" s="7"/>
      <c r="EX166" s="7"/>
      <c r="EY166" s="7"/>
      <c r="EZ166" s="7"/>
      <c r="FA166" s="7"/>
      <c r="FB166" s="7"/>
    </row>
    <row r="167" spans="81:158" ht="17.100000000000001" customHeight="1" x14ac:dyDescent="0.15">
      <c r="CC167" s="7"/>
      <c r="CD167" s="7"/>
      <c r="CE167" s="7"/>
      <c r="CF167" s="7"/>
      <c r="CG167" s="7"/>
      <c r="CH167" s="7"/>
      <c r="CI167" s="7"/>
      <c r="CJ167" s="7"/>
      <c r="CK167" s="7"/>
      <c r="CL167" s="7"/>
      <c r="CM167" s="7"/>
      <c r="CN167" s="7"/>
      <c r="CO167" s="7"/>
      <c r="CP167" s="7"/>
      <c r="CQ167" s="7"/>
      <c r="CR167" s="7"/>
      <c r="CS167" s="7"/>
      <c r="CT167" s="7"/>
      <c r="CU167" s="7"/>
      <c r="CV167" s="7"/>
      <c r="CW167" s="7"/>
      <c r="CX167" s="7"/>
      <c r="CY167" s="7"/>
      <c r="CZ167" s="7"/>
      <c r="DA167" s="7"/>
      <c r="DB167" s="7"/>
      <c r="DC167" s="7"/>
      <c r="DD167" s="7"/>
      <c r="DE167" s="7"/>
      <c r="DF167" s="7"/>
      <c r="DG167" s="7"/>
      <c r="DH167" s="7"/>
      <c r="DI167" s="7"/>
      <c r="DJ167" s="7"/>
      <c r="DK167" s="7"/>
      <c r="DL167" s="7"/>
      <c r="DM167" s="7"/>
      <c r="DN167" s="7"/>
      <c r="DO167" s="7"/>
      <c r="DP167" s="7"/>
      <c r="DQ167" s="7"/>
      <c r="DR167" s="7"/>
      <c r="DS167" s="7"/>
      <c r="DT167" s="7"/>
      <c r="DU167" s="7"/>
      <c r="DV167" s="7"/>
      <c r="DW167" s="7"/>
      <c r="DX167" s="7"/>
      <c r="DY167" s="7"/>
      <c r="DZ167" s="7"/>
      <c r="EA167" s="7"/>
      <c r="EB167" s="7"/>
      <c r="EC167" s="7"/>
      <c r="ED167" s="7"/>
      <c r="EE167" s="7"/>
      <c r="EF167" s="7"/>
      <c r="EG167" s="7"/>
      <c r="EH167" s="7"/>
      <c r="EI167" s="7"/>
      <c r="EJ167" s="7"/>
      <c r="EK167" s="7"/>
      <c r="EL167" s="7"/>
      <c r="EM167" s="7"/>
      <c r="EN167" s="7"/>
      <c r="EO167" s="7"/>
      <c r="EP167" s="7"/>
      <c r="EQ167" s="7"/>
      <c r="ER167" s="7"/>
      <c r="ES167" s="7"/>
      <c r="ET167" s="7"/>
      <c r="EU167" s="7"/>
      <c r="EV167" s="7"/>
      <c r="EW167" s="7"/>
      <c r="EX167" s="7"/>
      <c r="EY167" s="7"/>
      <c r="EZ167" s="7"/>
      <c r="FA167" s="7"/>
      <c r="FB167" s="7"/>
    </row>
    <row r="214" spans="4:15" ht="17.100000000000001" customHeight="1" x14ac:dyDescent="0.3">
      <c r="D214" s="11"/>
      <c r="E214" s="10"/>
      <c r="F214" s="10"/>
      <c r="G214" s="10"/>
      <c r="H214" s="10"/>
      <c r="I214" s="10"/>
      <c r="J214" s="10"/>
      <c r="K214" s="10"/>
      <c r="L214" s="10"/>
      <c r="M214" s="10"/>
      <c r="N214" s="10"/>
      <c r="O214" s="10"/>
    </row>
    <row r="215" spans="4:15" ht="17.100000000000001" customHeight="1" x14ac:dyDescent="0.2">
      <c r="D215" s="10"/>
      <c r="E215" s="10"/>
      <c r="F215" s="10"/>
      <c r="G215" s="10"/>
      <c r="H215" s="10"/>
      <c r="I215" s="10"/>
      <c r="J215" s="10"/>
      <c r="K215" s="10"/>
      <c r="L215" s="10"/>
      <c r="M215" s="10"/>
      <c r="N215" s="10"/>
      <c r="O215" s="10"/>
    </row>
    <row r="216" spans="4:15" ht="17.100000000000001" customHeight="1" x14ac:dyDescent="0.2">
      <c r="D216" s="10"/>
      <c r="E216" s="10"/>
      <c r="F216" s="10"/>
      <c r="G216" s="10"/>
      <c r="H216" s="10"/>
      <c r="I216" s="10"/>
      <c r="J216" s="10"/>
      <c r="K216" s="10"/>
      <c r="L216" s="10"/>
      <c r="M216" s="10"/>
      <c r="N216" s="10"/>
      <c r="O216" s="10"/>
    </row>
    <row r="217" spans="4:15" ht="17.100000000000001" customHeight="1" x14ac:dyDescent="0.2">
      <c r="D217" s="10"/>
      <c r="E217" s="10"/>
      <c r="F217" s="10"/>
      <c r="G217" s="10"/>
      <c r="H217" s="10"/>
      <c r="I217" s="10"/>
      <c r="J217" s="10"/>
      <c r="K217" s="10"/>
      <c r="L217" s="10"/>
      <c r="M217" s="10"/>
      <c r="N217" s="10"/>
      <c r="O217" s="10"/>
    </row>
    <row r="218" spans="4:15" ht="17.100000000000001" customHeight="1" x14ac:dyDescent="0.2">
      <c r="D218" s="10"/>
      <c r="E218" s="10"/>
      <c r="F218" s="10"/>
      <c r="G218" s="10"/>
      <c r="H218" s="10"/>
      <c r="I218" s="10"/>
      <c r="J218" s="10"/>
      <c r="K218" s="10"/>
      <c r="L218" s="10"/>
      <c r="M218" s="10"/>
      <c r="N218" s="10"/>
      <c r="O218" s="10"/>
    </row>
    <row r="219" spans="4:15" ht="17.100000000000001" customHeight="1" x14ac:dyDescent="0.2">
      <c r="D219" s="10"/>
      <c r="E219" s="10"/>
      <c r="F219" s="10"/>
      <c r="G219" s="10"/>
      <c r="H219" s="10"/>
      <c r="I219" s="10"/>
      <c r="J219" s="10"/>
      <c r="K219" s="10"/>
      <c r="L219" s="10"/>
      <c r="M219" s="10"/>
      <c r="N219" s="10"/>
      <c r="O219" s="10"/>
    </row>
    <row r="220" spans="4:15" ht="17.100000000000001" customHeight="1" x14ac:dyDescent="0.2">
      <c r="D220" s="10"/>
      <c r="E220" s="10"/>
      <c r="F220" s="10"/>
      <c r="G220" s="10"/>
      <c r="H220" s="10"/>
      <c r="I220" s="10"/>
      <c r="J220" s="10"/>
      <c r="K220" s="10"/>
      <c r="L220" s="10"/>
      <c r="M220" s="10"/>
      <c r="N220" s="10"/>
      <c r="O220" s="10"/>
    </row>
    <row r="221" spans="4:15" ht="17.100000000000001" customHeight="1" x14ac:dyDescent="0.2">
      <c r="D221" s="10"/>
      <c r="E221" s="10"/>
      <c r="F221" s="10"/>
      <c r="G221" s="10"/>
      <c r="H221" s="10"/>
      <c r="I221" s="10"/>
      <c r="J221" s="10"/>
      <c r="K221" s="10"/>
      <c r="L221" s="10"/>
      <c r="M221" s="10"/>
      <c r="N221" s="10"/>
      <c r="O221" s="10"/>
    </row>
    <row r="222" spans="4:15" ht="17.100000000000001" customHeight="1" x14ac:dyDescent="0.2">
      <c r="D222" s="10"/>
      <c r="E222" s="10"/>
      <c r="F222" s="10"/>
      <c r="G222" s="10"/>
      <c r="H222" s="10"/>
      <c r="I222" s="10"/>
      <c r="J222" s="10"/>
      <c r="K222" s="10"/>
      <c r="L222" s="10"/>
      <c r="M222" s="10"/>
      <c r="N222" s="10"/>
      <c r="O222" s="10"/>
    </row>
    <row r="223" spans="4:15" ht="17.100000000000001" customHeight="1" x14ac:dyDescent="0.2">
      <c r="D223" s="10"/>
      <c r="E223" s="10"/>
      <c r="F223" s="10"/>
      <c r="G223" s="10"/>
      <c r="H223" s="10"/>
      <c r="I223" s="10"/>
      <c r="J223" s="10"/>
      <c r="K223" s="10"/>
      <c r="L223" s="10"/>
      <c r="M223" s="10"/>
      <c r="N223" s="10"/>
      <c r="O223" s="10"/>
    </row>
    <row r="224" spans="4:15" ht="17.100000000000001" customHeight="1" x14ac:dyDescent="0.2">
      <c r="D224" s="10"/>
      <c r="E224" s="10"/>
      <c r="F224" s="10"/>
      <c r="G224" s="10"/>
      <c r="H224" s="10"/>
      <c r="I224" s="10"/>
      <c r="J224" s="10"/>
      <c r="K224" s="10"/>
      <c r="L224" s="10"/>
      <c r="M224" s="10"/>
      <c r="N224" s="10"/>
      <c r="O224" s="10"/>
    </row>
    <row r="225" spans="3:15" ht="17.100000000000001" customHeight="1" x14ac:dyDescent="0.3">
      <c r="D225" s="11"/>
      <c r="E225" s="10"/>
      <c r="F225" s="10"/>
      <c r="G225" s="10"/>
      <c r="H225" s="10"/>
      <c r="I225" s="10"/>
      <c r="J225" s="10"/>
      <c r="K225" s="10"/>
      <c r="L225" s="10"/>
      <c r="N225" s="10"/>
      <c r="O225" s="10"/>
    </row>
    <row r="226" spans="3:15" ht="17.100000000000001" customHeight="1" x14ac:dyDescent="0.2">
      <c r="D226" s="10"/>
      <c r="E226" s="10"/>
      <c r="F226" s="10"/>
      <c r="G226" s="10"/>
      <c r="H226" s="10"/>
      <c r="I226" s="10"/>
      <c r="J226" s="10"/>
      <c r="K226" s="10"/>
      <c r="L226" s="10"/>
      <c r="M226" s="10"/>
      <c r="N226" s="10"/>
      <c r="O226" s="10"/>
    </row>
    <row r="227" spans="3:15" ht="17.100000000000001" customHeight="1" x14ac:dyDescent="0.2">
      <c r="D227" s="10"/>
      <c r="E227" s="10"/>
      <c r="F227" s="10"/>
      <c r="G227" s="10"/>
      <c r="H227" s="10"/>
      <c r="I227" s="10"/>
      <c r="J227" s="10"/>
      <c r="K227" s="10"/>
      <c r="L227" s="10"/>
      <c r="M227" s="10"/>
      <c r="N227" s="10"/>
      <c r="O227" s="10"/>
    </row>
    <row r="228" spans="3:15" ht="17.100000000000001" customHeight="1" x14ac:dyDescent="0.2">
      <c r="D228" s="10"/>
      <c r="E228" s="10"/>
      <c r="F228" s="10"/>
      <c r="G228" s="10"/>
      <c r="H228" s="10"/>
      <c r="I228" s="10"/>
      <c r="J228" s="10"/>
      <c r="K228" s="10"/>
      <c r="L228" s="10"/>
      <c r="M228" s="10"/>
      <c r="N228" s="10"/>
      <c r="O228" s="10"/>
    </row>
    <row r="229" spans="3:15" ht="17.100000000000001" customHeight="1" x14ac:dyDescent="0.2">
      <c r="D229" s="10"/>
      <c r="E229" s="10"/>
      <c r="F229" s="10"/>
      <c r="G229" s="10"/>
      <c r="H229" s="10"/>
      <c r="I229" s="10"/>
      <c r="J229" s="10"/>
      <c r="K229" s="10"/>
      <c r="L229" s="10"/>
      <c r="M229" s="10"/>
      <c r="N229" s="10"/>
      <c r="O229" s="10"/>
    </row>
    <row r="230" spans="3:15" ht="17.100000000000001" customHeight="1" x14ac:dyDescent="0.2">
      <c r="D230" s="10"/>
      <c r="E230" s="10"/>
      <c r="F230" s="10"/>
      <c r="G230" s="10"/>
      <c r="H230" s="10"/>
      <c r="I230" s="10"/>
      <c r="J230" s="10"/>
      <c r="K230" s="10"/>
      <c r="L230" s="10"/>
      <c r="M230" s="10"/>
      <c r="N230" s="10"/>
      <c r="O230" s="10"/>
    </row>
    <row r="231" spans="3:15" ht="17.100000000000001" customHeight="1" x14ac:dyDescent="0.2">
      <c r="D231" s="10"/>
      <c r="E231" s="10"/>
      <c r="F231" s="10"/>
      <c r="G231" s="10"/>
      <c r="H231" s="10"/>
      <c r="I231" s="10"/>
      <c r="J231" s="10"/>
      <c r="K231" s="10"/>
      <c r="L231" s="10"/>
      <c r="M231" s="10"/>
      <c r="N231" s="10"/>
      <c r="O231" s="10"/>
    </row>
    <row r="232" spans="3:15" ht="17.100000000000001" customHeight="1" x14ac:dyDescent="0.2">
      <c r="D232" s="10"/>
      <c r="E232" s="10"/>
      <c r="F232" s="10"/>
      <c r="G232" s="10"/>
      <c r="H232" s="10"/>
      <c r="I232" s="10"/>
      <c r="J232" s="10"/>
      <c r="K232" s="10"/>
      <c r="L232" s="10"/>
      <c r="M232" s="10"/>
      <c r="N232" s="10"/>
      <c r="O232" s="10"/>
    </row>
    <row r="233" spans="3:15" ht="17.100000000000001" customHeight="1" x14ac:dyDescent="0.2">
      <c r="D233" s="10"/>
      <c r="E233" s="10"/>
      <c r="F233" s="10"/>
      <c r="G233" s="10"/>
      <c r="H233" s="10"/>
      <c r="I233" s="10"/>
      <c r="J233" s="10"/>
      <c r="K233" s="10"/>
      <c r="L233" s="10"/>
      <c r="M233" s="10"/>
      <c r="N233" s="10"/>
      <c r="O233" s="10"/>
    </row>
    <row r="234" spans="3:15" ht="17.100000000000001" customHeight="1" x14ac:dyDescent="0.2">
      <c r="D234" s="10"/>
      <c r="E234" s="10"/>
      <c r="F234" s="10"/>
      <c r="G234" s="10"/>
      <c r="H234" s="10"/>
      <c r="I234" s="10"/>
      <c r="J234" s="10"/>
      <c r="K234" s="10"/>
      <c r="L234" s="10"/>
      <c r="M234" s="10"/>
      <c r="N234" s="10"/>
      <c r="O234" s="10"/>
    </row>
    <row r="235" spans="3:15" ht="17.100000000000001" customHeight="1" x14ac:dyDescent="0.2">
      <c r="C235" s="10"/>
      <c r="D235" s="10"/>
      <c r="E235" s="10"/>
      <c r="F235" s="10"/>
      <c r="G235" s="10"/>
      <c r="H235" s="10"/>
      <c r="I235" s="10"/>
      <c r="J235" s="10"/>
      <c r="K235" s="10"/>
      <c r="L235" s="10"/>
      <c r="M235" s="10"/>
      <c r="N235" s="10"/>
      <c r="O235" s="10"/>
    </row>
    <row r="236" spans="3:15" ht="17.100000000000001" customHeight="1" x14ac:dyDescent="0.3">
      <c r="D236" s="11"/>
      <c r="E236" s="10"/>
      <c r="F236" s="10"/>
      <c r="G236" s="10"/>
      <c r="H236" s="10"/>
      <c r="I236" s="10"/>
      <c r="J236" s="10"/>
      <c r="K236" s="10"/>
      <c r="L236" s="10"/>
      <c r="M236" s="10"/>
      <c r="N236" s="10"/>
      <c r="O236" s="10"/>
    </row>
    <row r="237" spans="3:15" ht="17.100000000000001" customHeight="1" x14ac:dyDescent="0.2">
      <c r="D237" s="10"/>
      <c r="E237" s="10"/>
      <c r="F237" s="10"/>
      <c r="G237" s="10"/>
      <c r="H237" s="10"/>
      <c r="I237" s="10"/>
      <c r="J237" s="10"/>
      <c r="K237" s="10"/>
      <c r="L237" s="10"/>
      <c r="M237" s="10"/>
      <c r="N237" s="10"/>
      <c r="O237" s="10"/>
    </row>
    <row r="238" spans="3:15" ht="17.100000000000001" customHeight="1" x14ac:dyDescent="0.3">
      <c r="D238" s="11"/>
      <c r="E238" s="10"/>
      <c r="F238" s="10"/>
      <c r="G238" s="10"/>
      <c r="H238" s="10"/>
      <c r="I238" s="10"/>
      <c r="J238" s="10"/>
      <c r="K238" s="10"/>
      <c r="L238" s="10"/>
      <c r="M238" s="10"/>
      <c r="N238" s="10"/>
      <c r="O238" s="10"/>
    </row>
    <row r="239" spans="3:15" ht="17.100000000000001" customHeight="1" x14ac:dyDescent="0.3">
      <c r="D239" s="11"/>
      <c r="E239" s="10"/>
      <c r="F239" s="10"/>
      <c r="G239" s="10"/>
      <c r="H239" s="10"/>
      <c r="I239" s="10"/>
      <c r="J239" s="10"/>
      <c r="K239" s="10"/>
      <c r="L239" s="10"/>
      <c r="M239" s="10"/>
      <c r="N239" s="10"/>
      <c r="O239" s="10"/>
    </row>
    <row r="240" spans="3:15" ht="17.100000000000001" customHeight="1" x14ac:dyDescent="0.3">
      <c r="D240" s="11"/>
      <c r="E240" s="10"/>
      <c r="F240" s="10"/>
      <c r="G240" s="10"/>
      <c r="H240" s="10"/>
      <c r="I240" s="10"/>
      <c r="J240" s="10"/>
      <c r="K240" s="10"/>
      <c r="L240" s="10"/>
      <c r="M240" s="10"/>
      <c r="N240" s="10"/>
      <c r="O240" s="10"/>
    </row>
    <row r="241" spans="3:15" ht="17.100000000000001" customHeight="1" x14ac:dyDescent="0.2">
      <c r="D241" s="10"/>
      <c r="E241" s="10"/>
      <c r="F241" s="10"/>
      <c r="G241" s="10"/>
      <c r="H241" s="10"/>
      <c r="I241" s="10"/>
      <c r="J241" s="10"/>
      <c r="K241" s="10"/>
      <c r="L241" s="10"/>
      <c r="M241" s="10"/>
      <c r="N241" s="10"/>
      <c r="O241" s="10"/>
    </row>
    <row r="242" spans="3:15" ht="17.100000000000001" customHeight="1" x14ac:dyDescent="0.2">
      <c r="D242" s="10"/>
      <c r="E242" s="10"/>
      <c r="F242" s="10"/>
      <c r="G242" s="10"/>
      <c r="H242" s="10"/>
      <c r="I242" s="10"/>
      <c r="J242" s="10"/>
      <c r="K242" s="10"/>
      <c r="L242" s="10"/>
      <c r="M242" s="10"/>
      <c r="N242" s="10"/>
      <c r="O242" s="10"/>
    </row>
    <row r="243" spans="3:15" ht="17.100000000000001" customHeight="1" x14ac:dyDescent="0.2">
      <c r="D243" s="10"/>
      <c r="E243" s="10"/>
      <c r="F243" s="10"/>
      <c r="G243" s="10"/>
      <c r="H243" s="10"/>
      <c r="I243" s="10"/>
      <c r="J243" s="10"/>
      <c r="K243" s="10"/>
      <c r="L243" s="10"/>
      <c r="M243" s="10"/>
      <c r="N243" s="10"/>
      <c r="O243" s="10"/>
    </row>
    <row r="244" spans="3:15" ht="17.100000000000001" customHeight="1" x14ac:dyDescent="0.2">
      <c r="D244" s="10"/>
      <c r="E244" s="10"/>
      <c r="F244" s="10"/>
      <c r="G244" s="10"/>
      <c r="H244" s="10"/>
      <c r="I244" s="10"/>
      <c r="J244" s="10"/>
      <c r="K244" s="10"/>
      <c r="L244" s="10"/>
      <c r="M244" s="10"/>
      <c r="N244" s="10"/>
      <c r="O244" s="10"/>
    </row>
    <row r="245" spans="3:15" ht="17.100000000000001" customHeight="1" x14ac:dyDescent="0.2">
      <c r="D245" s="10"/>
      <c r="E245" s="10"/>
      <c r="F245" s="10"/>
      <c r="G245" s="10"/>
      <c r="H245" s="10"/>
      <c r="I245" s="10"/>
      <c r="J245" s="10"/>
      <c r="K245" s="10"/>
      <c r="L245" s="10"/>
      <c r="M245" s="10"/>
      <c r="N245" s="10"/>
      <c r="O245" s="10"/>
    </row>
    <row r="246" spans="3:15" ht="17.100000000000001" customHeight="1" x14ac:dyDescent="0.2">
      <c r="C246" s="10"/>
      <c r="D246" s="10"/>
      <c r="E246" s="10"/>
      <c r="F246" s="10"/>
      <c r="G246" s="10"/>
      <c r="H246" s="10"/>
      <c r="I246" s="10"/>
      <c r="J246" s="10"/>
      <c r="K246" s="10"/>
      <c r="L246" s="10"/>
      <c r="M246" s="10"/>
      <c r="N246" s="10"/>
      <c r="O246" s="10"/>
    </row>
    <row r="247" spans="3:15" ht="17.100000000000001" customHeight="1" x14ac:dyDescent="0.2">
      <c r="D247" s="10"/>
      <c r="E247" s="10"/>
      <c r="F247" s="10"/>
      <c r="G247" s="10"/>
      <c r="H247" s="10"/>
      <c r="I247" s="10"/>
      <c r="J247" s="10"/>
      <c r="K247" s="10"/>
      <c r="L247" s="10"/>
      <c r="M247" s="10"/>
      <c r="N247" s="10"/>
      <c r="O247" s="10"/>
    </row>
    <row r="248" spans="3:15" ht="17.100000000000001" customHeight="1" x14ac:dyDescent="0.2">
      <c r="D248" s="10"/>
      <c r="E248" s="10"/>
      <c r="F248" s="10"/>
      <c r="G248" s="10"/>
      <c r="H248" s="10"/>
      <c r="I248" s="10"/>
      <c r="J248" s="10"/>
      <c r="K248" s="10"/>
      <c r="L248" s="10"/>
      <c r="M248" s="10"/>
      <c r="N248" s="10"/>
      <c r="O248" s="10"/>
    </row>
    <row r="249" spans="3:15" ht="17.100000000000001" customHeight="1" x14ac:dyDescent="0.2">
      <c r="D249" s="10"/>
      <c r="E249" s="10"/>
      <c r="F249" s="10"/>
      <c r="G249" s="10"/>
      <c r="H249" s="10"/>
      <c r="I249" s="10"/>
      <c r="J249" s="10"/>
      <c r="K249" s="10"/>
      <c r="L249" s="10"/>
      <c r="M249" s="10"/>
      <c r="N249" s="10"/>
      <c r="O249" s="10"/>
    </row>
    <row r="250" spans="3:15" ht="17.100000000000001" customHeight="1" x14ac:dyDescent="0.2">
      <c r="D250" s="10"/>
      <c r="E250" s="10"/>
      <c r="F250" s="10"/>
      <c r="G250" s="10"/>
      <c r="H250" s="10"/>
      <c r="I250" s="10"/>
      <c r="J250" s="10"/>
      <c r="K250" s="10"/>
      <c r="L250" s="10"/>
      <c r="M250" s="10"/>
      <c r="N250" s="10"/>
      <c r="O250" s="10"/>
    </row>
    <row r="251" spans="3:15" ht="17.100000000000001" customHeight="1" x14ac:dyDescent="0.2">
      <c r="D251" s="10"/>
      <c r="E251" s="10"/>
      <c r="F251" s="10"/>
      <c r="G251" s="10"/>
      <c r="H251" s="10"/>
      <c r="I251" s="10"/>
      <c r="J251" s="10"/>
      <c r="K251" s="10"/>
      <c r="L251" s="10"/>
      <c r="M251" s="10"/>
      <c r="N251" s="10"/>
      <c r="O251" s="10"/>
    </row>
    <row r="252" spans="3:15" ht="17.100000000000001" customHeight="1" x14ac:dyDescent="0.2">
      <c r="D252" s="10"/>
      <c r="E252" s="10"/>
      <c r="F252" s="10"/>
      <c r="G252" s="10"/>
      <c r="H252" s="10"/>
      <c r="I252" s="10"/>
      <c r="J252" s="10"/>
      <c r="K252" s="10"/>
      <c r="L252" s="10"/>
      <c r="M252" s="10"/>
      <c r="N252" s="10"/>
      <c r="O252" s="10"/>
    </row>
    <row r="253" spans="3:15" ht="17.100000000000001" customHeight="1" x14ac:dyDescent="0.2">
      <c r="D253" s="10"/>
      <c r="E253" s="10"/>
      <c r="F253" s="10"/>
      <c r="G253" s="10"/>
      <c r="H253" s="10"/>
      <c r="I253" s="10"/>
      <c r="J253" s="10"/>
      <c r="K253" s="10"/>
      <c r="L253" s="10"/>
      <c r="M253" s="10"/>
      <c r="N253" s="10"/>
      <c r="O253" s="10"/>
    </row>
    <row r="254" spans="3:15" ht="17.100000000000001" customHeight="1" x14ac:dyDescent="0.2">
      <c r="D254" s="10"/>
      <c r="E254" s="10"/>
      <c r="F254" s="10"/>
      <c r="G254" s="10"/>
      <c r="H254" s="10"/>
      <c r="I254" s="10"/>
      <c r="J254" s="10"/>
      <c r="K254" s="10"/>
      <c r="L254" s="10"/>
      <c r="M254" s="10"/>
      <c r="N254" s="10"/>
      <c r="O254" s="10"/>
    </row>
    <row r="255" spans="3:15" ht="17.100000000000001" customHeight="1" x14ac:dyDescent="0.2">
      <c r="D255" s="10"/>
      <c r="E255" s="10"/>
      <c r="F255" s="10"/>
      <c r="G255" s="10"/>
      <c r="H255" s="10"/>
      <c r="I255" s="10"/>
      <c r="J255" s="10"/>
      <c r="K255" s="10"/>
      <c r="L255" s="10"/>
      <c r="M255" s="10"/>
      <c r="N255" s="10"/>
      <c r="O255" s="10"/>
    </row>
    <row r="256" spans="3:15" ht="17.100000000000001" customHeight="1" x14ac:dyDescent="0.2">
      <c r="D256" s="10"/>
      <c r="E256" s="10"/>
      <c r="F256" s="10"/>
      <c r="G256" s="10"/>
      <c r="H256" s="10"/>
      <c r="I256" s="10"/>
      <c r="J256" s="10"/>
      <c r="K256" s="10"/>
      <c r="L256" s="10"/>
      <c r="M256" s="10"/>
      <c r="N256" s="10"/>
      <c r="O256" s="10"/>
    </row>
    <row r="257" spans="3:15" ht="17.100000000000001" customHeight="1" x14ac:dyDescent="0.2">
      <c r="C257" s="10"/>
      <c r="D257" s="10"/>
      <c r="E257" s="10"/>
      <c r="F257" s="10"/>
      <c r="G257" s="10"/>
      <c r="H257" s="10"/>
      <c r="I257" s="10"/>
      <c r="J257" s="10"/>
      <c r="K257" s="10"/>
      <c r="L257" s="10"/>
      <c r="M257" s="10"/>
      <c r="N257" s="10"/>
      <c r="O257" s="10"/>
    </row>
    <row r="258" spans="3:15" ht="17.100000000000001" customHeight="1" x14ac:dyDescent="0.2">
      <c r="D258" s="10"/>
      <c r="E258" s="10"/>
      <c r="F258" s="10"/>
      <c r="G258" s="10"/>
      <c r="H258" s="10"/>
      <c r="I258" s="10"/>
      <c r="J258" s="10"/>
      <c r="K258" s="10"/>
      <c r="L258" s="10"/>
      <c r="M258" s="10"/>
      <c r="N258" s="10"/>
      <c r="O258" s="10"/>
    </row>
    <row r="259" spans="3:15" ht="17.100000000000001" customHeight="1" x14ac:dyDescent="0.2">
      <c r="D259" s="10"/>
      <c r="E259" s="10"/>
      <c r="F259" s="10"/>
      <c r="G259" s="10"/>
      <c r="H259" s="10"/>
      <c r="I259" s="10"/>
      <c r="J259" s="10"/>
      <c r="K259" s="10"/>
      <c r="L259" s="10"/>
      <c r="M259" s="10"/>
      <c r="N259" s="10"/>
      <c r="O259" s="10"/>
    </row>
    <row r="260" spans="3:15" ht="17.100000000000001" customHeight="1" x14ac:dyDescent="0.2">
      <c r="D260" s="10"/>
      <c r="E260" s="10"/>
      <c r="F260" s="10"/>
      <c r="G260" s="10"/>
      <c r="H260" s="10"/>
      <c r="I260" s="10"/>
      <c r="J260" s="10"/>
      <c r="K260" s="10"/>
      <c r="L260" s="10"/>
      <c r="M260" s="10"/>
      <c r="N260" s="10"/>
      <c r="O260" s="10"/>
    </row>
    <row r="261" spans="3:15" ht="17.100000000000001" customHeight="1" x14ac:dyDescent="0.2">
      <c r="D261" s="10"/>
      <c r="E261" s="10"/>
      <c r="F261" s="10"/>
      <c r="G261" s="10"/>
      <c r="H261" s="10"/>
      <c r="I261" s="10"/>
      <c r="J261" s="10"/>
      <c r="K261" s="10"/>
      <c r="L261" s="10"/>
      <c r="M261" s="10"/>
      <c r="N261" s="10"/>
      <c r="O261" s="10"/>
    </row>
    <row r="262" spans="3:15" ht="17.100000000000001" customHeight="1" x14ac:dyDescent="0.2">
      <c r="D262" s="10"/>
      <c r="E262" s="10"/>
      <c r="F262" s="10"/>
      <c r="G262" s="10"/>
      <c r="H262" s="10"/>
      <c r="I262" s="10"/>
      <c r="J262" s="10"/>
      <c r="K262" s="10"/>
      <c r="L262" s="10"/>
      <c r="M262" s="10"/>
      <c r="N262" s="10"/>
      <c r="O262" s="10"/>
    </row>
    <row r="263" spans="3:15" ht="17.100000000000001" customHeight="1" x14ac:dyDescent="0.2">
      <c r="D263" s="10"/>
      <c r="E263" s="10"/>
      <c r="F263" s="10"/>
      <c r="G263" s="10"/>
      <c r="H263" s="10"/>
      <c r="I263" s="10"/>
      <c r="J263" s="10"/>
      <c r="K263" s="10"/>
      <c r="L263" s="10"/>
      <c r="M263" s="10"/>
      <c r="N263" s="10"/>
      <c r="O263" s="10"/>
    </row>
    <row r="264" spans="3:15" ht="17.100000000000001" customHeight="1" x14ac:dyDescent="0.2">
      <c r="D264" s="10"/>
      <c r="E264" s="10"/>
      <c r="F264" s="10"/>
      <c r="G264" s="10"/>
      <c r="H264" s="10"/>
      <c r="I264" s="10"/>
      <c r="J264" s="10"/>
      <c r="K264" s="10"/>
      <c r="L264" s="10"/>
      <c r="M264" s="10"/>
      <c r="N264" s="10"/>
      <c r="O264" s="10"/>
    </row>
    <row r="265" spans="3:15" ht="17.100000000000001" customHeight="1" x14ac:dyDescent="0.2">
      <c r="D265" s="10"/>
      <c r="E265" s="10"/>
      <c r="F265" s="10"/>
      <c r="G265" s="10"/>
      <c r="H265" s="10"/>
      <c r="I265" s="10"/>
      <c r="J265" s="10"/>
      <c r="K265" s="10"/>
      <c r="L265" s="10"/>
      <c r="M265" s="10"/>
      <c r="N265" s="10"/>
      <c r="O265" s="10"/>
    </row>
    <row r="266" spans="3:15" ht="17.100000000000001" customHeight="1" x14ac:dyDescent="0.2">
      <c r="D266" s="10"/>
      <c r="E266" s="10"/>
      <c r="F266" s="10"/>
      <c r="G266" s="10"/>
      <c r="H266" s="10"/>
      <c r="I266" s="10"/>
      <c r="J266" s="10"/>
      <c r="K266" s="10"/>
      <c r="L266" s="10"/>
      <c r="M266" s="10"/>
      <c r="N266" s="10"/>
      <c r="O266" s="10"/>
    </row>
    <row r="267" spans="3:15" ht="17.100000000000001" customHeight="1" x14ac:dyDescent="0.2">
      <c r="D267" s="10"/>
      <c r="E267" s="10"/>
      <c r="F267" s="10"/>
      <c r="G267" s="10"/>
      <c r="H267" s="10"/>
      <c r="I267" s="10"/>
      <c r="J267" s="10"/>
      <c r="K267" s="10"/>
      <c r="L267" s="10"/>
      <c r="M267" s="10"/>
      <c r="N267" s="10"/>
      <c r="O267" s="10"/>
    </row>
  </sheetData>
  <sheetProtection sheet="1" objects="1" scenarios="1"/>
  <mergeCells count="226">
    <mergeCell ref="BK43:BP43"/>
    <mergeCell ref="BK42:BP42"/>
    <mergeCell ref="BS42:BX42"/>
    <mergeCell ref="CF47:CH48"/>
    <mergeCell ref="CC47:CE48"/>
    <mergeCell ref="BY22:BZ23"/>
    <mergeCell ref="BM19:BN20"/>
    <mergeCell ref="EV11:EX11"/>
    <mergeCell ref="EM17:EM18"/>
    <mergeCell ref="DR22:DR23"/>
    <mergeCell ref="DP22:DQ23"/>
    <mergeCell ref="DE24:DE25"/>
    <mergeCell ref="DL24:DM25"/>
    <mergeCell ref="DN24:DN25"/>
    <mergeCell ref="CY42:DA43"/>
    <mergeCell ref="CO25:CX25"/>
    <mergeCell ref="DC22:DD23"/>
    <mergeCell ref="DK18:DK19"/>
    <mergeCell ref="DP18:DP19"/>
    <mergeCell ref="DT20:DU21"/>
    <mergeCell ref="DV20:DV21"/>
    <mergeCell ref="DL17:DM18"/>
    <mergeCell ref="CO16:CX16"/>
    <mergeCell ref="CO17:CX17"/>
    <mergeCell ref="FG23:FG24"/>
    <mergeCell ref="EC11:ED12"/>
    <mergeCell ref="EA14:EB15"/>
    <mergeCell ref="EU22:EV23"/>
    <mergeCell ref="EY24:EZ25"/>
    <mergeCell ref="FC26:FD27"/>
    <mergeCell ref="FG28:FH29"/>
    <mergeCell ref="EP20:EP21"/>
    <mergeCell ref="EY17:EZ18"/>
    <mergeCell ref="EQ20:ER21"/>
    <mergeCell ref="EX28:EZ29"/>
    <mergeCell ref="ET22:ET23"/>
    <mergeCell ref="FH22:FI23"/>
    <mergeCell ref="EX24:EX25"/>
    <mergeCell ref="FB26:FB27"/>
    <mergeCell ref="FF28:FF29"/>
    <mergeCell ref="EN24:EP25"/>
    <mergeCell ref="EF11:EF12"/>
    <mergeCell ref="EE20:EG21"/>
    <mergeCell ref="CC58:CH58"/>
    <mergeCell ref="BK58:BP58"/>
    <mergeCell ref="CC57:CH57"/>
    <mergeCell ref="BK48:BP48"/>
    <mergeCell ref="BS48:BX48"/>
    <mergeCell ref="BK49:BP49"/>
    <mergeCell ref="BS49:BX49"/>
    <mergeCell ref="BK54:BP54"/>
    <mergeCell ref="BS51:BX51"/>
    <mergeCell ref="BS57:BX57"/>
    <mergeCell ref="BS58:BX58"/>
    <mergeCell ref="BK51:BP51"/>
    <mergeCell ref="BS54:BX54"/>
    <mergeCell ref="BK52:BP52"/>
    <mergeCell ref="BS55:BX55"/>
    <mergeCell ref="CF52:CH53"/>
    <mergeCell ref="CF49:CH49"/>
    <mergeCell ref="CC49:CE49"/>
    <mergeCell ref="BK55:BP55"/>
    <mergeCell ref="BS52:BX52"/>
    <mergeCell ref="CC52:CE53"/>
    <mergeCell ref="BI63:BZ65"/>
    <mergeCell ref="BQ61:BR61"/>
    <mergeCell ref="BQ62:BR62"/>
    <mergeCell ref="D45:I46"/>
    <mergeCell ref="L45:Q46"/>
    <mergeCell ref="D48:I49"/>
    <mergeCell ref="L48:Q49"/>
    <mergeCell ref="B63:S65"/>
    <mergeCell ref="J62:K62"/>
    <mergeCell ref="J61:K61"/>
    <mergeCell ref="BK57:BP57"/>
    <mergeCell ref="L57:Q57"/>
    <mergeCell ref="D57:I57"/>
    <mergeCell ref="D58:I58"/>
    <mergeCell ref="L58:Q58"/>
    <mergeCell ref="BK45:BP46"/>
    <mergeCell ref="C4:R5"/>
    <mergeCell ref="D51:I52"/>
    <mergeCell ref="L51:Q52"/>
    <mergeCell ref="D54:I55"/>
    <mergeCell ref="L54:Q55"/>
    <mergeCell ref="F7:O8"/>
    <mergeCell ref="F32:O33"/>
    <mergeCell ref="F34:O35"/>
    <mergeCell ref="F30:O30"/>
    <mergeCell ref="F26:O26"/>
    <mergeCell ref="F29:O29"/>
    <mergeCell ref="F25:O25"/>
    <mergeCell ref="D42:I42"/>
    <mergeCell ref="L42:Q42"/>
    <mergeCell ref="L43:Q43"/>
    <mergeCell ref="D43:I43"/>
    <mergeCell ref="J39:K39"/>
    <mergeCell ref="F21:O21"/>
    <mergeCell ref="F9:O9"/>
    <mergeCell ref="J38:K38"/>
    <mergeCell ref="J40:K40"/>
    <mergeCell ref="F22:O23"/>
    <mergeCell ref="F28:O28"/>
    <mergeCell ref="F27:O27"/>
    <mergeCell ref="CI52:CK53"/>
    <mergeCell ref="CL52:CN53"/>
    <mergeCell ref="BT26:BU27"/>
    <mergeCell ref="CI47:CK48"/>
    <mergeCell ref="CL47:CN48"/>
    <mergeCell ref="CP42:CR43"/>
    <mergeCell ref="CS42:CU43"/>
    <mergeCell ref="CV42:CX43"/>
    <mergeCell ref="BS45:BX46"/>
    <mergeCell ref="CO30:CX30"/>
    <mergeCell ref="CC28:CL28"/>
    <mergeCell ref="CC29:CL29"/>
    <mergeCell ref="CO28:CX28"/>
    <mergeCell ref="CO29:CX29"/>
    <mergeCell ref="CC42:CE43"/>
    <mergeCell ref="CF42:CH43"/>
    <mergeCell ref="CI42:CK43"/>
    <mergeCell ref="CL42:CN43"/>
    <mergeCell ref="CI49:CK49"/>
    <mergeCell ref="CL49:CN49"/>
    <mergeCell ref="BS43:BX43"/>
    <mergeCell ref="CO26:CX26"/>
    <mergeCell ref="CO19:CX19"/>
    <mergeCell ref="CO20:CX20"/>
    <mergeCell ref="CO21:CX21"/>
    <mergeCell ref="AV20:AX21"/>
    <mergeCell ref="BG20:BG21"/>
    <mergeCell ref="EY7:FA7"/>
    <mergeCell ref="FC7:FE7"/>
    <mergeCell ref="EW17:EX18"/>
    <mergeCell ref="DN17:DO18"/>
    <mergeCell ref="FA18:FA19"/>
    <mergeCell ref="FA9:FC9"/>
    <mergeCell ref="EV18:EV19"/>
    <mergeCell ref="EJ14:EK15"/>
    <mergeCell ref="EN17:EO18"/>
    <mergeCell ref="DZ17:DZ18"/>
    <mergeCell ref="EI14:EI15"/>
    <mergeCell ref="EQ9:ES9"/>
    <mergeCell ref="EE11:EE12"/>
    <mergeCell ref="EG11:EG12"/>
    <mergeCell ref="DP10:DQ10"/>
    <mergeCell ref="DP14:DQ14"/>
    <mergeCell ref="EC14:EC15"/>
    <mergeCell ref="EC8:EI10"/>
    <mergeCell ref="EH11:EI12"/>
    <mergeCell ref="DX17:DY18"/>
    <mergeCell ref="EO7:EQ7"/>
    <mergeCell ref="ES7:EU7"/>
    <mergeCell ref="AT4:AU4"/>
    <mergeCell ref="AY4:AZ4"/>
    <mergeCell ref="BP7:BR7"/>
    <mergeCell ref="BT7:BV7"/>
    <mergeCell ref="BR9:BT9"/>
    <mergeCell ref="AR14:AT15"/>
    <mergeCell ref="AU14:AU15"/>
    <mergeCell ref="AV14:AX15"/>
    <mergeCell ref="AZ14:AZ15"/>
    <mergeCell ref="BA14:BB15"/>
    <mergeCell ref="BR15:BT15"/>
    <mergeCell ref="EC4:ED4"/>
    <mergeCell ref="EH4:EI4"/>
    <mergeCell ref="EE14:EG15"/>
    <mergeCell ref="DL28:DN29"/>
    <mergeCell ref="DU24:DW25"/>
    <mergeCell ref="DH26:DI27"/>
    <mergeCell ref="DD28:DE29"/>
    <mergeCell ref="DJ26:DJ27"/>
    <mergeCell ref="DF28:DF29"/>
    <mergeCell ref="DI11:DJ11"/>
    <mergeCell ref="DP6:DQ6"/>
    <mergeCell ref="DG6:DI6"/>
    <mergeCell ref="DJ6:DL6"/>
    <mergeCell ref="DJ7:DL7"/>
    <mergeCell ref="U28:V29"/>
    <mergeCell ref="W28:W29"/>
    <mergeCell ref="AC28:AE29"/>
    <mergeCell ref="BO28:BQ29"/>
    <mergeCell ref="BW28:BW29"/>
    <mergeCell ref="BX28:BY29"/>
    <mergeCell ref="V24:V25"/>
    <mergeCell ref="AC24:AD26"/>
    <mergeCell ref="AE24:AE26"/>
    <mergeCell ref="AL24:AN25"/>
    <mergeCell ref="BE24:BG25"/>
    <mergeCell ref="BO24:BO25"/>
    <mergeCell ref="BP24:BQ25"/>
    <mergeCell ref="Y26:Z27"/>
    <mergeCell ref="AA26:AA27"/>
    <mergeCell ref="BX23:BX24"/>
    <mergeCell ref="BS26:BS27"/>
    <mergeCell ref="BL21:BM23"/>
    <mergeCell ref="BK22:BK23"/>
    <mergeCell ref="AG19:AH21"/>
    <mergeCell ref="AI20:AJ21"/>
    <mergeCell ref="AK20:AL21"/>
    <mergeCell ref="AM20:AM21"/>
    <mergeCell ref="BK19:BL20"/>
    <mergeCell ref="AF21:AF23"/>
    <mergeCell ref="AJ22:AJ23"/>
    <mergeCell ref="AG23:AH24"/>
    <mergeCell ref="AI23:AI24"/>
    <mergeCell ref="T22:U23"/>
    <mergeCell ref="AT8:AZ10"/>
    <mergeCell ref="DG14:DH14"/>
    <mergeCell ref="DI14:DJ14"/>
    <mergeCell ref="DI10:DJ10"/>
    <mergeCell ref="DG10:DH10"/>
    <mergeCell ref="BP13:BR13"/>
    <mergeCell ref="BT13:BV13"/>
    <mergeCell ref="BH20:BI21"/>
    <mergeCell ref="BJ20:BJ21"/>
    <mergeCell ref="BO20:BO21"/>
    <mergeCell ref="AT11:AV12"/>
    <mergeCell ref="AW11:AW12"/>
    <mergeCell ref="AX11:AX12"/>
    <mergeCell ref="AY11:AZ12"/>
    <mergeCell ref="AO17:AP18"/>
    <mergeCell ref="AQ17:AQ18"/>
    <mergeCell ref="BD17:BD18"/>
    <mergeCell ref="BE17:BF18"/>
    <mergeCell ref="BR18:BT18"/>
  </mergeCells>
  <phoneticPr fontId="39" type="noConversion"/>
  <conditionalFormatting sqref="BJ44:BX44">
    <cfRule type="expression" dxfId="5835" priority="718">
      <formula>$BS$44="A C T I V E"</formula>
    </cfRule>
  </conditionalFormatting>
  <conditionalFormatting sqref="D45:I46">
    <cfRule type="expression" dxfId="5834" priority="55346">
      <formula>$E$56=1</formula>
    </cfRule>
    <cfRule type="expression" dxfId="5833" priority="55347">
      <formula>$E$56&gt;=2</formula>
    </cfRule>
  </conditionalFormatting>
  <conditionalFormatting sqref="D48:I49">
    <cfRule type="expression" dxfId="5832" priority="55348">
      <formula>$E$56=2</formula>
    </cfRule>
    <cfRule type="expression" dxfId="5831" priority="55349">
      <formula>$E$56&gt;=3</formula>
    </cfRule>
  </conditionalFormatting>
  <conditionalFormatting sqref="D51:I52">
    <cfRule type="expression" dxfId="5830" priority="55350">
      <formula>$E$56=3</formula>
    </cfRule>
    <cfRule type="expression" dxfId="5829" priority="55351">
      <formula>$E$56&gt;=4</formula>
    </cfRule>
  </conditionalFormatting>
  <conditionalFormatting sqref="D54:I55">
    <cfRule type="expression" dxfId="5828" priority="55352">
      <formula>$E$56&gt;=4</formula>
    </cfRule>
  </conditionalFormatting>
  <conditionalFormatting sqref="BK45:BP46">
    <cfRule type="expression" dxfId="5827" priority="1">
      <formula>$BK$49=0</formula>
    </cfRule>
    <cfRule type="expression" dxfId="5826" priority="55353">
      <formula>$BK$45="A C T I V E"</formula>
    </cfRule>
    <cfRule type="expression" dxfId="5825" priority="55354">
      <formula>AND($E$56&gt;=1,$BK$49&gt;=1,,$BK$45="I N A C T I V E")</formula>
    </cfRule>
  </conditionalFormatting>
  <conditionalFormatting sqref="L45:Q46">
    <cfRule type="expression" dxfId="5824" priority="55896">
      <formula>AND($E$56&lt;&gt;0,$L$58=$CG$1)</formula>
    </cfRule>
  </conditionalFormatting>
  <conditionalFormatting sqref="L48:Q49">
    <cfRule type="expression" dxfId="5823" priority="55897">
      <formula>AND($E$56&lt;&gt;0,$L$58=$CG$2)</formula>
    </cfRule>
  </conditionalFormatting>
  <conditionalFormatting sqref="L51:Q52">
    <cfRule type="expression" dxfId="5822" priority="55898">
      <formula>AND($E$56&lt;&gt;0,$L$58=$CG$3)</formula>
    </cfRule>
  </conditionalFormatting>
  <conditionalFormatting sqref="L54:Q55">
    <cfRule type="expression" dxfId="5821" priority="55899">
      <formula>AND($E$56&lt;&gt;0,$L$58=$CG$4)</formula>
    </cfRule>
  </conditionalFormatting>
  <conditionalFormatting sqref="BS45:BX46">
    <cfRule type="expression" dxfId="5820" priority="2">
      <formula>AND($BS$49&lt;&gt;$DD$53,$BS$52&lt;&gt;$DD$52,$BS$55&lt;&gt;$DD$51)</formula>
    </cfRule>
  </conditionalFormatting>
  <dataValidations count="69">
    <dataValidation allowBlank="1" showInputMessage="1" showErrorMessage="1" promptTitle="Gameplan created by Toby Lawson" prompt="For any:_x000a_• comments _x000a_• questions_x000a_• feedback_x000a_• bugs_x000a__x000a_Email:_x000a_tobymlawson@gmail.com" sqref="C4:R5" xr:uid="{CFF65222-5040-4189-83BC-A0B169854AFA}"/>
    <dataValidation allowBlank="1" showInputMessage="1" showErrorMessage="1" promptTitle="Gameplan Number" prompt="The total gameplans done since starting a new game." sqref="F7:O8" xr:uid="{4971619E-C86E-41E4-9F39-E5E7A408EFA1}"/>
    <dataValidation allowBlank="1" showInputMessage="1" showErrorMessage="1" promptTitle="Game Mode" prompt="NG is New Game_x000a_NG+ is New Game Plus_x000a_etc." sqref="F32:O33" xr:uid="{3F0BB6A2-90D7-4709-895B-098E5A0D7590}"/>
    <dataValidation allowBlank="1" showInputMessage="1" showErrorMessage="1" promptTitle="Current Difficult Level" prompt="From easiest to hardest:_x000a_Casual_x000a_Normal_x000a_Intense_x000a_Extreme" sqref="F34:O35" xr:uid="{4ABED861-A9CE-4683-AD2A-212C86EC6EEA}"/>
    <dataValidation allowBlank="1" showInputMessage="1" showErrorMessage="1" promptTitle="Start Date" prompt="Current playthrough" sqref="F29:O30" xr:uid="{ACA16D78-1C58-4D42-A853-3319A931042C}"/>
    <dataValidation allowBlank="1" showInputMessage="1" showErrorMessage="1" promptTitle="Total Time" prompt="Current playthrough." sqref="F27:O28" xr:uid="{84304ABC-74F7-42F3-820E-6770F044D3B3}"/>
    <dataValidation allowBlank="1" showInputMessage="1" showErrorMessage="1" promptTitle="Active or Inactive" prompt="Whether this month is in progress or completed." sqref="BQ45:BQ46" xr:uid="{DFAE552E-C341-4A39-B54C-A1FCF70BFF77}"/>
    <dataValidation allowBlank="1" showInputMessage="1" showErrorMessage="1" prompt="Enter first name." sqref="BS49" xr:uid="{107A1644-6EB9-47B4-A8DB-8C34DD4B2D65}"/>
    <dataValidation allowBlank="1" showInputMessage="1" showErrorMessage="1" prompt="Enter surname." sqref="BS55" xr:uid="{8BA7C5B6-E5BB-409E-99BB-C7AD21890574}"/>
    <dataValidation allowBlank="1" showInputMessage="1" showErrorMessage="1" promptTitle="Playthrough" prompt="Select from dropdown list._x000a__x000a_Apply only when starting a new playthrough." sqref="D57:I57" xr:uid="{B2710A93-E039-44B4-BDEE-6A21EC9C610C}"/>
    <dataValidation allowBlank="1" showInputMessage="1" showErrorMessage="1" promptTitle="New Game" prompt="First playthrough." sqref="D45:I46" xr:uid="{F325B8A5-3FFF-482A-9D34-476E38F096A3}"/>
    <dataValidation allowBlank="1" showInputMessage="1" showErrorMessage="1" promptTitle="New Game Plus" prompt="Second playthrough." sqref="D48:I49" xr:uid="{32D43A7A-10CC-4672-8072-FB5FE0D04883}"/>
    <dataValidation allowBlank="1" showInputMessage="1" showErrorMessage="1" promptTitle="New Game Plus Plus" prompt="Third playthrough." sqref="D51:I52" xr:uid="{9ABD2F3C-AA19-4C81-B9C5-9900BA62C6CF}"/>
    <dataValidation allowBlank="1" showInputMessage="1" showErrorMessage="1" promptTitle="New Game Plus Plus Plus [No.]" prompt="Forth playthrough._x000a_[then fifth and above playthroughs]" sqref="D54:I55" xr:uid="{EA932E96-5B77-4AAB-8D98-D012360D21EC}"/>
    <dataValidation allowBlank="1" showInputMessage="1" showErrorMessage="1" promptTitle="Player" prompt="Enter player name and playthrough start date below." sqref="BS42:BS43" xr:uid="{1635CB66-C63E-42B4-873C-B7F52662183E}"/>
    <dataValidation allowBlank="1" showInputMessage="1" showErrorMessage="1" promptTitle="Gameplan" prompt="Enter gameplan number, year and month below." sqref="BK42:BK43" xr:uid="{EBBF5ECA-735C-408B-AC00-44BD88F5F0FC}"/>
    <dataValidation allowBlank="1" showInputMessage="1" showErrorMessage="1" promptTitle="Player Initials" prompt="Taken from names entered." sqref="BS45:BX46" xr:uid="{BEE89564-F8FB-493A-A766-06BAF9E024E0}"/>
    <dataValidation allowBlank="1" showInputMessage="1" showErrorMessage="1" promptTitle="Gameplan Status" prompt="Active = the current month is ongoing._x000a_Inactive = the current month is complete / new month has not yet been entered." sqref="BK45:BP46" xr:uid="{708D32A9-5A58-438D-ACBB-1C5995390FFC}"/>
    <dataValidation allowBlank="1" showInputMessage="1" showErrorMessage="1" promptTitle="Casual Difficulty" prompt="For a calm and easy-going playthrough._x000a__x000a_Life hearts are rewarded generously and penalties are mild._x000a_" sqref="L45:Q46" xr:uid="{BA64CB4A-F2A1-418C-AA0C-E537F8C2584A}"/>
    <dataValidation allowBlank="1" showInputMessage="1" showErrorMessage="1" promptTitle="Normal Difficulty" prompt="For a challenging but balanced playthrough._x000a__x000a_Life hearts are rewarded fairly and penalties are reasonable._x000a_" sqref="L48:Q49" xr:uid="{F414C71D-0CAE-42FF-9B20-B045C2FC828C}"/>
    <dataValidation allowBlank="1" showInputMessage="1" showErrorMessage="1" promptTitle="Intense Difficulty" prompt="For a taxing playthrough requiring greater effort._x000a__x000a_Life hearts are rewarded less frequently and penalties are more severe." sqref="L51:Q52" xr:uid="{31974AB4-04F8-4CF3-9CBC-A681061C368A}"/>
    <dataValidation allowBlank="1" showInputMessage="1" showErrorMessage="1" promptTitle="Extreme Difficulty" prompt="For a playthrough that pushes to the limits._x000a__x000a_Life hearts are rewarded sparsely and penalties are harsh._x000a_" sqref="L54:Q55" xr:uid="{89AFB57C-B115-406E-BEFA-EDD35D5ABD3A}"/>
    <dataValidation allowBlank="1" showInputMessage="1" showErrorMessage="1" promptTitle="Difficulty" prompt="Select from dropdown list._x000a__x000a_Recommended to change only at the beginning of each month. " sqref="L57:Q57" xr:uid="{7E442E8A-E44A-4E66-8B81-654EEF076C8C}"/>
    <dataValidation allowBlank="1" showInputMessage="1" showErrorMessage="1" promptTitle="^" prompt="This is the start sheet and tutorial._x000a_ _x000a_Here you can:_x000a_• select playthrough and difficulty_x000a_• input gameplan number, year and month_x000a_• follow tutorials for new game or monthly changeover_x000a__x000a_Select individual cells for specific information and instructions._x000a_" sqref="CA1" xr:uid="{86DE100C-E2A2-4D52-93DB-CA361777263A}"/>
    <dataValidation allowBlank="1" showInputMessage="1" showErrorMessage="1" promptTitle="LVL" prompt="Overall level number from combined total of skill levels." sqref="F21:O23" xr:uid="{CF064014-1631-4A64-88D5-D927BBD3AD6C}"/>
    <dataValidation allowBlank="1" showInputMessage="1" showErrorMessage="1" promptTitle="Gameplan Complete" prompt="Marked as complete once the month is over. " sqref="F9:O9" xr:uid="{3453A663-F584-4732-80C3-B17C07332806}"/>
    <dataValidation allowBlank="1" showInputMessage="1" showErrorMessage="1" promptTitle="Day Number" prompt="Days passed since starting current playthrough." sqref="F25:O26" xr:uid="{9B0CBA48-67B7-4AB7-8A1D-B17E00338DCB}"/>
    <dataValidation allowBlank="1" showInputMessage="1" showErrorMessage="1" promptTitle=" HUD = Overview" prompt=" LOGS = Journal           PLANS = Calendar_x000a_ NOTES = Ideas            TIMINGS = Schedule_x000a__x000a_ MISSIONS = Tasks_x000a_ ACTIONS = Input_x000a_ PROGRESS = Output_x000a_ JOURNEY = Status_x000a__x000a_ BOUNTY = Rewards   MONEY = Finance_x000a_ VICTORY = Success    RESPITE = Media_x000a_ GUIDE = History" sqref="A1" xr:uid="{57FA3447-9D72-4B41-97B5-E0360A4D67D2}"/>
    <dataValidation type="list" showInputMessage="1" showErrorMessage="1" prompt="Select difficutly level" sqref="L58:Q58" xr:uid="{518AEB45-4A64-465D-A3EF-2C383268DF52}">
      <formula1>$CG$1:$CG$4</formula1>
    </dataValidation>
    <dataValidation type="list" allowBlank="1" showInputMessage="1" prompt="Select number" sqref="BK49:BP49" xr:uid="{5C183798-37C9-461C-A5FB-DC423906834B}">
      <formula1>$CR$49</formula1>
    </dataValidation>
    <dataValidation type="list" allowBlank="1" showInputMessage="1" showErrorMessage="1" sqref="FK6 FO6" xr:uid="{D3168D29-4F76-43C2-94D3-6B7947993131}">
      <formula1>$FQ$5:$FQ$7</formula1>
    </dataValidation>
    <dataValidation allowBlank="1" showInputMessage="1" showErrorMessage="1" promptTitle="LVL" prompt="LVL 414+:_x000a_Gameplan complete as target LVL achieved." sqref="AN46" xr:uid="{19CDC9EE-8483-49BE-9B27-A4C33D85A508}"/>
    <dataValidation allowBlank="1" showInputMessage="1" showErrorMessage="1" promptTitle="HP14 + LVL + XP" prompt="Max HP of 14 hit this month._x000a__x000a_Higher LVL, higher height._x000a__x000a_Left side = Mind XP higher this month._x000a_Right side = Body XP higher this month._x000a__x000a_Alternative small tent LVL 414+:_x000a_Far left side = Mind XP higher overall._x000a_Far right side = Body XP higher overall." sqref="AH52" xr:uid="{3D1561A3-7618-4BAE-B717-944694303C77}"/>
    <dataValidation allowBlank="1" showInputMessage="1" showErrorMessage="1" promptTitle="HP10 + LVL + XP" prompt="Max HP of 10 hit this month._x000a__x000a_Higher LVL, higher height._x000a__x000a_Left side = Mind XP higher this month._x000a_Right side = Body XP higher this month." sqref="AJ50" xr:uid="{E6E3D062-35AF-4721-B524-F7EF5067CBF9}"/>
    <dataValidation allowBlank="1" showInputMessage="1" showErrorMessage="1" promptTitle="LVL + XP" prompt="The higher LVL, the higher height, starting at LVL 50._x000a__x000a_Left side = Mind XP higher this month._x000a_Right side = Body XP higher this month._x000a__x000a_Additional small flag:_x000a_Far left side = Mind XP higher overall._x000a_Far right side = Body XP higher overall." sqref="AL48" xr:uid="{7285D098-3343-447D-A70E-22E84E1633C6}"/>
    <dataValidation allowBlank="1" showInputMessage="1" showErrorMessage="1" promptTitle=" ♥ = 0 + LVL + XP" prompt="All life hearts have been lost. _x000a__x000a_Higher LVL, higher height._x000a__x000a_Left side = Mind XP higher this month._x000a_Right side = Body XP higher this month." sqref="AF54" xr:uid="{1EB30A72-98E3-4F6E-AE78-9F9BC42CEB04}"/>
    <dataValidation allowBlank="1" showInputMessage="1" showErrorMessage="1" promptTitle="LVL + XP" prompt="Higher LVL, higher height._x000a__x000a_Mind XP and Body XP are equal for the month._x000a__x000a_Alternative small flames on the far sides:_x000a_Mind XP and Body XP are equal overall. " sqref="AL52" xr:uid="{7EA6A69D-8265-4BEA-A8CE-F6451A7C8A91}"/>
    <dataValidation allowBlank="1" showInputMessage="1" showErrorMessage="1" promptTitle=" ♥ = 0 + LVL + XP" prompt="All life hearts have been lost. _x000a__x000a_Higher LVL, higher height._x000a__x000a_Mind XP and Body XP are equal for the month._x000a__x000a_Alternative small swords on the far sides LVL 414+:_x000a_Mind XP and Body XP are equal overall. " sqref="AN50" xr:uid="{93119D66-E8AD-4F56-8BA6-80E04A67A488}"/>
    <dataValidation allowBlank="1" showInputMessage="1" showErrorMessage="1" promptTitle="XP" prompt="LVL 414+:_x000a_Left side = Mind XP higher this month._x000a_Right side = Body XP higher this month._x000a_Both sides = Mind XP and Body XP are equal for the month." sqref="AP48" xr:uid="{C56AAB46-2226-4DE8-8AAD-606BF397B5AE}"/>
    <dataValidation allowBlank="1" showInputMessage="1" showErrorMessage="1" promptTitle="HP10 + XP" prompt="LVL 414+:_x000a_Max HP of 10 hit this month._x000a__x000a_Left side = Mind XP higher overall._x000a_Right side = Body XP higher overall." sqref="AR50" xr:uid="{AA6BE2F3-F2BC-47C6-936B-376306560602}"/>
    <dataValidation allowBlank="1" showInputMessage="1" showErrorMessage="1" promptTitle="HP14 + XP" prompt="LVL 414+:_x000a_Max HP of 14 hit this month._x000a__x000a_Left side = Mind XP higher overall._x000a_Right side = Body XP higher overall." sqref="AT52" xr:uid="{98207ADB-A612-4F10-93C6-B1E485AEC74F}"/>
    <dataValidation allowBlank="1" showInputMessage="1" showErrorMessage="1" promptTitle="XP" prompt="LVL 414+:_x000a_Mind XP and Body XP are equal overall." sqref="AP52" xr:uid="{CA8BB8B5-977D-4DC7-ABB2-C79067670884}"/>
    <dataValidation allowBlank="1" showInputMessage="1" showErrorMessage="1" promptTitle=" ♥ = 0 + XP" prompt="LVL 414+:_x000a_All life hearts have been lost. _x000a__x000a_Left side = Mind XP higher overall._x000a_Right side = Body XP higher overall. " sqref="AV54" xr:uid="{F7E3C998-E99B-4B43-8463-94E2E1237B28}"/>
    <dataValidation allowBlank="1" showInputMessage="1" showErrorMessage="1" promptTitle="Reward Chest" prompt="Reward chest funds are available to be used._x000a__x000a_Left side = Mind XP higher overall._x000a_Right side = Body XP higher overall._x000a_Both sides = Mind XP and Body XP are equal overall." sqref="AN54" xr:uid="{0762F442-4976-4C67-A3AC-58154D710D8E}"/>
    <dataValidation allowBlank="1" showInputMessage="1" showErrorMessage="1" promptTitle="Birthday + LVL + XP" prompt="Birthday! A gift is available in the merchant!_x000a__x000a_Higher LVL, higher height._x000a__x000a_Left side = Mind XP higher this month._x000a_Right side = Body XP higher this month._x000a__x000a_LVL 414+:_x000a_Left side = Mind XP higher overall._x000a_Right side = Body XP higher overall." sqref="AJ54" xr:uid="{5894F411-F9D4-4724-A18D-C6229C4B23DB}"/>
    <dataValidation allowBlank="1" showInputMessage="1" showErrorMessage="1" promptTitle="Christmas + LVL + XP" prompt="Christmas! A gift is available in the merchant!_x000a__x000a_Higher LVL, higher height._x000a__x000a_Left side = Mind XP higher this month._x000a_Right side = Body XP higher this month._x000a__x000a_LVL 414+:_x000a_Left side = Mind XP higher overall._x000a_Right side = Body XP higher overall." sqref="AR54" xr:uid="{E910A082-F0FA-41A2-A878-EA1C901AC3FD}"/>
    <dataValidation allowBlank="1" showInputMessage="1" showErrorMessage="1" promptTitle="MAP" prompt="Select the symbol at the top left of each sheet for an overview of the flow of the gameplan." sqref="X57" xr:uid="{A1A7A3C9-726B-4EA1-9FD3-9AAFF2F09CBF}"/>
    <dataValidation allowBlank="1" showInputMessage="1" showErrorMessage="1" promptTitle="INFO" prompt="Select the symbol at the top right of each sheet for information on the purpose and aim of that sheet. _x000a__x000a_Select individual cells within each sheet for specific information and instructions._x000a_" sqref="BC42:BD42" xr:uid="{406F545B-5F6F-443C-A52C-B6D9456CF2FE}"/>
    <dataValidation allowBlank="1" showInputMessage="1" showErrorMessage="1" promptTitle="The Mountain" prompt="Guide for the dynamic symbols appearing on the mountain image._x000a__x000a_Select each symbol for details of its meaning. " sqref="AG54:AI54 AI51:AK52 AK54:AM54 AM51:AO52 AL51 AK49:AM50 AM47:AO48 AS53:AU54 AO54:AQ54 AG53:AR53 AQ51:AS52 AP51 AO49:AQ50 AN49" xr:uid="{F2099406-EA1C-488F-ADC7-3EDA13E76BBA}"/>
    <dataValidation allowBlank="1" showInputMessage="1" showErrorMessage="1" promptTitle="Player" prompt="Forename" sqref="BS48:BX48" xr:uid="{ADA7D9D0-2174-4334-88D1-D51B352D61E6}"/>
    <dataValidation allowBlank="1" showInputMessage="1" showErrorMessage="1" promptTitle="Player" prompt="Middle name" sqref="BS51:BX51" xr:uid="{D6228CFF-41F3-4D38-AE1C-243ACF16E0D1}"/>
    <dataValidation allowBlank="1" showInputMessage="1" showErrorMessage="1" promptTitle="Player" prompt="Surname" sqref="BS54:BX54" xr:uid="{D613C3A7-CDE7-4434-85AC-34AB45549354}"/>
    <dataValidation allowBlank="1" showInputMessage="1" showErrorMessage="1" promptTitle="Start Date" prompt="Beginning of this playthrough of the gameplan." sqref="BK57:BP57" xr:uid="{3AE32B6B-8E20-4FA7-9AE5-5DBEFD7AF9FD}"/>
    <dataValidation allowBlank="1" showInputMessage="1" showErrorMessage="1" promptTitle="Gameplan" prompt="Number" sqref="BK48:BP48" xr:uid="{3981FDFF-D678-46DD-99CA-319425164D4D}"/>
    <dataValidation allowBlank="1" showInputMessage="1" showErrorMessage="1" promptTitle="Gameplan" prompt="Year" sqref="BK54:BP54" xr:uid="{05E2D534-3A10-4E7D-87B0-9A93ADCA8B46}"/>
    <dataValidation allowBlank="1" showInputMessage="1" showErrorMessage="1" promptTitle="Gameplan" prompt="Month" sqref="BK51:BP51" xr:uid="{BA930626-4615-4CF8-992D-B36E69103AD6}"/>
    <dataValidation allowBlank="1" showInputMessage="1" showErrorMessage="1" promptTitle="Help" prompt="Select cells to get help messages and tutorials for the various gameplan elements._x000a__x000a_To begin: _x000a_• select MAP or the symbol to the top left of this section_x000a_• select INFO or the symbol to the top right of this section" sqref="X58:Y58 BC58:BD58" xr:uid="{DA50CAA4-1C05-4B9F-A81B-4444DAE91470}"/>
    <dataValidation allowBlank="1" showInputMessage="1" showErrorMessage="1" promptTitle="MAP" prompt="Select the symbol at the top left of each sheet for an overview of the flow of the gameplan._x000a__x000a_Select individual cells within each sheet for specific information and instructions." sqref="X42:Y42" xr:uid="{68CF80B6-B9C9-455D-A034-430CF88CCE0A}"/>
    <dataValidation allowBlank="1" showInputMessage="1" showErrorMessage="1" promptTitle="Tutorial" prompt="Read below for greater detail on the fundamental elements of the gameplan. " sqref="X64:AA64" xr:uid="{CD0F9BE3-84A4-4FAC-8900-503BCD393F4D}"/>
    <dataValidation allowBlank="1" showInputMessage="1" showErrorMessage="1" promptTitle="Theory" prompt="Read below for a greater insight into the thought process at the core of the gameplan. " sqref="BA64:BD64" xr:uid="{B5DCF113-AA6F-4948-A57C-6BDAA26462F7}"/>
    <dataValidation type="date" allowBlank="1" showInputMessage="1" showErrorMessage="1" prompt="Enter a date" sqref="BS58:BX58" xr:uid="{8DDE7365-FD7E-4366-9096-C49A8F37E19D}">
      <formula1>1</formula1>
      <formula2>$CC$29</formula2>
    </dataValidation>
    <dataValidation allowBlank="1" showInputMessage="1" showErrorMessage="1" promptTitle="Player" prompt="Date of Birth" sqref="BS57:BX57" xr:uid="{AF2A5226-E6EF-4DA3-8954-EDF6EB5FC16F}"/>
    <dataValidation allowBlank="1" showInputMessage="1" showErrorMessage="1" promptTitle="Difficulty" prompt="Select from dropdown list below._x000a__x000a_Recommended to change only at the beginning of each month. " sqref="L42:Q43" xr:uid="{9059C0E7-9F65-4BBE-8037-56AC2A26AA15}"/>
    <dataValidation allowBlank="1" showInputMessage="1" showErrorMessage="1" promptTitle="Playthrough" prompt="Select from dropdown list below._x000a__x000a_Apply only when starting a new playthrough." sqref="D42:I43" xr:uid="{0F982B31-0945-4431-BCA5-EB4C81E5F5DD}"/>
    <dataValidation type="list" allowBlank="1" showInputMessage="1" showErrorMessage="1" prompt="Select playthrough number" sqref="D58:I58" xr:uid="{4351CA52-4877-4689-A794-54AB1B86DBA2}">
      <formula1>$CC$1:$CC$9</formula1>
    </dataValidation>
    <dataValidation type="list" allowBlank="1" showInputMessage="1" prompt="Select year" sqref="BK55:BP55" xr:uid="{5379C208-0CBF-49C5-B6AB-B4B12835106F}">
      <formula1>$CR$55</formula1>
    </dataValidation>
    <dataValidation type="list" allowBlank="1" showInputMessage="1" prompt="Select month" sqref="BK52:BP52" xr:uid="{D637CD0E-6C63-4052-A8C1-5B367EBAA820}">
      <formula1>$CR$52</formula1>
    </dataValidation>
    <dataValidation type="list" allowBlank="1" showInputMessage="1" sqref="BK58:BP58" xr:uid="{BD032473-D3BC-4E7C-B825-E2798B5F409C}">
      <formula1>$CR$58</formula1>
    </dataValidation>
    <dataValidation allowBlank="1" showInputMessage="1" showErrorMessage="1" prompt="Enter middle name (or leave blank)." sqref="BS52:BX52" xr:uid="{13F1EF42-1C11-44E5-9FE1-694F754E09E0}"/>
  </dataValidations>
  <printOptions horizontalCentered="1" verticalCentered="1" gridLines="1"/>
  <pageMargins left="0.39370078740157483" right="0.39370078740157483" top="0.39370078740157483" bottom="0.39370078740157483" header="0" footer="0"/>
  <pageSetup paperSize="9" scale="50" fitToWidth="0" fitToHeight="0" orientation="landscape" r:id="rId1"/>
  <headerFooter>
    <oddHeader>&amp;C&amp;"Lucida Console,Bold"GAMEPLAN</oddHeader>
  </headerFooter>
  <drawing r:id="rId2"/>
  <extLst>
    <ext xmlns:x14="http://schemas.microsoft.com/office/spreadsheetml/2009/9/main" uri="{78C0D931-6437-407d-A8EE-F0AAD7539E65}">
      <x14:conditionalFormattings>
        <x14:conditionalFormatting xmlns:xm="http://schemas.microsoft.com/office/excel/2006/main">
          <x14:cfRule type="expression" priority="724" id="{420E83A0-B3F4-46D6-AA3C-7107E9254E12}">
            <xm:f>PLANS!$F$3="JULY"</xm:f>
            <x14:dxf>
              <font>
                <color rgb="FFFF6600"/>
              </font>
            </x14:dxf>
          </x14:cfRule>
          <x14:cfRule type="expression" priority="725" id="{EEB5B30E-2458-42BC-9688-1818411C64D6}">
            <xm:f>PLANS!$F$3="JUNE"</xm:f>
            <x14:dxf>
              <font>
                <color rgb="FFFFC000"/>
              </font>
            </x14:dxf>
          </x14:cfRule>
          <x14:cfRule type="expression" priority="726" id="{475E73EB-9F4C-4D96-9097-63A6A04608B3}">
            <xm:f>PLANS!$F$3="MAY"</xm:f>
            <x14:dxf>
              <font>
                <color rgb="FFEBE600"/>
              </font>
            </x14:dxf>
          </x14:cfRule>
          <x14:cfRule type="expression" priority="727" id="{0C679DF4-3AB0-4185-ADF4-51ADACB4415A}">
            <xm:f>PLANS!$F$3="APRIL"</xm:f>
            <x14:dxf>
              <font>
                <color rgb="FF92D050"/>
              </font>
            </x14:dxf>
          </x14:cfRule>
          <x14:cfRule type="expression" priority="728" id="{64F4F1EE-69F8-4DF8-BC2F-8B8E6B42E628}">
            <xm:f>PLANS!$F$3="MARCH"</xm:f>
            <x14:dxf>
              <font>
                <color rgb="FF00B050"/>
              </font>
            </x14:dxf>
          </x14:cfRule>
          <x14:cfRule type="expression" priority="729" id="{9AD8AE4C-1A38-4318-97BC-467D2834AF9A}">
            <xm:f>PLANS!$F$3="FEBRUARY"</xm:f>
            <x14:dxf>
              <font>
                <color rgb="FF00B0F0"/>
              </font>
            </x14:dxf>
          </x14:cfRule>
          <x14:cfRule type="expression" priority="730" id="{A36544B2-6EA3-46B3-B703-193CE149F358}">
            <xm:f>PLANS!$F$3="JANUARY"</xm:f>
            <x14:dxf>
              <font>
                <color rgb="FF0070C0"/>
              </font>
            </x14:dxf>
          </x14:cfRule>
          <x14:cfRule type="expression" priority="731" id="{E86F356E-4AD8-4DDA-98B8-86E77225C020}">
            <xm:f>PLANS!$F$3="DECEMBER"</xm:f>
            <x14:dxf>
              <font>
                <color rgb="FF6600CC"/>
              </font>
            </x14:dxf>
          </x14:cfRule>
          <x14:cfRule type="expression" priority="732" id="{6F70252F-9D24-464D-83C8-17653F1178E1}">
            <xm:f>PLANS!$F$3="NOVEMBER"</xm:f>
            <x14:dxf>
              <font>
                <color rgb="FF9900CC"/>
              </font>
            </x14:dxf>
          </x14:cfRule>
          <x14:cfRule type="expression" priority="733" id="{63E93B54-A1BE-4069-BA40-D1ED9838E981}">
            <xm:f>PLANS!$F$3="OCTOBER"</xm:f>
            <x14:dxf>
              <font>
                <color rgb="FFFF00FF"/>
              </font>
            </x14:dxf>
          </x14:cfRule>
          <x14:cfRule type="expression" priority="734" id="{12C81D4D-BB45-4C66-8807-AE3F35F91575}">
            <xm:f>PLANS!$F$3="SEPTEMBER"</xm:f>
            <x14:dxf>
              <font>
                <color rgb="FFFF0000"/>
              </font>
            </x14:dxf>
          </x14:cfRule>
          <x14:cfRule type="expression" priority="735" id="{CC3B5E6D-C736-402B-AB7A-18CC74DA4203}">
            <xm:f>PLANS!$F$3="AUGUST"</xm:f>
            <x14:dxf>
              <font>
                <color rgb="FFC00000"/>
              </font>
            </x14:dxf>
          </x14:cfRule>
          <xm:sqref>C4</xm:sqref>
        </x14:conditionalFormatting>
        <x14:conditionalFormatting xmlns:xm="http://schemas.microsoft.com/office/excel/2006/main">
          <x14:cfRule type="expression" priority="760" id="{61FE0701-71D2-477D-A808-AD11546BA371}">
            <xm:f>PLANS!$F$3="JULY"</xm:f>
            <x14:dxf>
              <font>
                <color rgb="FFFF6600"/>
              </font>
            </x14:dxf>
          </x14:cfRule>
          <x14:cfRule type="expression" priority="761" id="{81476EBB-AF76-4BE8-B2BD-46C7D11A2D62}">
            <xm:f>PLANS!$F$3="JUNE"</xm:f>
            <x14:dxf>
              <font>
                <color rgb="FFFFC000"/>
              </font>
            </x14:dxf>
          </x14:cfRule>
          <x14:cfRule type="expression" priority="762" id="{1A65DD67-4476-4212-B3F9-652D9C349D76}">
            <xm:f>PLANS!$F$3="MAY"</xm:f>
            <x14:dxf>
              <font>
                <color rgb="FFEBE600"/>
              </font>
            </x14:dxf>
          </x14:cfRule>
          <x14:cfRule type="expression" priority="763" id="{EAE58F25-8CF9-497E-99AB-01642FC0B799}">
            <xm:f>PLANS!$F$3="APRIL"</xm:f>
            <x14:dxf>
              <font>
                <color rgb="FF92D050"/>
              </font>
            </x14:dxf>
          </x14:cfRule>
          <x14:cfRule type="expression" priority="764" id="{56B6192E-AEA0-4721-94D3-3C41C432811C}">
            <xm:f>PLANS!$F$3="MARCH"</xm:f>
            <x14:dxf>
              <font>
                <color rgb="FF00B050"/>
              </font>
            </x14:dxf>
          </x14:cfRule>
          <x14:cfRule type="expression" priority="765" id="{963DFDBF-2092-47B1-8340-875DBF7CEAB4}">
            <xm:f>PLANS!$F$3="FEBRUARY"</xm:f>
            <x14:dxf>
              <font>
                <color rgb="FF00B0F0"/>
              </font>
            </x14:dxf>
          </x14:cfRule>
          <x14:cfRule type="expression" priority="766" id="{00DBA490-F194-4ED4-A367-912095F88AA9}">
            <xm:f>PLANS!$F$3="JANUARY"</xm:f>
            <x14:dxf>
              <font>
                <color rgb="FF0070C0"/>
              </font>
            </x14:dxf>
          </x14:cfRule>
          <x14:cfRule type="expression" priority="767" id="{3E671D4A-7411-4D1D-A0E2-5CD9DF6FE54C}">
            <xm:f>PLANS!$F$3="DECEMBER"</xm:f>
            <x14:dxf>
              <font>
                <color rgb="FF6600CC"/>
              </font>
            </x14:dxf>
          </x14:cfRule>
          <x14:cfRule type="expression" priority="768" id="{933DBB3F-14E5-40C4-8150-FCA0A55EC299}">
            <xm:f>PLANS!$F$3="NOVEMBER"</xm:f>
            <x14:dxf>
              <font>
                <color rgb="FF9900CC"/>
              </font>
            </x14:dxf>
          </x14:cfRule>
          <x14:cfRule type="expression" priority="769" id="{87EE09A6-FFBA-487B-BBD1-49BDD232EBA5}">
            <xm:f>PLANS!$F$3="OCTOBER"</xm:f>
            <x14:dxf>
              <font>
                <color rgb="FFFF00FF"/>
              </font>
            </x14:dxf>
          </x14:cfRule>
          <x14:cfRule type="expression" priority="770" id="{A8F0E054-F578-4F9A-A1BE-BBAF884E19A7}">
            <xm:f>PLANS!$F$3="SEPTEMBER"</xm:f>
            <x14:dxf>
              <font>
                <color rgb="FFFF0000"/>
              </font>
            </x14:dxf>
          </x14:cfRule>
          <x14:cfRule type="expression" priority="823" id="{8ABA9921-A22A-4DED-BFE7-9E650DC75E68}">
            <xm:f>PLANS!$F$3="AUGUST"</xm:f>
            <x14:dxf>
              <font>
                <color rgb="FFC00000"/>
              </font>
            </x14:dxf>
          </x14:cfRule>
          <xm:sqref>F7:O8</xm:sqref>
        </x14:conditionalFormatting>
        <x14:conditionalFormatting xmlns:xm="http://schemas.microsoft.com/office/excel/2006/main">
          <x14:cfRule type="expression" priority="621" id="{4753D3AC-105C-452E-99C6-DD82AAD14F06}">
            <xm:f>PLANS!$F$3="JULY"</xm:f>
            <x14:dxf>
              <font>
                <color rgb="FFFF6600"/>
              </font>
            </x14:dxf>
          </x14:cfRule>
          <x14:cfRule type="expression" priority="622" id="{AA00BE8C-AA71-428E-9F89-A6FE8071D21F}">
            <xm:f>PLANS!$F$3="JUNE"</xm:f>
            <x14:dxf>
              <font>
                <color rgb="FFFFC000"/>
              </font>
            </x14:dxf>
          </x14:cfRule>
          <x14:cfRule type="expression" priority="623" id="{CD56063F-D301-4528-9534-FA484E116CEA}">
            <xm:f>PLANS!$F$3="MAY"</xm:f>
            <x14:dxf>
              <font>
                <color rgb="FFEBE600"/>
              </font>
            </x14:dxf>
          </x14:cfRule>
          <x14:cfRule type="expression" priority="624" id="{EFABA7A3-D8C9-45E8-AE99-EA4517BE93BF}">
            <xm:f>PLANS!$F$3="APRIL"</xm:f>
            <x14:dxf>
              <font>
                <color rgb="FF92D050"/>
              </font>
            </x14:dxf>
          </x14:cfRule>
          <x14:cfRule type="expression" priority="625" id="{8D88A3A2-E07B-4C0D-96F9-1C5FD10FEDF8}">
            <xm:f>PLANS!$F$3="MARCH"</xm:f>
            <x14:dxf>
              <font>
                <color rgb="FF00B050"/>
              </font>
            </x14:dxf>
          </x14:cfRule>
          <x14:cfRule type="expression" priority="626" id="{1B52D9A7-11D3-4B6D-8788-AE7B1FA01F4D}">
            <xm:f>PLANS!$F$3="FEBRUARY"</xm:f>
            <x14:dxf>
              <font>
                <color rgb="FF00B0F0"/>
              </font>
            </x14:dxf>
          </x14:cfRule>
          <x14:cfRule type="expression" priority="627" id="{7E387A39-6472-48D8-8533-EEE7BA9730FB}">
            <xm:f>PLANS!$F$3="JANUARY"</xm:f>
            <x14:dxf>
              <font>
                <color rgb="FF0070C0"/>
              </font>
            </x14:dxf>
          </x14:cfRule>
          <x14:cfRule type="expression" priority="628" id="{A1087387-F79A-459C-970D-36D47FA61777}">
            <xm:f>PLANS!$F$3="DECEMBER"</xm:f>
            <x14:dxf>
              <font>
                <color rgb="FF6600CC"/>
              </font>
            </x14:dxf>
          </x14:cfRule>
          <x14:cfRule type="expression" priority="629" id="{A46A3DAC-9FFD-4B23-BF94-B9DA2D0BECFE}">
            <xm:f>PLANS!$F$3="NOVEMBER"</xm:f>
            <x14:dxf>
              <font>
                <color rgb="FF9900CC"/>
              </font>
            </x14:dxf>
          </x14:cfRule>
          <x14:cfRule type="expression" priority="630" id="{8686EFE7-B749-4E02-B6FC-F8B7EB6B90A2}">
            <xm:f>PLANS!$F$3="OCTOBER"</xm:f>
            <x14:dxf>
              <font>
                <color rgb="FFFF00FF"/>
              </font>
            </x14:dxf>
          </x14:cfRule>
          <x14:cfRule type="expression" priority="631" id="{0F162AD5-3802-4BAC-BC8A-FEF1C287EFBA}">
            <xm:f>PLANS!$F$3="SEPTEMBER"</xm:f>
            <x14:dxf>
              <font>
                <color rgb="FFFF0000"/>
              </font>
            </x14:dxf>
          </x14:cfRule>
          <x14:cfRule type="expression" priority="632" id="{D379A955-A456-4D50-8CE4-667411AC2B8D}">
            <xm:f>PLANS!$F$3="AUGUST"</xm:f>
            <x14:dxf>
              <font>
                <color rgb="FFC00000"/>
              </font>
            </x14:dxf>
          </x14:cfRule>
          <xm:sqref>F22:O23</xm:sqref>
        </x14:conditionalFormatting>
        <x14:conditionalFormatting xmlns:xm="http://schemas.microsoft.com/office/excel/2006/main">
          <x14:cfRule type="expression" priority="428" id="{8CCBB774-81A5-47B9-93AC-2FE190D883E6}">
            <xm:f>PLANS!$F$3="JUNE"</xm:f>
            <x14:dxf>
              <font>
                <color rgb="FFFFC000"/>
              </font>
            </x14:dxf>
          </x14:cfRule>
          <x14:cfRule type="expression" priority="429" id="{414B09C9-846B-44E4-909C-9BFAB0C99593}">
            <xm:f>PLANS!$F$3="MAY"</xm:f>
            <x14:dxf>
              <font>
                <color rgb="FFEBE600"/>
              </font>
            </x14:dxf>
          </x14:cfRule>
          <x14:cfRule type="expression" priority="430" id="{5BD1EF02-746B-441F-B951-5B6DA6E7FAD6}">
            <xm:f>PLANS!$F$3="APRIL"</xm:f>
            <x14:dxf>
              <font>
                <color rgb="FF92D050"/>
              </font>
            </x14:dxf>
          </x14:cfRule>
          <x14:cfRule type="expression" priority="431" id="{A3EBA9D5-65F9-4311-8801-A2769AA58FCC}">
            <xm:f>PLANS!$F$3="MARCH"</xm:f>
            <x14:dxf>
              <font>
                <color rgb="FF00B050"/>
              </font>
            </x14:dxf>
          </x14:cfRule>
          <x14:cfRule type="expression" priority="432" id="{6093CC33-B54F-4252-8B51-C35D89343AF6}">
            <xm:f>PLANS!$F$3="FEBRUARY"</xm:f>
            <x14:dxf>
              <font>
                <color rgb="FF00B0F0"/>
              </font>
            </x14:dxf>
          </x14:cfRule>
          <x14:cfRule type="expression" priority="433" id="{61B37B8A-6C3F-44C1-8E62-A02FF947B3F4}">
            <xm:f>PLANS!$F$3="JANUARY"</xm:f>
            <x14:dxf>
              <font>
                <color rgb="FF0070C0"/>
              </font>
            </x14:dxf>
          </x14:cfRule>
          <x14:cfRule type="expression" priority="434" id="{43B03237-BD87-4423-9817-AD01D8EFF259}">
            <xm:f>PLANS!$F$3="DECEMBER"</xm:f>
            <x14:dxf>
              <font>
                <color rgb="FF6600CC"/>
              </font>
            </x14:dxf>
          </x14:cfRule>
          <x14:cfRule type="expression" priority="435" id="{5D9A3443-CFAC-41F3-95E6-0FED42A0F406}">
            <xm:f>PLANS!$F$3="NOVEMBER"</xm:f>
            <x14:dxf>
              <font>
                <color rgb="FF9900CC"/>
              </font>
            </x14:dxf>
          </x14:cfRule>
          <x14:cfRule type="expression" priority="436" id="{9B996E6C-BE0F-4B6D-A3BB-A734639A7DEF}">
            <xm:f>PLANS!$F$3="OCTOBER"</xm:f>
            <x14:dxf>
              <font>
                <color rgb="FFFF00FF"/>
              </font>
            </x14:dxf>
          </x14:cfRule>
          <x14:cfRule type="expression" priority="437" id="{01680C6E-9CCB-4AFB-8EFE-BC3E2FC61362}">
            <xm:f>PLANS!$F$3="SEPTEMBER"</xm:f>
            <x14:dxf>
              <font>
                <color rgb="FFFF0000"/>
              </font>
            </x14:dxf>
          </x14:cfRule>
          <x14:cfRule type="expression" priority="438" id="{A63852A8-38DB-47A6-BF45-AE48460D1CF1}">
            <xm:f>PLANS!$F$3="AUGUST"</xm:f>
            <x14:dxf>
              <font>
                <color rgb="FFC00000"/>
              </font>
            </x14:dxf>
          </x14:cfRule>
          <x14:cfRule type="expression" priority="439" id="{76F22A44-0A88-4255-B80E-D54BFA0A8A6E}">
            <xm:f>PLANS!$F$3="JULY"</xm:f>
            <x14:dxf>
              <font>
                <color rgb="FFFF6600"/>
              </font>
            </x14:dxf>
          </x14:cfRule>
          <xm:sqref>DU11</xm:sqref>
        </x14:conditionalFormatting>
        <x14:conditionalFormatting xmlns:xm="http://schemas.microsoft.com/office/excel/2006/main">
          <x14:cfRule type="expression" priority="404" id="{771E272A-8352-4DA7-9F71-073198CA1B36}">
            <xm:f>PLANS!$F$3="JUNE"</xm:f>
            <x14:dxf>
              <font>
                <color rgb="FFFFC000"/>
              </font>
            </x14:dxf>
          </x14:cfRule>
          <x14:cfRule type="expression" priority="405" id="{F1A6DD01-23AE-445E-B496-ACCE75B35E5D}">
            <xm:f>PLANS!$F$3="MAY"</xm:f>
            <x14:dxf>
              <font>
                <color rgb="FFEBE600"/>
              </font>
            </x14:dxf>
          </x14:cfRule>
          <x14:cfRule type="expression" priority="406" id="{9F6D4694-39F8-42DE-AADB-282B84DC11D3}">
            <xm:f>PLANS!$F$3="APRIL"</xm:f>
            <x14:dxf>
              <font>
                <color rgb="FF92D050"/>
              </font>
            </x14:dxf>
          </x14:cfRule>
          <x14:cfRule type="expression" priority="407" id="{3CFBA891-79BA-4E0B-9197-FD9AA26D8B95}">
            <xm:f>PLANS!$F$3="MARCH"</xm:f>
            <x14:dxf>
              <font>
                <color rgb="FF00B050"/>
              </font>
            </x14:dxf>
          </x14:cfRule>
          <x14:cfRule type="expression" priority="408" id="{DB051962-FB38-4372-B033-E781FF894DE4}">
            <xm:f>PLANS!$F$3="FEBRUARY"</xm:f>
            <x14:dxf>
              <font>
                <color rgb="FF00B0F0"/>
              </font>
            </x14:dxf>
          </x14:cfRule>
          <x14:cfRule type="expression" priority="409" id="{8A85E400-C05A-4C07-ABDF-1727D4861EF3}">
            <xm:f>PLANS!$F$3="JANUARY"</xm:f>
            <x14:dxf>
              <font>
                <color rgb="FF0070C0"/>
              </font>
            </x14:dxf>
          </x14:cfRule>
          <x14:cfRule type="expression" priority="410" id="{7448C243-E50E-4582-80C7-2E381DB71A6E}">
            <xm:f>PLANS!$F$3="DECEMBER"</xm:f>
            <x14:dxf>
              <font>
                <color rgb="FF6600CC"/>
              </font>
            </x14:dxf>
          </x14:cfRule>
          <x14:cfRule type="expression" priority="411" id="{EB1939D3-10B1-4738-9836-073DA73E1199}">
            <xm:f>PLANS!$F$3="NOVEMBER"</xm:f>
            <x14:dxf>
              <font>
                <color rgb="FF9900CC"/>
              </font>
            </x14:dxf>
          </x14:cfRule>
          <x14:cfRule type="expression" priority="412" id="{D6BBBCEF-AA60-4E69-B289-E6136E305DE5}">
            <xm:f>PLANS!$F$3="OCTOBER"</xm:f>
            <x14:dxf>
              <font>
                <color rgb="FFFF00FF"/>
              </font>
            </x14:dxf>
          </x14:cfRule>
          <x14:cfRule type="expression" priority="413" id="{73F0EF70-619A-43C5-8F67-92EDAD5E3CE9}">
            <xm:f>PLANS!$F$3="SEPTEMBER"</xm:f>
            <x14:dxf>
              <font>
                <color rgb="FFFF0000"/>
              </font>
            </x14:dxf>
          </x14:cfRule>
          <x14:cfRule type="expression" priority="414" id="{2E534C30-FD72-4ABE-9058-59302A02854B}">
            <xm:f>PLANS!$F$3="AUGUST"</xm:f>
            <x14:dxf>
              <font>
                <color rgb="FFC00000"/>
              </font>
            </x14:dxf>
          </x14:cfRule>
          <x14:cfRule type="expression" priority="415" id="{D7B4024E-65B1-43B1-AEAE-81BAD78FD3D8}">
            <xm:f>PLANS!$F$3="JULY"</xm:f>
            <x14:dxf>
              <font>
                <color rgb="FFFF6600"/>
              </font>
            </x14:dxf>
          </x14:cfRule>
          <xm:sqref>DD28 DH26 DL24 DT20 DX17 EA14 EC11 EC8 EH11 EJ14 EN17 EU22 EY24 FC26 FG28 DP22 EQ20</xm:sqref>
        </x14:conditionalFormatting>
        <x14:conditionalFormatting xmlns:xm="http://schemas.microsoft.com/office/excel/2006/main">
          <x14:cfRule type="expression" priority="319" id="{1722A895-7830-414D-92DA-F5B4D6EC56DF}">
            <xm:f>PLANS!$F$3="JUNE"</xm:f>
            <x14:dxf>
              <font>
                <color rgb="FFFFC000"/>
              </font>
            </x14:dxf>
          </x14:cfRule>
          <x14:cfRule type="expression" priority="320" id="{A0AE2159-1BFE-4F3F-862E-6F62D8D84235}">
            <xm:f>PLANS!$F$3="MAY"</xm:f>
            <x14:dxf>
              <font>
                <color rgb="FFEBE600"/>
              </font>
            </x14:dxf>
          </x14:cfRule>
          <x14:cfRule type="expression" priority="321" id="{1C20EB9A-CB88-40DD-ADE7-19E5725E84E0}">
            <xm:f>PLANS!$F$3="APRIL"</xm:f>
            <x14:dxf>
              <font>
                <color rgb="FF92D050"/>
              </font>
            </x14:dxf>
          </x14:cfRule>
          <x14:cfRule type="expression" priority="322" id="{CC453481-DB1C-42F0-8443-AD4254D3CC13}">
            <xm:f>PLANS!$F$3="MARCH"</xm:f>
            <x14:dxf>
              <font>
                <color rgb="FF00B050"/>
              </font>
            </x14:dxf>
          </x14:cfRule>
          <x14:cfRule type="expression" priority="323" id="{B0AF1E0C-5E44-4C98-A5CC-F63E43C8C626}">
            <xm:f>PLANS!$F$3="FEBRUARY"</xm:f>
            <x14:dxf>
              <font>
                <color rgb="FF00B0F0"/>
              </font>
            </x14:dxf>
          </x14:cfRule>
          <x14:cfRule type="expression" priority="324" id="{9F594347-EC80-4802-A320-1CF3D2DA7315}">
            <xm:f>PLANS!$F$3="JANUARY"</xm:f>
            <x14:dxf>
              <font>
                <color rgb="FF0070C0"/>
              </font>
            </x14:dxf>
          </x14:cfRule>
          <x14:cfRule type="expression" priority="325" id="{7B686878-12D4-4443-B6E9-2F8618FD8C28}">
            <xm:f>PLANS!$F$3="DECEMBER"</xm:f>
            <x14:dxf>
              <font>
                <color rgb="FF6600CC"/>
              </font>
            </x14:dxf>
          </x14:cfRule>
          <x14:cfRule type="expression" priority="326" id="{EAD3E749-9BAB-41E8-9CBE-1F22313AD8C3}">
            <xm:f>PLANS!$F$3="NOVEMBER"</xm:f>
            <x14:dxf>
              <font>
                <color rgb="FF9900CC"/>
              </font>
            </x14:dxf>
          </x14:cfRule>
          <x14:cfRule type="expression" priority="327" id="{DBBF43B2-8C4F-41C9-90B5-95691A2BCEDD}">
            <xm:f>PLANS!$F$3="OCTOBER"</xm:f>
            <x14:dxf>
              <font>
                <color rgb="FFFF00FF"/>
              </font>
            </x14:dxf>
          </x14:cfRule>
          <x14:cfRule type="expression" priority="328" id="{04C4C3A2-22E2-45FA-8540-E5E0A0347A26}">
            <xm:f>PLANS!$F$3="SEPTEMBER"</xm:f>
            <x14:dxf>
              <font>
                <color rgb="FFFF0000"/>
              </font>
            </x14:dxf>
          </x14:cfRule>
          <x14:cfRule type="expression" priority="329" id="{C4B65ACC-F172-4888-9193-EF575FBE62E9}">
            <xm:f>PLANS!$F$3="AUGUST"</xm:f>
            <x14:dxf>
              <font>
                <color rgb="FFC00000"/>
              </font>
            </x14:dxf>
          </x14:cfRule>
          <x14:cfRule type="expression" priority="330" id="{B5E399A0-C2BC-4EB9-B958-562C77749645}">
            <xm:f>PLANS!$F$3="JULY"</xm:f>
            <x14:dxf>
              <font>
                <color rgb="FFFF6600"/>
              </font>
            </x14:dxf>
          </x14:cfRule>
          <xm:sqref>EE20</xm:sqref>
        </x14:conditionalFormatting>
        <x14:conditionalFormatting xmlns:xm="http://schemas.microsoft.com/office/excel/2006/main">
          <x14:cfRule type="expression" priority="307" id="{045AD740-189E-4C5F-97B9-0B52E6BA1AA9}">
            <xm:f>PLANS!$F$3="JUNE"</xm:f>
            <x14:dxf>
              <font>
                <color rgb="FFFFC000"/>
              </font>
            </x14:dxf>
          </x14:cfRule>
          <x14:cfRule type="expression" priority="308" id="{D71AE953-C4CD-4557-818A-12A607164D51}">
            <xm:f>PLANS!$F$3="MAY"</xm:f>
            <x14:dxf>
              <font>
                <color rgb="FFEBE600"/>
              </font>
            </x14:dxf>
          </x14:cfRule>
          <x14:cfRule type="expression" priority="309" id="{29ADD9FE-CB30-45F2-8D26-7AFCF189DA9E}">
            <xm:f>PLANS!$F$3="APRIL"</xm:f>
            <x14:dxf>
              <font>
                <color rgb="FF92D050"/>
              </font>
            </x14:dxf>
          </x14:cfRule>
          <x14:cfRule type="expression" priority="310" id="{F4062EBD-F6D4-4A57-B698-A50787828DA0}">
            <xm:f>PLANS!$F$3="MARCH"</xm:f>
            <x14:dxf>
              <font>
                <color rgb="FF00B050"/>
              </font>
            </x14:dxf>
          </x14:cfRule>
          <x14:cfRule type="expression" priority="311" id="{B846FE0D-D451-4C33-A055-5FAA3D0119AB}">
            <xm:f>PLANS!$F$3="FEBRUARY"</xm:f>
            <x14:dxf>
              <font>
                <color rgb="FF00B0F0"/>
              </font>
            </x14:dxf>
          </x14:cfRule>
          <x14:cfRule type="expression" priority="312" id="{62E46F74-3E57-4F48-BA6B-F369A8513B0B}">
            <xm:f>PLANS!$F$3="JANUARY"</xm:f>
            <x14:dxf>
              <font>
                <color rgb="FF0070C0"/>
              </font>
            </x14:dxf>
          </x14:cfRule>
          <x14:cfRule type="expression" priority="313" id="{BF309FFE-15FB-458E-8464-E9160376FBCF}">
            <xm:f>PLANS!$F$3="DECEMBER"</xm:f>
            <x14:dxf>
              <font>
                <color rgb="FF6600CC"/>
              </font>
            </x14:dxf>
          </x14:cfRule>
          <x14:cfRule type="expression" priority="314" id="{DB67C767-8336-49CE-9947-2784F4A1E8E9}">
            <xm:f>PLANS!$F$3="NOVEMBER"</xm:f>
            <x14:dxf>
              <font>
                <color rgb="FF9900CC"/>
              </font>
            </x14:dxf>
          </x14:cfRule>
          <x14:cfRule type="expression" priority="315" id="{73BC3AA7-AC37-471A-A3DF-509D0043B5CE}">
            <xm:f>PLANS!$F$3="OCTOBER"</xm:f>
            <x14:dxf>
              <font>
                <color rgb="FFFF00FF"/>
              </font>
            </x14:dxf>
          </x14:cfRule>
          <x14:cfRule type="expression" priority="316" id="{FFFC30A0-34FD-498E-90FB-11CF353B70CC}">
            <xm:f>PLANS!$F$3="SEPTEMBER"</xm:f>
            <x14:dxf>
              <font>
                <color rgb="FFFF0000"/>
              </font>
            </x14:dxf>
          </x14:cfRule>
          <x14:cfRule type="expression" priority="317" id="{C6B8B25A-2AC1-409C-8116-89E681EEFE64}">
            <xm:f>PLANS!$F$3="AUGUST"</xm:f>
            <x14:dxf>
              <font>
                <color rgb="FFC00000"/>
              </font>
            </x14:dxf>
          </x14:cfRule>
          <x14:cfRule type="expression" priority="318" id="{013661AB-1159-4C37-8C39-1150922AF7FA}">
            <xm:f>PLANS!$F$3="JULY"</xm:f>
            <x14:dxf>
              <font>
                <color rgb="FFFF6600"/>
              </font>
            </x14:dxf>
          </x14:cfRule>
          <xm:sqref>EE14</xm:sqref>
        </x14:conditionalFormatting>
        <x14:conditionalFormatting xmlns:xm="http://schemas.microsoft.com/office/excel/2006/main">
          <x14:cfRule type="expression" priority="295" id="{723E2DB9-E07C-462F-A21B-179A4DA55475}">
            <xm:f>PLANS!$F$3="JUNE"</xm:f>
            <x14:dxf>
              <font>
                <color rgb="FFFFC000"/>
              </font>
            </x14:dxf>
          </x14:cfRule>
          <x14:cfRule type="expression" priority="296" id="{7752CDE5-5428-49E8-8730-D1CBBB3ED7D4}">
            <xm:f>PLANS!$F$3="MAY"</xm:f>
            <x14:dxf>
              <font>
                <color rgb="FFEBE600"/>
              </font>
            </x14:dxf>
          </x14:cfRule>
          <x14:cfRule type="expression" priority="297" id="{0D34DC88-A9C0-4C47-8C57-A597AE0574E6}">
            <xm:f>PLANS!$F$3="APRIL"</xm:f>
            <x14:dxf>
              <font>
                <color rgb="FF92D050"/>
              </font>
            </x14:dxf>
          </x14:cfRule>
          <x14:cfRule type="expression" priority="298" id="{92746E2A-E5A9-4EBC-9B00-38AFEE6EDFE5}">
            <xm:f>PLANS!$F$3="MARCH"</xm:f>
            <x14:dxf>
              <font>
                <color rgb="FF00B050"/>
              </font>
            </x14:dxf>
          </x14:cfRule>
          <x14:cfRule type="expression" priority="299" id="{6E65C03D-FD95-4B71-B951-FD8C8CD68D58}">
            <xm:f>PLANS!$F$3="FEBRUARY"</xm:f>
            <x14:dxf>
              <font>
                <color rgb="FF00B0F0"/>
              </font>
            </x14:dxf>
          </x14:cfRule>
          <x14:cfRule type="expression" priority="300" id="{5A4E053C-614E-4E2B-AD73-9FAAC70CB1A4}">
            <xm:f>PLANS!$F$3="JANUARY"</xm:f>
            <x14:dxf>
              <font>
                <color rgb="FF0070C0"/>
              </font>
            </x14:dxf>
          </x14:cfRule>
          <x14:cfRule type="expression" priority="301" id="{E06A85AB-7FDB-470A-AC70-9D1E84074802}">
            <xm:f>PLANS!$F$3="DECEMBER"</xm:f>
            <x14:dxf>
              <font>
                <color rgb="FF6600CC"/>
              </font>
            </x14:dxf>
          </x14:cfRule>
          <x14:cfRule type="expression" priority="302" id="{B8B78379-92CB-4965-9F05-1B4C7A6BCD52}">
            <xm:f>PLANS!$F$3="NOVEMBER"</xm:f>
            <x14:dxf>
              <font>
                <color rgb="FF9900CC"/>
              </font>
            </x14:dxf>
          </x14:cfRule>
          <x14:cfRule type="expression" priority="303" id="{71D209D1-BB43-403D-A672-3EF0E027782C}">
            <xm:f>PLANS!$F$3="OCTOBER"</xm:f>
            <x14:dxf>
              <font>
                <color rgb="FFFF00FF"/>
              </font>
            </x14:dxf>
          </x14:cfRule>
          <x14:cfRule type="expression" priority="304" id="{17D09D6C-0B2D-4DAE-BCD9-EB28C7A8B623}">
            <xm:f>PLANS!$F$3="SEPTEMBER"</xm:f>
            <x14:dxf>
              <font>
                <color rgb="FFFF0000"/>
              </font>
            </x14:dxf>
          </x14:cfRule>
          <x14:cfRule type="expression" priority="305" id="{8A3B9BA5-F43F-49DA-A238-7A9B0A827252}">
            <xm:f>PLANS!$F$3="AUGUST"</xm:f>
            <x14:dxf>
              <font>
                <color rgb="FFC00000"/>
              </font>
            </x14:dxf>
          </x14:cfRule>
          <x14:cfRule type="expression" priority="306" id="{B04658F5-DB78-46F2-81B1-B76D1BEE63E7}">
            <xm:f>PLANS!$F$3="JULY"</xm:f>
            <x14:dxf>
              <font>
                <color rgb="FFFF6600"/>
              </font>
            </x14:dxf>
          </x14:cfRule>
          <xm:sqref>DL28</xm:sqref>
        </x14:conditionalFormatting>
        <x14:conditionalFormatting xmlns:xm="http://schemas.microsoft.com/office/excel/2006/main">
          <x14:cfRule type="expression" priority="283" id="{28A342E5-F437-4568-B7B2-EF638F01634F}">
            <xm:f>PLANS!$F$3="JUNE"</xm:f>
            <x14:dxf>
              <font>
                <color rgb="FFFFC000"/>
              </font>
            </x14:dxf>
          </x14:cfRule>
          <x14:cfRule type="expression" priority="284" id="{445CEED0-1BCD-486F-822A-85812A2365EA}">
            <xm:f>PLANS!$F$3="MAY"</xm:f>
            <x14:dxf>
              <font>
                <color rgb="FFEBE600"/>
              </font>
            </x14:dxf>
          </x14:cfRule>
          <x14:cfRule type="expression" priority="285" id="{B4A7B471-3BAC-42D0-B9DC-A5E92991D22D}">
            <xm:f>PLANS!$F$3="APRIL"</xm:f>
            <x14:dxf>
              <font>
                <color rgb="FF92D050"/>
              </font>
            </x14:dxf>
          </x14:cfRule>
          <x14:cfRule type="expression" priority="286" id="{647C2A45-48D6-43FC-A5FB-676819C7C401}">
            <xm:f>PLANS!$F$3="MARCH"</xm:f>
            <x14:dxf>
              <font>
                <color rgb="FF00B050"/>
              </font>
            </x14:dxf>
          </x14:cfRule>
          <x14:cfRule type="expression" priority="287" id="{C34867C3-3FDC-4616-B5D8-33BAA32F85F0}">
            <xm:f>PLANS!$F$3="FEBRUARY"</xm:f>
            <x14:dxf>
              <font>
                <color rgb="FF00B0F0"/>
              </font>
            </x14:dxf>
          </x14:cfRule>
          <x14:cfRule type="expression" priority="288" id="{0899C633-4309-4D0F-9E32-51935038DE7B}">
            <xm:f>PLANS!$F$3="JANUARY"</xm:f>
            <x14:dxf>
              <font>
                <color rgb="FF0070C0"/>
              </font>
            </x14:dxf>
          </x14:cfRule>
          <x14:cfRule type="expression" priority="289" id="{0C0249FB-418C-4EC8-BE92-C35E00736A1E}">
            <xm:f>PLANS!$F$3="DECEMBER"</xm:f>
            <x14:dxf>
              <font>
                <color rgb="FF6600CC"/>
              </font>
            </x14:dxf>
          </x14:cfRule>
          <x14:cfRule type="expression" priority="290" id="{54A96F00-6918-4418-8198-009C8F5AF39F}">
            <xm:f>PLANS!$F$3="NOVEMBER"</xm:f>
            <x14:dxf>
              <font>
                <color rgb="FF9900CC"/>
              </font>
            </x14:dxf>
          </x14:cfRule>
          <x14:cfRule type="expression" priority="291" id="{70B77F02-2695-4C15-B57A-90D820898AD6}">
            <xm:f>PLANS!$F$3="OCTOBER"</xm:f>
            <x14:dxf>
              <font>
                <color rgb="FFFF00FF"/>
              </font>
            </x14:dxf>
          </x14:cfRule>
          <x14:cfRule type="expression" priority="292" id="{78F34D6F-C351-4F9D-8A43-9B7C3970871D}">
            <xm:f>PLANS!$F$3="SEPTEMBER"</xm:f>
            <x14:dxf>
              <font>
                <color rgb="FFFF0000"/>
              </font>
            </x14:dxf>
          </x14:cfRule>
          <x14:cfRule type="expression" priority="293" id="{52169AE8-B6FE-4CC2-AC8D-DFDDC71B14F7}">
            <xm:f>PLANS!$F$3="AUGUST"</xm:f>
            <x14:dxf>
              <font>
                <color rgb="FFC00000"/>
              </font>
            </x14:dxf>
          </x14:cfRule>
          <x14:cfRule type="expression" priority="294" id="{9C9955F3-6E1F-40B2-ABCA-C8F831CB85FD}">
            <xm:f>PLANS!$F$3="JULY"</xm:f>
            <x14:dxf>
              <font>
                <color rgb="FFFF6600"/>
              </font>
            </x14:dxf>
          </x14:cfRule>
          <xm:sqref>DU24</xm:sqref>
        </x14:conditionalFormatting>
        <x14:conditionalFormatting xmlns:xm="http://schemas.microsoft.com/office/excel/2006/main">
          <x14:cfRule type="expression" priority="271" id="{81254898-F14C-4A07-AC78-418E66E6AADB}">
            <xm:f>PLANS!$F$3="JUNE"</xm:f>
            <x14:dxf>
              <font>
                <color rgb="FFFFC000"/>
              </font>
            </x14:dxf>
          </x14:cfRule>
          <x14:cfRule type="expression" priority="272" id="{4C662A45-EE74-4EAF-A96D-3BE6F762C42E}">
            <xm:f>PLANS!$F$3="MAY"</xm:f>
            <x14:dxf>
              <font>
                <color rgb="FFEBE600"/>
              </font>
            </x14:dxf>
          </x14:cfRule>
          <x14:cfRule type="expression" priority="273" id="{D6ED00EA-2BBF-438C-B5A5-60806250EA4A}">
            <xm:f>PLANS!$F$3="APRIL"</xm:f>
            <x14:dxf>
              <font>
                <color rgb="FF92D050"/>
              </font>
            </x14:dxf>
          </x14:cfRule>
          <x14:cfRule type="expression" priority="274" id="{B030C4DB-8309-46B8-9799-BECAFAA0DF7E}">
            <xm:f>PLANS!$F$3="MARCH"</xm:f>
            <x14:dxf>
              <font>
                <color rgb="FF00B050"/>
              </font>
            </x14:dxf>
          </x14:cfRule>
          <x14:cfRule type="expression" priority="275" id="{D85C8CAA-FAFB-4AE2-A341-C7DFA7F62C74}">
            <xm:f>PLANS!$F$3="FEBRUARY"</xm:f>
            <x14:dxf>
              <font>
                <color rgb="FF00B0F0"/>
              </font>
            </x14:dxf>
          </x14:cfRule>
          <x14:cfRule type="expression" priority="276" id="{3217AA9F-DF22-426B-914C-22FCFA7B7530}">
            <xm:f>PLANS!$F$3="JANUARY"</xm:f>
            <x14:dxf>
              <font>
                <color rgb="FF0070C0"/>
              </font>
            </x14:dxf>
          </x14:cfRule>
          <x14:cfRule type="expression" priority="277" id="{6729BB00-334A-4340-8CE4-35FAAD405CE8}">
            <xm:f>PLANS!$F$3="DECEMBER"</xm:f>
            <x14:dxf>
              <font>
                <color rgb="FF6600CC"/>
              </font>
            </x14:dxf>
          </x14:cfRule>
          <x14:cfRule type="expression" priority="278" id="{10A97587-3678-4BB6-92E1-0A541D86F5A3}">
            <xm:f>PLANS!$F$3="NOVEMBER"</xm:f>
            <x14:dxf>
              <font>
                <color rgb="FF9900CC"/>
              </font>
            </x14:dxf>
          </x14:cfRule>
          <x14:cfRule type="expression" priority="279" id="{FE77461D-D81A-4924-8DC8-D469AADD90B6}">
            <xm:f>PLANS!$F$3="OCTOBER"</xm:f>
            <x14:dxf>
              <font>
                <color rgb="FFFF00FF"/>
              </font>
            </x14:dxf>
          </x14:cfRule>
          <x14:cfRule type="expression" priority="280" id="{695C08DA-F56A-48E1-8E69-1AC3CE12ABF4}">
            <xm:f>PLANS!$F$3="SEPTEMBER"</xm:f>
            <x14:dxf>
              <font>
                <color rgb="FFFF0000"/>
              </font>
            </x14:dxf>
          </x14:cfRule>
          <x14:cfRule type="expression" priority="281" id="{8E2792CF-CBBF-4638-9092-66E4BF5F9011}">
            <xm:f>PLANS!$F$3="AUGUST"</xm:f>
            <x14:dxf>
              <font>
                <color rgb="FFC00000"/>
              </font>
            </x14:dxf>
          </x14:cfRule>
          <x14:cfRule type="expression" priority="282" id="{CB6F6717-894F-499A-9910-D8FEA42CA6F7}">
            <xm:f>PLANS!$F$3="JULY"</xm:f>
            <x14:dxf>
              <font>
                <color rgb="FFFF6600"/>
              </font>
            </x14:dxf>
          </x14:cfRule>
          <xm:sqref>EN24</xm:sqref>
        </x14:conditionalFormatting>
        <x14:conditionalFormatting xmlns:xm="http://schemas.microsoft.com/office/excel/2006/main">
          <x14:cfRule type="expression" priority="259" id="{FB7B0C65-DF40-49DF-B1C4-95527F0B3AB6}">
            <xm:f>PLANS!$F$3="JUNE"</xm:f>
            <x14:dxf>
              <font>
                <color rgb="FFFFC000"/>
              </font>
            </x14:dxf>
          </x14:cfRule>
          <x14:cfRule type="expression" priority="260" id="{6F1BBEBC-B785-4067-AE62-4C8EDAE9C283}">
            <xm:f>PLANS!$F$3="MAY"</xm:f>
            <x14:dxf>
              <font>
                <color rgb="FFEBE600"/>
              </font>
            </x14:dxf>
          </x14:cfRule>
          <x14:cfRule type="expression" priority="261" id="{74028524-3D96-411E-809E-9EC9BEDB39B7}">
            <xm:f>PLANS!$F$3="APRIL"</xm:f>
            <x14:dxf>
              <font>
                <color rgb="FF92D050"/>
              </font>
            </x14:dxf>
          </x14:cfRule>
          <x14:cfRule type="expression" priority="262" id="{067A13C0-80EA-41A2-B33A-E9D627F1AE0C}">
            <xm:f>PLANS!$F$3="MARCH"</xm:f>
            <x14:dxf>
              <font>
                <color rgb="FF00B050"/>
              </font>
            </x14:dxf>
          </x14:cfRule>
          <x14:cfRule type="expression" priority="263" id="{BA871C64-02E4-4E45-80D6-10FF88D4CA74}">
            <xm:f>PLANS!$F$3="FEBRUARY"</xm:f>
            <x14:dxf>
              <font>
                <color rgb="FF00B0F0"/>
              </font>
            </x14:dxf>
          </x14:cfRule>
          <x14:cfRule type="expression" priority="264" id="{7719C045-91E7-4D3B-9416-93A12DFB4895}">
            <xm:f>PLANS!$F$3="JANUARY"</xm:f>
            <x14:dxf>
              <font>
                <color rgb="FF0070C0"/>
              </font>
            </x14:dxf>
          </x14:cfRule>
          <x14:cfRule type="expression" priority="265" id="{DE771177-9689-4234-B771-F4929510AD66}">
            <xm:f>PLANS!$F$3="DECEMBER"</xm:f>
            <x14:dxf>
              <font>
                <color rgb="FF6600CC"/>
              </font>
            </x14:dxf>
          </x14:cfRule>
          <x14:cfRule type="expression" priority="266" id="{C4248A4B-A4FC-4105-B699-F7B5A49A8DA2}">
            <xm:f>PLANS!$F$3="NOVEMBER"</xm:f>
            <x14:dxf>
              <font>
                <color rgb="FF9900CC"/>
              </font>
            </x14:dxf>
          </x14:cfRule>
          <x14:cfRule type="expression" priority="267" id="{48752AFA-979D-4593-9B9E-CAEEE7681E9E}">
            <xm:f>PLANS!$F$3="OCTOBER"</xm:f>
            <x14:dxf>
              <font>
                <color rgb="FFFF00FF"/>
              </font>
            </x14:dxf>
          </x14:cfRule>
          <x14:cfRule type="expression" priority="268" id="{B72A46B8-0383-4AD5-894A-0CBB7079F600}">
            <xm:f>PLANS!$F$3="SEPTEMBER"</xm:f>
            <x14:dxf>
              <font>
                <color rgb="FFFF0000"/>
              </font>
            </x14:dxf>
          </x14:cfRule>
          <x14:cfRule type="expression" priority="269" id="{E9832387-37CD-45CB-8100-5C1674C892C1}">
            <xm:f>PLANS!$F$3="AUGUST"</xm:f>
            <x14:dxf>
              <font>
                <color rgb="FFC00000"/>
              </font>
            </x14:dxf>
          </x14:cfRule>
          <x14:cfRule type="expression" priority="270" id="{F4B4A6A7-00C8-42B9-B751-764EEC3898CE}">
            <xm:f>PLANS!$F$3="JULY"</xm:f>
            <x14:dxf>
              <font>
                <color rgb="FFFF6600"/>
              </font>
            </x14:dxf>
          </x14:cfRule>
          <xm:sqref>EX28</xm:sqref>
        </x14:conditionalFormatting>
        <x14:conditionalFormatting xmlns:xm="http://schemas.microsoft.com/office/excel/2006/main">
          <x14:cfRule type="expression" priority="247" id="{55ADDB9D-73FD-4B83-8F95-669BBDE0EA49}">
            <xm:f>PLANS!$F$3="JUNE"</xm:f>
            <x14:dxf>
              <font>
                <color rgb="FFFFC000"/>
              </font>
            </x14:dxf>
          </x14:cfRule>
          <x14:cfRule type="expression" priority="248" id="{ABF0657F-FF97-4347-B553-CDCDC04A66D4}">
            <xm:f>PLANS!$F$3="MAY"</xm:f>
            <x14:dxf>
              <font>
                <color rgb="FFEBE600"/>
              </font>
            </x14:dxf>
          </x14:cfRule>
          <x14:cfRule type="expression" priority="249" id="{AA84CA84-3193-4F5A-B349-063EDC23280F}">
            <xm:f>PLANS!$F$3="APRIL"</xm:f>
            <x14:dxf>
              <font>
                <color rgb="FF92D050"/>
              </font>
            </x14:dxf>
          </x14:cfRule>
          <x14:cfRule type="expression" priority="250" id="{51CCF631-2762-464F-9984-A5D6E87C3AB4}">
            <xm:f>PLANS!$F$3="MARCH"</xm:f>
            <x14:dxf>
              <font>
                <color rgb="FF00B050"/>
              </font>
            </x14:dxf>
          </x14:cfRule>
          <x14:cfRule type="expression" priority="251" id="{4574893B-B019-4109-8F52-C13EC96EA54D}">
            <xm:f>PLANS!$F$3="FEBRUARY"</xm:f>
            <x14:dxf>
              <font>
                <color rgb="FF00B0F0"/>
              </font>
            </x14:dxf>
          </x14:cfRule>
          <x14:cfRule type="expression" priority="252" id="{79BB96FB-A7D6-4EA8-AB84-152E3D456124}">
            <xm:f>PLANS!$F$3="JANUARY"</xm:f>
            <x14:dxf>
              <font>
                <color rgb="FF0070C0"/>
              </font>
            </x14:dxf>
          </x14:cfRule>
          <x14:cfRule type="expression" priority="253" id="{935E068E-5E2C-4D78-82B9-D28E27564DFB}">
            <xm:f>PLANS!$F$3="DECEMBER"</xm:f>
            <x14:dxf>
              <font>
                <color rgb="FF6600CC"/>
              </font>
            </x14:dxf>
          </x14:cfRule>
          <x14:cfRule type="expression" priority="254" id="{445ADB52-3881-4819-9CD0-4E248B5F3097}">
            <xm:f>PLANS!$F$3="NOVEMBER"</xm:f>
            <x14:dxf>
              <font>
                <color rgb="FF9900CC"/>
              </font>
            </x14:dxf>
          </x14:cfRule>
          <x14:cfRule type="expression" priority="255" id="{FF1FBB7D-460B-4131-922F-847084005A2F}">
            <xm:f>PLANS!$F$3="OCTOBER"</xm:f>
            <x14:dxf>
              <font>
                <color rgb="FFFF00FF"/>
              </font>
            </x14:dxf>
          </x14:cfRule>
          <x14:cfRule type="expression" priority="256" id="{965418E3-B5B2-4B6A-B5D2-A509B0619283}">
            <xm:f>PLANS!$F$3="SEPTEMBER"</xm:f>
            <x14:dxf>
              <font>
                <color rgb="FFFF0000"/>
              </font>
            </x14:dxf>
          </x14:cfRule>
          <x14:cfRule type="expression" priority="257" id="{C1D92738-9581-4EB3-966F-95CA15882DAB}">
            <xm:f>PLANS!$F$3="AUGUST"</xm:f>
            <x14:dxf>
              <font>
                <color rgb="FFC00000"/>
              </font>
            </x14:dxf>
          </x14:cfRule>
          <x14:cfRule type="expression" priority="258" id="{621A2D1C-2923-4815-8BD7-706E55D36874}">
            <xm:f>PLANS!$F$3="JULY"</xm:f>
            <x14:dxf>
              <font>
                <color rgb="FFFF6600"/>
              </font>
            </x14:dxf>
          </x14:cfRule>
          <xm:sqref>EC4 EH4</xm:sqref>
        </x14:conditionalFormatting>
        <x14:conditionalFormatting xmlns:xm="http://schemas.microsoft.com/office/excel/2006/main">
          <x14:cfRule type="expression" priority="115" id="{36EB7AD2-2777-43AA-B921-DE537E7FAC14}">
            <xm:f>PLANS!$F$3="JUNE"</xm:f>
            <x14:dxf>
              <font>
                <color rgb="FFFFC000"/>
              </font>
            </x14:dxf>
          </x14:cfRule>
          <x14:cfRule type="expression" priority="116" id="{0050AE5D-0454-4B75-8D41-B156B20C912D}">
            <xm:f>PLANS!$F$3="MAY"</xm:f>
            <x14:dxf>
              <font>
                <color rgb="FFEBE600"/>
              </font>
            </x14:dxf>
          </x14:cfRule>
          <x14:cfRule type="expression" priority="117" id="{B27BD07B-9AD2-444C-B59C-7D1D311ADCE6}">
            <xm:f>PLANS!$F$3="APRIL"</xm:f>
            <x14:dxf>
              <font>
                <color rgb="FF92D050"/>
              </font>
            </x14:dxf>
          </x14:cfRule>
          <x14:cfRule type="expression" priority="118" id="{D5B7D591-858B-4ED9-BC3B-A5B6B1514FBF}">
            <xm:f>PLANS!$F$3="MARCH"</xm:f>
            <x14:dxf>
              <font>
                <color rgb="FF00B050"/>
              </font>
            </x14:dxf>
          </x14:cfRule>
          <x14:cfRule type="expression" priority="119" id="{45330D4D-2ECE-4C92-B1BC-99900654E1C0}">
            <xm:f>PLANS!$F$3="FEBRUARY"</xm:f>
            <x14:dxf>
              <font>
                <color rgb="FF00B0F0"/>
              </font>
            </x14:dxf>
          </x14:cfRule>
          <x14:cfRule type="expression" priority="120" id="{7D5196D0-1510-4598-AAC2-09CF415498B6}">
            <xm:f>PLANS!$F$3="JANUARY"</xm:f>
            <x14:dxf>
              <font>
                <color rgb="FF0070C0"/>
              </font>
            </x14:dxf>
          </x14:cfRule>
          <x14:cfRule type="expression" priority="121" id="{EBF299CC-B465-4A10-B8FA-241DA07476F3}">
            <xm:f>PLANS!$F$3="DECEMBER"</xm:f>
            <x14:dxf>
              <font>
                <color rgb="FF6600CC"/>
              </font>
            </x14:dxf>
          </x14:cfRule>
          <x14:cfRule type="expression" priority="122" id="{CFA62736-B4DF-452F-897B-C5FAB487470D}">
            <xm:f>PLANS!$F$3="NOVEMBER"</xm:f>
            <x14:dxf>
              <font>
                <color rgb="FF9900CC"/>
              </font>
            </x14:dxf>
          </x14:cfRule>
          <x14:cfRule type="expression" priority="123" id="{EB995193-8F4E-4937-8B20-C4CEFC495F71}">
            <xm:f>PLANS!$F$3="OCTOBER"</xm:f>
            <x14:dxf>
              <font>
                <color rgb="FFFF00FF"/>
              </font>
            </x14:dxf>
          </x14:cfRule>
          <x14:cfRule type="expression" priority="124" id="{0D743F11-1A01-4DC1-B3AF-19AB1AF32DD2}">
            <xm:f>PLANS!$F$3="SEPTEMBER"</xm:f>
            <x14:dxf>
              <font>
                <color rgb="FFFF0000"/>
              </font>
            </x14:dxf>
          </x14:cfRule>
          <x14:cfRule type="expression" priority="125" id="{1283CD98-0452-40AB-9ED0-17617B6EE88B}">
            <xm:f>PLANS!$F$3="AUGUST"</xm:f>
            <x14:dxf>
              <font>
                <color rgb="FFC00000"/>
              </font>
            </x14:dxf>
          </x14:cfRule>
          <x14:cfRule type="expression" priority="126" id="{D2A43DA0-2392-46C2-9BB2-453C1748E5D6}">
            <xm:f>PLANS!$F$3="JULY"</xm:f>
            <x14:dxf>
              <font>
                <color rgb="FFFF6600"/>
              </font>
            </x14:dxf>
          </x14:cfRule>
          <xm:sqref>AL11</xm:sqref>
        </x14:conditionalFormatting>
        <x14:conditionalFormatting xmlns:xm="http://schemas.microsoft.com/office/excel/2006/main">
          <x14:cfRule type="expression" priority="103" id="{A512454F-9A9B-4473-91B5-86D9ED2FF644}">
            <xm:f>PLANS!$F$3="JUNE"</xm:f>
            <x14:dxf>
              <font>
                <color rgb="FFFFC000"/>
              </font>
            </x14:dxf>
          </x14:cfRule>
          <x14:cfRule type="expression" priority="104" id="{169CD712-7A04-4C0E-A243-35E4151253A9}">
            <xm:f>PLANS!$F$3="MAY"</xm:f>
            <x14:dxf>
              <font>
                <color rgb="FFEBE600"/>
              </font>
            </x14:dxf>
          </x14:cfRule>
          <x14:cfRule type="expression" priority="105" id="{0176A36F-5FB3-4C48-96DC-D2A337BCAFC5}">
            <xm:f>PLANS!$F$3="APRIL"</xm:f>
            <x14:dxf>
              <font>
                <color rgb="FF92D050"/>
              </font>
            </x14:dxf>
          </x14:cfRule>
          <x14:cfRule type="expression" priority="106" id="{DB650318-C43C-4F7D-BFD5-6C41C49B2511}">
            <xm:f>PLANS!$F$3="MARCH"</xm:f>
            <x14:dxf>
              <font>
                <color rgb="FF00B050"/>
              </font>
            </x14:dxf>
          </x14:cfRule>
          <x14:cfRule type="expression" priority="107" id="{91E4E02C-2136-47A1-A380-45387639D7EE}">
            <xm:f>PLANS!$F$3="FEBRUARY"</xm:f>
            <x14:dxf>
              <font>
                <color rgb="FF00B0F0"/>
              </font>
            </x14:dxf>
          </x14:cfRule>
          <x14:cfRule type="expression" priority="108" id="{8D2E8F43-046C-4319-BA57-2FCC3A9F8236}">
            <xm:f>PLANS!$F$3="JANUARY"</xm:f>
            <x14:dxf>
              <font>
                <color rgb="FF0070C0"/>
              </font>
            </x14:dxf>
          </x14:cfRule>
          <x14:cfRule type="expression" priority="109" id="{342717F8-8F6D-4AB5-8260-56E8E6B36BCA}">
            <xm:f>PLANS!$F$3="DECEMBER"</xm:f>
            <x14:dxf>
              <font>
                <color rgb="FF6600CC"/>
              </font>
            </x14:dxf>
          </x14:cfRule>
          <x14:cfRule type="expression" priority="110" id="{75FE16A3-C834-4EBE-98FB-C5BC55A18F72}">
            <xm:f>PLANS!$F$3="NOVEMBER"</xm:f>
            <x14:dxf>
              <font>
                <color rgb="FF9900CC"/>
              </font>
            </x14:dxf>
          </x14:cfRule>
          <x14:cfRule type="expression" priority="111" id="{E4FDC07B-1D1F-4B13-8205-B465A6C6B1A3}">
            <xm:f>PLANS!$F$3="OCTOBER"</xm:f>
            <x14:dxf>
              <font>
                <color rgb="FFFF00FF"/>
              </font>
            </x14:dxf>
          </x14:cfRule>
          <x14:cfRule type="expression" priority="112" id="{8166E668-FF8B-4F81-84E6-EB9255A1615C}">
            <xm:f>PLANS!$F$3="SEPTEMBER"</xm:f>
            <x14:dxf>
              <font>
                <color rgb="FFFF0000"/>
              </font>
            </x14:dxf>
          </x14:cfRule>
          <x14:cfRule type="expression" priority="113" id="{5892A2B2-C4F2-44F4-B7CC-10EF9F6D67D2}">
            <xm:f>PLANS!$F$3="AUGUST"</xm:f>
            <x14:dxf>
              <font>
                <color rgb="FFC00000"/>
              </font>
            </x14:dxf>
          </x14:cfRule>
          <x14:cfRule type="expression" priority="114" id="{2EE319A0-6C27-483B-B107-48913128E0B1}">
            <xm:f>PLANS!$F$3="JULY"</xm:f>
            <x14:dxf>
              <font>
                <color rgb="FFFF6600"/>
              </font>
            </x14:dxf>
          </x14:cfRule>
          <xm:sqref>U28 Y26 AC24 AG23 AK20 AO17 AR14 AT11 AT8 AY11 BA14 BE17 BH20 BL21 BP24 BT26 BX28</xm:sqref>
        </x14:conditionalFormatting>
        <x14:conditionalFormatting xmlns:xm="http://schemas.microsoft.com/office/excel/2006/main">
          <x14:cfRule type="expression" priority="91" id="{EE9D3A42-9466-4167-9057-ABF8134EDE52}">
            <xm:f>PLANS!$F$3="JUNE"</xm:f>
            <x14:dxf>
              <font>
                <color rgb="FFFFC000"/>
              </font>
            </x14:dxf>
          </x14:cfRule>
          <x14:cfRule type="expression" priority="92" id="{D457DC48-35C1-49AF-927F-56E04549D876}">
            <xm:f>PLANS!$F$3="MAY"</xm:f>
            <x14:dxf>
              <font>
                <color rgb="FFEBE600"/>
              </font>
            </x14:dxf>
          </x14:cfRule>
          <x14:cfRule type="expression" priority="93" id="{4EF2BF00-F4EA-428F-B1BB-D0C1BB8D7227}">
            <xm:f>PLANS!$F$3="APRIL"</xm:f>
            <x14:dxf>
              <font>
                <color rgb="FF92D050"/>
              </font>
            </x14:dxf>
          </x14:cfRule>
          <x14:cfRule type="expression" priority="94" id="{476DC3E6-A6E5-44A2-AC15-918F4468DA70}">
            <xm:f>PLANS!$F$3="MARCH"</xm:f>
            <x14:dxf>
              <font>
                <color rgb="FF00B050"/>
              </font>
            </x14:dxf>
          </x14:cfRule>
          <x14:cfRule type="expression" priority="95" id="{DBA174E8-7C85-469B-B3EE-B31CB4F7EFCE}">
            <xm:f>PLANS!$F$3="FEBRUARY"</xm:f>
            <x14:dxf>
              <font>
                <color rgb="FF00B0F0"/>
              </font>
            </x14:dxf>
          </x14:cfRule>
          <x14:cfRule type="expression" priority="96" id="{DA069A66-F2A9-4B25-8F02-DAAA7EA6B34E}">
            <xm:f>PLANS!$F$3="JANUARY"</xm:f>
            <x14:dxf>
              <font>
                <color rgb="FF0070C0"/>
              </font>
            </x14:dxf>
          </x14:cfRule>
          <x14:cfRule type="expression" priority="97" id="{BF40CC33-2A54-4BF1-9B6E-9EB548E59EE5}">
            <xm:f>PLANS!$F$3="DECEMBER"</xm:f>
            <x14:dxf>
              <font>
                <color rgb="FF6600CC"/>
              </font>
            </x14:dxf>
          </x14:cfRule>
          <x14:cfRule type="expression" priority="98" id="{B6DF54C5-863E-435E-9632-E9142017DE09}">
            <xm:f>PLANS!$F$3="NOVEMBER"</xm:f>
            <x14:dxf>
              <font>
                <color rgb="FF9900CC"/>
              </font>
            </x14:dxf>
          </x14:cfRule>
          <x14:cfRule type="expression" priority="99" id="{FB44BCF0-EAEB-4196-B965-279AD3C74402}">
            <xm:f>PLANS!$F$3="OCTOBER"</xm:f>
            <x14:dxf>
              <font>
                <color rgb="FFFF00FF"/>
              </font>
            </x14:dxf>
          </x14:cfRule>
          <x14:cfRule type="expression" priority="100" id="{DBCD0FD4-EA8E-4C46-8D85-D6EE90271047}">
            <xm:f>PLANS!$F$3="SEPTEMBER"</xm:f>
            <x14:dxf>
              <font>
                <color rgb="FFFF0000"/>
              </font>
            </x14:dxf>
          </x14:cfRule>
          <x14:cfRule type="expression" priority="101" id="{99BFE4C6-3349-41D4-AD7F-4F0A4D26246E}">
            <xm:f>PLANS!$F$3="AUGUST"</xm:f>
            <x14:dxf>
              <font>
                <color rgb="FFC00000"/>
              </font>
            </x14:dxf>
          </x14:cfRule>
          <x14:cfRule type="expression" priority="102" id="{15082864-E5F5-4342-8285-08DA25E4924C}">
            <xm:f>PLANS!$F$3="JULY"</xm:f>
            <x14:dxf>
              <font>
                <color rgb="FFFF6600"/>
              </font>
            </x14:dxf>
          </x14:cfRule>
          <xm:sqref>AV20</xm:sqref>
        </x14:conditionalFormatting>
        <x14:conditionalFormatting xmlns:xm="http://schemas.microsoft.com/office/excel/2006/main">
          <x14:cfRule type="expression" priority="79" id="{29016C1A-7594-4EA9-B7CB-4E819CF15015}">
            <xm:f>PLANS!$F$3="JUNE"</xm:f>
            <x14:dxf>
              <font>
                <color rgb="FFFFC000"/>
              </font>
            </x14:dxf>
          </x14:cfRule>
          <x14:cfRule type="expression" priority="80" id="{54C07E0E-CDD6-47FC-ADD3-A57D63E34301}">
            <xm:f>PLANS!$F$3="MAY"</xm:f>
            <x14:dxf>
              <font>
                <color rgb="FFEBE600"/>
              </font>
            </x14:dxf>
          </x14:cfRule>
          <x14:cfRule type="expression" priority="81" id="{323F6C25-EC33-4E61-A76B-E8948173C689}">
            <xm:f>PLANS!$F$3="APRIL"</xm:f>
            <x14:dxf>
              <font>
                <color rgb="FF92D050"/>
              </font>
            </x14:dxf>
          </x14:cfRule>
          <x14:cfRule type="expression" priority="82" id="{3973E40B-9690-415C-8993-856738B707F9}">
            <xm:f>PLANS!$F$3="MARCH"</xm:f>
            <x14:dxf>
              <font>
                <color rgb="FF00B050"/>
              </font>
            </x14:dxf>
          </x14:cfRule>
          <x14:cfRule type="expression" priority="83" id="{8CAF84A1-9A7C-4302-8B5F-EF77B93B37BA}">
            <xm:f>PLANS!$F$3="FEBRUARY"</xm:f>
            <x14:dxf>
              <font>
                <color rgb="FF00B0F0"/>
              </font>
            </x14:dxf>
          </x14:cfRule>
          <x14:cfRule type="expression" priority="84" id="{D0518C6B-8E3D-4A6E-B890-3B1A38544ACB}">
            <xm:f>PLANS!$F$3="JANUARY"</xm:f>
            <x14:dxf>
              <font>
                <color rgb="FF0070C0"/>
              </font>
            </x14:dxf>
          </x14:cfRule>
          <x14:cfRule type="expression" priority="85" id="{BCA1B523-EED2-42CE-9B06-582C35F23C8A}">
            <xm:f>PLANS!$F$3="DECEMBER"</xm:f>
            <x14:dxf>
              <font>
                <color rgb="FF6600CC"/>
              </font>
            </x14:dxf>
          </x14:cfRule>
          <x14:cfRule type="expression" priority="86" id="{4BEDDB00-FBE2-4571-BD9E-4BC5AB302EAD}">
            <xm:f>PLANS!$F$3="NOVEMBER"</xm:f>
            <x14:dxf>
              <font>
                <color rgb="FF9900CC"/>
              </font>
            </x14:dxf>
          </x14:cfRule>
          <x14:cfRule type="expression" priority="87" id="{8495110C-A5E6-44A1-869D-D322BB64E826}">
            <xm:f>PLANS!$F$3="OCTOBER"</xm:f>
            <x14:dxf>
              <font>
                <color rgb="FFFF00FF"/>
              </font>
            </x14:dxf>
          </x14:cfRule>
          <x14:cfRule type="expression" priority="88" id="{A188F79B-6A4D-4E44-926E-E0BEEEB6F133}">
            <xm:f>PLANS!$F$3="SEPTEMBER"</xm:f>
            <x14:dxf>
              <font>
                <color rgb="FFFF0000"/>
              </font>
            </x14:dxf>
          </x14:cfRule>
          <x14:cfRule type="expression" priority="89" id="{4F96BEF5-03DE-4173-B913-0198638D7858}">
            <xm:f>PLANS!$F$3="AUGUST"</xm:f>
            <x14:dxf>
              <font>
                <color rgb="FFC00000"/>
              </font>
            </x14:dxf>
          </x14:cfRule>
          <x14:cfRule type="expression" priority="90" id="{954EE105-FF96-4126-984D-EAB4E2D96C48}">
            <xm:f>PLANS!$F$3="JULY"</xm:f>
            <x14:dxf>
              <font>
                <color rgb="FFFF6600"/>
              </font>
            </x14:dxf>
          </x14:cfRule>
          <xm:sqref>AV14</xm:sqref>
        </x14:conditionalFormatting>
        <x14:conditionalFormatting xmlns:xm="http://schemas.microsoft.com/office/excel/2006/main">
          <x14:cfRule type="expression" priority="67" id="{0AF3D1B0-3C0A-4B93-A3EB-EC5F27EA1685}">
            <xm:f>PLANS!$F$3="JUNE"</xm:f>
            <x14:dxf>
              <font>
                <color rgb="FFFFC000"/>
              </font>
            </x14:dxf>
          </x14:cfRule>
          <x14:cfRule type="expression" priority="68" id="{0CBE7C9C-52EC-4F0F-93DA-C0C2123D4EBD}">
            <xm:f>PLANS!$F$3="MAY"</xm:f>
            <x14:dxf>
              <font>
                <color rgb="FFEBE600"/>
              </font>
            </x14:dxf>
          </x14:cfRule>
          <x14:cfRule type="expression" priority="69" id="{577BBC85-CBA9-444C-9BF6-D7D398144840}">
            <xm:f>PLANS!$F$3="APRIL"</xm:f>
            <x14:dxf>
              <font>
                <color rgb="FF92D050"/>
              </font>
            </x14:dxf>
          </x14:cfRule>
          <x14:cfRule type="expression" priority="70" id="{3E282C95-A900-4308-9659-938680FCDF03}">
            <xm:f>PLANS!$F$3="MARCH"</xm:f>
            <x14:dxf>
              <font>
                <color rgb="FF00B050"/>
              </font>
            </x14:dxf>
          </x14:cfRule>
          <x14:cfRule type="expression" priority="71" id="{9373B7C0-65AA-4F7D-A65D-927C4126F2EE}">
            <xm:f>PLANS!$F$3="FEBRUARY"</xm:f>
            <x14:dxf>
              <font>
                <color rgb="FF00B0F0"/>
              </font>
            </x14:dxf>
          </x14:cfRule>
          <x14:cfRule type="expression" priority="72" id="{43BD0E56-115E-480B-9D8A-C1DF0C170AFD}">
            <xm:f>PLANS!$F$3="JANUARY"</xm:f>
            <x14:dxf>
              <font>
                <color rgb="FF0070C0"/>
              </font>
            </x14:dxf>
          </x14:cfRule>
          <x14:cfRule type="expression" priority="73" id="{5BC19114-F714-40D5-A343-3608979DB128}">
            <xm:f>PLANS!$F$3="DECEMBER"</xm:f>
            <x14:dxf>
              <font>
                <color rgb="FF6600CC"/>
              </font>
            </x14:dxf>
          </x14:cfRule>
          <x14:cfRule type="expression" priority="74" id="{0BE6B39A-1822-4265-9B2B-D22C2120E3D8}">
            <xm:f>PLANS!$F$3="NOVEMBER"</xm:f>
            <x14:dxf>
              <font>
                <color rgb="FF9900CC"/>
              </font>
            </x14:dxf>
          </x14:cfRule>
          <x14:cfRule type="expression" priority="75" id="{899CCC4F-42FE-4592-9B16-C6F8E5DCB025}">
            <xm:f>PLANS!$F$3="OCTOBER"</xm:f>
            <x14:dxf>
              <font>
                <color rgb="FFFF00FF"/>
              </font>
            </x14:dxf>
          </x14:cfRule>
          <x14:cfRule type="expression" priority="76" id="{E2DB0818-A3FF-4F67-A72D-293B65222747}">
            <xm:f>PLANS!$F$3="SEPTEMBER"</xm:f>
            <x14:dxf>
              <font>
                <color rgb="FFFF0000"/>
              </font>
            </x14:dxf>
          </x14:cfRule>
          <x14:cfRule type="expression" priority="77" id="{97A80CE2-C96D-4DB8-B04F-EDF2C5580339}">
            <xm:f>PLANS!$F$3="AUGUST"</xm:f>
            <x14:dxf>
              <font>
                <color rgb="FFC00000"/>
              </font>
            </x14:dxf>
          </x14:cfRule>
          <x14:cfRule type="expression" priority="78" id="{9E9C1CBD-C513-4B1B-8C80-218749ED5C38}">
            <xm:f>PLANS!$F$3="JULY"</xm:f>
            <x14:dxf>
              <font>
                <color rgb="FFFF6600"/>
              </font>
            </x14:dxf>
          </x14:cfRule>
          <xm:sqref>AC28</xm:sqref>
        </x14:conditionalFormatting>
        <x14:conditionalFormatting xmlns:xm="http://schemas.microsoft.com/office/excel/2006/main">
          <x14:cfRule type="expression" priority="55" id="{58B2E085-8821-4FD7-ACF7-3BB4A17EE2BE}">
            <xm:f>PLANS!$F$3="JUNE"</xm:f>
            <x14:dxf>
              <font>
                <color rgb="FFFFC000"/>
              </font>
            </x14:dxf>
          </x14:cfRule>
          <x14:cfRule type="expression" priority="56" id="{CBEE236C-4F4D-4113-AD2F-39252FFDB0AC}">
            <xm:f>PLANS!$F$3="MAY"</xm:f>
            <x14:dxf>
              <font>
                <color rgb="FFEBE600"/>
              </font>
            </x14:dxf>
          </x14:cfRule>
          <x14:cfRule type="expression" priority="57" id="{6020176E-3619-4796-AA50-51E4356A2703}">
            <xm:f>PLANS!$F$3="APRIL"</xm:f>
            <x14:dxf>
              <font>
                <color rgb="FF92D050"/>
              </font>
            </x14:dxf>
          </x14:cfRule>
          <x14:cfRule type="expression" priority="58" id="{69D201B3-D307-4D82-B0AB-AD2E0924B5EB}">
            <xm:f>PLANS!$F$3="MARCH"</xm:f>
            <x14:dxf>
              <font>
                <color rgb="FF00B050"/>
              </font>
            </x14:dxf>
          </x14:cfRule>
          <x14:cfRule type="expression" priority="59" id="{85A1166E-23EF-4820-9E40-9355845A7CF0}">
            <xm:f>PLANS!$F$3="FEBRUARY"</xm:f>
            <x14:dxf>
              <font>
                <color rgb="FF00B0F0"/>
              </font>
            </x14:dxf>
          </x14:cfRule>
          <x14:cfRule type="expression" priority="60" id="{1AB154EB-6600-41ED-A5B6-D4AE9E0E79FE}">
            <xm:f>PLANS!$F$3="JANUARY"</xm:f>
            <x14:dxf>
              <font>
                <color rgb="FF0070C0"/>
              </font>
            </x14:dxf>
          </x14:cfRule>
          <x14:cfRule type="expression" priority="61" id="{F89C78DA-C562-45FF-B67A-CCEA9D160392}">
            <xm:f>PLANS!$F$3="DECEMBER"</xm:f>
            <x14:dxf>
              <font>
                <color rgb="FF6600CC"/>
              </font>
            </x14:dxf>
          </x14:cfRule>
          <x14:cfRule type="expression" priority="62" id="{F2C7EB0C-150F-4D4C-B07F-ADF0190EAABA}">
            <xm:f>PLANS!$F$3="NOVEMBER"</xm:f>
            <x14:dxf>
              <font>
                <color rgb="FF9900CC"/>
              </font>
            </x14:dxf>
          </x14:cfRule>
          <x14:cfRule type="expression" priority="63" id="{7B124D45-9A2D-4744-80C1-D6D565CF9AC7}">
            <xm:f>PLANS!$F$3="OCTOBER"</xm:f>
            <x14:dxf>
              <font>
                <color rgb="FFFF00FF"/>
              </font>
            </x14:dxf>
          </x14:cfRule>
          <x14:cfRule type="expression" priority="64" id="{6C6F57C5-80A1-41E1-9A3C-74BA642DEA31}">
            <xm:f>PLANS!$F$3="SEPTEMBER"</xm:f>
            <x14:dxf>
              <font>
                <color rgb="FFFF0000"/>
              </font>
            </x14:dxf>
          </x14:cfRule>
          <x14:cfRule type="expression" priority="65" id="{77EA98F5-92F4-4E20-A0A6-39C08D62EF5B}">
            <xm:f>PLANS!$F$3="AUGUST"</xm:f>
            <x14:dxf>
              <font>
                <color rgb="FFC00000"/>
              </font>
            </x14:dxf>
          </x14:cfRule>
          <x14:cfRule type="expression" priority="66" id="{F6EB35AC-ECDB-4908-8C44-A43FBB790F9D}">
            <xm:f>PLANS!$F$3="JULY"</xm:f>
            <x14:dxf>
              <font>
                <color rgb="FFFF6600"/>
              </font>
            </x14:dxf>
          </x14:cfRule>
          <xm:sqref>AL24</xm:sqref>
        </x14:conditionalFormatting>
        <x14:conditionalFormatting xmlns:xm="http://schemas.microsoft.com/office/excel/2006/main">
          <x14:cfRule type="expression" priority="43" id="{26276590-BA33-49CD-A156-FB6C301E4C0F}">
            <xm:f>PLANS!$F$3="JUNE"</xm:f>
            <x14:dxf>
              <font>
                <color rgb="FFFFC000"/>
              </font>
            </x14:dxf>
          </x14:cfRule>
          <x14:cfRule type="expression" priority="44" id="{B7E9CAB6-3A8A-4DDD-99C3-ABB587D2D3EE}">
            <xm:f>PLANS!$F$3="MAY"</xm:f>
            <x14:dxf>
              <font>
                <color rgb="FFEBE600"/>
              </font>
            </x14:dxf>
          </x14:cfRule>
          <x14:cfRule type="expression" priority="45" id="{D661378F-FF42-440E-8E32-32642319A26E}">
            <xm:f>PLANS!$F$3="APRIL"</xm:f>
            <x14:dxf>
              <font>
                <color rgb="FF92D050"/>
              </font>
            </x14:dxf>
          </x14:cfRule>
          <x14:cfRule type="expression" priority="46" id="{1F9A212D-0816-4001-B426-D7CE412CBDD6}">
            <xm:f>PLANS!$F$3="MARCH"</xm:f>
            <x14:dxf>
              <font>
                <color rgb="FF00B050"/>
              </font>
            </x14:dxf>
          </x14:cfRule>
          <x14:cfRule type="expression" priority="47" id="{1B54C84E-BECA-483B-9555-32AAF74C9E3E}">
            <xm:f>PLANS!$F$3="FEBRUARY"</xm:f>
            <x14:dxf>
              <font>
                <color rgb="FF00B0F0"/>
              </font>
            </x14:dxf>
          </x14:cfRule>
          <x14:cfRule type="expression" priority="48" id="{36CA0445-2955-43AD-94C3-3D67B251CC50}">
            <xm:f>PLANS!$F$3="JANUARY"</xm:f>
            <x14:dxf>
              <font>
                <color rgb="FF0070C0"/>
              </font>
            </x14:dxf>
          </x14:cfRule>
          <x14:cfRule type="expression" priority="49" id="{C2E91B0D-FD50-474A-B8C6-6A8F80C93864}">
            <xm:f>PLANS!$F$3="DECEMBER"</xm:f>
            <x14:dxf>
              <font>
                <color rgb="FF6600CC"/>
              </font>
            </x14:dxf>
          </x14:cfRule>
          <x14:cfRule type="expression" priority="50" id="{D5302AF4-4C28-4C18-AC03-C07AD4048E00}">
            <xm:f>PLANS!$F$3="NOVEMBER"</xm:f>
            <x14:dxf>
              <font>
                <color rgb="FF9900CC"/>
              </font>
            </x14:dxf>
          </x14:cfRule>
          <x14:cfRule type="expression" priority="51" id="{B602C929-6CC3-483C-91FC-58A4ECE76693}">
            <xm:f>PLANS!$F$3="OCTOBER"</xm:f>
            <x14:dxf>
              <font>
                <color rgb="FFFF00FF"/>
              </font>
            </x14:dxf>
          </x14:cfRule>
          <x14:cfRule type="expression" priority="52" id="{97991165-3C05-4B81-9E34-7F02451851AE}">
            <xm:f>PLANS!$F$3="SEPTEMBER"</xm:f>
            <x14:dxf>
              <font>
                <color rgb="FFFF0000"/>
              </font>
            </x14:dxf>
          </x14:cfRule>
          <x14:cfRule type="expression" priority="53" id="{D63791D4-37A4-497F-A3E6-48443327941D}">
            <xm:f>PLANS!$F$3="AUGUST"</xm:f>
            <x14:dxf>
              <font>
                <color rgb="FFC00000"/>
              </font>
            </x14:dxf>
          </x14:cfRule>
          <x14:cfRule type="expression" priority="54" id="{A2109CE2-7DE6-41F8-91CA-004E6C35CB68}">
            <xm:f>PLANS!$F$3="JULY"</xm:f>
            <x14:dxf>
              <font>
                <color rgb="FFFF6600"/>
              </font>
            </x14:dxf>
          </x14:cfRule>
          <xm:sqref>BE24</xm:sqref>
        </x14:conditionalFormatting>
        <x14:conditionalFormatting xmlns:xm="http://schemas.microsoft.com/office/excel/2006/main">
          <x14:cfRule type="expression" priority="31" id="{950F31F2-14A7-4C80-B51F-D743F7176535}">
            <xm:f>PLANS!$F$3="JUNE"</xm:f>
            <x14:dxf>
              <font>
                <color rgb="FFFFC000"/>
              </font>
            </x14:dxf>
          </x14:cfRule>
          <x14:cfRule type="expression" priority="32" id="{DD05E6CE-7AF4-4B6D-AD7E-DB6CB0558128}">
            <xm:f>PLANS!$F$3="MAY"</xm:f>
            <x14:dxf>
              <font>
                <color rgb="FFEBE600"/>
              </font>
            </x14:dxf>
          </x14:cfRule>
          <x14:cfRule type="expression" priority="33" id="{22D178B3-1BDB-45D4-BF34-DE32B0DCF741}">
            <xm:f>PLANS!$F$3="APRIL"</xm:f>
            <x14:dxf>
              <font>
                <color rgb="FF92D050"/>
              </font>
            </x14:dxf>
          </x14:cfRule>
          <x14:cfRule type="expression" priority="34" id="{1A4D0614-CA63-4D10-B267-1D01D1CAA054}">
            <xm:f>PLANS!$F$3="MARCH"</xm:f>
            <x14:dxf>
              <font>
                <color rgb="FF00B050"/>
              </font>
            </x14:dxf>
          </x14:cfRule>
          <x14:cfRule type="expression" priority="35" id="{05FC18F0-DE4E-4D14-ABCD-2DA0227CD149}">
            <xm:f>PLANS!$F$3="FEBRUARY"</xm:f>
            <x14:dxf>
              <font>
                <color rgb="FF00B0F0"/>
              </font>
            </x14:dxf>
          </x14:cfRule>
          <x14:cfRule type="expression" priority="36" id="{C7695B1A-2514-4A3B-8330-C28B85C8F23B}">
            <xm:f>PLANS!$F$3="JANUARY"</xm:f>
            <x14:dxf>
              <font>
                <color rgb="FF0070C0"/>
              </font>
            </x14:dxf>
          </x14:cfRule>
          <x14:cfRule type="expression" priority="37" id="{922297F5-28B7-4C53-977F-408724F80441}">
            <xm:f>PLANS!$F$3="DECEMBER"</xm:f>
            <x14:dxf>
              <font>
                <color rgb="FF6600CC"/>
              </font>
            </x14:dxf>
          </x14:cfRule>
          <x14:cfRule type="expression" priority="38" id="{32BB40D0-2995-4DEE-AB08-56E4ADA0730B}">
            <xm:f>PLANS!$F$3="NOVEMBER"</xm:f>
            <x14:dxf>
              <font>
                <color rgb="FF9900CC"/>
              </font>
            </x14:dxf>
          </x14:cfRule>
          <x14:cfRule type="expression" priority="39" id="{A4A48D62-3F34-475D-A963-BA09F523D46C}">
            <xm:f>PLANS!$F$3="OCTOBER"</xm:f>
            <x14:dxf>
              <font>
                <color rgb="FFFF00FF"/>
              </font>
            </x14:dxf>
          </x14:cfRule>
          <x14:cfRule type="expression" priority="40" id="{02CF4DA0-3B91-40C9-A077-ACB58D3B7B86}">
            <xm:f>PLANS!$F$3="SEPTEMBER"</xm:f>
            <x14:dxf>
              <font>
                <color rgb="FFFF0000"/>
              </font>
            </x14:dxf>
          </x14:cfRule>
          <x14:cfRule type="expression" priority="41" id="{02B3BBD0-38E7-4870-A753-2481722D6857}">
            <xm:f>PLANS!$F$3="AUGUST"</xm:f>
            <x14:dxf>
              <font>
                <color rgb="FFC00000"/>
              </font>
            </x14:dxf>
          </x14:cfRule>
          <x14:cfRule type="expression" priority="42" id="{7019401A-B1EA-4207-8793-574F013D1FCE}">
            <xm:f>PLANS!$F$3="JULY"</xm:f>
            <x14:dxf>
              <font>
                <color rgb="FFFF6600"/>
              </font>
            </x14:dxf>
          </x14:cfRule>
          <xm:sqref>BO28</xm:sqref>
        </x14:conditionalFormatting>
        <x14:conditionalFormatting xmlns:xm="http://schemas.microsoft.com/office/excel/2006/main">
          <x14:cfRule type="expression" priority="19" id="{109AD967-0E21-4C98-A461-BF8C67227C4E}">
            <xm:f>PLANS!$F$3="JUNE"</xm:f>
            <x14:dxf>
              <font>
                <color rgb="FFFFC000"/>
              </font>
            </x14:dxf>
          </x14:cfRule>
          <x14:cfRule type="expression" priority="20" id="{187D9944-A3F7-4D2E-AC00-9AD5D87189ED}">
            <xm:f>PLANS!$F$3="MAY"</xm:f>
            <x14:dxf>
              <font>
                <color rgb="FFEBE600"/>
              </font>
            </x14:dxf>
          </x14:cfRule>
          <x14:cfRule type="expression" priority="21" id="{21E8ABEA-510A-4830-8C82-935EDDE1841C}">
            <xm:f>PLANS!$F$3="APRIL"</xm:f>
            <x14:dxf>
              <font>
                <color rgb="FF92D050"/>
              </font>
            </x14:dxf>
          </x14:cfRule>
          <x14:cfRule type="expression" priority="22" id="{6A51199A-6342-4FC5-AA1A-35285EDF2AEF}">
            <xm:f>PLANS!$F$3="MARCH"</xm:f>
            <x14:dxf>
              <font>
                <color rgb="FF00B050"/>
              </font>
            </x14:dxf>
          </x14:cfRule>
          <x14:cfRule type="expression" priority="23" id="{882BEFBF-FC20-4C5D-8BE9-445A6C5E1ACF}">
            <xm:f>PLANS!$F$3="FEBRUARY"</xm:f>
            <x14:dxf>
              <font>
                <color rgb="FF00B0F0"/>
              </font>
            </x14:dxf>
          </x14:cfRule>
          <x14:cfRule type="expression" priority="24" id="{27DE7A43-52B2-48D4-B75E-FBC30DE67EB0}">
            <xm:f>PLANS!$F$3="JANUARY"</xm:f>
            <x14:dxf>
              <font>
                <color rgb="FF0070C0"/>
              </font>
            </x14:dxf>
          </x14:cfRule>
          <x14:cfRule type="expression" priority="25" id="{2BAA94EC-4155-46FA-B8AC-64B14C604189}">
            <xm:f>PLANS!$F$3="DECEMBER"</xm:f>
            <x14:dxf>
              <font>
                <color rgb="FF6600CC"/>
              </font>
            </x14:dxf>
          </x14:cfRule>
          <x14:cfRule type="expression" priority="26" id="{C9F48D57-CC7B-4933-8914-78576FCFE89A}">
            <xm:f>PLANS!$F$3="NOVEMBER"</xm:f>
            <x14:dxf>
              <font>
                <color rgb="FF9900CC"/>
              </font>
            </x14:dxf>
          </x14:cfRule>
          <x14:cfRule type="expression" priority="27" id="{D41E5BBA-BDF4-42FB-8E6C-AD04C903C710}">
            <xm:f>PLANS!$F$3="OCTOBER"</xm:f>
            <x14:dxf>
              <font>
                <color rgb="FFFF00FF"/>
              </font>
            </x14:dxf>
          </x14:cfRule>
          <x14:cfRule type="expression" priority="28" id="{6BE496AA-53B4-42AC-BEF3-C02A4FDDE91A}">
            <xm:f>PLANS!$F$3="SEPTEMBER"</xm:f>
            <x14:dxf>
              <font>
                <color rgb="FFFF0000"/>
              </font>
            </x14:dxf>
          </x14:cfRule>
          <x14:cfRule type="expression" priority="29" id="{7985578E-4CA4-46AC-BFE5-EC94721AC58D}">
            <xm:f>PLANS!$F$3="AUGUST"</xm:f>
            <x14:dxf>
              <font>
                <color rgb="FFC00000"/>
              </font>
            </x14:dxf>
          </x14:cfRule>
          <x14:cfRule type="expression" priority="30" id="{2B51AAA0-1915-4AFA-8FE0-5B10A6F67AA7}">
            <xm:f>PLANS!$F$3="JULY"</xm:f>
            <x14:dxf>
              <font>
                <color rgb="FFFF6600"/>
              </font>
            </x14:dxf>
          </x14:cfRule>
          <xm:sqref>AT4 AY4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67F89C-CADC-4467-9F49-F7FA21492DD2}">
  <sheetPr codeName="Sheet2"/>
  <dimension ref="A1:DH153"/>
  <sheetViews>
    <sheetView showGridLines="0" showRowColHeaders="0" zoomScaleNormal="100" workbookViewId="0"/>
  </sheetViews>
  <sheetFormatPr defaultColWidth="3.42578125" defaultRowHeight="17.100000000000001" customHeight="1" x14ac:dyDescent="0.15"/>
  <cols>
    <col min="1" max="36" width="3.42578125" style="19"/>
    <col min="37" max="37" width="3.42578125" style="19" customWidth="1"/>
    <col min="38" max="79" width="3.42578125" style="19"/>
    <col min="80" max="112" width="3.42578125" style="19" hidden="1" customWidth="1"/>
    <col min="113" max="16384" width="3.42578125" style="19"/>
  </cols>
  <sheetData>
    <row r="1" spans="1:111" ht="17.100000000000001" customHeight="1" x14ac:dyDescent="0.15">
      <c r="A1" s="2694" t="s">
        <v>1706</v>
      </c>
      <c r="B1" s="91"/>
      <c r="C1" s="91"/>
      <c r="D1" s="91"/>
      <c r="E1" s="91"/>
      <c r="F1" s="91"/>
      <c r="G1" s="91"/>
      <c r="H1" s="91"/>
      <c r="I1" s="91"/>
      <c r="J1" s="91"/>
      <c r="K1" s="91"/>
      <c r="L1" s="91"/>
      <c r="M1" s="91"/>
      <c r="N1" s="91"/>
      <c r="O1" s="91"/>
      <c r="P1" s="91"/>
      <c r="Q1" s="91"/>
      <c r="R1" s="91"/>
      <c r="S1" s="91"/>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8" t="s">
        <v>782</v>
      </c>
    </row>
    <row r="2" spans="1:111" ht="17.100000000000001" customHeight="1" x14ac:dyDescent="0.15">
      <c r="A2" s="17"/>
      <c r="B2" s="3288"/>
      <c r="C2" s="3288"/>
      <c r="D2" s="3288"/>
      <c r="E2" s="3288"/>
      <c r="F2" s="3288"/>
      <c r="G2" s="3288"/>
      <c r="H2" s="3288"/>
      <c r="I2" s="3288"/>
      <c r="J2" s="3288"/>
      <c r="K2" s="3288"/>
      <c r="L2" s="3288"/>
      <c r="M2" s="3288"/>
      <c r="N2" s="3288"/>
      <c r="O2" s="3288"/>
      <c r="P2" s="3288"/>
      <c r="Q2" s="3288"/>
      <c r="R2" s="3288"/>
      <c r="S2" s="3288"/>
      <c r="T2" s="3594"/>
      <c r="U2" s="3594"/>
      <c r="V2" s="3594"/>
      <c r="W2" s="3594"/>
      <c r="X2" s="3594"/>
      <c r="Y2" s="3594"/>
      <c r="Z2" s="3594"/>
      <c r="AA2" s="3594"/>
      <c r="AB2" s="3594"/>
      <c r="AC2" s="3594"/>
      <c r="AD2" s="3594"/>
      <c r="AE2" s="3594"/>
      <c r="AF2" s="3594"/>
      <c r="AG2" s="3594"/>
      <c r="AH2" s="3594"/>
      <c r="AI2" s="3594"/>
      <c r="AJ2" s="3594"/>
      <c r="AK2" s="3594"/>
      <c r="AL2" s="3594"/>
      <c r="AM2" s="3594"/>
      <c r="AN2" s="3594"/>
      <c r="AO2" s="3594"/>
      <c r="AP2" s="3594"/>
      <c r="AQ2" s="3594"/>
      <c r="AR2" s="3594"/>
      <c r="AS2" s="3594"/>
      <c r="AT2" s="3594"/>
      <c r="AU2" s="3594"/>
      <c r="AV2" s="3594"/>
      <c r="AW2" s="3594"/>
      <c r="AX2" s="3594"/>
      <c r="AY2" s="3594"/>
      <c r="AZ2" s="3594"/>
      <c r="BA2" s="3594"/>
      <c r="BB2" s="3594"/>
      <c r="BC2" s="3594"/>
      <c r="BD2" s="3594"/>
      <c r="BE2" s="3594"/>
      <c r="BF2" s="3594"/>
      <c r="BG2" s="3594"/>
      <c r="BH2" s="3594"/>
      <c r="BI2" s="3594"/>
      <c r="BJ2" s="3594"/>
      <c r="BK2" s="3594"/>
      <c r="BL2" s="3594"/>
      <c r="BM2" s="3594"/>
      <c r="BN2" s="3594"/>
      <c r="BO2" s="3594"/>
      <c r="BP2" s="3594"/>
      <c r="BQ2" s="3594"/>
      <c r="BR2" s="3594"/>
      <c r="BS2" s="3594"/>
      <c r="BT2" s="3594"/>
      <c r="BU2" s="3594"/>
      <c r="BV2" s="3594"/>
      <c r="BW2" s="3594"/>
      <c r="BX2" s="3594"/>
      <c r="BY2" s="3594"/>
      <c r="BZ2" s="3594"/>
      <c r="CA2" s="17"/>
      <c r="CD2" s="1227" t="s">
        <v>450</v>
      </c>
    </row>
    <row r="3" spans="1:111" ht="17.100000000000001" customHeight="1" x14ac:dyDescent="0.15">
      <c r="A3" s="17"/>
      <c r="B3" s="3288"/>
      <c r="C3" s="3589" t="s">
        <v>448</v>
      </c>
      <c r="D3" s="3590"/>
      <c r="E3" s="3590" t="str">
        <f>IF(PROGRESS!$AF$21&gt;=CF3,"¿","")</f>
        <v/>
      </c>
      <c r="F3" s="3590"/>
      <c r="G3" s="3590" t="str">
        <f>IF(PROGRESS!$AF$21&gt;=CH3,"¿","")</f>
        <v/>
      </c>
      <c r="H3" s="3590"/>
      <c r="I3" s="3590" t="str">
        <f>IF(PROGRESS!$AF$21&gt;=CJ3,"¿","")</f>
        <v/>
      </c>
      <c r="J3" s="3590"/>
      <c r="K3" s="3590" t="str">
        <f>IF(PROGRESS!$AF$21&gt;=CL3,"¿","")</f>
        <v/>
      </c>
      <c r="L3" s="3590"/>
      <c r="M3" s="3590" t="str">
        <f>IF(PROGRESS!$AF$21&gt;=CN3,"¿","")</f>
        <v/>
      </c>
      <c r="N3" s="3590"/>
      <c r="O3" s="3590" t="str">
        <f>IF(PROGRESS!$AF$21&gt;=CP3,"¿","")</f>
        <v/>
      </c>
      <c r="P3" s="3590"/>
      <c r="Q3" s="3590" t="str">
        <f>IF(PROGRESS!$AF$21&gt;=CR3,"¿","")</f>
        <v/>
      </c>
      <c r="R3" s="3595"/>
      <c r="S3" s="3288"/>
      <c r="T3" s="3594"/>
      <c r="U3" s="3594"/>
      <c r="V3" s="3594"/>
      <c r="W3" s="3594"/>
      <c r="X3" s="3594"/>
      <c r="Y3" s="3594"/>
      <c r="Z3" s="3594"/>
      <c r="AA3" s="3594"/>
      <c r="AB3" s="3594"/>
      <c r="AC3" s="3594"/>
      <c r="AD3" s="3594"/>
      <c r="AE3" s="3594"/>
      <c r="AF3" s="3594"/>
      <c r="AG3" s="3594"/>
      <c r="AH3" s="3594"/>
      <c r="AI3" s="3594"/>
      <c r="AJ3" s="3594"/>
      <c r="AK3" s="3594"/>
      <c r="AL3" s="3594"/>
      <c r="AM3" s="3594"/>
      <c r="AN3" s="3594"/>
      <c r="AO3" s="3594"/>
      <c r="AP3" s="3594"/>
      <c r="AQ3" s="3594"/>
      <c r="AR3" s="3594"/>
      <c r="AS3" s="3594"/>
      <c r="AT3" s="3594"/>
      <c r="AU3" s="3594"/>
      <c r="AV3" s="3594"/>
      <c r="AW3" s="3594"/>
      <c r="AX3" s="3594"/>
      <c r="AY3" s="3594"/>
      <c r="AZ3" s="3594"/>
      <c r="BA3" s="3594"/>
      <c r="BB3" s="3594"/>
      <c r="BC3" s="3594"/>
      <c r="BD3" s="3594"/>
      <c r="BE3" s="3594"/>
      <c r="BF3" s="3594"/>
      <c r="BG3" s="3594"/>
      <c r="BH3" s="3594"/>
      <c r="BI3" s="3594"/>
      <c r="BJ3" s="3594"/>
      <c r="BK3" s="3594"/>
      <c r="BL3" s="3594"/>
      <c r="BM3" s="3594"/>
      <c r="BN3" s="3594"/>
      <c r="BO3" s="3594"/>
      <c r="BP3" s="3594"/>
      <c r="BQ3" s="3594"/>
      <c r="BR3" s="3594"/>
      <c r="BS3" s="3594"/>
      <c r="BT3" s="3594"/>
      <c r="BU3" s="3594"/>
      <c r="BV3" s="3594"/>
      <c r="BW3" s="3594"/>
      <c r="BX3" s="3594"/>
      <c r="BY3" s="3594"/>
      <c r="BZ3" s="3594"/>
      <c r="CA3" s="17"/>
      <c r="CD3" s="383">
        <v>2</v>
      </c>
      <c r="CE3" s="441"/>
      <c r="CF3" s="383">
        <v>4</v>
      </c>
      <c r="CG3" s="441"/>
      <c r="CH3" s="383">
        <v>6</v>
      </c>
      <c r="CI3" s="441"/>
      <c r="CJ3" s="383">
        <v>8</v>
      </c>
      <c r="CK3" s="441"/>
      <c r="CL3" s="383">
        <v>10</v>
      </c>
      <c r="CM3" s="441"/>
      <c r="CN3" s="383">
        <v>12</v>
      </c>
      <c r="CO3" s="441"/>
      <c r="CP3" s="383">
        <v>14</v>
      </c>
      <c r="CQ3" s="441"/>
      <c r="CR3" s="383">
        <v>16</v>
      </c>
    </row>
    <row r="4" spans="1:111" ht="17.100000000000001" customHeight="1" x14ac:dyDescent="0.15">
      <c r="A4" s="17"/>
      <c r="B4" s="3288"/>
      <c r="C4" s="3591"/>
      <c r="D4" s="3592"/>
      <c r="E4" s="3592"/>
      <c r="F4" s="3592"/>
      <c r="G4" s="3592"/>
      <c r="H4" s="3592"/>
      <c r="I4" s="3592"/>
      <c r="J4" s="3592"/>
      <c r="K4" s="3592"/>
      <c r="L4" s="3592"/>
      <c r="M4" s="3592"/>
      <c r="N4" s="3592"/>
      <c r="O4" s="3592"/>
      <c r="P4" s="3592"/>
      <c r="Q4" s="3592"/>
      <c r="R4" s="3596"/>
      <c r="S4" s="3288"/>
      <c r="T4" s="3594"/>
      <c r="U4" s="3594"/>
      <c r="V4" s="3594"/>
      <c r="W4" s="3594"/>
      <c r="X4" s="3594"/>
      <c r="Y4" s="3594"/>
      <c r="Z4" s="3594"/>
      <c r="AA4" s="3594"/>
      <c r="AB4" s="3594"/>
      <c r="AC4" s="3594"/>
      <c r="AD4" s="3594"/>
      <c r="AE4" s="3594"/>
      <c r="AF4" s="3594"/>
      <c r="AG4" s="3594"/>
      <c r="AH4" s="3594"/>
      <c r="AI4" s="3594"/>
      <c r="AJ4" s="3594"/>
      <c r="AK4" s="3594"/>
      <c r="AL4" s="3594"/>
      <c r="AM4" s="3594"/>
      <c r="AN4" s="3594"/>
      <c r="AO4" s="3594"/>
      <c r="AP4" s="3594"/>
      <c r="AQ4" s="3594"/>
      <c r="AR4" s="3594"/>
      <c r="AS4" s="3594"/>
      <c r="AT4" s="3594"/>
      <c r="AU4" s="3594"/>
      <c r="AV4" s="3594"/>
      <c r="AW4" s="3594"/>
      <c r="AX4" s="3594"/>
      <c r="AY4" s="3594"/>
      <c r="AZ4" s="3594"/>
      <c r="BA4" s="3594"/>
      <c r="BB4" s="3594"/>
      <c r="BC4" s="3594"/>
      <c r="BD4" s="3594"/>
      <c r="BE4" s="3594"/>
      <c r="BF4" s="3594"/>
      <c r="BG4" s="3594"/>
      <c r="BH4" s="3594"/>
      <c r="BI4" s="3594"/>
      <c r="BJ4" s="3594"/>
      <c r="BK4" s="3594"/>
      <c r="BL4" s="3594"/>
      <c r="BM4" s="3594"/>
      <c r="BN4" s="3594"/>
      <c r="BO4" s="3594"/>
      <c r="BP4" s="3594"/>
      <c r="BQ4" s="3594"/>
      <c r="BR4" s="3594"/>
      <c r="BS4" s="3594"/>
      <c r="BT4" s="3594"/>
      <c r="BU4" s="3594"/>
      <c r="BV4" s="3594"/>
      <c r="BW4" s="3594"/>
      <c r="BX4" s="3594"/>
      <c r="BY4" s="3594"/>
      <c r="BZ4" s="3594"/>
      <c r="CA4" s="17"/>
      <c r="CD4" s="960"/>
    </row>
    <row r="5" spans="1:111" ht="17.100000000000001" customHeight="1" x14ac:dyDescent="0.15">
      <c r="A5" s="17"/>
      <c r="B5" s="3288"/>
      <c r="C5" s="3288"/>
      <c r="D5" s="3288"/>
      <c r="E5" s="3288"/>
      <c r="F5" s="3288"/>
      <c r="G5" s="3288"/>
      <c r="H5" s="3288"/>
      <c r="I5" s="3288"/>
      <c r="J5" s="3288"/>
      <c r="K5" s="3288"/>
      <c r="L5" s="3288"/>
      <c r="M5" s="3288"/>
      <c r="N5" s="3288"/>
      <c r="O5" s="3288"/>
      <c r="P5" s="3288"/>
      <c r="Q5" s="3288"/>
      <c r="R5" s="3288"/>
      <c r="S5" s="3288"/>
      <c r="T5" s="3594"/>
      <c r="U5" s="3594"/>
      <c r="V5" s="3594"/>
      <c r="W5" s="3594"/>
      <c r="X5" s="3594"/>
      <c r="Y5" s="3594"/>
      <c r="Z5" s="3594"/>
      <c r="AA5" s="3594"/>
      <c r="AB5" s="3594"/>
      <c r="AC5" s="3594"/>
      <c r="AD5" s="3594"/>
      <c r="AE5" s="3594"/>
      <c r="AF5" s="3594"/>
      <c r="AG5" s="3594"/>
      <c r="AH5" s="3594"/>
      <c r="AI5" s="3594"/>
      <c r="AJ5" s="3594"/>
      <c r="AK5" s="3594"/>
      <c r="AL5" s="3594"/>
      <c r="AM5" s="3594"/>
      <c r="AN5" s="3594"/>
      <c r="AO5" s="3594"/>
      <c r="AP5" s="3594"/>
      <c r="AQ5" s="3594"/>
      <c r="AR5" s="3594"/>
      <c r="AS5" s="3594"/>
      <c r="AT5" s="3594"/>
      <c r="AU5" s="3594"/>
      <c r="AV5" s="3594"/>
      <c r="AW5" s="3594"/>
      <c r="AX5" s="3594"/>
      <c r="AY5" s="3594"/>
      <c r="AZ5" s="3594"/>
      <c r="BA5" s="3594"/>
      <c r="BB5" s="3594"/>
      <c r="BC5" s="3594"/>
      <c r="BD5" s="3594"/>
      <c r="BE5" s="3594"/>
      <c r="BF5" s="3594"/>
      <c r="BG5" s="3594"/>
      <c r="BH5" s="3594"/>
      <c r="BI5" s="3594"/>
      <c r="BJ5" s="3594"/>
      <c r="BK5" s="3594"/>
      <c r="BL5" s="3594"/>
      <c r="BM5" s="3594"/>
      <c r="BN5" s="3594"/>
      <c r="BO5" s="3594"/>
      <c r="BP5" s="3594"/>
      <c r="BQ5" s="3594"/>
      <c r="BR5" s="3594"/>
      <c r="BS5" s="3594"/>
      <c r="BT5" s="3594"/>
      <c r="BU5" s="3594"/>
      <c r="BV5" s="3594"/>
      <c r="BW5" s="3594"/>
      <c r="BX5" s="3594"/>
      <c r="BY5" s="3594"/>
      <c r="BZ5" s="3594"/>
      <c r="CA5" s="17"/>
      <c r="CD5" s="1227" t="s">
        <v>933</v>
      </c>
      <c r="CT5" s="1227" t="s">
        <v>933</v>
      </c>
    </row>
    <row r="6" spans="1:111" ht="17.100000000000001" customHeight="1" x14ac:dyDescent="0.15">
      <c r="A6" s="17"/>
      <c r="B6" s="3288"/>
      <c r="C6" s="3288"/>
      <c r="D6" s="3588" t="str">
        <f ca="1">IF(ACTIONS!$CH$37&gt;=CD6,"♥","")</f>
        <v/>
      </c>
      <c r="E6" s="3588"/>
      <c r="F6" s="3588" t="str">
        <f ca="1">IF(ACTIONS!$CH$37&gt;=CF6,"♥","")</f>
        <v/>
      </c>
      <c r="G6" s="3588"/>
      <c r="H6" s="3588" t="str">
        <f ca="1">IF(ACTIONS!$CH$37&gt;=CH6,"♥","")</f>
        <v>♥</v>
      </c>
      <c r="I6" s="3588"/>
      <c r="J6" s="3588" t="str">
        <f ca="1">IF(ACTIONS!$CH$37&gt;=CJ6,"♥","")</f>
        <v>♥</v>
      </c>
      <c r="K6" s="3588"/>
      <c r="L6" s="3588" t="str">
        <f ca="1">IF(ACTIONS!$CH$37&gt;=CL6,"♥","")</f>
        <v>♥</v>
      </c>
      <c r="M6" s="3588"/>
      <c r="N6" s="3588" t="str">
        <f ca="1">IF(ACTIONS!$CH$37&gt;=CN6,"♥","")</f>
        <v/>
      </c>
      <c r="O6" s="3588"/>
      <c r="P6" s="3588" t="str">
        <f ca="1">IF(ACTIONS!$CH$37&gt;=CP6,"♥","")</f>
        <v/>
      </c>
      <c r="Q6" s="3588"/>
      <c r="R6" s="3288"/>
      <c r="S6" s="3288"/>
      <c r="T6" s="3594"/>
      <c r="U6" s="3594"/>
      <c r="V6" s="3594"/>
      <c r="W6" s="3594"/>
      <c r="X6" s="3594"/>
      <c r="Y6" s="3594"/>
      <c r="Z6" s="3594"/>
      <c r="AA6" s="3594"/>
      <c r="AB6" s="3594"/>
      <c r="AC6" s="3594"/>
      <c r="AD6" s="3594"/>
      <c r="AE6" s="3594"/>
      <c r="AF6" s="3594"/>
      <c r="AG6" s="3594"/>
      <c r="AH6" s="3594"/>
      <c r="AI6" s="3594"/>
      <c r="AJ6" s="3594"/>
      <c r="AK6" s="3594"/>
      <c r="AL6" s="3594"/>
      <c r="AM6" s="3594"/>
      <c r="AN6" s="3594"/>
      <c r="AO6" s="3594"/>
      <c r="AP6" s="3594"/>
      <c r="AQ6" s="3594"/>
      <c r="AR6" s="3594"/>
      <c r="AS6" s="3594"/>
      <c r="AT6" s="3594"/>
      <c r="AU6" s="3594"/>
      <c r="AV6" s="3594"/>
      <c r="AW6" s="3594"/>
      <c r="AX6" s="3594"/>
      <c r="AY6" s="3594"/>
      <c r="AZ6" s="3594"/>
      <c r="BA6" s="3594"/>
      <c r="BB6" s="3594"/>
      <c r="BC6" s="3594"/>
      <c r="BD6" s="3594"/>
      <c r="BE6" s="3594"/>
      <c r="BF6" s="3594"/>
      <c r="BG6" s="3594"/>
      <c r="BH6" s="3594"/>
      <c r="BI6" s="3594"/>
      <c r="BJ6" s="3594"/>
      <c r="BK6" s="3594"/>
      <c r="BL6" s="3594"/>
      <c r="BM6" s="3594"/>
      <c r="BN6" s="3594"/>
      <c r="BO6" s="3594"/>
      <c r="BP6" s="3594"/>
      <c r="BQ6" s="3594"/>
      <c r="BR6" s="3594"/>
      <c r="BS6" s="3594"/>
      <c r="BT6" s="3594"/>
      <c r="BU6" s="3594"/>
      <c r="BV6" s="3594"/>
      <c r="BW6" s="3594"/>
      <c r="BX6" s="3594"/>
      <c r="BY6" s="3594"/>
      <c r="BZ6" s="3594"/>
      <c r="CA6" s="17"/>
      <c r="CD6" s="1237">
        <v>8.5</v>
      </c>
      <c r="CE6" s="1238">
        <v>9</v>
      </c>
      <c r="CF6" s="1237">
        <v>4.5</v>
      </c>
      <c r="CG6" s="1238">
        <v>5</v>
      </c>
      <c r="CH6" s="1237">
        <v>1.5</v>
      </c>
      <c r="CI6" s="1238">
        <v>2</v>
      </c>
      <c r="CJ6" s="1237">
        <v>0.5</v>
      </c>
      <c r="CK6" s="1238">
        <v>1</v>
      </c>
      <c r="CL6" s="1237">
        <v>2.5</v>
      </c>
      <c r="CM6" s="1238">
        <v>3</v>
      </c>
      <c r="CN6" s="1237">
        <v>5.5</v>
      </c>
      <c r="CO6" s="1238">
        <v>6</v>
      </c>
      <c r="CP6" s="1237">
        <v>9.5</v>
      </c>
      <c r="CQ6" s="1238">
        <v>10</v>
      </c>
      <c r="CT6" s="381">
        <v>0.5</v>
      </c>
      <c r="CU6" s="381">
        <v>1</v>
      </c>
      <c r="CV6" s="381">
        <v>1.5</v>
      </c>
      <c r="CW6" s="381">
        <v>2</v>
      </c>
      <c r="CX6" s="381">
        <v>2.5</v>
      </c>
      <c r="CY6" s="381">
        <v>3</v>
      </c>
      <c r="CZ6" s="381">
        <v>3.5</v>
      </c>
      <c r="DA6" s="381">
        <v>4</v>
      </c>
      <c r="DB6" s="381">
        <v>4.5</v>
      </c>
      <c r="DC6" s="381">
        <v>5</v>
      </c>
      <c r="DD6" s="381">
        <v>5.5</v>
      </c>
      <c r="DE6" s="381">
        <v>6</v>
      </c>
      <c r="DF6" s="381">
        <v>6.5</v>
      </c>
      <c r="DG6" s="381">
        <v>7</v>
      </c>
    </row>
    <row r="7" spans="1:111" ht="17.100000000000001" customHeight="1" x14ac:dyDescent="0.15">
      <c r="A7" s="17"/>
      <c r="B7" s="3288"/>
      <c r="C7" s="3288"/>
      <c r="D7" s="3288"/>
      <c r="E7" s="3288"/>
      <c r="F7" s="3288"/>
      <c r="G7" s="3288"/>
      <c r="H7" s="3288"/>
      <c r="I7" s="3288"/>
      <c r="J7" s="3288"/>
      <c r="K7" s="3288"/>
      <c r="L7" s="3288"/>
      <c r="M7" s="3288"/>
      <c r="N7" s="3288"/>
      <c r="O7" s="3288"/>
      <c r="P7" s="3288"/>
      <c r="Q7" s="3288"/>
      <c r="R7" s="3288"/>
      <c r="S7" s="3288"/>
      <c r="T7" s="3594"/>
      <c r="U7" s="3594"/>
      <c r="V7" s="3594"/>
      <c r="W7" s="3594"/>
      <c r="X7" s="3594"/>
      <c r="Y7" s="3594"/>
      <c r="Z7" s="3594"/>
      <c r="AA7" s="3594"/>
      <c r="AB7" s="3594"/>
      <c r="AC7" s="3594"/>
      <c r="AD7" s="3594"/>
      <c r="AE7" s="3594"/>
      <c r="AF7" s="3594"/>
      <c r="AG7" s="3594"/>
      <c r="AH7" s="3594"/>
      <c r="AI7" s="3594"/>
      <c r="AJ7" s="3594"/>
      <c r="AK7" s="3594"/>
      <c r="AL7" s="3594"/>
      <c r="AM7" s="3594"/>
      <c r="AN7" s="3594"/>
      <c r="AO7" s="3594"/>
      <c r="AP7" s="3594"/>
      <c r="AQ7" s="3594"/>
      <c r="AR7" s="3594"/>
      <c r="AS7" s="3594"/>
      <c r="AT7" s="3594"/>
      <c r="AU7" s="3594"/>
      <c r="AV7" s="3594"/>
      <c r="AW7" s="3594"/>
      <c r="AX7" s="3594"/>
      <c r="AY7" s="3594"/>
      <c r="AZ7" s="3594"/>
      <c r="BA7" s="3594"/>
      <c r="BB7" s="3594"/>
      <c r="BC7" s="3594"/>
      <c r="BD7" s="3594"/>
      <c r="BE7" s="3594"/>
      <c r="BF7" s="3594"/>
      <c r="BG7" s="3594"/>
      <c r="BH7" s="3594"/>
      <c r="BI7" s="3594"/>
      <c r="BJ7" s="3594"/>
      <c r="BK7" s="3594"/>
      <c r="BL7" s="3594"/>
      <c r="BM7" s="3594"/>
      <c r="BN7" s="3594"/>
      <c r="BO7" s="3594"/>
      <c r="BP7" s="3594"/>
      <c r="BQ7" s="3594"/>
      <c r="BR7" s="3594"/>
      <c r="BS7" s="3594"/>
      <c r="BT7" s="3594"/>
      <c r="BU7" s="3594"/>
      <c r="BV7" s="3594"/>
      <c r="BW7" s="3594"/>
      <c r="BX7" s="3594"/>
      <c r="BY7" s="3594"/>
      <c r="BZ7" s="3594"/>
      <c r="CA7" s="17"/>
    </row>
    <row r="8" spans="1:111" ht="17.100000000000001" customHeight="1" x14ac:dyDescent="0.15">
      <c r="A8" s="17"/>
      <c r="B8" s="3288"/>
      <c r="C8" s="3288"/>
      <c r="D8" s="3288"/>
      <c r="E8" s="3288"/>
      <c r="F8" s="3588" t="str">
        <f ca="1">IF(ACTIONS!$CH$37&gt;=CF8,"♥","")</f>
        <v/>
      </c>
      <c r="G8" s="3588"/>
      <c r="H8" s="3588" t="str">
        <f ca="1">IF(ACTIONS!$CH$37&gt;=CH8,"♥","")</f>
        <v/>
      </c>
      <c r="I8" s="3588"/>
      <c r="J8" s="3588" t="str">
        <f ca="1">IF(ACTIONS!$CH$37&gt;=CJ8,"♥","")</f>
        <v/>
      </c>
      <c r="K8" s="3588"/>
      <c r="L8" s="3588" t="str">
        <f ca="1">IF(ACTIONS!$CH$37&gt;=CL8,"♥","")</f>
        <v/>
      </c>
      <c r="M8" s="3588"/>
      <c r="N8" s="3588" t="str">
        <f ca="1">IF(ACTIONS!$CH$37&gt;=CN8,"♥","")</f>
        <v/>
      </c>
      <c r="O8" s="3588"/>
      <c r="P8" s="3288"/>
      <c r="Q8" s="3288"/>
      <c r="R8" s="3288"/>
      <c r="S8" s="3288"/>
      <c r="T8" s="3594"/>
      <c r="U8" s="3594"/>
      <c r="V8" s="3594"/>
      <c r="W8" s="3594"/>
      <c r="X8" s="3594"/>
      <c r="Y8" s="3594"/>
      <c r="Z8" s="3594"/>
      <c r="AA8" s="3594"/>
      <c r="AB8" s="3594"/>
      <c r="AC8" s="3594"/>
      <c r="AD8" s="3594"/>
      <c r="AE8" s="3594"/>
      <c r="AF8" s="3594"/>
      <c r="AG8" s="3594"/>
      <c r="AH8" s="3594"/>
      <c r="AI8" s="3594"/>
      <c r="AJ8" s="3594"/>
      <c r="AK8" s="3594"/>
      <c r="AL8" s="3594"/>
      <c r="AM8" s="3594"/>
      <c r="AN8" s="3594"/>
      <c r="AO8" s="3594"/>
      <c r="AP8" s="3594"/>
      <c r="AQ8" s="3594"/>
      <c r="AR8" s="3594"/>
      <c r="AS8" s="3594"/>
      <c r="AT8" s="3594"/>
      <c r="AU8" s="3594"/>
      <c r="AV8" s="3594"/>
      <c r="AW8" s="3594"/>
      <c r="AX8" s="3594"/>
      <c r="AY8" s="3594"/>
      <c r="AZ8" s="3594"/>
      <c r="BA8" s="3594"/>
      <c r="BB8" s="3594"/>
      <c r="BC8" s="3594"/>
      <c r="BD8" s="3594"/>
      <c r="BE8" s="3594"/>
      <c r="BF8" s="3594"/>
      <c r="BG8" s="3594"/>
      <c r="BH8" s="3594"/>
      <c r="BI8" s="3594"/>
      <c r="BJ8" s="3594"/>
      <c r="BK8" s="3594"/>
      <c r="BL8" s="3594"/>
      <c r="BM8" s="3594"/>
      <c r="BN8" s="3594"/>
      <c r="BO8" s="3594"/>
      <c r="BP8" s="3594"/>
      <c r="BQ8" s="3594"/>
      <c r="BR8" s="3594"/>
      <c r="BS8" s="3594"/>
      <c r="BT8" s="3594"/>
      <c r="BU8" s="3594"/>
      <c r="BV8" s="3594"/>
      <c r="BW8" s="3594"/>
      <c r="BX8" s="3594"/>
      <c r="BY8" s="3594"/>
      <c r="BZ8" s="3594"/>
      <c r="CA8" s="17"/>
      <c r="CF8" s="1237">
        <v>10.5</v>
      </c>
      <c r="CG8" s="1238">
        <v>11</v>
      </c>
      <c r="CH8" s="1237">
        <v>6.5</v>
      </c>
      <c r="CI8" s="1238">
        <v>7</v>
      </c>
      <c r="CJ8" s="1237">
        <v>3.5</v>
      </c>
      <c r="CK8" s="1238">
        <v>4</v>
      </c>
      <c r="CL8" s="1237">
        <v>7.5</v>
      </c>
      <c r="CM8" s="1238">
        <v>8</v>
      </c>
      <c r="CN8" s="1237">
        <v>11.5</v>
      </c>
      <c r="CO8" s="1238">
        <v>12</v>
      </c>
      <c r="CT8" s="381">
        <v>7.5</v>
      </c>
      <c r="CU8" s="381">
        <v>8</v>
      </c>
      <c r="CV8" s="381">
        <v>8.5</v>
      </c>
      <c r="CW8" s="381">
        <v>9</v>
      </c>
      <c r="CX8" s="381">
        <v>9.5</v>
      </c>
      <c r="CY8" s="381">
        <v>10</v>
      </c>
      <c r="CZ8" s="381">
        <v>10.5</v>
      </c>
      <c r="DA8" s="381">
        <v>11</v>
      </c>
      <c r="DB8" s="381">
        <v>11.5</v>
      </c>
      <c r="DC8" s="381">
        <v>12</v>
      </c>
      <c r="DD8" s="381">
        <v>12.5</v>
      </c>
      <c r="DE8" s="381">
        <v>13</v>
      </c>
      <c r="DF8" s="381">
        <v>13.5</v>
      </c>
      <c r="DG8" s="381">
        <v>14</v>
      </c>
    </row>
    <row r="9" spans="1:111" ht="17.100000000000001" customHeight="1" x14ac:dyDescent="0.15">
      <c r="A9" s="17"/>
      <c r="B9" s="3288"/>
      <c r="C9" s="3288"/>
      <c r="D9" s="3288"/>
      <c r="E9" s="3288"/>
      <c r="F9" s="3288"/>
      <c r="G9" s="3288"/>
      <c r="H9" s="3288"/>
      <c r="I9" s="3288"/>
      <c r="J9" s="3288"/>
      <c r="K9" s="3288"/>
      <c r="L9" s="3288"/>
      <c r="M9" s="3288"/>
      <c r="N9" s="3288"/>
      <c r="O9" s="3288"/>
      <c r="P9" s="3288"/>
      <c r="Q9" s="3288"/>
      <c r="R9" s="3288"/>
      <c r="S9" s="3288"/>
      <c r="T9" s="3594"/>
      <c r="U9" s="3594"/>
      <c r="V9" s="3594"/>
      <c r="W9" s="3594"/>
      <c r="X9" s="3594"/>
      <c r="Y9" s="3594"/>
      <c r="Z9" s="3594"/>
      <c r="AA9" s="3594"/>
      <c r="AB9" s="3594"/>
      <c r="AC9" s="3594"/>
      <c r="AD9" s="3594"/>
      <c r="AE9" s="3594"/>
      <c r="AF9" s="3594"/>
      <c r="AG9" s="3594"/>
      <c r="AH9" s="3594"/>
      <c r="AI9" s="3594"/>
      <c r="AJ9" s="3594"/>
      <c r="AK9" s="3594"/>
      <c r="AL9" s="3594"/>
      <c r="AM9" s="3594"/>
      <c r="AN9" s="3594"/>
      <c r="AO9" s="3594"/>
      <c r="AP9" s="3594"/>
      <c r="AQ9" s="3594"/>
      <c r="AR9" s="3594"/>
      <c r="AS9" s="3594"/>
      <c r="AT9" s="3594"/>
      <c r="AU9" s="3594"/>
      <c r="AV9" s="3594"/>
      <c r="AW9" s="3594"/>
      <c r="AX9" s="3594"/>
      <c r="AY9" s="3594"/>
      <c r="AZ9" s="3594"/>
      <c r="BA9" s="3594"/>
      <c r="BB9" s="3594"/>
      <c r="BC9" s="3594"/>
      <c r="BD9" s="3594"/>
      <c r="BE9" s="3594"/>
      <c r="BF9" s="3594"/>
      <c r="BG9" s="3594"/>
      <c r="BH9" s="3594"/>
      <c r="BI9" s="3594"/>
      <c r="BJ9" s="3594"/>
      <c r="BK9" s="3594"/>
      <c r="BL9" s="3594"/>
      <c r="BM9" s="3594"/>
      <c r="BN9" s="3594"/>
      <c r="BO9" s="3594"/>
      <c r="BP9" s="3594"/>
      <c r="BQ9" s="3594"/>
      <c r="BR9" s="3594"/>
      <c r="BS9" s="3594"/>
      <c r="BT9" s="3594"/>
      <c r="BU9" s="3594"/>
      <c r="BV9" s="3594"/>
      <c r="BW9" s="3594"/>
      <c r="BX9" s="3594"/>
      <c r="BY9" s="3594"/>
      <c r="BZ9" s="3594"/>
      <c r="CA9" s="17"/>
    </row>
    <row r="10" spans="1:111" ht="17.100000000000001" customHeight="1" x14ac:dyDescent="0.15">
      <c r="A10" s="17"/>
      <c r="B10" s="3288"/>
      <c r="C10" s="3288"/>
      <c r="D10" s="3289"/>
      <c r="E10" s="3288"/>
      <c r="F10" s="3288"/>
      <c r="G10" s="3288"/>
      <c r="H10" s="3588" t="str">
        <f ca="1">IF(ACTIONS!$CH$37&gt;=CH10,"♥","")</f>
        <v/>
      </c>
      <c r="I10" s="3588"/>
      <c r="J10" s="3288"/>
      <c r="K10" s="3288"/>
      <c r="L10" s="3588" t="str">
        <f ca="1">IF(ACTIONS!$CH$37&gt;=CL10,"♥","")</f>
        <v/>
      </c>
      <c r="M10" s="3588"/>
      <c r="N10" s="3288"/>
      <c r="O10" s="3288"/>
      <c r="P10" s="3288"/>
      <c r="Q10" s="3288"/>
      <c r="R10" s="3288"/>
      <c r="S10" s="3288"/>
      <c r="T10" s="3594"/>
      <c r="U10" s="3594"/>
      <c r="V10" s="3594"/>
      <c r="W10" s="3594"/>
      <c r="X10" s="3594"/>
      <c r="Y10" s="3594"/>
      <c r="Z10" s="3594"/>
      <c r="AA10" s="3594"/>
      <c r="AB10" s="3594"/>
      <c r="AC10" s="3594"/>
      <c r="AD10" s="3594"/>
      <c r="AE10" s="3594"/>
      <c r="AF10" s="3594"/>
      <c r="AG10" s="3594"/>
      <c r="AH10" s="3594"/>
      <c r="AI10" s="3594"/>
      <c r="AJ10" s="3594"/>
      <c r="AK10" s="3594"/>
      <c r="AL10" s="3594"/>
      <c r="AM10" s="3594"/>
      <c r="AN10" s="3594"/>
      <c r="AO10" s="3594"/>
      <c r="AP10" s="3594"/>
      <c r="AQ10" s="3594"/>
      <c r="AR10" s="3594"/>
      <c r="AS10" s="3594"/>
      <c r="AT10" s="3594"/>
      <c r="AU10" s="3594"/>
      <c r="AV10" s="3594"/>
      <c r="AW10" s="3594"/>
      <c r="AX10" s="3594"/>
      <c r="AY10" s="3594"/>
      <c r="AZ10" s="3594"/>
      <c r="BA10" s="3594"/>
      <c r="BB10" s="3594"/>
      <c r="BC10" s="3594"/>
      <c r="BD10" s="3594"/>
      <c r="BE10" s="3594"/>
      <c r="BF10" s="3594"/>
      <c r="BG10" s="3594"/>
      <c r="BH10" s="3594"/>
      <c r="BI10" s="3594"/>
      <c r="BJ10" s="3594"/>
      <c r="BK10" s="3594"/>
      <c r="BL10" s="3594"/>
      <c r="BM10" s="3594"/>
      <c r="BN10" s="3594"/>
      <c r="BO10" s="3594"/>
      <c r="BP10" s="3594"/>
      <c r="BQ10" s="3594"/>
      <c r="BR10" s="3594"/>
      <c r="BS10" s="3594"/>
      <c r="BT10" s="3594"/>
      <c r="BU10" s="3594"/>
      <c r="BV10" s="3594"/>
      <c r="BW10" s="3594"/>
      <c r="BX10" s="3594"/>
      <c r="BY10" s="3594"/>
      <c r="BZ10" s="3594"/>
      <c r="CA10" s="17"/>
      <c r="CH10" s="1237">
        <v>12.5</v>
      </c>
      <c r="CI10" s="1238">
        <v>13</v>
      </c>
      <c r="CL10" s="1237">
        <v>13.5</v>
      </c>
      <c r="CM10" s="1238">
        <v>14</v>
      </c>
    </row>
    <row r="11" spans="1:111" ht="17.100000000000001" customHeight="1" x14ac:dyDescent="0.15">
      <c r="A11" s="17"/>
      <c r="B11" s="3288"/>
      <c r="C11" s="3288"/>
      <c r="D11" s="3288"/>
      <c r="E11" s="3288"/>
      <c r="F11" s="3288"/>
      <c r="G11" s="3288"/>
      <c r="H11" s="3288"/>
      <c r="I11" s="3288"/>
      <c r="J11" s="3288"/>
      <c r="K11" s="3288"/>
      <c r="L11" s="3288"/>
      <c r="M11" s="3288"/>
      <c r="N11" s="3288"/>
      <c r="O11" s="3288"/>
      <c r="P11" s="3288"/>
      <c r="Q11" s="3288"/>
      <c r="R11" s="3288"/>
      <c r="S11" s="3288"/>
      <c r="T11" s="3594"/>
      <c r="U11" s="3594"/>
      <c r="V11" s="3594"/>
      <c r="W11" s="3594"/>
      <c r="X11" s="3594"/>
      <c r="Y11" s="3594"/>
      <c r="Z11" s="3594"/>
      <c r="AA11" s="3594"/>
      <c r="AB11" s="3594"/>
      <c r="AC11" s="3594"/>
      <c r="AD11" s="3594"/>
      <c r="AE11" s="3594"/>
      <c r="AF11" s="3594"/>
      <c r="AG11" s="3594"/>
      <c r="AH11" s="3594"/>
      <c r="AI11" s="3594"/>
      <c r="AJ11" s="3594"/>
      <c r="AK11" s="3594"/>
      <c r="AL11" s="3594"/>
      <c r="AM11" s="3594"/>
      <c r="AN11" s="3594"/>
      <c r="AO11" s="3594"/>
      <c r="AP11" s="3594"/>
      <c r="AQ11" s="3594"/>
      <c r="AR11" s="3594"/>
      <c r="AS11" s="3594"/>
      <c r="AT11" s="3594"/>
      <c r="AU11" s="3594"/>
      <c r="AV11" s="3594"/>
      <c r="AW11" s="3594"/>
      <c r="AX11" s="3594"/>
      <c r="AY11" s="3594"/>
      <c r="AZ11" s="3594"/>
      <c r="BA11" s="3594"/>
      <c r="BB11" s="3594"/>
      <c r="BC11" s="3594"/>
      <c r="BD11" s="3594"/>
      <c r="BE11" s="3594"/>
      <c r="BF11" s="3594"/>
      <c r="BG11" s="3594"/>
      <c r="BH11" s="3594"/>
      <c r="BI11" s="3594"/>
      <c r="BJ11" s="3594"/>
      <c r="BK11" s="3594"/>
      <c r="BL11" s="3594"/>
      <c r="BM11" s="3594"/>
      <c r="BN11" s="3594"/>
      <c r="BO11" s="3594"/>
      <c r="BP11" s="3594"/>
      <c r="BQ11" s="3594"/>
      <c r="BR11" s="3594"/>
      <c r="BS11" s="3594"/>
      <c r="BT11" s="3594"/>
      <c r="BU11" s="3594"/>
      <c r="BV11" s="3594"/>
      <c r="BW11" s="3594"/>
      <c r="BX11" s="3594"/>
      <c r="BY11" s="3594"/>
      <c r="BZ11" s="3594"/>
      <c r="CA11" s="17"/>
    </row>
    <row r="12" spans="1:111" ht="17.100000000000001" customHeight="1" x14ac:dyDescent="0.15">
      <c r="A12" s="17"/>
      <c r="B12" s="3288"/>
      <c r="C12" s="3288"/>
      <c r="D12" s="3288"/>
      <c r="E12" s="3288"/>
      <c r="F12" s="3288"/>
      <c r="G12" s="3288"/>
      <c r="H12" s="3288"/>
      <c r="I12" s="3288"/>
      <c r="J12" s="3288"/>
      <c r="K12" s="3288"/>
      <c r="L12" s="3288"/>
      <c r="M12" s="3288"/>
      <c r="N12" s="3288"/>
      <c r="O12" s="3288"/>
      <c r="P12" s="3288"/>
      <c r="Q12" s="3288"/>
      <c r="R12" s="3288"/>
      <c r="S12" s="3288"/>
      <c r="T12" s="3594"/>
      <c r="U12" s="3594"/>
      <c r="V12" s="3594"/>
      <c r="W12" s="3594"/>
      <c r="X12" s="3594"/>
      <c r="Y12" s="3594"/>
      <c r="Z12" s="3594"/>
      <c r="AA12" s="3594"/>
      <c r="AB12" s="3594"/>
      <c r="AC12" s="3594"/>
      <c r="AD12" s="3594"/>
      <c r="AE12" s="3594"/>
      <c r="AF12" s="3594"/>
      <c r="AG12" s="3594"/>
      <c r="AH12" s="3594"/>
      <c r="AI12" s="3594"/>
      <c r="AJ12" s="3594"/>
      <c r="AK12" s="3594"/>
      <c r="AL12" s="3594"/>
      <c r="AM12" s="3594"/>
      <c r="AN12" s="3594"/>
      <c r="AO12" s="3594"/>
      <c r="AP12" s="3594"/>
      <c r="AQ12" s="3594"/>
      <c r="AR12" s="3594"/>
      <c r="AS12" s="3594"/>
      <c r="AT12" s="3594"/>
      <c r="AU12" s="3594"/>
      <c r="AV12" s="3594"/>
      <c r="AW12" s="3594"/>
      <c r="AX12" s="3594"/>
      <c r="AY12" s="3594"/>
      <c r="AZ12" s="3594"/>
      <c r="BA12" s="3594"/>
      <c r="BB12" s="3594"/>
      <c r="BC12" s="3594"/>
      <c r="BD12" s="3594"/>
      <c r="BE12" s="3594"/>
      <c r="BF12" s="3594"/>
      <c r="BG12" s="3594"/>
      <c r="BH12" s="3594"/>
      <c r="BI12" s="3594"/>
      <c r="BJ12" s="3594"/>
      <c r="BK12" s="3594"/>
      <c r="BL12" s="3594"/>
      <c r="BM12" s="3594"/>
      <c r="BN12" s="3594"/>
      <c r="BO12" s="3594"/>
      <c r="BP12" s="3594"/>
      <c r="BQ12" s="3594"/>
      <c r="BR12" s="3594"/>
      <c r="BS12" s="3594"/>
      <c r="BT12" s="3594"/>
      <c r="BU12" s="3594"/>
      <c r="BV12" s="3594"/>
      <c r="BW12" s="3594"/>
      <c r="BX12" s="3594"/>
      <c r="BY12" s="3594"/>
      <c r="BZ12" s="3594"/>
      <c r="CA12" s="17"/>
      <c r="CT12" s="3593" t="str">
        <f ca="1">IF(ACTIONS!$CH$37&gt;=CT6,"♥","")</f>
        <v>♥</v>
      </c>
      <c r="CU12" s="3593"/>
      <c r="CV12" s="3593" t="str">
        <f ca="1">IF(ACTIONS!$CH$37&gt;=CV6,"♥","")</f>
        <v>♥</v>
      </c>
      <c r="CW12" s="3593"/>
      <c r="CX12" s="3593" t="str">
        <f ca="1">IF(ACTIONS!$CH$37&gt;=CX6,"♥","")</f>
        <v>♥</v>
      </c>
      <c r="CY12" s="3593"/>
      <c r="CZ12" s="3593" t="str">
        <f ca="1">IF(ACTIONS!$CH$37&gt;=CZ6,"♥","")</f>
        <v/>
      </c>
      <c r="DA12" s="3593"/>
      <c r="DB12" s="3593" t="str">
        <f ca="1">IF(ACTIONS!$CH$37&gt;=DB6,"♥","")</f>
        <v/>
      </c>
      <c r="DC12" s="3593"/>
      <c r="DD12" s="3593" t="str">
        <f ca="1">IF(ACTIONS!$CH$37&gt;=DD6,"♥","")</f>
        <v/>
      </c>
      <c r="DE12" s="3593"/>
      <c r="DF12" s="3593" t="str">
        <f ca="1">IF(ACTIONS!$CH$37&gt;=DF6,"♥","")</f>
        <v/>
      </c>
      <c r="DG12" s="3593"/>
    </row>
    <row r="13" spans="1:111" ht="17.100000000000001" customHeight="1" x14ac:dyDescent="0.15">
      <c r="A13" s="17"/>
      <c r="B13" s="3288"/>
      <c r="C13" s="3288"/>
      <c r="D13" s="3288"/>
      <c r="E13" s="3288"/>
      <c r="F13" s="3288"/>
      <c r="G13" s="3288"/>
      <c r="H13" s="3288"/>
      <c r="I13" s="3288"/>
      <c r="J13" s="3288"/>
      <c r="K13" s="3288"/>
      <c r="L13" s="3288"/>
      <c r="M13" s="3288"/>
      <c r="N13" s="3288"/>
      <c r="O13" s="3288"/>
      <c r="P13" s="3288"/>
      <c r="Q13" s="3288"/>
      <c r="R13" s="3288"/>
      <c r="S13" s="3288"/>
      <c r="T13" s="3594"/>
      <c r="U13" s="3594"/>
      <c r="V13" s="3594"/>
      <c r="W13" s="3594"/>
      <c r="X13" s="3594"/>
      <c r="Y13" s="3594"/>
      <c r="Z13" s="3594"/>
      <c r="AA13" s="3594"/>
      <c r="AB13" s="3594"/>
      <c r="AC13" s="3594"/>
      <c r="AD13" s="3594"/>
      <c r="AE13" s="3594"/>
      <c r="AF13" s="3594"/>
      <c r="AG13" s="3594"/>
      <c r="AH13" s="3594"/>
      <c r="AI13" s="3594"/>
      <c r="AJ13" s="3594"/>
      <c r="AK13" s="3594"/>
      <c r="AL13" s="3594"/>
      <c r="AM13" s="3594"/>
      <c r="AN13" s="3594"/>
      <c r="AO13" s="3594"/>
      <c r="AP13" s="3594"/>
      <c r="AQ13" s="3594"/>
      <c r="AR13" s="3594"/>
      <c r="AS13" s="3594"/>
      <c r="AT13" s="3594"/>
      <c r="AU13" s="3594"/>
      <c r="AV13" s="3594"/>
      <c r="AW13" s="3594"/>
      <c r="AX13" s="3594"/>
      <c r="AY13" s="3594"/>
      <c r="AZ13" s="3594"/>
      <c r="BA13" s="3594"/>
      <c r="BB13" s="3594"/>
      <c r="BC13" s="3594"/>
      <c r="BD13" s="3594"/>
      <c r="BE13" s="3594"/>
      <c r="BF13" s="3594"/>
      <c r="BG13" s="3594"/>
      <c r="BH13" s="3594"/>
      <c r="BI13" s="3594"/>
      <c r="BJ13" s="3594"/>
      <c r="BK13" s="3594"/>
      <c r="BL13" s="3594"/>
      <c r="BM13" s="3594"/>
      <c r="BN13" s="3594"/>
      <c r="BO13" s="3594"/>
      <c r="BP13" s="3594"/>
      <c r="BQ13" s="3594"/>
      <c r="BR13" s="3594"/>
      <c r="BS13" s="3594"/>
      <c r="BT13" s="3594"/>
      <c r="BU13" s="3594"/>
      <c r="BV13" s="3594"/>
      <c r="BW13" s="3594"/>
      <c r="BX13" s="3594"/>
      <c r="BY13" s="3594"/>
      <c r="BZ13" s="3594"/>
      <c r="CA13" s="17"/>
      <c r="CT13" s="20"/>
      <c r="CU13" s="20"/>
      <c r="CV13" s="20"/>
      <c r="CW13" s="20"/>
      <c r="CX13" s="20"/>
      <c r="CY13" s="20"/>
      <c r="CZ13" s="20"/>
      <c r="DA13" s="20"/>
      <c r="DB13" s="20"/>
      <c r="DC13" s="20"/>
      <c r="DD13" s="20"/>
      <c r="DE13" s="20"/>
      <c r="DF13" s="20"/>
      <c r="DG13" s="20"/>
    </row>
    <row r="14" spans="1:111" ht="17.100000000000001" customHeight="1" x14ac:dyDescent="0.15">
      <c r="A14" s="17"/>
      <c r="B14" s="3288"/>
      <c r="C14" s="3288"/>
      <c r="D14" s="3288"/>
      <c r="E14" s="3288"/>
      <c r="F14" s="3288"/>
      <c r="G14" s="3288"/>
      <c r="H14" s="3288"/>
      <c r="I14" s="3288"/>
      <c r="J14" s="3288"/>
      <c r="K14" s="3288"/>
      <c r="L14" s="3288"/>
      <c r="M14" s="3288"/>
      <c r="N14" s="3288"/>
      <c r="O14" s="3288"/>
      <c r="P14" s="3288"/>
      <c r="Q14" s="3288"/>
      <c r="R14" s="3288"/>
      <c r="S14" s="3288"/>
      <c r="T14" s="3594"/>
      <c r="U14" s="3594"/>
      <c r="V14" s="3594"/>
      <c r="W14" s="3594"/>
      <c r="X14" s="3594"/>
      <c r="Y14" s="3594"/>
      <c r="Z14" s="3594"/>
      <c r="AA14" s="3594"/>
      <c r="AB14" s="3594"/>
      <c r="AC14" s="3594"/>
      <c r="AD14" s="3594"/>
      <c r="AE14" s="3594"/>
      <c r="AF14" s="3594"/>
      <c r="AG14" s="3594"/>
      <c r="AH14" s="3594"/>
      <c r="AI14" s="3594"/>
      <c r="AJ14" s="3594"/>
      <c r="AK14" s="3594"/>
      <c r="AL14" s="3594"/>
      <c r="AM14" s="3594"/>
      <c r="AN14" s="3594"/>
      <c r="AO14" s="3594"/>
      <c r="AP14" s="3594"/>
      <c r="AQ14" s="3594"/>
      <c r="AR14" s="3594"/>
      <c r="AS14" s="3594"/>
      <c r="AT14" s="3594"/>
      <c r="AU14" s="3594"/>
      <c r="AV14" s="3594"/>
      <c r="AW14" s="3594"/>
      <c r="AX14" s="3594"/>
      <c r="AY14" s="3594"/>
      <c r="AZ14" s="3594"/>
      <c r="BA14" s="3594"/>
      <c r="BB14" s="3594"/>
      <c r="BC14" s="3594"/>
      <c r="BD14" s="3594"/>
      <c r="BE14" s="3594"/>
      <c r="BF14" s="3594"/>
      <c r="BG14" s="3594"/>
      <c r="BH14" s="3594"/>
      <c r="BI14" s="3594"/>
      <c r="BJ14" s="3594"/>
      <c r="BK14" s="3594"/>
      <c r="BL14" s="3594"/>
      <c r="BM14" s="3594"/>
      <c r="BN14" s="3594"/>
      <c r="BO14" s="3594"/>
      <c r="BP14" s="3594"/>
      <c r="BQ14" s="3594"/>
      <c r="BR14" s="3594"/>
      <c r="BS14" s="3594"/>
      <c r="BT14" s="3594"/>
      <c r="BU14" s="3594"/>
      <c r="BV14" s="3594"/>
      <c r="BW14" s="3594"/>
      <c r="BX14" s="3594"/>
      <c r="BY14" s="3594"/>
      <c r="BZ14" s="3594"/>
      <c r="CA14" s="17"/>
      <c r="CT14" s="3593" t="str">
        <f ca="1">IF(ACTIONS!$CH$37&gt;=CT8,"♥","")</f>
        <v/>
      </c>
      <c r="CU14" s="3593"/>
      <c r="CV14" s="3593" t="str">
        <f ca="1">IF(ACTIONS!$CH$37&gt;=CV8,"♥","")</f>
        <v/>
      </c>
      <c r="CW14" s="3593"/>
      <c r="CX14" s="3593" t="str">
        <f ca="1">IF(ACTIONS!$CH$37&gt;=CX8,"♥","")</f>
        <v/>
      </c>
      <c r="CY14" s="3593"/>
      <c r="CZ14" s="3593" t="str">
        <f ca="1">IF(ACTIONS!$CH$37&gt;=CZ8,"♥","")</f>
        <v/>
      </c>
      <c r="DA14" s="3593"/>
      <c r="DB14" s="3593" t="str">
        <f ca="1">IF(ACTIONS!$CH$37&gt;=DB8,"♥","")</f>
        <v/>
      </c>
      <c r="DC14" s="3593"/>
      <c r="DD14" s="3593" t="str">
        <f ca="1">IF(ACTIONS!$CH$37&gt;=DD8,"♥","")</f>
        <v/>
      </c>
      <c r="DE14" s="3593"/>
      <c r="DF14" s="3593" t="str">
        <f ca="1">IF(ACTIONS!$CH$37&gt;=DF8,"♥","")</f>
        <v/>
      </c>
      <c r="DG14" s="3593"/>
    </row>
    <row r="15" spans="1:111" ht="17.100000000000001" customHeight="1" x14ac:dyDescent="0.15">
      <c r="A15" s="17"/>
      <c r="B15" s="3288"/>
      <c r="C15" s="3288"/>
      <c r="D15" s="3288"/>
      <c r="E15" s="3288"/>
      <c r="F15" s="3288"/>
      <c r="G15" s="3288"/>
      <c r="H15" s="3288"/>
      <c r="I15" s="3288"/>
      <c r="J15" s="3288"/>
      <c r="K15" s="3288"/>
      <c r="L15" s="3288"/>
      <c r="M15" s="3288"/>
      <c r="N15" s="3288"/>
      <c r="O15" s="3288"/>
      <c r="P15" s="3288"/>
      <c r="Q15" s="3288"/>
      <c r="R15" s="3288"/>
      <c r="S15" s="3288"/>
      <c r="T15" s="3594"/>
      <c r="U15" s="3594"/>
      <c r="V15" s="3594"/>
      <c r="W15" s="3594"/>
      <c r="X15" s="3594"/>
      <c r="Y15" s="3594"/>
      <c r="Z15" s="3594"/>
      <c r="AA15" s="3594"/>
      <c r="AB15" s="3594"/>
      <c r="AC15" s="3594"/>
      <c r="AD15" s="3594"/>
      <c r="AE15" s="3594"/>
      <c r="AF15" s="3594"/>
      <c r="AG15" s="3594"/>
      <c r="AH15" s="3594"/>
      <c r="AI15" s="3594"/>
      <c r="AJ15" s="3594"/>
      <c r="AK15" s="3594"/>
      <c r="AL15" s="3594"/>
      <c r="AM15" s="3594"/>
      <c r="AN15" s="3594"/>
      <c r="AO15" s="3594"/>
      <c r="AP15" s="3594"/>
      <c r="AQ15" s="3594"/>
      <c r="AR15" s="3594"/>
      <c r="AS15" s="3594"/>
      <c r="AT15" s="3594"/>
      <c r="AU15" s="3594"/>
      <c r="AV15" s="3594"/>
      <c r="AW15" s="3594"/>
      <c r="AX15" s="3594"/>
      <c r="AY15" s="3594"/>
      <c r="AZ15" s="3594"/>
      <c r="BA15" s="3594"/>
      <c r="BB15" s="3594"/>
      <c r="BC15" s="3594"/>
      <c r="BD15" s="3594"/>
      <c r="BE15" s="3594"/>
      <c r="BF15" s="3594"/>
      <c r="BG15" s="3594"/>
      <c r="BH15" s="3594"/>
      <c r="BI15" s="3594"/>
      <c r="BJ15" s="3594"/>
      <c r="BK15" s="3594"/>
      <c r="BL15" s="3594"/>
      <c r="BM15" s="3594"/>
      <c r="BN15" s="3594"/>
      <c r="BO15" s="3594"/>
      <c r="BP15" s="3594"/>
      <c r="BQ15" s="3594"/>
      <c r="BR15" s="3594"/>
      <c r="BS15" s="3594"/>
      <c r="BT15" s="3594"/>
      <c r="BU15" s="3594"/>
      <c r="BV15" s="3594"/>
      <c r="BW15" s="3594"/>
      <c r="BX15" s="3594"/>
      <c r="BY15" s="3594"/>
      <c r="BZ15" s="3594"/>
      <c r="CA15" s="17"/>
      <c r="CT15" s="20"/>
      <c r="CU15" s="20"/>
      <c r="CV15" s="20"/>
      <c r="CW15" s="20"/>
      <c r="CX15" s="20"/>
      <c r="CY15" s="20"/>
      <c r="CZ15" s="20"/>
      <c r="DA15" s="20"/>
      <c r="DB15" s="20"/>
      <c r="DC15" s="20"/>
      <c r="DD15" s="20"/>
      <c r="DE15" s="20"/>
      <c r="DF15" s="20"/>
      <c r="DG15" s="20"/>
    </row>
    <row r="16" spans="1:111" ht="17.100000000000001" customHeight="1" x14ac:dyDescent="0.15">
      <c r="A16" s="17"/>
      <c r="B16" s="3288"/>
      <c r="C16" s="3288"/>
      <c r="D16" s="3288"/>
      <c r="E16" s="3288"/>
      <c r="F16" s="3288"/>
      <c r="G16" s="3288"/>
      <c r="H16" s="3288"/>
      <c r="I16" s="3288"/>
      <c r="J16" s="3288"/>
      <c r="K16" s="3288"/>
      <c r="L16" s="3288"/>
      <c r="M16" s="3288"/>
      <c r="N16" s="3288"/>
      <c r="O16" s="3288"/>
      <c r="P16" s="3288"/>
      <c r="Q16" s="3288"/>
      <c r="R16" s="3288"/>
      <c r="S16" s="3288"/>
      <c r="T16" s="3594"/>
      <c r="U16" s="3594"/>
      <c r="V16" s="3594"/>
      <c r="W16" s="3594"/>
      <c r="X16" s="3594"/>
      <c r="Y16" s="3594"/>
      <c r="Z16" s="3594"/>
      <c r="AA16" s="3594"/>
      <c r="AB16" s="3594"/>
      <c r="AC16" s="3594"/>
      <c r="AD16" s="3594"/>
      <c r="AE16" s="3594"/>
      <c r="AF16" s="3594"/>
      <c r="AG16" s="3594"/>
      <c r="AH16" s="3594"/>
      <c r="AI16" s="3594"/>
      <c r="AJ16" s="3594"/>
      <c r="AK16" s="3594"/>
      <c r="AL16" s="3594"/>
      <c r="AM16" s="3594"/>
      <c r="AN16" s="3594"/>
      <c r="AO16" s="3594"/>
      <c r="AP16" s="3594"/>
      <c r="AQ16" s="3594"/>
      <c r="AR16" s="3594"/>
      <c r="AS16" s="3594"/>
      <c r="AT16" s="3594"/>
      <c r="AU16" s="3594"/>
      <c r="AV16" s="3594"/>
      <c r="AW16" s="3594"/>
      <c r="AX16" s="3594"/>
      <c r="AY16" s="3594"/>
      <c r="AZ16" s="3594"/>
      <c r="BA16" s="3594"/>
      <c r="BB16" s="3594"/>
      <c r="BC16" s="3594"/>
      <c r="BD16" s="3594"/>
      <c r="BE16" s="3594"/>
      <c r="BF16" s="3594"/>
      <c r="BG16" s="3594"/>
      <c r="BH16" s="3594"/>
      <c r="BI16" s="3594"/>
      <c r="BJ16" s="3594"/>
      <c r="BK16" s="3594"/>
      <c r="BL16" s="3594"/>
      <c r="BM16" s="3594"/>
      <c r="BN16" s="3594"/>
      <c r="BO16" s="3594"/>
      <c r="BP16" s="3594"/>
      <c r="BQ16" s="3594"/>
      <c r="BR16" s="3594"/>
      <c r="BS16" s="3594"/>
      <c r="BT16" s="3594"/>
      <c r="BU16" s="3594"/>
      <c r="BV16" s="3594"/>
      <c r="BW16" s="3594"/>
      <c r="BX16" s="3594"/>
      <c r="BY16" s="3594"/>
      <c r="BZ16" s="3594"/>
      <c r="CA16" s="17"/>
      <c r="CT16" s="20"/>
      <c r="CU16" s="20"/>
      <c r="CV16" s="20"/>
      <c r="CW16" s="20"/>
      <c r="CX16" s="20"/>
      <c r="CY16" s="20"/>
      <c r="CZ16" s="20"/>
      <c r="DA16" s="20"/>
      <c r="DB16" s="20"/>
      <c r="DC16" s="20"/>
      <c r="DD16" s="20"/>
      <c r="DE16" s="20"/>
      <c r="DF16" s="20"/>
      <c r="DG16" s="20"/>
    </row>
    <row r="17" spans="1:87" ht="17.100000000000001" customHeight="1" x14ac:dyDescent="0.15">
      <c r="A17" s="17"/>
      <c r="B17" s="3288"/>
      <c r="C17" s="3288"/>
      <c r="D17" s="3288"/>
      <c r="E17" s="3288"/>
      <c r="F17" s="3288"/>
      <c r="G17" s="3288"/>
      <c r="H17" s="3288"/>
      <c r="I17" s="3288"/>
      <c r="J17" s="3288"/>
      <c r="K17" s="3288"/>
      <c r="L17" s="3288"/>
      <c r="M17" s="3288"/>
      <c r="N17" s="3288"/>
      <c r="O17" s="3288"/>
      <c r="P17" s="3288"/>
      <c r="Q17" s="3288"/>
      <c r="R17" s="3288"/>
      <c r="S17" s="3288"/>
      <c r="T17" s="3594"/>
      <c r="U17" s="3594"/>
      <c r="V17" s="3594"/>
      <c r="W17" s="3594"/>
      <c r="X17" s="3594"/>
      <c r="Y17" s="3594"/>
      <c r="Z17" s="3594"/>
      <c r="AA17" s="3594"/>
      <c r="AB17" s="3594"/>
      <c r="AC17" s="3594"/>
      <c r="AD17" s="3594"/>
      <c r="AE17" s="3594"/>
      <c r="AF17" s="3594"/>
      <c r="AG17" s="3594"/>
      <c r="AH17" s="3594"/>
      <c r="AI17" s="3594"/>
      <c r="AJ17" s="3594"/>
      <c r="AK17" s="3594"/>
      <c r="AL17" s="3594"/>
      <c r="AM17" s="3594"/>
      <c r="AN17" s="3594"/>
      <c r="AO17" s="3594"/>
      <c r="AP17" s="3594"/>
      <c r="AQ17" s="3594"/>
      <c r="AR17" s="3594"/>
      <c r="AS17" s="3594"/>
      <c r="AT17" s="3594"/>
      <c r="AU17" s="3594"/>
      <c r="AV17" s="3594"/>
      <c r="AW17" s="3594"/>
      <c r="AX17" s="3594"/>
      <c r="AY17" s="3594"/>
      <c r="AZ17" s="3594"/>
      <c r="BA17" s="3594"/>
      <c r="BB17" s="3594"/>
      <c r="BC17" s="3594"/>
      <c r="BD17" s="3594"/>
      <c r="BE17" s="3594"/>
      <c r="BF17" s="3594"/>
      <c r="BG17" s="3594"/>
      <c r="BH17" s="3594"/>
      <c r="BI17" s="3594"/>
      <c r="BJ17" s="3594"/>
      <c r="BK17" s="3594"/>
      <c r="BL17" s="3594"/>
      <c r="BM17" s="3594"/>
      <c r="BN17" s="3594"/>
      <c r="BO17" s="3594"/>
      <c r="BP17" s="3594"/>
      <c r="BQ17" s="3594"/>
      <c r="BR17" s="3594"/>
      <c r="BS17" s="3594"/>
      <c r="BT17" s="3594"/>
      <c r="BU17" s="3594"/>
      <c r="BV17" s="3594"/>
      <c r="BW17" s="3594"/>
      <c r="BX17" s="3594"/>
      <c r="BY17" s="3594"/>
      <c r="BZ17" s="3594"/>
      <c r="CA17" s="17"/>
    </row>
    <row r="18" spans="1:87" ht="17.100000000000001" customHeight="1" x14ac:dyDescent="0.15">
      <c r="A18" s="17"/>
      <c r="B18" s="3288"/>
      <c r="C18" s="3288"/>
      <c r="D18" s="3288"/>
      <c r="E18" s="3288"/>
      <c r="F18" s="3288"/>
      <c r="G18" s="3288"/>
      <c r="H18" s="3288"/>
      <c r="I18" s="3288"/>
      <c r="J18" s="3288"/>
      <c r="K18" s="3288"/>
      <c r="L18" s="3288"/>
      <c r="M18" s="3288"/>
      <c r="N18" s="3288"/>
      <c r="O18" s="3288"/>
      <c r="P18" s="3288"/>
      <c r="Q18" s="3288"/>
      <c r="R18" s="3288"/>
      <c r="S18" s="3288"/>
      <c r="T18" s="3594"/>
      <c r="U18" s="3594"/>
      <c r="V18" s="3594"/>
      <c r="W18" s="3594"/>
      <c r="X18" s="3594"/>
      <c r="Y18" s="3594"/>
      <c r="Z18" s="3594"/>
      <c r="AA18" s="3594"/>
      <c r="AB18" s="3594"/>
      <c r="AC18" s="3594"/>
      <c r="AD18" s="3594"/>
      <c r="AE18" s="3594"/>
      <c r="AF18" s="3594"/>
      <c r="AG18" s="3594"/>
      <c r="AH18" s="3594"/>
      <c r="AI18" s="3594"/>
      <c r="AJ18" s="3594"/>
      <c r="AK18" s="3594"/>
      <c r="AL18" s="3594"/>
      <c r="AM18" s="3594"/>
      <c r="AN18" s="3594"/>
      <c r="AO18" s="3594"/>
      <c r="AP18" s="3594"/>
      <c r="AQ18" s="3594"/>
      <c r="AR18" s="3594"/>
      <c r="AS18" s="3594"/>
      <c r="AT18" s="3594"/>
      <c r="AU18" s="3594"/>
      <c r="AV18" s="3594"/>
      <c r="AW18" s="3594"/>
      <c r="AX18" s="3594"/>
      <c r="AY18" s="3594"/>
      <c r="AZ18" s="3594"/>
      <c r="BA18" s="3594"/>
      <c r="BB18" s="3594"/>
      <c r="BC18" s="3594"/>
      <c r="BD18" s="3594"/>
      <c r="BE18" s="3594"/>
      <c r="BF18" s="3594"/>
      <c r="BG18" s="3594"/>
      <c r="BH18" s="3594"/>
      <c r="BI18" s="3594"/>
      <c r="BJ18" s="3594"/>
      <c r="BK18" s="3594"/>
      <c r="BL18" s="3594"/>
      <c r="BM18" s="3594"/>
      <c r="BN18" s="3594"/>
      <c r="BO18" s="3594"/>
      <c r="BP18" s="3594"/>
      <c r="BQ18" s="3594"/>
      <c r="BR18" s="3594"/>
      <c r="BS18" s="3594"/>
      <c r="BT18" s="3594"/>
      <c r="BU18" s="3594"/>
      <c r="BV18" s="3594"/>
      <c r="BW18" s="3594"/>
      <c r="BX18" s="3594"/>
      <c r="BY18" s="3594"/>
      <c r="BZ18" s="3594"/>
      <c r="CA18" s="17"/>
    </row>
    <row r="19" spans="1:87" ht="17.100000000000001" customHeight="1" x14ac:dyDescent="0.15">
      <c r="A19" s="17"/>
      <c r="B19" s="3288"/>
      <c r="C19" s="3288"/>
      <c r="D19" s="3288"/>
      <c r="E19" s="3288"/>
      <c r="F19" s="3288"/>
      <c r="G19" s="3288"/>
      <c r="H19" s="3288"/>
      <c r="I19" s="3288"/>
      <c r="J19" s="3288"/>
      <c r="K19" s="3288"/>
      <c r="L19" s="3288"/>
      <c r="M19" s="3288"/>
      <c r="N19" s="3288"/>
      <c r="O19" s="3288"/>
      <c r="P19" s="3288"/>
      <c r="Q19" s="3288"/>
      <c r="R19" s="3288"/>
      <c r="S19" s="3288"/>
      <c r="T19" s="3594"/>
      <c r="U19" s="3594"/>
      <c r="V19" s="3594"/>
      <c r="W19" s="3594"/>
      <c r="X19" s="3594"/>
      <c r="Y19" s="3594"/>
      <c r="Z19" s="3594"/>
      <c r="AA19" s="3594"/>
      <c r="AB19" s="3594"/>
      <c r="AC19" s="3594"/>
      <c r="AD19" s="3594"/>
      <c r="AE19" s="3594"/>
      <c r="AF19" s="3594"/>
      <c r="AG19" s="3594"/>
      <c r="AH19" s="3594"/>
      <c r="AI19" s="3594"/>
      <c r="AJ19" s="3594"/>
      <c r="AK19" s="3594"/>
      <c r="AL19" s="3594"/>
      <c r="AM19" s="3594"/>
      <c r="AN19" s="3594"/>
      <c r="AO19" s="3594"/>
      <c r="AP19" s="3594"/>
      <c r="AQ19" s="3594"/>
      <c r="AR19" s="3594"/>
      <c r="AS19" s="3594"/>
      <c r="AT19" s="3594"/>
      <c r="AU19" s="3594"/>
      <c r="AV19" s="3594"/>
      <c r="AW19" s="3594"/>
      <c r="AX19" s="3594"/>
      <c r="AY19" s="3594"/>
      <c r="AZ19" s="3594"/>
      <c r="BA19" s="3594"/>
      <c r="BB19" s="3594"/>
      <c r="BC19" s="3594"/>
      <c r="BD19" s="3594"/>
      <c r="BE19" s="3594"/>
      <c r="BF19" s="3594"/>
      <c r="BG19" s="3594"/>
      <c r="BH19" s="3594"/>
      <c r="BI19" s="3594"/>
      <c r="BJ19" s="3594"/>
      <c r="BK19" s="3594"/>
      <c r="BL19" s="3594"/>
      <c r="BM19" s="3594"/>
      <c r="BN19" s="3594"/>
      <c r="BO19" s="3594"/>
      <c r="BP19" s="3594"/>
      <c r="BQ19" s="3594"/>
      <c r="BR19" s="3594"/>
      <c r="BS19" s="3594"/>
      <c r="BT19" s="3594"/>
      <c r="BU19" s="3594"/>
      <c r="BV19" s="3594"/>
      <c r="BW19" s="3594"/>
      <c r="BX19" s="3594"/>
      <c r="BY19" s="3594"/>
      <c r="BZ19" s="3594"/>
      <c r="CA19" s="17"/>
    </row>
    <row r="20" spans="1:87" ht="17.100000000000001" customHeight="1" x14ac:dyDescent="0.15">
      <c r="A20" s="17"/>
      <c r="B20" s="3288"/>
      <c r="C20" s="3290" t="str">
        <f>_xlfn.IFS(OR($I$20=CC22,$I$20=CC23),"Y",$I$20=CC24,"A",$I$20=CC25,"M",TRUE,"")</f>
        <v>Y</v>
      </c>
      <c r="D20" s="3291" t="str">
        <f>IF(OR($I$20="YESTERDAY",$I$20="TODAY"),"&lt;","^")</f>
        <v>&lt;</v>
      </c>
      <c r="E20" s="3292"/>
      <c r="F20" s="3292"/>
      <c r="G20" s="3292"/>
      <c r="H20" s="3292"/>
      <c r="I20" s="3583" t="s">
        <v>93</v>
      </c>
      <c r="J20" s="3584"/>
      <c r="K20" s="3584"/>
      <c r="L20" s="3585"/>
      <c r="M20" s="3292"/>
      <c r="N20" s="3292"/>
      <c r="O20" s="3292"/>
      <c r="P20" s="3292"/>
      <c r="Q20" s="3291" t="str">
        <f>IF(OR($I$20="YESTERDAY",$I$20="TODAY"),"&gt;","^")</f>
        <v>&gt;</v>
      </c>
      <c r="R20" s="3290" t="str">
        <f>_xlfn.IFS(OR($I$20=CC22,$I$20=CC23),"T",$I$20=CC24,"A",$I$20=CC25,"M",TRUE,"")</f>
        <v>T</v>
      </c>
      <c r="S20" s="3288"/>
      <c r="T20" s="3594"/>
      <c r="U20" s="3594"/>
      <c r="V20" s="3594"/>
      <c r="W20" s="3594"/>
      <c r="X20" s="3594"/>
      <c r="Y20" s="3594"/>
      <c r="Z20" s="3594"/>
      <c r="AA20" s="3594"/>
      <c r="AB20" s="3594"/>
      <c r="AC20" s="3594"/>
      <c r="AD20" s="3594"/>
      <c r="AE20" s="3594"/>
      <c r="AF20" s="3594"/>
      <c r="AG20" s="3594"/>
      <c r="AH20" s="3594"/>
      <c r="AI20" s="3594"/>
      <c r="AJ20" s="3594"/>
      <c r="AK20" s="3594"/>
      <c r="AL20" s="3594"/>
      <c r="AM20" s="3594"/>
      <c r="AN20" s="3594"/>
      <c r="AO20" s="3594"/>
      <c r="AP20" s="3594"/>
      <c r="AQ20" s="3594"/>
      <c r="AR20" s="3594"/>
      <c r="AS20" s="3594"/>
      <c r="AT20" s="3594"/>
      <c r="AU20" s="3594"/>
      <c r="AV20" s="3594"/>
      <c r="AW20" s="3594"/>
      <c r="AX20" s="3594"/>
      <c r="AY20" s="3594"/>
      <c r="AZ20" s="3594"/>
      <c r="BA20" s="3594"/>
      <c r="BB20" s="3594"/>
      <c r="BC20" s="3594"/>
      <c r="BD20" s="3594"/>
      <c r="BE20" s="3594"/>
      <c r="BF20" s="3594"/>
      <c r="BG20" s="3594"/>
      <c r="BH20" s="3594"/>
      <c r="BI20" s="3594"/>
      <c r="BJ20" s="3594"/>
      <c r="BK20" s="3594"/>
      <c r="BL20" s="3594"/>
      <c r="BM20" s="3594"/>
      <c r="BN20" s="3594"/>
      <c r="BO20" s="3594"/>
      <c r="BP20" s="3594"/>
      <c r="BQ20" s="3594"/>
      <c r="BR20" s="3594"/>
      <c r="BS20" s="3594"/>
      <c r="BT20" s="3594"/>
      <c r="BU20" s="3594"/>
      <c r="BV20" s="3594"/>
      <c r="BW20" s="3594"/>
      <c r="BX20" s="3594"/>
      <c r="BY20" s="3594"/>
      <c r="BZ20" s="3594"/>
      <c r="CA20" s="17"/>
      <c r="CC20" s="1089" t="str">
        <f>_xlfn.IFS($I$20=CC22,"T",$I$20=CC23,"Y",$I$20=CC24,"A",$I$20=CC25,"M",TRUE,"")</f>
        <v>T</v>
      </c>
      <c r="CE20" s="44" t="str">
        <f>_xlfn.IFS($CC$20="T", CH22,$CC$20="Y", CH23, $CC$20="A", CH24,$CC$20="M",CH25, TRUE,"")</f>
        <v>T O D A Y</v>
      </c>
    </row>
    <row r="21" spans="1:87" ht="17.100000000000001" customHeight="1" x14ac:dyDescent="0.15">
      <c r="A21" s="17"/>
      <c r="B21" s="3288"/>
      <c r="C21" s="3293"/>
      <c r="D21" s="3294"/>
      <c r="E21" s="3288"/>
      <c r="F21" s="3288"/>
      <c r="G21" s="3288"/>
      <c r="H21" s="3288"/>
      <c r="I21" s="3288"/>
      <c r="J21" s="3288"/>
      <c r="K21" s="3288"/>
      <c r="L21" s="3288"/>
      <c r="M21" s="3288"/>
      <c r="N21" s="3288"/>
      <c r="O21" s="3288"/>
      <c r="P21" s="3288"/>
      <c r="Q21" s="3293"/>
      <c r="R21" s="3295"/>
      <c r="S21" s="3288"/>
      <c r="T21" s="3594"/>
      <c r="U21" s="3594"/>
      <c r="V21" s="3594"/>
      <c r="W21" s="3594"/>
      <c r="X21" s="3594"/>
      <c r="Y21" s="3594"/>
      <c r="Z21" s="3594"/>
      <c r="AA21" s="3594"/>
      <c r="AB21" s="3594"/>
      <c r="AC21" s="3594"/>
      <c r="AD21" s="3594"/>
      <c r="AE21" s="3594"/>
      <c r="AF21" s="3594"/>
      <c r="AG21" s="3594"/>
      <c r="AH21" s="3594"/>
      <c r="AI21" s="3594"/>
      <c r="AJ21" s="3594"/>
      <c r="AK21" s="3594"/>
      <c r="AL21" s="3594"/>
      <c r="AM21" s="3594"/>
      <c r="AN21" s="3594"/>
      <c r="AO21" s="3594"/>
      <c r="AP21" s="3594"/>
      <c r="AQ21" s="3594"/>
      <c r="AR21" s="3594"/>
      <c r="AS21" s="3594"/>
      <c r="AT21" s="3594"/>
      <c r="AU21" s="3594"/>
      <c r="AV21" s="3594"/>
      <c r="AW21" s="3594"/>
      <c r="AX21" s="3594"/>
      <c r="AY21" s="3594"/>
      <c r="AZ21" s="3594"/>
      <c r="BA21" s="3594"/>
      <c r="BB21" s="3594"/>
      <c r="BC21" s="3594"/>
      <c r="BD21" s="3594"/>
      <c r="BE21" s="3594"/>
      <c r="BF21" s="3594"/>
      <c r="BG21" s="3594"/>
      <c r="BH21" s="3594"/>
      <c r="BI21" s="3594"/>
      <c r="BJ21" s="3594"/>
      <c r="BK21" s="3594"/>
      <c r="BL21" s="3594"/>
      <c r="BM21" s="3594"/>
      <c r="BN21" s="3594"/>
      <c r="BO21" s="3594"/>
      <c r="BP21" s="3594"/>
      <c r="BQ21" s="3594"/>
      <c r="BR21" s="3594"/>
      <c r="BS21" s="3594"/>
      <c r="BT21" s="3594"/>
      <c r="BU21" s="3594"/>
      <c r="BV21" s="3594"/>
      <c r="BW21" s="3594"/>
      <c r="BX21" s="3594"/>
      <c r="BY21" s="3594"/>
      <c r="BZ21" s="3594"/>
      <c r="CA21" s="17"/>
    </row>
    <row r="22" spans="1:87" ht="17.100000000000001" customHeight="1" x14ac:dyDescent="0.15">
      <c r="A22" s="17"/>
      <c r="B22" s="3288"/>
      <c r="C22" s="3288"/>
      <c r="D22" s="3288"/>
      <c r="E22" s="3288"/>
      <c r="F22" s="3288"/>
      <c r="G22" s="3288"/>
      <c r="H22" s="3288"/>
      <c r="I22" s="3288"/>
      <c r="J22" s="3288"/>
      <c r="K22" s="3288"/>
      <c r="L22" s="3288"/>
      <c r="M22" s="3288"/>
      <c r="N22" s="3288"/>
      <c r="O22" s="3288"/>
      <c r="P22" s="3288"/>
      <c r="Q22" s="3288"/>
      <c r="R22" s="3288"/>
      <c r="S22" s="3288"/>
      <c r="T22" s="3594"/>
      <c r="U22" s="3594"/>
      <c r="V22" s="3594"/>
      <c r="W22" s="3594"/>
      <c r="X22" s="3594"/>
      <c r="Y22" s="3594"/>
      <c r="Z22" s="3594"/>
      <c r="AA22" s="3594"/>
      <c r="AB22" s="3594"/>
      <c r="AC22" s="3594"/>
      <c r="AD22" s="3594"/>
      <c r="AE22" s="3594"/>
      <c r="AF22" s="3594"/>
      <c r="AG22" s="3594"/>
      <c r="AH22" s="3594"/>
      <c r="AI22" s="3594"/>
      <c r="AJ22" s="3594"/>
      <c r="AK22" s="3594"/>
      <c r="AL22" s="3594"/>
      <c r="AM22" s="3594"/>
      <c r="AN22" s="3594"/>
      <c r="AO22" s="3594"/>
      <c r="AP22" s="3594"/>
      <c r="AQ22" s="3594"/>
      <c r="AR22" s="3594"/>
      <c r="AS22" s="3594"/>
      <c r="AT22" s="3594"/>
      <c r="AU22" s="3594"/>
      <c r="AV22" s="3594"/>
      <c r="AW22" s="3594"/>
      <c r="AX22" s="3594"/>
      <c r="AY22" s="3594"/>
      <c r="AZ22" s="3594"/>
      <c r="BA22" s="3594"/>
      <c r="BB22" s="3594"/>
      <c r="BC22" s="3594"/>
      <c r="BD22" s="3594"/>
      <c r="BE22" s="3594"/>
      <c r="BF22" s="3594"/>
      <c r="BG22" s="3594"/>
      <c r="BH22" s="3594"/>
      <c r="BI22" s="3594"/>
      <c r="BJ22" s="3594"/>
      <c r="BK22" s="3594"/>
      <c r="BL22" s="3594"/>
      <c r="BM22" s="3594"/>
      <c r="BN22" s="3594"/>
      <c r="BO22" s="3594"/>
      <c r="BP22" s="3594"/>
      <c r="BQ22" s="3594"/>
      <c r="BR22" s="3594"/>
      <c r="BS22" s="3594"/>
      <c r="BT22" s="3594"/>
      <c r="BU22" s="3594"/>
      <c r="BV22" s="3594"/>
      <c r="BW22" s="3594"/>
      <c r="BX22" s="3594"/>
      <c r="BY22" s="3594"/>
      <c r="BZ22" s="3594"/>
      <c r="CA22" s="17"/>
      <c r="CC22" s="45" t="s">
        <v>93</v>
      </c>
      <c r="CD22" s="46"/>
      <c r="CE22" s="46"/>
      <c r="CF22" s="46"/>
      <c r="CG22" s="46"/>
      <c r="CH22" s="45" t="s">
        <v>561</v>
      </c>
      <c r="CI22" s="46"/>
    </row>
    <row r="23" spans="1:87" ht="17.100000000000001" customHeight="1" x14ac:dyDescent="0.15">
      <c r="A23" s="17"/>
      <c r="B23" s="3288"/>
      <c r="C23" s="3288"/>
      <c r="D23" s="3288"/>
      <c r="E23" s="3288"/>
      <c r="F23" s="3288"/>
      <c r="G23" s="3288"/>
      <c r="H23" s="3288"/>
      <c r="I23" s="3288"/>
      <c r="J23" s="3288"/>
      <c r="K23" s="3288"/>
      <c r="L23" s="3288"/>
      <c r="M23" s="3288"/>
      <c r="N23" s="3288"/>
      <c r="O23" s="3288"/>
      <c r="P23" s="3288"/>
      <c r="Q23" s="3288"/>
      <c r="R23" s="3288"/>
      <c r="S23" s="3288"/>
      <c r="T23" s="3594"/>
      <c r="U23" s="3594"/>
      <c r="V23" s="3594"/>
      <c r="W23" s="3594"/>
      <c r="X23" s="3594"/>
      <c r="Y23" s="3594"/>
      <c r="Z23" s="3594"/>
      <c r="AA23" s="3594"/>
      <c r="AB23" s="3594"/>
      <c r="AC23" s="3594"/>
      <c r="AD23" s="3594"/>
      <c r="AE23" s="3594"/>
      <c r="AF23" s="3594"/>
      <c r="AG23" s="3594"/>
      <c r="AH23" s="3594"/>
      <c r="AI23" s="3594"/>
      <c r="AJ23" s="3594"/>
      <c r="AK23" s="3594"/>
      <c r="AL23" s="3594"/>
      <c r="AM23" s="3594"/>
      <c r="AN23" s="3594"/>
      <c r="AO23" s="3594"/>
      <c r="AP23" s="3594"/>
      <c r="AQ23" s="3594"/>
      <c r="AR23" s="3594"/>
      <c r="AS23" s="3594"/>
      <c r="AT23" s="3594"/>
      <c r="AU23" s="3594"/>
      <c r="AV23" s="3594"/>
      <c r="AW23" s="3594"/>
      <c r="AX23" s="3594"/>
      <c r="AY23" s="3594"/>
      <c r="AZ23" s="3594"/>
      <c r="BA23" s="3594"/>
      <c r="BB23" s="3594"/>
      <c r="BC23" s="3594"/>
      <c r="BD23" s="3594"/>
      <c r="BE23" s="3594"/>
      <c r="BF23" s="3594"/>
      <c r="BG23" s="3594"/>
      <c r="BH23" s="3594"/>
      <c r="BI23" s="3594"/>
      <c r="BJ23" s="3594"/>
      <c r="BK23" s="3594"/>
      <c r="BL23" s="3594"/>
      <c r="BM23" s="3594"/>
      <c r="BN23" s="3594"/>
      <c r="BO23" s="3594"/>
      <c r="BP23" s="3594"/>
      <c r="BQ23" s="3594"/>
      <c r="BR23" s="3594"/>
      <c r="BS23" s="3594"/>
      <c r="BT23" s="3594"/>
      <c r="BU23" s="3594"/>
      <c r="BV23" s="3594"/>
      <c r="BW23" s="3594"/>
      <c r="BX23" s="3594"/>
      <c r="BY23" s="3594"/>
      <c r="BZ23" s="3594"/>
      <c r="CA23" s="17"/>
      <c r="CC23" s="45" t="s">
        <v>554</v>
      </c>
      <c r="CD23" s="46"/>
      <c r="CE23" s="46"/>
      <c r="CF23" s="46"/>
      <c r="CG23" s="46"/>
      <c r="CH23" s="45" t="s">
        <v>562</v>
      </c>
      <c r="CI23" s="46"/>
    </row>
    <row r="24" spans="1:87" ht="17.100000000000001" customHeight="1" x14ac:dyDescent="0.15">
      <c r="A24" s="17"/>
      <c r="B24" s="3288"/>
      <c r="C24" s="3288"/>
      <c r="D24" s="3288"/>
      <c r="E24" s="3288"/>
      <c r="F24" s="3288"/>
      <c r="G24" s="3288"/>
      <c r="H24" s="3288"/>
      <c r="I24" s="3288"/>
      <c r="J24" s="3288"/>
      <c r="K24" s="3288"/>
      <c r="L24" s="3288"/>
      <c r="M24" s="3288"/>
      <c r="N24" s="3288"/>
      <c r="O24" s="3288"/>
      <c r="P24" s="3288"/>
      <c r="Q24" s="3288"/>
      <c r="R24" s="3288"/>
      <c r="S24" s="3288"/>
      <c r="T24" s="3594"/>
      <c r="U24" s="3594"/>
      <c r="V24" s="3594"/>
      <c r="W24" s="3594"/>
      <c r="X24" s="3594"/>
      <c r="Y24" s="3594"/>
      <c r="Z24" s="3594"/>
      <c r="AA24" s="3594"/>
      <c r="AB24" s="3594"/>
      <c r="AC24" s="3594"/>
      <c r="AD24" s="3594"/>
      <c r="AE24" s="3594"/>
      <c r="AF24" s="3594"/>
      <c r="AG24" s="3594"/>
      <c r="AH24" s="3594"/>
      <c r="AI24" s="3594"/>
      <c r="AJ24" s="3594"/>
      <c r="AK24" s="3594"/>
      <c r="AL24" s="3594"/>
      <c r="AM24" s="3594"/>
      <c r="AN24" s="3594"/>
      <c r="AO24" s="3594"/>
      <c r="AP24" s="3594"/>
      <c r="AQ24" s="3594"/>
      <c r="AR24" s="3594"/>
      <c r="AS24" s="3594"/>
      <c r="AT24" s="3594"/>
      <c r="AU24" s="3594"/>
      <c r="AV24" s="3594"/>
      <c r="AW24" s="3594"/>
      <c r="AX24" s="3594"/>
      <c r="AY24" s="3594"/>
      <c r="AZ24" s="3594"/>
      <c r="BA24" s="3594"/>
      <c r="BB24" s="3594"/>
      <c r="BC24" s="3594"/>
      <c r="BD24" s="3594"/>
      <c r="BE24" s="3594"/>
      <c r="BF24" s="3594"/>
      <c r="BG24" s="3594"/>
      <c r="BH24" s="3594"/>
      <c r="BI24" s="3594"/>
      <c r="BJ24" s="3594"/>
      <c r="BK24" s="3594"/>
      <c r="BL24" s="3594"/>
      <c r="BM24" s="3594"/>
      <c r="BN24" s="3594"/>
      <c r="BO24" s="3594"/>
      <c r="BP24" s="3594"/>
      <c r="BQ24" s="3594"/>
      <c r="BR24" s="3594"/>
      <c r="BS24" s="3594"/>
      <c r="BT24" s="3594"/>
      <c r="BU24" s="3594"/>
      <c r="BV24" s="3594"/>
      <c r="BW24" s="3594"/>
      <c r="BX24" s="3594"/>
      <c r="BY24" s="3594"/>
      <c r="BZ24" s="3594"/>
      <c r="CA24" s="17"/>
      <c r="CC24" s="45" t="s">
        <v>2322</v>
      </c>
      <c r="CD24" s="46"/>
      <c r="CE24" s="46"/>
      <c r="CF24" s="46"/>
      <c r="CG24" s="46"/>
      <c r="CH24" s="45" t="s">
        <v>2324</v>
      </c>
      <c r="CI24" s="46"/>
    </row>
    <row r="25" spans="1:87" ht="17.100000000000001" customHeight="1" x14ac:dyDescent="0.15">
      <c r="A25" s="17"/>
      <c r="B25" s="3288"/>
      <c r="C25" s="3288"/>
      <c r="D25" s="3288"/>
      <c r="E25" s="3288"/>
      <c r="F25" s="3288"/>
      <c r="G25" s="3288"/>
      <c r="H25" s="3288"/>
      <c r="I25" s="3288"/>
      <c r="J25" s="3288"/>
      <c r="K25" s="3288"/>
      <c r="L25" s="3288"/>
      <c r="M25" s="3288"/>
      <c r="N25" s="3288"/>
      <c r="O25" s="3288"/>
      <c r="P25" s="3288"/>
      <c r="Q25" s="3288"/>
      <c r="R25" s="3288"/>
      <c r="S25" s="3288"/>
      <c r="T25" s="3594"/>
      <c r="U25" s="3594"/>
      <c r="V25" s="3594"/>
      <c r="W25" s="3594"/>
      <c r="X25" s="3594"/>
      <c r="Y25" s="3594"/>
      <c r="Z25" s="3594"/>
      <c r="AA25" s="3594"/>
      <c r="AB25" s="3594"/>
      <c r="AC25" s="3594"/>
      <c r="AD25" s="3594"/>
      <c r="AE25" s="3594"/>
      <c r="AF25" s="3594"/>
      <c r="AG25" s="3594"/>
      <c r="AH25" s="3594"/>
      <c r="AI25" s="3594"/>
      <c r="AJ25" s="3594"/>
      <c r="AK25" s="3594"/>
      <c r="AL25" s="3594"/>
      <c r="AM25" s="3594"/>
      <c r="AN25" s="3594"/>
      <c r="AO25" s="3594"/>
      <c r="AP25" s="3594"/>
      <c r="AQ25" s="3594"/>
      <c r="AR25" s="3594"/>
      <c r="AS25" s="3594"/>
      <c r="AT25" s="3594"/>
      <c r="AU25" s="3594"/>
      <c r="AV25" s="3594"/>
      <c r="AW25" s="3594"/>
      <c r="AX25" s="3594"/>
      <c r="AY25" s="3594"/>
      <c r="AZ25" s="3594"/>
      <c r="BA25" s="3594"/>
      <c r="BB25" s="3594"/>
      <c r="BC25" s="3594"/>
      <c r="BD25" s="3594"/>
      <c r="BE25" s="3594"/>
      <c r="BF25" s="3594"/>
      <c r="BG25" s="3594"/>
      <c r="BH25" s="3594"/>
      <c r="BI25" s="3594"/>
      <c r="BJ25" s="3594"/>
      <c r="BK25" s="3594"/>
      <c r="BL25" s="3594"/>
      <c r="BM25" s="3594"/>
      <c r="BN25" s="3594"/>
      <c r="BO25" s="3594"/>
      <c r="BP25" s="3594"/>
      <c r="BQ25" s="3594"/>
      <c r="BR25" s="3594"/>
      <c r="BS25" s="3594"/>
      <c r="BT25" s="3594"/>
      <c r="BU25" s="3594"/>
      <c r="BV25" s="3594"/>
      <c r="BW25" s="3594"/>
      <c r="BX25" s="3594"/>
      <c r="BY25" s="3594"/>
      <c r="BZ25" s="3594"/>
      <c r="CA25" s="17"/>
      <c r="CC25" s="45" t="s">
        <v>2323</v>
      </c>
      <c r="CD25" s="46"/>
      <c r="CE25" s="46"/>
      <c r="CF25" s="46"/>
      <c r="CG25" s="46"/>
      <c r="CH25" s="45" t="s">
        <v>2325</v>
      </c>
      <c r="CI25" s="46"/>
    </row>
    <row r="26" spans="1:87" ht="17.100000000000001" customHeight="1" x14ac:dyDescent="0.15">
      <c r="A26" s="17"/>
      <c r="B26" s="3288"/>
      <c r="C26" s="3288"/>
      <c r="D26" s="3288"/>
      <c r="E26" s="3288"/>
      <c r="F26" s="3288"/>
      <c r="G26" s="3288"/>
      <c r="H26" s="3288"/>
      <c r="I26" s="3288"/>
      <c r="J26" s="3288"/>
      <c r="K26" s="3288"/>
      <c r="L26" s="3288"/>
      <c r="M26" s="3288"/>
      <c r="N26" s="3288"/>
      <c r="O26" s="3288"/>
      <c r="P26" s="3288"/>
      <c r="Q26" s="3288"/>
      <c r="R26" s="3288"/>
      <c r="S26" s="3288"/>
      <c r="T26" s="3594"/>
      <c r="U26" s="3594"/>
      <c r="V26" s="3594"/>
      <c r="W26" s="3594"/>
      <c r="X26" s="3594"/>
      <c r="Y26" s="3594"/>
      <c r="Z26" s="3594"/>
      <c r="AA26" s="3594"/>
      <c r="AB26" s="3594"/>
      <c r="AC26" s="3594"/>
      <c r="AD26" s="3594"/>
      <c r="AE26" s="3594"/>
      <c r="AF26" s="3594"/>
      <c r="AG26" s="3594"/>
      <c r="AH26" s="3594"/>
      <c r="AI26" s="3594"/>
      <c r="AJ26" s="3594"/>
      <c r="AK26" s="3594"/>
      <c r="AL26" s="3594"/>
      <c r="AM26" s="3594"/>
      <c r="AN26" s="3594"/>
      <c r="AO26" s="3594"/>
      <c r="AP26" s="3594"/>
      <c r="AQ26" s="3594"/>
      <c r="AR26" s="3594"/>
      <c r="AS26" s="3594"/>
      <c r="AT26" s="3594"/>
      <c r="AU26" s="3594"/>
      <c r="AV26" s="3594"/>
      <c r="AW26" s="3594"/>
      <c r="AX26" s="3594"/>
      <c r="AY26" s="3594"/>
      <c r="AZ26" s="3594"/>
      <c r="BA26" s="3594"/>
      <c r="BB26" s="3594"/>
      <c r="BC26" s="3594"/>
      <c r="BD26" s="3594"/>
      <c r="BE26" s="3594"/>
      <c r="BF26" s="3594"/>
      <c r="BG26" s="3594"/>
      <c r="BH26" s="3594"/>
      <c r="BI26" s="3594"/>
      <c r="BJ26" s="3594"/>
      <c r="BK26" s="3594"/>
      <c r="BL26" s="3594"/>
      <c r="BM26" s="3594"/>
      <c r="BN26" s="3594"/>
      <c r="BO26" s="3594"/>
      <c r="BP26" s="3594"/>
      <c r="BQ26" s="3594"/>
      <c r="BR26" s="3594"/>
      <c r="BS26" s="3594"/>
      <c r="BT26" s="3594"/>
      <c r="BU26" s="3594"/>
      <c r="BV26" s="3594"/>
      <c r="BW26" s="3594"/>
      <c r="BX26" s="3594"/>
      <c r="BY26" s="3594"/>
      <c r="BZ26" s="3594"/>
      <c r="CA26" s="17"/>
    </row>
    <row r="27" spans="1:87" ht="17.100000000000001" customHeight="1" x14ac:dyDescent="0.15">
      <c r="A27" s="17"/>
      <c r="B27" s="3288"/>
      <c r="C27" s="3288"/>
      <c r="D27" s="3288"/>
      <c r="E27" s="3288"/>
      <c r="F27" s="3288"/>
      <c r="G27" s="3288"/>
      <c r="H27" s="3288"/>
      <c r="I27" s="3288"/>
      <c r="J27" s="3288"/>
      <c r="K27" s="3288"/>
      <c r="L27" s="3288"/>
      <c r="M27" s="3288"/>
      <c r="N27" s="3288"/>
      <c r="O27" s="3288"/>
      <c r="P27" s="3288"/>
      <c r="Q27" s="3288"/>
      <c r="R27" s="3288"/>
      <c r="S27" s="3288"/>
      <c r="T27" s="3594"/>
      <c r="U27" s="3594"/>
      <c r="V27" s="3594"/>
      <c r="W27" s="3594"/>
      <c r="X27" s="3594"/>
      <c r="Y27" s="3594"/>
      <c r="Z27" s="3594"/>
      <c r="AA27" s="3594"/>
      <c r="AB27" s="3594"/>
      <c r="AC27" s="3594"/>
      <c r="AD27" s="3594"/>
      <c r="AE27" s="3594"/>
      <c r="AF27" s="3594"/>
      <c r="AG27" s="3594"/>
      <c r="AH27" s="3594"/>
      <c r="AI27" s="3594"/>
      <c r="AJ27" s="3594"/>
      <c r="AK27" s="3594"/>
      <c r="AL27" s="3594"/>
      <c r="AM27" s="3594"/>
      <c r="AN27" s="3594"/>
      <c r="AO27" s="3594"/>
      <c r="AP27" s="3594"/>
      <c r="AQ27" s="3594"/>
      <c r="AR27" s="3594"/>
      <c r="AS27" s="3594"/>
      <c r="AT27" s="3594"/>
      <c r="AU27" s="3594"/>
      <c r="AV27" s="3594"/>
      <c r="AW27" s="3594"/>
      <c r="AX27" s="3594"/>
      <c r="AY27" s="3594"/>
      <c r="AZ27" s="3594"/>
      <c r="BA27" s="3594"/>
      <c r="BB27" s="3594"/>
      <c r="BC27" s="3594"/>
      <c r="BD27" s="3594"/>
      <c r="BE27" s="3594"/>
      <c r="BF27" s="3594"/>
      <c r="BG27" s="3594"/>
      <c r="BH27" s="3594"/>
      <c r="BI27" s="3594"/>
      <c r="BJ27" s="3594"/>
      <c r="BK27" s="3594"/>
      <c r="BL27" s="3594"/>
      <c r="BM27" s="3594"/>
      <c r="BN27" s="3594"/>
      <c r="BO27" s="3594"/>
      <c r="BP27" s="3594"/>
      <c r="BQ27" s="3594"/>
      <c r="BR27" s="3594"/>
      <c r="BS27" s="3594"/>
      <c r="BT27" s="3594"/>
      <c r="BU27" s="3594"/>
      <c r="BV27" s="3594"/>
      <c r="BW27" s="3594"/>
      <c r="BX27" s="3594"/>
      <c r="BY27" s="3594"/>
      <c r="BZ27" s="3594"/>
      <c r="CA27" s="17"/>
    </row>
    <row r="28" spans="1:87" ht="17.100000000000001" customHeight="1" x14ac:dyDescent="0.15">
      <c r="A28" s="17"/>
      <c r="B28" s="3288"/>
      <c r="C28" s="3288"/>
      <c r="D28" s="3288"/>
      <c r="E28" s="3288"/>
      <c r="F28" s="3288"/>
      <c r="G28" s="3288"/>
      <c r="H28" s="3288"/>
      <c r="I28" s="3288"/>
      <c r="J28" s="3288"/>
      <c r="K28" s="3288"/>
      <c r="L28" s="3288"/>
      <c r="M28" s="3288"/>
      <c r="N28" s="3288"/>
      <c r="O28" s="3288"/>
      <c r="P28" s="3288"/>
      <c r="Q28" s="3288"/>
      <c r="R28" s="3288"/>
      <c r="S28" s="3288"/>
      <c r="T28" s="3594"/>
      <c r="U28" s="3594"/>
      <c r="V28" s="3594"/>
      <c r="W28" s="3594"/>
      <c r="X28" s="3594"/>
      <c r="Y28" s="3594"/>
      <c r="Z28" s="3594"/>
      <c r="AA28" s="3594"/>
      <c r="AB28" s="3594"/>
      <c r="AC28" s="3594"/>
      <c r="AD28" s="3594"/>
      <c r="AE28" s="3594"/>
      <c r="AF28" s="3594"/>
      <c r="AG28" s="3594"/>
      <c r="AH28" s="3594"/>
      <c r="AI28" s="3594"/>
      <c r="AJ28" s="3594"/>
      <c r="AK28" s="3594"/>
      <c r="AL28" s="3594"/>
      <c r="AM28" s="3594"/>
      <c r="AN28" s="3594"/>
      <c r="AO28" s="3594"/>
      <c r="AP28" s="3594"/>
      <c r="AQ28" s="3594"/>
      <c r="AR28" s="3594"/>
      <c r="AS28" s="3594"/>
      <c r="AT28" s="3594"/>
      <c r="AU28" s="3594"/>
      <c r="AV28" s="3594"/>
      <c r="AW28" s="3594"/>
      <c r="AX28" s="3594"/>
      <c r="AY28" s="3594"/>
      <c r="AZ28" s="3594"/>
      <c r="BA28" s="3594"/>
      <c r="BB28" s="3594"/>
      <c r="BC28" s="3594"/>
      <c r="BD28" s="3594"/>
      <c r="BE28" s="3594"/>
      <c r="BF28" s="3594"/>
      <c r="BG28" s="3594"/>
      <c r="BH28" s="3594"/>
      <c r="BI28" s="3594"/>
      <c r="BJ28" s="3594"/>
      <c r="BK28" s="3594"/>
      <c r="BL28" s="3594"/>
      <c r="BM28" s="3594"/>
      <c r="BN28" s="3594"/>
      <c r="BO28" s="3594"/>
      <c r="BP28" s="3594"/>
      <c r="BQ28" s="3594"/>
      <c r="BR28" s="3594"/>
      <c r="BS28" s="3594"/>
      <c r="BT28" s="3594"/>
      <c r="BU28" s="3594"/>
      <c r="BV28" s="3594"/>
      <c r="BW28" s="3594"/>
      <c r="BX28" s="3594"/>
      <c r="BY28" s="3594"/>
      <c r="BZ28" s="3594"/>
      <c r="CA28" s="17"/>
    </row>
    <row r="29" spans="1:87" ht="17.100000000000001" customHeight="1" x14ac:dyDescent="0.15">
      <c r="A29" s="17"/>
      <c r="B29" s="3288"/>
      <c r="C29" s="3288"/>
      <c r="D29" s="3288"/>
      <c r="E29" s="3288"/>
      <c r="F29" s="3288"/>
      <c r="G29" s="3288"/>
      <c r="H29" s="3288"/>
      <c r="I29" s="3288"/>
      <c r="J29" s="3288"/>
      <c r="K29" s="3288"/>
      <c r="L29" s="3288"/>
      <c r="M29" s="3288"/>
      <c r="N29" s="3288"/>
      <c r="O29" s="3288"/>
      <c r="P29" s="3288"/>
      <c r="Q29" s="3288"/>
      <c r="R29" s="3288"/>
      <c r="S29" s="3288"/>
      <c r="T29" s="3594"/>
      <c r="U29" s="3594"/>
      <c r="V29" s="3594"/>
      <c r="W29" s="3594"/>
      <c r="X29" s="3594"/>
      <c r="Y29" s="3594"/>
      <c r="Z29" s="3594"/>
      <c r="AA29" s="3594"/>
      <c r="AB29" s="3594"/>
      <c r="AC29" s="3594"/>
      <c r="AD29" s="3594"/>
      <c r="AE29" s="3594"/>
      <c r="AF29" s="3594"/>
      <c r="AG29" s="3594"/>
      <c r="AH29" s="3594"/>
      <c r="AI29" s="3594"/>
      <c r="AJ29" s="3594"/>
      <c r="AK29" s="3594"/>
      <c r="AL29" s="3594"/>
      <c r="AM29" s="3594"/>
      <c r="AN29" s="3594"/>
      <c r="AO29" s="3594"/>
      <c r="AP29" s="3594"/>
      <c r="AQ29" s="3594"/>
      <c r="AR29" s="3594"/>
      <c r="AS29" s="3594"/>
      <c r="AT29" s="3594"/>
      <c r="AU29" s="3594"/>
      <c r="AV29" s="3594"/>
      <c r="AW29" s="3594"/>
      <c r="AX29" s="3594"/>
      <c r="AY29" s="3594"/>
      <c r="AZ29" s="3594"/>
      <c r="BA29" s="3594"/>
      <c r="BB29" s="3594"/>
      <c r="BC29" s="3594"/>
      <c r="BD29" s="3594"/>
      <c r="BE29" s="3594"/>
      <c r="BF29" s="3594"/>
      <c r="BG29" s="3594"/>
      <c r="BH29" s="3594"/>
      <c r="BI29" s="3594"/>
      <c r="BJ29" s="3594"/>
      <c r="BK29" s="3594"/>
      <c r="BL29" s="3594"/>
      <c r="BM29" s="3594"/>
      <c r="BN29" s="3594"/>
      <c r="BO29" s="3594"/>
      <c r="BP29" s="3594"/>
      <c r="BQ29" s="3594"/>
      <c r="BR29" s="3594"/>
      <c r="BS29" s="3594"/>
      <c r="BT29" s="3594"/>
      <c r="BU29" s="3594"/>
      <c r="BV29" s="3594"/>
      <c r="BW29" s="3594"/>
      <c r="BX29" s="3594"/>
      <c r="BY29" s="3594"/>
      <c r="BZ29" s="3594"/>
      <c r="CA29" s="17"/>
    </row>
    <row r="30" spans="1:87" ht="17.100000000000001" customHeight="1" x14ac:dyDescent="0.15">
      <c r="A30" s="17"/>
      <c r="B30" s="3288"/>
      <c r="C30" s="3288"/>
      <c r="D30" s="3288"/>
      <c r="E30" s="3288"/>
      <c r="F30" s="3288"/>
      <c r="G30" s="3288"/>
      <c r="H30" s="3288"/>
      <c r="I30" s="3288"/>
      <c r="J30" s="3288"/>
      <c r="K30" s="3288"/>
      <c r="L30" s="3288"/>
      <c r="M30" s="3288"/>
      <c r="N30" s="3288"/>
      <c r="O30" s="3288"/>
      <c r="P30" s="3288"/>
      <c r="Q30" s="3288"/>
      <c r="R30" s="3288"/>
      <c r="S30" s="3288"/>
      <c r="T30" s="3594"/>
      <c r="U30" s="3594"/>
      <c r="V30" s="3594"/>
      <c r="W30" s="3594"/>
      <c r="X30" s="3594"/>
      <c r="Y30" s="3594"/>
      <c r="Z30" s="3594"/>
      <c r="AA30" s="3594"/>
      <c r="AB30" s="3594"/>
      <c r="AC30" s="3594"/>
      <c r="AD30" s="3594"/>
      <c r="AE30" s="3594"/>
      <c r="AF30" s="3594"/>
      <c r="AG30" s="3594"/>
      <c r="AH30" s="3594"/>
      <c r="AI30" s="3594"/>
      <c r="AJ30" s="3594"/>
      <c r="AK30" s="3594"/>
      <c r="AL30" s="3594"/>
      <c r="AM30" s="3594"/>
      <c r="AN30" s="3594"/>
      <c r="AO30" s="3594"/>
      <c r="AP30" s="3594"/>
      <c r="AQ30" s="3594"/>
      <c r="AR30" s="3594"/>
      <c r="AS30" s="3594"/>
      <c r="AT30" s="3594"/>
      <c r="AU30" s="3594"/>
      <c r="AV30" s="3594"/>
      <c r="AW30" s="3594"/>
      <c r="AX30" s="3594"/>
      <c r="AY30" s="3594"/>
      <c r="AZ30" s="3594"/>
      <c r="BA30" s="3594"/>
      <c r="BB30" s="3594"/>
      <c r="BC30" s="3594"/>
      <c r="BD30" s="3594"/>
      <c r="BE30" s="3594"/>
      <c r="BF30" s="3594"/>
      <c r="BG30" s="3594"/>
      <c r="BH30" s="3594"/>
      <c r="BI30" s="3594"/>
      <c r="BJ30" s="3594"/>
      <c r="BK30" s="3594"/>
      <c r="BL30" s="3594"/>
      <c r="BM30" s="3594"/>
      <c r="BN30" s="3594"/>
      <c r="BO30" s="3594"/>
      <c r="BP30" s="3594"/>
      <c r="BQ30" s="3594"/>
      <c r="BR30" s="3594"/>
      <c r="BS30" s="3594"/>
      <c r="BT30" s="3594"/>
      <c r="BU30" s="3594"/>
      <c r="BV30" s="3594"/>
      <c r="BW30" s="3594"/>
      <c r="BX30" s="3594"/>
      <c r="BY30" s="3594"/>
      <c r="BZ30" s="3594"/>
      <c r="CA30" s="17"/>
    </row>
    <row r="31" spans="1:87" ht="17.100000000000001" customHeight="1" x14ac:dyDescent="0.15">
      <c r="A31" s="17"/>
      <c r="B31" s="3288"/>
      <c r="C31" s="3288"/>
      <c r="D31" s="3288"/>
      <c r="E31" s="3288"/>
      <c r="F31" s="3288"/>
      <c r="G31" s="3288"/>
      <c r="H31" s="3288"/>
      <c r="I31" s="3288"/>
      <c r="J31" s="3288"/>
      <c r="K31" s="3288"/>
      <c r="L31" s="3288"/>
      <c r="M31" s="3288"/>
      <c r="N31" s="3288"/>
      <c r="O31" s="3288"/>
      <c r="P31" s="3288"/>
      <c r="Q31" s="3288"/>
      <c r="R31" s="3288"/>
      <c r="S31" s="3288"/>
      <c r="T31" s="3594"/>
      <c r="U31" s="3594"/>
      <c r="V31" s="3594"/>
      <c r="W31" s="3594"/>
      <c r="X31" s="3594"/>
      <c r="Y31" s="3594"/>
      <c r="Z31" s="3594"/>
      <c r="AA31" s="3594"/>
      <c r="AB31" s="3594"/>
      <c r="AC31" s="3594"/>
      <c r="AD31" s="3594"/>
      <c r="AE31" s="3594"/>
      <c r="AF31" s="3594"/>
      <c r="AG31" s="3594"/>
      <c r="AH31" s="3594"/>
      <c r="AI31" s="3594"/>
      <c r="AJ31" s="3594"/>
      <c r="AK31" s="3594"/>
      <c r="AL31" s="3594"/>
      <c r="AM31" s="3594"/>
      <c r="AN31" s="3594"/>
      <c r="AO31" s="3594"/>
      <c r="AP31" s="3594"/>
      <c r="AQ31" s="3594"/>
      <c r="AR31" s="3594"/>
      <c r="AS31" s="3594"/>
      <c r="AT31" s="3594"/>
      <c r="AU31" s="3594"/>
      <c r="AV31" s="3594"/>
      <c r="AW31" s="3594"/>
      <c r="AX31" s="3594"/>
      <c r="AY31" s="3594"/>
      <c r="AZ31" s="3594"/>
      <c r="BA31" s="3594"/>
      <c r="BB31" s="3594"/>
      <c r="BC31" s="3594"/>
      <c r="BD31" s="3594"/>
      <c r="BE31" s="3594"/>
      <c r="BF31" s="3594"/>
      <c r="BG31" s="3594"/>
      <c r="BH31" s="3594"/>
      <c r="BI31" s="3594"/>
      <c r="BJ31" s="3594"/>
      <c r="BK31" s="3594"/>
      <c r="BL31" s="3594"/>
      <c r="BM31" s="3594"/>
      <c r="BN31" s="3594"/>
      <c r="BO31" s="3594"/>
      <c r="BP31" s="3594"/>
      <c r="BQ31" s="3594"/>
      <c r="BR31" s="3594"/>
      <c r="BS31" s="3594"/>
      <c r="BT31" s="3594"/>
      <c r="BU31" s="3594"/>
      <c r="BV31" s="3594"/>
      <c r="BW31" s="3594"/>
      <c r="BX31" s="3594"/>
      <c r="BY31" s="3594"/>
      <c r="BZ31" s="3594"/>
      <c r="CA31" s="17"/>
    </row>
    <row r="32" spans="1:87" ht="17.100000000000001" customHeight="1" x14ac:dyDescent="0.15">
      <c r="A32" s="17"/>
      <c r="B32" s="3288"/>
      <c r="C32" s="3288"/>
      <c r="D32" s="3288"/>
      <c r="E32" s="3288"/>
      <c r="F32" s="3288"/>
      <c r="G32" s="3288"/>
      <c r="H32" s="3288"/>
      <c r="I32" s="3288"/>
      <c r="J32" s="3288"/>
      <c r="K32" s="3288"/>
      <c r="L32" s="3288"/>
      <c r="M32" s="3288"/>
      <c r="N32" s="3288"/>
      <c r="O32" s="3288"/>
      <c r="P32" s="3288"/>
      <c r="Q32" s="3288"/>
      <c r="R32" s="3288"/>
      <c r="S32" s="3288"/>
      <c r="T32" s="3594"/>
      <c r="U32" s="3594"/>
      <c r="V32" s="3594"/>
      <c r="W32" s="3594"/>
      <c r="X32" s="3594"/>
      <c r="Y32" s="3594"/>
      <c r="Z32" s="3594"/>
      <c r="AA32" s="3594"/>
      <c r="AB32" s="3594"/>
      <c r="AC32" s="3594"/>
      <c r="AD32" s="3594"/>
      <c r="AE32" s="3594"/>
      <c r="AF32" s="3594"/>
      <c r="AG32" s="3594"/>
      <c r="AH32" s="3594"/>
      <c r="AI32" s="3594"/>
      <c r="AJ32" s="3594"/>
      <c r="AK32" s="3594"/>
      <c r="AL32" s="3594"/>
      <c r="AM32" s="3594"/>
      <c r="AN32" s="3594"/>
      <c r="AO32" s="3594"/>
      <c r="AP32" s="3594"/>
      <c r="AQ32" s="3594"/>
      <c r="AR32" s="3594"/>
      <c r="AS32" s="3594"/>
      <c r="AT32" s="3594"/>
      <c r="AU32" s="3594"/>
      <c r="AV32" s="3594"/>
      <c r="AW32" s="3594"/>
      <c r="AX32" s="3594"/>
      <c r="AY32" s="3594"/>
      <c r="AZ32" s="3594"/>
      <c r="BA32" s="3594"/>
      <c r="BB32" s="3594"/>
      <c r="BC32" s="3594"/>
      <c r="BD32" s="3594"/>
      <c r="BE32" s="3594"/>
      <c r="BF32" s="3594"/>
      <c r="BG32" s="3594"/>
      <c r="BH32" s="3594"/>
      <c r="BI32" s="3594"/>
      <c r="BJ32" s="3594"/>
      <c r="BK32" s="3594"/>
      <c r="BL32" s="3594"/>
      <c r="BM32" s="3594"/>
      <c r="BN32" s="3594"/>
      <c r="BO32" s="3594"/>
      <c r="BP32" s="3594"/>
      <c r="BQ32" s="3594"/>
      <c r="BR32" s="3594"/>
      <c r="BS32" s="3594"/>
      <c r="BT32" s="3594"/>
      <c r="BU32" s="3594"/>
      <c r="BV32" s="3594"/>
      <c r="BW32" s="3594"/>
      <c r="BX32" s="3594"/>
      <c r="BY32" s="3594"/>
      <c r="BZ32" s="3594"/>
      <c r="CA32" s="17"/>
    </row>
    <row r="33" spans="1:79" ht="17.100000000000001" customHeight="1" x14ac:dyDescent="0.15">
      <c r="A33" s="17"/>
      <c r="B33" s="3288"/>
      <c r="C33" s="3288"/>
      <c r="D33" s="3288"/>
      <c r="E33" s="3288"/>
      <c r="F33" s="3288"/>
      <c r="G33" s="3288"/>
      <c r="H33" s="3288"/>
      <c r="I33" s="3288"/>
      <c r="J33" s="3288"/>
      <c r="K33" s="3288"/>
      <c r="L33" s="3288"/>
      <c r="M33" s="3288"/>
      <c r="N33" s="3288"/>
      <c r="O33" s="3288"/>
      <c r="P33" s="3288"/>
      <c r="Q33" s="3288"/>
      <c r="R33" s="3288"/>
      <c r="S33" s="3288"/>
      <c r="T33" s="3594"/>
      <c r="U33" s="3594"/>
      <c r="V33" s="3594"/>
      <c r="W33" s="3594"/>
      <c r="X33" s="3594"/>
      <c r="Y33" s="3594"/>
      <c r="Z33" s="3594"/>
      <c r="AA33" s="3594"/>
      <c r="AB33" s="3594"/>
      <c r="AC33" s="3594"/>
      <c r="AD33" s="3594"/>
      <c r="AE33" s="3594"/>
      <c r="AF33" s="3594"/>
      <c r="AG33" s="3594"/>
      <c r="AH33" s="3594"/>
      <c r="AI33" s="3594"/>
      <c r="AJ33" s="3594"/>
      <c r="AK33" s="3594"/>
      <c r="AL33" s="3594"/>
      <c r="AM33" s="3594"/>
      <c r="AN33" s="3594"/>
      <c r="AO33" s="3594"/>
      <c r="AP33" s="3594"/>
      <c r="AQ33" s="3594"/>
      <c r="AR33" s="3594"/>
      <c r="AS33" s="3594"/>
      <c r="AT33" s="3594"/>
      <c r="AU33" s="3594"/>
      <c r="AV33" s="3594"/>
      <c r="AW33" s="3594"/>
      <c r="AX33" s="3594"/>
      <c r="AY33" s="3594"/>
      <c r="AZ33" s="3594"/>
      <c r="BA33" s="3594"/>
      <c r="BB33" s="3594"/>
      <c r="BC33" s="3594"/>
      <c r="BD33" s="3594"/>
      <c r="BE33" s="3594"/>
      <c r="BF33" s="3594"/>
      <c r="BG33" s="3594"/>
      <c r="BH33" s="3594"/>
      <c r="BI33" s="3594"/>
      <c r="BJ33" s="3594"/>
      <c r="BK33" s="3594"/>
      <c r="BL33" s="3594"/>
      <c r="BM33" s="3594"/>
      <c r="BN33" s="3594"/>
      <c r="BO33" s="3594"/>
      <c r="BP33" s="3594"/>
      <c r="BQ33" s="3594"/>
      <c r="BR33" s="3594"/>
      <c r="BS33" s="3594"/>
      <c r="BT33" s="3594"/>
      <c r="BU33" s="3594"/>
      <c r="BV33" s="3594"/>
      <c r="BW33" s="3594"/>
      <c r="BX33" s="3594"/>
      <c r="BY33" s="3594"/>
      <c r="BZ33" s="3594"/>
      <c r="CA33" s="17"/>
    </row>
    <row r="34" spans="1:79" ht="17.100000000000001" customHeight="1" x14ac:dyDescent="0.15">
      <c r="A34" s="17"/>
      <c r="B34" s="3288"/>
      <c r="C34" s="3288"/>
      <c r="D34" s="3288"/>
      <c r="E34" s="3288"/>
      <c r="F34" s="3288"/>
      <c r="G34" s="3288"/>
      <c r="H34" s="3288"/>
      <c r="I34" s="3288"/>
      <c r="J34" s="3288"/>
      <c r="K34" s="3288"/>
      <c r="L34" s="3288"/>
      <c r="M34" s="3288"/>
      <c r="N34" s="3288"/>
      <c r="O34" s="3288"/>
      <c r="P34" s="3288"/>
      <c r="Q34" s="3288"/>
      <c r="R34" s="3288"/>
      <c r="S34" s="3288"/>
      <c r="T34" s="3594"/>
      <c r="U34" s="3594"/>
      <c r="V34" s="3594"/>
      <c r="W34" s="3594"/>
      <c r="X34" s="3594"/>
      <c r="Y34" s="3594"/>
      <c r="Z34" s="3594"/>
      <c r="AA34" s="3594"/>
      <c r="AB34" s="3594"/>
      <c r="AC34" s="3594"/>
      <c r="AD34" s="3594"/>
      <c r="AE34" s="3594"/>
      <c r="AF34" s="3594"/>
      <c r="AG34" s="3594"/>
      <c r="AH34" s="3594"/>
      <c r="AI34" s="3594"/>
      <c r="AJ34" s="3594"/>
      <c r="AK34" s="3594"/>
      <c r="AL34" s="3594"/>
      <c r="AM34" s="3594"/>
      <c r="AN34" s="3594"/>
      <c r="AO34" s="3594"/>
      <c r="AP34" s="3594"/>
      <c r="AQ34" s="3594"/>
      <c r="AR34" s="3594"/>
      <c r="AS34" s="3594"/>
      <c r="AT34" s="3594"/>
      <c r="AU34" s="3594"/>
      <c r="AV34" s="3594"/>
      <c r="AW34" s="3594"/>
      <c r="AX34" s="3594"/>
      <c r="AY34" s="3594"/>
      <c r="AZ34" s="3594"/>
      <c r="BA34" s="3594"/>
      <c r="BB34" s="3594"/>
      <c r="BC34" s="3594"/>
      <c r="BD34" s="3594"/>
      <c r="BE34" s="3594"/>
      <c r="BF34" s="3594"/>
      <c r="BG34" s="3594"/>
      <c r="BH34" s="3594"/>
      <c r="BI34" s="3594"/>
      <c r="BJ34" s="3594"/>
      <c r="BK34" s="3594"/>
      <c r="BL34" s="3594"/>
      <c r="BM34" s="3594"/>
      <c r="BN34" s="3594"/>
      <c r="BO34" s="3594"/>
      <c r="BP34" s="3594"/>
      <c r="BQ34" s="3594"/>
      <c r="BR34" s="3594"/>
      <c r="BS34" s="3594"/>
      <c r="BT34" s="3594"/>
      <c r="BU34" s="3594"/>
      <c r="BV34" s="3594"/>
      <c r="BW34" s="3594"/>
      <c r="BX34" s="3594"/>
      <c r="BY34" s="3594"/>
      <c r="BZ34" s="3594"/>
      <c r="CA34" s="17"/>
    </row>
    <row r="35" spans="1:79" ht="17.100000000000001" customHeight="1" x14ac:dyDescent="0.15">
      <c r="A35" s="17"/>
      <c r="B35" s="3288"/>
      <c r="C35" s="3288"/>
      <c r="D35" s="3288"/>
      <c r="E35" s="3288"/>
      <c r="F35" s="3288"/>
      <c r="G35" s="3288"/>
      <c r="H35" s="3288"/>
      <c r="I35" s="3288"/>
      <c r="J35" s="3288"/>
      <c r="K35" s="3288"/>
      <c r="L35" s="3288"/>
      <c r="M35" s="3288"/>
      <c r="N35" s="3288"/>
      <c r="O35" s="3288"/>
      <c r="P35" s="3288"/>
      <c r="Q35" s="3288"/>
      <c r="R35" s="3288"/>
      <c r="S35" s="3288"/>
      <c r="T35" s="3594"/>
      <c r="U35" s="3594"/>
      <c r="V35" s="3594"/>
      <c r="W35" s="3594"/>
      <c r="X35" s="3594"/>
      <c r="Y35" s="3594"/>
      <c r="Z35" s="3594"/>
      <c r="AA35" s="3594"/>
      <c r="AB35" s="3594"/>
      <c r="AC35" s="3594"/>
      <c r="AD35" s="3594"/>
      <c r="AE35" s="3594"/>
      <c r="AF35" s="3594"/>
      <c r="AG35" s="3594"/>
      <c r="AH35" s="3594"/>
      <c r="AI35" s="3594"/>
      <c r="AJ35" s="3594"/>
      <c r="AK35" s="3594"/>
      <c r="AL35" s="3594"/>
      <c r="AM35" s="3594"/>
      <c r="AN35" s="3594"/>
      <c r="AO35" s="3594"/>
      <c r="AP35" s="3594"/>
      <c r="AQ35" s="3594"/>
      <c r="AR35" s="3594"/>
      <c r="AS35" s="3594"/>
      <c r="AT35" s="3594"/>
      <c r="AU35" s="3594"/>
      <c r="AV35" s="3594"/>
      <c r="AW35" s="3594"/>
      <c r="AX35" s="3594"/>
      <c r="AY35" s="3594"/>
      <c r="AZ35" s="3594"/>
      <c r="BA35" s="3594"/>
      <c r="BB35" s="3594"/>
      <c r="BC35" s="3594"/>
      <c r="BD35" s="3594"/>
      <c r="BE35" s="3594"/>
      <c r="BF35" s="3594"/>
      <c r="BG35" s="3594"/>
      <c r="BH35" s="3594"/>
      <c r="BI35" s="3594"/>
      <c r="BJ35" s="3594"/>
      <c r="BK35" s="3594"/>
      <c r="BL35" s="3594"/>
      <c r="BM35" s="3594"/>
      <c r="BN35" s="3594"/>
      <c r="BO35" s="3594"/>
      <c r="BP35" s="3594"/>
      <c r="BQ35" s="3594"/>
      <c r="BR35" s="3594"/>
      <c r="BS35" s="3594"/>
      <c r="BT35" s="3594"/>
      <c r="BU35" s="3594"/>
      <c r="BV35" s="3594"/>
      <c r="BW35" s="3594"/>
      <c r="BX35" s="3594"/>
      <c r="BY35" s="3594"/>
      <c r="BZ35" s="3594"/>
      <c r="CA35" s="17"/>
    </row>
    <row r="36" spans="1:79" ht="17.100000000000001" customHeight="1" x14ac:dyDescent="0.15">
      <c r="A36" s="17"/>
      <c r="B36" s="3288"/>
      <c r="C36" s="3288"/>
      <c r="D36" s="3288"/>
      <c r="E36" s="3288"/>
      <c r="F36" s="3288"/>
      <c r="G36" s="3288"/>
      <c r="H36" s="3288"/>
      <c r="I36" s="3288"/>
      <c r="J36" s="3288"/>
      <c r="K36" s="3288"/>
      <c r="L36" s="3288"/>
      <c r="M36" s="3288"/>
      <c r="N36" s="3288"/>
      <c r="O36" s="3288"/>
      <c r="P36" s="3288"/>
      <c r="Q36" s="3288"/>
      <c r="R36" s="3288"/>
      <c r="S36" s="3288"/>
      <c r="T36" s="3594"/>
      <c r="U36" s="3594"/>
      <c r="V36" s="3594"/>
      <c r="W36" s="3594"/>
      <c r="X36" s="3594"/>
      <c r="Y36" s="3594"/>
      <c r="Z36" s="3594"/>
      <c r="AA36" s="3594"/>
      <c r="AB36" s="3594"/>
      <c r="AC36" s="3594"/>
      <c r="AD36" s="3594"/>
      <c r="AE36" s="3594"/>
      <c r="AF36" s="3594"/>
      <c r="AG36" s="3594"/>
      <c r="AH36" s="3594"/>
      <c r="AI36" s="3594"/>
      <c r="AJ36" s="3594"/>
      <c r="AK36" s="3594"/>
      <c r="AL36" s="3594"/>
      <c r="AM36" s="3594"/>
      <c r="AN36" s="3594"/>
      <c r="AO36" s="3594"/>
      <c r="AP36" s="3594"/>
      <c r="AQ36" s="3594"/>
      <c r="AR36" s="3594"/>
      <c r="AS36" s="3594"/>
      <c r="AT36" s="3594"/>
      <c r="AU36" s="3594"/>
      <c r="AV36" s="3594"/>
      <c r="AW36" s="3594"/>
      <c r="AX36" s="3594"/>
      <c r="AY36" s="3594"/>
      <c r="AZ36" s="3594"/>
      <c r="BA36" s="3594"/>
      <c r="BB36" s="3594"/>
      <c r="BC36" s="3594"/>
      <c r="BD36" s="3594"/>
      <c r="BE36" s="3594"/>
      <c r="BF36" s="3594"/>
      <c r="BG36" s="3594"/>
      <c r="BH36" s="3594"/>
      <c r="BI36" s="3594"/>
      <c r="BJ36" s="3594"/>
      <c r="BK36" s="3594"/>
      <c r="BL36" s="3594"/>
      <c r="BM36" s="3594"/>
      <c r="BN36" s="3594"/>
      <c r="BO36" s="3594"/>
      <c r="BP36" s="3594"/>
      <c r="BQ36" s="3594"/>
      <c r="BR36" s="3594"/>
      <c r="BS36" s="3594"/>
      <c r="BT36" s="3594"/>
      <c r="BU36" s="3594"/>
      <c r="BV36" s="3594"/>
      <c r="BW36" s="3594"/>
      <c r="BX36" s="3594"/>
      <c r="BY36" s="3594"/>
      <c r="BZ36" s="3594"/>
      <c r="CA36" s="17"/>
    </row>
    <row r="37" spans="1:79" ht="17.100000000000001" customHeight="1" x14ac:dyDescent="0.15">
      <c r="A37" s="17"/>
      <c r="B37" s="3288"/>
      <c r="C37" s="3288"/>
      <c r="D37" s="3288"/>
      <c r="E37" s="3288"/>
      <c r="F37" s="3288"/>
      <c r="G37" s="3288"/>
      <c r="H37" s="3288"/>
      <c r="I37" s="3288"/>
      <c r="J37" s="3288"/>
      <c r="K37" s="3288"/>
      <c r="L37" s="3288"/>
      <c r="M37" s="3288"/>
      <c r="N37" s="3288"/>
      <c r="O37" s="3288"/>
      <c r="P37" s="3288"/>
      <c r="Q37" s="3288"/>
      <c r="R37" s="3288"/>
      <c r="S37" s="3288"/>
      <c r="T37" s="3594"/>
      <c r="U37" s="3594"/>
      <c r="V37" s="3594"/>
      <c r="W37" s="3594"/>
      <c r="X37" s="3594"/>
      <c r="Y37" s="3594"/>
      <c r="Z37" s="3594"/>
      <c r="AA37" s="3594"/>
      <c r="AB37" s="3594"/>
      <c r="AC37" s="3594"/>
      <c r="AD37" s="3594"/>
      <c r="AE37" s="3594"/>
      <c r="AF37" s="3594"/>
      <c r="AG37" s="3594"/>
      <c r="AH37" s="3594"/>
      <c r="AI37" s="3594"/>
      <c r="AJ37" s="3594"/>
      <c r="AK37" s="3594"/>
      <c r="AL37" s="3594"/>
      <c r="AM37" s="3594"/>
      <c r="AN37" s="3594"/>
      <c r="AO37" s="3594"/>
      <c r="AP37" s="3594"/>
      <c r="AQ37" s="3594"/>
      <c r="AR37" s="3594"/>
      <c r="AS37" s="3594"/>
      <c r="AT37" s="3594"/>
      <c r="AU37" s="3594"/>
      <c r="AV37" s="3594"/>
      <c r="AW37" s="3594"/>
      <c r="AX37" s="3594"/>
      <c r="AY37" s="3594"/>
      <c r="AZ37" s="3594"/>
      <c r="BA37" s="3594"/>
      <c r="BB37" s="3594"/>
      <c r="BC37" s="3594"/>
      <c r="BD37" s="3594"/>
      <c r="BE37" s="3594"/>
      <c r="BF37" s="3594"/>
      <c r="BG37" s="3594"/>
      <c r="BH37" s="3594"/>
      <c r="BI37" s="3594"/>
      <c r="BJ37" s="3594"/>
      <c r="BK37" s="3594"/>
      <c r="BL37" s="3594"/>
      <c r="BM37" s="3594"/>
      <c r="BN37" s="3594"/>
      <c r="BO37" s="3594"/>
      <c r="BP37" s="3594"/>
      <c r="BQ37" s="3594"/>
      <c r="BR37" s="3594"/>
      <c r="BS37" s="3594"/>
      <c r="BT37" s="3594"/>
      <c r="BU37" s="3594"/>
      <c r="BV37" s="3594"/>
      <c r="BW37" s="3594"/>
      <c r="BX37" s="3594"/>
      <c r="BY37" s="3594"/>
      <c r="BZ37" s="3594"/>
      <c r="CA37" s="17"/>
    </row>
    <row r="38" spans="1:79" ht="17.100000000000001" customHeight="1" x14ac:dyDescent="0.15">
      <c r="A38" s="17"/>
      <c r="B38" s="17"/>
      <c r="C38" s="31"/>
      <c r="D38" s="32"/>
      <c r="E38" s="17"/>
      <c r="F38" s="17"/>
      <c r="G38" s="17"/>
      <c r="H38" s="17"/>
      <c r="I38" s="17"/>
      <c r="J38" s="3505" t="s">
        <v>1</v>
      </c>
      <c r="K38" s="3505"/>
      <c r="L38" s="17"/>
      <c r="M38" s="17"/>
      <c r="N38" s="17"/>
      <c r="O38" s="17"/>
      <c r="P38" s="17"/>
      <c r="Q38" s="17"/>
      <c r="R38" s="17"/>
      <c r="S38" s="17"/>
      <c r="T38" s="47">
        <v>1</v>
      </c>
      <c r="U38" s="47">
        <v>2</v>
      </c>
      <c r="V38" s="47">
        <v>3</v>
      </c>
      <c r="W38" s="47">
        <v>4</v>
      </c>
      <c r="X38" s="47">
        <v>5</v>
      </c>
      <c r="Y38" s="47">
        <v>6</v>
      </c>
      <c r="Z38" s="47">
        <v>7</v>
      </c>
      <c r="AA38" s="47">
        <v>8</v>
      </c>
      <c r="AB38" s="47">
        <v>9</v>
      </c>
      <c r="AC38" s="47">
        <v>10</v>
      </c>
      <c r="AD38" s="47">
        <v>11</v>
      </c>
      <c r="AE38" s="47">
        <v>12</v>
      </c>
      <c r="AF38" s="47">
        <v>13</v>
      </c>
      <c r="AG38" s="47">
        <v>14</v>
      </c>
      <c r="AH38" s="47">
        <v>15</v>
      </c>
      <c r="AI38" s="47">
        <v>16</v>
      </c>
      <c r="AJ38" s="47">
        <v>17</v>
      </c>
      <c r="AK38" s="47">
        <v>18</v>
      </c>
      <c r="AL38" s="47">
        <v>19</v>
      </c>
      <c r="AM38" s="47">
        <v>20</v>
      </c>
      <c r="AN38" s="47">
        <v>21</v>
      </c>
      <c r="AO38" s="47">
        <v>22</v>
      </c>
      <c r="AP38" s="47">
        <v>23</v>
      </c>
      <c r="AQ38" s="47">
        <v>24</v>
      </c>
      <c r="AR38" s="47">
        <v>25</v>
      </c>
      <c r="AS38" s="47">
        <v>26</v>
      </c>
      <c r="AT38" s="47">
        <v>27</v>
      </c>
      <c r="AU38" s="47">
        <v>28</v>
      </c>
      <c r="AV38" s="47">
        <v>29</v>
      </c>
      <c r="AW38" s="32" t="s">
        <v>1</v>
      </c>
      <c r="AX38" s="47">
        <v>29</v>
      </c>
      <c r="AY38" s="47">
        <v>28</v>
      </c>
      <c r="AZ38" s="47">
        <v>27</v>
      </c>
      <c r="BA38" s="47">
        <v>26</v>
      </c>
      <c r="BB38" s="47">
        <v>25</v>
      </c>
      <c r="BC38" s="47">
        <v>24</v>
      </c>
      <c r="BD38" s="47">
        <v>23</v>
      </c>
      <c r="BE38" s="47">
        <v>22</v>
      </c>
      <c r="BF38" s="47">
        <v>21</v>
      </c>
      <c r="BG38" s="47">
        <v>20</v>
      </c>
      <c r="BH38" s="47">
        <v>19</v>
      </c>
      <c r="BI38" s="47">
        <v>18</v>
      </c>
      <c r="BJ38" s="47">
        <v>17</v>
      </c>
      <c r="BK38" s="47">
        <v>16</v>
      </c>
      <c r="BL38" s="47">
        <v>15</v>
      </c>
      <c r="BM38" s="47">
        <v>14</v>
      </c>
      <c r="BN38" s="47">
        <v>13</v>
      </c>
      <c r="BO38" s="47">
        <v>12</v>
      </c>
      <c r="BP38" s="47">
        <v>11</v>
      </c>
      <c r="BQ38" s="47">
        <v>10</v>
      </c>
      <c r="BR38" s="47">
        <v>9</v>
      </c>
      <c r="BS38" s="47">
        <v>8</v>
      </c>
      <c r="BT38" s="47">
        <v>7</v>
      </c>
      <c r="BU38" s="47">
        <v>6</v>
      </c>
      <c r="BV38" s="47">
        <v>5</v>
      </c>
      <c r="BW38" s="47">
        <v>4</v>
      </c>
      <c r="BX38" s="47">
        <v>3</v>
      </c>
      <c r="BY38" s="47">
        <v>2</v>
      </c>
      <c r="BZ38" s="47">
        <v>1</v>
      </c>
      <c r="CA38" s="17"/>
    </row>
    <row r="39" spans="1:79" ht="17.100000000000001" customHeight="1" x14ac:dyDescent="0.15">
      <c r="C39" s="33"/>
      <c r="D39" s="34"/>
      <c r="J39" s="3504" t="s">
        <v>1</v>
      </c>
      <c r="K39" s="3504"/>
      <c r="AW39" s="34" t="s">
        <v>1</v>
      </c>
    </row>
    <row r="40" spans="1:79" ht="17.100000000000001" customHeight="1" x14ac:dyDescent="0.15">
      <c r="C40" s="33"/>
      <c r="D40" s="34"/>
      <c r="J40" s="3504" t="s">
        <v>1</v>
      </c>
      <c r="K40" s="3504"/>
      <c r="T40" s="41">
        <v>29</v>
      </c>
      <c r="U40" s="41">
        <v>28</v>
      </c>
      <c r="V40" s="41">
        <v>27</v>
      </c>
      <c r="W40" s="41">
        <v>26</v>
      </c>
      <c r="X40" s="41">
        <v>25</v>
      </c>
      <c r="Y40" s="41">
        <v>24</v>
      </c>
      <c r="Z40" s="41">
        <v>23</v>
      </c>
      <c r="AA40" s="41">
        <v>22</v>
      </c>
      <c r="AB40" s="41">
        <v>21</v>
      </c>
      <c r="AC40" s="41">
        <v>20</v>
      </c>
      <c r="AD40" s="41">
        <v>19</v>
      </c>
      <c r="AE40" s="41">
        <v>18</v>
      </c>
      <c r="AF40" s="41">
        <v>17</v>
      </c>
      <c r="AG40" s="41">
        <v>16</v>
      </c>
      <c r="AH40" s="41">
        <v>15</v>
      </c>
      <c r="AI40" s="41">
        <v>14</v>
      </c>
      <c r="AJ40" s="41">
        <v>13</v>
      </c>
      <c r="AK40" s="41">
        <v>12</v>
      </c>
      <c r="AL40" s="41">
        <v>11</v>
      </c>
      <c r="AM40" s="41">
        <v>10</v>
      </c>
      <c r="AN40" s="41">
        <v>9</v>
      </c>
      <c r="AO40" s="41">
        <v>8</v>
      </c>
      <c r="AP40" s="41">
        <v>7</v>
      </c>
      <c r="AQ40" s="41">
        <v>6</v>
      </c>
      <c r="AR40" s="41">
        <v>5</v>
      </c>
      <c r="AS40" s="41">
        <v>4</v>
      </c>
      <c r="AT40" s="41">
        <v>3</v>
      </c>
      <c r="AU40" s="41">
        <v>2</v>
      </c>
      <c r="AV40" s="41">
        <v>1</v>
      </c>
      <c r="AW40" s="34" t="s">
        <v>1</v>
      </c>
      <c r="AX40" s="41">
        <v>1</v>
      </c>
      <c r="AY40" s="41">
        <v>2</v>
      </c>
      <c r="AZ40" s="41">
        <v>3</v>
      </c>
      <c r="BA40" s="41">
        <v>4</v>
      </c>
      <c r="BB40" s="41">
        <v>5</v>
      </c>
      <c r="BC40" s="41">
        <v>6</v>
      </c>
      <c r="BD40" s="41">
        <v>7</v>
      </c>
      <c r="BE40" s="41">
        <v>8</v>
      </c>
      <c r="BF40" s="41">
        <v>9</v>
      </c>
      <c r="BG40" s="41">
        <v>10</v>
      </c>
      <c r="BH40" s="41">
        <v>11</v>
      </c>
      <c r="BI40" s="41">
        <v>12</v>
      </c>
      <c r="BJ40" s="41">
        <v>13</v>
      </c>
      <c r="BK40" s="41">
        <v>14</v>
      </c>
      <c r="BL40" s="41">
        <v>15</v>
      </c>
      <c r="BM40" s="41">
        <v>16</v>
      </c>
      <c r="BN40" s="41">
        <v>17</v>
      </c>
      <c r="BO40" s="41">
        <v>18</v>
      </c>
      <c r="BP40" s="41">
        <v>19</v>
      </c>
      <c r="BQ40" s="41">
        <v>20</v>
      </c>
      <c r="BR40" s="41">
        <v>21</v>
      </c>
      <c r="BS40" s="41">
        <v>22</v>
      </c>
      <c r="BT40" s="41">
        <v>23</v>
      </c>
      <c r="BU40" s="41">
        <v>24</v>
      </c>
      <c r="BV40" s="41">
        <v>25</v>
      </c>
      <c r="BW40" s="41">
        <v>26</v>
      </c>
      <c r="BX40" s="41">
        <v>27</v>
      </c>
      <c r="BY40" s="41">
        <v>28</v>
      </c>
      <c r="BZ40" s="41">
        <v>29</v>
      </c>
    </row>
    <row r="41" spans="1:79" ht="17.100000000000001" customHeight="1" x14ac:dyDescent="0.15">
      <c r="B41" s="48"/>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c r="BX41" s="48"/>
      <c r="BY41" s="48"/>
      <c r="BZ41" s="48"/>
    </row>
    <row r="42" spans="1:79" ht="17.100000000000001" customHeight="1" x14ac:dyDescent="0.15">
      <c r="B42" s="48"/>
      <c r="C42" s="49"/>
      <c r="D42" s="3571" t="s">
        <v>486</v>
      </c>
      <c r="E42" s="3573">
        <f>ACTIONS!$AK$3-ACTIONS!$AM$13</f>
        <v>0</v>
      </c>
      <c r="F42" s="3573"/>
      <c r="G42" s="3574" t="str">
        <f>IF(E42=1,G44,H44)</f>
        <v>LEVEL UPS</v>
      </c>
      <c r="H42" s="3574"/>
      <c r="I42" s="3574"/>
      <c r="J42" s="3574"/>
      <c r="K42" s="1456"/>
      <c r="L42" s="3576" t="s">
        <v>483</v>
      </c>
      <c r="M42" s="3586">
        <f ca="1">ACTIONS!$CH$35</f>
        <v>0</v>
      </c>
      <c r="N42" s="3573"/>
      <c r="O42" s="3574" t="str">
        <f ca="1">IF(M42=1,O44, P44)</f>
        <v>DEATHS</v>
      </c>
      <c r="P42" s="3574"/>
      <c r="Q42" s="3574"/>
      <c r="R42" s="3574"/>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c r="BX42" s="48"/>
      <c r="BY42" s="48"/>
      <c r="BZ42" s="48"/>
    </row>
    <row r="43" spans="1:79" ht="17.100000000000001" customHeight="1" x14ac:dyDescent="0.15">
      <c r="B43" s="48"/>
      <c r="C43" s="49"/>
      <c r="D43" s="3571"/>
      <c r="E43" s="3573"/>
      <c r="F43" s="3573"/>
      <c r="G43" s="3574"/>
      <c r="H43" s="3574"/>
      <c r="I43" s="3574"/>
      <c r="J43" s="3574"/>
      <c r="K43" s="1456"/>
      <c r="L43" s="3576"/>
      <c r="M43" s="3573"/>
      <c r="N43" s="3573"/>
      <c r="O43" s="3574"/>
      <c r="P43" s="3574"/>
      <c r="Q43" s="3574"/>
      <c r="R43" s="3574"/>
      <c r="S43" s="48"/>
      <c r="T43" s="48"/>
      <c r="U43" s="48"/>
      <c r="V43" s="48"/>
      <c r="W43" s="48"/>
      <c r="X43" s="48"/>
      <c r="Y43" s="48"/>
      <c r="Z43" s="48"/>
      <c r="AA43" s="48"/>
      <c r="AB43" s="48"/>
      <c r="AC43" s="48"/>
      <c r="AD43" s="48"/>
      <c r="AE43" s="48"/>
      <c r="AF43" s="48"/>
      <c r="AG43" s="48"/>
      <c r="AH43" s="48"/>
      <c r="AI43" s="48"/>
      <c r="AJ43" s="48"/>
      <c r="AK43" s="48"/>
      <c r="AL43" s="48"/>
      <c r="AM43" s="48"/>
      <c r="AN43" s="48"/>
      <c r="AO43" s="48"/>
      <c r="AP43" s="48"/>
      <c r="AQ43" s="48"/>
      <c r="AR43" s="48"/>
      <c r="AS43" s="48"/>
      <c r="AT43" s="48"/>
      <c r="AU43" s="48"/>
      <c r="AV43" s="48"/>
      <c r="AW43" s="48"/>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c r="BX43" s="48"/>
      <c r="BY43" s="48"/>
      <c r="BZ43" s="48"/>
    </row>
    <row r="44" spans="1:79" ht="17.100000000000001" customHeight="1" x14ac:dyDescent="0.25">
      <c r="B44" s="48"/>
      <c r="C44" s="48"/>
      <c r="D44" s="50"/>
      <c r="E44" s="2590"/>
      <c r="F44" s="2590"/>
      <c r="G44" s="51" t="s">
        <v>498</v>
      </c>
      <c r="H44" s="51" t="s">
        <v>485</v>
      </c>
      <c r="I44" s="52"/>
      <c r="J44" s="52"/>
      <c r="K44" s="50"/>
      <c r="L44" s="50"/>
      <c r="M44" s="2590"/>
      <c r="N44" s="2590"/>
      <c r="O44" s="51" t="s">
        <v>1669</v>
      </c>
      <c r="P44" s="51" t="s">
        <v>1668</v>
      </c>
      <c r="Q44" s="53"/>
      <c r="R44" s="53"/>
      <c r="S44" s="48"/>
      <c r="T44" s="48"/>
      <c r="U44" s="48"/>
      <c r="V44" s="48"/>
      <c r="W44" s="48"/>
      <c r="X44" s="48"/>
      <c r="Y44" s="48"/>
      <c r="Z44" s="48"/>
      <c r="AA44" s="48"/>
      <c r="AB44" s="48"/>
      <c r="AC44" s="48"/>
      <c r="AD44" s="48"/>
      <c r="AE44" s="48"/>
      <c r="AF44" s="48"/>
      <c r="AG44" s="48"/>
      <c r="AH44" s="48"/>
      <c r="AI44" s="48"/>
      <c r="AJ44" s="48"/>
      <c r="AK44" s="48"/>
      <c r="AL44" s="48"/>
      <c r="AM44" s="48"/>
      <c r="AN44" s="48"/>
      <c r="AO44" s="48"/>
      <c r="AP44" s="48"/>
      <c r="AQ44" s="48"/>
      <c r="AR44" s="48"/>
      <c r="AS44" s="48"/>
      <c r="AT44" s="48"/>
      <c r="AU44" s="48"/>
      <c r="AV44" s="48"/>
      <c r="AW44" s="48"/>
      <c r="AX44" s="48"/>
      <c r="AY44" s="48"/>
      <c r="AZ44" s="48"/>
      <c r="BA44" s="48"/>
      <c r="BB44" s="48"/>
      <c r="BC44" s="48"/>
      <c r="BD44" s="48"/>
      <c r="BE44" s="48"/>
      <c r="BF44" s="48"/>
      <c r="BG44" s="48"/>
      <c r="BH44" s="48"/>
      <c r="BI44" s="48"/>
      <c r="BJ44" s="48"/>
      <c r="BK44" s="48"/>
      <c r="BL44" s="48"/>
      <c r="BM44" s="48"/>
      <c r="BN44" s="48"/>
      <c r="BO44" s="48"/>
      <c r="BP44" s="48"/>
      <c r="BQ44" s="48"/>
      <c r="BR44" s="48"/>
      <c r="BS44" s="48"/>
      <c r="BT44" s="48"/>
      <c r="BU44" s="48"/>
      <c r="BV44" s="48"/>
      <c r="BW44" s="48"/>
      <c r="BX44" s="48"/>
      <c r="BY44" s="48"/>
      <c r="BZ44" s="48"/>
    </row>
    <row r="45" spans="1:79" ht="17.100000000000001" customHeight="1" x14ac:dyDescent="0.15">
      <c r="B45" s="48"/>
      <c r="C45" s="54"/>
      <c r="D45" s="3572" t="s">
        <v>68</v>
      </c>
      <c r="E45" s="3573">
        <f>SUM(BOUNTY!$N$7:$O$7,BOUNTY!$N$9:$O$9,BOUNTY!$BM$7:$BN$7,BOUNTY!$BM$9:$BN$9)</f>
        <v>0</v>
      </c>
      <c r="F45" s="3573"/>
      <c r="G45" s="3574" t="str">
        <f>IF(E45=1,G47,H47)</f>
        <v>REWARDS</v>
      </c>
      <c r="H45" s="3574"/>
      <c r="I45" s="3574"/>
      <c r="J45" s="3574"/>
      <c r="K45" s="1455"/>
      <c r="L45" s="3575" t="s">
        <v>76</v>
      </c>
      <c r="M45" s="3573">
        <f>RESPITE!$DB$55</f>
        <v>0</v>
      </c>
      <c r="N45" s="3573"/>
      <c r="O45" s="3574" t="str">
        <f>IF(M45=1,O47, P47)</f>
        <v>BOOBY TRAPS</v>
      </c>
      <c r="P45" s="3574"/>
      <c r="Q45" s="3574"/>
      <c r="R45" s="3574"/>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48"/>
      <c r="BL45" s="48"/>
      <c r="BM45" s="48"/>
      <c r="BN45" s="48"/>
      <c r="BO45" s="48"/>
      <c r="BP45" s="48"/>
      <c r="BQ45" s="48"/>
      <c r="BR45" s="48"/>
      <c r="BS45" s="48"/>
      <c r="BT45" s="48"/>
      <c r="BU45" s="48"/>
      <c r="BV45" s="48"/>
      <c r="BW45" s="48"/>
      <c r="BX45" s="48"/>
      <c r="BY45" s="48"/>
      <c r="BZ45" s="48"/>
    </row>
    <row r="46" spans="1:79" ht="17.100000000000001" customHeight="1" x14ac:dyDescent="0.15">
      <c r="B46" s="48"/>
      <c r="C46" s="48"/>
      <c r="D46" s="3572"/>
      <c r="E46" s="3573"/>
      <c r="F46" s="3573"/>
      <c r="G46" s="3574"/>
      <c r="H46" s="3574"/>
      <c r="I46" s="3574"/>
      <c r="J46" s="3574"/>
      <c r="K46" s="1455"/>
      <c r="L46" s="3575"/>
      <c r="M46" s="3573"/>
      <c r="N46" s="3573"/>
      <c r="O46" s="3574"/>
      <c r="P46" s="3574"/>
      <c r="Q46" s="3574"/>
      <c r="R46" s="3574"/>
      <c r="S46" s="48"/>
      <c r="T46" s="48"/>
      <c r="U46" s="48"/>
      <c r="V46" s="48"/>
      <c r="W46" s="48"/>
      <c r="X46" s="48"/>
      <c r="Y46" s="48"/>
      <c r="Z46" s="48"/>
      <c r="AA46" s="48"/>
      <c r="AB46" s="48"/>
      <c r="AC46" s="48"/>
      <c r="AD46" s="48"/>
      <c r="AE46" s="48"/>
      <c r="AF46" s="48"/>
      <c r="AG46" s="48"/>
      <c r="AH46" s="48"/>
      <c r="AI46" s="48"/>
      <c r="AJ46" s="48"/>
      <c r="AK46" s="48"/>
      <c r="AL46" s="48"/>
      <c r="AM46" s="48"/>
      <c r="AN46" s="48"/>
      <c r="AO46" s="48"/>
      <c r="AP46" s="48"/>
      <c r="AQ46" s="48"/>
      <c r="AR46" s="48"/>
      <c r="AS46" s="48"/>
      <c r="AT46" s="48"/>
      <c r="AU46" s="48"/>
      <c r="AV46" s="48"/>
      <c r="AW46" s="48"/>
      <c r="AX46" s="48"/>
      <c r="AY46" s="48"/>
      <c r="AZ46" s="48"/>
      <c r="BA46" s="48"/>
      <c r="BB46" s="48"/>
      <c r="BC46" s="48"/>
      <c r="BD46" s="48"/>
      <c r="BE46" s="48"/>
      <c r="BF46" s="48"/>
      <c r="BG46" s="48"/>
      <c r="BH46" s="48"/>
      <c r="BI46" s="48"/>
      <c r="BJ46" s="48"/>
      <c r="BK46" s="48"/>
      <c r="BL46" s="48"/>
      <c r="BM46" s="48"/>
      <c r="BN46" s="48"/>
      <c r="BO46" s="48"/>
      <c r="BP46" s="48"/>
      <c r="BQ46" s="48"/>
      <c r="BR46" s="48"/>
      <c r="BS46" s="48"/>
      <c r="BT46" s="48"/>
      <c r="BU46" s="48"/>
      <c r="BV46" s="48"/>
      <c r="BW46" s="48"/>
      <c r="BX46" s="48"/>
      <c r="BY46" s="48"/>
      <c r="BZ46" s="48"/>
    </row>
    <row r="47" spans="1:79" ht="17.100000000000001" customHeight="1" x14ac:dyDescent="0.25">
      <c r="B47" s="48"/>
      <c r="C47" s="55"/>
      <c r="D47" s="50"/>
      <c r="E47" s="2590"/>
      <c r="F47" s="2590"/>
      <c r="G47" s="51" t="s">
        <v>478</v>
      </c>
      <c r="H47" s="51" t="s">
        <v>1690</v>
      </c>
      <c r="I47" s="51"/>
      <c r="J47" s="51"/>
      <c r="K47" s="51"/>
      <c r="L47" s="51"/>
      <c r="M47" s="51"/>
      <c r="N47" s="51"/>
      <c r="O47" s="51" t="s">
        <v>501</v>
      </c>
      <c r="P47" s="51" t="s">
        <v>465</v>
      </c>
      <c r="Q47" s="53"/>
      <c r="R47" s="53"/>
      <c r="S47" s="48"/>
      <c r="T47" s="48"/>
      <c r="U47" s="48"/>
      <c r="V47" s="48"/>
      <c r="W47" s="48"/>
      <c r="X47" s="48"/>
      <c r="Y47" s="48"/>
      <c r="Z47" s="48"/>
      <c r="AA47" s="48"/>
      <c r="AB47" s="48"/>
      <c r="AC47" s="48"/>
      <c r="AD47" s="48"/>
      <c r="AE47" s="48"/>
      <c r="AF47" s="48"/>
      <c r="AG47" s="48"/>
      <c r="AH47" s="48"/>
      <c r="AI47" s="48"/>
      <c r="AJ47" s="48"/>
      <c r="AK47" s="48"/>
      <c r="AL47" s="48"/>
      <c r="AM47" s="48"/>
      <c r="AN47" s="48"/>
      <c r="AO47" s="48"/>
      <c r="AP47" s="48"/>
      <c r="AQ47" s="48"/>
      <c r="AR47" s="48"/>
      <c r="AS47" s="48"/>
      <c r="AT47" s="48"/>
      <c r="AU47" s="48"/>
      <c r="AV47" s="48"/>
      <c r="AW47" s="48"/>
      <c r="AX47" s="48"/>
      <c r="AY47" s="48"/>
      <c r="AZ47" s="48"/>
      <c r="BA47" s="48"/>
      <c r="BB47" s="48"/>
      <c r="BC47" s="48"/>
      <c r="BD47" s="48"/>
      <c r="BE47" s="48"/>
      <c r="BF47" s="48"/>
      <c r="BG47" s="48"/>
      <c r="BH47" s="48"/>
      <c r="BI47" s="48"/>
      <c r="BJ47" s="48"/>
      <c r="BK47" s="48"/>
      <c r="BL47" s="48"/>
      <c r="BM47" s="48"/>
      <c r="BN47" s="48"/>
      <c r="BO47" s="48"/>
      <c r="BP47" s="48"/>
      <c r="BQ47" s="48"/>
      <c r="BR47" s="48"/>
      <c r="BS47" s="48"/>
      <c r="BT47" s="48"/>
      <c r="BU47" s="48"/>
      <c r="BV47" s="48"/>
      <c r="BW47" s="48"/>
      <c r="BX47" s="48"/>
      <c r="BY47" s="48"/>
      <c r="BZ47" s="48"/>
    </row>
    <row r="48" spans="1:79" ht="17.100000000000001" customHeight="1" x14ac:dyDescent="0.15">
      <c r="B48" s="48"/>
      <c r="C48" s="55"/>
      <c r="D48" s="3578" t="s">
        <v>443</v>
      </c>
      <c r="E48" s="3573">
        <f ca="1">PROGRESS!$AM$44</f>
        <v>0</v>
      </c>
      <c r="F48" s="3573"/>
      <c r="G48" s="3574" t="str">
        <f ca="1">IF(E48=1,G50,H50)</f>
        <v>LIVES ADDED</v>
      </c>
      <c r="H48" s="3574"/>
      <c r="I48" s="3574"/>
      <c r="J48" s="3574"/>
      <c r="K48" s="1454"/>
      <c r="L48" s="3587" t="s">
        <v>1057</v>
      </c>
      <c r="M48" s="3573">
        <f ca="1">PROGRESS!$U$54</f>
        <v>0</v>
      </c>
      <c r="N48" s="3573"/>
      <c r="O48" s="3574" t="str">
        <f ca="1">IF(M48=1,O50, P50)</f>
        <v>LIVES LOST</v>
      </c>
      <c r="P48" s="3574"/>
      <c r="Q48" s="3574"/>
      <c r="R48" s="3574"/>
      <c r="S48" s="48"/>
      <c r="T48" s="48"/>
      <c r="U48" s="48"/>
      <c r="V48" s="48"/>
      <c r="W48" s="48"/>
      <c r="X48" s="48"/>
      <c r="Y48" s="48"/>
      <c r="Z48" s="48"/>
      <c r="AA48" s="48"/>
      <c r="AB48" s="48"/>
      <c r="AC48" s="48"/>
      <c r="AD48" s="48"/>
      <c r="AE48" s="48"/>
      <c r="AF48" s="48"/>
      <c r="AG48" s="48"/>
      <c r="AH48" s="48"/>
      <c r="AI48" s="48"/>
      <c r="AJ48" s="48"/>
      <c r="AK48" s="48"/>
      <c r="AL48" s="48"/>
      <c r="AM48" s="48"/>
      <c r="AN48" s="48"/>
      <c r="AO48" s="48"/>
      <c r="AP48" s="48"/>
      <c r="AQ48" s="48"/>
      <c r="AR48" s="48"/>
      <c r="AS48" s="48"/>
      <c r="AT48" s="48"/>
      <c r="AU48" s="48"/>
      <c r="AV48" s="48"/>
      <c r="AW48" s="48"/>
      <c r="AX48" s="48"/>
      <c r="AY48" s="48"/>
      <c r="AZ48" s="48"/>
      <c r="BA48" s="48"/>
      <c r="BB48" s="48"/>
      <c r="BC48" s="48"/>
      <c r="BD48" s="48"/>
      <c r="BE48" s="48"/>
      <c r="BF48" s="48"/>
      <c r="BG48" s="48"/>
      <c r="BH48" s="48"/>
      <c r="BI48" s="48"/>
      <c r="BJ48" s="48"/>
      <c r="BK48" s="48"/>
      <c r="BL48" s="48"/>
      <c r="BM48" s="48"/>
      <c r="BN48" s="48"/>
      <c r="BO48" s="48"/>
      <c r="BP48" s="48"/>
      <c r="BQ48" s="48"/>
      <c r="BR48" s="48"/>
      <c r="BS48" s="48"/>
      <c r="BT48" s="48"/>
      <c r="BU48" s="48"/>
      <c r="BV48" s="48"/>
      <c r="BW48" s="48"/>
      <c r="BX48" s="48"/>
      <c r="BY48" s="48"/>
      <c r="BZ48" s="48"/>
    </row>
    <row r="49" spans="2:78" ht="17.100000000000001" customHeight="1" x14ac:dyDescent="0.15">
      <c r="B49" s="48"/>
      <c r="C49" s="48"/>
      <c r="D49" s="3578"/>
      <c r="E49" s="3573"/>
      <c r="F49" s="3573"/>
      <c r="G49" s="3574"/>
      <c r="H49" s="3574"/>
      <c r="I49" s="3574"/>
      <c r="J49" s="3574"/>
      <c r="K49" s="1454"/>
      <c r="L49" s="3587"/>
      <c r="M49" s="3573"/>
      <c r="N49" s="3573"/>
      <c r="O49" s="3574"/>
      <c r="P49" s="3574"/>
      <c r="Q49" s="3574"/>
      <c r="R49" s="3574"/>
      <c r="S49" s="48"/>
      <c r="T49" s="48"/>
      <c r="U49" s="48"/>
      <c r="V49" s="48"/>
      <c r="W49" s="48"/>
      <c r="X49" s="48"/>
      <c r="Y49" s="48"/>
      <c r="Z49" s="48"/>
      <c r="AA49" s="48"/>
      <c r="AB49" s="48"/>
      <c r="AC49" s="48"/>
      <c r="AD49" s="48"/>
      <c r="AE49" s="48"/>
      <c r="AF49" s="48"/>
      <c r="AG49" s="48"/>
      <c r="AH49" s="48"/>
      <c r="AI49" s="48"/>
      <c r="AJ49" s="48"/>
      <c r="AK49" s="48"/>
      <c r="AL49" s="48"/>
      <c r="AM49" s="48"/>
      <c r="AN49" s="48"/>
      <c r="AO49" s="48"/>
      <c r="AP49" s="48"/>
      <c r="AQ49" s="48"/>
      <c r="AR49" s="48"/>
      <c r="AS49" s="48"/>
      <c r="AT49" s="48"/>
      <c r="AU49" s="48"/>
      <c r="AV49" s="48"/>
      <c r="AW49" s="48"/>
      <c r="AX49" s="48"/>
      <c r="AY49" s="48"/>
      <c r="AZ49" s="48"/>
      <c r="BA49" s="48"/>
      <c r="BB49" s="48"/>
      <c r="BC49" s="48"/>
      <c r="BD49" s="48"/>
      <c r="BE49" s="48"/>
      <c r="BF49" s="48"/>
      <c r="BG49" s="48"/>
      <c r="BH49" s="48"/>
      <c r="BI49" s="48"/>
      <c r="BJ49" s="48"/>
      <c r="BK49" s="48"/>
      <c r="BL49" s="48"/>
      <c r="BM49" s="48"/>
      <c r="BN49" s="48"/>
      <c r="BO49" s="48"/>
      <c r="BP49" s="48"/>
      <c r="BQ49" s="48"/>
      <c r="BR49" s="48"/>
      <c r="BS49" s="48"/>
      <c r="BT49" s="48"/>
      <c r="BU49" s="48"/>
      <c r="BV49" s="48"/>
      <c r="BW49" s="48"/>
      <c r="BX49" s="48"/>
      <c r="BY49" s="48"/>
      <c r="BZ49" s="48"/>
    </row>
    <row r="50" spans="2:78" ht="17.100000000000001" customHeight="1" x14ac:dyDescent="0.25">
      <c r="B50" s="48"/>
      <c r="C50" s="56"/>
      <c r="D50" s="50"/>
      <c r="E50" s="2590"/>
      <c r="F50" s="2590"/>
      <c r="G50" s="51" t="s">
        <v>1070</v>
      </c>
      <c r="H50" s="51" t="s">
        <v>1071</v>
      </c>
      <c r="I50" s="51"/>
      <c r="J50" s="51"/>
      <c r="K50" s="51"/>
      <c r="L50" s="51"/>
      <c r="M50" s="51"/>
      <c r="N50" s="51"/>
      <c r="O50" s="51" t="s">
        <v>502</v>
      </c>
      <c r="P50" s="51" t="s">
        <v>488</v>
      </c>
      <c r="Q50" s="53"/>
      <c r="R50" s="53"/>
      <c r="S50" s="48"/>
      <c r="T50" s="48"/>
      <c r="U50" s="48"/>
      <c r="V50" s="48"/>
      <c r="W50" s="48"/>
      <c r="X50" s="48"/>
      <c r="Y50" s="48"/>
      <c r="Z50" s="48"/>
      <c r="AA50" s="48"/>
      <c r="AB50" s="48"/>
      <c r="AC50" s="48"/>
      <c r="AD50" s="48"/>
      <c r="AE50" s="48"/>
      <c r="AF50" s="48"/>
      <c r="AG50" s="48"/>
      <c r="AH50" s="48"/>
      <c r="AI50" s="48"/>
      <c r="AJ50" s="48"/>
      <c r="AK50" s="48"/>
      <c r="AL50" s="48"/>
      <c r="AM50" s="48"/>
      <c r="AN50" s="48"/>
      <c r="AO50" s="48"/>
      <c r="AP50" s="48"/>
      <c r="AQ50" s="48"/>
      <c r="AR50" s="48"/>
      <c r="AS50" s="48"/>
      <c r="AT50" s="48"/>
      <c r="AU50" s="48"/>
      <c r="AV50" s="48"/>
      <c r="AW50" s="48"/>
      <c r="AX50" s="48"/>
      <c r="AY50" s="48"/>
      <c r="AZ50" s="48"/>
      <c r="BA50" s="48"/>
      <c r="BB50" s="48"/>
      <c r="BC50" s="48"/>
      <c r="BD50" s="48"/>
      <c r="BE50" s="48"/>
      <c r="BF50" s="48"/>
      <c r="BG50" s="48"/>
      <c r="BH50" s="48"/>
      <c r="BI50" s="48"/>
      <c r="BJ50" s="48"/>
      <c r="BK50" s="48"/>
      <c r="BL50" s="48"/>
      <c r="BM50" s="48"/>
      <c r="BN50" s="48"/>
      <c r="BO50" s="48"/>
      <c r="BP50" s="48"/>
      <c r="BQ50" s="48"/>
      <c r="BR50" s="48"/>
      <c r="BS50" s="48"/>
      <c r="BT50" s="48"/>
      <c r="BU50" s="48"/>
      <c r="BV50" s="48"/>
      <c r="BW50" s="48"/>
      <c r="BX50" s="48"/>
      <c r="BY50" s="48"/>
      <c r="BZ50" s="48"/>
    </row>
    <row r="51" spans="2:78" ht="17.100000000000001" customHeight="1" x14ac:dyDescent="0.15">
      <c r="B51" s="48"/>
      <c r="C51" s="56"/>
      <c r="D51" s="3577" t="s">
        <v>67</v>
      </c>
      <c r="E51" s="3573">
        <f>PROGRESS!$CI$14</f>
        <v>0</v>
      </c>
      <c r="F51" s="3573"/>
      <c r="G51" s="3574" t="str">
        <f>IF(E51=1,G53,H53)</f>
        <v>OBJECTIVES MET</v>
      </c>
      <c r="H51" s="3574"/>
      <c r="I51" s="3574"/>
      <c r="J51" s="3574"/>
      <c r="K51" s="1452"/>
      <c r="L51" s="3577" t="s">
        <v>67</v>
      </c>
      <c r="M51" s="3573">
        <f>PROGRESS!$CP$14</f>
        <v>0</v>
      </c>
      <c r="N51" s="3573"/>
      <c r="O51" s="3574" t="str">
        <f>IF(M51=1,O53, P53)</f>
        <v>OBJECTIVES FAILED</v>
      </c>
      <c r="P51" s="3574"/>
      <c r="Q51" s="3574"/>
      <c r="R51" s="3574"/>
      <c r="S51" s="48"/>
      <c r="T51" s="48"/>
      <c r="U51" s="48"/>
      <c r="V51" s="48"/>
      <c r="W51" s="48"/>
      <c r="X51" s="48"/>
      <c r="Y51" s="48"/>
      <c r="Z51" s="48"/>
      <c r="AA51" s="48"/>
      <c r="AB51" s="48"/>
      <c r="AC51" s="48"/>
      <c r="AD51" s="48"/>
      <c r="AE51" s="48"/>
      <c r="AF51" s="48"/>
      <c r="AG51" s="48"/>
      <c r="AH51" s="48"/>
      <c r="AI51" s="48"/>
      <c r="AJ51" s="48"/>
      <c r="AK51" s="48"/>
      <c r="AL51" s="48"/>
      <c r="AM51" s="48"/>
      <c r="AN51" s="48"/>
      <c r="AO51" s="48"/>
      <c r="AP51" s="48"/>
      <c r="AQ51" s="48"/>
      <c r="AR51" s="48"/>
      <c r="AS51" s="48"/>
      <c r="AT51" s="48"/>
      <c r="AU51" s="48"/>
      <c r="AV51" s="48"/>
      <c r="AW51" s="48"/>
      <c r="AX51" s="48"/>
      <c r="AY51" s="48"/>
      <c r="AZ51" s="48"/>
      <c r="BA51" s="48"/>
      <c r="BB51" s="48"/>
      <c r="BC51" s="48"/>
      <c r="BD51" s="48"/>
      <c r="BE51" s="48"/>
      <c r="BF51" s="48"/>
      <c r="BG51" s="48"/>
      <c r="BH51" s="48"/>
      <c r="BI51" s="48"/>
      <c r="BJ51" s="48"/>
      <c r="BK51" s="48"/>
      <c r="BL51" s="48"/>
      <c r="BM51" s="48"/>
      <c r="BN51" s="48"/>
      <c r="BO51" s="48"/>
      <c r="BP51" s="48"/>
      <c r="BQ51" s="48"/>
      <c r="BR51" s="48"/>
      <c r="BS51" s="48"/>
      <c r="BT51" s="48"/>
      <c r="BU51" s="48"/>
      <c r="BV51" s="48"/>
      <c r="BW51" s="48"/>
      <c r="BX51" s="48"/>
      <c r="BY51" s="48"/>
      <c r="BZ51" s="48"/>
    </row>
    <row r="52" spans="2:78" ht="17.100000000000001" customHeight="1" x14ac:dyDescent="0.15">
      <c r="B52" s="48"/>
      <c r="C52" s="48"/>
      <c r="D52" s="3577"/>
      <c r="E52" s="3573"/>
      <c r="F52" s="3573"/>
      <c r="G52" s="3574"/>
      <c r="H52" s="3574"/>
      <c r="I52" s="3574"/>
      <c r="J52" s="3574"/>
      <c r="K52" s="1452"/>
      <c r="L52" s="3577"/>
      <c r="M52" s="3573"/>
      <c r="N52" s="3573"/>
      <c r="O52" s="3574"/>
      <c r="P52" s="3574"/>
      <c r="Q52" s="3574"/>
      <c r="R52" s="3574"/>
      <c r="S52" s="48"/>
      <c r="T52" s="48"/>
      <c r="U52" s="48"/>
      <c r="V52" s="48"/>
      <c r="W52" s="48"/>
      <c r="X52" s="48"/>
      <c r="Y52" s="48"/>
      <c r="Z52" s="48"/>
      <c r="AA52" s="48"/>
      <c r="AB52" s="48"/>
      <c r="AC52" s="48"/>
      <c r="AD52" s="48"/>
      <c r="AE52" s="48"/>
      <c r="AF52" s="48"/>
      <c r="AG52" s="48"/>
      <c r="AH52" s="48"/>
      <c r="AI52" s="48"/>
      <c r="AJ52" s="48"/>
      <c r="AK52" s="48"/>
      <c r="AL52" s="48"/>
      <c r="AM52" s="48"/>
      <c r="AN52" s="48"/>
      <c r="AO52" s="48"/>
      <c r="AP52" s="48"/>
      <c r="AQ52" s="48"/>
      <c r="AR52" s="48"/>
      <c r="AS52" s="48"/>
      <c r="AT52" s="48"/>
      <c r="AU52" s="48"/>
      <c r="AV52" s="48"/>
      <c r="AW52" s="48"/>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row>
    <row r="53" spans="2:78" ht="17.100000000000001" customHeight="1" x14ac:dyDescent="0.25">
      <c r="B53" s="48"/>
      <c r="C53" s="57"/>
      <c r="D53" s="50"/>
      <c r="E53" s="2590"/>
      <c r="F53" s="2590"/>
      <c r="G53" s="51" t="s">
        <v>858</v>
      </c>
      <c r="H53" s="51" t="s">
        <v>859</v>
      </c>
      <c r="I53" s="51"/>
      <c r="J53" s="51"/>
      <c r="K53" s="51"/>
      <c r="L53" s="51"/>
      <c r="M53" s="51"/>
      <c r="N53" s="51"/>
      <c r="O53" s="51" t="s">
        <v>853</v>
      </c>
      <c r="P53" s="51" t="s">
        <v>854</v>
      </c>
      <c r="Q53" s="53"/>
      <c r="R53" s="53"/>
      <c r="S53" s="48"/>
      <c r="T53" s="48"/>
      <c r="U53" s="48"/>
      <c r="V53" s="48"/>
      <c r="W53" s="48"/>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c r="AV53" s="48"/>
      <c r="AW53" s="48"/>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row>
    <row r="54" spans="2:78" ht="17.100000000000001" customHeight="1" x14ac:dyDescent="0.15">
      <c r="B54" s="48"/>
      <c r="C54" s="57"/>
      <c r="D54" s="3577" t="s">
        <v>64</v>
      </c>
      <c r="E54" s="3573">
        <f>PROGRESS!$CI$18</f>
        <v>0</v>
      </c>
      <c r="F54" s="3573"/>
      <c r="G54" s="3574" t="str">
        <f>IF(E54=1,G56,H56)</f>
        <v>CHALLENGES DONE</v>
      </c>
      <c r="H54" s="3574"/>
      <c r="I54" s="3574"/>
      <c r="J54" s="3574"/>
      <c r="K54" s="1452"/>
      <c r="L54" s="3577" t="s">
        <v>64</v>
      </c>
      <c r="M54" s="3573">
        <f ca="1">PROGRESS!$CP$18</f>
        <v>0</v>
      </c>
      <c r="N54" s="3573"/>
      <c r="O54" s="3574" t="str">
        <f ca="1">IF(M54=1,O56, P56)</f>
        <v>CHALLENGES FAILED</v>
      </c>
      <c r="P54" s="3574"/>
      <c r="Q54" s="3574"/>
      <c r="R54" s="3574"/>
      <c r="S54" s="48"/>
      <c r="T54" s="48"/>
      <c r="U54" s="48"/>
      <c r="V54" s="48"/>
      <c r="W54" s="48"/>
      <c r="X54" s="48"/>
      <c r="Y54" s="48"/>
      <c r="Z54" s="48"/>
      <c r="AA54" s="48"/>
      <c r="AB54" s="48"/>
      <c r="AC54" s="48"/>
      <c r="AD54" s="48"/>
      <c r="AE54" s="48"/>
      <c r="AF54" s="48"/>
      <c r="AG54" s="48"/>
      <c r="AH54" s="48"/>
      <c r="AI54" s="48"/>
      <c r="AJ54" s="48"/>
      <c r="AK54" s="48"/>
      <c r="AL54" s="48"/>
      <c r="AM54" s="48"/>
      <c r="AN54" s="48"/>
      <c r="AO54" s="48"/>
      <c r="AP54" s="48"/>
      <c r="AQ54" s="48"/>
      <c r="AR54" s="48"/>
      <c r="AS54" s="48"/>
      <c r="AT54" s="48"/>
      <c r="AU54" s="48"/>
      <c r="AV54" s="48"/>
      <c r="AW54" s="48"/>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row>
    <row r="55" spans="2:78" ht="17.100000000000001" customHeight="1" x14ac:dyDescent="0.15">
      <c r="B55" s="48"/>
      <c r="C55" s="48"/>
      <c r="D55" s="3577"/>
      <c r="E55" s="3573"/>
      <c r="F55" s="3573"/>
      <c r="G55" s="3574"/>
      <c r="H55" s="3574"/>
      <c r="I55" s="3574"/>
      <c r="J55" s="3574"/>
      <c r="K55" s="1452"/>
      <c r="L55" s="3577"/>
      <c r="M55" s="3573"/>
      <c r="N55" s="3573"/>
      <c r="O55" s="3574"/>
      <c r="P55" s="3574"/>
      <c r="Q55" s="3574"/>
      <c r="R55" s="3574"/>
      <c r="S55" s="48"/>
      <c r="T55" s="48"/>
      <c r="U55" s="48"/>
      <c r="V55" s="48"/>
      <c r="W55" s="48"/>
      <c r="X55" s="48"/>
      <c r="Y55" s="48"/>
      <c r="Z55" s="48"/>
      <c r="AA55" s="48"/>
      <c r="AB55" s="48"/>
      <c r="AC55" s="48"/>
      <c r="AD55" s="48"/>
      <c r="AE55" s="48"/>
      <c r="AF55" s="48"/>
      <c r="AG55" s="48"/>
      <c r="AH55" s="48"/>
      <c r="AI55" s="48"/>
      <c r="AJ55" s="48"/>
      <c r="AK55" s="48"/>
      <c r="AL55" s="48"/>
      <c r="AM55" s="48"/>
      <c r="AN55" s="48"/>
      <c r="AO55" s="48"/>
      <c r="AP55" s="48"/>
      <c r="AQ55" s="48"/>
      <c r="AR55" s="48"/>
      <c r="AS55" s="48"/>
      <c r="AT55" s="48"/>
      <c r="AU55" s="48"/>
      <c r="AV55" s="48"/>
      <c r="AW55" s="48"/>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row>
    <row r="56" spans="2:78" ht="17.100000000000001" customHeight="1" x14ac:dyDescent="0.25">
      <c r="B56" s="48"/>
      <c r="C56" s="57"/>
      <c r="D56" s="50"/>
      <c r="E56" s="2590"/>
      <c r="F56" s="2590"/>
      <c r="G56" s="51" t="s">
        <v>500</v>
      </c>
      <c r="H56" s="51" t="s">
        <v>489</v>
      </c>
      <c r="I56" s="51"/>
      <c r="J56" s="51"/>
      <c r="K56" s="51"/>
      <c r="L56" s="51"/>
      <c r="M56" s="51"/>
      <c r="N56" s="51"/>
      <c r="O56" s="51" t="s">
        <v>503</v>
      </c>
      <c r="P56" s="51" t="s">
        <v>476</v>
      </c>
      <c r="Q56" s="53"/>
      <c r="R56" s="53"/>
      <c r="S56" s="48"/>
      <c r="T56" s="48"/>
      <c r="U56" s="48"/>
      <c r="V56" s="48"/>
      <c r="W56" s="48"/>
      <c r="X56" s="48"/>
      <c r="Y56" s="48"/>
      <c r="Z56" s="48"/>
      <c r="AA56" s="48"/>
      <c r="AB56" s="48"/>
      <c r="AC56" s="48"/>
      <c r="AD56" s="48"/>
      <c r="AE56" s="48"/>
      <c r="AF56" s="48"/>
      <c r="AG56" s="48"/>
      <c r="AH56" s="48"/>
      <c r="AI56" s="48"/>
      <c r="AJ56" s="48"/>
      <c r="AK56" s="48"/>
      <c r="AL56" s="48"/>
      <c r="AM56" s="48"/>
      <c r="AN56" s="48"/>
      <c r="AO56" s="48"/>
      <c r="AP56" s="48"/>
      <c r="AQ56" s="48"/>
      <c r="AR56" s="48"/>
      <c r="AS56" s="48"/>
      <c r="AT56" s="48"/>
      <c r="AU56" s="48"/>
      <c r="AV56" s="48"/>
      <c r="AW56" s="4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row>
    <row r="57" spans="2:78" ht="17.100000000000001" customHeight="1" x14ac:dyDescent="0.15">
      <c r="B57" s="48"/>
      <c r="C57" s="57"/>
      <c r="D57" s="3579" t="s">
        <v>484</v>
      </c>
      <c r="E57" s="3573">
        <f>SUM(MISSIONS!$FG$21,MISSIONS!$FG$44)</f>
        <v>0</v>
      </c>
      <c r="F57" s="3573"/>
      <c r="G57" s="3574" t="str">
        <f>IF(E57=1,G59,H59)</f>
        <v>MISSIONS COMPLETE</v>
      </c>
      <c r="H57" s="3574"/>
      <c r="I57" s="3574"/>
      <c r="J57" s="3574"/>
      <c r="K57" s="1453"/>
      <c r="L57" s="3580" t="s">
        <v>487</v>
      </c>
      <c r="M57" s="3573">
        <f ca="1">MISSIONS!$FG$34</f>
        <v>0</v>
      </c>
      <c r="N57" s="3573"/>
      <c r="O57" s="3574" t="str">
        <f ca="1">IF(M57=1,O59, P59)</f>
        <v>MISSIONS FAILED</v>
      </c>
      <c r="P57" s="3574"/>
      <c r="Q57" s="3574"/>
      <c r="R57" s="3574"/>
      <c r="S57" s="48"/>
      <c r="T57" s="48"/>
      <c r="U57" s="48"/>
      <c r="V57" s="48"/>
      <c r="W57" s="48"/>
      <c r="X57" s="48"/>
      <c r="Y57" s="48"/>
      <c r="Z57" s="48"/>
      <c r="AA57" s="48"/>
      <c r="AB57" s="48"/>
      <c r="AC57" s="48"/>
      <c r="AD57" s="48"/>
      <c r="AE57" s="48"/>
      <c r="AF57" s="48"/>
      <c r="AG57" s="48"/>
      <c r="AH57" s="48"/>
      <c r="AI57" s="48"/>
      <c r="AJ57" s="48"/>
      <c r="AK57" s="48"/>
      <c r="AL57" s="48"/>
      <c r="AM57" s="48"/>
      <c r="AN57" s="48"/>
      <c r="AO57" s="48"/>
      <c r="AP57" s="48"/>
      <c r="AQ57" s="48"/>
      <c r="AR57" s="48"/>
      <c r="AS57" s="48"/>
      <c r="AT57" s="48"/>
      <c r="AU57" s="48"/>
      <c r="AV57" s="48"/>
      <c r="AW57" s="48"/>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row>
    <row r="58" spans="2:78" ht="17.100000000000001" customHeight="1" x14ac:dyDescent="0.15">
      <c r="B58" s="48"/>
      <c r="C58" s="48"/>
      <c r="D58" s="3579"/>
      <c r="E58" s="3573"/>
      <c r="F58" s="3573"/>
      <c r="G58" s="3574"/>
      <c r="H58" s="3574"/>
      <c r="I58" s="3574"/>
      <c r="J58" s="3574"/>
      <c r="K58" s="1453"/>
      <c r="L58" s="3580"/>
      <c r="M58" s="3573"/>
      <c r="N58" s="3573"/>
      <c r="O58" s="3574"/>
      <c r="P58" s="3574"/>
      <c r="Q58" s="3574"/>
      <c r="R58" s="3574"/>
      <c r="S58" s="48"/>
      <c r="T58" s="48"/>
      <c r="U58" s="48"/>
      <c r="V58" s="48"/>
      <c r="W58" s="48"/>
      <c r="X58" s="48"/>
      <c r="Y58" s="48"/>
      <c r="Z58" s="48"/>
      <c r="AA58" s="48"/>
      <c r="AB58" s="48"/>
      <c r="AC58" s="48"/>
      <c r="AD58" s="48"/>
      <c r="AE58" s="48"/>
      <c r="AF58" s="48"/>
      <c r="AG58" s="48"/>
      <c r="AH58" s="48"/>
      <c r="AI58" s="48"/>
      <c r="AJ58" s="48"/>
      <c r="AK58" s="48"/>
      <c r="AL58" s="48"/>
      <c r="AM58" s="48"/>
      <c r="AN58" s="48"/>
      <c r="AO58" s="48"/>
      <c r="AP58" s="48"/>
      <c r="AQ58" s="48"/>
      <c r="AR58" s="48"/>
      <c r="AS58" s="48"/>
      <c r="AT58" s="48"/>
      <c r="AU58" s="48"/>
      <c r="AV58" s="48"/>
      <c r="AW58" s="48"/>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row>
    <row r="59" spans="2:78" ht="17.100000000000001" customHeight="1" x14ac:dyDescent="0.15">
      <c r="B59" s="48"/>
      <c r="C59" s="58"/>
      <c r="D59" s="59"/>
      <c r="E59" s="50"/>
      <c r="F59" s="50"/>
      <c r="G59" s="51" t="s">
        <v>1692</v>
      </c>
      <c r="H59" s="51" t="s">
        <v>748</v>
      </c>
      <c r="I59" s="51"/>
      <c r="J59" s="51"/>
      <c r="K59" s="51"/>
      <c r="L59" s="51"/>
      <c r="M59" s="51"/>
      <c r="N59" s="51"/>
      <c r="O59" s="51" t="s">
        <v>504</v>
      </c>
      <c r="P59" s="51" t="s">
        <v>490</v>
      </c>
      <c r="Q59" s="50"/>
      <c r="R59" s="50"/>
      <c r="S59" s="48"/>
      <c r="T59" s="48"/>
      <c r="U59" s="48"/>
      <c r="V59" s="48"/>
      <c r="W59" s="48"/>
      <c r="X59" s="48"/>
      <c r="Y59" s="48"/>
      <c r="Z59" s="48"/>
      <c r="AA59" s="48"/>
      <c r="AB59" s="48"/>
      <c r="AC59" s="48"/>
      <c r="AD59" s="48"/>
      <c r="AE59" s="48"/>
      <c r="AF59" s="48"/>
      <c r="AG59" s="48"/>
      <c r="AH59" s="48"/>
      <c r="AI59" s="48"/>
      <c r="AJ59" s="48"/>
      <c r="AK59" s="48"/>
      <c r="AL59" s="48"/>
      <c r="AM59" s="48"/>
      <c r="AN59" s="48"/>
      <c r="AO59" s="48"/>
      <c r="AP59" s="48"/>
      <c r="AQ59" s="48"/>
      <c r="AR59" s="48"/>
      <c r="AS59" s="48"/>
      <c r="AT59" s="48"/>
      <c r="AU59" s="48"/>
      <c r="AV59" s="48"/>
      <c r="AW59" s="48"/>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row>
    <row r="60" spans="2:78" ht="17.100000000000001" customHeight="1" x14ac:dyDescent="0.15">
      <c r="B60" s="48"/>
      <c r="C60" s="58"/>
      <c r="D60" s="3581" t="s">
        <v>441</v>
      </c>
      <c r="E60" s="3582">
        <f>ROUNDDOWN(PROGRESS!$AF$21,1)</f>
        <v>0</v>
      </c>
      <c r="F60" s="3582"/>
      <c r="G60" s="3574" t="str">
        <f>IF(E60=1,G62,H62)</f>
        <v>HRS MAX DAY XP</v>
      </c>
      <c r="H60" s="3574"/>
      <c r="I60" s="3574"/>
      <c r="J60" s="3574"/>
      <c r="K60" s="1453"/>
      <c r="L60" s="3580" t="s">
        <v>292</v>
      </c>
      <c r="M60" s="3573">
        <f>BOUNTY!$CC$91</f>
        <v>0</v>
      </c>
      <c r="N60" s="3573"/>
      <c r="O60" s="3574" t="str">
        <f>IF(M60=1,O62, P62)</f>
        <v>ENHANCEMENTS</v>
      </c>
      <c r="P60" s="3574"/>
      <c r="Q60" s="3574"/>
      <c r="R60" s="3574"/>
      <c r="S60" s="48"/>
      <c r="T60" s="48"/>
      <c r="U60" s="48"/>
      <c r="V60" s="48"/>
      <c r="W60" s="48"/>
      <c r="X60" s="48"/>
      <c r="Y60" s="48"/>
      <c r="Z60" s="48"/>
      <c r="AA60" s="48"/>
      <c r="AB60" s="48"/>
      <c r="AC60" s="48"/>
      <c r="AD60" s="48"/>
      <c r="AE60" s="48"/>
      <c r="AF60" s="48"/>
      <c r="AG60" s="48"/>
      <c r="AH60" s="48"/>
      <c r="AI60" s="48"/>
      <c r="AJ60" s="48"/>
      <c r="AK60" s="48"/>
      <c r="AL60" s="48"/>
      <c r="AM60" s="48"/>
      <c r="AN60" s="48"/>
      <c r="AO60" s="48"/>
      <c r="AP60" s="48"/>
      <c r="AQ60" s="48"/>
      <c r="AR60" s="48"/>
      <c r="AS60" s="48"/>
      <c r="AT60" s="48"/>
      <c r="AU60" s="48"/>
      <c r="AV60" s="48"/>
      <c r="AW60" s="48"/>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row>
    <row r="61" spans="2:78" ht="17.100000000000001" customHeight="1" x14ac:dyDescent="0.15">
      <c r="B61" s="48"/>
      <c r="C61" s="48"/>
      <c r="D61" s="3581"/>
      <c r="E61" s="3582"/>
      <c r="F61" s="3582"/>
      <c r="G61" s="3574"/>
      <c r="H61" s="3574"/>
      <c r="I61" s="3574"/>
      <c r="J61" s="3574"/>
      <c r="K61" s="1453"/>
      <c r="L61" s="3580"/>
      <c r="M61" s="3573"/>
      <c r="N61" s="3573"/>
      <c r="O61" s="3574"/>
      <c r="P61" s="3574"/>
      <c r="Q61" s="3574"/>
      <c r="R61" s="3574"/>
      <c r="S61" s="48"/>
      <c r="T61" s="48"/>
      <c r="U61" s="48"/>
      <c r="V61" s="48"/>
      <c r="W61" s="48"/>
      <c r="X61" s="48"/>
      <c r="Y61" s="48"/>
      <c r="Z61" s="48"/>
      <c r="AA61" s="48"/>
      <c r="AB61" s="48"/>
      <c r="AC61" s="48"/>
      <c r="AD61" s="48"/>
      <c r="AE61" s="48"/>
      <c r="AF61" s="48"/>
      <c r="AG61" s="48"/>
      <c r="AH61" s="48"/>
      <c r="AI61" s="48"/>
      <c r="AJ61" s="48"/>
      <c r="AK61" s="48"/>
      <c r="AL61" s="48"/>
      <c r="AM61" s="48"/>
      <c r="AN61" s="48"/>
      <c r="AO61" s="48"/>
      <c r="AP61" s="48"/>
      <c r="AQ61" s="48"/>
      <c r="AR61" s="48"/>
      <c r="AS61" s="48"/>
      <c r="AT61" s="48"/>
      <c r="AU61" s="48"/>
      <c r="AV61" s="48"/>
      <c r="AW61" s="48"/>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row>
    <row r="62" spans="2:78" ht="17.100000000000001" customHeight="1" x14ac:dyDescent="0.15">
      <c r="B62" s="48"/>
      <c r="C62" s="48"/>
      <c r="D62" s="48"/>
      <c r="E62" s="48"/>
      <c r="F62" s="48"/>
      <c r="G62" s="51" t="s">
        <v>499</v>
      </c>
      <c r="H62" s="51" t="s">
        <v>497</v>
      </c>
      <c r="I62" s="48"/>
      <c r="J62" s="48"/>
      <c r="K62" s="48"/>
      <c r="L62" s="48"/>
      <c r="M62" s="48"/>
      <c r="N62" s="48"/>
      <c r="O62" s="51" t="s">
        <v>1745</v>
      </c>
      <c r="P62" s="51" t="s">
        <v>1587</v>
      </c>
      <c r="Q62" s="48"/>
      <c r="R62" s="48"/>
      <c r="S62" s="48"/>
      <c r="T62" s="48"/>
      <c r="U62" s="48"/>
      <c r="V62" s="48"/>
      <c r="W62" s="48"/>
      <c r="X62" s="48"/>
      <c r="Y62" s="48"/>
      <c r="Z62" s="48"/>
      <c r="AA62" s="48"/>
      <c r="AB62" s="48"/>
      <c r="AC62" s="48"/>
      <c r="AD62" s="48"/>
      <c r="AE62" s="48"/>
      <c r="AF62" s="48"/>
      <c r="AG62" s="48"/>
      <c r="AH62" s="48"/>
      <c r="AI62" s="48"/>
      <c r="AJ62" s="48"/>
      <c r="AK62" s="48"/>
      <c r="AL62" s="48"/>
      <c r="AM62" s="48"/>
      <c r="AN62" s="48"/>
      <c r="AO62" s="48"/>
      <c r="AP62" s="48"/>
      <c r="AQ62" s="48"/>
      <c r="AR62" s="48"/>
      <c r="AS62" s="48"/>
      <c r="AT62" s="48"/>
      <c r="AU62" s="48"/>
      <c r="AV62" s="48"/>
      <c r="AW62" s="48"/>
      <c r="AX62" s="48"/>
      <c r="AY62" s="48"/>
      <c r="AZ62" s="48"/>
      <c r="BA62" s="48"/>
      <c r="BB62" s="48"/>
      <c r="BC62" s="48"/>
      <c r="BD62" s="48"/>
      <c r="BE62" s="48"/>
      <c r="BF62" s="48"/>
      <c r="BG62" s="48"/>
      <c r="BH62" s="48"/>
      <c r="BI62" s="48"/>
      <c r="BJ62" s="48"/>
      <c r="BK62" s="48"/>
      <c r="BL62" s="48"/>
      <c r="BM62" s="48"/>
      <c r="BN62" s="48"/>
      <c r="BO62" s="48"/>
      <c r="BP62" s="48"/>
      <c r="BQ62" s="48"/>
      <c r="BR62" s="48"/>
      <c r="BS62" s="48"/>
      <c r="BT62" s="48"/>
      <c r="BU62" s="48"/>
      <c r="BV62" s="48"/>
      <c r="BW62" s="48"/>
      <c r="BX62" s="48"/>
      <c r="BY62" s="48"/>
      <c r="BZ62" s="48"/>
    </row>
    <row r="63" spans="2:78" ht="17.100000000000001" customHeight="1" x14ac:dyDescent="0.15">
      <c r="B63" s="48"/>
      <c r="C63" s="48"/>
      <c r="D63" s="48"/>
      <c r="E63" s="48"/>
      <c r="F63" s="48"/>
      <c r="G63" s="48"/>
      <c r="H63" s="48"/>
      <c r="I63" s="48"/>
      <c r="J63" s="48"/>
      <c r="K63" s="48"/>
      <c r="L63" s="48"/>
      <c r="M63" s="48"/>
      <c r="N63" s="48"/>
      <c r="O63" s="48"/>
      <c r="P63" s="48"/>
      <c r="Q63" s="48"/>
      <c r="R63" s="48"/>
      <c r="S63" s="48"/>
      <c r="T63" s="48"/>
      <c r="U63" s="48"/>
      <c r="V63" s="48"/>
      <c r="W63" s="48"/>
      <c r="X63" s="48"/>
      <c r="Y63" s="48"/>
      <c r="Z63" s="48"/>
      <c r="AA63" s="48"/>
      <c r="AB63" s="48"/>
      <c r="AC63" s="48"/>
      <c r="AD63" s="48"/>
      <c r="AE63" s="48"/>
      <c r="AF63" s="48"/>
      <c r="AG63" s="48"/>
      <c r="AH63" s="48"/>
      <c r="AI63" s="48"/>
      <c r="AJ63" s="48"/>
      <c r="AK63" s="48"/>
      <c r="AL63" s="48"/>
      <c r="AM63" s="48"/>
      <c r="AN63" s="48"/>
      <c r="AO63" s="48"/>
      <c r="AP63" s="48"/>
      <c r="AQ63" s="48"/>
      <c r="AR63" s="48"/>
      <c r="AS63" s="48"/>
      <c r="AT63" s="48"/>
      <c r="AU63" s="48"/>
      <c r="AV63" s="48"/>
      <c r="AW63" s="48"/>
      <c r="AX63" s="48"/>
      <c r="AY63" s="48"/>
      <c r="AZ63" s="48"/>
      <c r="BA63" s="48"/>
      <c r="BB63" s="48"/>
      <c r="BC63" s="48"/>
      <c r="BD63" s="48"/>
      <c r="BE63" s="48"/>
      <c r="BF63" s="48"/>
      <c r="BG63" s="48"/>
      <c r="BH63" s="48"/>
      <c r="BI63" s="48"/>
      <c r="BJ63" s="48"/>
      <c r="BK63" s="48"/>
      <c r="BL63" s="48"/>
      <c r="BM63" s="48"/>
      <c r="BN63" s="48"/>
      <c r="BO63" s="48"/>
      <c r="BP63" s="48"/>
      <c r="BQ63" s="48"/>
      <c r="BR63" s="48"/>
      <c r="BS63" s="48"/>
      <c r="BT63" s="48"/>
      <c r="BU63" s="48"/>
      <c r="BV63" s="48"/>
      <c r="BW63" s="48"/>
      <c r="BX63" s="48"/>
      <c r="BY63" s="48"/>
      <c r="BZ63" s="48"/>
    </row>
    <row r="64" spans="2:78" ht="17.100000000000001" customHeight="1" x14ac:dyDescent="0.15">
      <c r="B64" s="48"/>
      <c r="C64" s="48"/>
      <c r="D64" s="48"/>
      <c r="E64" s="48"/>
      <c r="F64" s="48"/>
      <c r="G64" s="48"/>
      <c r="H64" s="48"/>
      <c r="I64" s="48"/>
      <c r="J64" s="48"/>
      <c r="K64" s="48"/>
      <c r="L64" s="48"/>
      <c r="M64" s="48"/>
      <c r="N64" s="48"/>
      <c r="O64" s="48"/>
      <c r="P64" s="48"/>
      <c r="Q64" s="48"/>
      <c r="R64" s="48"/>
      <c r="S64" s="48"/>
      <c r="T64" s="48"/>
      <c r="U64" s="48"/>
      <c r="V64" s="48"/>
      <c r="W64" s="48"/>
      <c r="X64" s="48"/>
      <c r="Y64" s="48"/>
      <c r="Z64" s="48"/>
      <c r="AA64" s="48"/>
      <c r="AB64" s="48"/>
      <c r="AC64" s="48"/>
      <c r="AD64" s="48"/>
      <c r="AE64" s="48"/>
      <c r="AF64" s="48"/>
      <c r="AG64" s="48"/>
      <c r="AH64" s="48"/>
      <c r="AI64" s="48"/>
      <c r="AJ64" s="48"/>
      <c r="AK64" s="48"/>
      <c r="AL64" s="48"/>
      <c r="AM64" s="48"/>
      <c r="AN64" s="48"/>
      <c r="AO64" s="48"/>
      <c r="AP64" s="48"/>
      <c r="AQ64" s="48"/>
      <c r="AR64" s="48"/>
      <c r="AS64" s="48"/>
      <c r="AT64" s="48"/>
      <c r="AU64" s="48"/>
      <c r="AV64" s="48"/>
      <c r="AW64" s="48"/>
      <c r="AX64" s="48"/>
      <c r="AY64" s="48"/>
      <c r="AZ64" s="48"/>
      <c r="BA64" s="48"/>
      <c r="BB64" s="48"/>
      <c r="BC64" s="48"/>
      <c r="BD64" s="48"/>
      <c r="BE64" s="48"/>
      <c r="BF64" s="48"/>
      <c r="BG64" s="48"/>
      <c r="BH64" s="48"/>
      <c r="BI64" s="48"/>
      <c r="BJ64" s="48"/>
      <c r="BK64" s="48"/>
      <c r="BL64" s="48"/>
      <c r="BM64" s="48"/>
      <c r="BN64" s="48"/>
      <c r="BO64" s="48"/>
      <c r="BP64" s="48"/>
      <c r="BQ64" s="48"/>
      <c r="BR64" s="48"/>
      <c r="BS64" s="48"/>
      <c r="BT64" s="48"/>
      <c r="BU64" s="48"/>
      <c r="BV64" s="48"/>
      <c r="BW64" s="48"/>
      <c r="BX64" s="48"/>
      <c r="BY64" s="48"/>
      <c r="BZ64" s="48"/>
    </row>
    <row r="65" spans="2:78" ht="17.100000000000001" customHeight="1" x14ac:dyDescent="0.15">
      <c r="B65" s="48"/>
      <c r="C65" s="48"/>
      <c r="D65" s="48"/>
      <c r="E65" s="48"/>
      <c r="F65" s="48"/>
      <c r="G65" s="48"/>
      <c r="H65" s="48"/>
      <c r="I65" s="48"/>
      <c r="J65" s="48"/>
      <c r="K65" s="48"/>
      <c r="L65" s="48"/>
      <c r="M65" s="48"/>
      <c r="N65" s="48"/>
      <c r="O65" s="48"/>
      <c r="P65" s="48"/>
      <c r="Q65" s="48"/>
      <c r="R65" s="48"/>
      <c r="S65" s="48"/>
      <c r="T65" s="48"/>
      <c r="U65" s="48"/>
      <c r="V65" s="48"/>
      <c r="W65" s="48"/>
      <c r="X65" s="48"/>
      <c r="Y65" s="48"/>
      <c r="Z65" s="48"/>
      <c r="AA65" s="48"/>
      <c r="AB65" s="48"/>
      <c r="AC65" s="48"/>
      <c r="AD65" s="48"/>
      <c r="AE65" s="48"/>
      <c r="AF65" s="48"/>
      <c r="AG65" s="48"/>
      <c r="AH65" s="48"/>
      <c r="AI65" s="48"/>
      <c r="AJ65" s="48"/>
      <c r="AK65" s="48"/>
      <c r="AL65" s="48"/>
      <c r="AM65" s="48"/>
      <c r="AN65" s="48"/>
      <c r="AO65" s="48"/>
      <c r="AP65" s="48"/>
      <c r="AQ65" s="48"/>
      <c r="AR65" s="48"/>
      <c r="AS65" s="48"/>
      <c r="AT65" s="48"/>
      <c r="AU65" s="48"/>
      <c r="AV65" s="48"/>
      <c r="AW65" s="48"/>
      <c r="AX65" s="48"/>
      <c r="AY65" s="48"/>
      <c r="AZ65" s="48"/>
      <c r="BA65" s="48"/>
      <c r="BB65" s="48"/>
      <c r="BC65" s="48"/>
      <c r="BD65" s="48"/>
      <c r="BE65" s="48"/>
      <c r="BF65" s="48"/>
      <c r="BG65" s="48"/>
      <c r="BH65" s="48"/>
      <c r="BI65" s="48"/>
      <c r="BJ65" s="48"/>
      <c r="BK65" s="48"/>
      <c r="BL65" s="48"/>
      <c r="BM65" s="48"/>
      <c r="BN65" s="48"/>
      <c r="BO65" s="48"/>
      <c r="BP65" s="48"/>
      <c r="BQ65" s="48"/>
      <c r="BR65" s="48"/>
      <c r="BS65" s="48"/>
      <c r="BT65" s="48"/>
      <c r="BU65" s="48"/>
      <c r="BV65" s="48"/>
      <c r="BW65" s="48"/>
      <c r="BX65" s="48"/>
      <c r="BY65" s="48"/>
      <c r="BZ65" s="48"/>
    </row>
    <row r="66" spans="2:78" ht="17.100000000000001" customHeight="1" x14ac:dyDescent="0.15">
      <c r="B66" s="48"/>
      <c r="C66" s="48"/>
      <c r="D66" s="48"/>
      <c r="E66" s="48"/>
      <c r="F66" s="48"/>
      <c r="G66" s="48"/>
      <c r="H66" s="48"/>
      <c r="I66" s="48"/>
      <c r="J66" s="48"/>
      <c r="K66" s="48"/>
      <c r="L66" s="48"/>
      <c r="M66" s="48"/>
      <c r="N66" s="48"/>
      <c r="O66" s="48"/>
      <c r="P66" s="48"/>
      <c r="Q66" s="48"/>
      <c r="R66" s="48"/>
      <c r="S66" s="48"/>
      <c r="T66" s="48"/>
      <c r="U66" s="48"/>
      <c r="V66" s="48"/>
      <c r="W66" s="48"/>
      <c r="X66" s="48"/>
      <c r="Y66" s="48"/>
      <c r="Z66" s="48"/>
      <c r="AA66" s="48"/>
      <c r="AB66" s="48"/>
      <c r="AC66" s="48"/>
      <c r="AD66" s="48"/>
      <c r="AE66" s="48"/>
      <c r="AF66" s="48"/>
      <c r="AG66" s="48"/>
      <c r="AH66" s="48"/>
      <c r="AI66" s="48"/>
      <c r="AJ66" s="48"/>
      <c r="AK66" s="48"/>
      <c r="AL66" s="48"/>
      <c r="AM66" s="48"/>
      <c r="AN66" s="48"/>
      <c r="AO66" s="48"/>
      <c r="AP66" s="48"/>
      <c r="AQ66" s="48"/>
      <c r="AR66" s="48"/>
      <c r="AS66" s="48"/>
      <c r="AT66" s="48"/>
      <c r="AU66" s="48"/>
      <c r="AV66" s="48"/>
      <c r="AW66" s="48"/>
      <c r="AX66" s="48"/>
      <c r="AY66" s="48"/>
      <c r="AZ66" s="48"/>
      <c r="BA66" s="48"/>
      <c r="BB66" s="48"/>
      <c r="BC66" s="48"/>
      <c r="BD66" s="48"/>
      <c r="BE66" s="48"/>
      <c r="BF66" s="48"/>
      <c r="BG66" s="48"/>
      <c r="BH66" s="48"/>
      <c r="BI66" s="48"/>
      <c r="BJ66" s="48"/>
      <c r="BK66" s="48"/>
      <c r="BL66" s="48"/>
      <c r="BM66" s="48"/>
      <c r="BN66" s="48"/>
      <c r="BO66" s="48"/>
      <c r="BP66" s="48"/>
      <c r="BQ66" s="48"/>
      <c r="BR66" s="48"/>
      <c r="BS66" s="48"/>
      <c r="BT66" s="48"/>
      <c r="BU66" s="48"/>
      <c r="BV66" s="48"/>
      <c r="BW66" s="48"/>
      <c r="BX66" s="48"/>
      <c r="BY66" s="48"/>
      <c r="BZ66" s="48"/>
    </row>
    <row r="67" spans="2:78" ht="17.100000000000001" customHeight="1" x14ac:dyDescent="0.15">
      <c r="B67" s="48"/>
      <c r="C67" s="48"/>
      <c r="D67" s="48"/>
      <c r="E67" s="48"/>
      <c r="F67" s="48"/>
      <c r="G67" s="48"/>
      <c r="H67" s="48"/>
      <c r="I67" s="48"/>
      <c r="J67" s="48"/>
      <c r="K67" s="48"/>
      <c r="L67" s="48"/>
      <c r="M67" s="48"/>
      <c r="N67" s="48"/>
      <c r="O67" s="48"/>
      <c r="P67" s="48"/>
      <c r="Q67" s="48"/>
      <c r="R67" s="48"/>
      <c r="S67" s="48"/>
      <c r="T67" s="48"/>
      <c r="U67" s="48"/>
      <c r="V67" s="48"/>
      <c r="W67" s="48"/>
      <c r="X67" s="48"/>
      <c r="Y67" s="48"/>
      <c r="Z67" s="48"/>
      <c r="AA67" s="48"/>
      <c r="AB67" s="48"/>
      <c r="AC67" s="48"/>
      <c r="AD67" s="48"/>
      <c r="AE67" s="48"/>
      <c r="AF67" s="48"/>
      <c r="AG67" s="48"/>
      <c r="AH67" s="48"/>
      <c r="AI67" s="48"/>
      <c r="AJ67" s="48"/>
      <c r="AK67" s="48"/>
      <c r="AL67" s="48"/>
      <c r="AM67" s="48"/>
      <c r="AN67" s="48"/>
      <c r="AO67" s="48"/>
      <c r="AP67" s="48"/>
      <c r="AQ67" s="48"/>
      <c r="AR67" s="48"/>
      <c r="AS67" s="48"/>
      <c r="AT67" s="48"/>
      <c r="AU67" s="48"/>
      <c r="AV67" s="48"/>
      <c r="AW67" s="48"/>
      <c r="AX67" s="48"/>
      <c r="AY67" s="48"/>
      <c r="AZ67" s="48"/>
      <c r="BA67" s="48"/>
      <c r="BB67" s="48"/>
      <c r="BC67" s="48"/>
      <c r="BD67" s="48"/>
      <c r="BE67" s="48"/>
      <c r="BF67" s="48"/>
      <c r="BG67" s="48"/>
      <c r="BH67" s="48"/>
      <c r="BI67" s="48"/>
      <c r="BJ67" s="48"/>
      <c r="BK67" s="48"/>
      <c r="BL67" s="48"/>
      <c r="BM67" s="48"/>
      <c r="BN67" s="48"/>
      <c r="BO67" s="48"/>
      <c r="BP67" s="48"/>
      <c r="BQ67" s="48"/>
      <c r="BR67" s="48"/>
      <c r="BS67" s="48"/>
      <c r="BT67" s="48"/>
      <c r="BU67" s="48"/>
      <c r="BV67" s="48"/>
      <c r="BW67" s="48"/>
      <c r="BX67" s="48"/>
      <c r="BY67" s="48"/>
      <c r="BZ67" s="48"/>
    </row>
    <row r="68" spans="2:78" ht="17.100000000000001" customHeight="1" x14ac:dyDescent="0.15">
      <c r="B68" s="48"/>
      <c r="C68" s="48"/>
      <c r="D68" s="48"/>
      <c r="E68" s="48"/>
      <c r="F68" s="48"/>
      <c r="G68" s="48"/>
      <c r="H68" s="48"/>
      <c r="I68" s="48"/>
      <c r="J68" s="48"/>
      <c r="K68" s="48"/>
      <c r="L68" s="48"/>
      <c r="M68" s="48"/>
      <c r="N68" s="48"/>
      <c r="O68" s="48"/>
      <c r="P68" s="48"/>
      <c r="Q68" s="48"/>
      <c r="R68" s="48"/>
      <c r="S68" s="48"/>
      <c r="T68" s="48"/>
      <c r="U68" s="48"/>
      <c r="V68" s="48"/>
      <c r="W68" s="48"/>
      <c r="X68" s="48"/>
      <c r="Y68" s="48"/>
      <c r="Z68" s="48"/>
      <c r="AA68" s="48"/>
      <c r="AB68" s="48"/>
      <c r="AC68" s="48"/>
      <c r="AD68" s="48"/>
      <c r="AE68" s="48"/>
      <c r="AF68" s="48"/>
      <c r="AG68" s="48"/>
      <c r="AH68" s="48"/>
      <c r="AI68" s="48"/>
      <c r="AJ68" s="48"/>
      <c r="AK68" s="48"/>
      <c r="AL68" s="48"/>
      <c r="AM68" s="48"/>
      <c r="AN68" s="48"/>
      <c r="AO68" s="48"/>
      <c r="AP68" s="48"/>
      <c r="AQ68" s="48"/>
      <c r="AR68" s="48"/>
      <c r="AS68" s="48"/>
      <c r="AT68" s="48"/>
      <c r="AU68" s="48"/>
      <c r="AV68" s="48"/>
      <c r="AW68" s="48"/>
      <c r="AX68" s="48"/>
      <c r="AY68" s="48"/>
      <c r="AZ68" s="48"/>
      <c r="BA68" s="48"/>
      <c r="BB68" s="48"/>
      <c r="BC68" s="48"/>
      <c r="BD68" s="48"/>
      <c r="BE68" s="48"/>
      <c r="BF68" s="48"/>
      <c r="BG68" s="48"/>
      <c r="BH68" s="48"/>
      <c r="BI68" s="48"/>
      <c r="BJ68" s="48"/>
      <c r="BK68" s="48"/>
      <c r="BL68" s="48"/>
      <c r="BM68" s="48"/>
      <c r="BN68" s="48"/>
      <c r="BO68" s="48"/>
      <c r="BP68" s="48"/>
      <c r="BQ68" s="48"/>
      <c r="BR68" s="48"/>
      <c r="BS68" s="48"/>
      <c r="BT68" s="48"/>
      <c r="BU68" s="48"/>
      <c r="BV68" s="48"/>
      <c r="BW68" s="48"/>
      <c r="BX68" s="48"/>
      <c r="BY68" s="48"/>
      <c r="BZ68" s="48"/>
    </row>
    <row r="69" spans="2:78" ht="17.100000000000001" customHeight="1" x14ac:dyDescent="0.15">
      <c r="B69" s="48"/>
      <c r="C69" s="48"/>
      <c r="D69" s="48"/>
      <c r="E69" s="48"/>
      <c r="F69" s="48"/>
      <c r="G69" s="48"/>
      <c r="H69" s="48"/>
      <c r="I69" s="48"/>
      <c r="J69" s="48"/>
      <c r="K69" s="48"/>
      <c r="L69" s="48"/>
      <c r="M69" s="48"/>
      <c r="N69" s="48"/>
      <c r="O69" s="48"/>
      <c r="P69" s="48"/>
      <c r="Q69" s="48"/>
      <c r="R69" s="48"/>
      <c r="S69" s="48"/>
      <c r="T69" s="48"/>
      <c r="U69" s="48"/>
      <c r="V69" s="48"/>
      <c r="W69" s="48"/>
      <c r="X69" s="48"/>
      <c r="Y69" s="48"/>
      <c r="Z69" s="48"/>
      <c r="AA69" s="48"/>
      <c r="AB69" s="48"/>
      <c r="AC69" s="48"/>
      <c r="AD69" s="48"/>
      <c r="AE69" s="48"/>
      <c r="AF69" s="48"/>
      <c r="AG69" s="48"/>
      <c r="AH69" s="48"/>
      <c r="AI69" s="48"/>
      <c r="AJ69" s="48"/>
      <c r="AK69" s="48"/>
      <c r="AL69" s="48"/>
      <c r="AM69" s="48"/>
      <c r="AN69" s="48"/>
      <c r="AO69" s="48"/>
      <c r="AP69" s="48"/>
      <c r="AQ69" s="48"/>
      <c r="AR69" s="48"/>
      <c r="AS69" s="48"/>
      <c r="AT69" s="48"/>
      <c r="AU69" s="48"/>
      <c r="AV69" s="48"/>
      <c r="AW69" s="48"/>
      <c r="AX69" s="48"/>
      <c r="AY69" s="48"/>
      <c r="AZ69" s="48"/>
      <c r="BA69" s="48"/>
      <c r="BB69" s="48"/>
      <c r="BC69" s="48"/>
      <c r="BD69" s="48"/>
      <c r="BE69" s="48"/>
      <c r="BF69" s="48"/>
      <c r="BG69" s="48"/>
      <c r="BH69" s="48"/>
      <c r="BI69" s="48"/>
      <c r="BJ69" s="48"/>
      <c r="BK69" s="48"/>
      <c r="BL69" s="48"/>
      <c r="BM69" s="48"/>
      <c r="BN69" s="48"/>
      <c r="BO69" s="48"/>
      <c r="BP69" s="48"/>
      <c r="BQ69" s="48"/>
      <c r="BR69" s="48"/>
      <c r="BS69" s="48"/>
      <c r="BT69" s="48"/>
      <c r="BU69" s="48"/>
      <c r="BV69" s="48"/>
      <c r="BW69" s="48"/>
      <c r="BX69" s="48"/>
      <c r="BY69" s="48"/>
      <c r="BZ69" s="48"/>
    </row>
    <row r="70" spans="2:78" ht="17.100000000000001" customHeight="1" x14ac:dyDescent="0.15">
      <c r="B70" s="48"/>
      <c r="C70" s="48"/>
      <c r="D70" s="48"/>
      <c r="E70" s="48"/>
      <c r="F70" s="48"/>
      <c r="G70" s="48"/>
      <c r="H70" s="48"/>
      <c r="I70" s="48"/>
      <c r="J70" s="48"/>
      <c r="K70" s="48"/>
      <c r="L70" s="48"/>
      <c r="M70" s="48"/>
      <c r="N70" s="48"/>
      <c r="O70" s="48"/>
      <c r="P70" s="48"/>
      <c r="Q70" s="48"/>
      <c r="R70" s="48"/>
      <c r="S70" s="48"/>
      <c r="T70" s="48"/>
      <c r="U70" s="48"/>
      <c r="V70" s="48"/>
      <c r="W70" s="48"/>
      <c r="X70" s="48"/>
      <c r="Y70" s="48"/>
      <c r="Z70" s="48"/>
      <c r="AA70" s="48"/>
      <c r="AB70" s="48"/>
      <c r="AC70" s="48"/>
      <c r="AD70" s="48"/>
      <c r="AE70" s="48"/>
      <c r="AF70" s="48"/>
      <c r="AG70" s="48"/>
      <c r="AH70" s="48"/>
      <c r="AI70" s="48"/>
      <c r="AJ70" s="48"/>
      <c r="AK70" s="48"/>
      <c r="AL70" s="48"/>
      <c r="AM70" s="48"/>
      <c r="AN70" s="48"/>
      <c r="AO70" s="48"/>
      <c r="AP70" s="48"/>
      <c r="AQ70" s="48"/>
      <c r="AR70" s="48"/>
      <c r="AS70" s="48"/>
      <c r="AT70" s="48"/>
      <c r="AU70" s="48"/>
      <c r="AV70" s="48"/>
      <c r="AW70" s="48"/>
      <c r="AX70" s="48"/>
      <c r="AY70" s="48"/>
      <c r="AZ70" s="48"/>
      <c r="BA70" s="48"/>
      <c r="BB70" s="48"/>
      <c r="BC70" s="48"/>
      <c r="BD70" s="48"/>
      <c r="BE70" s="48"/>
      <c r="BF70" s="48"/>
      <c r="BG70" s="48"/>
      <c r="BH70" s="48"/>
      <c r="BI70" s="48"/>
      <c r="BJ70" s="48"/>
      <c r="BK70" s="48"/>
      <c r="BL70" s="48"/>
      <c r="BM70" s="48"/>
      <c r="BN70" s="48"/>
      <c r="BO70" s="48"/>
      <c r="BP70" s="48"/>
      <c r="BQ70" s="48"/>
      <c r="BR70" s="48"/>
      <c r="BS70" s="48"/>
      <c r="BT70" s="48"/>
      <c r="BU70" s="48"/>
      <c r="BV70" s="48"/>
      <c r="BW70" s="48"/>
      <c r="BX70" s="48"/>
      <c r="BY70" s="48"/>
      <c r="BZ70" s="48"/>
    </row>
    <row r="71" spans="2:78" ht="17.100000000000001" customHeight="1" x14ac:dyDescent="0.15">
      <c r="B71" s="48"/>
      <c r="C71" s="48"/>
      <c r="D71" s="48"/>
      <c r="E71" s="48"/>
      <c r="F71" s="48"/>
      <c r="G71" s="48"/>
      <c r="H71" s="48"/>
      <c r="I71" s="48"/>
      <c r="J71" s="48"/>
      <c r="K71" s="48"/>
      <c r="L71" s="48"/>
      <c r="M71" s="48"/>
      <c r="N71" s="48"/>
      <c r="O71" s="48"/>
      <c r="P71" s="48"/>
      <c r="Q71" s="48"/>
      <c r="R71" s="48"/>
      <c r="S71" s="48"/>
      <c r="T71" s="48"/>
      <c r="U71" s="48"/>
      <c r="V71" s="48"/>
      <c r="W71" s="48"/>
      <c r="X71" s="48"/>
      <c r="Y71" s="48"/>
      <c r="Z71" s="48"/>
      <c r="AA71" s="48"/>
      <c r="AB71" s="48"/>
      <c r="AC71" s="48"/>
      <c r="AD71" s="48"/>
      <c r="AE71" s="48"/>
      <c r="AF71" s="48"/>
      <c r="AG71" s="48"/>
      <c r="AH71" s="48"/>
      <c r="AI71" s="48"/>
      <c r="AJ71" s="48"/>
      <c r="AK71" s="48"/>
      <c r="AL71" s="48"/>
      <c r="AM71" s="48"/>
      <c r="AN71" s="48"/>
      <c r="AO71" s="48"/>
      <c r="AP71" s="48"/>
      <c r="AQ71" s="48"/>
      <c r="AR71" s="48"/>
      <c r="AS71" s="48"/>
      <c r="AT71" s="48"/>
      <c r="AU71" s="48"/>
      <c r="AV71" s="48"/>
      <c r="AW71" s="48"/>
      <c r="AX71" s="48"/>
      <c r="AY71" s="48"/>
      <c r="AZ71" s="48"/>
      <c r="BA71" s="48"/>
      <c r="BB71" s="48"/>
      <c r="BC71" s="48"/>
      <c r="BD71" s="48"/>
      <c r="BE71" s="48"/>
      <c r="BF71" s="48"/>
      <c r="BG71" s="48"/>
      <c r="BH71" s="48"/>
      <c r="BI71" s="48"/>
      <c r="BJ71" s="48"/>
      <c r="BK71" s="48"/>
      <c r="BL71" s="48"/>
      <c r="BM71" s="48"/>
      <c r="BN71" s="48"/>
      <c r="BO71" s="48"/>
      <c r="BP71" s="48"/>
      <c r="BQ71" s="48"/>
      <c r="BR71" s="48"/>
      <c r="BS71" s="48"/>
      <c r="BT71" s="48"/>
      <c r="BU71" s="48"/>
      <c r="BV71" s="48"/>
      <c r="BW71" s="48"/>
      <c r="BX71" s="48"/>
      <c r="BY71" s="48"/>
      <c r="BZ71" s="48"/>
    </row>
    <row r="72" spans="2:78" ht="17.100000000000001" customHeight="1" x14ac:dyDescent="0.15">
      <c r="B72" s="48"/>
      <c r="C72" s="48"/>
      <c r="D72" s="48"/>
      <c r="E72" s="48"/>
      <c r="F72" s="48"/>
      <c r="G72" s="48"/>
      <c r="H72" s="48"/>
      <c r="I72" s="48"/>
      <c r="J72" s="48"/>
      <c r="K72" s="48"/>
      <c r="L72" s="48"/>
      <c r="M72" s="48"/>
      <c r="N72" s="48"/>
      <c r="O72" s="48"/>
      <c r="P72" s="48"/>
      <c r="Q72" s="48"/>
      <c r="R72" s="48"/>
      <c r="S72" s="48"/>
      <c r="T72" s="48"/>
      <c r="U72" s="48"/>
      <c r="V72" s="48"/>
      <c r="W72" s="48"/>
      <c r="X72" s="48"/>
      <c r="Y72" s="48"/>
      <c r="Z72" s="48"/>
      <c r="AA72" s="48"/>
      <c r="AB72" s="48"/>
      <c r="AC72" s="48"/>
      <c r="AD72" s="48"/>
      <c r="AE72" s="48"/>
      <c r="AF72" s="48"/>
      <c r="AG72" s="48"/>
      <c r="AH72" s="48"/>
      <c r="AI72" s="48"/>
      <c r="AJ72" s="48"/>
      <c r="AK72" s="48"/>
      <c r="AL72" s="48"/>
      <c r="AM72" s="48"/>
      <c r="AN72" s="48"/>
      <c r="AO72" s="48"/>
      <c r="AP72" s="48"/>
      <c r="AQ72" s="48"/>
      <c r="AR72" s="48"/>
      <c r="AS72" s="48"/>
      <c r="AT72" s="48"/>
      <c r="AU72" s="48"/>
      <c r="AV72" s="48"/>
      <c r="AW72" s="48"/>
      <c r="AX72" s="48"/>
      <c r="AY72" s="48"/>
      <c r="AZ72" s="48"/>
      <c r="BA72" s="48"/>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row>
    <row r="73" spans="2:78" ht="17.100000000000001" customHeight="1" x14ac:dyDescent="0.15">
      <c r="B73" s="48"/>
      <c r="C73" s="48"/>
      <c r="D73" s="48"/>
      <c r="E73" s="48"/>
      <c r="F73" s="48"/>
      <c r="G73" s="48"/>
      <c r="H73" s="48"/>
      <c r="I73" s="48"/>
      <c r="J73" s="48"/>
      <c r="K73" s="48"/>
      <c r="L73" s="48"/>
      <c r="M73" s="48"/>
      <c r="N73" s="48"/>
      <c r="O73" s="48"/>
      <c r="P73" s="48"/>
      <c r="Q73" s="48"/>
      <c r="R73" s="48"/>
      <c r="S73" s="48"/>
      <c r="T73" s="48"/>
      <c r="U73" s="48"/>
      <c r="V73" s="48"/>
      <c r="W73" s="48"/>
      <c r="X73" s="48"/>
      <c r="Y73" s="48"/>
      <c r="Z73" s="48"/>
      <c r="AA73" s="48"/>
      <c r="AB73" s="48"/>
      <c r="AC73" s="48"/>
      <c r="AD73" s="48"/>
      <c r="AE73" s="48"/>
      <c r="AF73" s="48"/>
      <c r="AG73" s="48"/>
      <c r="AH73" s="48"/>
      <c r="AI73" s="48"/>
      <c r="AJ73" s="48"/>
      <c r="AK73" s="48"/>
      <c r="AL73" s="48"/>
      <c r="AM73" s="48"/>
      <c r="AN73" s="48"/>
      <c r="AO73" s="48"/>
      <c r="AP73" s="48"/>
      <c r="AQ73" s="48"/>
      <c r="AR73" s="48"/>
      <c r="AS73" s="48"/>
      <c r="AT73" s="48"/>
      <c r="AU73" s="48"/>
      <c r="AV73" s="48"/>
      <c r="AW73" s="48"/>
      <c r="AX73" s="48"/>
      <c r="AY73" s="48"/>
      <c r="AZ73" s="48"/>
      <c r="BA73" s="48"/>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row>
    <row r="74" spans="2:78" ht="17.100000000000001" customHeight="1" x14ac:dyDescent="0.15">
      <c r="B74" s="48"/>
      <c r="C74" s="48"/>
      <c r="D74" s="48"/>
      <c r="E74" s="48"/>
      <c r="F74" s="48"/>
      <c r="G74" s="48"/>
      <c r="H74" s="48"/>
      <c r="I74" s="48"/>
      <c r="J74" s="48"/>
      <c r="K74" s="48"/>
      <c r="L74" s="48"/>
      <c r="M74" s="48"/>
      <c r="N74" s="48"/>
      <c r="O74" s="48"/>
      <c r="P74" s="48"/>
      <c r="Q74" s="48"/>
      <c r="R74" s="48"/>
      <c r="S74" s="48"/>
      <c r="T74" s="48"/>
      <c r="U74" s="48"/>
      <c r="V74" s="48"/>
      <c r="W74" s="48"/>
      <c r="X74" s="48"/>
      <c r="Y74" s="48"/>
      <c r="Z74" s="48"/>
      <c r="AA74" s="48"/>
      <c r="AB74" s="48"/>
      <c r="AC74" s="48"/>
      <c r="AD74" s="48"/>
      <c r="AE74" s="48"/>
      <c r="AF74" s="48"/>
      <c r="AG74" s="48"/>
      <c r="AH74" s="48"/>
      <c r="AI74" s="48"/>
      <c r="AJ74" s="48"/>
      <c r="AK74" s="48"/>
      <c r="AL74" s="48"/>
      <c r="AM74" s="48"/>
      <c r="AN74" s="48"/>
      <c r="AO74" s="48"/>
      <c r="AP74" s="48"/>
      <c r="AQ74" s="48"/>
      <c r="AR74" s="48"/>
      <c r="AS74" s="48"/>
      <c r="AT74" s="48"/>
      <c r="AU74" s="48"/>
      <c r="AV74" s="48"/>
      <c r="AW74" s="48"/>
      <c r="AX74" s="48"/>
      <c r="AY74" s="48"/>
      <c r="AZ74" s="48"/>
      <c r="BA74" s="48"/>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row>
    <row r="75" spans="2:78" ht="17.100000000000001" customHeight="1" x14ac:dyDescent="0.15">
      <c r="B75" s="48"/>
      <c r="C75" s="48"/>
      <c r="D75" s="48"/>
      <c r="E75" s="48"/>
      <c r="F75" s="48"/>
      <c r="G75" s="48"/>
      <c r="H75" s="48"/>
      <c r="I75" s="48"/>
      <c r="J75" s="48"/>
      <c r="K75" s="48"/>
      <c r="L75" s="48"/>
      <c r="M75" s="48"/>
      <c r="N75" s="48"/>
      <c r="O75" s="48"/>
      <c r="P75" s="48"/>
      <c r="Q75" s="48"/>
      <c r="R75" s="48"/>
      <c r="S75" s="48"/>
      <c r="T75" s="48"/>
      <c r="U75" s="48"/>
      <c r="V75" s="48"/>
      <c r="W75" s="48"/>
      <c r="X75" s="48"/>
      <c r="Y75" s="48"/>
      <c r="Z75" s="48"/>
      <c r="AA75" s="48"/>
      <c r="AB75" s="48"/>
      <c r="AC75" s="48"/>
      <c r="AD75" s="48"/>
      <c r="AE75" s="48"/>
      <c r="AF75" s="48"/>
      <c r="AG75" s="48"/>
      <c r="AH75" s="48"/>
      <c r="AI75" s="48"/>
      <c r="AJ75" s="48"/>
      <c r="AK75" s="48"/>
      <c r="AL75" s="48"/>
      <c r="AM75" s="48"/>
      <c r="AN75" s="48"/>
      <c r="AO75" s="48"/>
      <c r="AP75" s="48"/>
      <c r="AQ75" s="48"/>
      <c r="AR75" s="48"/>
      <c r="AS75" s="48"/>
      <c r="AT75" s="48"/>
      <c r="AU75" s="48"/>
      <c r="AV75" s="48"/>
      <c r="AW75" s="48"/>
      <c r="AX75" s="48"/>
      <c r="AY75" s="48"/>
      <c r="AZ75" s="48"/>
      <c r="BA75" s="48"/>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row>
    <row r="76" spans="2:78" ht="17.100000000000001" customHeight="1" x14ac:dyDescent="0.15">
      <c r="B76" s="48"/>
      <c r="C76" s="48"/>
      <c r="D76" s="60"/>
      <c r="E76" s="48"/>
      <c r="F76" s="48"/>
      <c r="G76" s="48"/>
      <c r="H76" s="48"/>
      <c r="I76" s="48"/>
      <c r="J76" s="48"/>
      <c r="K76" s="60"/>
      <c r="L76" s="61"/>
      <c r="M76" s="48"/>
      <c r="N76" s="48"/>
      <c r="O76" s="48"/>
      <c r="P76" s="48"/>
      <c r="Q76" s="48"/>
      <c r="R76" s="48"/>
      <c r="S76" s="48"/>
      <c r="T76" s="48"/>
      <c r="U76" s="48"/>
      <c r="V76" s="48"/>
      <c r="W76" s="48"/>
      <c r="X76" s="48"/>
      <c r="Y76" s="48"/>
      <c r="Z76" s="48"/>
      <c r="AA76" s="48"/>
      <c r="AB76" s="48"/>
      <c r="AC76" s="48"/>
      <c r="AD76" s="48"/>
      <c r="AE76" s="48"/>
      <c r="AF76" s="48"/>
      <c r="AG76" s="48"/>
      <c r="AH76" s="48"/>
      <c r="AI76" s="48"/>
      <c r="AJ76" s="48"/>
      <c r="AK76" s="48"/>
      <c r="AL76" s="48"/>
      <c r="AM76" s="48"/>
      <c r="AN76" s="48"/>
      <c r="AO76" s="48"/>
      <c r="AP76" s="48"/>
      <c r="AQ76" s="48"/>
      <c r="AR76" s="48"/>
      <c r="AS76" s="48"/>
      <c r="AT76" s="48"/>
      <c r="AU76" s="48"/>
      <c r="AV76" s="48"/>
      <c r="AW76" s="48"/>
      <c r="AX76" s="48"/>
      <c r="AY76" s="48"/>
      <c r="AZ76" s="48"/>
      <c r="BA76" s="48"/>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row>
    <row r="77" spans="2:78" ht="17.100000000000001" customHeight="1" x14ac:dyDescent="0.15">
      <c r="T77" s="41">
        <v>29</v>
      </c>
      <c r="U77" s="41">
        <v>28</v>
      </c>
      <c r="V77" s="41">
        <v>27</v>
      </c>
      <c r="W77" s="41">
        <v>26</v>
      </c>
      <c r="X77" s="41">
        <v>25</v>
      </c>
      <c r="Y77" s="41">
        <v>24</v>
      </c>
      <c r="Z77" s="41">
        <v>23</v>
      </c>
      <c r="AA77" s="41">
        <v>22</v>
      </c>
      <c r="AB77" s="41">
        <v>21</v>
      </c>
      <c r="AC77" s="41">
        <v>20</v>
      </c>
      <c r="AD77" s="41">
        <v>19</v>
      </c>
      <c r="AE77" s="41">
        <v>18</v>
      </c>
      <c r="AF77" s="41">
        <v>17</v>
      </c>
      <c r="AG77" s="41">
        <v>16</v>
      </c>
      <c r="AH77" s="41">
        <v>15</v>
      </c>
      <c r="AI77" s="41">
        <v>14</v>
      </c>
      <c r="AJ77" s="41">
        <v>13</v>
      </c>
      <c r="AK77" s="41">
        <v>12</v>
      </c>
      <c r="AL77" s="41">
        <v>11</v>
      </c>
      <c r="AM77" s="41">
        <v>10</v>
      </c>
      <c r="AN77" s="41">
        <v>9</v>
      </c>
      <c r="AO77" s="41">
        <v>8</v>
      </c>
      <c r="AP77" s="41">
        <v>7</v>
      </c>
      <c r="AQ77" s="41">
        <v>6</v>
      </c>
      <c r="AR77" s="41">
        <v>5</v>
      </c>
      <c r="AS77" s="41">
        <v>4</v>
      </c>
      <c r="AT77" s="41">
        <v>3</v>
      </c>
      <c r="AU77" s="41">
        <v>2</v>
      </c>
      <c r="AV77" s="41">
        <v>1</v>
      </c>
      <c r="AW77" s="41">
        <v>0</v>
      </c>
      <c r="AX77" s="41">
        <v>1</v>
      </c>
      <c r="AY77" s="41">
        <v>2</v>
      </c>
      <c r="AZ77" s="41">
        <v>3</v>
      </c>
      <c r="BA77" s="41">
        <v>4</v>
      </c>
      <c r="BB77" s="41">
        <v>5</v>
      </c>
      <c r="BC77" s="41">
        <v>6</v>
      </c>
      <c r="BD77" s="41">
        <v>7</v>
      </c>
      <c r="BE77" s="41">
        <v>8</v>
      </c>
      <c r="BF77" s="41">
        <v>9</v>
      </c>
      <c r="BG77" s="41">
        <v>10</v>
      </c>
      <c r="BH77" s="41">
        <v>11</v>
      </c>
      <c r="BI77" s="41">
        <v>12</v>
      </c>
      <c r="BJ77" s="41">
        <v>13</v>
      </c>
      <c r="BK77" s="41">
        <v>14</v>
      </c>
      <c r="BL77" s="41">
        <v>15</v>
      </c>
      <c r="BM77" s="41">
        <v>16</v>
      </c>
      <c r="BN77" s="41">
        <v>17</v>
      </c>
      <c r="BO77" s="41">
        <v>18</v>
      </c>
      <c r="BP77" s="41">
        <v>19</v>
      </c>
      <c r="BQ77" s="41">
        <v>20</v>
      </c>
      <c r="BR77" s="41">
        <v>21</v>
      </c>
      <c r="BS77" s="41">
        <v>22</v>
      </c>
      <c r="BT77" s="41">
        <v>23</v>
      </c>
      <c r="BU77" s="41">
        <v>24</v>
      </c>
      <c r="BV77" s="41">
        <v>25</v>
      </c>
      <c r="BW77" s="41">
        <v>26</v>
      </c>
      <c r="BX77" s="41">
        <v>27</v>
      </c>
      <c r="BY77" s="41">
        <v>28</v>
      </c>
      <c r="BZ77" s="41">
        <v>29</v>
      </c>
    </row>
    <row r="110" spans="3:59" ht="17.100000000000001" customHeight="1" x14ac:dyDescent="0.15">
      <c r="C110" s="33"/>
      <c r="D110" s="34"/>
      <c r="J110" s="34"/>
      <c r="K110" s="34"/>
      <c r="Y110" s="33"/>
      <c r="Z110" s="34"/>
      <c r="AF110" s="34"/>
      <c r="AG110" s="34"/>
      <c r="AS110" s="33"/>
      <c r="AT110" s="34"/>
      <c r="AZ110" s="34"/>
      <c r="BA110" s="34"/>
    </row>
    <row r="111" spans="3:59" ht="17.100000000000001" customHeight="1" x14ac:dyDescent="0.15">
      <c r="J111" s="34"/>
      <c r="K111" s="34"/>
      <c r="AF111" s="34"/>
      <c r="AG111" s="34"/>
      <c r="AZ111" s="34"/>
      <c r="BA111" s="34"/>
    </row>
    <row r="112" spans="3:59" ht="17.100000000000001" customHeight="1" x14ac:dyDescent="0.25">
      <c r="M112" s="62"/>
      <c r="N112" s="62"/>
      <c r="O112" s="62"/>
      <c r="P112" s="62"/>
      <c r="Q112" s="62"/>
      <c r="AI112" s="62"/>
      <c r="AJ112" s="62"/>
      <c r="AK112" s="62"/>
      <c r="AL112" s="62"/>
      <c r="AM112" s="62"/>
      <c r="BC112" s="62"/>
      <c r="BD112" s="62"/>
      <c r="BE112" s="62"/>
      <c r="BF112" s="62"/>
      <c r="BG112" s="62"/>
    </row>
    <row r="113" spans="3:77" ht="17.100000000000001" customHeight="1" x14ac:dyDescent="0.15">
      <c r="D113" s="63"/>
      <c r="E113" s="64"/>
      <c r="F113" s="64"/>
      <c r="G113" s="65"/>
      <c r="H113" s="65"/>
      <c r="I113" s="65"/>
      <c r="J113" s="65"/>
      <c r="K113" s="66"/>
      <c r="L113" s="66"/>
      <c r="M113" s="67"/>
      <c r="N113" s="67"/>
      <c r="O113" s="68"/>
      <c r="P113" s="68"/>
      <c r="Q113" s="68"/>
      <c r="R113" s="68"/>
      <c r="Z113" s="63"/>
      <c r="AA113" s="64"/>
      <c r="AB113" s="64"/>
      <c r="AC113" s="64"/>
      <c r="AD113" s="64"/>
      <c r="AE113" s="63"/>
      <c r="AF113" s="65"/>
      <c r="AG113" s="66"/>
      <c r="AH113" s="66"/>
      <c r="AI113" s="67"/>
      <c r="AJ113" s="67"/>
      <c r="AK113" s="68"/>
      <c r="AL113" s="68"/>
      <c r="AM113" s="68"/>
      <c r="AN113" s="68"/>
      <c r="AS113" s="63"/>
      <c r="AT113" s="64"/>
      <c r="AU113" s="64"/>
      <c r="AV113" s="65"/>
      <c r="AW113" s="65"/>
      <c r="AX113" s="65"/>
      <c r="AY113" s="65"/>
      <c r="BA113" s="66"/>
      <c r="BB113" s="66"/>
      <c r="BC113" s="67"/>
      <c r="BD113" s="67"/>
      <c r="BE113" s="68"/>
      <c r="BF113" s="68"/>
      <c r="BG113" s="68"/>
      <c r="BH113" s="68"/>
    </row>
    <row r="114" spans="3:77" ht="17.100000000000001" customHeight="1" x14ac:dyDescent="0.15">
      <c r="C114" s="63"/>
      <c r="D114" s="63"/>
      <c r="E114" s="64"/>
      <c r="F114" s="64"/>
      <c r="G114" s="65"/>
      <c r="H114" s="65"/>
      <c r="I114" s="65"/>
      <c r="J114" s="65"/>
      <c r="K114" s="66"/>
      <c r="L114" s="66"/>
      <c r="M114" s="67"/>
      <c r="N114" s="67"/>
      <c r="O114" s="68"/>
      <c r="P114" s="68"/>
      <c r="Q114" s="68"/>
      <c r="R114" s="68"/>
      <c r="Y114" s="63"/>
      <c r="Z114" s="63"/>
      <c r="AA114" s="64"/>
      <c r="AB114" s="64"/>
      <c r="AC114" s="64"/>
      <c r="AD114" s="64"/>
      <c r="AE114" s="63"/>
      <c r="AF114" s="65"/>
      <c r="AG114" s="66"/>
      <c r="AH114" s="66"/>
      <c r="AI114" s="67"/>
      <c r="AJ114" s="67"/>
      <c r="AK114" s="68"/>
      <c r="AL114" s="68"/>
      <c r="AM114" s="68"/>
      <c r="AN114" s="68"/>
      <c r="AS114" s="63"/>
      <c r="AT114" s="64"/>
      <c r="AU114" s="64"/>
      <c r="AV114" s="65"/>
      <c r="AW114" s="65"/>
      <c r="AX114" s="65"/>
      <c r="AY114" s="65"/>
      <c r="BA114" s="66"/>
      <c r="BB114" s="66"/>
      <c r="BC114" s="67"/>
      <c r="BD114" s="67"/>
      <c r="BE114" s="68"/>
      <c r="BF114" s="68"/>
      <c r="BG114" s="68"/>
      <c r="BH114" s="68"/>
    </row>
    <row r="116" spans="3:77" ht="17.100000000000001" customHeight="1" x14ac:dyDescent="0.15">
      <c r="C116" s="227"/>
      <c r="D116" s="228"/>
      <c r="E116" s="228"/>
      <c r="F116" s="228"/>
      <c r="G116" s="228"/>
      <c r="H116" s="228"/>
      <c r="I116" s="228"/>
      <c r="J116" s="228"/>
      <c r="K116" s="228"/>
      <c r="L116" s="228"/>
      <c r="M116" s="228"/>
      <c r="N116" s="228"/>
      <c r="O116" s="228"/>
      <c r="P116" s="228"/>
      <c r="Q116" s="228"/>
      <c r="R116" s="228"/>
      <c r="S116" s="228"/>
      <c r="T116" s="228"/>
      <c r="U116" s="228"/>
      <c r="V116" s="228"/>
      <c r="W116" s="228"/>
      <c r="X116" s="228"/>
      <c r="Y116" s="228"/>
      <c r="Z116" s="228"/>
      <c r="AA116" s="228"/>
      <c r="AB116" s="228"/>
      <c r="AC116" s="228"/>
      <c r="AD116" s="228"/>
      <c r="AE116" s="228"/>
      <c r="AF116" s="228"/>
      <c r="AG116" s="228"/>
      <c r="AH116" s="228"/>
      <c r="AI116" s="228"/>
      <c r="AJ116" s="228"/>
      <c r="AK116" s="228"/>
      <c r="AL116" s="228"/>
      <c r="AM116" s="228"/>
      <c r="AN116" s="228"/>
      <c r="AO116" s="228"/>
      <c r="AP116" s="228"/>
      <c r="AQ116" s="228"/>
      <c r="AR116" s="228"/>
      <c r="AS116" s="228"/>
      <c r="AT116" s="228"/>
      <c r="AU116" s="228"/>
      <c r="AV116" s="228"/>
      <c r="AW116" s="228"/>
      <c r="AX116" s="228"/>
      <c r="AY116" s="228"/>
      <c r="AZ116" s="228"/>
      <c r="BA116" s="228"/>
      <c r="BB116" s="228"/>
      <c r="BC116" s="228"/>
      <c r="BD116" s="228"/>
      <c r="BE116" s="228"/>
      <c r="BF116" s="228"/>
      <c r="BG116" s="228"/>
      <c r="BH116" s="228"/>
      <c r="BI116" s="228"/>
      <c r="BJ116" s="228"/>
      <c r="BK116" s="228"/>
      <c r="BL116" s="228"/>
      <c r="BM116" s="228"/>
      <c r="BN116" s="228"/>
      <c r="BO116" s="228"/>
      <c r="BP116" s="228"/>
      <c r="BQ116" s="228"/>
      <c r="BR116" s="228"/>
      <c r="BS116" s="228"/>
      <c r="BT116" s="228"/>
      <c r="BU116" s="228"/>
      <c r="BV116" s="228"/>
      <c r="BW116" s="228"/>
      <c r="BX116" s="228"/>
      <c r="BY116" s="256"/>
    </row>
    <row r="117" spans="3:77" ht="17.100000000000001" customHeight="1" x14ac:dyDescent="0.15">
      <c r="C117" s="242"/>
      <c r="BY117" s="299"/>
    </row>
    <row r="118" spans="3:77" ht="17.100000000000001" customHeight="1" x14ac:dyDescent="0.15">
      <c r="C118" s="242"/>
      <c r="BY118" s="299"/>
    </row>
    <row r="119" spans="3:77" ht="17.100000000000001" customHeight="1" x14ac:dyDescent="0.15">
      <c r="C119" s="242"/>
      <c r="D119" s="915"/>
      <c r="E119" s="28"/>
      <c r="F119" s="28"/>
      <c r="G119" s="28"/>
      <c r="H119" s="28"/>
      <c r="I119" s="28"/>
      <c r="J119" s="28"/>
      <c r="K119" s="28"/>
      <c r="L119" s="28"/>
      <c r="M119" s="28"/>
      <c r="N119" s="28"/>
      <c r="O119" s="28"/>
      <c r="P119" s="28"/>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Y119" s="299"/>
    </row>
    <row r="120" spans="3:77" ht="17.100000000000001" customHeight="1" thickBot="1" x14ac:dyDescent="0.25">
      <c r="C120" s="242"/>
      <c r="D120" s="915"/>
      <c r="E120" s="28"/>
      <c r="F120" s="28"/>
      <c r="G120" s="28"/>
      <c r="H120" s="28"/>
      <c r="I120" s="28"/>
      <c r="J120" s="28"/>
      <c r="K120" s="3152"/>
      <c r="L120" s="255">
        <f>data!$BZ$28</f>
        <v>0</v>
      </c>
      <c r="M120" s="255"/>
      <c r="N120" s="255"/>
      <c r="O120" s="255">
        <f>data!$CA$28</f>
        <v>0</v>
      </c>
      <c r="P120" s="255"/>
      <c r="Q120" s="255"/>
      <c r="R120" s="255">
        <f>data!$CB$28</f>
        <v>0</v>
      </c>
      <c r="S120" s="255"/>
      <c r="T120" s="255"/>
      <c r="U120" s="255">
        <f>data!$CC$28</f>
        <v>0</v>
      </c>
      <c r="V120" s="255"/>
      <c r="W120" s="255"/>
      <c r="X120" s="255">
        <f>data!$CD$28</f>
        <v>0</v>
      </c>
      <c r="Y120" s="255"/>
      <c r="Z120" s="255"/>
      <c r="AA120" s="255">
        <f>data!$CE$28</f>
        <v>0</v>
      </c>
      <c r="AB120" s="255"/>
      <c r="AC120" s="255"/>
      <c r="AD120" s="255">
        <f>data!$CF$28</f>
        <v>0</v>
      </c>
      <c r="AE120" s="255"/>
      <c r="AF120" s="255"/>
      <c r="AG120" s="255">
        <f>data!$CG$28</f>
        <v>0</v>
      </c>
      <c r="AH120" s="255"/>
      <c r="AI120" s="255"/>
      <c r="AJ120" s="255">
        <f>data!$CH$28</f>
        <v>0</v>
      </c>
      <c r="AK120" s="255"/>
      <c r="AL120" s="255"/>
      <c r="AM120" s="255"/>
      <c r="AN120" s="255">
        <f>data!$BZ$36</f>
        <v>0</v>
      </c>
      <c r="AO120" s="255"/>
      <c r="AP120" s="255"/>
      <c r="AQ120" s="255"/>
      <c r="AR120" s="255">
        <f>data!$BZ$33</f>
        <v>0</v>
      </c>
      <c r="AS120" s="255"/>
      <c r="AT120" s="255"/>
      <c r="AU120" s="255">
        <f>data!$CA$33</f>
        <v>0</v>
      </c>
      <c r="AV120" s="255"/>
      <c r="AW120" s="255"/>
      <c r="AX120" s="255">
        <f>data!$CB$33</f>
        <v>0</v>
      </c>
      <c r="AY120" s="255"/>
      <c r="AZ120" s="255"/>
      <c r="BA120" s="255">
        <f>data!$CC$33</f>
        <v>0</v>
      </c>
      <c r="BB120" s="255"/>
      <c r="BC120" s="255"/>
      <c r="BD120" s="255">
        <f>data!$CD$33</f>
        <v>0</v>
      </c>
      <c r="BE120" s="255"/>
      <c r="BF120" s="255"/>
      <c r="BG120" s="255">
        <f>data!$CE$33</f>
        <v>0</v>
      </c>
      <c r="BH120" s="255"/>
      <c r="BI120" s="255"/>
      <c r="BJ120" s="255">
        <f>data!$CF$33</f>
        <v>0</v>
      </c>
      <c r="BK120" s="255"/>
      <c r="BL120" s="255"/>
      <c r="BM120" s="255">
        <f>data!$CG$33</f>
        <v>0</v>
      </c>
      <c r="BN120" s="255"/>
      <c r="BO120" s="255"/>
      <c r="BP120" s="255">
        <f>data!$CH$33</f>
        <v>0</v>
      </c>
      <c r="BQ120" s="3063"/>
      <c r="BY120" s="299"/>
    </row>
    <row r="121" spans="3:77" ht="17.100000000000001" customHeight="1" thickBot="1" x14ac:dyDescent="0.25">
      <c r="C121" s="242"/>
      <c r="D121" s="822"/>
      <c r="E121" s="822"/>
      <c r="F121" s="28"/>
      <c r="G121" s="28"/>
      <c r="H121" s="28"/>
      <c r="I121" s="1550">
        <v>414</v>
      </c>
      <c r="J121" s="28"/>
      <c r="K121" s="3701">
        <f>IF(L120&gt;23,L120,23)</f>
        <v>23</v>
      </c>
      <c r="L121" s="3702"/>
      <c r="M121" s="3703"/>
      <c r="N121" s="3599">
        <f>IF(O120&gt;23,O120,23)</f>
        <v>23</v>
      </c>
      <c r="O121" s="3599"/>
      <c r="P121" s="3599"/>
      <c r="Q121" s="3600">
        <f>IF(R120&gt;23,R120,23)</f>
        <v>23</v>
      </c>
      <c r="R121" s="3600"/>
      <c r="S121" s="3600"/>
      <c r="T121" s="3601">
        <f>IF(U120&gt;23,U120,23)</f>
        <v>23</v>
      </c>
      <c r="U121" s="3601"/>
      <c r="V121" s="3601"/>
      <c r="W121" s="3602">
        <f>IF(X120&gt;23,X120,23)</f>
        <v>23</v>
      </c>
      <c r="X121" s="3602"/>
      <c r="Y121" s="3602"/>
      <c r="Z121" s="3603">
        <f>IF(AA120&gt;23,AA120,23)</f>
        <v>23</v>
      </c>
      <c r="AA121" s="3603"/>
      <c r="AB121" s="3603"/>
      <c r="AC121" s="3604">
        <f>IF(AD120&gt;23,AD120,23)</f>
        <v>23</v>
      </c>
      <c r="AD121" s="3604"/>
      <c r="AE121" s="3604"/>
      <c r="AF121" s="3605">
        <f>IF(AG120&gt;23,AG120,23)</f>
        <v>23</v>
      </c>
      <c r="AG121" s="3605"/>
      <c r="AH121" s="3605"/>
      <c r="AI121" s="3606">
        <f>IF(AJ120&gt;23,AJ120,23)</f>
        <v>23</v>
      </c>
      <c r="AJ121" s="3606"/>
      <c r="AK121" s="3606"/>
      <c r="AL121" s="3607" t="str">
        <f>IF(AND($AN$120&gt;=I121,$AN$120&lt;I119),$AN$120,"")</f>
        <v/>
      </c>
      <c r="AM121" s="3607"/>
      <c r="AN121" s="3607"/>
      <c r="AO121" s="3607"/>
      <c r="AP121" s="3607"/>
      <c r="AQ121" s="3606">
        <f>IF(AR120&gt;23,AR120,23)</f>
        <v>23</v>
      </c>
      <c r="AR121" s="3606"/>
      <c r="AS121" s="3606"/>
      <c r="AT121" s="3605">
        <f>IF(AU120&gt;23,AU120,23)</f>
        <v>23</v>
      </c>
      <c r="AU121" s="3605"/>
      <c r="AV121" s="3605"/>
      <c r="AW121" s="3604">
        <f>IF(AX120&gt;23,AX120,23)</f>
        <v>23</v>
      </c>
      <c r="AX121" s="3604"/>
      <c r="AY121" s="3604"/>
      <c r="AZ121" s="3603">
        <f>IF(BA120&gt;23,BA120,23)</f>
        <v>23</v>
      </c>
      <c r="BA121" s="3603"/>
      <c r="BB121" s="3603"/>
      <c r="BC121" s="3602">
        <f>IF(BD120&gt;23,BD120,23)</f>
        <v>23</v>
      </c>
      <c r="BD121" s="3602"/>
      <c r="BE121" s="3602"/>
      <c r="BF121" s="3601">
        <f>IF(BG120&gt;23,BG120,23)</f>
        <v>23</v>
      </c>
      <c r="BG121" s="3601"/>
      <c r="BH121" s="3601"/>
      <c r="BI121" s="3600">
        <f>IF(BJ120&gt;23,BJ120,23)</f>
        <v>23</v>
      </c>
      <c r="BJ121" s="3600"/>
      <c r="BK121" s="3600"/>
      <c r="BL121" s="3599">
        <f>IF(BM120&gt;23,BM120,23)</f>
        <v>23</v>
      </c>
      <c r="BM121" s="3599"/>
      <c r="BN121" s="3599"/>
      <c r="BO121" s="3728">
        <f>IF(BP120&gt;23,BP120,23)</f>
        <v>23</v>
      </c>
      <c r="BP121" s="3728"/>
      <c r="BQ121" s="3728"/>
      <c r="BY121" s="299"/>
    </row>
    <row r="122" spans="3:77" ht="17.100000000000001" customHeight="1" x14ac:dyDescent="0.2">
      <c r="C122" s="242"/>
      <c r="D122" s="822"/>
      <c r="E122" s="822"/>
      <c r="F122" s="28"/>
      <c r="G122" s="28"/>
      <c r="H122" s="28"/>
      <c r="I122" s="1550">
        <v>396</v>
      </c>
      <c r="J122" s="28"/>
      <c r="K122" s="3704">
        <v>22</v>
      </c>
      <c r="L122" s="3704"/>
      <c r="M122" s="3704"/>
      <c r="N122" s="3705">
        <v>22</v>
      </c>
      <c r="O122" s="3705"/>
      <c r="P122" s="3705"/>
      <c r="Q122" s="3706">
        <v>22</v>
      </c>
      <c r="R122" s="3706"/>
      <c r="S122" s="3706"/>
      <c r="T122" s="3707">
        <v>22</v>
      </c>
      <c r="U122" s="3707"/>
      <c r="V122" s="3707"/>
      <c r="W122" s="3708">
        <v>22</v>
      </c>
      <c r="X122" s="3708"/>
      <c r="Y122" s="3708"/>
      <c r="Z122" s="3709">
        <v>22</v>
      </c>
      <c r="AA122" s="3709"/>
      <c r="AB122" s="3709"/>
      <c r="AC122" s="3710">
        <v>22</v>
      </c>
      <c r="AD122" s="3710"/>
      <c r="AE122" s="3710"/>
      <c r="AF122" s="3726">
        <v>22</v>
      </c>
      <c r="AG122" s="3726"/>
      <c r="AH122" s="3726"/>
      <c r="AI122" s="3609">
        <v>22</v>
      </c>
      <c r="AJ122" s="3609"/>
      <c r="AK122" s="3609"/>
      <c r="AL122" s="3597" t="str">
        <f t="shared" ref="AL122:AL143" si="0">IF(AND($AN$120&gt;=I122,$AN$120&lt;I121),$AN$120,"")</f>
        <v/>
      </c>
      <c r="AM122" s="3597"/>
      <c r="AN122" s="3597"/>
      <c r="AO122" s="3597"/>
      <c r="AP122" s="3597"/>
      <c r="AQ122" s="3609">
        <v>22</v>
      </c>
      <c r="AR122" s="3609"/>
      <c r="AS122" s="3609"/>
      <c r="AT122" s="3726">
        <v>22</v>
      </c>
      <c r="AU122" s="3726"/>
      <c r="AV122" s="3726"/>
      <c r="AW122" s="3710">
        <v>22</v>
      </c>
      <c r="AX122" s="3710"/>
      <c r="AY122" s="3710"/>
      <c r="AZ122" s="3709">
        <v>22</v>
      </c>
      <c r="BA122" s="3709"/>
      <c r="BB122" s="3709"/>
      <c r="BC122" s="3708">
        <v>22</v>
      </c>
      <c r="BD122" s="3708"/>
      <c r="BE122" s="3708"/>
      <c r="BF122" s="3707">
        <v>22</v>
      </c>
      <c r="BG122" s="3707"/>
      <c r="BH122" s="3707"/>
      <c r="BI122" s="3706">
        <v>22</v>
      </c>
      <c r="BJ122" s="3706"/>
      <c r="BK122" s="3706"/>
      <c r="BL122" s="3705">
        <v>22</v>
      </c>
      <c r="BM122" s="3705"/>
      <c r="BN122" s="3705"/>
      <c r="BO122" s="3704">
        <v>22</v>
      </c>
      <c r="BP122" s="3704"/>
      <c r="BQ122" s="3704"/>
      <c r="BY122" s="299"/>
    </row>
    <row r="123" spans="3:77" ht="17.100000000000001" customHeight="1" x14ac:dyDescent="0.2">
      <c r="C123" s="242"/>
      <c r="D123" s="822"/>
      <c r="E123" s="822"/>
      <c r="F123" s="28"/>
      <c r="G123" s="28"/>
      <c r="H123" s="28"/>
      <c r="I123" s="1550">
        <v>378</v>
      </c>
      <c r="J123" s="28"/>
      <c r="K123" s="3617">
        <v>21</v>
      </c>
      <c r="L123" s="3617"/>
      <c r="M123" s="3617"/>
      <c r="N123" s="3611">
        <v>21</v>
      </c>
      <c r="O123" s="3611"/>
      <c r="P123" s="3611"/>
      <c r="Q123" s="3612">
        <v>21</v>
      </c>
      <c r="R123" s="3612"/>
      <c r="S123" s="3612"/>
      <c r="T123" s="3613">
        <v>21</v>
      </c>
      <c r="U123" s="3613"/>
      <c r="V123" s="3613"/>
      <c r="W123" s="3614">
        <v>21</v>
      </c>
      <c r="X123" s="3614"/>
      <c r="Y123" s="3614"/>
      <c r="Z123" s="3615">
        <v>21</v>
      </c>
      <c r="AA123" s="3615"/>
      <c r="AB123" s="3615"/>
      <c r="AC123" s="3616">
        <v>21</v>
      </c>
      <c r="AD123" s="3616"/>
      <c r="AE123" s="3616"/>
      <c r="AF123" s="3608">
        <v>21</v>
      </c>
      <c r="AG123" s="3608"/>
      <c r="AH123" s="3608"/>
      <c r="AI123" s="3610">
        <v>21</v>
      </c>
      <c r="AJ123" s="3610"/>
      <c r="AK123" s="3610"/>
      <c r="AL123" s="3598" t="str">
        <f t="shared" si="0"/>
        <v/>
      </c>
      <c r="AM123" s="3598"/>
      <c r="AN123" s="3598"/>
      <c r="AO123" s="3598"/>
      <c r="AP123" s="3598"/>
      <c r="AQ123" s="3610">
        <v>21</v>
      </c>
      <c r="AR123" s="3610"/>
      <c r="AS123" s="3610"/>
      <c r="AT123" s="3608">
        <v>21</v>
      </c>
      <c r="AU123" s="3608"/>
      <c r="AV123" s="3608"/>
      <c r="AW123" s="3616">
        <v>21</v>
      </c>
      <c r="AX123" s="3616"/>
      <c r="AY123" s="3616"/>
      <c r="AZ123" s="3615">
        <v>21</v>
      </c>
      <c r="BA123" s="3615"/>
      <c r="BB123" s="3615"/>
      <c r="BC123" s="3614">
        <v>21</v>
      </c>
      <c r="BD123" s="3614"/>
      <c r="BE123" s="3614"/>
      <c r="BF123" s="3613">
        <v>21</v>
      </c>
      <c r="BG123" s="3613"/>
      <c r="BH123" s="3613"/>
      <c r="BI123" s="3612">
        <v>21</v>
      </c>
      <c r="BJ123" s="3612"/>
      <c r="BK123" s="3612"/>
      <c r="BL123" s="3611">
        <v>21</v>
      </c>
      <c r="BM123" s="3611"/>
      <c r="BN123" s="3611"/>
      <c r="BO123" s="3617">
        <v>21</v>
      </c>
      <c r="BP123" s="3617"/>
      <c r="BQ123" s="3617"/>
      <c r="BY123" s="299"/>
    </row>
    <row r="124" spans="3:77" ht="17.100000000000001" customHeight="1" x14ac:dyDescent="0.2">
      <c r="C124" s="242"/>
      <c r="D124" s="822"/>
      <c r="E124" s="822"/>
      <c r="F124" s="28"/>
      <c r="G124" s="28"/>
      <c r="H124" s="28"/>
      <c r="I124" s="1550">
        <v>360</v>
      </c>
      <c r="J124" s="28"/>
      <c r="K124" s="3617">
        <v>20</v>
      </c>
      <c r="L124" s="3617"/>
      <c r="M124" s="3617"/>
      <c r="N124" s="3611">
        <v>20</v>
      </c>
      <c r="O124" s="3611"/>
      <c r="P124" s="3611"/>
      <c r="Q124" s="3612">
        <v>20</v>
      </c>
      <c r="R124" s="3612"/>
      <c r="S124" s="3612"/>
      <c r="T124" s="3613">
        <v>20</v>
      </c>
      <c r="U124" s="3613"/>
      <c r="V124" s="3613"/>
      <c r="W124" s="3614">
        <v>20</v>
      </c>
      <c r="X124" s="3614"/>
      <c r="Y124" s="3614"/>
      <c r="Z124" s="3615">
        <v>20</v>
      </c>
      <c r="AA124" s="3615"/>
      <c r="AB124" s="3615"/>
      <c r="AC124" s="3616">
        <v>20</v>
      </c>
      <c r="AD124" s="3616"/>
      <c r="AE124" s="3616"/>
      <c r="AF124" s="3608">
        <v>20</v>
      </c>
      <c r="AG124" s="3608"/>
      <c r="AH124" s="3608"/>
      <c r="AI124" s="3610">
        <v>20</v>
      </c>
      <c r="AJ124" s="3610"/>
      <c r="AK124" s="3610"/>
      <c r="AL124" s="3598" t="str">
        <f t="shared" si="0"/>
        <v/>
      </c>
      <c r="AM124" s="3598"/>
      <c r="AN124" s="3598"/>
      <c r="AO124" s="3598"/>
      <c r="AP124" s="3598"/>
      <c r="AQ124" s="3610">
        <v>20</v>
      </c>
      <c r="AR124" s="3610"/>
      <c r="AS124" s="3610"/>
      <c r="AT124" s="3608">
        <v>20</v>
      </c>
      <c r="AU124" s="3608"/>
      <c r="AV124" s="3608"/>
      <c r="AW124" s="3616">
        <v>20</v>
      </c>
      <c r="AX124" s="3616"/>
      <c r="AY124" s="3616"/>
      <c r="AZ124" s="3615">
        <v>20</v>
      </c>
      <c r="BA124" s="3615"/>
      <c r="BB124" s="3615"/>
      <c r="BC124" s="3614">
        <v>20</v>
      </c>
      <c r="BD124" s="3614"/>
      <c r="BE124" s="3614"/>
      <c r="BF124" s="3613">
        <v>20</v>
      </c>
      <c r="BG124" s="3613"/>
      <c r="BH124" s="3613"/>
      <c r="BI124" s="3612">
        <v>20</v>
      </c>
      <c r="BJ124" s="3612"/>
      <c r="BK124" s="3612"/>
      <c r="BL124" s="3611">
        <v>20</v>
      </c>
      <c r="BM124" s="3611"/>
      <c r="BN124" s="3611"/>
      <c r="BO124" s="3617">
        <v>20</v>
      </c>
      <c r="BP124" s="3617"/>
      <c r="BQ124" s="3617"/>
      <c r="BY124" s="299"/>
    </row>
    <row r="125" spans="3:77" ht="17.100000000000001" customHeight="1" x14ac:dyDescent="0.2">
      <c r="C125" s="242"/>
      <c r="D125" s="822"/>
      <c r="E125" s="822"/>
      <c r="F125" s="28"/>
      <c r="G125" s="28"/>
      <c r="H125" s="28"/>
      <c r="I125" s="1550">
        <v>342</v>
      </c>
      <c r="J125" s="28"/>
      <c r="K125" s="3617">
        <v>19</v>
      </c>
      <c r="L125" s="3617"/>
      <c r="M125" s="3617"/>
      <c r="N125" s="3611">
        <v>19</v>
      </c>
      <c r="O125" s="3611"/>
      <c r="P125" s="3611"/>
      <c r="Q125" s="3612">
        <v>19</v>
      </c>
      <c r="R125" s="3612"/>
      <c r="S125" s="3612"/>
      <c r="T125" s="3613">
        <v>19</v>
      </c>
      <c r="U125" s="3613"/>
      <c r="V125" s="3613"/>
      <c r="W125" s="3614">
        <v>19</v>
      </c>
      <c r="X125" s="3614"/>
      <c r="Y125" s="3614"/>
      <c r="Z125" s="3615">
        <v>19</v>
      </c>
      <c r="AA125" s="3615"/>
      <c r="AB125" s="3615"/>
      <c r="AC125" s="3616">
        <v>19</v>
      </c>
      <c r="AD125" s="3616"/>
      <c r="AE125" s="3616"/>
      <c r="AF125" s="3608">
        <v>19</v>
      </c>
      <c r="AG125" s="3608"/>
      <c r="AH125" s="3608"/>
      <c r="AI125" s="3610">
        <v>19</v>
      </c>
      <c r="AJ125" s="3610"/>
      <c r="AK125" s="3610"/>
      <c r="AL125" s="3598" t="str">
        <f t="shared" si="0"/>
        <v/>
      </c>
      <c r="AM125" s="3598"/>
      <c r="AN125" s="3598"/>
      <c r="AO125" s="3598"/>
      <c r="AP125" s="3598"/>
      <c r="AQ125" s="3610">
        <v>19</v>
      </c>
      <c r="AR125" s="3610"/>
      <c r="AS125" s="3610"/>
      <c r="AT125" s="3608">
        <v>19</v>
      </c>
      <c r="AU125" s="3608"/>
      <c r="AV125" s="3608"/>
      <c r="AW125" s="3616">
        <v>19</v>
      </c>
      <c r="AX125" s="3616"/>
      <c r="AY125" s="3616"/>
      <c r="AZ125" s="3615">
        <v>19</v>
      </c>
      <c r="BA125" s="3615"/>
      <c r="BB125" s="3615"/>
      <c r="BC125" s="3614">
        <v>19</v>
      </c>
      <c r="BD125" s="3614"/>
      <c r="BE125" s="3614"/>
      <c r="BF125" s="3613">
        <v>19</v>
      </c>
      <c r="BG125" s="3613"/>
      <c r="BH125" s="3613"/>
      <c r="BI125" s="3612">
        <v>19</v>
      </c>
      <c r="BJ125" s="3612"/>
      <c r="BK125" s="3612"/>
      <c r="BL125" s="3611">
        <v>19</v>
      </c>
      <c r="BM125" s="3611"/>
      <c r="BN125" s="3611"/>
      <c r="BO125" s="3617">
        <v>19</v>
      </c>
      <c r="BP125" s="3617"/>
      <c r="BQ125" s="3617"/>
      <c r="BY125" s="299"/>
    </row>
    <row r="126" spans="3:77" ht="17.100000000000001" customHeight="1" x14ac:dyDescent="0.2">
      <c r="C126" s="242"/>
      <c r="D126" s="822"/>
      <c r="E126" s="822"/>
      <c r="F126" s="28"/>
      <c r="G126" s="28"/>
      <c r="H126" s="28"/>
      <c r="I126" s="1550">
        <v>324</v>
      </c>
      <c r="J126" s="28"/>
      <c r="K126" s="3617">
        <v>18</v>
      </c>
      <c r="L126" s="3617"/>
      <c r="M126" s="3617"/>
      <c r="N126" s="3611">
        <v>18</v>
      </c>
      <c r="O126" s="3611"/>
      <c r="P126" s="3611"/>
      <c r="Q126" s="3612">
        <v>18</v>
      </c>
      <c r="R126" s="3612"/>
      <c r="S126" s="3612"/>
      <c r="T126" s="3613">
        <v>18</v>
      </c>
      <c r="U126" s="3613"/>
      <c r="V126" s="3613"/>
      <c r="W126" s="3614">
        <v>18</v>
      </c>
      <c r="X126" s="3614"/>
      <c r="Y126" s="3614"/>
      <c r="Z126" s="3615">
        <v>18</v>
      </c>
      <c r="AA126" s="3615"/>
      <c r="AB126" s="3615"/>
      <c r="AC126" s="3616">
        <v>18</v>
      </c>
      <c r="AD126" s="3616"/>
      <c r="AE126" s="3616"/>
      <c r="AF126" s="3608">
        <v>18</v>
      </c>
      <c r="AG126" s="3608"/>
      <c r="AH126" s="3608"/>
      <c r="AI126" s="3610">
        <v>18</v>
      </c>
      <c r="AJ126" s="3610"/>
      <c r="AK126" s="3610"/>
      <c r="AL126" s="3598" t="str">
        <f t="shared" si="0"/>
        <v/>
      </c>
      <c r="AM126" s="3598"/>
      <c r="AN126" s="3598"/>
      <c r="AO126" s="3598"/>
      <c r="AP126" s="3598"/>
      <c r="AQ126" s="3610">
        <v>18</v>
      </c>
      <c r="AR126" s="3610"/>
      <c r="AS126" s="3610"/>
      <c r="AT126" s="3608">
        <v>18</v>
      </c>
      <c r="AU126" s="3608"/>
      <c r="AV126" s="3608"/>
      <c r="AW126" s="3616">
        <v>18</v>
      </c>
      <c r="AX126" s="3616"/>
      <c r="AY126" s="3616"/>
      <c r="AZ126" s="3615">
        <v>18</v>
      </c>
      <c r="BA126" s="3615"/>
      <c r="BB126" s="3615"/>
      <c r="BC126" s="3614">
        <v>18</v>
      </c>
      <c r="BD126" s="3614"/>
      <c r="BE126" s="3614"/>
      <c r="BF126" s="3613">
        <v>18</v>
      </c>
      <c r="BG126" s="3613"/>
      <c r="BH126" s="3613"/>
      <c r="BI126" s="3612">
        <v>18</v>
      </c>
      <c r="BJ126" s="3612"/>
      <c r="BK126" s="3612"/>
      <c r="BL126" s="3611">
        <v>18</v>
      </c>
      <c r="BM126" s="3611"/>
      <c r="BN126" s="3611"/>
      <c r="BO126" s="3617">
        <v>18</v>
      </c>
      <c r="BP126" s="3617"/>
      <c r="BQ126" s="3617"/>
      <c r="BY126" s="299"/>
    </row>
    <row r="127" spans="3:77" ht="17.100000000000001" customHeight="1" x14ac:dyDescent="0.2">
      <c r="C127" s="242"/>
      <c r="D127" s="822"/>
      <c r="E127" s="822"/>
      <c r="F127" s="28"/>
      <c r="G127" s="28"/>
      <c r="H127" s="28"/>
      <c r="I127" s="1550">
        <v>306</v>
      </c>
      <c r="J127" s="28"/>
      <c r="K127" s="3617">
        <v>17</v>
      </c>
      <c r="L127" s="3617"/>
      <c r="M127" s="3617"/>
      <c r="N127" s="3611">
        <v>17</v>
      </c>
      <c r="O127" s="3611"/>
      <c r="P127" s="3611"/>
      <c r="Q127" s="3612">
        <v>17</v>
      </c>
      <c r="R127" s="3612"/>
      <c r="S127" s="3612"/>
      <c r="T127" s="3613">
        <v>17</v>
      </c>
      <c r="U127" s="3613"/>
      <c r="V127" s="3613"/>
      <c r="W127" s="3614">
        <v>17</v>
      </c>
      <c r="X127" s="3614"/>
      <c r="Y127" s="3614"/>
      <c r="Z127" s="3615">
        <v>17</v>
      </c>
      <c r="AA127" s="3615"/>
      <c r="AB127" s="3615"/>
      <c r="AC127" s="3616">
        <v>17</v>
      </c>
      <c r="AD127" s="3616"/>
      <c r="AE127" s="3616"/>
      <c r="AF127" s="3608">
        <v>17</v>
      </c>
      <c r="AG127" s="3608"/>
      <c r="AH127" s="3608"/>
      <c r="AI127" s="3610">
        <v>17</v>
      </c>
      <c r="AJ127" s="3610"/>
      <c r="AK127" s="3610"/>
      <c r="AL127" s="3598" t="str">
        <f t="shared" si="0"/>
        <v/>
      </c>
      <c r="AM127" s="3598"/>
      <c r="AN127" s="3598"/>
      <c r="AO127" s="3598"/>
      <c r="AP127" s="3598"/>
      <c r="AQ127" s="3610">
        <v>17</v>
      </c>
      <c r="AR127" s="3610"/>
      <c r="AS127" s="3610"/>
      <c r="AT127" s="3608">
        <v>17</v>
      </c>
      <c r="AU127" s="3608"/>
      <c r="AV127" s="3608"/>
      <c r="AW127" s="3616">
        <v>17</v>
      </c>
      <c r="AX127" s="3616"/>
      <c r="AY127" s="3616"/>
      <c r="AZ127" s="3615">
        <v>17</v>
      </c>
      <c r="BA127" s="3615"/>
      <c r="BB127" s="3615"/>
      <c r="BC127" s="3614">
        <v>17</v>
      </c>
      <c r="BD127" s="3614"/>
      <c r="BE127" s="3614"/>
      <c r="BF127" s="3613">
        <v>17</v>
      </c>
      <c r="BG127" s="3613"/>
      <c r="BH127" s="3613"/>
      <c r="BI127" s="3612">
        <v>17</v>
      </c>
      <c r="BJ127" s="3612"/>
      <c r="BK127" s="3612"/>
      <c r="BL127" s="3611">
        <v>17</v>
      </c>
      <c r="BM127" s="3611"/>
      <c r="BN127" s="3611"/>
      <c r="BO127" s="3617">
        <v>17</v>
      </c>
      <c r="BP127" s="3617"/>
      <c r="BQ127" s="3617"/>
      <c r="BY127" s="299"/>
    </row>
    <row r="128" spans="3:77" ht="17.100000000000001" customHeight="1" x14ac:dyDescent="0.2">
      <c r="C128" s="242"/>
      <c r="D128" s="822"/>
      <c r="E128" s="822"/>
      <c r="F128" s="28"/>
      <c r="G128" s="28"/>
      <c r="H128" s="28"/>
      <c r="I128" s="1550">
        <v>288</v>
      </c>
      <c r="J128" s="28"/>
      <c r="K128" s="3617">
        <v>16</v>
      </c>
      <c r="L128" s="3617"/>
      <c r="M128" s="3617"/>
      <c r="N128" s="3611">
        <v>16</v>
      </c>
      <c r="O128" s="3611"/>
      <c r="P128" s="3611"/>
      <c r="Q128" s="3612">
        <v>16</v>
      </c>
      <c r="R128" s="3612"/>
      <c r="S128" s="3612"/>
      <c r="T128" s="3613">
        <v>16</v>
      </c>
      <c r="U128" s="3613"/>
      <c r="V128" s="3613"/>
      <c r="W128" s="3614">
        <v>16</v>
      </c>
      <c r="X128" s="3614"/>
      <c r="Y128" s="3614"/>
      <c r="Z128" s="3615">
        <v>16</v>
      </c>
      <c r="AA128" s="3615"/>
      <c r="AB128" s="3615"/>
      <c r="AC128" s="3616">
        <v>16</v>
      </c>
      <c r="AD128" s="3616"/>
      <c r="AE128" s="3616"/>
      <c r="AF128" s="3608">
        <v>16</v>
      </c>
      <c r="AG128" s="3608"/>
      <c r="AH128" s="3608"/>
      <c r="AI128" s="3610">
        <v>16</v>
      </c>
      <c r="AJ128" s="3610"/>
      <c r="AK128" s="3610"/>
      <c r="AL128" s="3598" t="str">
        <f t="shared" si="0"/>
        <v/>
      </c>
      <c r="AM128" s="3598"/>
      <c r="AN128" s="3598"/>
      <c r="AO128" s="3598"/>
      <c r="AP128" s="3598"/>
      <c r="AQ128" s="3610">
        <v>16</v>
      </c>
      <c r="AR128" s="3610"/>
      <c r="AS128" s="3610"/>
      <c r="AT128" s="3608">
        <v>16</v>
      </c>
      <c r="AU128" s="3608"/>
      <c r="AV128" s="3608"/>
      <c r="AW128" s="3616">
        <v>16</v>
      </c>
      <c r="AX128" s="3616"/>
      <c r="AY128" s="3616"/>
      <c r="AZ128" s="3615">
        <v>16</v>
      </c>
      <c r="BA128" s="3615"/>
      <c r="BB128" s="3615"/>
      <c r="BC128" s="3614">
        <v>16</v>
      </c>
      <c r="BD128" s="3614"/>
      <c r="BE128" s="3614"/>
      <c r="BF128" s="3613">
        <v>16</v>
      </c>
      <c r="BG128" s="3613"/>
      <c r="BH128" s="3613"/>
      <c r="BI128" s="3612">
        <v>16</v>
      </c>
      <c r="BJ128" s="3612"/>
      <c r="BK128" s="3612"/>
      <c r="BL128" s="3611">
        <v>16</v>
      </c>
      <c r="BM128" s="3611"/>
      <c r="BN128" s="3611"/>
      <c r="BO128" s="3617">
        <v>16</v>
      </c>
      <c r="BP128" s="3617"/>
      <c r="BQ128" s="3617"/>
      <c r="BY128" s="299"/>
    </row>
    <row r="129" spans="3:77" ht="17.100000000000001" customHeight="1" x14ac:dyDescent="0.2">
      <c r="C129" s="242"/>
      <c r="D129" s="822"/>
      <c r="E129" s="822"/>
      <c r="F129" s="28"/>
      <c r="G129" s="28"/>
      <c r="H129" s="28"/>
      <c r="I129" s="1550">
        <v>270</v>
      </c>
      <c r="J129" s="28"/>
      <c r="K129" s="3617">
        <v>15</v>
      </c>
      <c r="L129" s="3617"/>
      <c r="M129" s="3617"/>
      <c r="N129" s="3611">
        <v>15</v>
      </c>
      <c r="O129" s="3611"/>
      <c r="P129" s="3611"/>
      <c r="Q129" s="3612">
        <v>15</v>
      </c>
      <c r="R129" s="3612"/>
      <c r="S129" s="3612"/>
      <c r="T129" s="3613">
        <v>15</v>
      </c>
      <c r="U129" s="3613"/>
      <c r="V129" s="3613"/>
      <c r="W129" s="3614">
        <v>15</v>
      </c>
      <c r="X129" s="3614"/>
      <c r="Y129" s="3614"/>
      <c r="Z129" s="3615">
        <v>15</v>
      </c>
      <c r="AA129" s="3615"/>
      <c r="AB129" s="3615"/>
      <c r="AC129" s="3616">
        <v>15</v>
      </c>
      <c r="AD129" s="3616"/>
      <c r="AE129" s="3616"/>
      <c r="AF129" s="3608">
        <v>15</v>
      </c>
      <c r="AG129" s="3608"/>
      <c r="AH129" s="3608"/>
      <c r="AI129" s="3610">
        <v>15</v>
      </c>
      <c r="AJ129" s="3610"/>
      <c r="AK129" s="3610"/>
      <c r="AL129" s="3598" t="str">
        <f t="shared" si="0"/>
        <v/>
      </c>
      <c r="AM129" s="3598"/>
      <c r="AN129" s="3598"/>
      <c r="AO129" s="3598"/>
      <c r="AP129" s="3598"/>
      <c r="AQ129" s="3610">
        <v>15</v>
      </c>
      <c r="AR129" s="3610"/>
      <c r="AS129" s="3610"/>
      <c r="AT129" s="3608">
        <v>15</v>
      </c>
      <c r="AU129" s="3608"/>
      <c r="AV129" s="3608"/>
      <c r="AW129" s="3616">
        <v>15</v>
      </c>
      <c r="AX129" s="3616"/>
      <c r="AY129" s="3616"/>
      <c r="AZ129" s="3615">
        <v>15</v>
      </c>
      <c r="BA129" s="3615"/>
      <c r="BB129" s="3615"/>
      <c r="BC129" s="3614">
        <v>15</v>
      </c>
      <c r="BD129" s="3614"/>
      <c r="BE129" s="3614"/>
      <c r="BF129" s="3613">
        <v>15</v>
      </c>
      <c r="BG129" s="3613"/>
      <c r="BH129" s="3613"/>
      <c r="BI129" s="3612">
        <v>15</v>
      </c>
      <c r="BJ129" s="3612"/>
      <c r="BK129" s="3612"/>
      <c r="BL129" s="3611">
        <v>15</v>
      </c>
      <c r="BM129" s="3611"/>
      <c r="BN129" s="3611"/>
      <c r="BO129" s="3617">
        <v>15</v>
      </c>
      <c r="BP129" s="3617"/>
      <c r="BQ129" s="3617"/>
      <c r="BY129" s="299"/>
    </row>
    <row r="130" spans="3:77" ht="17.100000000000001" customHeight="1" x14ac:dyDescent="0.2">
      <c r="C130" s="242"/>
      <c r="D130" s="822"/>
      <c r="E130" s="822"/>
      <c r="F130" s="28"/>
      <c r="G130" s="28"/>
      <c r="H130" s="28"/>
      <c r="I130" s="1550">
        <v>252</v>
      </c>
      <c r="J130" s="28"/>
      <c r="K130" s="3617">
        <v>14</v>
      </c>
      <c r="L130" s="3617"/>
      <c r="M130" s="3617"/>
      <c r="N130" s="3611">
        <v>14</v>
      </c>
      <c r="O130" s="3611"/>
      <c r="P130" s="3611"/>
      <c r="Q130" s="3612">
        <v>14</v>
      </c>
      <c r="R130" s="3612"/>
      <c r="S130" s="3612"/>
      <c r="T130" s="3613">
        <v>14</v>
      </c>
      <c r="U130" s="3613"/>
      <c r="V130" s="3613"/>
      <c r="W130" s="3614">
        <v>14</v>
      </c>
      <c r="X130" s="3614"/>
      <c r="Y130" s="3614"/>
      <c r="Z130" s="3615">
        <v>14</v>
      </c>
      <c r="AA130" s="3615"/>
      <c r="AB130" s="3615"/>
      <c r="AC130" s="3616">
        <v>14</v>
      </c>
      <c r="AD130" s="3616"/>
      <c r="AE130" s="3616"/>
      <c r="AF130" s="3608">
        <v>14</v>
      </c>
      <c r="AG130" s="3608"/>
      <c r="AH130" s="3608"/>
      <c r="AI130" s="3610">
        <v>14</v>
      </c>
      <c r="AJ130" s="3610"/>
      <c r="AK130" s="3610"/>
      <c r="AL130" s="3598" t="str">
        <f t="shared" si="0"/>
        <v/>
      </c>
      <c r="AM130" s="3598"/>
      <c r="AN130" s="3598"/>
      <c r="AO130" s="3598"/>
      <c r="AP130" s="3598"/>
      <c r="AQ130" s="3610">
        <v>14</v>
      </c>
      <c r="AR130" s="3610"/>
      <c r="AS130" s="3610"/>
      <c r="AT130" s="3608">
        <v>14</v>
      </c>
      <c r="AU130" s="3608"/>
      <c r="AV130" s="3608"/>
      <c r="AW130" s="3616">
        <v>14</v>
      </c>
      <c r="AX130" s="3616"/>
      <c r="AY130" s="3616"/>
      <c r="AZ130" s="3615">
        <v>14</v>
      </c>
      <c r="BA130" s="3615"/>
      <c r="BB130" s="3615"/>
      <c r="BC130" s="3614">
        <v>14</v>
      </c>
      <c r="BD130" s="3614"/>
      <c r="BE130" s="3614"/>
      <c r="BF130" s="3613">
        <v>14</v>
      </c>
      <c r="BG130" s="3613"/>
      <c r="BH130" s="3613"/>
      <c r="BI130" s="3612">
        <v>14</v>
      </c>
      <c r="BJ130" s="3612"/>
      <c r="BK130" s="3612"/>
      <c r="BL130" s="3611">
        <v>14</v>
      </c>
      <c r="BM130" s="3611"/>
      <c r="BN130" s="3611"/>
      <c r="BO130" s="3617">
        <v>14</v>
      </c>
      <c r="BP130" s="3617"/>
      <c r="BQ130" s="3617"/>
      <c r="BY130" s="299"/>
    </row>
    <row r="131" spans="3:77" ht="17.100000000000001" customHeight="1" x14ac:dyDescent="0.2">
      <c r="C131" s="242"/>
      <c r="D131" s="822"/>
      <c r="E131" s="822"/>
      <c r="F131" s="28"/>
      <c r="G131" s="28"/>
      <c r="H131" s="28"/>
      <c r="I131" s="1550">
        <v>234</v>
      </c>
      <c r="J131" s="28"/>
      <c r="K131" s="3617">
        <v>13</v>
      </c>
      <c r="L131" s="3617"/>
      <c r="M131" s="3617"/>
      <c r="N131" s="3611">
        <v>13</v>
      </c>
      <c r="O131" s="3611"/>
      <c r="P131" s="3611"/>
      <c r="Q131" s="3612">
        <v>13</v>
      </c>
      <c r="R131" s="3612"/>
      <c r="S131" s="3612"/>
      <c r="T131" s="3613">
        <v>13</v>
      </c>
      <c r="U131" s="3613"/>
      <c r="V131" s="3613"/>
      <c r="W131" s="3614">
        <v>13</v>
      </c>
      <c r="X131" s="3614"/>
      <c r="Y131" s="3614"/>
      <c r="Z131" s="3615">
        <v>13</v>
      </c>
      <c r="AA131" s="3615"/>
      <c r="AB131" s="3615"/>
      <c r="AC131" s="3616">
        <v>13</v>
      </c>
      <c r="AD131" s="3616"/>
      <c r="AE131" s="3616"/>
      <c r="AF131" s="3608">
        <v>13</v>
      </c>
      <c r="AG131" s="3608"/>
      <c r="AH131" s="3608"/>
      <c r="AI131" s="3610">
        <v>13</v>
      </c>
      <c r="AJ131" s="3610"/>
      <c r="AK131" s="3610"/>
      <c r="AL131" s="3598" t="str">
        <f t="shared" si="0"/>
        <v/>
      </c>
      <c r="AM131" s="3598"/>
      <c r="AN131" s="3598"/>
      <c r="AO131" s="3598"/>
      <c r="AP131" s="3598"/>
      <c r="AQ131" s="3610">
        <v>13</v>
      </c>
      <c r="AR131" s="3610"/>
      <c r="AS131" s="3610"/>
      <c r="AT131" s="3608">
        <v>13</v>
      </c>
      <c r="AU131" s="3608"/>
      <c r="AV131" s="3608"/>
      <c r="AW131" s="3616">
        <v>13</v>
      </c>
      <c r="AX131" s="3616"/>
      <c r="AY131" s="3616"/>
      <c r="AZ131" s="3615">
        <v>13</v>
      </c>
      <c r="BA131" s="3615"/>
      <c r="BB131" s="3615"/>
      <c r="BC131" s="3614">
        <v>13</v>
      </c>
      <c r="BD131" s="3614"/>
      <c r="BE131" s="3614"/>
      <c r="BF131" s="3613">
        <v>13</v>
      </c>
      <c r="BG131" s="3613"/>
      <c r="BH131" s="3613"/>
      <c r="BI131" s="3612">
        <v>13</v>
      </c>
      <c r="BJ131" s="3612"/>
      <c r="BK131" s="3612"/>
      <c r="BL131" s="3611">
        <v>13</v>
      </c>
      <c r="BM131" s="3611"/>
      <c r="BN131" s="3611"/>
      <c r="BO131" s="3617">
        <v>13</v>
      </c>
      <c r="BP131" s="3617"/>
      <c r="BQ131" s="3617"/>
      <c r="BY131" s="299"/>
    </row>
    <row r="132" spans="3:77" ht="17.100000000000001" customHeight="1" x14ac:dyDescent="0.2">
      <c r="C132" s="242"/>
      <c r="D132" s="822"/>
      <c r="E132" s="822"/>
      <c r="F132" s="28"/>
      <c r="G132" s="28"/>
      <c r="H132" s="28"/>
      <c r="I132" s="1550">
        <v>216</v>
      </c>
      <c r="J132" s="28"/>
      <c r="K132" s="3617">
        <v>12</v>
      </c>
      <c r="L132" s="3617"/>
      <c r="M132" s="3617"/>
      <c r="N132" s="3611">
        <v>12</v>
      </c>
      <c r="O132" s="3611"/>
      <c r="P132" s="3611"/>
      <c r="Q132" s="3612">
        <v>12</v>
      </c>
      <c r="R132" s="3612"/>
      <c r="S132" s="3612"/>
      <c r="T132" s="3613">
        <v>12</v>
      </c>
      <c r="U132" s="3613"/>
      <c r="V132" s="3613"/>
      <c r="W132" s="3614">
        <v>12</v>
      </c>
      <c r="X132" s="3614"/>
      <c r="Y132" s="3614"/>
      <c r="Z132" s="3615">
        <v>12</v>
      </c>
      <c r="AA132" s="3615"/>
      <c r="AB132" s="3615"/>
      <c r="AC132" s="3616">
        <v>12</v>
      </c>
      <c r="AD132" s="3616"/>
      <c r="AE132" s="3616"/>
      <c r="AF132" s="3608">
        <v>12</v>
      </c>
      <c r="AG132" s="3608"/>
      <c r="AH132" s="3608"/>
      <c r="AI132" s="3610">
        <v>12</v>
      </c>
      <c r="AJ132" s="3610"/>
      <c r="AK132" s="3610"/>
      <c r="AL132" s="3598" t="str">
        <f t="shared" si="0"/>
        <v/>
      </c>
      <c r="AM132" s="3598"/>
      <c r="AN132" s="3598"/>
      <c r="AO132" s="3598"/>
      <c r="AP132" s="3598"/>
      <c r="AQ132" s="3610">
        <v>12</v>
      </c>
      <c r="AR132" s="3610"/>
      <c r="AS132" s="3610"/>
      <c r="AT132" s="3608">
        <v>12</v>
      </c>
      <c r="AU132" s="3608"/>
      <c r="AV132" s="3608"/>
      <c r="AW132" s="3616">
        <v>12</v>
      </c>
      <c r="AX132" s="3616"/>
      <c r="AY132" s="3616"/>
      <c r="AZ132" s="3615">
        <v>12</v>
      </c>
      <c r="BA132" s="3615"/>
      <c r="BB132" s="3615"/>
      <c r="BC132" s="3614">
        <v>12</v>
      </c>
      <c r="BD132" s="3614"/>
      <c r="BE132" s="3614"/>
      <c r="BF132" s="3613">
        <v>12</v>
      </c>
      <c r="BG132" s="3613"/>
      <c r="BH132" s="3613"/>
      <c r="BI132" s="3612">
        <v>12</v>
      </c>
      <c r="BJ132" s="3612"/>
      <c r="BK132" s="3612"/>
      <c r="BL132" s="3611">
        <v>12</v>
      </c>
      <c r="BM132" s="3611"/>
      <c r="BN132" s="3611"/>
      <c r="BO132" s="3617">
        <v>12</v>
      </c>
      <c r="BP132" s="3617"/>
      <c r="BQ132" s="3617"/>
      <c r="BY132" s="299"/>
    </row>
    <row r="133" spans="3:77" ht="17.100000000000001" customHeight="1" x14ac:dyDescent="0.2">
      <c r="C133" s="242"/>
      <c r="D133" s="822"/>
      <c r="E133" s="822"/>
      <c r="F133" s="28"/>
      <c r="G133" s="28"/>
      <c r="H133" s="28"/>
      <c r="I133" s="1550">
        <v>198</v>
      </c>
      <c r="J133" s="28"/>
      <c r="K133" s="3617">
        <v>11</v>
      </c>
      <c r="L133" s="3617"/>
      <c r="M133" s="3617"/>
      <c r="N133" s="3611">
        <v>11</v>
      </c>
      <c r="O133" s="3611"/>
      <c r="P133" s="3611"/>
      <c r="Q133" s="3612">
        <v>11</v>
      </c>
      <c r="R133" s="3612"/>
      <c r="S133" s="3612"/>
      <c r="T133" s="3613">
        <v>11</v>
      </c>
      <c r="U133" s="3613"/>
      <c r="V133" s="3613"/>
      <c r="W133" s="3614">
        <v>11</v>
      </c>
      <c r="X133" s="3614"/>
      <c r="Y133" s="3614"/>
      <c r="Z133" s="3615">
        <v>11</v>
      </c>
      <c r="AA133" s="3615"/>
      <c r="AB133" s="3615"/>
      <c r="AC133" s="3616">
        <v>11</v>
      </c>
      <c r="AD133" s="3616"/>
      <c r="AE133" s="3616"/>
      <c r="AF133" s="3608">
        <v>11</v>
      </c>
      <c r="AG133" s="3608"/>
      <c r="AH133" s="3608"/>
      <c r="AI133" s="3610">
        <v>11</v>
      </c>
      <c r="AJ133" s="3610"/>
      <c r="AK133" s="3610"/>
      <c r="AL133" s="3598" t="str">
        <f t="shared" si="0"/>
        <v/>
      </c>
      <c r="AM133" s="3598"/>
      <c r="AN133" s="3598"/>
      <c r="AO133" s="3598"/>
      <c r="AP133" s="3598"/>
      <c r="AQ133" s="3610">
        <v>11</v>
      </c>
      <c r="AR133" s="3610"/>
      <c r="AS133" s="3610"/>
      <c r="AT133" s="3608">
        <v>11</v>
      </c>
      <c r="AU133" s="3608"/>
      <c r="AV133" s="3608"/>
      <c r="AW133" s="3616">
        <v>11</v>
      </c>
      <c r="AX133" s="3616"/>
      <c r="AY133" s="3616"/>
      <c r="AZ133" s="3615">
        <v>11</v>
      </c>
      <c r="BA133" s="3615"/>
      <c r="BB133" s="3615"/>
      <c r="BC133" s="3614">
        <v>11</v>
      </c>
      <c r="BD133" s="3614"/>
      <c r="BE133" s="3614"/>
      <c r="BF133" s="3613">
        <v>11</v>
      </c>
      <c r="BG133" s="3613"/>
      <c r="BH133" s="3613"/>
      <c r="BI133" s="3612">
        <v>11</v>
      </c>
      <c r="BJ133" s="3612"/>
      <c r="BK133" s="3612"/>
      <c r="BL133" s="3611">
        <v>11</v>
      </c>
      <c r="BM133" s="3611"/>
      <c r="BN133" s="3611"/>
      <c r="BO133" s="3617">
        <v>11</v>
      </c>
      <c r="BP133" s="3617"/>
      <c r="BQ133" s="3617"/>
      <c r="BY133" s="299"/>
    </row>
    <row r="134" spans="3:77" ht="17.100000000000001" customHeight="1" x14ac:dyDescent="0.2">
      <c r="C134" s="242"/>
      <c r="D134" s="822"/>
      <c r="E134" s="822"/>
      <c r="F134" s="28"/>
      <c r="G134" s="28"/>
      <c r="H134" s="28"/>
      <c r="I134" s="1550">
        <v>180</v>
      </c>
      <c r="J134" s="28"/>
      <c r="K134" s="3617">
        <v>10</v>
      </c>
      <c r="L134" s="3617"/>
      <c r="M134" s="3617"/>
      <c r="N134" s="3611">
        <v>10</v>
      </c>
      <c r="O134" s="3611"/>
      <c r="P134" s="3611"/>
      <c r="Q134" s="3612">
        <v>10</v>
      </c>
      <c r="R134" s="3612"/>
      <c r="S134" s="3612"/>
      <c r="T134" s="3613">
        <v>10</v>
      </c>
      <c r="U134" s="3613"/>
      <c r="V134" s="3613"/>
      <c r="W134" s="3614">
        <v>10</v>
      </c>
      <c r="X134" s="3614"/>
      <c r="Y134" s="3614"/>
      <c r="Z134" s="3615">
        <v>10</v>
      </c>
      <c r="AA134" s="3615"/>
      <c r="AB134" s="3615"/>
      <c r="AC134" s="3616">
        <v>10</v>
      </c>
      <c r="AD134" s="3616"/>
      <c r="AE134" s="3616"/>
      <c r="AF134" s="3608">
        <v>10</v>
      </c>
      <c r="AG134" s="3608"/>
      <c r="AH134" s="3608"/>
      <c r="AI134" s="3610">
        <v>10</v>
      </c>
      <c r="AJ134" s="3610"/>
      <c r="AK134" s="3610"/>
      <c r="AL134" s="3598" t="str">
        <f t="shared" si="0"/>
        <v/>
      </c>
      <c r="AM134" s="3598"/>
      <c r="AN134" s="3598"/>
      <c r="AO134" s="3598"/>
      <c r="AP134" s="3598"/>
      <c r="AQ134" s="3610">
        <v>10</v>
      </c>
      <c r="AR134" s="3610"/>
      <c r="AS134" s="3610"/>
      <c r="AT134" s="3608">
        <v>10</v>
      </c>
      <c r="AU134" s="3608"/>
      <c r="AV134" s="3608"/>
      <c r="AW134" s="3616">
        <v>10</v>
      </c>
      <c r="AX134" s="3616"/>
      <c r="AY134" s="3616"/>
      <c r="AZ134" s="3615">
        <v>10</v>
      </c>
      <c r="BA134" s="3615"/>
      <c r="BB134" s="3615"/>
      <c r="BC134" s="3614">
        <v>10</v>
      </c>
      <c r="BD134" s="3614"/>
      <c r="BE134" s="3614"/>
      <c r="BF134" s="3613">
        <v>10</v>
      </c>
      <c r="BG134" s="3613"/>
      <c r="BH134" s="3613"/>
      <c r="BI134" s="3612">
        <v>10</v>
      </c>
      <c r="BJ134" s="3612"/>
      <c r="BK134" s="3612"/>
      <c r="BL134" s="3611">
        <v>10</v>
      </c>
      <c r="BM134" s="3611"/>
      <c r="BN134" s="3611"/>
      <c r="BO134" s="3617">
        <v>10</v>
      </c>
      <c r="BP134" s="3617"/>
      <c r="BQ134" s="3617"/>
      <c r="BY134" s="299"/>
    </row>
    <row r="135" spans="3:77" ht="17.100000000000001" customHeight="1" x14ac:dyDescent="0.2">
      <c r="C135" s="242"/>
      <c r="D135" s="822"/>
      <c r="E135" s="822"/>
      <c r="F135" s="28"/>
      <c r="G135" s="28"/>
      <c r="H135" s="28"/>
      <c r="I135" s="1550">
        <v>162</v>
      </c>
      <c r="J135" s="28"/>
      <c r="K135" s="3617">
        <v>9</v>
      </c>
      <c r="L135" s="3617"/>
      <c r="M135" s="3617"/>
      <c r="N135" s="3611">
        <v>9</v>
      </c>
      <c r="O135" s="3611"/>
      <c r="P135" s="3611"/>
      <c r="Q135" s="3612">
        <v>9</v>
      </c>
      <c r="R135" s="3612"/>
      <c r="S135" s="3612"/>
      <c r="T135" s="3613">
        <v>9</v>
      </c>
      <c r="U135" s="3613"/>
      <c r="V135" s="3613"/>
      <c r="W135" s="3614">
        <v>9</v>
      </c>
      <c r="X135" s="3614"/>
      <c r="Y135" s="3614"/>
      <c r="Z135" s="3615">
        <v>9</v>
      </c>
      <c r="AA135" s="3615"/>
      <c r="AB135" s="3615"/>
      <c r="AC135" s="3616">
        <v>9</v>
      </c>
      <c r="AD135" s="3616"/>
      <c r="AE135" s="3616"/>
      <c r="AF135" s="3608">
        <v>9</v>
      </c>
      <c r="AG135" s="3608"/>
      <c r="AH135" s="3608"/>
      <c r="AI135" s="3610">
        <v>9</v>
      </c>
      <c r="AJ135" s="3610"/>
      <c r="AK135" s="3610"/>
      <c r="AL135" s="3598" t="str">
        <f t="shared" si="0"/>
        <v/>
      </c>
      <c r="AM135" s="3598"/>
      <c r="AN135" s="3598"/>
      <c r="AO135" s="3598"/>
      <c r="AP135" s="3598"/>
      <c r="AQ135" s="3610">
        <v>9</v>
      </c>
      <c r="AR135" s="3610"/>
      <c r="AS135" s="3610"/>
      <c r="AT135" s="3608">
        <v>9</v>
      </c>
      <c r="AU135" s="3608"/>
      <c r="AV135" s="3608"/>
      <c r="AW135" s="3616">
        <v>9</v>
      </c>
      <c r="AX135" s="3616"/>
      <c r="AY135" s="3616"/>
      <c r="AZ135" s="3615">
        <v>9</v>
      </c>
      <c r="BA135" s="3615"/>
      <c r="BB135" s="3615"/>
      <c r="BC135" s="3614">
        <v>9</v>
      </c>
      <c r="BD135" s="3614"/>
      <c r="BE135" s="3614"/>
      <c r="BF135" s="3613">
        <v>9</v>
      </c>
      <c r="BG135" s="3613"/>
      <c r="BH135" s="3613"/>
      <c r="BI135" s="3612">
        <v>9</v>
      </c>
      <c r="BJ135" s="3612"/>
      <c r="BK135" s="3612"/>
      <c r="BL135" s="3611">
        <v>9</v>
      </c>
      <c r="BM135" s="3611"/>
      <c r="BN135" s="3611"/>
      <c r="BO135" s="3617">
        <v>9</v>
      </c>
      <c r="BP135" s="3617"/>
      <c r="BQ135" s="3617"/>
      <c r="BY135" s="299"/>
    </row>
    <row r="136" spans="3:77" ht="17.100000000000001" customHeight="1" x14ac:dyDescent="0.2">
      <c r="C136" s="242"/>
      <c r="D136" s="822"/>
      <c r="E136" s="822"/>
      <c r="F136" s="28"/>
      <c r="G136" s="28"/>
      <c r="H136" s="28"/>
      <c r="I136" s="1550">
        <v>144</v>
      </c>
      <c r="J136" s="28"/>
      <c r="K136" s="3617">
        <v>8</v>
      </c>
      <c r="L136" s="3617"/>
      <c r="M136" s="3617"/>
      <c r="N136" s="3611">
        <v>8</v>
      </c>
      <c r="O136" s="3611"/>
      <c r="P136" s="3611"/>
      <c r="Q136" s="3612">
        <v>8</v>
      </c>
      <c r="R136" s="3612"/>
      <c r="S136" s="3612"/>
      <c r="T136" s="3613">
        <v>8</v>
      </c>
      <c r="U136" s="3613"/>
      <c r="V136" s="3613"/>
      <c r="W136" s="3614">
        <v>8</v>
      </c>
      <c r="X136" s="3614"/>
      <c r="Y136" s="3614"/>
      <c r="Z136" s="3615">
        <v>8</v>
      </c>
      <c r="AA136" s="3615"/>
      <c r="AB136" s="3615"/>
      <c r="AC136" s="3616">
        <v>8</v>
      </c>
      <c r="AD136" s="3616"/>
      <c r="AE136" s="3616"/>
      <c r="AF136" s="3608">
        <v>8</v>
      </c>
      <c r="AG136" s="3608"/>
      <c r="AH136" s="3608"/>
      <c r="AI136" s="3610">
        <v>8</v>
      </c>
      <c r="AJ136" s="3610"/>
      <c r="AK136" s="3610"/>
      <c r="AL136" s="3598" t="str">
        <f t="shared" si="0"/>
        <v/>
      </c>
      <c r="AM136" s="3598"/>
      <c r="AN136" s="3598"/>
      <c r="AO136" s="3598"/>
      <c r="AP136" s="3598"/>
      <c r="AQ136" s="3610">
        <v>8</v>
      </c>
      <c r="AR136" s="3610"/>
      <c r="AS136" s="3610"/>
      <c r="AT136" s="3608">
        <v>8</v>
      </c>
      <c r="AU136" s="3608"/>
      <c r="AV136" s="3608"/>
      <c r="AW136" s="3616">
        <v>8</v>
      </c>
      <c r="AX136" s="3616"/>
      <c r="AY136" s="3616"/>
      <c r="AZ136" s="3615">
        <v>8</v>
      </c>
      <c r="BA136" s="3615"/>
      <c r="BB136" s="3615"/>
      <c r="BC136" s="3614">
        <v>8</v>
      </c>
      <c r="BD136" s="3614"/>
      <c r="BE136" s="3614"/>
      <c r="BF136" s="3613">
        <v>8</v>
      </c>
      <c r="BG136" s="3613"/>
      <c r="BH136" s="3613"/>
      <c r="BI136" s="3612">
        <v>8</v>
      </c>
      <c r="BJ136" s="3612"/>
      <c r="BK136" s="3612"/>
      <c r="BL136" s="3611">
        <v>8</v>
      </c>
      <c r="BM136" s="3611"/>
      <c r="BN136" s="3611"/>
      <c r="BO136" s="3617">
        <v>8</v>
      </c>
      <c r="BP136" s="3617"/>
      <c r="BQ136" s="3617"/>
      <c r="BY136" s="299"/>
    </row>
    <row r="137" spans="3:77" ht="17.100000000000001" customHeight="1" x14ac:dyDescent="0.2">
      <c r="C137" s="242"/>
      <c r="D137" s="822"/>
      <c r="E137" s="822"/>
      <c r="F137" s="28"/>
      <c r="G137" s="28"/>
      <c r="H137" s="28"/>
      <c r="I137" s="1550">
        <v>126</v>
      </c>
      <c r="J137" s="28"/>
      <c r="K137" s="3617">
        <v>7</v>
      </c>
      <c r="L137" s="3617"/>
      <c r="M137" s="3617"/>
      <c r="N137" s="3611">
        <v>7</v>
      </c>
      <c r="O137" s="3611"/>
      <c r="P137" s="3611"/>
      <c r="Q137" s="3612">
        <v>7</v>
      </c>
      <c r="R137" s="3612"/>
      <c r="S137" s="3612"/>
      <c r="T137" s="3613">
        <v>7</v>
      </c>
      <c r="U137" s="3613"/>
      <c r="V137" s="3613"/>
      <c r="W137" s="3614">
        <v>7</v>
      </c>
      <c r="X137" s="3614"/>
      <c r="Y137" s="3614"/>
      <c r="Z137" s="3615">
        <v>7</v>
      </c>
      <c r="AA137" s="3615"/>
      <c r="AB137" s="3615"/>
      <c r="AC137" s="3616">
        <v>7</v>
      </c>
      <c r="AD137" s="3616"/>
      <c r="AE137" s="3616"/>
      <c r="AF137" s="3608">
        <v>7</v>
      </c>
      <c r="AG137" s="3608"/>
      <c r="AH137" s="3608"/>
      <c r="AI137" s="3610">
        <v>7</v>
      </c>
      <c r="AJ137" s="3610"/>
      <c r="AK137" s="3610"/>
      <c r="AL137" s="3598" t="str">
        <f t="shared" si="0"/>
        <v/>
      </c>
      <c r="AM137" s="3598"/>
      <c r="AN137" s="3598"/>
      <c r="AO137" s="3598"/>
      <c r="AP137" s="3598"/>
      <c r="AQ137" s="3610">
        <v>7</v>
      </c>
      <c r="AR137" s="3610"/>
      <c r="AS137" s="3610"/>
      <c r="AT137" s="3608">
        <v>7</v>
      </c>
      <c r="AU137" s="3608"/>
      <c r="AV137" s="3608"/>
      <c r="AW137" s="3616">
        <v>7</v>
      </c>
      <c r="AX137" s="3616"/>
      <c r="AY137" s="3616"/>
      <c r="AZ137" s="3615">
        <v>7</v>
      </c>
      <c r="BA137" s="3615"/>
      <c r="BB137" s="3615"/>
      <c r="BC137" s="3614">
        <v>7</v>
      </c>
      <c r="BD137" s="3614"/>
      <c r="BE137" s="3614"/>
      <c r="BF137" s="3613">
        <v>7</v>
      </c>
      <c r="BG137" s="3613"/>
      <c r="BH137" s="3613"/>
      <c r="BI137" s="3612">
        <v>7</v>
      </c>
      <c r="BJ137" s="3612"/>
      <c r="BK137" s="3612"/>
      <c r="BL137" s="3611">
        <v>7</v>
      </c>
      <c r="BM137" s="3611"/>
      <c r="BN137" s="3611"/>
      <c r="BO137" s="3617">
        <v>7</v>
      </c>
      <c r="BP137" s="3617"/>
      <c r="BQ137" s="3617"/>
      <c r="BY137" s="299"/>
    </row>
    <row r="138" spans="3:77" ht="17.100000000000001" customHeight="1" x14ac:dyDescent="0.2">
      <c r="C138" s="242"/>
      <c r="D138" s="822"/>
      <c r="E138" s="822"/>
      <c r="F138" s="28"/>
      <c r="G138" s="28"/>
      <c r="H138" s="28"/>
      <c r="I138" s="1550">
        <v>108</v>
      </c>
      <c r="J138" s="28"/>
      <c r="K138" s="3617">
        <v>6</v>
      </c>
      <c r="L138" s="3617"/>
      <c r="M138" s="3617"/>
      <c r="N138" s="3611">
        <v>6</v>
      </c>
      <c r="O138" s="3611"/>
      <c r="P138" s="3611"/>
      <c r="Q138" s="3612">
        <v>6</v>
      </c>
      <c r="R138" s="3612"/>
      <c r="S138" s="3612"/>
      <c r="T138" s="3613">
        <v>6</v>
      </c>
      <c r="U138" s="3613"/>
      <c r="V138" s="3613"/>
      <c r="W138" s="3614">
        <v>6</v>
      </c>
      <c r="X138" s="3614"/>
      <c r="Y138" s="3614"/>
      <c r="Z138" s="3615">
        <v>6</v>
      </c>
      <c r="AA138" s="3615"/>
      <c r="AB138" s="3615"/>
      <c r="AC138" s="3616">
        <v>6</v>
      </c>
      <c r="AD138" s="3616"/>
      <c r="AE138" s="3616"/>
      <c r="AF138" s="3608">
        <v>6</v>
      </c>
      <c r="AG138" s="3608"/>
      <c r="AH138" s="3608"/>
      <c r="AI138" s="3610">
        <v>6</v>
      </c>
      <c r="AJ138" s="3610"/>
      <c r="AK138" s="3610"/>
      <c r="AL138" s="3598" t="str">
        <f t="shared" si="0"/>
        <v/>
      </c>
      <c r="AM138" s="3598"/>
      <c r="AN138" s="3598"/>
      <c r="AO138" s="3598"/>
      <c r="AP138" s="3598"/>
      <c r="AQ138" s="3610">
        <v>6</v>
      </c>
      <c r="AR138" s="3610"/>
      <c r="AS138" s="3610"/>
      <c r="AT138" s="3608">
        <v>6</v>
      </c>
      <c r="AU138" s="3608"/>
      <c r="AV138" s="3608"/>
      <c r="AW138" s="3616">
        <v>6</v>
      </c>
      <c r="AX138" s="3616"/>
      <c r="AY138" s="3616"/>
      <c r="AZ138" s="3615">
        <v>6</v>
      </c>
      <c r="BA138" s="3615"/>
      <c r="BB138" s="3615"/>
      <c r="BC138" s="3614">
        <v>6</v>
      </c>
      <c r="BD138" s="3614"/>
      <c r="BE138" s="3614"/>
      <c r="BF138" s="3613">
        <v>6</v>
      </c>
      <c r="BG138" s="3613"/>
      <c r="BH138" s="3613"/>
      <c r="BI138" s="3612">
        <v>6</v>
      </c>
      <c r="BJ138" s="3612"/>
      <c r="BK138" s="3612"/>
      <c r="BL138" s="3611">
        <v>6</v>
      </c>
      <c r="BM138" s="3611"/>
      <c r="BN138" s="3611"/>
      <c r="BO138" s="3617">
        <v>6</v>
      </c>
      <c r="BP138" s="3617"/>
      <c r="BQ138" s="3617"/>
      <c r="BY138" s="299"/>
    </row>
    <row r="139" spans="3:77" ht="17.100000000000001" customHeight="1" x14ac:dyDescent="0.2">
      <c r="C139" s="242"/>
      <c r="D139" s="822"/>
      <c r="E139" s="822"/>
      <c r="F139" s="28"/>
      <c r="G139" s="28"/>
      <c r="H139" s="28"/>
      <c r="I139" s="1550">
        <v>90</v>
      </c>
      <c r="J139" s="28"/>
      <c r="K139" s="3617">
        <v>5</v>
      </c>
      <c r="L139" s="3617"/>
      <c r="M139" s="3617"/>
      <c r="N139" s="3611">
        <v>5</v>
      </c>
      <c r="O139" s="3611"/>
      <c r="P139" s="3611"/>
      <c r="Q139" s="3612">
        <v>5</v>
      </c>
      <c r="R139" s="3612"/>
      <c r="S139" s="3612"/>
      <c r="T139" s="3613">
        <v>5</v>
      </c>
      <c r="U139" s="3613"/>
      <c r="V139" s="3613"/>
      <c r="W139" s="3614">
        <v>5</v>
      </c>
      <c r="X139" s="3614"/>
      <c r="Y139" s="3614"/>
      <c r="Z139" s="3615">
        <v>5</v>
      </c>
      <c r="AA139" s="3615"/>
      <c r="AB139" s="3615"/>
      <c r="AC139" s="3616">
        <v>5</v>
      </c>
      <c r="AD139" s="3616"/>
      <c r="AE139" s="3616"/>
      <c r="AF139" s="3608">
        <v>5</v>
      </c>
      <c r="AG139" s="3608"/>
      <c r="AH139" s="3608"/>
      <c r="AI139" s="3610">
        <v>5</v>
      </c>
      <c r="AJ139" s="3610"/>
      <c r="AK139" s="3610"/>
      <c r="AL139" s="3598" t="str">
        <f t="shared" si="0"/>
        <v/>
      </c>
      <c r="AM139" s="3598"/>
      <c r="AN139" s="3598"/>
      <c r="AO139" s="3598"/>
      <c r="AP139" s="3598"/>
      <c r="AQ139" s="3610">
        <v>5</v>
      </c>
      <c r="AR139" s="3610"/>
      <c r="AS139" s="3610"/>
      <c r="AT139" s="3608">
        <v>5</v>
      </c>
      <c r="AU139" s="3608"/>
      <c r="AV139" s="3608"/>
      <c r="AW139" s="3616">
        <v>5</v>
      </c>
      <c r="AX139" s="3616"/>
      <c r="AY139" s="3616"/>
      <c r="AZ139" s="3615">
        <v>5</v>
      </c>
      <c r="BA139" s="3615"/>
      <c r="BB139" s="3615"/>
      <c r="BC139" s="3614">
        <v>5</v>
      </c>
      <c r="BD139" s="3614"/>
      <c r="BE139" s="3614"/>
      <c r="BF139" s="3613">
        <v>5</v>
      </c>
      <c r="BG139" s="3613"/>
      <c r="BH139" s="3613"/>
      <c r="BI139" s="3612">
        <v>5</v>
      </c>
      <c r="BJ139" s="3612"/>
      <c r="BK139" s="3612"/>
      <c r="BL139" s="3611">
        <v>5</v>
      </c>
      <c r="BM139" s="3611"/>
      <c r="BN139" s="3611"/>
      <c r="BO139" s="3617">
        <v>5</v>
      </c>
      <c r="BP139" s="3617"/>
      <c r="BQ139" s="3617"/>
      <c r="BY139" s="299"/>
    </row>
    <row r="140" spans="3:77" ht="17.100000000000001" customHeight="1" x14ac:dyDescent="0.2">
      <c r="C140" s="242"/>
      <c r="D140" s="822"/>
      <c r="E140" s="822"/>
      <c r="F140" s="28"/>
      <c r="G140" s="28"/>
      <c r="H140" s="28"/>
      <c r="I140" s="1550">
        <v>72</v>
      </c>
      <c r="J140" s="28"/>
      <c r="K140" s="3617">
        <v>4</v>
      </c>
      <c r="L140" s="3617"/>
      <c r="M140" s="3617"/>
      <c r="N140" s="3611">
        <v>4</v>
      </c>
      <c r="O140" s="3611"/>
      <c r="P140" s="3611"/>
      <c r="Q140" s="3612">
        <v>4</v>
      </c>
      <c r="R140" s="3612"/>
      <c r="S140" s="3612"/>
      <c r="T140" s="3613">
        <v>4</v>
      </c>
      <c r="U140" s="3613"/>
      <c r="V140" s="3613"/>
      <c r="W140" s="3614">
        <v>4</v>
      </c>
      <c r="X140" s="3614"/>
      <c r="Y140" s="3614"/>
      <c r="Z140" s="3615">
        <v>4</v>
      </c>
      <c r="AA140" s="3615"/>
      <c r="AB140" s="3615"/>
      <c r="AC140" s="3616">
        <v>4</v>
      </c>
      <c r="AD140" s="3616"/>
      <c r="AE140" s="3616"/>
      <c r="AF140" s="3608">
        <v>4</v>
      </c>
      <c r="AG140" s="3608"/>
      <c r="AH140" s="3608"/>
      <c r="AI140" s="3610">
        <v>4</v>
      </c>
      <c r="AJ140" s="3610"/>
      <c r="AK140" s="3610"/>
      <c r="AL140" s="3598" t="str">
        <f t="shared" si="0"/>
        <v/>
      </c>
      <c r="AM140" s="3598"/>
      <c r="AN140" s="3598"/>
      <c r="AO140" s="3598"/>
      <c r="AP140" s="3598"/>
      <c r="AQ140" s="3610">
        <v>4</v>
      </c>
      <c r="AR140" s="3610"/>
      <c r="AS140" s="3610"/>
      <c r="AT140" s="3608">
        <v>4</v>
      </c>
      <c r="AU140" s="3608"/>
      <c r="AV140" s="3608"/>
      <c r="AW140" s="3616">
        <v>4</v>
      </c>
      <c r="AX140" s="3616"/>
      <c r="AY140" s="3616"/>
      <c r="AZ140" s="3615">
        <v>4</v>
      </c>
      <c r="BA140" s="3615"/>
      <c r="BB140" s="3615"/>
      <c r="BC140" s="3614">
        <v>4</v>
      </c>
      <c r="BD140" s="3614"/>
      <c r="BE140" s="3614"/>
      <c r="BF140" s="3613">
        <v>4</v>
      </c>
      <c r="BG140" s="3613"/>
      <c r="BH140" s="3613"/>
      <c r="BI140" s="3612">
        <v>4</v>
      </c>
      <c r="BJ140" s="3612"/>
      <c r="BK140" s="3612"/>
      <c r="BL140" s="3611">
        <v>4</v>
      </c>
      <c r="BM140" s="3611"/>
      <c r="BN140" s="3611"/>
      <c r="BO140" s="3617">
        <v>4</v>
      </c>
      <c r="BP140" s="3617"/>
      <c r="BQ140" s="3617"/>
      <c r="BY140" s="299"/>
    </row>
    <row r="141" spans="3:77" ht="17.100000000000001" customHeight="1" x14ac:dyDescent="0.2">
      <c r="C141" s="242"/>
      <c r="D141" s="822"/>
      <c r="E141" s="822"/>
      <c r="F141" s="28"/>
      <c r="G141" s="28"/>
      <c r="H141" s="28"/>
      <c r="I141" s="1550">
        <v>54</v>
      </c>
      <c r="J141" s="28"/>
      <c r="K141" s="3617">
        <v>3</v>
      </c>
      <c r="L141" s="3617"/>
      <c r="M141" s="3617"/>
      <c r="N141" s="3611">
        <v>3</v>
      </c>
      <c r="O141" s="3611"/>
      <c r="P141" s="3611"/>
      <c r="Q141" s="3612">
        <v>3</v>
      </c>
      <c r="R141" s="3612"/>
      <c r="S141" s="3612"/>
      <c r="T141" s="3613">
        <v>3</v>
      </c>
      <c r="U141" s="3613"/>
      <c r="V141" s="3613"/>
      <c r="W141" s="3614">
        <v>3</v>
      </c>
      <c r="X141" s="3614"/>
      <c r="Y141" s="3614"/>
      <c r="Z141" s="3615">
        <v>3</v>
      </c>
      <c r="AA141" s="3615"/>
      <c r="AB141" s="3615"/>
      <c r="AC141" s="3616">
        <v>3</v>
      </c>
      <c r="AD141" s="3616"/>
      <c r="AE141" s="3616"/>
      <c r="AF141" s="3608">
        <v>3</v>
      </c>
      <c r="AG141" s="3608"/>
      <c r="AH141" s="3608"/>
      <c r="AI141" s="3610">
        <v>3</v>
      </c>
      <c r="AJ141" s="3610"/>
      <c r="AK141" s="3610"/>
      <c r="AL141" s="3598" t="str">
        <f t="shared" si="0"/>
        <v/>
      </c>
      <c r="AM141" s="3598"/>
      <c r="AN141" s="3598"/>
      <c r="AO141" s="3598"/>
      <c r="AP141" s="3598"/>
      <c r="AQ141" s="3610">
        <v>3</v>
      </c>
      <c r="AR141" s="3610"/>
      <c r="AS141" s="3610"/>
      <c r="AT141" s="3608">
        <v>3</v>
      </c>
      <c r="AU141" s="3608"/>
      <c r="AV141" s="3608"/>
      <c r="AW141" s="3616">
        <v>3</v>
      </c>
      <c r="AX141" s="3616"/>
      <c r="AY141" s="3616"/>
      <c r="AZ141" s="3615">
        <v>3</v>
      </c>
      <c r="BA141" s="3615"/>
      <c r="BB141" s="3615"/>
      <c r="BC141" s="3614">
        <v>3</v>
      </c>
      <c r="BD141" s="3614"/>
      <c r="BE141" s="3614"/>
      <c r="BF141" s="3613">
        <v>3</v>
      </c>
      <c r="BG141" s="3613"/>
      <c r="BH141" s="3613"/>
      <c r="BI141" s="3612">
        <v>3</v>
      </c>
      <c r="BJ141" s="3612"/>
      <c r="BK141" s="3612"/>
      <c r="BL141" s="3611">
        <v>3</v>
      </c>
      <c r="BM141" s="3611"/>
      <c r="BN141" s="3611"/>
      <c r="BO141" s="3617">
        <v>3</v>
      </c>
      <c r="BP141" s="3617"/>
      <c r="BQ141" s="3617"/>
      <c r="BY141" s="299"/>
    </row>
    <row r="142" spans="3:77" ht="17.100000000000001" customHeight="1" x14ac:dyDescent="0.2">
      <c r="C142" s="242"/>
      <c r="D142" s="822"/>
      <c r="E142" s="822"/>
      <c r="F142" s="28"/>
      <c r="G142" s="28"/>
      <c r="H142" s="28"/>
      <c r="I142" s="1550">
        <v>36</v>
      </c>
      <c r="J142" s="28"/>
      <c r="K142" s="3617">
        <v>2</v>
      </c>
      <c r="L142" s="3617"/>
      <c r="M142" s="3617"/>
      <c r="N142" s="3611">
        <v>2</v>
      </c>
      <c r="O142" s="3611"/>
      <c r="P142" s="3611"/>
      <c r="Q142" s="3612">
        <v>2</v>
      </c>
      <c r="R142" s="3612"/>
      <c r="S142" s="3612"/>
      <c r="T142" s="3613">
        <v>2</v>
      </c>
      <c r="U142" s="3613"/>
      <c r="V142" s="3613"/>
      <c r="W142" s="3614">
        <v>2</v>
      </c>
      <c r="X142" s="3614"/>
      <c r="Y142" s="3614"/>
      <c r="Z142" s="3615">
        <v>2</v>
      </c>
      <c r="AA142" s="3615"/>
      <c r="AB142" s="3615"/>
      <c r="AC142" s="3616">
        <v>2</v>
      </c>
      <c r="AD142" s="3616"/>
      <c r="AE142" s="3616"/>
      <c r="AF142" s="3608">
        <v>2</v>
      </c>
      <c r="AG142" s="3608"/>
      <c r="AH142" s="3608"/>
      <c r="AI142" s="3610">
        <v>2</v>
      </c>
      <c r="AJ142" s="3610"/>
      <c r="AK142" s="3610"/>
      <c r="AL142" s="3598" t="str">
        <f t="shared" si="0"/>
        <v/>
      </c>
      <c r="AM142" s="3598"/>
      <c r="AN142" s="3598"/>
      <c r="AO142" s="3598"/>
      <c r="AP142" s="3598"/>
      <c r="AQ142" s="3610">
        <v>2</v>
      </c>
      <c r="AR142" s="3610"/>
      <c r="AS142" s="3610"/>
      <c r="AT142" s="3608">
        <v>2</v>
      </c>
      <c r="AU142" s="3608"/>
      <c r="AV142" s="3608"/>
      <c r="AW142" s="3616">
        <v>2</v>
      </c>
      <c r="AX142" s="3616"/>
      <c r="AY142" s="3616"/>
      <c r="AZ142" s="3615">
        <v>2</v>
      </c>
      <c r="BA142" s="3615"/>
      <c r="BB142" s="3615"/>
      <c r="BC142" s="3614">
        <v>2</v>
      </c>
      <c r="BD142" s="3614"/>
      <c r="BE142" s="3614"/>
      <c r="BF142" s="3613">
        <v>2</v>
      </c>
      <c r="BG142" s="3613"/>
      <c r="BH142" s="3613"/>
      <c r="BI142" s="3612">
        <v>2</v>
      </c>
      <c r="BJ142" s="3612"/>
      <c r="BK142" s="3612"/>
      <c r="BL142" s="3611">
        <v>2</v>
      </c>
      <c r="BM142" s="3611"/>
      <c r="BN142" s="3611"/>
      <c r="BO142" s="3617">
        <v>2</v>
      </c>
      <c r="BP142" s="3617"/>
      <c r="BQ142" s="3617"/>
      <c r="BY142" s="299"/>
    </row>
    <row r="143" spans="3:77" ht="17.100000000000001" customHeight="1" thickBot="1" x14ac:dyDescent="0.25">
      <c r="C143" s="242"/>
      <c r="D143" s="822"/>
      <c r="E143" s="822"/>
      <c r="F143" s="28"/>
      <c r="G143" s="28"/>
      <c r="H143" s="28"/>
      <c r="I143" s="1550">
        <v>18</v>
      </c>
      <c r="J143" s="28"/>
      <c r="K143" s="3711">
        <v>1</v>
      </c>
      <c r="L143" s="3711"/>
      <c r="M143" s="3711"/>
      <c r="N143" s="3712">
        <v>1</v>
      </c>
      <c r="O143" s="3712"/>
      <c r="P143" s="3712"/>
      <c r="Q143" s="3713">
        <v>1</v>
      </c>
      <c r="R143" s="3713"/>
      <c r="S143" s="3713"/>
      <c r="T143" s="3714">
        <v>1</v>
      </c>
      <c r="U143" s="3714"/>
      <c r="V143" s="3714"/>
      <c r="W143" s="3715">
        <v>1</v>
      </c>
      <c r="X143" s="3715"/>
      <c r="Y143" s="3715"/>
      <c r="Z143" s="3716">
        <v>1</v>
      </c>
      <c r="AA143" s="3716"/>
      <c r="AB143" s="3716"/>
      <c r="AC143" s="3627">
        <v>1</v>
      </c>
      <c r="AD143" s="3627"/>
      <c r="AE143" s="3627"/>
      <c r="AF143" s="3628">
        <v>1</v>
      </c>
      <c r="AG143" s="3628"/>
      <c r="AH143" s="3628"/>
      <c r="AI143" s="3727">
        <v>1</v>
      </c>
      <c r="AJ143" s="3727"/>
      <c r="AK143" s="3727"/>
      <c r="AL143" s="3729" t="str">
        <f t="shared" si="0"/>
        <v/>
      </c>
      <c r="AM143" s="3729"/>
      <c r="AN143" s="3729"/>
      <c r="AO143" s="3729"/>
      <c r="AP143" s="3729"/>
      <c r="AQ143" s="3727">
        <v>1</v>
      </c>
      <c r="AR143" s="3727"/>
      <c r="AS143" s="3727"/>
      <c r="AT143" s="3628">
        <v>1</v>
      </c>
      <c r="AU143" s="3628"/>
      <c r="AV143" s="3628"/>
      <c r="AW143" s="3627">
        <v>1</v>
      </c>
      <c r="AX143" s="3627"/>
      <c r="AY143" s="3627"/>
      <c r="AZ143" s="3716">
        <v>1</v>
      </c>
      <c r="BA143" s="3716"/>
      <c r="BB143" s="3716"/>
      <c r="BC143" s="3715">
        <v>1</v>
      </c>
      <c r="BD143" s="3715"/>
      <c r="BE143" s="3715"/>
      <c r="BF143" s="3714">
        <v>1</v>
      </c>
      <c r="BG143" s="3714"/>
      <c r="BH143" s="3714"/>
      <c r="BI143" s="3713">
        <v>1</v>
      </c>
      <c r="BJ143" s="3713"/>
      <c r="BK143" s="3713"/>
      <c r="BL143" s="3712">
        <v>1</v>
      </c>
      <c r="BM143" s="3712"/>
      <c r="BN143" s="3712"/>
      <c r="BO143" s="3711">
        <v>1</v>
      </c>
      <c r="BP143" s="3711"/>
      <c r="BQ143" s="3711"/>
      <c r="BY143" s="299"/>
    </row>
    <row r="144" spans="3:77" ht="17.100000000000001" customHeight="1" x14ac:dyDescent="0.2">
      <c r="C144" s="242"/>
      <c r="D144" s="822"/>
      <c r="E144" s="822"/>
      <c r="F144" s="28"/>
      <c r="G144" s="28"/>
      <c r="H144" s="28"/>
      <c r="I144" s="28"/>
      <c r="J144" s="28"/>
      <c r="K144" s="3662" t="str">
        <f>ACTIONS!$C$34</f>
        <v>MND1</v>
      </c>
      <c r="L144" s="3662"/>
      <c r="M144" s="3662"/>
      <c r="N144" s="3665" t="str">
        <f>ACTIONS!$D$34</f>
        <v>MND2</v>
      </c>
      <c r="O144" s="3666"/>
      <c r="P144" s="3667"/>
      <c r="Q144" s="3674" t="str">
        <f>ACTIONS!$E$34</f>
        <v>MND3</v>
      </c>
      <c r="R144" s="3675"/>
      <c r="S144" s="3676"/>
      <c r="T144" s="3683" t="str">
        <f>ACTIONS!$F$34</f>
        <v>MND4</v>
      </c>
      <c r="U144" s="3684"/>
      <c r="V144" s="3685"/>
      <c r="W144" s="3692" t="str">
        <f>ACTIONS!$G$34</f>
        <v>MND5</v>
      </c>
      <c r="X144" s="3693"/>
      <c r="Y144" s="3694"/>
      <c r="Z144" s="3629" t="str">
        <f>ACTIONS!$H$34</f>
        <v>MND6</v>
      </c>
      <c r="AA144" s="3630"/>
      <c r="AB144" s="3631"/>
      <c r="AC144" s="3638" t="str">
        <f>ACTIONS!$I$34</f>
        <v>MND7</v>
      </c>
      <c r="AD144" s="3639"/>
      <c r="AE144" s="3640"/>
      <c r="AF144" s="3618" t="str">
        <f>ACTIONS!$J$34</f>
        <v>MND8</v>
      </c>
      <c r="AG144" s="3619"/>
      <c r="AH144" s="3620"/>
      <c r="AI144" s="3647" t="str">
        <f>ACTIONS!$K$34</f>
        <v>MND9</v>
      </c>
      <c r="AJ144" s="3648"/>
      <c r="AK144" s="3649"/>
      <c r="AL144" s="3656" t="str">
        <f>'^'!$BW$47</f>
        <v/>
      </c>
      <c r="AM144" s="3656"/>
      <c r="AN144" s="3656"/>
      <c r="AO144" s="3656"/>
      <c r="AP144" s="3656"/>
      <c r="AQ144" s="3659" t="str">
        <f>ACTIONS!$BQ$34</f>
        <v>BDY1</v>
      </c>
      <c r="AR144" s="3659"/>
      <c r="AS144" s="3659"/>
      <c r="AT144" s="3618" t="str">
        <f>ACTIONS!$BR$34</f>
        <v>BDY2</v>
      </c>
      <c r="AU144" s="3619"/>
      <c r="AV144" s="3620"/>
      <c r="AW144" s="3638" t="str">
        <f>ACTIONS!$BS$34</f>
        <v>BDY3</v>
      </c>
      <c r="AX144" s="3639"/>
      <c r="AY144" s="3640"/>
      <c r="AZ144" s="3629" t="str">
        <f>ACTIONS!$BT$34</f>
        <v>BDY4</v>
      </c>
      <c r="BA144" s="3630"/>
      <c r="BB144" s="3631"/>
      <c r="BC144" s="3692" t="str">
        <f>ACTIONS!$BU$34</f>
        <v>BDY5</v>
      </c>
      <c r="BD144" s="3693"/>
      <c r="BE144" s="3694"/>
      <c r="BF144" s="3683" t="str">
        <f>ACTIONS!$BV$34</f>
        <v>BDY6</v>
      </c>
      <c r="BG144" s="3684"/>
      <c r="BH144" s="3685"/>
      <c r="BI144" s="3674" t="str">
        <f>ACTIONS!$BW$34</f>
        <v>BDY7</v>
      </c>
      <c r="BJ144" s="3675"/>
      <c r="BK144" s="3676"/>
      <c r="BL144" s="3665" t="str">
        <f>ACTIONS!$BX$34</f>
        <v>BDY8</v>
      </c>
      <c r="BM144" s="3666"/>
      <c r="BN144" s="3667"/>
      <c r="BO144" s="3717" t="str">
        <f>ACTIONS!$BY$34</f>
        <v>BDY9</v>
      </c>
      <c r="BP144" s="3718"/>
      <c r="BQ144" s="3719"/>
      <c r="BY144" s="299"/>
    </row>
    <row r="145" spans="3:77" ht="17.100000000000001" customHeight="1" x14ac:dyDescent="0.2">
      <c r="C145" s="242"/>
      <c r="D145" s="822"/>
      <c r="E145" s="822"/>
      <c r="F145" s="28"/>
      <c r="G145" s="28"/>
      <c r="H145" s="28"/>
      <c r="I145" s="28"/>
      <c r="J145" s="28"/>
      <c r="K145" s="3663"/>
      <c r="L145" s="3663"/>
      <c r="M145" s="3663"/>
      <c r="N145" s="3668"/>
      <c r="O145" s="3669"/>
      <c r="P145" s="3670"/>
      <c r="Q145" s="3677"/>
      <c r="R145" s="3678"/>
      <c r="S145" s="3679"/>
      <c r="T145" s="3686"/>
      <c r="U145" s="3687"/>
      <c r="V145" s="3688"/>
      <c r="W145" s="3695"/>
      <c r="X145" s="3696"/>
      <c r="Y145" s="3697"/>
      <c r="Z145" s="3632"/>
      <c r="AA145" s="3633"/>
      <c r="AB145" s="3634"/>
      <c r="AC145" s="3641"/>
      <c r="AD145" s="3642"/>
      <c r="AE145" s="3643"/>
      <c r="AF145" s="3621"/>
      <c r="AG145" s="3622"/>
      <c r="AH145" s="3623"/>
      <c r="AI145" s="3650"/>
      <c r="AJ145" s="3651"/>
      <c r="AK145" s="3652"/>
      <c r="AL145" s="3657"/>
      <c r="AM145" s="3657"/>
      <c r="AN145" s="3657"/>
      <c r="AO145" s="3657"/>
      <c r="AP145" s="3657"/>
      <c r="AQ145" s="3660"/>
      <c r="AR145" s="3660"/>
      <c r="AS145" s="3660"/>
      <c r="AT145" s="3621"/>
      <c r="AU145" s="3622"/>
      <c r="AV145" s="3623"/>
      <c r="AW145" s="3641"/>
      <c r="AX145" s="3642"/>
      <c r="AY145" s="3643"/>
      <c r="AZ145" s="3632"/>
      <c r="BA145" s="3633"/>
      <c r="BB145" s="3634"/>
      <c r="BC145" s="3695"/>
      <c r="BD145" s="3696"/>
      <c r="BE145" s="3697"/>
      <c r="BF145" s="3686"/>
      <c r="BG145" s="3687"/>
      <c r="BH145" s="3688"/>
      <c r="BI145" s="3677"/>
      <c r="BJ145" s="3678"/>
      <c r="BK145" s="3679"/>
      <c r="BL145" s="3668"/>
      <c r="BM145" s="3669"/>
      <c r="BN145" s="3670"/>
      <c r="BO145" s="3720"/>
      <c r="BP145" s="3721"/>
      <c r="BQ145" s="3722"/>
      <c r="BY145" s="299"/>
    </row>
    <row r="146" spans="3:77" ht="17.100000000000001" customHeight="1" x14ac:dyDescent="0.2">
      <c r="C146" s="242"/>
      <c r="D146" s="822"/>
      <c r="E146" s="822"/>
      <c r="F146" s="28"/>
      <c r="G146" s="28"/>
      <c r="H146" s="28"/>
      <c r="I146" s="28"/>
      <c r="J146" s="28"/>
      <c r="K146" s="3663"/>
      <c r="L146" s="3663"/>
      <c r="M146" s="3663"/>
      <c r="N146" s="3668"/>
      <c r="O146" s="3669"/>
      <c r="P146" s="3670"/>
      <c r="Q146" s="3677"/>
      <c r="R146" s="3678"/>
      <c r="S146" s="3679"/>
      <c r="T146" s="3686"/>
      <c r="U146" s="3687"/>
      <c r="V146" s="3688"/>
      <c r="W146" s="3695"/>
      <c r="X146" s="3696"/>
      <c r="Y146" s="3697"/>
      <c r="Z146" s="3632"/>
      <c r="AA146" s="3633"/>
      <c r="AB146" s="3634"/>
      <c r="AC146" s="3641"/>
      <c r="AD146" s="3642"/>
      <c r="AE146" s="3643"/>
      <c r="AF146" s="3621"/>
      <c r="AG146" s="3622"/>
      <c r="AH146" s="3623"/>
      <c r="AI146" s="3650"/>
      <c r="AJ146" s="3651"/>
      <c r="AK146" s="3652"/>
      <c r="AL146" s="3657"/>
      <c r="AM146" s="3657"/>
      <c r="AN146" s="3657"/>
      <c r="AO146" s="3657"/>
      <c r="AP146" s="3657"/>
      <c r="AQ146" s="3660"/>
      <c r="AR146" s="3660"/>
      <c r="AS146" s="3660"/>
      <c r="AT146" s="3621"/>
      <c r="AU146" s="3622"/>
      <c r="AV146" s="3623"/>
      <c r="AW146" s="3641"/>
      <c r="AX146" s="3642"/>
      <c r="AY146" s="3643"/>
      <c r="AZ146" s="3632"/>
      <c r="BA146" s="3633"/>
      <c r="BB146" s="3634"/>
      <c r="BC146" s="3695"/>
      <c r="BD146" s="3696"/>
      <c r="BE146" s="3697"/>
      <c r="BF146" s="3686"/>
      <c r="BG146" s="3687"/>
      <c r="BH146" s="3688"/>
      <c r="BI146" s="3677"/>
      <c r="BJ146" s="3678"/>
      <c r="BK146" s="3679"/>
      <c r="BL146" s="3668"/>
      <c r="BM146" s="3669"/>
      <c r="BN146" s="3670"/>
      <c r="BO146" s="3720"/>
      <c r="BP146" s="3721"/>
      <c r="BQ146" s="3722"/>
      <c r="BY146" s="299"/>
    </row>
    <row r="147" spans="3:77" ht="17.100000000000001" customHeight="1" thickBot="1" x14ac:dyDescent="0.2">
      <c r="C147" s="242"/>
      <c r="D147" s="1551"/>
      <c r="E147" s="1551"/>
      <c r="F147" s="28"/>
      <c r="G147" s="28"/>
      <c r="H147" s="28"/>
      <c r="I147" s="28"/>
      <c r="J147" s="28"/>
      <c r="K147" s="3664"/>
      <c r="L147" s="3664"/>
      <c r="M147" s="3664"/>
      <c r="N147" s="3671"/>
      <c r="O147" s="3672"/>
      <c r="P147" s="3673"/>
      <c r="Q147" s="3680"/>
      <c r="R147" s="3681"/>
      <c r="S147" s="3682"/>
      <c r="T147" s="3689"/>
      <c r="U147" s="3690"/>
      <c r="V147" s="3691"/>
      <c r="W147" s="3698"/>
      <c r="X147" s="3699"/>
      <c r="Y147" s="3700"/>
      <c r="Z147" s="3635"/>
      <c r="AA147" s="3636"/>
      <c r="AB147" s="3637"/>
      <c r="AC147" s="3644"/>
      <c r="AD147" s="3645"/>
      <c r="AE147" s="3646"/>
      <c r="AF147" s="3624"/>
      <c r="AG147" s="3625"/>
      <c r="AH147" s="3626"/>
      <c r="AI147" s="3653"/>
      <c r="AJ147" s="3654"/>
      <c r="AK147" s="3655"/>
      <c r="AL147" s="3658"/>
      <c r="AM147" s="3658"/>
      <c r="AN147" s="3658"/>
      <c r="AO147" s="3658"/>
      <c r="AP147" s="3658"/>
      <c r="AQ147" s="3661"/>
      <c r="AR147" s="3661"/>
      <c r="AS147" s="3661"/>
      <c r="AT147" s="3624"/>
      <c r="AU147" s="3625"/>
      <c r="AV147" s="3626"/>
      <c r="AW147" s="3644"/>
      <c r="AX147" s="3645"/>
      <c r="AY147" s="3646"/>
      <c r="AZ147" s="3635"/>
      <c r="BA147" s="3636"/>
      <c r="BB147" s="3637"/>
      <c r="BC147" s="3698"/>
      <c r="BD147" s="3699"/>
      <c r="BE147" s="3700"/>
      <c r="BF147" s="3689"/>
      <c r="BG147" s="3690"/>
      <c r="BH147" s="3691"/>
      <c r="BI147" s="3680"/>
      <c r="BJ147" s="3681"/>
      <c r="BK147" s="3682"/>
      <c r="BL147" s="3671"/>
      <c r="BM147" s="3672"/>
      <c r="BN147" s="3673"/>
      <c r="BO147" s="3723"/>
      <c r="BP147" s="3724"/>
      <c r="BQ147" s="3725"/>
      <c r="BY147" s="299"/>
    </row>
    <row r="148" spans="3:77" ht="17.100000000000001" customHeight="1" x14ac:dyDescent="0.15">
      <c r="C148" s="242"/>
      <c r="D148" s="41"/>
      <c r="E148" s="41"/>
      <c r="F148" s="41"/>
      <c r="G148" s="41"/>
      <c r="H148" s="41"/>
      <c r="I148" s="41"/>
      <c r="J148" s="41"/>
      <c r="K148" s="3570">
        <f>data!$BZ$26</f>
        <v>0</v>
      </c>
      <c r="L148" s="3570"/>
      <c r="M148" s="3570"/>
      <c r="N148" s="3570">
        <f>data!$CA$26</f>
        <v>0</v>
      </c>
      <c r="O148" s="3570"/>
      <c r="P148" s="3570"/>
      <c r="Q148" s="3570">
        <f>data!$CB$26</f>
        <v>0</v>
      </c>
      <c r="R148" s="3570"/>
      <c r="S148" s="3570"/>
      <c r="T148" s="3570">
        <f>data!$CC$26</f>
        <v>0</v>
      </c>
      <c r="U148" s="3570"/>
      <c r="V148" s="3570"/>
      <c r="W148" s="3570">
        <f>data!$CD$26</f>
        <v>0</v>
      </c>
      <c r="X148" s="3570"/>
      <c r="Y148" s="3570"/>
      <c r="Z148" s="3570">
        <f>data!$CE$26</f>
        <v>0</v>
      </c>
      <c r="AA148" s="3570"/>
      <c r="AB148" s="3570"/>
      <c r="AC148" s="3570">
        <f>data!$CF$26</f>
        <v>0</v>
      </c>
      <c r="AD148" s="3570"/>
      <c r="AE148" s="3570"/>
      <c r="AF148" s="3570">
        <f>data!$CG$26</f>
        <v>0</v>
      </c>
      <c r="AG148" s="3570"/>
      <c r="AH148" s="3570"/>
      <c r="AI148" s="3570">
        <f>data!$CH$26</f>
        <v>0</v>
      </c>
      <c r="AJ148" s="3570"/>
      <c r="AK148" s="3570"/>
      <c r="AL148" s="2347"/>
      <c r="AM148" s="2347"/>
      <c r="AN148" s="2347"/>
      <c r="AO148" s="2347"/>
      <c r="AP148" s="2347"/>
      <c r="AQ148" s="3570">
        <f>data!$BZ$31</f>
        <v>0</v>
      </c>
      <c r="AR148" s="3570"/>
      <c r="AS148" s="3570"/>
      <c r="AT148" s="3570">
        <f>data!$CA$31</f>
        <v>0</v>
      </c>
      <c r="AU148" s="3570"/>
      <c r="AV148" s="3570"/>
      <c r="AW148" s="3570">
        <f>data!$CB$31</f>
        <v>0</v>
      </c>
      <c r="AX148" s="3570"/>
      <c r="AY148" s="3570"/>
      <c r="AZ148" s="3570">
        <f>data!$CC$31</f>
        <v>0</v>
      </c>
      <c r="BA148" s="3570"/>
      <c r="BB148" s="3570"/>
      <c r="BC148" s="3570">
        <f>data!$CD$31</f>
        <v>0</v>
      </c>
      <c r="BD148" s="3570"/>
      <c r="BE148" s="3570"/>
      <c r="BF148" s="3570">
        <f>data!$CE$31</f>
        <v>0</v>
      </c>
      <c r="BG148" s="3570"/>
      <c r="BH148" s="3570"/>
      <c r="BI148" s="3570">
        <f>data!$CF$31</f>
        <v>0</v>
      </c>
      <c r="BJ148" s="3570"/>
      <c r="BK148" s="3570"/>
      <c r="BL148" s="3570">
        <f>data!$CG$31</f>
        <v>0</v>
      </c>
      <c r="BM148" s="3570"/>
      <c r="BN148" s="3570"/>
      <c r="BO148" s="3570">
        <f>data!CH31</f>
        <v>0</v>
      </c>
      <c r="BP148" s="3570"/>
      <c r="BQ148" s="3570"/>
      <c r="BR148" s="41"/>
      <c r="BS148" s="41"/>
      <c r="BT148" s="41"/>
      <c r="BU148" s="41"/>
      <c r="BV148" s="41"/>
      <c r="BW148" s="41"/>
      <c r="BX148" s="41"/>
      <c r="BY148" s="299"/>
    </row>
    <row r="149" spans="3:77" ht="17.100000000000001" customHeight="1" x14ac:dyDescent="0.15">
      <c r="C149" s="242"/>
      <c r="D149" s="1214"/>
      <c r="E149" s="1214"/>
      <c r="F149" s="1214"/>
      <c r="G149" s="1214"/>
      <c r="H149" s="1214"/>
      <c r="I149" s="1214"/>
      <c r="J149" s="1214"/>
      <c r="K149" s="1214"/>
      <c r="BQ149" s="1214"/>
      <c r="BR149" s="101"/>
      <c r="BS149" s="101"/>
      <c r="BT149" s="101"/>
      <c r="BU149" s="101"/>
      <c r="BV149" s="101"/>
      <c r="BW149" s="101"/>
      <c r="BX149" s="101"/>
      <c r="BY149" s="299"/>
    </row>
    <row r="150" spans="3:77" ht="17.100000000000001" customHeight="1" x14ac:dyDescent="0.25">
      <c r="C150" s="242"/>
      <c r="D150" s="76"/>
      <c r="E150" s="64"/>
      <c r="F150" s="64"/>
      <c r="G150" s="74"/>
      <c r="H150" s="74"/>
      <c r="I150" s="74"/>
      <c r="J150" s="74"/>
      <c r="K150" s="77"/>
      <c r="N150" s="101"/>
      <c r="O150" s="101"/>
      <c r="P150" s="101"/>
      <c r="Q150" s="101"/>
      <c r="R150" s="101"/>
      <c r="S150" s="101"/>
      <c r="T150" s="101"/>
      <c r="X150" s="77"/>
      <c r="Z150" s="77"/>
      <c r="AA150" s="67"/>
      <c r="AB150" s="67"/>
      <c r="AC150" s="68"/>
      <c r="AD150" s="68"/>
      <c r="AE150" s="68"/>
      <c r="AF150" s="68"/>
      <c r="AG150" s="76"/>
      <c r="AH150" s="64"/>
      <c r="AI150" s="64"/>
      <c r="AJ150" s="74"/>
      <c r="AK150" s="74"/>
      <c r="AL150" s="74"/>
      <c r="AM150" s="74"/>
      <c r="AO150" s="76"/>
      <c r="AR150" s="101"/>
      <c r="AS150" s="101"/>
      <c r="AT150" s="101"/>
      <c r="AU150" s="101"/>
      <c r="AV150" s="101"/>
      <c r="AW150" s="101"/>
      <c r="AX150" s="101"/>
      <c r="AY150" s="101"/>
      <c r="AZ150" s="101"/>
      <c r="BA150" s="70"/>
      <c r="BB150" s="1541"/>
      <c r="BC150" s="1541"/>
      <c r="BD150" s="71"/>
      <c r="BE150" s="71"/>
      <c r="BF150" s="72"/>
      <c r="BG150" s="72"/>
      <c r="BH150" s="72"/>
      <c r="BI150" s="72"/>
      <c r="BY150" s="299"/>
    </row>
    <row r="151" spans="3:77" ht="17.100000000000001" customHeight="1" x14ac:dyDescent="0.25">
      <c r="C151" s="251"/>
      <c r="D151" s="252"/>
      <c r="E151" s="1542"/>
      <c r="F151" s="1542"/>
      <c r="G151" s="1543"/>
      <c r="H151" s="1543"/>
      <c r="I151" s="1543"/>
      <c r="J151" s="1543"/>
      <c r="K151" s="1544"/>
      <c r="L151" s="1544"/>
      <c r="M151" s="1544"/>
      <c r="N151" s="1544"/>
      <c r="O151" s="1544"/>
      <c r="P151" s="1544"/>
      <c r="Q151" s="1544"/>
      <c r="R151" s="1544"/>
      <c r="S151" s="1544"/>
      <c r="T151" s="1544"/>
      <c r="U151" s="1544"/>
      <c r="V151" s="1544"/>
      <c r="W151" s="1544"/>
      <c r="X151" s="1544"/>
      <c r="Y151" s="1544"/>
      <c r="Z151" s="1544"/>
      <c r="AA151" s="1544"/>
      <c r="AB151" s="1544"/>
      <c r="AC151" s="1544"/>
      <c r="AD151" s="1544"/>
      <c r="AE151" s="1544"/>
      <c r="AF151" s="1544"/>
      <c r="AG151" s="1544"/>
      <c r="AH151" s="1544"/>
      <c r="AI151" s="1544"/>
      <c r="AJ151" s="1544"/>
      <c r="AK151" s="1543"/>
      <c r="AL151" s="1543"/>
      <c r="AM151" s="1543"/>
      <c r="AN151" s="252"/>
      <c r="AO151" s="252"/>
      <c r="AP151" s="252"/>
      <c r="AQ151" s="252"/>
      <c r="AR151" s="252"/>
      <c r="AS151" s="252"/>
      <c r="AT151" s="1545"/>
      <c r="AU151" s="1545"/>
      <c r="AV151" s="1546"/>
      <c r="AW151" s="1546"/>
      <c r="AX151" s="1547"/>
      <c r="AY151" s="1547"/>
      <c r="AZ151" s="1547"/>
      <c r="BA151" s="1547"/>
      <c r="BB151" s="1548"/>
      <c r="BC151" s="1548"/>
      <c r="BD151" s="1544"/>
      <c r="BE151" s="1544"/>
      <c r="BF151" s="1549"/>
      <c r="BG151" s="1549"/>
      <c r="BH151" s="1549"/>
      <c r="BI151" s="1549"/>
      <c r="BJ151" s="252"/>
      <c r="BK151" s="252"/>
      <c r="BL151" s="252"/>
      <c r="BM151" s="252"/>
      <c r="BN151" s="252"/>
      <c r="BO151" s="252"/>
      <c r="BP151" s="252"/>
      <c r="BQ151" s="252"/>
      <c r="BR151" s="252"/>
      <c r="BS151" s="252"/>
      <c r="BT151" s="252"/>
      <c r="BU151" s="252"/>
      <c r="BV151" s="252"/>
      <c r="BW151" s="252"/>
      <c r="BX151" s="252"/>
      <c r="BY151" s="253"/>
    </row>
    <row r="152" spans="3:77" ht="17.100000000000001" customHeight="1" x14ac:dyDescent="0.15">
      <c r="C152" s="75"/>
      <c r="D152" s="75"/>
      <c r="E152" s="64"/>
      <c r="F152" s="64"/>
      <c r="G152" s="74"/>
      <c r="H152" s="74"/>
      <c r="I152" s="74"/>
      <c r="J152" s="74"/>
      <c r="K152" s="78"/>
      <c r="M152" s="78"/>
      <c r="N152" s="67"/>
      <c r="O152" s="67"/>
      <c r="P152" s="68"/>
      <c r="Q152" s="68"/>
      <c r="R152" s="68"/>
      <c r="S152" s="68"/>
      <c r="X152" s="78"/>
      <c r="Z152" s="78"/>
      <c r="AA152" s="67"/>
      <c r="AB152" s="67"/>
      <c r="AC152" s="68"/>
      <c r="AD152" s="68"/>
      <c r="AE152" s="68"/>
      <c r="AF152" s="68"/>
      <c r="AG152" s="75"/>
      <c r="AH152" s="64"/>
      <c r="AI152" s="64"/>
      <c r="AJ152" s="74"/>
      <c r="AK152" s="74"/>
      <c r="AL152" s="74"/>
      <c r="AM152" s="74"/>
      <c r="AO152" s="75"/>
      <c r="AT152" s="76"/>
      <c r="AU152" s="76"/>
      <c r="AV152" s="64"/>
      <c r="AW152" s="64"/>
      <c r="AX152" s="74"/>
      <c r="AY152" s="74"/>
      <c r="AZ152" s="74"/>
      <c r="BA152" s="74"/>
      <c r="BB152" s="77"/>
      <c r="BC152" s="77"/>
      <c r="BD152" s="67"/>
      <c r="BE152" s="67"/>
      <c r="BF152" s="68"/>
      <c r="BG152" s="68"/>
      <c r="BH152" s="68"/>
      <c r="BI152" s="68"/>
    </row>
    <row r="153" spans="3:77" ht="17.100000000000001" customHeight="1" x14ac:dyDescent="0.25">
      <c r="C153" s="75"/>
      <c r="D153" s="75"/>
      <c r="E153" s="64"/>
      <c r="F153" s="64"/>
      <c r="G153" s="74"/>
      <c r="H153" s="74"/>
      <c r="I153" s="74"/>
      <c r="J153" s="74"/>
      <c r="K153" s="78"/>
      <c r="M153" s="78"/>
      <c r="N153" s="67"/>
      <c r="O153" s="67"/>
      <c r="P153" s="68"/>
      <c r="Q153" s="68"/>
      <c r="R153" s="68"/>
      <c r="S153" s="68"/>
      <c r="X153" s="78"/>
      <c r="Z153" s="78"/>
      <c r="AA153" s="67"/>
      <c r="AB153" s="67"/>
      <c r="AC153" s="68"/>
      <c r="AD153" s="68"/>
      <c r="AE153" s="68"/>
      <c r="AF153" s="68"/>
      <c r="AG153" s="75"/>
      <c r="AH153" s="64"/>
      <c r="AI153" s="64"/>
      <c r="AJ153" s="74"/>
      <c r="AK153" s="74"/>
      <c r="AL153" s="74"/>
      <c r="AM153" s="74"/>
      <c r="AO153" s="75"/>
      <c r="AV153" s="69"/>
      <c r="AW153" s="69"/>
      <c r="AX153" s="70"/>
      <c r="AY153" s="70"/>
      <c r="AZ153" s="70"/>
      <c r="BA153" s="70"/>
      <c r="BB153" s="67"/>
      <c r="BC153" s="67"/>
      <c r="BD153" s="71"/>
      <c r="BE153" s="71"/>
      <c r="BF153" s="72"/>
      <c r="BG153" s="72"/>
      <c r="BH153" s="72"/>
      <c r="BI153" s="72"/>
    </row>
  </sheetData>
  <sheetProtection sheet="1" objects="1" scenarios="1"/>
  <mergeCells count="557">
    <mergeCell ref="AL129:AP129"/>
    <mergeCell ref="AL130:AP130"/>
    <mergeCell ref="AL131:AP131"/>
    <mergeCell ref="AL132:AP132"/>
    <mergeCell ref="AL124:AP124"/>
    <mergeCell ref="AL125:AP125"/>
    <mergeCell ref="AL126:AP126"/>
    <mergeCell ref="AL127:AP127"/>
    <mergeCell ref="AL128:AP128"/>
    <mergeCell ref="BO143:BQ143"/>
    <mergeCell ref="AL134:AP134"/>
    <mergeCell ref="AL135:AP135"/>
    <mergeCell ref="AL136:AP136"/>
    <mergeCell ref="AL137:AP137"/>
    <mergeCell ref="AL138:AP138"/>
    <mergeCell ref="AL139:AP139"/>
    <mergeCell ref="AL140:AP140"/>
    <mergeCell ref="AL141:AP141"/>
    <mergeCell ref="AL142:AP142"/>
    <mergeCell ref="AL143:AP143"/>
    <mergeCell ref="BO138:BQ138"/>
    <mergeCell ref="BO139:BQ139"/>
    <mergeCell ref="BO140:BQ140"/>
    <mergeCell ref="BO141:BQ141"/>
    <mergeCell ref="BO142:BQ142"/>
    <mergeCell ref="BL142:BN142"/>
    <mergeCell ref="BL143:BN143"/>
    <mergeCell ref="BL141:BN141"/>
    <mergeCell ref="BI142:BK142"/>
    <mergeCell ref="BI143:BK143"/>
    <mergeCell ref="BI141:BK141"/>
    <mergeCell ref="BF142:BH142"/>
    <mergeCell ref="BF143:BH143"/>
    <mergeCell ref="BO121:BQ121"/>
    <mergeCell ref="BO123:BQ123"/>
    <mergeCell ref="BO124:BQ124"/>
    <mergeCell ref="BO125:BQ125"/>
    <mergeCell ref="BO126:BQ126"/>
    <mergeCell ref="BO127:BQ127"/>
    <mergeCell ref="BO128:BQ128"/>
    <mergeCell ref="BO129:BQ129"/>
    <mergeCell ref="BO130:BQ130"/>
    <mergeCell ref="BO133:BQ133"/>
    <mergeCell ref="BO134:BQ134"/>
    <mergeCell ref="BO135:BQ135"/>
    <mergeCell ref="BO136:BQ136"/>
    <mergeCell ref="BO137:BQ137"/>
    <mergeCell ref="BL137:BN137"/>
    <mergeCell ref="BL138:BN138"/>
    <mergeCell ref="BL139:BN139"/>
    <mergeCell ref="BL140:BN140"/>
    <mergeCell ref="BL121:BN121"/>
    <mergeCell ref="BL124:BN124"/>
    <mergeCell ref="BL125:BN125"/>
    <mergeCell ref="BL126:BN126"/>
    <mergeCell ref="BL127:BN127"/>
    <mergeCell ref="BL128:BN128"/>
    <mergeCell ref="BL129:BN129"/>
    <mergeCell ref="BL130:BN130"/>
    <mergeCell ref="BL131:BN131"/>
    <mergeCell ref="BL132:BN132"/>
    <mergeCell ref="BL133:BN133"/>
    <mergeCell ref="BL134:BN134"/>
    <mergeCell ref="BL135:BN135"/>
    <mergeCell ref="BL136:BN136"/>
    <mergeCell ref="BI137:BK137"/>
    <mergeCell ref="BI138:BK138"/>
    <mergeCell ref="BI139:BK139"/>
    <mergeCell ref="BI140:BK140"/>
    <mergeCell ref="BI122:BK122"/>
    <mergeCell ref="BI123:BK123"/>
    <mergeCell ref="BI124:BK124"/>
    <mergeCell ref="BI125:BK125"/>
    <mergeCell ref="BI126:BK126"/>
    <mergeCell ref="BI127:BK127"/>
    <mergeCell ref="BI128:BK128"/>
    <mergeCell ref="BI129:BK129"/>
    <mergeCell ref="BI130:BK130"/>
    <mergeCell ref="BC141:BE141"/>
    <mergeCell ref="BI131:BK131"/>
    <mergeCell ref="BI132:BK132"/>
    <mergeCell ref="BI134:BK134"/>
    <mergeCell ref="BI135:BK135"/>
    <mergeCell ref="BI136:BK136"/>
    <mergeCell ref="BF137:BH137"/>
    <mergeCell ref="BF138:BH138"/>
    <mergeCell ref="BF139:BH139"/>
    <mergeCell ref="BF140:BH140"/>
    <mergeCell ref="AZ137:BB137"/>
    <mergeCell ref="AZ138:BB138"/>
    <mergeCell ref="AZ141:BB141"/>
    <mergeCell ref="BF141:BH141"/>
    <mergeCell ref="BC142:BE142"/>
    <mergeCell ref="BC143:BE143"/>
    <mergeCell ref="BF121:BH121"/>
    <mergeCell ref="BF122:BH122"/>
    <mergeCell ref="BF123:BH123"/>
    <mergeCell ref="BF124:BH124"/>
    <mergeCell ref="BF125:BH125"/>
    <mergeCell ref="BF126:BH126"/>
    <mergeCell ref="BF127:BH127"/>
    <mergeCell ref="BF128:BH128"/>
    <mergeCell ref="BF129:BH129"/>
    <mergeCell ref="BF130:BH130"/>
    <mergeCell ref="BF131:BH131"/>
    <mergeCell ref="BF132:BH132"/>
    <mergeCell ref="BF135:BH135"/>
    <mergeCell ref="BF136:BH136"/>
    <mergeCell ref="BC136:BE136"/>
    <mergeCell ref="BC137:BE137"/>
    <mergeCell ref="BC138:BE138"/>
    <mergeCell ref="BC140:BE140"/>
    <mergeCell ref="AZ132:BB132"/>
    <mergeCell ref="AW135:AY135"/>
    <mergeCell ref="AW136:AY136"/>
    <mergeCell ref="AW137:AY137"/>
    <mergeCell ref="AW138:AY138"/>
    <mergeCell ref="AW139:AY139"/>
    <mergeCell ref="AZ142:BB142"/>
    <mergeCell ref="AZ143:BB143"/>
    <mergeCell ref="BC122:BE122"/>
    <mergeCell ref="BC123:BE123"/>
    <mergeCell ref="BC124:BE124"/>
    <mergeCell ref="BC125:BE125"/>
    <mergeCell ref="BC126:BE126"/>
    <mergeCell ref="BC127:BE127"/>
    <mergeCell ref="BC128:BE128"/>
    <mergeCell ref="BC129:BE129"/>
    <mergeCell ref="BC130:BE130"/>
    <mergeCell ref="BC131:BE131"/>
    <mergeCell ref="BC132:BE132"/>
    <mergeCell ref="BC133:BE133"/>
    <mergeCell ref="BC134:BE134"/>
    <mergeCell ref="BC135:BE135"/>
    <mergeCell ref="AZ135:BB135"/>
    <mergeCell ref="AZ136:BB136"/>
    <mergeCell ref="AZ123:BB123"/>
    <mergeCell ref="AZ124:BB124"/>
    <mergeCell ref="AZ125:BB125"/>
    <mergeCell ref="AZ126:BB126"/>
    <mergeCell ref="AZ127:BB127"/>
    <mergeCell ref="AZ128:BB128"/>
    <mergeCell ref="AZ129:BB129"/>
    <mergeCell ref="AZ130:BB130"/>
    <mergeCell ref="AZ131:BB131"/>
    <mergeCell ref="AT139:AV139"/>
    <mergeCell ref="AT140:AV140"/>
    <mergeCell ref="AT131:AV131"/>
    <mergeCell ref="AT141:AV141"/>
    <mergeCell ref="AT142:AV142"/>
    <mergeCell ref="AT143:AV143"/>
    <mergeCell ref="AW121:AY121"/>
    <mergeCell ref="AW122:AY122"/>
    <mergeCell ref="AW123:AY123"/>
    <mergeCell ref="AW124:AY124"/>
    <mergeCell ref="AW125:AY125"/>
    <mergeCell ref="AW126:AY126"/>
    <mergeCell ref="AW127:AY127"/>
    <mergeCell ref="AW128:AY128"/>
    <mergeCell ref="AW129:AY129"/>
    <mergeCell ref="AW130:AY130"/>
    <mergeCell ref="AW131:AY131"/>
    <mergeCell ref="AW133:AY133"/>
    <mergeCell ref="AW134:AY134"/>
    <mergeCell ref="AW140:AY140"/>
    <mergeCell ref="AW141:AY141"/>
    <mergeCell ref="AW142:AY142"/>
    <mergeCell ref="AW143:AY143"/>
    <mergeCell ref="AQ132:AS132"/>
    <mergeCell ref="AQ137:AS137"/>
    <mergeCell ref="AQ138:AS138"/>
    <mergeCell ref="AQ142:AS142"/>
    <mergeCell ref="AQ143:AS143"/>
    <mergeCell ref="AT121:AV121"/>
    <mergeCell ref="AT122:AV122"/>
    <mergeCell ref="AT123:AV123"/>
    <mergeCell ref="AT124:AV124"/>
    <mergeCell ref="AT125:AV125"/>
    <mergeCell ref="AT126:AV126"/>
    <mergeCell ref="AT127:AV127"/>
    <mergeCell ref="AT128:AV128"/>
    <mergeCell ref="AT129:AV129"/>
    <mergeCell ref="AT130:AV130"/>
    <mergeCell ref="AT134:AV134"/>
    <mergeCell ref="AT135:AV135"/>
    <mergeCell ref="AT136:AV136"/>
    <mergeCell ref="AT137:AV137"/>
    <mergeCell ref="AT132:AV132"/>
    <mergeCell ref="AT133:AV133"/>
    <mergeCell ref="AQ139:AS139"/>
    <mergeCell ref="AQ140:AS140"/>
    <mergeCell ref="AT138:AV138"/>
    <mergeCell ref="AI135:AK135"/>
    <mergeCell ref="AI136:AK136"/>
    <mergeCell ref="AF128:AH128"/>
    <mergeCell ref="AF122:AH122"/>
    <mergeCell ref="AI142:AK142"/>
    <mergeCell ref="AI143:AK143"/>
    <mergeCell ref="AQ121:AS121"/>
    <mergeCell ref="AQ122:AS122"/>
    <mergeCell ref="AQ123:AS123"/>
    <mergeCell ref="AQ124:AS124"/>
    <mergeCell ref="AQ125:AS125"/>
    <mergeCell ref="AQ126:AS126"/>
    <mergeCell ref="AQ127:AS127"/>
    <mergeCell ref="AQ128:AS128"/>
    <mergeCell ref="AQ129:AS129"/>
    <mergeCell ref="AQ130:AS130"/>
    <mergeCell ref="AQ133:AS133"/>
    <mergeCell ref="AQ134:AS134"/>
    <mergeCell ref="AQ135:AS135"/>
    <mergeCell ref="AQ136:AS136"/>
    <mergeCell ref="AI137:AK137"/>
    <mergeCell ref="AI138:AK138"/>
    <mergeCell ref="AI139:AK139"/>
    <mergeCell ref="AI140:AK140"/>
    <mergeCell ref="AI124:AK124"/>
    <mergeCell ref="AI125:AK125"/>
    <mergeCell ref="AI126:AK126"/>
    <mergeCell ref="AI128:AK128"/>
    <mergeCell ref="AI129:AK129"/>
    <mergeCell ref="AI130:AK130"/>
    <mergeCell ref="AI131:AK131"/>
    <mergeCell ref="AI132:AK132"/>
    <mergeCell ref="AI133:AK133"/>
    <mergeCell ref="AF136:AH136"/>
    <mergeCell ref="AF137:AH137"/>
    <mergeCell ref="AC135:AE135"/>
    <mergeCell ref="AC136:AE136"/>
    <mergeCell ref="AC137:AE137"/>
    <mergeCell ref="AC138:AE138"/>
    <mergeCell ref="AC139:AE139"/>
    <mergeCell ref="AC129:AE129"/>
    <mergeCell ref="AC130:AE130"/>
    <mergeCell ref="AC131:AE131"/>
    <mergeCell ref="AF126:AH126"/>
    <mergeCell ref="AF127:AH127"/>
    <mergeCell ref="AF129:AH129"/>
    <mergeCell ref="AF130:AH130"/>
    <mergeCell ref="AF131:AH131"/>
    <mergeCell ref="AF132:AH132"/>
    <mergeCell ref="AF133:AH133"/>
    <mergeCell ref="AF134:AH134"/>
    <mergeCell ref="AF135:AH135"/>
    <mergeCell ref="W138:Y138"/>
    <mergeCell ref="W139:Y139"/>
    <mergeCell ref="W124:Y124"/>
    <mergeCell ref="W125:Y125"/>
    <mergeCell ref="W126:Y126"/>
    <mergeCell ref="W127:Y127"/>
    <mergeCell ref="W128:Y128"/>
    <mergeCell ref="Z137:AB137"/>
    <mergeCell ref="Z138:AB138"/>
    <mergeCell ref="Z139:AB139"/>
    <mergeCell ref="Z130:AB130"/>
    <mergeCell ref="Z131:AB131"/>
    <mergeCell ref="Z132:AB132"/>
    <mergeCell ref="Z133:AB133"/>
    <mergeCell ref="Z134:AB134"/>
    <mergeCell ref="Z124:AB124"/>
    <mergeCell ref="Z125:AB125"/>
    <mergeCell ref="Z126:AB126"/>
    <mergeCell ref="Z127:AB127"/>
    <mergeCell ref="Z128:AB128"/>
    <mergeCell ref="Z135:AB135"/>
    <mergeCell ref="Z136:AB136"/>
    <mergeCell ref="AW144:AY147"/>
    <mergeCell ref="AZ144:BB147"/>
    <mergeCell ref="BC144:BE147"/>
    <mergeCell ref="BF144:BH147"/>
    <mergeCell ref="BI144:BK147"/>
    <mergeCell ref="BL122:BN122"/>
    <mergeCell ref="BO131:BQ131"/>
    <mergeCell ref="BF133:BH133"/>
    <mergeCell ref="BC121:BE121"/>
    <mergeCell ref="BI121:BK121"/>
    <mergeCell ref="BL123:BN123"/>
    <mergeCell ref="BO132:BQ132"/>
    <mergeCell ref="BF134:BH134"/>
    <mergeCell ref="BL144:BN147"/>
    <mergeCell ref="BO144:BQ147"/>
    <mergeCell ref="AZ139:BB139"/>
    <mergeCell ref="AZ140:BB140"/>
    <mergeCell ref="BI133:BK133"/>
    <mergeCell ref="AZ133:BB133"/>
    <mergeCell ref="AZ134:BB134"/>
    <mergeCell ref="AW132:AY132"/>
    <mergeCell ref="BO122:BQ122"/>
    <mergeCell ref="AZ121:BB121"/>
    <mergeCell ref="AZ122:BB122"/>
    <mergeCell ref="K142:M142"/>
    <mergeCell ref="W142:Y142"/>
    <mergeCell ref="K143:M143"/>
    <mergeCell ref="N143:P143"/>
    <mergeCell ref="Q143:S143"/>
    <mergeCell ref="T142:V142"/>
    <mergeCell ref="T143:V143"/>
    <mergeCell ref="W143:Y143"/>
    <mergeCell ref="Z142:AB142"/>
    <mergeCell ref="Z143:AB143"/>
    <mergeCell ref="K132:M132"/>
    <mergeCell ref="K133:M133"/>
    <mergeCell ref="AL133:AP133"/>
    <mergeCell ref="K134:M134"/>
    <mergeCell ref="T132:V132"/>
    <mergeCell ref="T133:V133"/>
    <mergeCell ref="T134:V134"/>
    <mergeCell ref="W132:Y132"/>
    <mergeCell ref="W133:Y133"/>
    <mergeCell ref="W134:Y134"/>
    <mergeCell ref="AC134:AE134"/>
    <mergeCell ref="N133:P133"/>
    <mergeCell ref="Q133:S133"/>
    <mergeCell ref="N134:P134"/>
    <mergeCell ref="Q134:S134"/>
    <mergeCell ref="N132:P132"/>
    <mergeCell ref="Q132:S132"/>
    <mergeCell ref="AC132:AE132"/>
    <mergeCell ref="AC133:AE133"/>
    <mergeCell ref="AI134:AK134"/>
    <mergeCell ref="K121:M121"/>
    <mergeCell ref="K122:M122"/>
    <mergeCell ref="K123:M123"/>
    <mergeCell ref="AC123:AE123"/>
    <mergeCell ref="K124:M124"/>
    <mergeCell ref="K125:M125"/>
    <mergeCell ref="K126:M126"/>
    <mergeCell ref="K127:M127"/>
    <mergeCell ref="K128:M128"/>
    <mergeCell ref="N128:P128"/>
    <mergeCell ref="Q128:S128"/>
    <mergeCell ref="N122:P122"/>
    <mergeCell ref="Q122:S122"/>
    <mergeCell ref="N123:P123"/>
    <mergeCell ref="Q123:S123"/>
    <mergeCell ref="T122:V122"/>
    <mergeCell ref="T123:V123"/>
    <mergeCell ref="W122:Y122"/>
    <mergeCell ref="W123:Y123"/>
    <mergeCell ref="Z122:AB122"/>
    <mergeCell ref="Z123:AB123"/>
    <mergeCell ref="AC122:AE122"/>
    <mergeCell ref="T124:V124"/>
    <mergeCell ref="T125:V125"/>
    <mergeCell ref="K129:M129"/>
    <mergeCell ref="Z144:AB147"/>
    <mergeCell ref="AC144:AE147"/>
    <mergeCell ref="AF144:AH147"/>
    <mergeCell ref="AI144:AK147"/>
    <mergeCell ref="AL144:AP147"/>
    <mergeCell ref="AQ144:AS147"/>
    <mergeCell ref="K144:M147"/>
    <mergeCell ref="N144:P147"/>
    <mergeCell ref="Q144:S147"/>
    <mergeCell ref="T144:V147"/>
    <mergeCell ref="W144:Y147"/>
    <mergeCell ref="K140:M140"/>
    <mergeCell ref="K141:M141"/>
    <mergeCell ref="T141:V141"/>
    <mergeCell ref="W141:Y141"/>
    <mergeCell ref="Z140:AB140"/>
    <mergeCell ref="AC140:AE140"/>
    <mergeCell ref="AC141:AE141"/>
    <mergeCell ref="AF140:AH140"/>
    <mergeCell ref="AF141:AH141"/>
    <mergeCell ref="AQ141:AS141"/>
    <mergeCell ref="N138:P138"/>
    <mergeCell ref="Q138:S138"/>
    <mergeCell ref="AT144:AV147"/>
    <mergeCell ref="Z141:AB141"/>
    <mergeCell ref="N142:P142"/>
    <mergeCell ref="Q142:S142"/>
    <mergeCell ref="N140:P140"/>
    <mergeCell ref="Q140:S140"/>
    <mergeCell ref="T140:V140"/>
    <mergeCell ref="W140:Y140"/>
    <mergeCell ref="N141:P141"/>
    <mergeCell ref="Q141:S141"/>
    <mergeCell ref="AC142:AE142"/>
    <mergeCell ref="AC143:AE143"/>
    <mergeCell ref="AF142:AH142"/>
    <mergeCell ref="AF143:AH143"/>
    <mergeCell ref="AI141:AK141"/>
    <mergeCell ref="N139:P139"/>
    <mergeCell ref="Q139:S139"/>
    <mergeCell ref="BC139:BE139"/>
    <mergeCell ref="K138:M138"/>
    <mergeCell ref="K139:M139"/>
    <mergeCell ref="AF138:AH138"/>
    <mergeCell ref="AF139:AH139"/>
    <mergeCell ref="N135:P135"/>
    <mergeCell ref="Q135:S135"/>
    <mergeCell ref="N136:P136"/>
    <mergeCell ref="Q136:S136"/>
    <mergeCell ref="N137:P137"/>
    <mergeCell ref="Q137:S137"/>
    <mergeCell ref="K135:M135"/>
    <mergeCell ref="K136:M136"/>
    <mergeCell ref="K137:M137"/>
    <mergeCell ref="T135:V135"/>
    <mergeCell ref="T136:V136"/>
    <mergeCell ref="T137:V137"/>
    <mergeCell ref="T138:V138"/>
    <mergeCell ref="T139:V139"/>
    <mergeCell ref="W135:Y135"/>
    <mergeCell ref="W136:Y136"/>
    <mergeCell ref="W137:Y137"/>
    <mergeCell ref="K131:M131"/>
    <mergeCell ref="N130:P130"/>
    <mergeCell ref="Q130:S130"/>
    <mergeCell ref="N131:P131"/>
    <mergeCell ref="Q131:S131"/>
    <mergeCell ref="K130:M130"/>
    <mergeCell ref="AQ131:AS131"/>
    <mergeCell ref="T130:V130"/>
    <mergeCell ref="T131:V131"/>
    <mergeCell ref="W130:Y130"/>
    <mergeCell ref="W131:Y131"/>
    <mergeCell ref="N129:P129"/>
    <mergeCell ref="Q129:S129"/>
    <mergeCell ref="T129:V129"/>
    <mergeCell ref="W129:Y129"/>
    <mergeCell ref="Z129:AB129"/>
    <mergeCell ref="N127:P127"/>
    <mergeCell ref="Q127:S127"/>
    <mergeCell ref="AI127:AK127"/>
    <mergeCell ref="N124:P124"/>
    <mergeCell ref="Q124:S124"/>
    <mergeCell ref="N125:P125"/>
    <mergeCell ref="Q125:S125"/>
    <mergeCell ref="N126:P126"/>
    <mergeCell ref="Q126:S126"/>
    <mergeCell ref="T126:V126"/>
    <mergeCell ref="T127:V127"/>
    <mergeCell ref="T128:V128"/>
    <mergeCell ref="AC124:AE124"/>
    <mergeCell ref="AC125:AE125"/>
    <mergeCell ref="AC126:AE126"/>
    <mergeCell ref="AC127:AE127"/>
    <mergeCell ref="AC128:AE128"/>
    <mergeCell ref="AF124:AH124"/>
    <mergeCell ref="AF125:AH125"/>
    <mergeCell ref="AL122:AP122"/>
    <mergeCell ref="AL123:AP123"/>
    <mergeCell ref="N121:P121"/>
    <mergeCell ref="Q121:S121"/>
    <mergeCell ref="T121:V121"/>
    <mergeCell ref="W121:Y121"/>
    <mergeCell ref="Z121:AB121"/>
    <mergeCell ref="AC121:AE121"/>
    <mergeCell ref="AF121:AH121"/>
    <mergeCell ref="AI121:AK121"/>
    <mergeCell ref="AL121:AP121"/>
    <mergeCell ref="AF123:AH123"/>
    <mergeCell ref="AI122:AK122"/>
    <mergeCell ref="AI123:AK123"/>
    <mergeCell ref="CZ12:DA12"/>
    <mergeCell ref="DB12:DC12"/>
    <mergeCell ref="DD12:DE12"/>
    <mergeCell ref="DF12:DG12"/>
    <mergeCell ref="CT14:CU14"/>
    <mergeCell ref="CV14:CW14"/>
    <mergeCell ref="CX14:CY14"/>
    <mergeCell ref="CZ14:DA14"/>
    <mergeCell ref="DB14:DC14"/>
    <mergeCell ref="DD14:DE14"/>
    <mergeCell ref="DF14:DG14"/>
    <mergeCell ref="H10:I10"/>
    <mergeCell ref="L10:M10"/>
    <mergeCell ref="CV12:CW12"/>
    <mergeCell ref="CX12:CY12"/>
    <mergeCell ref="F8:G8"/>
    <mergeCell ref="H8:I8"/>
    <mergeCell ref="J8:K8"/>
    <mergeCell ref="L8:M8"/>
    <mergeCell ref="N8:O8"/>
    <mergeCell ref="CT12:CU12"/>
    <mergeCell ref="T2:BZ37"/>
    <mergeCell ref="M3:N4"/>
    <mergeCell ref="O3:P4"/>
    <mergeCell ref="Q3:R4"/>
    <mergeCell ref="N6:O6"/>
    <mergeCell ref="P6:Q6"/>
    <mergeCell ref="D6:E6"/>
    <mergeCell ref="F6:G6"/>
    <mergeCell ref="H6:I6"/>
    <mergeCell ref="J6:K6"/>
    <mergeCell ref="L6:M6"/>
    <mergeCell ref="C3:D4"/>
    <mergeCell ref="K3:L4"/>
    <mergeCell ref="I3:J4"/>
    <mergeCell ref="G3:H4"/>
    <mergeCell ref="E3:F4"/>
    <mergeCell ref="J40:K40"/>
    <mergeCell ref="J39:K39"/>
    <mergeCell ref="J38:K38"/>
    <mergeCell ref="I20:L20"/>
    <mergeCell ref="O57:R58"/>
    <mergeCell ref="M42:N43"/>
    <mergeCell ref="O48:R49"/>
    <mergeCell ref="O42:R43"/>
    <mergeCell ref="O45:R46"/>
    <mergeCell ref="L51:L52"/>
    <mergeCell ref="M51:N52"/>
    <mergeCell ref="L48:L49"/>
    <mergeCell ref="M48:N49"/>
    <mergeCell ref="M45:N46"/>
    <mergeCell ref="O51:R52"/>
    <mergeCell ref="O54:R55"/>
    <mergeCell ref="L54:L55"/>
    <mergeCell ref="M54:N55"/>
    <mergeCell ref="D54:D55"/>
    <mergeCell ref="E54:F55"/>
    <mergeCell ref="G54:J55"/>
    <mergeCell ref="O60:R61"/>
    <mergeCell ref="D57:D58"/>
    <mergeCell ref="E57:F58"/>
    <mergeCell ref="G57:J58"/>
    <mergeCell ref="L57:L58"/>
    <mergeCell ref="M57:N58"/>
    <mergeCell ref="L60:L61"/>
    <mergeCell ref="M60:N61"/>
    <mergeCell ref="D60:D61"/>
    <mergeCell ref="E60:F61"/>
    <mergeCell ref="G60:J61"/>
    <mergeCell ref="D42:D43"/>
    <mergeCell ref="D45:D46"/>
    <mergeCell ref="E45:F46"/>
    <mergeCell ref="G45:J46"/>
    <mergeCell ref="L45:L46"/>
    <mergeCell ref="E42:F43"/>
    <mergeCell ref="G42:J43"/>
    <mergeCell ref="L42:L43"/>
    <mergeCell ref="D51:D52"/>
    <mergeCell ref="E51:F52"/>
    <mergeCell ref="G51:J52"/>
    <mergeCell ref="D48:D49"/>
    <mergeCell ref="E48:F49"/>
    <mergeCell ref="G48:J49"/>
    <mergeCell ref="K148:M148"/>
    <mergeCell ref="N148:P148"/>
    <mergeCell ref="AI148:AK148"/>
    <mergeCell ref="AF148:AH148"/>
    <mergeCell ref="AC148:AE148"/>
    <mergeCell ref="Z148:AB148"/>
    <mergeCell ref="W148:Y148"/>
    <mergeCell ref="T148:V148"/>
    <mergeCell ref="Q148:S148"/>
    <mergeCell ref="BO148:BQ148"/>
    <mergeCell ref="BL148:BN148"/>
    <mergeCell ref="BI148:BK148"/>
    <mergeCell ref="BF148:BH148"/>
    <mergeCell ref="BC148:BE148"/>
    <mergeCell ref="AZ148:BB148"/>
    <mergeCell ref="AW148:AY148"/>
    <mergeCell ref="AT148:AV148"/>
    <mergeCell ref="AQ148:AS148"/>
  </mergeCells>
  <conditionalFormatting sqref="C20:D20">
    <cfRule type="expression" dxfId="5567" priority="196">
      <formula>$CC$20="Y"</formula>
    </cfRule>
  </conditionalFormatting>
  <conditionalFormatting sqref="D20">
    <cfRule type="expression" dxfId="5566" priority="65">
      <formula>$I$20=""</formula>
    </cfRule>
  </conditionalFormatting>
  <conditionalFormatting sqref="D42:D43">
    <cfRule type="expression" dxfId="5565" priority="258">
      <formula>E42&gt;=1</formula>
    </cfRule>
  </conditionalFormatting>
  <conditionalFormatting sqref="D45:D46">
    <cfRule type="expression" dxfId="5564" priority="225">
      <formula>E45&gt;=1</formula>
    </cfRule>
  </conditionalFormatting>
  <conditionalFormatting sqref="D48:D49">
    <cfRule type="expression" dxfId="5563" priority="226">
      <formula>E48&gt;=0.5</formula>
    </cfRule>
  </conditionalFormatting>
  <conditionalFormatting sqref="D51:D52">
    <cfRule type="expression" dxfId="5562" priority="172">
      <formula>E51&gt;=0.5</formula>
    </cfRule>
  </conditionalFormatting>
  <conditionalFormatting sqref="D54:D55">
    <cfRule type="expression" dxfId="5561" priority="171">
      <formula>E54&gt;=0.5</formula>
    </cfRule>
  </conditionalFormatting>
  <conditionalFormatting sqref="D57:D58">
    <cfRule type="expression" dxfId="5560" priority="170">
      <formula>E57&gt;=0.5</formula>
    </cfRule>
  </conditionalFormatting>
  <conditionalFormatting sqref="D60:D61">
    <cfRule type="expression" dxfId="5559" priority="169">
      <formula>E60&gt;=0.5</formula>
    </cfRule>
  </conditionalFormatting>
  <conditionalFormatting sqref="E42:F43">
    <cfRule type="expression" dxfId="5558" priority="260">
      <formula>E42&gt;=1</formula>
    </cfRule>
  </conditionalFormatting>
  <conditionalFormatting sqref="E45:F46">
    <cfRule type="expression" dxfId="5557" priority="242">
      <formula>E45&gt;=1</formula>
    </cfRule>
  </conditionalFormatting>
  <conditionalFormatting sqref="E48:F49">
    <cfRule type="expression" dxfId="5556" priority="240">
      <formula>E48&gt;=0.5</formula>
    </cfRule>
  </conditionalFormatting>
  <conditionalFormatting sqref="E51:F52">
    <cfRule type="expression" dxfId="5555" priority="184">
      <formula>E51&gt;=0.5</formula>
    </cfRule>
  </conditionalFormatting>
  <conditionalFormatting sqref="E54:F55">
    <cfRule type="expression" dxfId="5554" priority="182">
      <formula>E54&gt;=0.5</formula>
    </cfRule>
  </conditionalFormatting>
  <conditionalFormatting sqref="E57:F58">
    <cfRule type="expression" dxfId="5553" priority="180">
      <formula>E57&gt;=0.5</formula>
    </cfRule>
  </conditionalFormatting>
  <conditionalFormatting sqref="E60:F61">
    <cfRule type="expression" dxfId="5552" priority="178">
      <formula>E60&gt;=0.5</formula>
    </cfRule>
  </conditionalFormatting>
  <conditionalFormatting sqref="G42:J43">
    <cfRule type="expression" dxfId="5551" priority="259">
      <formula>E42&gt;=1</formula>
    </cfRule>
  </conditionalFormatting>
  <conditionalFormatting sqref="G45:J46">
    <cfRule type="expression" dxfId="5550" priority="211">
      <formula>E45&gt;=1</formula>
    </cfRule>
  </conditionalFormatting>
  <conditionalFormatting sqref="G48:J49">
    <cfRule type="expression" dxfId="5549" priority="210">
      <formula>E48&gt;=0.5</formula>
    </cfRule>
  </conditionalFormatting>
  <conditionalFormatting sqref="G51:J52">
    <cfRule type="expression" dxfId="5548" priority="183">
      <formula>E51&gt;=0.5</formula>
    </cfRule>
  </conditionalFormatting>
  <conditionalFormatting sqref="G54:J55">
    <cfRule type="expression" dxfId="5547" priority="181">
      <formula>E54&gt;=0.5</formula>
    </cfRule>
  </conditionalFormatting>
  <conditionalFormatting sqref="G57:J58">
    <cfRule type="expression" dxfId="5546" priority="179">
      <formula>E57&gt;=0.5</formula>
    </cfRule>
  </conditionalFormatting>
  <conditionalFormatting sqref="G60:J61">
    <cfRule type="expression" dxfId="5545" priority="177">
      <formula>E60&gt;=0.5</formula>
    </cfRule>
  </conditionalFormatting>
  <conditionalFormatting sqref="BP121:BQ143">
    <cfRule type="expression" dxfId="5544" priority="9">
      <formula>BP121&gt;=BQ$148</formula>
    </cfRule>
    <cfRule type="expression" dxfId="5543" priority="10">
      <formula>BP121&gt;BQ$148</formula>
    </cfRule>
  </conditionalFormatting>
  <conditionalFormatting sqref="L42:L43">
    <cfRule type="expression" dxfId="5542" priority="255">
      <formula>M42&gt;=1</formula>
    </cfRule>
  </conditionalFormatting>
  <conditionalFormatting sqref="L45:L46">
    <cfRule type="expression" dxfId="5541" priority="220">
      <formula>M45&gt;=0.5</formula>
    </cfRule>
  </conditionalFormatting>
  <conditionalFormatting sqref="L48:L49">
    <cfRule type="expression" dxfId="5540" priority="219">
      <formula>M48&gt;=0.5</formula>
    </cfRule>
  </conditionalFormatting>
  <conditionalFormatting sqref="L51:L52">
    <cfRule type="expression" dxfId="5539" priority="176">
      <formula>M51&gt;=1</formula>
    </cfRule>
  </conditionalFormatting>
  <conditionalFormatting sqref="L54:L55">
    <cfRule type="expression" dxfId="5538" priority="175">
      <formula>M54&gt;=1</formula>
    </cfRule>
  </conditionalFormatting>
  <conditionalFormatting sqref="L57:L58">
    <cfRule type="expression" dxfId="5537" priority="174">
      <formula>M57&gt;=1</formula>
    </cfRule>
  </conditionalFormatting>
  <conditionalFormatting sqref="L60:L61">
    <cfRule type="expression" dxfId="5536" priority="173">
      <formula>M60&gt;=1</formula>
    </cfRule>
  </conditionalFormatting>
  <conditionalFormatting sqref="M42:N43">
    <cfRule type="expression" dxfId="5535" priority="257">
      <formula>M42&gt;=1</formula>
    </cfRule>
  </conditionalFormatting>
  <conditionalFormatting sqref="M45:N46">
    <cfRule type="expression" dxfId="5534" priority="254">
      <formula>M45&gt;=0.5</formula>
    </cfRule>
  </conditionalFormatting>
  <conditionalFormatting sqref="M48:N49">
    <cfRule type="expression" dxfId="5533" priority="194">
      <formula>M48&gt;=0.5</formula>
    </cfRule>
  </conditionalFormatting>
  <conditionalFormatting sqref="M51:N52">
    <cfRule type="expression" dxfId="5532" priority="192">
      <formula>M51&gt;=0.5</formula>
    </cfRule>
  </conditionalFormatting>
  <conditionalFormatting sqref="M54:N55">
    <cfRule type="expression" dxfId="5531" priority="190">
      <formula>M54&gt;=0.5</formula>
    </cfRule>
  </conditionalFormatting>
  <conditionalFormatting sqref="M57:N58">
    <cfRule type="expression" dxfId="5530" priority="188">
      <formula>M57&gt;=0.5</formula>
    </cfRule>
  </conditionalFormatting>
  <conditionalFormatting sqref="M60:N61">
    <cfRule type="expression" dxfId="5529" priority="186">
      <formula>M60&gt;=0.5</formula>
    </cfRule>
  </conditionalFormatting>
  <conditionalFormatting sqref="O42:R43">
    <cfRule type="expression" dxfId="5528" priority="256">
      <formula>M42&gt;=1</formula>
    </cfRule>
  </conditionalFormatting>
  <conditionalFormatting sqref="O45:R46">
    <cfRule type="expression" dxfId="5527" priority="216">
      <formula>M45&gt;=0.5</formula>
    </cfRule>
  </conditionalFormatting>
  <conditionalFormatting sqref="O48:R49">
    <cfRule type="expression" dxfId="5526" priority="193">
      <formula>M48&gt;=0.5</formula>
    </cfRule>
  </conditionalFormatting>
  <conditionalFormatting sqref="O51:R52">
    <cfRule type="expression" dxfId="5525" priority="191">
      <formula>M51&gt;=0.5</formula>
    </cfRule>
  </conditionalFormatting>
  <conditionalFormatting sqref="O54:R55">
    <cfRule type="expression" dxfId="5524" priority="189">
      <formula>M54&gt;=0.5</formula>
    </cfRule>
  </conditionalFormatting>
  <conditionalFormatting sqref="O57:R58">
    <cfRule type="expression" dxfId="5523" priority="187">
      <formula>M57&gt;=0.5</formula>
    </cfRule>
  </conditionalFormatting>
  <conditionalFormatting sqref="O60:R61">
    <cfRule type="expression" dxfId="5522" priority="185">
      <formula>M60&gt;=0.5</formula>
    </cfRule>
  </conditionalFormatting>
  <conditionalFormatting sqref="Q20">
    <cfRule type="expression" dxfId="5521" priority="64">
      <formula>$I$20=""</formula>
    </cfRule>
  </conditionalFormatting>
  <conditionalFormatting sqref="Q20:R20">
    <cfRule type="expression" dxfId="5520" priority="195">
      <formula>$CC$20="T"</formula>
    </cfRule>
  </conditionalFormatting>
  <conditionalFormatting sqref="K121:AK143 AQ121:BO143">
    <cfRule type="expression" dxfId="5519" priority="41682">
      <formula>K121&gt;=L$120</formula>
    </cfRule>
    <cfRule type="expression" dxfId="5518" priority="41683">
      <formula>K121&gt;L$120</formula>
    </cfRule>
  </conditionalFormatting>
  <conditionalFormatting sqref="AL121:AP143">
    <cfRule type="expression" dxfId="5517" priority="41688">
      <formula>$AN$120&gt;=I121</formula>
    </cfRule>
  </conditionalFormatting>
  <conditionalFormatting sqref="K144:AK147 AQ144:BQ147">
    <cfRule type="expression" dxfId="5516" priority="1">
      <formula>K148=0</formula>
    </cfRule>
  </conditionalFormatting>
  <dataValidations count="6">
    <dataValidation type="list" allowBlank="1" showInputMessage="1" showErrorMessage="1" sqref="I20:L20" xr:uid="{CA402236-FA94-491D-AFE1-D06BC8D97CF8}">
      <formula1>$CC$22:$CC$25</formula1>
    </dataValidation>
    <dataValidation allowBlank="1" showInputMessage="1" showErrorMessage="1" promptTitle="HP" prompt="Current number of Health Points." sqref="C3:R4" xr:uid="{4966C6B5-4C3D-45C4-8968-448B3B973134}"/>
    <dataValidation allowBlank="1" showInputMessage="1" showErrorMessage="1" promptTitle="Select Data" prompt="Choose data to show in main panel:_x000a_TODAY_x000a_YESTERDAY_x000a_AVERAGES_x000a_MAXIMUMS" sqref="C20:D20 Q20:R20" xr:uid="{1A2DC7A9-363A-44FB-BA3C-60F6F9CF12E0}"/>
    <dataValidation allowBlank="1" showInputMessage="1" showErrorMessage="1" promptTitle="LIVES" prompt="Current number of life hearts." sqref="CT12:DG12 CT14:DG14 E8:P9 G10:N11 C5:R7" xr:uid="{83EB0D1B-A9E2-445A-8BE5-9FBCFECC8042}"/>
    <dataValidation allowBlank="1" showInputMessage="1" showErrorMessage="1" promptTitle=" HUD" prompt="This is the heads-up display._x000a_ _x000a_Here you can:_x000a_• see the status of health and lives_x000a_• see an overview of actions done_x000a_• review the month and year_x000a_ _x000a_Select individual cells for specific information and instructions." sqref="CA1" xr:uid="{0B5BB6CB-2E34-438B-98A2-28FD0B1AD425}"/>
    <dataValidation allowBlank="1" showInputMessage="1" showErrorMessage="1" promptTitle="[HUD = Overview]" prompt=" LOGS = Journal           PLANS = Calendar_x000a_ NOTES = Ideas            TIMINGS = Schedule_x000a__x000a_ MISSIONS = Tasks_x000a_ ACTIONS = Input_x000a_ PROGRESS = Output_x000a_ JOURNEY = Status_x000a__x000a_ BOUNTY = Rewards   MONEY = Finance_x000a_ VICTORY = Success    RESPITE = Media_x000a_ GUIDE = History" sqref="A1" xr:uid="{A08F5AA7-E410-4C28-9A07-86E02758B724}"/>
  </dataValidations>
  <printOptions horizontalCentered="1" verticalCentered="1" gridLines="1"/>
  <pageMargins left="0.39370078740157483" right="0.39370078740157483" top="0.39370078740157483" bottom="0.39370078740157483" header="0" footer="0"/>
  <pageSetup paperSize="9" scale="50" fitToWidth="0" fitToHeight="0" orientation="landscape" r:id="rId1"/>
  <headerFooter>
    <oddHeader>&amp;C&amp;"Lucida Console,Bold"GAMEPLAN</oddHeader>
  </headerFooter>
  <drawing r:id="rId2"/>
  <extLst>
    <ext xmlns:x14="http://schemas.microsoft.com/office/spreadsheetml/2009/9/main" uri="{78C0D931-6437-407d-A8EE-F0AAD7539E65}">
      <x14:conditionalFormattings>
        <x14:conditionalFormatting xmlns:xm="http://schemas.microsoft.com/office/excel/2006/main">
          <x14:cfRule type="expression" priority="290" id="{88C788F6-A838-4826-B09D-DEC7820DABFC}">
            <xm:f>PLANS!$F$3="JUNE"</xm:f>
            <x14:dxf>
              <fill>
                <patternFill>
                  <bgColor rgb="FFFFC000"/>
                </patternFill>
              </fill>
            </x14:dxf>
          </x14:cfRule>
          <x14:cfRule type="expression" priority="291" id="{3B8554C4-67BA-463B-9848-7FC2160B492C}">
            <xm:f>PLANS!$F$3="MAY"</xm:f>
            <x14:dxf>
              <fill>
                <patternFill>
                  <bgColor rgb="FFEBE600"/>
                </patternFill>
              </fill>
            </x14:dxf>
          </x14:cfRule>
          <x14:cfRule type="expression" priority="292" id="{83537D30-73AE-42D2-A9C1-A56B323A4802}">
            <xm:f>PLANS!$F$3="APRIL"</xm:f>
            <x14:dxf>
              <fill>
                <patternFill>
                  <bgColor rgb="FF92D050"/>
                </patternFill>
              </fill>
            </x14:dxf>
          </x14:cfRule>
          <x14:cfRule type="expression" priority="293" id="{A78CDC54-F6D1-4583-B8EC-C371E6C87003}">
            <xm:f>PLANS!$F$3="MARCH"</xm:f>
            <x14:dxf>
              <fill>
                <patternFill>
                  <bgColor rgb="FF00B050"/>
                </patternFill>
              </fill>
            </x14:dxf>
          </x14:cfRule>
          <x14:cfRule type="expression" priority="294" id="{81ECD2A4-682E-4CAC-93E7-6DFE42E76749}">
            <xm:f>PLANS!$F$3="FEBRUARY"</xm:f>
            <x14:dxf>
              <fill>
                <patternFill>
                  <bgColor rgb="FF00B0F0"/>
                </patternFill>
              </fill>
            </x14:dxf>
          </x14:cfRule>
          <x14:cfRule type="expression" priority="295" id="{ED2F1508-3CBF-4297-B209-75FB6F2CCA46}">
            <xm:f>PLANS!$F$3="JANUARY"</xm:f>
            <x14:dxf>
              <fill>
                <patternFill>
                  <bgColor rgb="FF0070C0"/>
                </patternFill>
              </fill>
            </x14:dxf>
          </x14:cfRule>
          <x14:cfRule type="expression" priority="296" id="{9D517554-75FE-4348-921A-15847BB44C24}">
            <xm:f>PLANS!$F$3="DECEMBER"</xm:f>
            <x14:dxf>
              <fill>
                <patternFill>
                  <bgColor rgb="FF6600CC"/>
                </patternFill>
              </fill>
            </x14:dxf>
          </x14:cfRule>
          <x14:cfRule type="expression" priority="297" id="{93FCD49E-7559-4154-9D75-984BE7417E75}">
            <xm:f>PLANS!$F$3="NOVEMBER"</xm:f>
            <x14:dxf>
              <fill>
                <patternFill>
                  <bgColor rgb="FF9900CC"/>
                </patternFill>
              </fill>
            </x14:dxf>
          </x14:cfRule>
          <x14:cfRule type="expression" priority="298" id="{6566E672-C0DB-4238-8660-C21C691241CE}">
            <xm:f>PLANS!$F$3="OCTOBER"</xm:f>
            <x14:dxf>
              <fill>
                <patternFill>
                  <bgColor rgb="FFFF00FF"/>
                </patternFill>
              </fill>
            </x14:dxf>
          </x14:cfRule>
          <x14:cfRule type="expression" priority="299" id="{8BF6A33F-AD0A-434A-BCB3-DB8BAC6EED65}">
            <xm:f>PLANS!$F$3="SEPTEMBER"</xm:f>
            <x14:dxf>
              <fill>
                <patternFill>
                  <bgColor rgb="FFFF0000"/>
                </patternFill>
              </fill>
            </x14:dxf>
          </x14:cfRule>
          <x14:cfRule type="expression" priority="300" id="{5A699C18-CAEF-4B21-AB83-BA3599C33804}">
            <xm:f>PLANS!$F$3="AUGUST"</xm:f>
            <x14:dxf>
              <fill>
                <patternFill>
                  <bgColor rgb="FFC00000"/>
                </patternFill>
              </fill>
            </x14:dxf>
          </x14:cfRule>
          <x14:cfRule type="expression" priority="301" id="{79A29635-0244-4529-837B-1FF6B9F752AF}">
            <xm:f>PLANS!$F$3="JULY"</xm:f>
            <x14:dxf>
              <fill>
                <patternFill>
                  <bgColor rgb="FFFF6600"/>
                </patternFill>
              </fill>
            </x14:dxf>
          </x14:cfRule>
          <xm:sqref>B2:B37 C3 E3 G3 I3 K3 M3 O3 Q3 C5:S5 C6:C10 R6:S10 D7:Q7 P8:Q8 D9:Q9 N10:Q10 C11:S19 CV12 CX12 CZ12 DB12 DD12 DF12 CU13:DG13 C20:I20 M20:S20 CC20 C21:S37</xm:sqref>
        </x14:conditionalFormatting>
        <x14:conditionalFormatting xmlns:xm="http://schemas.microsoft.com/office/excel/2006/main">
          <x14:cfRule type="expression" priority="261" id="{BD55E995-A94E-4B11-9AE5-7BD8E08B744E}">
            <xm:f>AND(PROGRESS!$AM$15&gt;=CD3,ACTIONS!$CH$37=0)</xm:f>
            <x14:dxf>
              <font>
                <color theme="1"/>
              </font>
            </x14:dxf>
          </x14:cfRule>
          <x14:cfRule type="expression" priority="277" id="{7DEBA7E4-618A-4F67-803A-5AFF74BEA5C4}">
            <xm:f>PROGRESS!$AM$15&gt;=CD3</xm:f>
            <x14:dxf>
              <font>
                <color theme="0"/>
              </font>
            </x14:dxf>
          </x14:cfRule>
          <xm:sqref>C3:R4</xm:sqref>
        </x14:conditionalFormatting>
        <x14:conditionalFormatting xmlns:xm="http://schemas.microsoft.com/office/excel/2006/main">
          <x14:cfRule type="expression" priority="278" id="{43FFB8F0-ABCD-425F-A4DD-C6E585622D47}">
            <xm:f>PLANS!$F$3="JUNE"</xm:f>
            <x14:dxf>
              <fill>
                <patternFill>
                  <bgColor rgb="FFFFC000"/>
                </patternFill>
              </fill>
            </x14:dxf>
          </x14:cfRule>
          <x14:cfRule type="expression" priority="279" id="{BF66FF2D-4478-4CF3-BBDC-B47682A9A264}">
            <xm:f>PLANS!$F$3="MAY"</xm:f>
            <x14:dxf>
              <fill>
                <patternFill>
                  <bgColor rgb="FFEBE600"/>
                </patternFill>
              </fill>
            </x14:dxf>
          </x14:cfRule>
          <x14:cfRule type="expression" priority="280" id="{A9B95EB9-1B1E-4FA4-8F08-09F03D0022EB}">
            <xm:f>PLANS!$F$3="APRIL"</xm:f>
            <x14:dxf>
              <fill>
                <patternFill>
                  <bgColor rgb="FF92D050"/>
                </patternFill>
              </fill>
            </x14:dxf>
          </x14:cfRule>
          <x14:cfRule type="expression" priority="281" id="{8B2B4A1A-8A90-4304-9D3C-E3FFE3F208B0}">
            <xm:f>PLANS!$F$3="MARCH"</xm:f>
            <x14:dxf>
              <fill>
                <patternFill>
                  <bgColor rgb="FF00B050"/>
                </patternFill>
              </fill>
            </x14:dxf>
          </x14:cfRule>
          <x14:cfRule type="expression" priority="282" id="{6F0280D5-6C8E-420C-8580-A56648E79CB1}">
            <xm:f>PLANS!$F$3="FEBRUARY"</xm:f>
            <x14:dxf>
              <fill>
                <patternFill>
                  <bgColor rgb="FF00B0F0"/>
                </patternFill>
              </fill>
            </x14:dxf>
          </x14:cfRule>
          <x14:cfRule type="expression" priority="283" id="{651DAF75-91AC-4753-8A97-3D2909F39295}">
            <xm:f>PLANS!$F$3="JANUARY"</xm:f>
            <x14:dxf>
              <fill>
                <patternFill>
                  <bgColor rgb="FF0070C0"/>
                </patternFill>
              </fill>
            </x14:dxf>
          </x14:cfRule>
          <x14:cfRule type="expression" priority="284" id="{471E255B-EF1C-4C42-B590-7F15B70A148B}">
            <xm:f>PLANS!$F$3="DECEMBER"</xm:f>
            <x14:dxf>
              <fill>
                <patternFill>
                  <bgColor rgb="FF6600CC"/>
                </patternFill>
              </fill>
            </x14:dxf>
          </x14:cfRule>
          <x14:cfRule type="expression" priority="285" id="{B5EA2B3A-088A-42DE-89BD-2A0B73687CF1}">
            <xm:f>PLANS!$F$3="NOVEMBER"</xm:f>
            <x14:dxf>
              <fill>
                <patternFill>
                  <bgColor rgb="FF9900CC"/>
                </patternFill>
              </fill>
            </x14:dxf>
          </x14:cfRule>
          <x14:cfRule type="expression" priority="286" id="{77C3C74F-D068-48C7-BF6E-B2ADEC5303AA}">
            <xm:f>PLANS!$F$3="OCTOBER"</xm:f>
            <x14:dxf>
              <fill>
                <patternFill>
                  <bgColor rgb="FFFF00FF"/>
                </patternFill>
              </fill>
            </x14:dxf>
          </x14:cfRule>
          <x14:cfRule type="expression" priority="287" id="{D12A88BA-8203-4713-8D92-E48BF6C84D2D}">
            <xm:f>PLANS!$F$3="SEPTEMBER"</xm:f>
            <x14:dxf>
              <fill>
                <patternFill>
                  <bgColor rgb="FFFF0000"/>
                </patternFill>
              </fill>
            </x14:dxf>
          </x14:cfRule>
          <x14:cfRule type="expression" priority="288" id="{DC997F99-8581-46E5-85FE-F4142B06B876}">
            <xm:f>PLANS!$F$3="AUGUST"</xm:f>
            <x14:dxf>
              <fill>
                <patternFill>
                  <bgColor rgb="FFC00000"/>
                </patternFill>
              </fill>
            </x14:dxf>
          </x14:cfRule>
          <x14:cfRule type="expression" priority="289" id="{6362A642-BB2F-489B-A96C-90BAA9FC6166}">
            <xm:f>PLANS!$F$3="JULY"</xm:f>
            <x14:dxf>
              <fill>
                <patternFill>
                  <bgColor rgb="FFFF6600"/>
                </patternFill>
              </fill>
            </x14:dxf>
          </x14:cfRule>
          <xm:sqref>C2:T2 S3:S4</xm:sqref>
        </x14:conditionalFormatting>
        <x14:conditionalFormatting xmlns:xm="http://schemas.microsoft.com/office/excel/2006/main">
          <x14:cfRule type="expression" priority="155" id="{B282EE72-6A6D-4052-ACA2-509C8027986B}">
            <xm:f>ACTIONS!$CH$37&gt;=CE6</xm:f>
            <x14:dxf>
              <font>
                <color theme="0"/>
              </font>
            </x14:dxf>
          </x14:cfRule>
          <xm:sqref>D6 H6 J6 L6 N6 P6 H8 J8 L8 N8</xm:sqref>
        </x14:conditionalFormatting>
        <x14:conditionalFormatting xmlns:xm="http://schemas.microsoft.com/office/excel/2006/main">
          <x14:cfRule type="expression" priority="143" id="{A4DA16DC-A59A-41D7-A61C-99C0DF4BEC5A}">
            <xm:f>PLANS!$F$3="JUNE"</xm:f>
            <x14:dxf>
              <fill>
                <patternFill>
                  <bgColor rgb="FFFFC000"/>
                </patternFill>
              </fill>
            </x14:dxf>
          </x14:cfRule>
          <x14:cfRule type="expression" priority="144" id="{5477AACA-5778-44E5-9419-060BDBB694E6}">
            <xm:f>PLANS!$F$3="MAY"</xm:f>
            <x14:dxf>
              <fill>
                <patternFill>
                  <bgColor rgb="FFEBE600"/>
                </patternFill>
              </fill>
            </x14:dxf>
          </x14:cfRule>
          <x14:cfRule type="expression" priority="145" id="{29730AE1-ADB1-4647-8B22-1C80A8A16055}">
            <xm:f>PLANS!$F$3="APRIL"</xm:f>
            <x14:dxf>
              <fill>
                <patternFill>
                  <bgColor rgb="FF92D050"/>
                </patternFill>
              </fill>
            </x14:dxf>
          </x14:cfRule>
          <x14:cfRule type="expression" priority="146" id="{DFAE6203-F52C-4B6A-ABBE-FC7F9AA496FC}">
            <xm:f>PLANS!$F$3="MARCH"</xm:f>
            <x14:dxf>
              <fill>
                <patternFill>
                  <bgColor rgb="FF00B050"/>
                </patternFill>
              </fill>
            </x14:dxf>
          </x14:cfRule>
          <x14:cfRule type="expression" priority="147" id="{13EED1BC-FD26-4C6D-BC29-D52DD03E2E08}">
            <xm:f>PLANS!$F$3="FEBRUARY"</xm:f>
            <x14:dxf>
              <fill>
                <patternFill>
                  <bgColor rgb="FF00B0F0"/>
                </patternFill>
              </fill>
            </x14:dxf>
          </x14:cfRule>
          <x14:cfRule type="expression" priority="148" id="{9DB47237-78E6-4DE2-8421-8E1D6FE40B89}">
            <xm:f>PLANS!$F$3="JANUARY"</xm:f>
            <x14:dxf>
              <fill>
                <patternFill>
                  <bgColor rgb="FF0070C0"/>
                </patternFill>
              </fill>
            </x14:dxf>
          </x14:cfRule>
          <x14:cfRule type="expression" priority="149" id="{0D89AABF-98DF-4B05-A188-DF31A8520718}">
            <xm:f>PLANS!$F$3="DECEMBER"</xm:f>
            <x14:dxf>
              <fill>
                <patternFill>
                  <bgColor rgb="FF6600CC"/>
                </patternFill>
              </fill>
            </x14:dxf>
          </x14:cfRule>
          <x14:cfRule type="expression" priority="150" id="{41E8B9FF-8AE0-40C2-BE19-345427649129}">
            <xm:f>PLANS!$F$3="NOVEMBER"</xm:f>
            <x14:dxf>
              <fill>
                <patternFill>
                  <bgColor rgb="FF9900CC"/>
                </patternFill>
              </fill>
            </x14:dxf>
          </x14:cfRule>
          <x14:cfRule type="expression" priority="151" id="{A1608E71-9990-4481-8C37-0270549F2BCF}">
            <xm:f>PLANS!$F$3="OCTOBER"</xm:f>
            <x14:dxf>
              <fill>
                <patternFill>
                  <bgColor rgb="FFFF00FF"/>
                </patternFill>
              </fill>
            </x14:dxf>
          </x14:cfRule>
          <x14:cfRule type="expression" priority="152" id="{81B45020-7DEC-415C-B624-47EEDEC6C93D}">
            <xm:f>PLANS!$F$3="SEPTEMBER"</xm:f>
            <x14:dxf>
              <fill>
                <patternFill>
                  <bgColor rgb="FFFF0000"/>
                </patternFill>
              </fill>
            </x14:dxf>
          </x14:cfRule>
          <x14:cfRule type="expression" priority="153" id="{1EBD2C46-DDF6-4B09-AE7F-3E6982EEC3AB}">
            <xm:f>PLANS!$F$3="AUGUST"</xm:f>
            <x14:dxf>
              <fill>
                <patternFill>
                  <bgColor rgb="FFC00000"/>
                </patternFill>
              </fill>
            </x14:dxf>
          </x14:cfRule>
          <x14:cfRule type="expression" priority="154" id="{B6589C30-40AE-45AA-8F8F-1DDF6BB34E7D}">
            <xm:f>PLANS!$F$3="JULY"</xm:f>
            <x14:dxf>
              <fill>
                <patternFill>
                  <bgColor rgb="FFFF6600"/>
                </patternFill>
              </fill>
            </x14:dxf>
          </x14:cfRule>
          <xm:sqref>D6</xm:sqref>
        </x14:conditionalFormatting>
        <x14:conditionalFormatting xmlns:xm="http://schemas.microsoft.com/office/excel/2006/main">
          <x14:cfRule type="expression" priority="117" id="{22167FBB-D2D3-4E23-A914-6127062C7B0E}">
            <xm:f>PLANS!$F$3="JUNE"</xm:f>
            <x14:dxf>
              <fill>
                <patternFill>
                  <bgColor rgb="FFFFC000"/>
                </patternFill>
              </fill>
            </x14:dxf>
          </x14:cfRule>
          <x14:cfRule type="expression" priority="118" id="{3CE2F3DF-5D69-408B-A58D-93C6C1B27603}">
            <xm:f>PLANS!$F$3="MAY"</xm:f>
            <x14:dxf>
              <fill>
                <patternFill>
                  <bgColor rgb="FFEBE600"/>
                </patternFill>
              </fill>
            </x14:dxf>
          </x14:cfRule>
          <x14:cfRule type="expression" priority="119" id="{5600FD6E-36AB-47E8-B9C5-199E2ACC41B6}">
            <xm:f>PLANS!$F$3="APRIL"</xm:f>
            <x14:dxf>
              <fill>
                <patternFill>
                  <bgColor rgb="FF92D050"/>
                </patternFill>
              </fill>
            </x14:dxf>
          </x14:cfRule>
          <x14:cfRule type="expression" priority="120" id="{D35785C0-BAF9-4BA4-AA8B-5530815C1B67}">
            <xm:f>PLANS!$F$3="MARCH"</xm:f>
            <x14:dxf>
              <fill>
                <patternFill>
                  <bgColor rgb="FF00B050"/>
                </patternFill>
              </fill>
            </x14:dxf>
          </x14:cfRule>
          <x14:cfRule type="expression" priority="121" id="{A62176EC-FF44-443E-8DED-386AC61F9C58}">
            <xm:f>PLANS!$F$3="FEBRUARY"</xm:f>
            <x14:dxf>
              <fill>
                <patternFill>
                  <bgColor rgb="FF00B0F0"/>
                </patternFill>
              </fill>
            </x14:dxf>
          </x14:cfRule>
          <x14:cfRule type="expression" priority="122" id="{725C2DEA-12B2-4E48-B03A-A8DF7CF3E749}">
            <xm:f>PLANS!$F$3="JANUARY"</xm:f>
            <x14:dxf>
              <fill>
                <patternFill>
                  <bgColor rgb="FF0070C0"/>
                </patternFill>
              </fill>
            </x14:dxf>
          </x14:cfRule>
          <x14:cfRule type="expression" priority="123" id="{8DEB6CD9-D8BB-4CA9-B5E2-1FF7C707FC0D}">
            <xm:f>PLANS!$F$3="DECEMBER"</xm:f>
            <x14:dxf>
              <fill>
                <patternFill>
                  <bgColor rgb="FF6600CC"/>
                </patternFill>
              </fill>
            </x14:dxf>
          </x14:cfRule>
          <x14:cfRule type="expression" priority="124" id="{9C63B578-229B-47CB-9249-65325FED73B5}">
            <xm:f>PLANS!$F$3="NOVEMBER"</xm:f>
            <x14:dxf>
              <fill>
                <patternFill>
                  <bgColor rgb="FF9900CC"/>
                </patternFill>
              </fill>
            </x14:dxf>
          </x14:cfRule>
          <x14:cfRule type="expression" priority="125" id="{ABCE8721-C0B7-4213-916A-28BB50F97DC1}">
            <xm:f>PLANS!$F$3="OCTOBER"</xm:f>
            <x14:dxf>
              <fill>
                <patternFill>
                  <bgColor rgb="FFFF00FF"/>
                </patternFill>
              </fill>
            </x14:dxf>
          </x14:cfRule>
          <x14:cfRule type="expression" priority="126" id="{6D57A9BE-C807-4A6B-81ED-F4CC81724E81}">
            <xm:f>PLANS!$F$3="SEPTEMBER"</xm:f>
            <x14:dxf>
              <fill>
                <patternFill>
                  <bgColor rgb="FFFF0000"/>
                </patternFill>
              </fill>
            </x14:dxf>
          </x14:cfRule>
          <x14:cfRule type="expression" priority="127" id="{E4505A02-757E-4E20-AAE7-0CC872E03BAB}">
            <xm:f>PLANS!$F$3="AUGUST"</xm:f>
            <x14:dxf>
              <fill>
                <patternFill>
                  <bgColor rgb="FFC00000"/>
                </patternFill>
              </fill>
            </x14:dxf>
          </x14:cfRule>
          <x14:cfRule type="expression" priority="128" id="{B7C4C773-E375-49E8-B3D9-7625DFA0BBD8}">
            <xm:f>PLANS!$F$3="JULY"</xm:f>
            <x14:dxf>
              <fill>
                <patternFill>
                  <bgColor rgb="FFFF6600"/>
                </patternFill>
              </fill>
            </x14:dxf>
          </x14:cfRule>
          <xm:sqref>D8:F8 H8 J8 L8 N8</xm:sqref>
        </x14:conditionalFormatting>
        <x14:conditionalFormatting xmlns:xm="http://schemas.microsoft.com/office/excel/2006/main">
          <x14:cfRule type="expression" priority="104" id="{FFA7651C-3006-4F87-B67E-06B021ADCBA5}">
            <xm:f>PLANS!$F$3="JUNE"</xm:f>
            <x14:dxf>
              <fill>
                <patternFill>
                  <bgColor rgb="FFFFC000"/>
                </patternFill>
              </fill>
            </x14:dxf>
          </x14:cfRule>
          <x14:cfRule type="expression" priority="105" id="{98F69C7B-C413-4ED2-82AB-F492DB58D5EB}">
            <xm:f>PLANS!$F$3="MAY"</xm:f>
            <x14:dxf>
              <fill>
                <patternFill>
                  <bgColor rgb="FFEBE600"/>
                </patternFill>
              </fill>
            </x14:dxf>
          </x14:cfRule>
          <x14:cfRule type="expression" priority="106" id="{B0E76FA3-E32D-4695-80CA-B282082064F3}">
            <xm:f>PLANS!$F$3="APRIL"</xm:f>
            <x14:dxf>
              <fill>
                <patternFill>
                  <bgColor rgb="FF92D050"/>
                </patternFill>
              </fill>
            </x14:dxf>
          </x14:cfRule>
          <x14:cfRule type="expression" priority="107" id="{174F367A-3850-4B8A-B26A-6D4869BEB1C0}">
            <xm:f>PLANS!$F$3="MARCH"</xm:f>
            <x14:dxf>
              <fill>
                <patternFill>
                  <bgColor rgb="FF00B050"/>
                </patternFill>
              </fill>
            </x14:dxf>
          </x14:cfRule>
          <x14:cfRule type="expression" priority="108" id="{E01F7C07-7775-446F-9E6B-7444A71E9BC8}">
            <xm:f>PLANS!$F$3="FEBRUARY"</xm:f>
            <x14:dxf>
              <fill>
                <patternFill>
                  <bgColor rgb="FF00B0F0"/>
                </patternFill>
              </fill>
            </x14:dxf>
          </x14:cfRule>
          <x14:cfRule type="expression" priority="109" id="{E5290433-B179-482B-8CA9-73282EC036FA}">
            <xm:f>PLANS!$F$3="JANUARY"</xm:f>
            <x14:dxf>
              <fill>
                <patternFill>
                  <bgColor rgb="FF0070C0"/>
                </patternFill>
              </fill>
            </x14:dxf>
          </x14:cfRule>
          <x14:cfRule type="expression" priority="110" id="{ADFC1E10-77B3-46DD-8373-30E4E59140E0}">
            <xm:f>PLANS!$F$3="DECEMBER"</xm:f>
            <x14:dxf>
              <fill>
                <patternFill>
                  <bgColor rgb="FF6600CC"/>
                </patternFill>
              </fill>
            </x14:dxf>
          </x14:cfRule>
          <x14:cfRule type="expression" priority="111" id="{BCA3A3A7-4471-4B11-BC2D-D2AE643A8EB3}">
            <xm:f>PLANS!$F$3="NOVEMBER"</xm:f>
            <x14:dxf>
              <fill>
                <patternFill>
                  <bgColor rgb="FF9900CC"/>
                </patternFill>
              </fill>
            </x14:dxf>
          </x14:cfRule>
          <x14:cfRule type="expression" priority="112" id="{43367F9B-4B5F-407F-A1D1-17053B704BC0}">
            <xm:f>PLANS!$F$3="OCTOBER"</xm:f>
            <x14:dxf>
              <fill>
                <patternFill>
                  <bgColor rgb="FFFF00FF"/>
                </patternFill>
              </fill>
            </x14:dxf>
          </x14:cfRule>
          <x14:cfRule type="expression" priority="113" id="{2C8BF9A9-2D2D-4F3A-AF36-CD6A68454B22}">
            <xm:f>PLANS!$F$3="SEPTEMBER"</xm:f>
            <x14:dxf>
              <fill>
                <patternFill>
                  <bgColor rgb="FFFF0000"/>
                </patternFill>
              </fill>
            </x14:dxf>
          </x14:cfRule>
          <x14:cfRule type="expression" priority="114" id="{CE3DC187-E9CD-4DB2-9DD3-EEE409503327}">
            <xm:f>PLANS!$F$3="AUGUST"</xm:f>
            <x14:dxf>
              <fill>
                <patternFill>
                  <bgColor rgb="FFC00000"/>
                </patternFill>
              </fill>
            </x14:dxf>
          </x14:cfRule>
          <x14:cfRule type="expression" priority="115" id="{318D293E-345B-4322-8E14-5F2BCC4F8A33}">
            <xm:f>PLANS!$F$3="JULY"</xm:f>
            <x14:dxf>
              <fill>
                <patternFill>
                  <bgColor rgb="FFFF6600"/>
                </patternFill>
              </fill>
            </x14:dxf>
          </x14:cfRule>
          <xm:sqref>D10:H10</xm:sqref>
        </x14:conditionalFormatting>
        <x14:conditionalFormatting xmlns:xm="http://schemas.microsoft.com/office/excel/2006/main">
          <x14:cfRule type="expression" priority="130" id="{27746B2D-31FC-4AF5-B41D-2F306E89D7AC}">
            <xm:f>PLANS!$F$3="JUNE"</xm:f>
            <x14:dxf>
              <fill>
                <patternFill>
                  <bgColor rgb="FFFFC000"/>
                </patternFill>
              </fill>
            </x14:dxf>
          </x14:cfRule>
          <x14:cfRule type="expression" priority="131" id="{9800182F-F7A5-4BBC-8E7A-059A0DE76525}">
            <xm:f>PLANS!$F$3="MAY"</xm:f>
            <x14:dxf>
              <fill>
                <patternFill>
                  <bgColor rgb="FFEBE600"/>
                </patternFill>
              </fill>
            </x14:dxf>
          </x14:cfRule>
          <x14:cfRule type="expression" priority="132" id="{D69F8AFE-2A7E-4644-A86D-DD5A7C857735}">
            <xm:f>PLANS!$F$3="APRIL"</xm:f>
            <x14:dxf>
              <fill>
                <patternFill>
                  <bgColor rgb="FF92D050"/>
                </patternFill>
              </fill>
            </x14:dxf>
          </x14:cfRule>
          <x14:cfRule type="expression" priority="133" id="{A2FBEC67-A8D1-4AE7-99D8-0B70DC26AB47}">
            <xm:f>PLANS!$F$3="MARCH"</xm:f>
            <x14:dxf>
              <fill>
                <patternFill>
                  <bgColor rgb="FF00B050"/>
                </patternFill>
              </fill>
            </x14:dxf>
          </x14:cfRule>
          <x14:cfRule type="expression" priority="134" id="{7A379DDC-3F76-4E44-BF06-91DBF63103D4}">
            <xm:f>PLANS!$F$3="FEBRUARY"</xm:f>
            <x14:dxf>
              <fill>
                <patternFill>
                  <bgColor rgb="FF00B0F0"/>
                </patternFill>
              </fill>
            </x14:dxf>
          </x14:cfRule>
          <x14:cfRule type="expression" priority="135" id="{D7CD68FF-1FB9-4001-B523-587E4C8AF777}">
            <xm:f>PLANS!$F$3="JANUARY"</xm:f>
            <x14:dxf>
              <fill>
                <patternFill>
                  <bgColor rgb="FF0070C0"/>
                </patternFill>
              </fill>
            </x14:dxf>
          </x14:cfRule>
          <x14:cfRule type="expression" priority="136" id="{D5FA608F-A204-4B64-BB56-CB6F1ABBBC67}">
            <xm:f>PLANS!$F$3="DECEMBER"</xm:f>
            <x14:dxf>
              <fill>
                <patternFill>
                  <bgColor rgb="FF6600CC"/>
                </patternFill>
              </fill>
            </x14:dxf>
          </x14:cfRule>
          <x14:cfRule type="expression" priority="137" id="{D608BEF8-20B7-471C-9486-985B1DC9CFEA}">
            <xm:f>PLANS!$F$3="NOVEMBER"</xm:f>
            <x14:dxf>
              <fill>
                <patternFill>
                  <bgColor rgb="FF9900CC"/>
                </patternFill>
              </fill>
            </x14:dxf>
          </x14:cfRule>
          <x14:cfRule type="expression" priority="138" id="{47685C14-2C7A-4A55-B693-3A5FFBBDE383}">
            <xm:f>PLANS!$F$3="OCTOBER"</xm:f>
            <x14:dxf>
              <fill>
                <patternFill>
                  <bgColor rgb="FFFF00FF"/>
                </patternFill>
              </fill>
            </x14:dxf>
          </x14:cfRule>
          <x14:cfRule type="expression" priority="139" id="{B82E20BD-81E8-4662-B535-66FEB94F0C67}">
            <xm:f>PLANS!$F$3="SEPTEMBER"</xm:f>
            <x14:dxf>
              <fill>
                <patternFill>
                  <bgColor rgb="FFFF0000"/>
                </patternFill>
              </fill>
            </x14:dxf>
          </x14:cfRule>
          <x14:cfRule type="expression" priority="140" id="{9666F3AC-D519-45CB-B53D-7F176E4525E6}">
            <xm:f>PLANS!$F$3="AUGUST"</xm:f>
            <x14:dxf>
              <fill>
                <patternFill>
                  <bgColor rgb="FFC00000"/>
                </patternFill>
              </fill>
            </x14:dxf>
          </x14:cfRule>
          <x14:cfRule type="expression" priority="141" id="{38010F07-FE7C-4FA6-973C-764CE8FABD25}">
            <xm:f>PLANS!$F$3="JULY"</xm:f>
            <x14:dxf>
              <fill>
                <patternFill>
                  <bgColor rgb="FFFF6600"/>
                </patternFill>
              </fill>
            </x14:dxf>
          </x14:cfRule>
          <xm:sqref>F6 H6 J6 L6 N6 P6</xm:sqref>
        </x14:conditionalFormatting>
        <x14:conditionalFormatting xmlns:xm="http://schemas.microsoft.com/office/excel/2006/main">
          <x14:cfRule type="expression" priority="142" id="{20CE46A8-F869-42C2-9667-315D9F3F86FD}">
            <xm:f>ACTIONS!$CH$37&gt;=CG6</xm:f>
            <x14:dxf>
              <font>
                <color theme="0"/>
              </font>
            </x14:dxf>
          </x14:cfRule>
          <xm:sqref>F6</xm:sqref>
        </x14:conditionalFormatting>
        <x14:conditionalFormatting xmlns:xm="http://schemas.microsoft.com/office/excel/2006/main">
          <x14:cfRule type="expression" priority="129" id="{82F8D35B-8063-4D14-AAED-361298B8C9A8}">
            <xm:f>ACTIONS!$CH$37&gt;=CG8</xm:f>
            <x14:dxf>
              <font>
                <color theme="0"/>
              </font>
            </x14:dxf>
          </x14:cfRule>
          <xm:sqref>F8</xm:sqref>
        </x14:conditionalFormatting>
        <x14:conditionalFormatting xmlns:xm="http://schemas.microsoft.com/office/excel/2006/main">
          <x14:cfRule type="expression" priority="116" id="{928E4BA7-1B8E-4DF5-9AA4-6DDB3564EB1A}">
            <xm:f>ACTIONS!$CH$37&gt;=CI10</xm:f>
            <x14:dxf>
              <font>
                <color theme="0"/>
              </font>
            </x14:dxf>
          </x14:cfRule>
          <xm:sqref>H10</xm:sqref>
        </x14:conditionalFormatting>
        <x14:conditionalFormatting xmlns:xm="http://schemas.microsoft.com/office/excel/2006/main">
          <x14:cfRule type="expression" priority="91" id="{2E1D5D4B-E6CE-4DFD-A429-7E0EDF1DF5A1}">
            <xm:f>PLANS!$F$3="JUNE"</xm:f>
            <x14:dxf>
              <fill>
                <patternFill>
                  <bgColor rgb="FFFFC000"/>
                </patternFill>
              </fill>
            </x14:dxf>
          </x14:cfRule>
          <x14:cfRule type="expression" priority="92" id="{EEC09758-1729-48B0-B574-44D461DB8369}">
            <xm:f>PLANS!$F$3="MAY"</xm:f>
            <x14:dxf>
              <fill>
                <patternFill>
                  <bgColor rgb="FFEBE600"/>
                </patternFill>
              </fill>
            </x14:dxf>
          </x14:cfRule>
          <x14:cfRule type="expression" priority="93" id="{FBBAB94C-A57D-4A9A-A2E3-3ABBFD5C921D}">
            <xm:f>PLANS!$F$3="APRIL"</xm:f>
            <x14:dxf>
              <fill>
                <patternFill>
                  <bgColor rgb="FF92D050"/>
                </patternFill>
              </fill>
            </x14:dxf>
          </x14:cfRule>
          <x14:cfRule type="expression" priority="94" id="{979B22FB-E25B-4D11-9784-5EC289FFFDD1}">
            <xm:f>PLANS!$F$3="MARCH"</xm:f>
            <x14:dxf>
              <fill>
                <patternFill>
                  <bgColor rgb="FF00B050"/>
                </patternFill>
              </fill>
            </x14:dxf>
          </x14:cfRule>
          <x14:cfRule type="expression" priority="95" id="{DC3DD61C-8E9D-4101-83C9-58240B6FA9D0}">
            <xm:f>PLANS!$F$3="FEBRUARY"</xm:f>
            <x14:dxf>
              <fill>
                <patternFill>
                  <bgColor rgb="FF00B0F0"/>
                </patternFill>
              </fill>
            </x14:dxf>
          </x14:cfRule>
          <x14:cfRule type="expression" priority="96" id="{95E16EFB-47DE-403F-902D-4C036605216D}">
            <xm:f>PLANS!$F$3="JANUARY"</xm:f>
            <x14:dxf>
              <fill>
                <patternFill>
                  <bgColor rgb="FF0070C0"/>
                </patternFill>
              </fill>
            </x14:dxf>
          </x14:cfRule>
          <x14:cfRule type="expression" priority="97" id="{D3309444-C459-47C3-BCDB-CD71E08F3CA2}">
            <xm:f>PLANS!$F$3="DECEMBER"</xm:f>
            <x14:dxf>
              <fill>
                <patternFill>
                  <bgColor rgb="FF6600CC"/>
                </patternFill>
              </fill>
            </x14:dxf>
          </x14:cfRule>
          <x14:cfRule type="expression" priority="98" id="{C478FEAA-872B-4669-AEA2-CC33AE99F306}">
            <xm:f>PLANS!$F$3="NOVEMBER"</xm:f>
            <x14:dxf>
              <fill>
                <patternFill>
                  <bgColor rgb="FF9900CC"/>
                </patternFill>
              </fill>
            </x14:dxf>
          </x14:cfRule>
          <x14:cfRule type="expression" priority="99" id="{F9786A95-CEE9-41EB-8A1A-4D36EAA55A4A}">
            <xm:f>PLANS!$F$3="OCTOBER"</xm:f>
            <x14:dxf>
              <fill>
                <patternFill>
                  <bgColor rgb="FFFF00FF"/>
                </patternFill>
              </fill>
            </x14:dxf>
          </x14:cfRule>
          <x14:cfRule type="expression" priority="100" id="{5FF1AEE3-A2F6-45A6-9158-B102BC86FD8A}">
            <xm:f>PLANS!$F$3="SEPTEMBER"</xm:f>
            <x14:dxf>
              <fill>
                <patternFill>
                  <bgColor rgb="FFFF0000"/>
                </patternFill>
              </fill>
            </x14:dxf>
          </x14:cfRule>
          <x14:cfRule type="expression" priority="101" id="{CF44EC03-E34B-4DDF-80B1-EDEEF593D6BD}">
            <xm:f>PLANS!$F$3="AUGUST"</xm:f>
            <x14:dxf>
              <fill>
                <patternFill>
                  <bgColor rgb="FFC00000"/>
                </patternFill>
              </fill>
            </x14:dxf>
          </x14:cfRule>
          <x14:cfRule type="expression" priority="102" id="{0C3CA37D-A425-4922-A97C-A468ACC71B2F}">
            <xm:f>PLANS!$F$3="JULY"</xm:f>
            <x14:dxf>
              <fill>
                <patternFill>
                  <bgColor rgb="FFFF6600"/>
                </patternFill>
              </fill>
            </x14:dxf>
          </x14:cfRule>
          <xm:sqref>J10:L10</xm:sqref>
        </x14:conditionalFormatting>
        <x14:conditionalFormatting xmlns:xm="http://schemas.microsoft.com/office/excel/2006/main">
          <x14:cfRule type="expression" priority="103" id="{63D820D2-2627-4401-A53D-53E339921F9E}">
            <xm:f>ACTIONS!$CH$37&gt;=CM10</xm:f>
            <x14:dxf>
              <font>
                <color theme="0"/>
              </font>
            </x14:dxf>
          </x14:cfRule>
          <xm:sqref>L10</xm:sqref>
        </x14:conditionalFormatting>
        <x14:conditionalFormatting xmlns:xm="http://schemas.microsoft.com/office/excel/2006/main">
          <x14:cfRule type="expression" priority="31911" id="{4B160BAB-494E-4FEE-B552-9E5372C11682}">
            <xm:f>ACTIONS!$CH$37&gt;=CU6</xm:f>
            <x14:dxf>
              <font>
                <color theme="0"/>
              </font>
            </x14:dxf>
          </x14:cfRule>
          <xm:sqref>CT12 CV12 CX12 CZ12 DB12 DD12 DF12 CV14 CX14 CZ14 DB14 DD14 DF14</xm:sqref>
        </x14:conditionalFormatting>
        <x14:conditionalFormatting xmlns:xm="http://schemas.microsoft.com/office/excel/2006/main">
          <x14:cfRule type="expression" priority="78" id="{415221A1-3ABD-4931-9BC2-A5D3E82E411D}">
            <xm:f>PLANS!$F$3="JUNE"</xm:f>
            <x14:dxf>
              <fill>
                <patternFill>
                  <bgColor rgb="FFFFC000"/>
                </patternFill>
              </fill>
            </x14:dxf>
          </x14:cfRule>
          <x14:cfRule type="expression" priority="79" id="{48C728D1-4002-4C8E-AC5A-3A578DA081BD}">
            <xm:f>PLANS!$F$3="MAY"</xm:f>
            <x14:dxf>
              <fill>
                <patternFill>
                  <bgColor rgb="FFEBE600"/>
                </patternFill>
              </fill>
            </x14:dxf>
          </x14:cfRule>
          <x14:cfRule type="expression" priority="80" id="{867731BF-3BAB-4F89-AD69-8790D1760565}">
            <xm:f>PLANS!$F$3="APRIL"</xm:f>
            <x14:dxf>
              <fill>
                <patternFill>
                  <bgColor rgb="FF92D050"/>
                </patternFill>
              </fill>
            </x14:dxf>
          </x14:cfRule>
          <x14:cfRule type="expression" priority="81" id="{957CCAD4-CF87-41BD-9A52-A7AA40D193DD}">
            <xm:f>PLANS!$F$3="MARCH"</xm:f>
            <x14:dxf>
              <fill>
                <patternFill>
                  <bgColor rgb="FF00B050"/>
                </patternFill>
              </fill>
            </x14:dxf>
          </x14:cfRule>
          <x14:cfRule type="expression" priority="82" id="{472E91DF-0B8E-4961-A5B8-DB4779DB281A}">
            <xm:f>PLANS!$F$3="FEBRUARY"</xm:f>
            <x14:dxf>
              <fill>
                <patternFill>
                  <bgColor rgb="FF00B0F0"/>
                </patternFill>
              </fill>
            </x14:dxf>
          </x14:cfRule>
          <x14:cfRule type="expression" priority="83" id="{3295BF83-A723-4911-84FC-2CB1EF50208C}">
            <xm:f>PLANS!$F$3="JANUARY"</xm:f>
            <x14:dxf>
              <fill>
                <patternFill>
                  <bgColor rgb="FF0070C0"/>
                </patternFill>
              </fill>
            </x14:dxf>
          </x14:cfRule>
          <x14:cfRule type="expression" priority="84" id="{6FE2D8AC-C665-4888-A00F-C1E51E23DD3F}">
            <xm:f>PLANS!$F$3="DECEMBER"</xm:f>
            <x14:dxf>
              <fill>
                <patternFill>
                  <bgColor rgb="FF6600CC"/>
                </patternFill>
              </fill>
            </x14:dxf>
          </x14:cfRule>
          <x14:cfRule type="expression" priority="85" id="{FA42A40B-BB9B-47BF-BD11-AAFCB3E0F0B0}">
            <xm:f>PLANS!$F$3="NOVEMBER"</xm:f>
            <x14:dxf>
              <fill>
                <patternFill>
                  <bgColor rgb="FF9900CC"/>
                </patternFill>
              </fill>
            </x14:dxf>
          </x14:cfRule>
          <x14:cfRule type="expression" priority="86" id="{EB740927-30B0-4320-99EC-AF73D4ED056F}">
            <xm:f>PLANS!$F$3="OCTOBER"</xm:f>
            <x14:dxf>
              <fill>
                <patternFill>
                  <bgColor rgb="FFFF00FF"/>
                </patternFill>
              </fill>
            </x14:dxf>
          </x14:cfRule>
          <x14:cfRule type="expression" priority="87" id="{B2C26C33-B407-40E3-B1DF-557211C2E27D}">
            <xm:f>PLANS!$F$3="SEPTEMBER"</xm:f>
            <x14:dxf>
              <fill>
                <patternFill>
                  <bgColor rgb="FFFF0000"/>
                </patternFill>
              </fill>
            </x14:dxf>
          </x14:cfRule>
          <x14:cfRule type="expression" priority="88" id="{73D34486-D6AB-4754-8EE3-075BD2F19B50}">
            <xm:f>PLANS!$F$3="AUGUST"</xm:f>
            <x14:dxf>
              <fill>
                <patternFill>
                  <bgColor rgb="FFC00000"/>
                </patternFill>
              </fill>
            </x14:dxf>
          </x14:cfRule>
          <x14:cfRule type="expression" priority="89" id="{407AA454-F534-4AE8-9A65-9CFADAAEEC91}">
            <xm:f>PLANS!$F$3="JULY"</xm:f>
            <x14:dxf>
              <fill>
                <patternFill>
                  <bgColor rgb="FFFF6600"/>
                </patternFill>
              </fill>
            </x14:dxf>
          </x14:cfRule>
          <xm:sqref>CT12:CT14 CV14 CX14 CZ14 DB14 DD14 DF14</xm:sqref>
        </x14:conditionalFormatting>
        <x14:conditionalFormatting xmlns:xm="http://schemas.microsoft.com/office/excel/2006/main">
          <x14:cfRule type="expression" priority="90" id="{D3858A0B-40F2-4639-B4BC-3027A0E3407A}">
            <xm:f>ACTIONS!$CH$37&gt;=CU8</xm:f>
            <x14:dxf>
              <font>
                <color theme="0"/>
              </font>
            </x14:dxf>
          </x14:cfRule>
          <xm:sqref>CT14</xm:sqref>
        </x14:conditionalFormatting>
        <x14:conditionalFormatting xmlns:xm="http://schemas.microsoft.com/office/excel/2006/main">
          <x14:cfRule type="expression" priority="66" id="{4AB3B3ED-0045-486F-9DEE-08D6498A4F7A}">
            <xm:f>PLANS!$F$3="JUNE"</xm:f>
            <x14:dxf>
              <fill>
                <patternFill>
                  <bgColor rgb="FFFFC000"/>
                </patternFill>
              </fill>
            </x14:dxf>
          </x14:cfRule>
          <x14:cfRule type="expression" priority="67" id="{ECD6F554-E842-4EC1-80FB-BFF4D55AD99D}">
            <xm:f>PLANS!$F$3="MAY"</xm:f>
            <x14:dxf>
              <fill>
                <patternFill>
                  <bgColor rgb="FFEBE600"/>
                </patternFill>
              </fill>
            </x14:dxf>
          </x14:cfRule>
          <x14:cfRule type="expression" priority="68" id="{24D2A30A-1BB9-4264-B9EA-0624A61B6535}">
            <xm:f>PLANS!$F$3="APRIL"</xm:f>
            <x14:dxf>
              <fill>
                <patternFill>
                  <bgColor rgb="FF92D050"/>
                </patternFill>
              </fill>
            </x14:dxf>
          </x14:cfRule>
          <x14:cfRule type="expression" priority="69" id="{8EB84FE1-43F8-4969-B314-6CD54DC44948}">
            <xm:f>PLANS!$F$3="MARCH"</xm:f>
            <x14:dxf>
              <fill>
                <patternFill>
                  <bgColor rgb="FF00B050"/>
                </patternFill>
              </fill>
            </x14:dxf>
          </x14:cfRule>
          <x14:cfRule type="expression" priority="70" id="{736B6D2F-BC60-47DB-A72D-3852304D65D1}">
            <xm:f>PLANS!$F$3="FEBRUARY"</xm:f>
            <x14:dxf>
              <fill>
                <patternFill>
                  <bgColor rgb="FF00B0F0"/>
                </patternFill>
              </fill>
            </x14:dxf>
          </x14:cfRule>
          <x14:cfRule type="expression" priority="71" id="{6F305532-5DAD-437C-8AF4-BB4B7AF95FC1}">
            <xm:f>PLANS!$F$3="JANUARY"</xm:f>
            <x14:dxf>
              <fill>
                <patternFill>
                  <bgColor rgb="FF0070C0"/>
                </patternFill>
              </fill>
            </x14:dxf>
          </x14:cfRule>
          <x14:cfRule type="expression" priority="72" id="{54F9AEA4-3A1F-4D7F-B6F7-A7169E075E8C}">
            <xm:f>PLANS!$F$3="DECEMBER"</xm:f>
            <x14:dxf>
              <fill>
                <patternFill>
                  <bgColor rgb="FF6600CC"/>
                </patternFill>
              </fill>
            </x14:dxf>
          </x14:cfRule>
          <x14:cfRule type="expression" priority="73" id="{30226A28-517C-45C9-884D-CEEA92CA41D7}">
            <xm:f>PLANS!$F$3="NOVEMBER"</xm:f>
            <x14:dxf>
              <fill>
                <patternFill>
                  <bgColor rgb="FF9900CC"/>
                </patternFill>
              </fill>
            </x14:dxf>
          </x14:cfRule>
          <x14:cfRule type="expression" priority="74" id="{907609D5-A9F5-4028-ADC2-F13965968403}">
            <xm:f>PLANS!$F$3="OCTOBER"</xm:f>
            <x14:dxf>
              <fill>
                <patternFill>
                  <bgColor rgb="FFFF00FF"/>
                </patternFill>
              </fill>
            </x14:dxf>
          </x14:cfRule>
          <x14:cfRule type="expression" priority="75" id="{DA97A955-0E62-4071-8EF6-65B8A108A32D}">
            <xm:f>PLANS!$F$3="SEPTEMBER"</xm:f>
            <x14:dxf>
              <fill>
                <patternFill>
                  <bgColor rgb="FFFF0000"/>
                </patternFill>
              </fill>
            </x14:dxf>
          </x14:cfRule>
          <x14:cfRule type="expression" priority="76" id="{0840115D-66B9-4D0D-B23A-8D2233124A4B}">
            <xm:f>PLANS!$F$3="AUGUST"</xm:f>
            <x14:dxf>
              <fill>
                <patternFill>
                  <bgColor rgb="FFC00000"/>
                </patternFill>
              </fill>
            </x14:dxf>
          </x14:cfRule>
          <x14:cfRule type="expression" priority="77" id="{66E9A260-3824-4F32-9065-6C116267266A}">
            <xm:f>PLANS!$F$3="JULY"</xm:f>
            <x14:dxf>
              <fill>
                <patternFill>
                  <bgColor rgb="FFFF6600"/>
                </patternFill>
              </fill>
            </x14:dxf>
          </x14:cfRule>
          <xm:sqref>CT15:DG16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0FB04-6841-4DBA-A117-A8E08A68C534}">
  <sheetPr codeName="Sheet16"/>
  <dimension ref="A1:CC243"/>
  <sheetViews>
    <sheetView showGridLines="0" showRowColHeaders="0" zoomScaleNormal="100" workbookViewId="0"/>
  </sheetViews>
  <sheetFormatPr defaultColWidth="3.42578125" defaultRowHeight="17.100000000000001" customHeight="1" x14ac:dyDescent="0.15"/>
  <cols>
    <col min="1" max="36" width="3.42578125" style="19"/>
    <col min="37" max="37" width="3.42578125" style="19" customWidth="1"/>
    <col min="38" max="79" width="3.42578125" style="19"/>
    <col min="80" max="82" width="0" style="19" hidden="1" customWidth="1"/>
    <col min="83" max="16384" width="3.42578125" style="19"/>
  </cols>
  <sheetData>
    <row r="1" spans="1:79" ht="17.100000000000001" customHeight="1" x14ac:dyDescent="0.15">
      <c r="A1" s="2694" t="s">
        <v>1706</v>
      </c>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8" t="s">
        <v>782</v>
      </c>
    </row>
    <row r="2" spans="1:79" ht="17.100000000000001" customHeight="1" x14ac:dyDescent="0.3">
      <c r="A2" s="17"/>
      <c r="B2" s="1288"/>
      <c r="C2" s="1288"/>
      <c r="D2" s="1288"/>
      <c r="E2" s="1288"/>
      <c r="F2" s="1288"/>
      <c r="G2" s="1288"/>
      <c r="H2" s="1288"/>
      <c r="I2" s="1288"/>
      <c r="J2" s="1288"/>
      <c r="K2" s="1288"/>
      <c r="L2" s="1288"/>
      <c r="M2" s="1288"/>
      <c r="N2" s="1288"/>
      <c r="O2" s="1288"/>
      <c r="P2" s="17"/>
      <c r="Q2" s="79"/>
      <c r="R2" s="79"/>
      <c r="S2" s="79"/>
      <c r="T2" s="617"/>
      <c r="U2" s="617"/>
      <c r="V2" s="2349"/>
      <c r="W2" s="2349"/>
      <c r="X2" s="2349"/>
      <c r="Y2" s="2349"/>
      <c r="Z2" s="2349"/>
      <c r="AA2" s="2349"/>
      <c r="AB2" s="2349"/>
      <c r="AC2" s="2349"/>
      <c r="AD2" s="2349"/>
      <c r="AE2" s="2349"/>
      <c r="AF2" s="2349"/>
      <c r="AG2" s="2349"/>
      <c r="AH2" s="2349"/>
      <c r="AI2" s="2349"/>
      <c r="AJ2" s="2349"/>
      <c r="AK2" s="2349"/>
      <c r="AL2" s="2349"/>
      <c r="AM2" s="2348"/>
      <c r="AN2" s="2348"/>
      <c r="AO2" s="617"/>
      <c r="AP2" s="617"/>
      <c r="AQ2" s="617"/>
      <c r="AR2" s="617"/>
      <c r="AS2" s="617"/>
      <c r="AT2" s="617"/>
      <c r="AU2" s="617"/>
      <c r="AV2" s="617"/>
      <c r="AW2" s="617"/>
      <c r="AX2" s="617"/>
      <c r="AY2" s="617"/>
      <c r="AZ2" s="617"/>
      <c r="BA2" s="617"/>
      <c r="BB2" s="617"/>
      <c r="BC2" s="617"/>
      <c r="BD2" s="617"/>
      <c r="BE2" s="617"/>
      <c r="BF2" s="617"/>
      <c r="BG2" s="617"/>
      <c r="BH2" s="617"/>
      <c r="BI2" s="617"/>
      <c r="BJ2" s="617"/>
      <c r="BK2" s="617"/>
      <c r="BL2" s="617"/>
      <c r="BM2" s="617"/>
      <c r="BN2" s="617"/>
      <c r="BO2" s="617"/>
      <c r="BP2" s="617"/>
      <c r="BQ2" s="617"/>
      <c r="BR2" s="617"/>
      <c r="BS2" s="617"/>
      <c r="BT2" s="617"/>
      <c r="BU2" s="617"/>
      <c r="BV2" s="617"/>
      <c r="BW2" s="617"/>
      <c r="BX2" s="617"/>
      <c r="BY2" s="617"/>
      <c r="BZ2" s="617"/>
      <c r="CA2" s="17"/>
    </row>
    <row r="3" spans="1:79" ht="17.100000000000001" customHeight="1" x14ac:dyDescent="0.15">
      <c r="A3" s="17"/>
      <c r="B3" s="1288"/>
      <c r="C3" s="3737" t="str">
        <f>'^'!$BK$55</f>
        <v>YYYY</v>
      </c>
      <c r="D3" s="3737"/>
      <c r="E3" s="3737"/>
      <c r="F3" s="3736" t="str">
        <f>PLANS!$F$3</f>
        <v>MONTH</v>
      </c>
      <c r="G3" s="3736"/>
      <c r="H3" s="3736"/>
      <c r="I3" s="3738" t="str">
        <f ca="1">PLANS!$I$3</f>
        <v>00</v>
      </c>
      <c r="J3" s="3738"/>
      <c r="K3" s="3738"/>
      <c r="L3" s="3739" t="str">
        <f ca="1">PLANS!$L$3</f>
        <v>00:00</v>
      </c>
      <c r="M3" s="3737"/>
      <c r="N3" s="3737"/>
      <c r="O3" s="1288"/>
      <c r="P3" s="17"/>
      <c r="Q3" s="3740" t="s">
        <v>168</v>
      </c>
      <c r="R3" s="3740"/>
      <c r="S3" s="3740"/>
      <c r="T3" s="617"/>
      <c r="U3" s="617"/>
      <c r="V3" s="86"/>
      <c r="W3" s="86"/>
      <c r="X3" s="86"/>
      <c r="Y3" s="86"/>
      <c r="Z3" s="86"/>
      <c r="AA3" s="86"/>
      <c r="AB3" s="86"/>
      <c r="AC3" s="86"/>
      <c r="AD3" s="86"/>
      <c r="AE3" s="86"/>
      <c r="AF3" s="86"/>
      <c r="AG3" s="86"/>
      <c r="AH3" s="86"/>
      <c r="AI3" s="86"/>
      <c r="AJ3" s="86"/>
      <c r="AK3" s="86"/>
      <c r="AL3" s="86"/>
      <c r="AM3" s="86"/>
      <c r="AN3" s="86"/>
      <c r="AO3" s="86"/>
      <c r="AP3" s="86"/>
      <c r="AQ3" s="86"/>
      <c r="AR3" s="86"/>
      <c r="AS3" s="86"/>
      <c r="AT3" s="86"/>
      <c r="AU3" s="86"/>
      <c r="AV3" s="86"/>
      <c r="AW3" s="86"/>
      <c r="AX3" s="86"/>
      <c r="AY3" s="86"/>
      <c r="AZ3" s="86"/>
      <c r="BA3" s="86"/>
      <c r="BB3" s="86"/>
      <c r="BC3" s="86"/>
      <c r="BD3" s="86"/>
      <c r="BE3" s="86"/>
      <c r="BF3" s="86"/>
      <c r="BG3" s="86"/>
      <c r="BH3" s="86"/>
      <c r="BI3" s="86"/>
      <c r="BJ3" s="86"/>
      <c r="BK3" s="86"/>
      <c r="BL3" s="86"/>
      <c r="BM3" s="86"/>
      <c r="BN3" s="86"/>
      <c r="BO3" s="86"/>
      <c r="BP3" s="86"/>
      <c r="BQ3" s="86"/>
      <c r="BR3" s="86"/>
      <c r="BS3" s="86"/>
      <c r="BT3" s="86"/>
      <c r="BU3" s="86"/>
      <c r="BV3" s="86"/>
      <c r="BW3" s="86"/>
      <c r="BX3" s="86"/>
      <c r="BY3" s="617"/>
      <c r="BZ3" s="617"/>
      <c r="CA3" s="17"/>
    </row>
    <row r="4" spans="1:79" ht="17.100000000000001" customHeight="1" x14ac:dyDescent="0.15">
      <c r="A4" s="17"/>
      <c r="B4" s="1288"/>
      <c r="C4" s="3737"/>
      <c r="D4" s="3737"/>
      <c r="E4" s="3737"/>
      <c r="F4" s="3736"/>
      <c r="G4" s="3736"/>
      <c r="H4" s="3736"/>
      <c r="I4" s="3738"/>
      <c r="J4" s="3738"/>
      <c r="K4" s="3738"/>
      <c r="L4" s="3737"/>
      <c r="M4" s="3737"/>
      <c r="N4" s="3737"/>
      <c r="O4" s="1288"/>
      <c r="P4" s="17"/>
      <c r="Q4" s="3740"/>
      <c r="R4" s="3740"/>
      <c r="S4" s="3740"/>
      <c r="T4" s="1184"/>
      <c r="U4" s="617"/>
      <c r="V4" s="86"/>
      <c r="W4" s="86"/>
      <c r="X4" s="86"/>
      <c r="Y4" s="86"/>
      <c r="Z4" s="86"/>
      <c r="AA4" s="86"/>
      <c r="AB4" s="86"/>
      <c r="AC4" s="86"/>
      <c r="AD4" s="86"/>
      <c r="AE4" s="86"/>
      <c r="AF4" s="86"/>
      <c r="AG4" s="86"/>
      <c r="AH4" s="86"/>
      <c r="AI4" s="86"/>
      <c r="AJ4" s="86"/>
      <c r="AK4" s="86"/>
      <c r="AL4" s="86"/>
      <c r="AM4" s="86"/>
      <c r="AN4" s="86"/>
      <c r="AO4" s="86"/>
      <c r="AP4" s="86"/>
      <c r="AQ4" s="86"/>
      <c r="AR4" s="86"/>
      <c r="AS4" s="86"/>
      <c r="AT4" s="86"/>
      <c r="AU4" s="86"/>
      <c r="AV4" s="86"/>
      <c r="AW4" s="86"/>
      <c r="AX4" s="86"/>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617"/>
      <c r="BZ4" s="617"/>
      <c r="CA4" s="17"/>
    </row>
    <row r="5" spans="1:79" ht="17.100000000000001" customHeight="1" x14ac:dyDescent="0.15">
      <c r="A5" s="17"/>
      <c r="B5" s="1288"/>
      <c r="C5" s="3737"/>
      <c r="D5" s="3737"/>
      <c r="E5" s="3737"/>
      <c r="F5" s="3736"/>
      <c r="G5" s="3736"/>
      <c r="H5" s="3736"/>
      <c r="I5" s="3738"/>
      <c r="J5" s="3738"/>
      <c r="K5" s="3738"/>
      <c r="L5" s="3737"/>
      <c r="M5" s="3737"/>
      <c r="N5" s="3737"/>
      <c r="O5" s="1288"/>
      <c r="P5" s="17"/>
      <c r="Q5" s="3740"/>
      <c r="R5" s="3740"/>
      <c r="S5" s="3740"/>
      <c r="T5" s="1184"/>
      <c r="U5" s="617"/>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617"/>
      <c r="BZ5" s="617"/>
      <c r="CA5" s="17"/>
    </row>
    <row r="6" spans="1:79" ht="17.100000000000001" customHeight="1" x14ac:dyDescent="0.15">
      <c r="A6" s="17"/>
      <c r="B6" s="1288"/>
      <c r="C6" s="3737"/>
      <c r="D6" s="3737"/>
      <c r="E6" s="3737"/>
      <c r="F6" s="3736"/>
      <c r="G6" s="3736"/>
      <c r="H6" s="3736"/>
      <c r="I6" s="3738"/>
      <c r="J6" s="3738"/>
      <c r="K6" s="3738"/>
      <c r="L6" s="3737"/>
      <c r="M6" s="3737"/>
      <c r="N6" s="3737"/>
      <c r="O6" s="1288"/>
      <c r="P6" s="17"/>
      <c r="Q6" s="3740"/>
      <c r="R6" s="3740"/>
      <c r="S6" s="3740"/>
      <c r="T6" s="1184"/>
      <c r="U6" s="617"/>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617"/>
      <c r="BZ6" s="617"/>
      <c r="CA6" s="17"/>
    </row>
    <row r="7" spans="1:79" ht="17.100000000000001" customHeight="1" x14ac:dyDescent="0.15">
      <c r="A7" s="17"/>
      <c r="B7" s="1288"/>
      <c r="C7" s="3737"/>
      <c r="D7" s="3737"/>
      <c r="E7" s="3737"/>
      <c r="F7" s="3736"/>
      <c r="G7" s="3736"/>
      <c r="H7" s="3736"/>
      <c r="I7" s="3738"/>
      <c r="J7" s="3738"/>
      <c r="K7" s="3738"/>
      <c r="L7" s="3737"/>
      <c r="M7" s="3737"/>
      <c r="N7" s="3737"/>
      <c r="O7" s="1288"/>
      <c r="P7" s="17"/>
      <c r="Q7" s="3740"/>
      <c r="R7" s="3740"/>
      <c r="S7" s="3740"/>
      <c r="T7" s="1184"/>
      <c r="U7" s="617"/>
      <c r="V7" s="86"/>
      <c r="W7" s="86"/>
      <c r="X7" s="86"/>
      <c r="Y7" s="86"/>
      <c r="Z7" s="86"/>
      <c r="AA7" s="86"/>
      <c r="AB7" s="86"/>
      <c r="AC7" s="86"/>
      <c r="AD7" s="86"/>
      <c r="AE7" s="86"/>
      <c r="AF7" s="86"/>
      <c r="AG7" s="86"/>
      <c r="AH7" s="86"/>
      <c r="AI7" s="86"/>
      <c r="AJ7" s="86"/>
      <c r="AK7" s="86"/>
      <c r="AL7" s="86"/>
      <c r="AM7" s="86"/>
      <c r="AN7" s="86"/>
      <c r="AO7" s="86"/>
      <c r="AP7" s="86"/>
      <c r="AQ7" s="86"/>
      <c r="AR7" s="86"/>
      <c r="AS7" s="86"/>
      <c r="AT7" s="86"/>
      <c r="AU7" s="86"/>
      <c r="AV7" s="86"/>
      <c r="AW7" s="86"/>
      <c r="AX7" s="86"/>
      <c r="AY7" s="86"/>
      <c r="AZ7" s="86"/>
      <c r="BA7" s="86"/>
      <c r="BB7" s="86"/>
      <c r="BC7" s="86"/>
      <c r="BD7" s="86"/>
      <c r="BE7" s="86"/>
      <c r="BF7" s="86"/>
      <c r="BG7" s="86"/>
      <c r="BH7" s="86"/>
      <c r="BI7" s="86"/>
      <c r="BJ7" s="86"/>
      <c r="BK7" s="86"/>
      <c r="BL7" s="86"/>
      <c r="BM7" s="86"/>
      <c r="BN7" s="86"/>
      <c r="BO7" s="86"/>
      <c r="BP7" s="86"/>
      <c r="BQ7" s="86"/>
      <c r="BR7" s="86"/>
      <c r="BS7" s="86"/>
      <c r="BT7" s="86"/>
      <c r="BU7" s="86"/>
      <c r="BV7" s="86"/>
      <c r="BW7" s="86"/>
      <c r="BX7" s="86"/>
      <c r="BY7" s="617"/>
      <c r="BZ7" s="617"/>
      <c r="CA7" s="17"/>
    </row>
    <row r="8" spans="1:79" ht="17.100000000000001" customHeight="1" x14ac:dyDescent="0.15">
      <c r="A8" s="17"/>
      <c r="B8" s="1288"/>
      <c r="C8" s="3737"/>
      <c r="D8" s="3737"/>
      <c r="E8" s="3737"/>
      <c r="F8" s="3736"/>
      <c r="G8" s="3736"/>
      <c r="H8" s="3736"/>
      <c r="I8" s="3738"/>
      <c r="J8" s="3738"/>
      <c r="K8" s="3738"/>
      <c r="L8" s="3737"/>
      <c r="M8" s="3737"/>
      <c r="N8" s="3737"/>
      <c r="O8" s="1288"/>
      <c r="P8" s="17"/>
      <c r="Q8" s="3740"/>
      <c r="R8" s="3740"/>
      <c r="S8" s="3740"/>
      <c r="T8" s="1184"/>
      <c r="U8" s="617"/>
      <c r="V8" s="86"/>
      <c r="W8" s="86"/>
      <c r="X8" s="86"/>
      <c r="Y8" s="86"/>
      <c r="Z8" s="86"/>
      <c r="AA8" s="86"/>
      <c r="AB8" s="86"/>
      <c r="AC8" s="86"/>
      <c r="AD8" s="86"/>
      <c r="AE8" s="86"/>
      <c r="AF8" s="86"/>
      <c r="AG8" s="86"/>
      <c r="AH8" s="86"/>
      <c r="AI8" s="86"/>
      <c r="AJ8" s="86"/>
      <c r="AK8" s="86"/>
      <c r="AL8" s="86"/>
      <c r="AM8" s="86"/>
      <c r="AN8" s="86"/>
      <c r="AO8" s="86"/>
      <c r="AP8" s="86"/>
      <c r="AQ8" s="86"/>
      <c r="AR8" s="86"/>
      <c r="AS8" s="86"/>
      <c r="AT8" s="86"/>
      <c r="AU8" s="86"/>
      <c r="AV8" s="86"/>
      <c r="AW8" s="86"/>
      <c r="AX8" s="86"/>
      <c r="AY8" s="86"/>
      <c r="AZ8" s="86"/>
      <c r="BA8" s="86"/>
      <c r="BB8" s="86"/>
      <c r="BC8" s="86"/>
      <c r="BD8" s="86"/>
      <c r="BE8" s="86"/>
      <c r="BF8" s="86"/>
      <c r="BG8" s="86"/>
      <c r="BH8" s="86"/>
      <c r="BI8" s="86"/>
      <c r="BJ8" s="86"/>
      <c r="BK8" s="86"/>
      <c r="BL8" s="86"/>
      <c r="BM8" s="86"/>
      <c r="BN8" s="86"/>
      <c r="BO8" s="86"/>
      <c r="BP8" s="86"/>
      <c r="BQ8" s="86"/>
      <c r="BR8" s="86"/>
      <c r="BS8" s="86"/>
      <c r="BT8" s="86"/>
      <c r="BU8" s="86"/>
      <c r="BV8" s="86"/>
      <c r="BW8" s="86"/>
      <c r="BX8" s="86"/>
      <c r="BY8" s="617"/>
      <c r="BZ8" s="617"/>
      <c r="CA8" s="17"/>
    </row>
    <row r="9" spans="1:79" ht="17.100000000000001" customHeight="1" x14ac:dyDescent="0.15">
      <c r="A9" s="17"/>
      <c r="B9" s="1288"/>
      <c r="C9" s="3737"/>
      <c r="D9" s="3737"/>
      <c r="E9" s="3737"/>
      <c r="F9" s="3736"/>
      <c r="G9" s="3736"/>
      <c r="H9" s="3736"/>
      <c r="I9" s="3738"/>
      <c r="J9" s="3738"/>
      <c r="K9" s="3738"/>
      <c r="L9" s="3737"/>
      <c r="M9" s="3737"/>
      <c r="N9" s="3737"/>
      <c r="O9" s="1288"/>
      <c r="P9" s="17"/>
      <c r="Q9" s="3740"/>
      <c r="R9" s="3740"/>
      <c r="S9" s="3740"/>
      <c r="T9" s="1184"/>
      <c r="U9" s="617"/>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c r="AX9" s="86"/>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617"/>
      <c r="BZ9" s="617"/>
      <c r="CA9" s="17"/>
    </row>
    <row r="10" spans="1:79" ht="17.100000000000001" customHeight="1" x14ac:dyDescent="0.15">
      <c r="A10" s="17"/>
      <c r="B10" s="1288"/>
      <c r="C10" s="3737"/>
      <c r="D10" s="3737"/>
      <c r="E10" s="3737"/>
      <c r="F10" s="3736"/>
      <c r="G10" s="3736"/>
      <c r="H10" s="3736"/>
      <c r="I10" s="3738"/>
      <c r="J10" s="3738"/>
      <c r="K10" s="3738"/>
      <c r="L10" s="3737"/>
      <c r="M10" s="3737"/>
      <c r="N10" s="3737"/>
      <c r="O10" s="1288"/>
      <c r="P10" s="17"/>
      <c r="Q10" s="3740"/>
      <c r="R10" s="3740"/>
      <c r="S10" s="3740"/>
      <c r="T10" s="1184"/>
      <c r="U10" s="617"/>
      <c r="V10" s="86"/>
      <c r="W10" s="86"/>
      <c r="X10" s="86"/>
      <c r="Y10" s="86"/>
      <c r="Z10" s="86"/>
      <c r="AA10" s="86"/>
      <c r="AB10" s="86"/>
      <c r="AC10" s="86"/>
      <c r="AD10" s="86"/>
      <c r="AE10" s="86"/>
      <c r="AF10" s="86"/>
      <c r="AG10" s="86"/>
      <c r="AH10" s="86"/>
      <c r="AI10" s="86"/>
      <c r="AJ10" s="86"/>
      <c r="AK10" s="86"/>
      <c r="AL10" s="86"/>
      <c r="AM10" s="86"/>
      <c r="AN10" s="86"/>
      <c r="AO10" s="86"/>
      <c r="AP10" s="86"/>
      <c r="AQ10" s="86"/>
      <c r="AR10" s="86"/>
      <c r="AS10" s="86"/>
      <c r="AT10" s="86"/>
      <c r="AU10" s="86"/>
      <c r="AV10" s="86"/>
      <c r="AW10" s="86"/>
      <c r="AX10" s="86"/>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617"/>
      <c r="BZ10" s="617"/>
      <c r="CA10" s="17"/>
    </row>
    <row r="11" spans="1:79" ht="17.100000000000001" customHeight="1" x14ac:dyDescent="0.15">
      <c r="A11" s="17"/>
      <c r="B11" s="1288"/>
      <c r="C11" s="3737"/>
      <c r="D11" s="3737"/>
      <c r="E11" s="3737"/>
      <c r="F11" s="3736"/>
      <c r="G11" s="3736"/>
      <c r="H11" s="3736"/>
      <c r="I11" s="3738"/>
      <c r="J11" s="3738"/>
      <c r="K11" s="3738"/>
      <c r="L11" s="3737"/>
      <c r="M11" s="3737"/>
      <c r="N11" s="3737"/>
      <c r="O11" s="1288"/>
      <c r="P11" s="17"/>
      <c r="Q11" s="3740"/>
      <c r="R11" s="3740"/>
      <c r="S11" s="3740"/>
      <c r="T11" s="1184"/>
      <c r="U11" s="617"/>
      <c r="V11" s="86"/>
      <c r="W11" s="86"/>
      <c r="X11" s="86"/>
      <c r="Y11" s="86"/>
      <c r="Z11" s="86"/>
      <c r="AA11" s="86"/>
      <c r="AB11" s="86"/>
      <c r="AC11" s="86"/>
      <c r="AD11" s="86"/>
      <c r="AE11" s="86"/>
      <c r="AF11" s="86"/>
      <c r="AG11" s="86"/>
      <c r="AH11" s="86"/>
      <c r="AI11" s="86"/>
      <c r="AJ11" s="86"/>
      <c r="AK11" s="86"/>
      <c r="AL11" s="86"/>
      <c r="AM11" s="86"/>
      <c r="AN11" s="86"/>
      <c r="AO11" s="86"/>
      <c r="AP11" s="86"/>
      <c r="AQ11" s="86"/>
      <c r="AR11" s="86"/>
      <c r="AS11" s="86"/>
      <c r="AT11" s="86"/>
      <c r="AU11" s="86"/>
      <c r="AV11" s="86"/>
      <c r="AW11" s="86"/>
      <c r="AX11" s="86"/>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617"/>
      <c r="BZ11" s="617"/>
      <c r="CA11" s="17"/>
    </row>
    <row r="12" spans="1:79" ht="17.100000000000001" customHeight="1" x14ac:dyDescent="0.15">
      <c r="A12" s="17"/>
      <c r="B12" s="1288"/>
      <c r="C12" s="3737"/>
      <c r="D12" s="3737"/>
      <c r="E12" s="3737"/>
      <c r="F12" s="3736"/>
      <c r="G12" s="3736"/>
      <c r="H12" s="3736"/>
      <c r="I12" s="3738"/>
      <c r="J12" s="3738"/>
      <c r="K12" s="3738"/>
      <c r="L12" s="3737"/>
      <c r="M12" s="3737"/>
      <c r="N12" s="3737"/>
      <c r="O12" s="1288"/>
      <c r="P12" s="17"/>
      <c r="Q12" s="3740"/>
      <c r="R12" s="3740"/>
      <c r="S12" s="3740"/>
      <c r="T12" s="1184"/>
      <c r="U12" s="617"/>
      <c r="V12" s="86"/>
      <c r="W12" s="86"/>
      <c r="X12" s="86"/>
      <c r="Y12" s="86"/>
      <c r="Z12" s="86"/>
      <c r="AA12" s="86"/>
      <c r="AB12" s="86"/>
      <c r="AC12" s="86"/>
      <c r="AD12" s="86"/>
      <c r="AE12" s="86"/>
      <c r="AF12" s="86"/>
      <c r="AG12" s="86"/>
      <c r="AH12" s="86"/>
      <c r="AI12" s="86"/>
      <c r="AJ12" s="86"/>
      <c r="AK12" s="86"/>
      <c r="AL12" s="86"/>
      <c r="AM12" s="86"/>
      <c r="AN12" s="86"/>
      <c r="AO12" s="86"/>
      <c r="AP12" s="86"/>
      <c r="AQ12" s="86"/>
      <c r="AR12" s="86"/>
      <c r="AS12" s="86"/>
      <c r="AT12" s="86"/>
      <c r="AU12" s="86"/>
      <c r="AV12" s="86"/>
      <c r="AW12" s="86"/>
      <c r="AX12" s="86"/>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617"/>
      <c r="BZ12" s="617"/>
      <c r="CA12" s="17"/>
    </row>
    <row r="13" spans="1:79" ht="17.100000000000001" customHeight="1" x14ac:dyDescent="0.15">
      <c r="A13" s="17"/>
      <c r="B13" s="1288"/>
      <c r="C13" s="3737"/>
      <c r="D13" s="3737"/>
      <c r="E13" s="3737"/>
      <c r="F13" s="3736"/>
      <c r="G13" s="3736"/>
      <c r="H13" s="3736"/>
      <c r="I13" s="3738"/>
      <c r="J13" s="3738"/>
      <c r="K13" s="3738"/>
      <c r="L13" s="3737"/>
      <c r="M13" s="3737"/>
      <c r="N13" s="3737"/>
      <c r="O13" s="1288"/>
      <c r="P13" s="17"/>
      <c r="Q13" s="3740"/>
      <c r="R13" s="3740"/>
      <c r="S13" s="3740"/>
      <c r="T13" s="1184"/>
      <c r="U13" s="617"/>
      <c r="V13" s="86"/>
      <c r="W13" s="86"/>
      <c r="X13" s="86"/>
      <c r="Y13" s="86"/>
      <c r="Z13" s="86"/>
      <c r="AA13" s="86"/>
      <c r="AB13" s="86"/>
      <c r="AC13" s="86"/>
      <c r="AD13" s="86"/>
      <c r="AE13" s="86"/>
      <c r="AF13" s="86"/>
      <c r="AG13" s="86"/>
      <c r="AH13" s="86"/>
      <c r="AI13" s="86"/>
      <c r="AJ13" s="86"/>
      <c r="AK13" s="86"/>
      <c r="AL13" s="86"/>
      <c r="AM13" s="86"/>
      <c r="AN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W13" s="86"/>
      <c r="BX13" s="86"/>
      <c r="BY13" s="617"/>
      <c r="BZ13" s="617"/>
      <c r="CA13" s="17"/>
    </row>
    <row r="14" spans="1:79" ht="17.100000000000001" customHeight="1" x14ac:dyDescent="0.15">
      <c r="A14" s="17"/>
      <c r="B14" s="1288"/>
      <c r="C14" s="3737"/>
      <c r="D14" s="3737"/>
      <c r="E14" s="3737"/>
      <c r="F14" s="3736"/>
      <c r="G14" s="3736"/>
      <c r="H14" s="3736"/>
      <c r="I14" s="3738"/>
      <c r="J14" s="3738"/>
      <c r="K14" s="3738"/>
      <c r="L14" s="3737"/>
      <c r="M14" s="3737"/>
      <c r="N14" s="3737"/>
      <c r="O14" s="1288"/>
      <c r="P14" s="17"/>
      <c r="Q14" s="3740"/>
      <c r="R14" s="3740"/>
      <c r="S14" s="3740"/>
      <c r="T14" s="1184"/>
      <c r="U14" s="617"/>
      <c r="V14" s="86"/>
      <c r="W14" s="86"/>
      <c r="X14" s="86"/>
      <c r="Y14" s="86"/>
      <c r="Z14" s="86"/>
      <c r="AA14" s="86"/>
      <c r="AB14" s="86"/>
      <c r="AC14" s="86"/>
      <c r="AD14" s="86"/>
      <c r="AE14" s="86"/>
      <c r="AF14" s="86"/>
      <c r="AG14" s="86"/>
      <c r="AH14" s="86"/>
      <c r="AI14" s="86"/>
      <c r="AJ14" s="86"/>
      <c r="AK14" s="86"/>
      <c r="AL14" s="86"/>
      <c r="AM14" s="86"/>
      <c r="AN14" s="86"/>
      <c r="AO14" s="86"/>
      <c r="AP14" s="86"/>
      <c r="AQ14" s="86"/>
      <c r="AR14" s="86"/>
      <c r="AS14" s="86"/>
      <c r="AT14" s="86"/>
      <c r="AU14" s="86"/>
      <c r="AV14" s="86"/>
      <c r="AW14" s="86"/>
      <c r="AX14" s="86"/>
      <c r="AY14" s="86"/>
      <c r="AZ14" s="86"/>
      <c r="BA14" s="86"/>
      <c r="BB14" s="86"/>
      <c r="BC14" s="86"/>
      <c r="BD14" s="86"/>
      <c r="BE14" s="86"/>
      <c r="BF14" s="86"/>
      <c r="BG14" s="86"/>
      <c r="BH14" s="86"/>
      <c r="BI14" s="86"/>
      <c r="BJ14" s="86"/>
      <c r="BK14" s="86"/>
      <c r="BL14" s="86"/>
      <c r="BM14" s="86"/>
      <c r="BN14" s="86"/>
      <c r="BO14" s="86"/>
      <c r="BP14" s="86"/>
      <c r="BQ14" s="86"/>
      <c r="BR14" s="86"/>
      <c r="BS14" s="86"/>
      <c r="BT14" s="86"/>
      <c r="BU14" s="86"/>
      <c r="BV14" s="86"/>
      <c r="BW14" s="86"/>
      <c r="BX14" s="86"/>
      <c r="BY14" s="617"/>
      <c r="BZ14" s="617"/>
      <c r="CA14" s="17"/>
    </row>
    <row r="15" spans="1:79" ht="17.100000000000001" customHeight="1" x14ac:dyDescent="0.15">
      <c r="A15" s="17"/>
      <c r="B15" s="1288"/>
      <c r="C15" s="3737"/>
      <c r="D15" s="3737"/>
      <c r="E15" s="3737"/>
      <c r="F15" s="3736"/>
      <c r="G15" s="3736"/>
      <c r="H15" s="3736"/>
      <c r="I15" s="3738"/>
      <c r="J15" s="3738"/>
      <c r="K15" s="3738"/>
      <c r="L15" s="3737"/>
      <c r="M15" s="3737"/>
      <c r="N15" s="3737"/>
      <c r="O15" s="1288"/>
      <c r="P15" s="17"/>
      <c r="Q15" s="3740"/>
      <c r="R15" s="3740"/>
      <c r="S15" s="3740"/>
      <c r="T15" s="1184"/>
      <c r="U15" s="617"/>
      <c r="V15" s="86"/>
      <c r="W15" s="86"/>
      <c r="X15" s="86"/>
      <c r="Y15" s="86"/>
      <c r="Z15" s="86"/>
      <c r="AA15" s="86"/>
      <c r="AB15" s="86"/>
      <c r="AC15" s="86"/>
      <c r="AD15" s="86"/>
      <c r="AE15" s="86"/>
      <c r="AF15" s="86"/>
      <c r="AG15" s="86"/>
      <c r="AH15" s="86"/>
      <c r="AI15" s="86"/>
      <c r="AJ15" s="86"/>
      <c r="AK15" s="86"/>
      <c r="AL15" s="86"/>
      <c r="AM15" s="86"/>
      <c r="AN15" s="86"/>
      <c r="AO15" s="86"/>
      <c r="AP15" s="86"/>
      <c r="AQ15" s="86"/>
      <c r="AR15" s="86"/>
      <c r="AS15" s="86"/>
      <c r="AT15" s="86"/>
      <c r="AU15" s="86"/>
      <c r="AV15" s="86"/>
      <c r="AW15" s="86"/>
      <c r="AX15" s="86"/>
      <c r="AY15" s="86"/>
      <c r="AZ15" s="86"/>
      <c r="BA15" s="86"/>
      <c r="BB15" s="86"/>
      <c r="BC15" s="86"/>
      <c r="BD15" s="86"/>
      <c r="BE15" s="86"/>
      <c r="BF15" s="86"/>
      <c r="BG15" s="86"/>
      <c r="BH15" s="86"/>
      <c r="BI15" s="86"/>
      <c r="BJ15" s="86"/>
      <c r="BK15" s="86"/>
      <c r="BL15" s="86"/>
      <c r="BM15" s="86"/>
      <c r="BN15" s="86"/>
      <c r="BO15" s="86"/>
      <c r="BP15" s="86"/>
      <c r="BQ15" s="86"/>
      <c r="BR15" s="86"/>
      <c r="BS15" s="86"/>
      <c r="BT15" s="86"/>
      <c r="BU15" s="86"/>
      <c r="BV15" s="86"/>
      <c r="BW15" s="86"/>
      <c r="BX15" s="86"/>
      <c r="BY15" s="617"/>
      <c r="BZ15" s="617"/>
      <c r="CA15" s="17"/>
    </row>
    <row r="16" spans="1:79" ht="17.100000000000001" customHeight="1" x14ac:dyDescent="0.15">
      <c r="A16" s="17"/>
      <c r="B16" s="1288"/>
      <c r="C16" s="3737"/>
      <c r="D16" s="3737"/>
      <c r="E16" s="3737"/>
      <c r="F16" s="3736"/>
      <c r="G16" s="3736"/>
      <c r="H16" s="3736"/>
      <c r="I16" s="3738"/>
      <c r="J16" s="3738"/>
      <c r="K16" s="3738"/>
      <c r="L16" s="3737"/>
      <c r="M16" s="3737"/>
      <c r="N16" s="3737"/>
      <c r="O16" s="1288"/>
      <c r="P16" s="17"/>
      <c r="Q16" s="3740"/>
      <c r="R16" s="3740"/>
      <c r="S16" s="3740"/>
      <c r="T16" s="1184"/>
      <c r="U16" s="617"/>
      <c r="V16" s="86"/>
      <c r="W16" s="86"/>
      <c r="X16" s="86"/>
      <c r="Y16" s="86"/>
      <c r="Z16" s="86"/>
      <c r="AA16" s="86"/>
      <c r="AB16" s="86"/>
      <c r="AC16" s="86"/>
      <c r="AD16" s="86"/>
      <c r="AE16" s="86"/>
      <c r="AF16" s="86"/>
      <c r="AG16" s="86"/>
      <c r="AH16" s="86"/>
      <c r="AI16" s="86"/>
      <c r="AJ16" s="86"/>
      <c r="AK16" s="86"/>
      <c r="AL16" s="86"/>
      <c r="AM16" s="86"/>
      <c r="AN16" s="86"/>
      <c r="AO16" s="86"/>
      <c r="AP16" s="86"/>
      <c r="AQ16" s="86"/>
      <c r="AR16" s="86"/>
      <c r="AS16" s="86"/>
      <c r="AT16" s="86"/>
      <c r="AU16" s="86"/>
      <c r="AV16" s="86"/>
      <c r="AW16" s="86"/>
      <c r="AX16" s="86"/>
      <c r="AY16" s="86"/>
      <c r="AZ16" s="86"/>
      <c r="BA16" s="86"/>
      <c r="BB16" s="86"/>
      <c r="BC16" s="86"/>
      <c r="BD16" s="86"/>
      <c r="BE16" s="86"/>
      <c r="BF16" s="86"/>
      <c r="BG16" s="86"/>
      <c r="BH16" s="86"/>
      <c r="BI16" s="86"/>
      <c r="BJ16" s="86"/>
      <c r="BK16" s="86"/>
      <c r="BL16" s="86"/>
      <c r="BM16" s="86"/>
      <c r="BN16" s="86"/>
      <c r="BO16" s="86"/>
      <c r="BP16" s="86"/>
      <c r="BQ16" s="86"/>
      <c r="BR16" s="86"/>
      <c r="BS16" s="86"/>
      <c r="BT16" s="86"/>
      <c r="BU16" s="86"/>
      <c r="BV16" s="86"/>
      <c r="BW16" s="86"/>
      <c r="BX16" s="86"/>
      <c r="BY16" s="617"/>
      <c r="BZ16" s="617"/>
      <c r="CA16" s="17"/>
    </row>
    <row r="17" spans="1:79" ht="17.100000000000001" customHeight="1" x14ac:dyDescent="0.15">
      <c r="A17" s="17"/>
      <c r="B17" s="1288"/>
      <c r="C17" s="3737"/>
      <c r="D17" s="3737"/>
      <c r="E17" s="3737"/>
      <c r="F17" s="3736"/>
      <c r="G17" s="3736"/>
      <c r="H17" s="3736"/>
      <c r="I17" s="3738"/>
      <c r="J17" s="3738"/>
      <c r="K17" s="3738"/>
      <c r="L17" s="3737"/>
      <c r="M17" s="3737"/>
      <c r="N17" s="3737"/>
      <c r="O17" s="1288"/>
      <c r="P17" s="17"/>
      <c r="Q17" s="3740"/>
      <c r="R17" s="3740"/>
      <c r="S17" s="3740"/>
      <c r="T17" s="1184"/>
      <c r="U17" s="617"/>
      <c r="V17" s="86"/>
      <c r="W17" s="86"/>
      <c r="X17" s="86"/>
      <c r="Y17" s="86"/>
      <c r="Z17" s="86"/>
      <c r="AA17" s="86"/>
      <c r="AB17" s="86"/>
      <c r="AC17" s="86"/>
      <c r="AD17" s="86"/>
      <c r="AE17" s="86"/>
      <c r="AF17" s="86"/>
      <c r="AG17" s="86"/>
      <c r="AH17" s="86"/>
      <c r="AI17" s="86"/>
      <c r="AJ17" s="86"/>
      <c r="AK17" s="86"/>
      <c r="AL17" s="86"/>
      <c r="AM17" s="86"/>
      <c r="AN17" s="86"/>
      <c r="AO17" s="86"/>
      <c r="AP17" s="86"/>
      <c r="AQ17" s="86"/>
      <c r="AR17" s="86"/>
      <c r="AS17" s="86"/>
      <c r="AT17" s="86"/>
      <c r="AU17" s="86"/>
      <c r="AV17" s="86"/>
      <c r="AW17" s="86"/>
      <c r="AX17" s="86"/>
      <c r="AY17" s="86"/>
      <c r="AZ17" s="86"/>
      <c r="BA17" s="86"/>
      <c r="BB17" s="86"/>
      <c r="BC17" s="86"/>
      <c r="BD17" s="86"/>
      <c r="BE17" s="86"/>
      <c r="BF17" s="86"/>
      <c r="BG17" s="86"/>
      <c r="BH17" s="86"/>
      <c r="BI17" s="86"/>
      <c r="BJ17" s="86"/>
      <c r="BK17" s="86"/>
      <c r="BL17" s="86"/>
      <c r="BM17" s="86"/>
      <c r="BN17" s="86"/>
      <c r="BO17" s="86"/>
      <c r="BP17" s="86"/>
      <c r="BQ17" s="86"/>
      <c r="BR17" s="86"/>
      <c r="BS17" s="86"/>
      <c r="BT17" s="86"/>
      <c r="BU17" s="86"/>
      <c r="BV17" s="86"/>
      <c r="BW17" s="86"/>
      <c r="BX17" s="86"/>
      <c r="BY17" s="617"/>
      <c r="BZ17" s="617"/>
      <c r="CA17" s="17"/>
    </row>
    <row r="18" spans="1:79" ht="17.100000000000001" customHeight="1" x14ac:dyDescent="0.15">
      <c r="A18" s="17"/>
      <c r="B18" s="1288"/>
      <c r="C18" s="3737"/>
      <c r="D18" s="3737"/>
      <c r="E18" s="3737"/>
      <c r="F18" s="3736"/>
      <c r="G18" s="3736"/>
      <c r="H18" s="3736"/>
      <c r="I18" s="3738"/>
      <c r="J18" s="3738"/>
      <c r="K18" s="3738"/>
      <c r="L18" s="3737"/>
      <c r="M18" s="3737"/>
      <c r="N18" s="3737"/>
      <c r="O18" s="1288"/>
      <c r="P18" s="17"/>
      <c r="Q18" s="3740"/>
      <c r="R18" s="3740"/>
      <c r="S18" s="3740"/>
      <c r="T18" s="1184"/>
      <c r="U18" s="617"/>
      <c r="V18" s="86"/>
      <c r="W18" s="86"/>
      <c r="X18" s="86"/>
      <c r="Y18" s="86"/>
      <c r="Z18" s="86"/>
      <c r="AA18" s="86"/>
      <c r="AB18" s="86"/>
      <c r="AC18" s="86"/>
      <c r="AD18" s="86"/>
      <c r="AE18" s="86"/>
      <c r="AF18" s="86"/>
      <c r="AG18" s="86"/>
      <c r="AH18" s="86"/>
      <c r="AI18" s="86"/>
      <c r="AJ18" s="86"/>
      <c r="AK18" s="86"/>
      <c r="AL18" s="86"/>
      <c r="AM18" s="86"/>
      <c r="AN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86"/>
      <c r="BQ18" s="86"/>
      <c r="BR18" s="86"/>
      <c r="BS18" s="86"/>
      <c r="BT18" s="86"/>
      <c r="BU18" s="86"/>
      <c r="BV18" s="86"/>
      <c r="BW18" s="86"/>
      <c r="BX18" s="86"/>
      <c r="BY18" s="617"/>
      <c r="BZ18" s="617"/>
      <c r="CA18" s="17"/>
    </row>
    <row r="19" spans="1:79" ht="17.100000000000001" customHeight="1" x14ac:dyDescent="0.15">
      <c r="A19" s="17"/>
      <c r="B19" s="1288"/>
      <c r="C19" s="3737"/>
      <c r="D19" s="3737"/>
      <c r="E19" s="3737"/>
      <c r="F19" s="3736"/>
      <c r="G19" s="3736"/>
      <c r="H19" s="3736"/>
      <c r="I19" s="3738"/>
      <c r="J19" s="3738"/>
      <c r="K19" s="3738"/>
      <c r="L19" s="3737"/>
      <c r="M19" s="3737"/>
      <c r="N19" s="3737"/>
      <c r="O19" s="1288"/>
      <c r="P19" s="17"/>
      <c r="Q19" s="3740"/>
      <c r="R19" s="3740"/>
      <c r="S19" s="3740"/>
      <c r="T19" s="1184"/>
      <c r="U19" s="617"/>
      <c r="V19" s="86"/>
      <c r="W19" s="86"/>
      <c r="X19" s="86"/>
      <c r="Y19" s="86"/>
      <c r="Z19" s="86"/>
      <c r="AA19" s="86"/>
      <c r="AB19" s="86"/>
      <c r="AC19" s="86"/>
      <c r="AD19" s="86"/>
      <c r="AE19" s="86"/>
      <c r="AF19" s="86"/>
      <c r="AG19" s="86"/>
      <c r="AH19" s="86"/>
      <c r="AI19" s="86"/>
      <c r="AJ19" s="86"/>
      <c r="AK19" s="86"/>
      <c r="AL19" s="86"/>
      <c r="AM19" s="86"/>
      <c r="AN19" s="86"/>
      <c r="AO19" s="86"/>
      <c r="AP19" s="86"/>
      <c r="AQ19" s="86"/>
      <c r="AR19" s="86"/>
      <c r="AS19" s="86"/>
      <c r="AT19" s="86"/>
      <c r="AU19" s="86"/>
      <c r="AV19" s="86"/>
      <c r="AW19" s="86"/>
      <c r="AX19" s="86"/>
      <c r="AY19" s="86"/>
      <c r="AZ19" s="86"/>
      <c r="BA19" s="86"/>
      <c r="BB19" s="86"/>
      <c r="BC19" s="86"/>
      <c r="BD19" s="86"/>
      <c r="BE19" s="86"/>
      <c r="BF19" s="86"/>
      <c r="BG19" s="86"/>
      <c r="BH19" s="86"/>
      <c r="BI19" s="86"/>
      <c r="BJ19" s="86"/>
      <c r="BK19" s="86"/>
      <c r="BL19" s="86"/>
      <c r="BM19" s="86"/>
      <c r="BN19" s="86"/>
      <c r="BO19" s="86"/>
      <c r="BP19" s="86"/>
      <c r="BQ19" s="86"/>
      <c r="BR19" s="86"/>
      <c r="BS19" s="86"/>
      <c r="BT19" s="86"/>
      <c r="BU19" s="86"/>
      <c r="BV19" s="86"/>
      <c r="BW19" s="86"/>
      <c r="BX19" s="86"/>
      <c r="BY19" s="617"/>
      <c r="BZ19" s="617"/>
      <c r="CA19" s="17"/>
    </row>
    <row r="20" spans="1:79" ht="17.100000000000001" customHeight="1" x14ac:dyDescent="0.15">
      <c r="A20" s="17"/>
      <c r="B20" s="1288"/>
      <c r="C20" s="3737"/>
      <c r="D20" s="3737"/>
      <c r="E20" s="3737"/>
      <c r="F20" s="3736"/>
      <c r="G20" s="3736"/>
      <c r="H20" s="3736"/>
      <c r="I20" s="3738"/>
      <c r="J20" s="3738"/>
      <c r="K20" s="3738"/>
      <c r="L20" s="3737"/>
      <c r="M20" s="3737"/>
      <c r="N20" s="3737"/>
      <c r="O20" s="1288"/>
      <c r="P20" s="17"/>
      <c r="Q20" s="3740"/>
      <c r="R20" s="3740"/>
      <c r="S20" s="3740"/>
      <c r="T20" s="1184"/>
      <c r="U20" s="617"/>
      <c r="V20" s="86"/>
      <c r="W20" s="86"/>
      <c r="X20" s="86"/>
      <c r="Y20" s="86"/>
      <c r="Z20" s="86"/>
      <c r="AA20" s="86"/>
      <c r="AB20" s="86"/>
      <c r="AC20" s="86"/>
      <c r="AD20" s="86"/>
      <c r="AE20" s="86"/>
      <c r="AF20" s="86"/>
      <c r="AG20" s="86"/>
      <c r="AH20" s="86"/>
      <c r="AI20" s="86"/>
      <c r="AJ20" s="86"/>
      <c r="AK20" s="86"/>
      <c r="AL20" s="86"/>
      <c r="AM20" s="86"/>
      <c r="AN20" s="86"/>
      <c r="AO20" s="86"/>
      <c r="AP20" s="86"/>
      <c r="AQ20" s="86"/>
      <c r="AR20" s="86"/>
      <c r="AS20" s="86"/>
      <c r="AT20" s="86"/>
      <c r="AU20" s="86"/>
      <c r="AV20" s="86"/>
      <c r="AW20" s="86"/>
      <c r="AX20" s="86"/>
      <c r="AY20" s="86"/>
      <c r="AZ20" s="86"/>
      <c r="BA20" s="86"/>
      <c r="BB20" s="86"/>
      <c r="BC20" s="86"/>
      <c r="BD20" s="86"/>
      <c r="BE20" s="86"/>
      <c r="BF20" s="86"/>
      <c r="BG20" s="86"/>
      <c r="BH20" s="86"/>
      <c r="BI20" s="86"/>
      <c r="BJ20" s="86"/>
      <c r="BK20" s="86"/>
      <c r="BL20" s="86"/>
      <c r="BM20" s="86"/>
      <c r="BN20" s="86"/>
      <c r="BO20" s="86"/>
      <c r="BP20" s="86"/>
      <c r="BQ20" s="86"/>
      <c r="BR20" s="86"/>
      <c r="BS20" s="86"/>
      <c r="BT20" s="86"/>
      <c r="BU20" s="86"/>
      <c r="BV20" s="86"/>
      <c r="BW20" s="86"/>
      <c r="BX20" s="86"/>
      <c r="BY20" s="617"/>
      <c r="BZ20" s="617"/>
      <c r="CA20" s="17"/>
    </row>
    <row r="21" spans="1:79" ht="17.100000000000001" customHeight="1" x14ac:dyDescent="0.15">
      <c r="A21" s="17"/>
      <c r="B21" s="1288"/>
      <c r="C21" s="3737"/>
      <c r="D21" s="3737"/>
      <c r="E21" s="3737"/>
      <c r="F21" s="3736"/>
      <c r="G21" s="3736"/>
      <c r="H21" s="3736"/>
      <c r="I21" s="3738"/>
      <c r="J21" s="3738"/>
      <c r="K21" s="3738"/>
      <c r="L21" s="3737"/>
      <c r="M21" s="3737"/>
      <c r="N21" s="3737"/>
      <c r="O21" s="1288"/>
      <c r="P21" s="17"/>
      <c r="Q21" s="3740"/>
      <c r="R21" s="3740"/>
      <c r="S21" s="3740"/>
      <c r="T21" s="1184"/>
      <c r="U21" s="617"/>
      <c r="V21" s="86"/>
      <c r="W21" s="86"/>
      <c r="X21" s="86"/>
      <c r="Y21" s="86"/>
      <c r="Z21" s="86"/>
      <c r="AA21" s="86"/>
      <c r="AB21" s="86"/>
      <c r="AC21" s="86"/>
      <c r="AD21" s="86"/>
      <c r="AE21" s="86"/>
      <c r="AF21" s="86"/>
      <c r="AG21" s="86"/>
      <c r="AH21" s="86"/>
      <c r="AI21" s="86"/>
      <c r="AJ21" s="86"/>
      <c r="AK21" s="86"/>
      <c r="AL21" s="86"/>
      <c r="AM21" s="86"/>
      <c r="AN21" s="86"/>
      <c r="AO21" s="86"/>
      <c r="AP21" s="86"/>
      <c r="AQ21" s="86"/>
      <c r="AR21" s="86"/>
      <c r="AS21" s="86"/>
      <c r="AT21" s="86"/>
      <c r="AU21" s="86"/>
      <c r="AV21" s="86"/>
      <c r="AW21" s="86"/>
      <c r="AX21" s="86"/>
      <c r="AY21" s="86"/>
      <c r="AZ21" s="86"/>
      <c r="BA21" s="86"/>
      <c r="BB21" s="86"/>
      <c r="BC21" s="86"/>
      <c r="BD21" s="86"/>
      <c r="BE21" s="86"/>
      <c r="BF21" s="86"/>
      <c r="BG21" s="86"/>
      <c r="BH21" s="86"/>
      <c r="BI21" s="86"/>
      <c r="BJ21" s="86"/>
      <c r="BK21" s="86"/>
      <c r="BL21" s="86"/>
      <c r="BM21" s="86"/>
      <c r="BN21" s="86"/>
      <c r="BO21" s="86"/>
      <c r="BP21" s="86"/>
      <c r="BQ21" s="86"/>
      <c r="BR21" s="86"/>
      <c r="BS21" s="86"/>
      <c r="BT21" s="86"/>
      <c r="BU21" s="86"/>
      <c r="BV21" s="86"/>
      <c r="BW21" s="86"/>
      <c r="BX21" s="86"/>
      <c r="BY21" s="617"/>
      <c r="BZ21" s="617"/>
      <c r="CA21" s="17"/>
    </row>
    <row r="22" spans="1:79" ht="17.100000000000001" customHeight="1" x14ac:dyDescent="0.15">
      <c r="A22" s="17"/>
      <c r="B22" s="1288"/>
      <c r="C22" s="3737"/>
      <c r="D22" s="3737"/>
      <c r="E22" s="3737"/>
      <c r="F22" s="3736"/>
      <c r="G22" s="3736"/>
      <c r="H22" s="3736"/>
      <c r="I22" s="3738"/>
      <c r="J22" s="3738"/>
      <c r="K22" s="3738"/>
      <c r="L22" s="3737"/>
      <c r="M22" s="3737"/>
      <c r="N22" s="3737"/>
      <c r="O22" s="1288"/>
      <c r="P22" s="17"/>
      <c r="Q22" s="3740"/>
      <c r="R22" s="3740"/>
      <c r="S22" s="3740"/>
      <c r="T22" s="1184"/>
      <c r="U22" s="617"/>
      <c r="V22" s="86"/>
      <c r="W22" s="86"/>
      <c r="X22" s="86"/>
      <c r="Y22" s="86"/>
      <c r="Z22" s="86"/>
      <c r="AA22" s="86"/>
      <c r="AB22" s="86"/>
      <c r="AC22" s="86"/>
      <c r="AD22" s="86"/>
      <c r="AE22" s="86"/>
      <c r="AF22" s="86"/>
      <c r="AG22" s="86"/>
      <c r="AH22" s="86"/>
      <c r="AI22" s="86"/>
      <c r="AJ22" s="86"/>
      <c r="AK22" s="86"/>
      <c r="AL22" s="86"/>
      <c r="AM22" s="86"/>
      <c r="AN22" s="86"/>
      <c r="AO22" s="86"/>
      <c r="AP22" s="86"/>
      <c r="AQ22" s="86"/>
      <c r="AR22" s="86"/>
      <c r="AS22" s="86"/>
      <c r="AT22" s="86"/>
      <c r="AU22" s="86"/>
      <c r="AV22" s="86"/>
      <c r="AW22" s="86"/>
      <c r="AX22" s="86"/>
      <c r="AY22" s="86"/>
      <c r="AZ22" s="86"/>
      <c r="BA22" s="86"/>
      <c r="BB22" s="86"/>
      <c r="BC22" s="86"/>
      <c r="BD22" s="86"/>
      <c r="BE22" s="86"/>
      <c r="BF22" s="86"/>
      <c r="BG22" s="86"/>
      <c r="BH22" s="86"/>
      <c r="BI22" s="86"/>
      <c r="BJ22" s="86"/>
      <c r="BK22" s="86"/>
      <c r="BL22" s="86"/>
      <c r="BM22" s="86"/>
      <c r="BN22" s="86"/>
      <c r="BO22" s="86"/>
      <c r="BP22" s="86"/>
      <c r="BQ22" s="86"/>
      <c r="BR22" s="86"/>
      <c r="BS22" s="86"/>
      <c r="BT22" s="86"/>
      <c r="BU22" s="86"/>
      <c r="BV22" s="86"/>
      <c r="BW22" s="86"/>
      <c r="BX22" s="86"/>
      <c r="BY22" s="617"/>
      <c r="BZ22" s="617"/>
      <c r="CA22" s="17"/>
    </row>
    <row r="23" spans="1:79" ht="17.100000000000001" customHeight="1" x14ac:dyDescent="0.15">
      <c r="A23" s="17"/>
      <c r="B23" s="1288"/>
      <c r="C23" s="3216"/>
      <c r="D23" s="3216"/>
      <c r="E23" s="3216"/>
      <c r="F23" s="3736"/>
      <c r="G23" s="3736"/>
      <c r="H23" s="3736"/>
      <c r="I23" s="3216"/>
      <c r="J23" s="3216"/>
      <c r="K23" s="3216"/>
      <c r="L23" s="3216"/>
      <c r="M23" s="3216"/>
      <c r="N23" s="3216"/>
      <c r="O23" s="1288"/>
      <c r="P23" s="17"/>
      <c r="Q23" s="3740"/>
      <c r="R23" s="3740"/>
      <c r="S23" s="3740"/>
      <c r="T23" s="1184"/>
      <c r="U23" s="617"/>
      <c r="V23" s="86"/>
      <c r="W23" s="86"/>
      <c r="X23" s="86"/>
      <c r="Y23" s="86"/>
      <c r="Z23" s="86"/>
      <c r="AA23" s="86"/>
      <c r="AB23" s="86"/>
      <c r="AC23" s="86"/>
      <c r="AD23" s="86"/>
      <c r="AE23" s="86"/>
      <c r="AF23" s="86"/>
      <c r="AG23" s="86"/>
      <c r="AH23" s="86"/>
      <c r="AI23" s="86"/>
      <c r="AJ23" s="86"/>
      <c r="AK23" s="86"/>
      <c r="AL23" s="86"/>
      <c r="AM23" s="86"/>
      <c r="AN23" s="86"/>
      <c r="AO23" s="86"/>
      <c r="AP23" s="86"/>
      <c r="AQ23" s="86"/>
      <c r="AR23" s="86"/>
      <c r="AS23" s="86"/>
      <c r="AT23" s="86"/>
      <c r="AU23" s="86"/>
      <c r="AV23" s="86"/>
      <c r="AW23" s="86"/>
      <c r="AX23" s="86"/>
      <c r="AY23" s="86"/>
      <c r="AZ23" s="86"/>
      <c r="BA23" s="86"/>
      <c r="BB23" s="86"/>
      <c r="BC23" s="86"/>
      <c r="BD23" s="86"/>
      <c r="BE23" s="86"/>
      <c r="BF23" s="86"/>
      <c r="BG23" s="86"/>
      <c r="BH23" s="86"/>
      <c r="BI23" s="86"/>
      <c r="BJ23" s="86"/>
      <c r="BK23" s="86"/>
      <c r="BL23" s="86"/>
      <c r="BM23" s="86"/>
      <c r="BN23" s="86"/>
      <c r="BO23" s="86"/>
      <c r="BP23" s="86"/>
      <c r="BQ23" s="86"/>
      <c r="BR23" s="86"/>
      <c r="BS23" s="86"/>
      <c r="BT23" s="86"/>
      <c r="BU23" s="86"/>
      <c r="BV23" s="86"/>
      <c r="BW23" s="86"/>
      <c r="BX23" s="86"/>
      <c r="BY23" s="617"/>
      <c r="BZ23" s="617"/>
      <c r="CA23" s="17"/>
    </row>
    <row r="24" spans="1:79" ht="17.100000000000001" customHeight="1" x14ac:dyDescent="0.15">
      <c r="A24" s="17"/>
      <c r="B24" s="1288"/>
      <c r="C24" s="3216"/>
      <c r="D24" s="3216"/>
      <c r="E24" s="3216"/>
      <c r="F24" s="3736"/>
      <c r="G24" s="3736"/>
      <c r="H24" s="3736"/>
      <c r="I24" s="3216"/>
      <c r="J24" s="3216"/>
      <c r="K24" s="3216"/>
      <c r="L24" s="3216"/>
      <c r="M24" s="3216"/>
      <c r="N24" s="3216"/>
      <c r="O24" s="1288"/>
      <c r="P24" s="17"/>
      <c r="Q24" s="3740"/>
      <c r="R24" s="3740"/>
      <c r="S24" s="3740"/>
      <c r="T24" s="1184"/>
      <c r="U24" s="617"/>
      <c r="V24" s="86"/>
      <c r="W24" s="86"/>
      <c r="X24" s="86"/>
      <c r="Y24" s="86"/>
      <c r="Z24" s="86"/>
      <c r="AA24" s="86"/>
      <c r="AB24" s="86"/>
      <c r="AC24" s="86"/>
      <c r="AD24" s="86"/>
      <c r="AE24" s="86"/>
      <c r="AF24" s="86"/>
      <c r="AG24" s="86"/>
      <c r="AH24" s="86"/>
      <c r="AI24" s="86"/>
      <c r="AJ24" s="86"/>
      <c r="AK24" s="86"/>
      <c r="AL24" s="86"/>
      <c r="AM24" s="86"/>
      <c r="AN24" s="86"/>
      <c r="AO24" s="86"/>
      <c r="AP24" s="86"/>
      <c r="AQ24" s="86"/>
      <c r="AR24" s="86"/>
      <c r="AS24" s="86"/>
      <c r="AT24" s="86"/>
      <c r="AU24" s="86"/>
      <c r="AV24" s="86"/>
      <c r="AW24" s="86"/>
      <c r="AX24" s="86"/>
      <c r="AY24" s="86"/>
      <c r="AZ24" s="86"/>
      <c r="BA24" s="86"/>
      <c r="BB24" s="86"/>
      <c r="BC24" s="86"/>
      <c r="BD24" s="86"/>
      <c r="BE24" s="86"/>
      <c r="BF24" s="86"/>
      <c r="BG24" s="86"/>
      <c r="BH24" s="86"/>
      <c r="BI24" s="86"/>
      <c r="BJ24" s="86"/>
      <c r="BK24" s="86"/>
      <c r="BL24" s="86"/>
      <c r="BM24" s="86"/>
      <c r="BN24" s="86"/>
      <c r="BO24" s="86"/>
      <c r="BP24" s="86"/>
      <c r="BQ24" s="86"/>
      <c r="BR24" s="86"/>
      <c r="BS24" s="86"/>
      <c r="BT24" s="86"/>
      <c r="BU24" s="86"/>
      <c r="BV24" s="86"/>
      <c r="BW24" s="86"/>
      <c r="BX24" s="86"/>
      <c r="BY24" s="617"/>
      <c r="BZ24" s="617"/>
      <c r="CA24" s="17"/>
    </row>
    <row r="25" spans="1:79" ht="17.100000000000001" customHeight="1" x14ac:dyDescent="0.15">
      <c r="A25" s="17"/>
      <c r="B25" s="1288"/>
      <c r="C25" s="3216"/>
      <c r="D25" s="3216"/>
      <c r="E25" s="3216"/>
      <c r="F25" s="3736"/>
      <c r="G25" s="3736"/>
      <c r="H25" s="3736"/>
      <c r="I25" s="3216"/>
      <c r="J25" s="3216"/>
      <c r="K25" s="3216"/>
      <c r="L25" s="3216"/>
      <c r="M25" s="3216"/>
      <c r="N25" s="3216"/>
      <c r="O25" s="1288"/>
      <c r="P25" s="17"/>
      <c r="Q25" s="3740"/>
      <c r="R25" s="3740"/>
      <c r="S25" s="3740"/>
      <c r="T25" s="1184"/>
      <c r="U25" s="617"/>
      <c r="V25" s="86"/>
      <c r="W25" s="86"/>
      <c r="X25" s="86"/>
      <c r="Y25" s="86"/>
      <c r="Z25" s="86"/>
      <c r="AA25" s="86"/>
      <c r="AB25" s="86"/>
      <c r="AC25" s="86"/>
      <c r="AD25" s="86"/>
      <c r="AE25" s="86"/>
      <c r="AF25" s="86"/>
      <c r="AG25" s="86"/>
      <c r="AH25" s="86"/>
      <c r="AI25" s="86"/>
      <c r="AJ25" s="86"/>
      <c r="AK25" s="86"/>
      <c r="AL25" s="86"/>
      <c r="AM25" s="86"/>
      <c r="AN25" s="86"/>
      <c r="AO25" s="86"/>
      <c r="AP25" s="86"/>
      <c r="AQ25" s="86"/>
      <c r="AR25" s="86"/>
      <c r="AS25" s="86"/>
      <c r="AT25" s="86"/>
      <c r="AU25" s="86"/>
      <c r="AV25" s="86"/>
      <c r="AW25" s="86"/>
      <c r="AX25" s="86"/>
      <c r="AY25" s="86"/>
      <c r="AZ25" s="86"/>
      <c r="BA25" s="86"/>
      <c r="BB25" s="86"/>
      <c r="BC25" s="86"/>
      <c r="BD25" s="86"/>
      <c r="BE25" s="86"/>
      <c r="BF25" s="86"/>
      <c r="BG25" s="86"/>
      <c r="BH25" s="86"/>
      <c r="BI25" s="86"/>
      <c r="BJ25" s="86"/>
      <c r="BK25" s="86"/>
      <c r="BL25" s="86"/>
      <c r="BM25" s="86"/>
      <c r="BN25" s="86"/>
      <c r="BO25" s="86"/>
      <c r="BP25" s="86"/>
      <c r="BQ25" s="86"/>
      <c r="BR25" s="86"/>
      <c r="BS25" s="86"/>
      <c r="BT25" s="86"/>
      <c r="BU25" s="86"/>
      <c r="BV25" s="86"/>
      <c r="BW25" s="86"/>
      <c r="BX25" s="86"/>
      <c r="BY25" s="617"/>
      <c r="BZ25" s="617"/>
      <c r="CA25" s="17"/>
    </row>
    <row r="26" spans="1:79" ht="17.100000000000001" customHeight="1" x14ac:dyDescent="0.15">
      <c r="A26" s="17"/>
      <c r="B26" s="1288"/>
      <c r="C26" s="3216"/>
      <c r="D26" s="3216"/>
      <c r="E26" s="3216"/>
      <c r="F26" s="3736"/>
      <c r="G26" s="3736"/>
      <c r="H26" s="3736"/>
      <c r="I26" s="3216"/>
      <c r="J26" s="3216"/>
      <c r="K26" s="3216"/>
      <c r="L26" s="3216"/>
      <c r="M26" s="3216"/>
      <c r="N26" s="3216"/>
      <c r="O26" s="1288"/>
      <c r="P26" s="17"/>
      <c r="Q26" s="3740"/>
      <c r="R26" s="3740"/>
      <c r="S26" s="3740"/>
      <c r="T26" s="1184"/>
      <c r="U26" s="617"/>
      <c r="V26" s="86"/>
      <c r="W26" s="86"/>
      <c r="X26" s="86"/>
      <c r="Y26" s="86"/>
      <c r="Z26" s="86"/>
      <c r="AA26" s="86"/>
      <c r="AB26" s="86"/>
      <c r="AC26" s="86"/>
      <c r="AD26" s="86"/>
      <c r="AE26" s="86"/>
      <c r="AF26" s="86"/>
      <c r="AG26" s="86"/>
      <c r="AH26" s="86"/>
      <c r="AI26" s="86"/>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617"/>
      <c r="BZ26" s="617"/>
      <c r="CA26" s="17"/>
    </row>
    <row r="27" spans="1:79" ht="17.100000000000001" customHeight="1" x14ac:dyDescent="0.15">
      <c r="A27" s="17"/>
      <c r="B27" s="1288"/>
      <c r="C27" s="3216"/>
      <c r="D27" s="3216"/>
      <c r="E27" s="3216"/>
      <c r="F27" s="3736"/>
      <c r="G27" s="3736"/>
      <c r="H27" s="3736"/>
      <c r="I27" s="3216"/>
      <c r="J27" s="3216"/>
      <c r="K27" s="3216"/>
      <c r="L27" s="3216"/>
      <c r="M27" s="3216"/>
      <c r="N27" s="3216"/>
      <c r="O27" s="1288"/>
      <c r="P27" s="17"/>
      <c r="Q27" s="3740"/>
      <c r="R27" s="3740"/>
      <c r="S27" s="3740"/>
      <c r="T27" s="1184"/>
      <c r="U27" s="617"/>
      <c r="V27" s="86"/>
      <c r="W27" s="86"/>
      <c r="X27" s="86"/>
      <c r="Y27" s="86"/>
      <c r="Z27" s="86"/>
      <c r="AA27" s="86"/>
      <c r="AB27" s="86"/>
      <c r="AC27" s="86"/>
      <c r="AD27" s="86"/>
      <c r="AE27" s="86"/>
      <c r="AF27" s="86"/>
      <c r="AG27" s="86"/>
      <c r="AH27" s="86"/>
      <c r="AI27" s="86"/>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617"/>
      <c r="BZ27" s="617"/>
      <c r="CA27" s="17"/>
    </row>
    <row r="28" spans="1:79" ht="17.100000000000001" customHeight="1" x14ac:dyDescent="0.15">
      <c r="A28" s="17"/>
      <c r="B28" s="1288"/>
      <c r="C28" s="3216"/>
      <c r="D28" s="3216"/>
      <c r="E28" s="3216"/>
      <c r="F28" s="3736"/>
      <c r="G28" s="3736"/>
      <c r="H28" s="3736"/>
      <c r="I28" s="3216"/>
      <c r="J28" s="3216"/>
      <c r="K28" s="3216"/>
      <c r="L28" s="3216"/>
      <c r="M28" s="3216"/>
      <c r="N28" s="3216"/>
      <c r="O28" s="1288"/>
      <c r="P28" s="17"/>
      <c r="Q28" s="3740"/>
      <c r="R28" s="3740"/>
      <c r="S28" s="3740"/>
      <c r="T28" s="1184"/>
      <c r="U28" s="617"/>
      <c r="V28" s="86"/>
      <c r="W28" s="86"/>
      <c r="X28" s="86"/>
      <c r="Y28" s="86"/>
      <c r="Z28" s="86"/>
      <c r="AA28" s="86"/>
      <c r="AB28" s="86"/>
      <c r="AC28" s="86"/>
      <c r="AD28" s="86"/>
      <c r="AE28" s="86"/>
      <c r="AF28" s="86"/>
      <c r="AG28" s="86"/>
      <c r="AH28" s="86"/>
      <c r="AI28" s="86"/>
      <c r="AJ28" s="86"/>
      <c r="AK28" s="86"/>
      <c r="AL28" s="86"/>
      <c r="AM28" s="86"/>
      <c r="AN28" s="86"/>
      <c r="AO28" s="86"/>
      <c r="AP28" s="86"/>
      <c r="AQ28" s="86"/>
      <c r="AR28" s="86"/>
      <c r="AS28" s="86"/>
      <c r="AT28" s="86"/>
      <c r="AU28" s="86"/>
      <c r="AV28" s="86"/>
      <c r="AW28" s="86"/>
      <c r="AX28" s="86"/>
      <c r="AY28" s="86"/>
      <c r="AZ28" s="86"/>
      <c r="BA28" s="86"/>
      <c r="BB28" s="86"/>
      <c r="BC28" s="86"/>
      <c r="BD28" s="86"/>
      <c r="BE28" s="86"/>
      <c r="BF28" s="86"/>
      <c r="BG28" s="86"/>
      <c r="BH28" s="86"/>
      <c r="BI28" s="86"/>
      <c r="BJ28" s="86"/>
      <c r="BK28" s="86"/>
      <c r="BL28" s="86"/>
      <c r="BM28" s="86"/>
      <c r="BN28" s="86"/>
      <c r="BO28" s="86"/>
      <c r="BP28" s="86"/>
      <c r="BQ28" s="86"/>
      <c r="BR28" s="86"/>
      <c r="BS28" s="86"/>
      <c r="BT28" s="86"/>
      <c r="BU28" s="86"/>
      <c r="BV28" s="86"/>
      <c r="BW28" s="86"/>
      <c r="BX28" s="86"/>
      <c r="BY28" s="617"/>
      <c r="BZ28" s="617"/>
      <c r="CA28" s="17"/>
    </row>
    <row r="29" spans="1:79" ht="17.100000000000001" customHeight="1" x14ac:dyDescent="0.15">
      <c r="A29" s="17"/>
      <c r="B29" s="1288"/>
      <c r="C29" s="3216"/>
      <c r="D29" s="3216"/>
      <c r="E29" s="3216"/>
      <c r="F29" s="3736"/>
      <c r="G29" s="3736"/>
      <c r="H29" s="3736"/>
      <c r="I29" s="3216"/>
      <c r="J29" s="3216"/>
      <c r="K29" s="3216"/>
      <c r="L29" s="3216"/>
      <c r="M29" s="3216"/>
      <c r="N29" s="3216"/>
      <c r="O29" s="1288"/>
      <c r="P29" s="17"/>
      <c r="Q29" s="3740"/>
      <c r="R29" s="3740"/>
      <c r="S29" s="3740"/>
      <c r="T29" s="1184"/>
      <c r="U29" s="617"/>
      <c r="V29" s="86"/>
      <c r="W29" s="86"/>
      <c r="X29" s="86"/>
      <c r="Y29" s="86"/>
      <c r="Z29" s="86"/>
      <c r="AA29" s="86"/>
      <c r="AB29" s="86"/>
      <c r="AC29" s="86"/>
      <c r="AD29" s="86"/>
      <c r="AE29" s="86"/>
      <c r="AF29" s="86"/>
      <c r="AG29" s="86"/>
      <c r="AH29" s="86"/>
      <c r="AI29" s="86"/>
      <c r="AJ29" s="86"/>
      <c r="AK29" s="86"/>
      <c r="AL29" s="86"/>
      <c r="AM29" s="86"/>
      <c r="AN29" s="86"/>
      <c r="AO29" s="86"/>
      <c r="AP29" s="86"/>
      <c r="AQ29" s="86"/>
      <c r="AR29" s="86"/>
      <c r="AS29" s="86"/>
      <c r="AT29" s="86"/>
      <c r="AU29" s="86"/>
      <c r="AV29" s="86"/>
      <c r="AW29" s="86"/>
      <c r="AX29" s="86"/>
      <c r="AY29" s="86"/>
      <c r="AZ29" s="86"/>
      <c r="BA29" s="86"/>
      <c r="BB29" s="86"/>
      <c r="BC29" s="86"/>
      <c r="BD29" s="86"/>
      <c r="BE29" s="86"/>
      <c r="BF29" s="86"/>
      <c r="BG29" s="86"/>
      <c r="BH29" s="86"/>
      <c r="BI29" s="86"/>
      <c r="BJ29" s="86"/>
      <c r="BK29" s="86"/>
      <c r="BL29" s="86"/>
      <c r="BM29" s="86"/>
      <c r="BN29" s="86"/>
      <c r="BO29" s="86"/>
      <c r="BP29" s="86"/>
      <c r="BQ29" s="86"/>
      <c r="BR29" s="86"/>
      <c r="BS29" s="86"/>
      <c r="BT29" s="86"/>
      <c r="BU29" s="86"/>
      <c r="BV29" s="86"/>
      <c r="BW29" s="86"/>
      <c r="BX29" s="86"/>
      <c r="BY29" s="617"/>
      <c r="BZ29" s="617"/>
      <c r="CA29" s="17"/>
    </row>
    <row r="30" spans="1:79" ht="17.100000000000001" customHeight="1" x14ac:dyDescent="0.15">
      <c r="A30" s="17"/>
      <c r="B30" s="1288"/>
      <c r="C30" s="3216"/>
      <c r="D30" s="3216"/>
      <c r="E30" s="3216"/>
      <c r="F30" s="3736"/>
      <c r="G30" s="3736"/>
      <c r="H30" s="3736"/>
      <c r="I30" s="3216"/>
      <c r="J30" s="3216"/>
      <c r="K30" s="3216"/>
      <c r="L30" s="3216"/>
      <c r="M30" s="3216"/>
      <c r="N30" s="3216"/>
      <c r="O30" s="1288"/>
      <c r="P30" s="17"/>
      <c r="Q30" s="3740"/>
      <c r="R30" s="3740"/>
      <c r="S30" s="3740"/>
      <c r="T30" s="1184"/>
      <c r="U30" s="617"/>
      <c r="V30" s="86"/>
      <c r="W30" s="86"/>
      <c r="X30" s="86"/>
      <c r="Y30" s="86"/>
      <c r="Z30" s="86"/>
      <c r="AA30" s="86"/>
      <c r="AB30" s="86"/>
      <c r="AC30" s="86"/>
      <c r="AD30" s="86"/>
      <c r="AE30" s="86"/>
      <c r="AF30" s="86"/>
      <c r="AG30" s="86"/>
      <c r="AH30" s="86"/>
      <c r="AI30" s="86"/>
      <c r="AJ30" s="86"/>
      <c r="AK30" s="86"/>
      <c r="AL30" s="86"/>
      <c r="AM30" s="86"/>
      <c r="AN30" s="86"/>
      <c r="AO30" s="86"/>
      <c r="AP30" s="86"/>
      <c r="AQ30" s="86"/>
      <c r="AR30" s="86"/>
      <c r="AS30" s="86"/>
      <c r="AT30" s="86"/>
      <c r="AU30" s="86"/>
      <c r="AV30" s="86"/>
      <c r="AW30" s="86"/>
      <c r="AX30" s="86"/>
      <c r="AY30" s="86"/>
      <c r="AZ30" s="86"/>
      <c r="BA30" s="86"/>
      <c r="BB30" s="86"/>
      <c r="BC30" s="86"/>
      <c r="BD30" s="86"/>
      <c r="BE30" s="86"/>
      <c r="BF30" s="86"/>
      <c r="BG30" s="86"/>
      <c r="BH30" s="86"/>
      <c r="BI30" s="86"/>
      <c r="BJ30" s="86"/>
      <c r="BK30" s="86"/>
      <c r="BL30" s="86"/>
      <c r="BM30" s="86"/>
      <c r="BN30" s="86"/>
      <c r="BO30" s="86"/>
      <c r="BP30" s="86"/>
      <c r="BQ30" s="86"/>
      <c r="BR30" s="86"/>
      <c r="BS30" s="86"/>
      <c r="BT30" s="86"/>
      <c r="BU30" s="86"/>
      <c r="BV30" s="86"/>
      <c r="BW30" s="86"/>
      <c r="BX30" s="86"/>
      <c r="BY30" s="617"/>
      <c r="BZ30" s="617"/>
      <c r="CA30" s="17"/>
    </row>
    <row r="31" spans="1:79" ht="17.100000000000001" customHeight="1" x14ac:dyDescent="0.15">
      <c r="A31" s="17"/>
      <c r="B31" s="1288"/>
      <c r="C31" s="3216"/>
      <c r="D31" s="3216"/>
      <c r="E31" s="3216"/>
      <c r="F31" s="3736"/>
      <c r="G31" s="3736"/>
      <c r="H31" s="3736"/>
      <c r="I31" s="3216"/>
      <c r="J31" s="3216"/>
      <c r="K31" s="3216"/>
      <c r="L31" s="3216"/>
      <c r="M31" s="3216"/>
      <c r="N31" s="3216"/>
      <c r="O31" s="1288"/>
      <c r="P31" s="17"/>
      <c r="Q31" s="3740"/>
      <c r="R31" s="3740"/>
      <c r="S31" s="3740"/>
      <c r="T31" s="1184"/>
      <c r="U31" s="617"/>
      <c r="V31" s="86"/>
      <c r="W31" s="86"/>
      <c r="X31" s="86"/>
      <c r="Y31" s="86"/>
      <c r="Z31" s="86"/>
      <c r="AA31" s="86"/>
      <c r="AB31" s="86"/>
      <c r="AC31" s="86"/>
      <c r="AD31" s="86"/>
      <c r="AE31" s="86"/>
      <c r="AF31" s="86"/>
      <c r="AG31" s="86"/>
      <c r="AH31" s="86"/>
      <c r="AI31" s="86"/>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c r="BK31" s="86"/>
      <c r="BL31" s="86"/>
      <c r="BM31" s="86"/>
      <c r="BN31" s="86"/>
      <c r="BO31" s="86"/>
      <c r="BP31" s="86"/>
      <c r="BQ31" s="86"/>
      <c r="BR31" s="86"/>
      <c r="BS31" s="86"/>
      <c r="BT31" s="86"/>
      <c r="BU31" s="86"/>
      <c r="BV31" s="86"/>
      <c r="BW31" s="86"/>
      <c r="BX31" s="86"/>
      <c r="BY31" s="617"/>
      <c r="BZ31" s="617"/>
      <c r="CA31" s="17"/>
    </row>
    <row r="32" spans="1:79" ht="17.100000000000001" customHeight="1" x14ac:dyDescent="0.15">
      <c r="A32" s="17"/>
      <c r="B32" s="1288"/>
      <c r="C32" s="3216"/>
      <c r="D32" s="3216"/>
      <c r="E32" s="3216"/>
      <c r="F32" s="3736"/>
      <c r="G32" s="3736"/>
      <c r="H32" s="3736"/>
      <c r="I32" s="3216"/>
      <c r="J32" s="3216"/>
      <c r="K32" s="3216"/>
      <c r="L32" s="3216"/>
      <c r="M32" s="3216"/>
      <c r="N32" s="3216"/>
      <c r="O32" s="1288"/>
      <c r="P32" s="17"/>
      <c r="Q32" s="3740"/>
      <c r="R32" s="3740"/>
      <c r="S32" s="3740"/>
      <c r="T32" s="1184"/>
      <c r="U32" s="617"/>
      <c r="V32" s="86"/>
      <c r="W32" s="86"/>
      <c r="X32" s="86"/>
      <c r="Y32" s="86"/>
      <c r="Z32" s="86"/>
      <c r="AA32" s="86"/>
      <c r="AB32" s="86"/>
      <c r="AC32" s="86"/>
      <c r="AD32" s="86"/>
      <c r="AE32" s="86"/>
      <c r="AF32" s="86"/>
      <c r="AG32" s="86"/>
      <c r="AH32" s="86"/>
      <c r="AI32" s="86"/>
      <c r="AJ32" s="86"/>
      <c r="AK32" s="86"/>
      <c r="AL32" s="86"/>
      <c r="AM32" s="86"/>
      <c r="AN32" s="86"/>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6"/>
      <c r="BX32" s="86"/>
      <c r="BY32" s="617"/>
      <c r="BZ32" s="617"/>
      <c r="CA32" s="17"/>
    </row>
    <row r="33" spans="1:81" ht="17.100000000000001" customHeight="1" x14ac:dyDescent="0.15">
      <c r="A33" s="17"/>
      <c r="B33" s="1288"/>
      <c r="C33" s="3216"/>
      <c r="D33" s="3216"/>
      <c r="E33" s="3216"/>
      <c r="F33" s="3736"/>
      <c r="G33" s="3736"/>
      <c r="H33" s="3736"/>
      <c r="I33" s="3216"/>
      <c r="J33" s="3216"/>
      <c r="K33" s="3216"/>
      <c r="L33" s="3216"/>
      <c r="M33" s="3216"/>
      <c r="N33" s="3216"/>
      <c r="O33" s="1288"/>
      <c r="P33" s="17"/>
      <c r="Q33" s="3740"/>
      <c r="R33" s="3740"/>
      <c r="S33" s="3740"/>
      <c r="T33" s="1184"/>
      <c r="U33" s="617"/>
      <c r="V33" s="86"/>
      <c r="W33" s="86"/>
      <c r="X33" s="86"/>
      <c r="Y33" s="86"/>
      <c r="Z33" s="86"/>
      <c r="AA33" s="86"/>
      <c r="AB33" s="86"/>
      <c r="AC33" s="86"/>
      <c r="AD33" s="86"/>
      <c r="AE33" s="86"/>
      <c r="AF33" s="86"/>
      <c r="AG33" s="86"/>
      <c r="AH33" s="86"/>
      <c r="AI33" s="86"/>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617"/>
      <c r="BZ33" s="617"/>
      <c r="CA33" s="17"/>
    </row>
    <row r="34" spans="1:81" ht="17.100000000000001" customHeight="1" x14ac:dyDescent="0.15">
      <c r="A34" s="17"/>
      <c r="B34" s="1288"/>
      <c r="C34" s="3216"/>
      <c r="D34" s="3216"/>
      <c r="E34" s="3216"/>
      <c r="F34" s="3736"/>
      <c r="G34" s="3736"/>
      <c r="H34" s="3736"/>
      <c r="I34" s="3216"/>
      <c r="J34" s="3216"/>
      <c r="K34" s="3216"/>
      <c r="L34" s="3216"/>
      <c r="M34" s="3216"/>
      <c r="N34" s="3216"/>
      <c r="O34" s="1288"/>
      <c r="P34" s="17"/>
      <c r="Q34" s="3740"/>
      <c r="R34" s="3740"/>
      <c r="S34" s="3740"/>
      <c r="T34" s="1184"/>
      <c r="U34" s="617"/>
      <c r="V34" s="86"/>
      <c r="W34" s="86"/>
      <c r="X34" s="86"/>
      <c r="Y34" s="86"/>
      <c r="Z34" s="86"/>
      <c r="AA34" s="86"/>
      <c r="AB34" s="86"/>
      <c r="AC34" s="86"/>
      <c r="AD34" s="86"/>
      <c r="AE34" s="86"/>
      <c r="AF34" s="86"/>
      <c r="AG34" s="86"/>
      <c r="AH34" s="86"/>
      <c r="AI34" s="86"/>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617"/>
      <c r="BZ34" s="617"/>
      <c r="CA34" s="17"/>
    </row>
    <row r="35" spans="1:81" ht="17.100000000000001" customHeight="1" x14ac:dyDescent="0.15">
      <c r="A35" s="17"/>
      <c r="B35" s="1288"/>
      <c r="C35" s="3216"/>
      <c r="D35" s="3216"/>
      <c r="E35" s="3216"/>
      <c r="F35" s="3736"/>
      <c r="G35" s="3736"/>
      <c r="H35" s="3736"/>
      <c r="I35" s="3216"/>
      <c r="J35" s="3216"/>
      <c r="K35" s="3216"/>
      <c r="L35" s="3216"/>
      <c r="M35" s="3216"/>
      <c r="N35" s="3216"/>
      <c r="O35" s="1288"/>
      <c r="P35" s="17"/>
      <c r="Q35" s="3740"/>
      <c r="R35" s="3740"/>
      <c r="S35" s="3740"/>
      <c r="T35" s="1184"/>
      <c r="U35" s="617"/>
      <c r="V35" s="86"/>
      <c r="W35" s="86"/>
      <c r="X35" s="86"/>
      <c r="Y35" s="86"/>
      <c r="Z35" s="86"/>
      <c r="AA35" s="86"/>
      <c r="AB35" s="86"/>
      <c r="AC35" s="86"/>
      <c r="AD35" s="86"/>
      <c r="AE35" s="86"/>
      <c r="AF35" s="86"/>
      <c r="AG35" s="86"/>
      <c r="AH35" s="86"/>
      <c r="AI35" s="86"/>
      <c r="AJ35" s="86"/>
      <c r="AK35" s="86"/>
      <c r="AL35" s="86"/>
      <c r="AM35" s="86"/>
      <c r="AN35" s="86"/>
      <c r="AO35" s="86"/>
      <c r="AP35" s="86"/>
      <c r="AQ35" s="86"/>
      <c r="AR35" s="86"/>
      <c r="AS35" s="86"/>
      <c r="AT35" s="86"/>
      <c r="AU35" s="86"/>
      <c r="AV35" s="86"/>
      <c r="AW35" s="86"/>
      <c r="AX35" s="86"/>
      <c r="AY35" s="86"/>
      <c r="AZ35" s="86"/>
      <c r="BA35" s="86"/>
      <c r="BB35" s="86"/>
      <c r="BC35" s="86"/>
      <c r="BD35" s="86"/>
      <c r="BE35" s="86"/>
      <c r="BF35" s="86"/>
      <c r="BG35" s="86"/>
      <c r="BH35" s="86"/>
      <c r="BI35" s="86"/>
      <c r="BJ35" s="86"/>
      <c r="BK35" s="86"/>
      <c r="BL35" s="86"/>
      <c r="BM35" s="86"/>
      <c r="BN35" s="86"/>
      <c r="BO35" s="86"/>
      <c r="BP35" s="86"/>
      <c r="BQ35" s="86"/>
      <c r="BR35" s="86"/>
      <c r="BS35" s="86"/>
      <c r="BT35" s="86"/>
      <c r="BU35" s="86"/>
      <c r="BV35" s="86"/>
      <c r="BW35" s="86"/>
      <c r="BX35" s="86"/>
      <c r="BY35" s="617"/>
      <c r="BZ35" s="617"/>
      <c r="CA35" s="17"/>
    </row>
    <row r="36" spans="1:81" ht="17.100000000000001" customHeight="1" x14ac:dyDescent="0.15">
      <c r="A36" s="17"/>
      <c r="B36" s="1288"/>
      <c r="C36" s="3216"/>
      <c r="D36" s="3216"/>
      <c r="E36" s="3216"/>
      <c r="F36" s="3736"/>
      <c r="G36" s="3736"/>
      <c r="H36" s="3736"/>
      <c r="I36" s="3216"/>
      <c r="J36" s="3216"/>
      <c r="K36" s="3216"/>
      <c r="L36" s="3216"/>
      <c r="M36" s="3216"/>
      <c r="N36" s="3216"/>
      <c r="O36" s="1288"/>
      <c r="P36" s="17"/>
      <c r="Q36" s="3740"/>
      <c r="R36" s="3740"/>
      <c r="S36" s="3740"/>
      <c r="T36" s="617"/>
      <c r="U36" s="617"/>
      <c r="V36" s="86"/>
      <c r="W36" s="86"/>
      <c r="X36" s="86"/>
      <c r="Y36" s="86"/>
      <c r="Z36" s="86"/>
      <c r="AA36" s="86"/>
      <c r="AB36" s="86"/>
      <c r="AC36" s="86"/>
      <c r="AD36" s="86"/>
      <c r="AE36" s="86"/>
      <c r="AF36" s="86"/>
      <c r="AG36" s="86"/>
      <c r="AH36" s="86"/>
      <c r="AI36" s="86"/>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617"/>
      <c r="BZ36" s="617"/>
      <c r="CA36" s="17"/>
    </row>
    <row r="37" spans="1:81" ht="17.100000000000001" customHeight="1" x14ac:dyDescent="0.15">
      <c r="A37" s="81"/>
      <c r="B37" s="1288"/>
      <c r="C37" s="1288"/>
      <c r="D37" s="1288"/>
      <c r="E37" s="1288"/>
      <c r="F37" s="1288"/>
      <c r="G37" s="1288"/>
      <c r="H37" s="1288"/>
      <c r="I37" s="1288"/>
      <c r="J37" s="1288"/>
      <c r="K37" s="1288"/>
      <c r="L37" s="1288"/>
      <c r="M37" s="1288"/>
      <c r="N37" s="1288"/>
      <c r="O37" s="1288"/>
      <c r="P37" s="17"/>
      <c r="Q37" s="80"/>
      <c r="R37" s="80"/>
      <c r="S37" s="80"/>
      <c r="T37" s="617"/>
      <c r="U37" s="617"/>
      <c r="V37" s="617"/>
      <c r="W37" s="617"/>
      <c r="X37" s="617"/>
      <c r="Y37" s="617"/>
      <c r="Z37" s="617"/>
      <c r="AA37" s="617"/>
      <c r="AB37" s="617"/>
      <c r="AC37" s="617"/>
      <c r="AD37" s="617"/>
      <c r="AE37" s="617"/>
      <c r="AF37" s="617"/>
      <c r="AG37" s="617"/>
      <c r="AH37" s="617"/>
      <c r="AI37" s="617"/>
      <c r="AJ37" s="617"/>
      <c r="AK37" s="617"/>
      <c r="AL37" s="617"/>
      <c r="AM37" s="617"/>
      <c r="AN37" s="617"/>
      <c r="AO37" s="617"/>
      <c r="AP37" s="617"/>
      <c r="AQ37" s="617"/>
      <c r="AR37" s="617"/>
      <c r="AS37" s="617"/>
      <c r="AT37" s="617"/>
      <c r="AU37" s="617"/>
      <c r="AV37" s="617"/>
      <c r="AW37" s="617"/>
      <c r="AX37" s="617"/>
      <c r="AY37" s="617"/>
      <c r="AZ37" s="617"/>
      <c r="BA37" s="617"/>
      <c r="BB37" s="617"/>
      <c r="BC37" s="617"/>
      <c r="BD37" s="617"/>
      <c r="BE37" s="617"/>
      <c r="BF37" s="617"/>
      <c r="BG37" s="617"/>
      <c r="BH37" s="617"/>
      <c r="BI37" s="617"/>
      <c r="BJ37" s="617"/>
      <c r="BK37" s="617"/>
      <c r="BL37" s="617"/>
      <c r="BM37" s="617"/>
      <c r="BN37" s="617"/>
      <c r="BO37" s="617"/>
      <c r="BP37" s="617"/>
      <c r="BQ37" s="617"/>
      <c r="BR37" s="617"/>
      <c r="BS37" s="617"/>
      <c r="BT37" s="617"/>
      <c r="BU37" s="617"/>
      <c r="BV37" s="617"/>
      <c r="BW37" s="617"/>
      <c r="BX37" s="617"/>
      <c r="BY37" s="617"/>
      <c r="BZ37" s="617"/>
      <c r="CA37" s="17"/>
    </row>
    <row r="38" spans="1:81" ht="17.100000000000001" customHeight="1" x14ac:dyDescent="0.15">
      <c r="A38" s="81"/>
      <c r="B38" s="82"/>
      <c r="C38" s="31"/>
      <c r="D38" s="31"/>
      <c r="E38" s="82"/>
      <c r="F38" s="82"/>
      <c r="G38" s="31"/>
      <c r="H38" s="83"/>
      <c r="I38" s="31"/>
      <c r="J38" s="82"/>
      <c r="K38" s="82"/>
      <c r="L38" s="82"/>
      <c r="M38" s="82"/>
      <c r="N38" s="32"/>
      <c r="O38" s="82"/>
      <c r="P38" s="84"/>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32"/>
      <c r="AV38" s="32"/>
      <c r="AW38" s="31"/>
      <c r="AX38" s="31" t="s">
        <v>1</v>
      </c>
      <c r="AY38" s="17"/>
      <c r="AZ38" s="17"/>
      <c r="BA38" s="17"/>
      <c r="BB38" s="17"/>
      <c r="BC38" s="17"/>
      <c r="BD38" s="17"/>
      <c r="BE38" s="17"/>
      <c r="BF38" s="17"/>
      <c r="BG38" s="17"/>
      <c r="BH38" s="17"/>
      <c r="BI38" s="17"/>
      <c r="BJ38" s="17"/>
      <c r="BK38" s="17"/>
      <c r="BL38" s="17"/>
      <c r="BM38" s="17"/>
      <c r="BN38" s="17"/>
      <c r="BO38" s="17"/>
      <c r="BP38" s="17"/>
      <c r="BQ38" s="17"/>
      <c r="BR38" s="17"/>
      <c r="BS38" s="17"/>
      <c r="BT38" s="17"/>
      <c r="BU38" s="17"/>
      <c r="BV38" s="17"/>
      <c r="BW38" s="17"/>
      <c r="BX38" s="17"/>
      <c r="BY38" s="17"/>
      <c r="BZ38" s="17"/>
      <c r="CA38" s="17"/>
    </row>
    <row r="39" spans="1:81" ht="17.100000000000001" customHeight="1" x14ac:dyDescent="0.15">
      <c r="AU39" s="34"/>
      <c r="AV39" s="34"/>
      <c r="AW39" s="33"/>
      <c r="AX39" s="33" t="s">
        <v>1</v>
      </c>
    </row>
    <row r="40" spans="1:81" ht="17.100000000000001" customHeight="1" x14ac:dyDescent="0.15">
      <c r="AU40" s="85"/>
      <c r="AV40" s="85"/>
      <c r="AW40" s="33"/>
      <c r="AX40" s="33" t="s">
        <v>1</v>
      </c>
    </row>
    <row r="41" spans="1:81" ht="17.100000000000001" customHeight="1" x14ac:dyDescent="0.15">
      <c r="B41" s="617"/>
      <c r="C41" s="617"/>
      <c r="D41" s="617"/>
      <c r="E41" s="617"/>
      <c r="F41" s="617"/>
      <c r="G41" s="617"/>
      <c r="H41" s="617"/>
      <c r="I41" s="617"/>
      <c r="J41" s="617"/>
      <c r="K41" s="617"/>
      <c r="L41" s="617"/>
      <c r="M41" s="617"/>
      <c r="N41" s="617"/>
      <c r="O41" s="617"/>
      <c r="P41" s="617"/>
      <c r="Q41" s="617"/>
      <c r="R41" s="617"/>
      <c r="S41" s="617"/>
      <c r="T41" s="617"/>
      <c r="U41" s="617"/>
      <c r="V41" s="617"/>
      <c r="W41" s="1510"/>
      <c r="X41" s="1512">
        <f ca="1">IF('^'!$BK$45="A C T I V E",WEEKDAY(PLANS!$L$3,2),8)</f>
        <v>8</v>
      </c>
      <c r="Y41" s="1512" t="str" cm="1">
        <f t="array" aca="1" ref="Y41" ca="1">_xlfn.IFS(X41=0,"",X41=1,"Mon ",X41=2,"Tue ",X41=3,"Wed ",X41=4,"Thu ",X41=5,"Fri ",X41=6,"Sat ",X41=7,"Sun ",TRUE,"Day ")</f>
        <v xml:space="preserve">Day </v>
      </c>
      <c r="Z41" s="1512" t="str">
        <f ca="1">I3</f>
        <v>00</v>
      </c>
      <c r="AA41" s="1512" t="str" cm="1">
        <f t="array" aca="1" ref="AA41" ca="1">_xlfn.IFS(OR(Z41=1,Z41=21,Z41=31),"st",OR(Z41=2,Z41=22),"nd",OR(Z41=3,Z41=23),"rd",TRUE,"th")</f>
        <v>th</v>
      </c>
      <c r="AB41" s="1510"/>
      <c r="AC41" s="1510"/>
      <c r="AD41" s="1511"/>
      <c r="AE41" s="1511"/>
      <c r="AF41" s="1511"/>
      <c r="AG41" s="1511"/>
      <c r="AH41" s="1511"/>
      <c r="AI41" s="1511"/>
      <c r="AJ41" s="1511"/>
      <c r="AK41" s="1511"/>
      <c r="AL41" s="1511"/>
      <c r="AM41" s="1511"/>
      <c r="AN41" s="1511"/>
      <c r="AO41" s="1511"/>
      <c r="AP41" s="1511"/>
      <c r="AQ41" s="1511"/>
      <c r="AR41" s="1511"/>
      <c r="AS41" s="1511"/>
      <c r="AT41" s="1511"/>
      <c r="AU41" s="1511"/>
      <c r="AV41" s="1511"/>
      <c r="AW41" s="1511"/>
      <c r="AX41" s="1511"/>
      <c r="AY41" s="1511"/>
      <c r="AZ41" s="1511"/>
      <c r="BA41" s="1511"/>
      <c r="BB41" s="1511"/>
      <c r="BC41" s="1511"/>
      <c r="BD41" s="1511"/>
      <c r="BE41" s="1511"/>
      <c r="BF41" s="617"/>
      <c r="BG41" s="617"/>
      <c r="BH41" s="617"/>
      <c r="BI41" s="617"/>
      <c r="BJ41" s="617"/>
      <c r="BK41" s="617"/>
      <c r="BL41" s="617"/>
      <c r="BM41" s="617"/>
      <c r="BN41" s="617"/>
      <c r="BO41" s="617"/>
      <c r="BP41" s="617"/>
      <c r="BQ41" s="617"/>
      <c r="BR41" s="617"/>
      <c r="BS41" s="617"/>
      <c r="BT41" s="617"/>
      <c r="BU41" s="617"/>
      <c r="BV41" s="617"/>
      <c r="BW41" s="617"/>
      <c r="BX41" s="617"/>
      <c r="BY41" s="617"/>
      <c r="BZ41" s="617"/>
    </row>
    <row r="42" spans="1:81" ht="17.100000000000001" customHeight="1" x14ac:dyDescent="0.15">
      <c r="B42" s="617"/>
      <c r="C42" s="3730" t="s">
        <v>2094</v>
      </c>
      <c r="D42" s="3731"/>
      <c r="E42" s="3731"/>
      <c r="F42" s="3731"/>
      <c r="G42" s="3731"/>
      <c r="H42" s="3731"/>
      <c r="I42" s="3731"/>
      <c r="J42" s="3731"/>
      <c r="K42" s="3731"/>
      <c r="L42" s="3731"/>
      <c r="M42" s="3731"/>
      <c r="N42" s="3731"/>
      <c r="O42" s="3731"/>
      <c r="P42" s="3731"/>
      <c r="Q42" s="3731"/>
      <c r="R42" s="3731"/>
      <c r="S42" s="3731"/>
      <c r="T42" s="3731"/>
      <c r="U42" s="3732"/>
      <c r="V42" s="617"/>
      <c r="W42" s="1506"/>
      <c r="X42" s="3742" t="str">
        <f ca="1">Y41&amp;Z41&amp;AA41</f>
        <v>Day 00th</v>
      </c>
      <c r="Y42" s="3742"/>
      <c r="Z42" s="3742"/>
      <c r="AA42" s="3742"/>
      <c r="AB42" s="1507"/>
      <c r="AC42" s="1502"/>
      <c r="AD42" s="3731" t="s">
        <v>910</v>
      </c>
      <c r="AE42" s="3731"/>
      <c r="AF42" s="3731"/>
      <c r="AG42" s="3731"/>
      <c r="AH42" s="3731"/>
      <c r="AI42" s="3731"/>
      <c r="AJ42" s="3731"/>
      <c r="AK42" s="3731"/>
      <c r="AL42" s="3731"/>
      <c r="AM42" s="3731"/>
      <c r="AN42" s="3731"/>
      <c r="AO42" s="3731"/>
      <c r="AP42" s="3731"/>
      <c r="AQ42" s="3731"/>
      <c r="AR42" s="3731"/>
      <c r="AS42" s="3731"/>
      <c r="AT42" s="3731"/>
      <c r="AU42" s="3731"/>
      <c r="AV42" s="3731"/>
      <c r="AW42" s="3731"/>
      <c r="AX42" s="3731"/>
      <c r="AY42" s="1502"/>
      <c r="AZ42" s="1502"/>
      <c r="BA42" s="3741" t="str">
        <f ca="1">L3</f>
        <v>00:00</v>
      </c>
      <c r="BB42" s="3742"/>
      <c r="BC42" s="3742"/>
      <c r="BD42" s="3742"/>
      <c r="BE42" s="1503"/>
      <c r="BF42" s="617"/>
      <c r="BG42" s="3730" t="s">
        <v>2095</v>
      </c>
      <c r="BH42" s="3731"/>
      <c r="BI42" s="3731"/>
      <c r="BJ42" s="3731"/>
      <c r="BK42" s="3731"/>
      <c r="BL42" s="3731"/>
      <c r="BM42" s="3731"/>
      <c r="BN42" s="3731"/>
      <c r="BO42" s="3731"/>
      <c r="BP42" s="3731"/>
      <c r="BQ42" s="3731"/>
      <c r="BR42" s="3731"/>
      <c r="BS42" s="3731"/>
      <c r="BT42" s="3731"/>
      <c r="BU42" s="3731"/>
      <c r="BV42" s="3731"/>
      <c r="BW42" s="3731"/>
      <c r="BX42" s="3731"/>
      <c r="BY42" s="3732"/>
      <c r="BZ42" s="617"/>
    </row>
    <row r="43" spans="1:81" ht="17.100000000000001" customHeight="1" x14ac:dyDescent="0.15">
      <c r="B43" s="617"/>
      <c r="C43" s="3733"/>
      <c r="D43" s="3734"/>
      <c r="E43" s="3734"/>
      <c r="F43" s="3734"/>
      <c r="G43" s="3734"/>
      <c r="H43" s="3734"/>
      <c r="I43" s="3734"/>
      <c r="J43" s="3734"/>
      <c r="K43" s="3734"/>
      <c r="L43" s="3734"/>
      <c r="M43" s="3734"/>
      <c r="N43" s="3734"/>
      <c r="O43" s="3734"/>
      <c r="P43" s="3734"/>
      <c r="Q43" s="3734"/>
      <c r="R43" s="3734"/>
      <c r="S43" s="3734"/>
      <c r="T43" s="3734"/>
      <c r="U43" s="3735"/>
      <c r="V43" s="617"/>
      <c r="W43" s="1508"/>
      <c r="X43" s="3743"/>
      <c r="Y43" s="3743"/>
      <c r="Z43" s="3743"/>
      <c r="AA43" s="3743"/>
      <c r="AB43" s="1509"/>
      <c r="AC43" s="1504"/>
      <c r="AD43" s="3734"/>
      <c r="AE43" s="3734"/>
      <c r="AF43" s="3734"/>
      <c r="AG43" s="3734"/>
      <c r="AH43" s="3734"/>
      <c r="AI43" s="3734"/>
      <c r="AJ43" s="3734"/>
      <c r="AK43" s="3734"/>
      <c r="AL43" s="3734"/>
      <c r="AM43" s="3734"/>
      <c r="AN43" s="3734"/>
      <c r="AO43" s="3734"/>
      <c r="AP43" s="3734"/>
      <c r="AQ43" s="3734"/>
      <c r="AR43" s="3734"/>
      <c r="AS43" s="3734"/>
      <c r="AT43" s="3734"/>
      <c r="AU43" s="3734"/>
      <c r="AV43" s="3734"/>
      <c r="AW43" s="3734"/>
      <c r="AX43" s="3734"/>
      <c r="AY43" s="1504"/>
      <c r="AZ43" s="1504"/>
      <c r="BA43" s="3743"/>
      <c r="BB43" s="3743"/>
      <c r="BC43" s="3743"/>
      <c r="BD43" s="3743"/>
      <c r="BE43" s="1505"/>
      <c r="BF43" s="617"/>
      <c r="BG43" s="3733"/>
      <c r="BH43" s="3734"/>
      <c r="BI43" s="3734"/>
      <c r="BJ43" s="3734"/>
      <c r="BK43" s="3734"/>
      <c r="BL43" s="3734"/>
      <c r="BM43" s="3734"/>
      <c r="BN43" s="3734"/>
      <c r="BO43" s="3734"/>
      <c r="BP43" s="3734"/>
      <c r="BQ43" s="3734"/>
      <c r="BR43" s="3734"/>
      <c r="BS43" s="3734"/>
      <c r="BT43" s="3734"/>
      <c r="BU43" s="3734"/>
      <c r="BV43" s="3734"/>
      <c r="BW43" s="3734"/>
      <c r="BX43" s="3734"/>
      <c r="BY43" s="3735"/>
      <c r="BZ43" s="617"/>
    </row>
    <row r="44" spans="1:81" ht="17.100000000000001" customHeight="1" x14ac:dyDescent="0.15">
      <c r="B44" s="617"/>
      <c r="C44" s="86"/>
      <c r="D44" s="86"/>
      <c r="E44" s="86"/>
      <c r="F44" s="86"/>
      <c r="G44" s="86"/>
      <c r="H44" s="86"/>
      <c r="I44" s="86"/>
      <c r="J44" s="86"/>
      <c r="K44" s="86"/>
      <c r="L44" s="86"/>
      <c r="M44" s="86"/>
      <c r="N44" s="86"/>
      <c r="O44" s="86"/>
      <c r="P44" s="86"/>
      <c r="Q44" s="86"/>
      <c r="R44" s="86"/>
      <c r="S44" s="86"/>
      <c r="T44" s="86"/>
      <c r="U44" s="86"/>
      <c r="V44" s="617"/>
      <c r="W44" s="617"/>
      <c r="X44" s="617"/>
      <c r="Y44" s="617"/>
      <c r="Z44" s="617"/>
      <c r="AA44" s="617"/>
      <c r="AB44" s="617"/>
      <c r="AC44" s="617"/>
      <c r="AD44" s="617"/>
      <c r="AE44" s="617"/>
      <c r="AF44" s="617"/>
      <c r="AG44" s="617"/>
      <c r="AH44" s="617"/>
      <c r="AI44" s="617"/>
      <c r="AJ44" s="617"/>
      <c r="AK44" s="617"/>
      <c r="AL44" s="617"/>
      <c r="AM44" s="617"/>
      <c r="AN44" s="617"/>
      <c r="AO44" s="617"/>
      <c r="AP44" s="617"/>
      <c r="AQ44" s="617"/>
      <c r="AR44" s="617"/>
      <c r="AS44" s="617"/>
      <c r="AT44" s="617"/>
      <c r="AU44" s="617"/>
      <c r="AV44" s="617"/>
      <c r="AW44" s="617"/>
      <c r="AX44" s="617"/>
      <c r="AY44" s="617"/>
      <c r="AZ44" s="617"/>
      <c r="BA44" s="617"/>
      <c r="BB44" s="617"/>
      <c r="BC44" s="617"/>
      <c r="BD44" s="617"/>
      <c r="BE44" s="617"/>
      <c r="BF44" s="617"/>
      <c r="BG44" s="86"/>
      <c r="BH44" s="86"/>
      <c r="BI44" s="86"/>
      <c r="BJ44" s="86"/>
      <c r="BK44" s="86"/>
      <c r="BL44" s="86"/>
      <c r="BM44" s="86"/>
      <c r="BN44" s="86"/>
      <c r="BO44" s="86"/>
      <c r="BP44" s="86"/>
      <c r="BQ44" s="86"/>
      <c r="BR44" s="86"/>
      <c r="BS44" s="86"/>
      <c r="BT44" s="86"/>
      <c r="BU44" s="86"/>
      <c r="BV44" s="86"/>
      <c r="BW44" s="86"/>
      <c r="BX44" s="86"/>
      <c r="BY44" s="86"/>
      <c r="BZ44" s="617"/>
      <c r="CC44" s="3273" t="s">
        <v>2338</v>
      </c>
    </row>
    <row r="45" spans="1:81" ht="17.100000000000001" customHeight="1" x14ac:dyDescent="0.25">
      <c r="B45" s="617"/>
      <c r="C45" s="86"/>
      <c r="D45" s="86"/>
      <c r="E45" s="86"/>
      <c r="F45" s="86"/>
      <c r="G45" s="86"/>
      <c r="H45" s="86"/>
      <c r="I45" s="86"/>
      <c r="J45" s="86"/>
      <c r="K45" s="86"/>
      <c r="L45" s="86"/>
      <c r="M45" s="86"/>
      <c r="N45" s="86"/>
      <c r="O45" s="86"/>
      <c r="P45" s="86"/>
      <c r="Q45" s="86"/>
      <c r="R45" s="86"/>
      <c r="S45" s="86"/>
      <c r="T45" s="86"/>
      <c r="U45" s="86"/>
      <c r="V45" s="617"/>
      <c r="W45" s="3179"/>
      <c r="X45" s="3179"/>
      <c r="Y45" s="3179"/>
      <c r="Z45" s="3179"/>
      <c r="AA45" s="3179"/>
      <c r="AB45" s="3179"/>
      <c r="AC45" s="3179"/>
      <c r="AD45" s="3179"/>
      <c r="AE45" s="3179"/>
      <c r="AF45" s="3179"/>
      <c r="AG45" s="3179"/>
      <c r="AH45" s="3179"/>
      <c r="AI45" s="3179"/>
      <c r="AJ45" s="3179"/>
      <c r="AK45" s="3179"/>
      <c r="AL45" s="3179"/>
      <c r="AM45" s="3179"/>
      <c r="AN45" s="3274" t="s">
        <v>2338</v>
      </c>
      <c r="AO45" s="3180"/>
      <c r="AP45" s="3180"/>
      <c r="AQ45" s="3180"/>
      <c r="AR45" s="3180"/>
      <c r="AS45" s="3180"/>
      <c r="AT45" s="3180"/>
      <c r="AU45" s="3180"/>
      <c r="AV45" s="3180"/>
      <c r="AW45" s="3180"/>
      <c r="AX45" s="3180"/>
      <c r="AY45" s="3180"/>
      <c r="AZ45" s="3180"/>
      <c r="BA45" s="3180"/>
      <c r="BB45" s="3180"/>
      <c r="BC45" s="3180"/>
      <c r="BD45" s="3180"/>
      <c r="BE45" s="3180"/>
      <c r="BF45" s="3181" t="s">
        <v>525</v>
      </c>
      <c r="BG45" s="86"/>
      <c r="BH45" s="86"/>
      <c r="BI45" s="86"/>
      <c r="BJ45" s="86"/>
      <c r="BK45" s="86"/>
      <c r="BL45" s="86"/>
      <c r="BM45" s="86"/>
      <c r="BN45" s="86"/>
      <c r="BO45" s="86"/>
      <c r="BP45" s="86"/>
      <c r="BQ45" s="86"/>
      <c r="BR45" s="86"/>
      <c r="BS45" s="86"/>
      <c r="BT45" s="86"/>
      <c r="BU45" s="86"/>
      <c r="BV45" s="86"/>
      <c r="BW45" s="86"/>
      <c r="BX45" s="86"/>
      <c r="BY45" s="86"/>
      <c r="BZ45" s="617"/>
    </row>
    <row r="46" spans="1:81" ht="17.100000000000001" customHeight="1" x14ac:dyDescent="0.25">
      <c r="B46" s="617"/>
      <c r="C46" s="86"/>
      <c r="D46" s="86"/>
      <c r="E46" s="86"/>
      <c r="F46" s="86"/>
      <c r="G46" s="86"/>
      <c r="H46" s="86"/>
      <c r="I46" s="86"/>
      <c r="J46" s="86"/>
      <c r="K46" s="86"/>
      <c r="L46" s="86"/>
      <c r="M46" s="86"/>
      <c r="N46" s="86"/>
      <c r="O46" s="86"/>
      <c r="P46" s="86"/>
      <c r="Q46" s="86"/>
      <c r="R46" s="86"/>
      <c r="S46" s="86"/>
      <c r="T46" s="86"/>
      <c r="U46" s="86"/>
      <c r="V46" s="617"/>
      <c r="W46" s="3179"/>
      <c r="X46" s="3179"/>
      <c r="Y46" s="3179"/>
      <c r="Z46" s="3179"/>
      <c r="AA46" s="3179"/>
      <c r="AB46" s="3179"/>
      <c r="AC46" s="3179"/>
      <c r="AD46" s="3179"/>
      <c r="AE46" s="3179"/>
      <c r="AF46" s="3179"/>
      <c r="AG46" s="3179"/>
      <c r="AH46" s="3179"/>
      <c r="AI46" s="3179"/>
      <c r="AJ46" s="3179"/>
      <c r="AK46" s="3179"/>
      <c r="AL46" s="3179"/>
      <c r="AM46" s="3179"/>
      <c r="AN46" s="3181" t="s">
        <v>525</v>
      </c>
      <c r="AO46" s="3180"/>
      <c r="AP46" s="3180"/>
      <c r="AQ46" s="3180"/>
      <c r="AR46" s="3180"/>
      <c r="AS46" s="3180"/>
      <c r="AT46" s="3180"/>
      <c r="AU46" s="3180"/>
      <c r="AV46" s="3180"/>
      <c r="AW46" s="3180"/>
      <c r="AX46" s="3180"/>
      <c r="AY46" s="3180"/>
      <c r="AZ46" s="3180"/>
      <c r="BA46" s="3180"/>
      <c r="BB46" s="3180"/>
      <c r="BC46" s="3180"/>
      <c r="BD46" s="3180"/>
      <c r="BE46" s="3180"/>
      <c r="BF46" s="3181" t="s">
        <v>525</v>
      </c>
      <c r="BG46" s="86"/>
      <c r="BH46" s="86"/>
      <c r="BI46" s="86"/>
      <c r="BJ46" s="86"/>
      <c r="BK46" s="86"/>
      <c r="BL46" s="86"/>
      <c r="BM46" s="86"/>
      <c r="BN46" s="86"/>
      <c r="BO46" s="86"/>
      <c r="BP46" s="86"/>
      <c r="BQ46" s="86"/>
      <c r="BR46" s="86"/>
      <c r="BS46" s="86"/>
      <c r="BT46" s="86"/>
      <c r="BU46" s="86"/>
      <c r="BV46" s="86"/>
      <c r="BW46" s="86"/>
      <c r="BX46" s="86"/>
      <c r="BY46" s="86"/>
      <c r="BZ46" s="617"/>
    </row>
    <row r="47" spans="1:81" ht="17.100000000000001" customHeight="1" x14ac:dyDescent="0.25">
      <c r="B47" s="617"/>
      <c r="C47" s="86"/>
      <c r="D47" s="86"/>
      <c r="E47" s="86"/>
      <c r="F47" s="86"/>
      <c r="G47" s="86"/>
      <c r="H47" s="86"/>
      <c r="I47" s="86"/>
      <c r="J47" s="86"/>
      <c r="K47" s="86"/>
      <c r="L47" s="86"/>
      <c r="M47" s="86"/>
      <c r="N47" s="86"/>
      <c r="O47" s="86"/>
      <c r="P47" s="86"/>
      <c r="Q47" s="86"/>
      <c r="R47" s="86"/>
      <c r="S47" s="86"/>
      <c r="T47" s="86"/>
      <c r="U47" s="86"/>
      <c r="V47" s="617"/>
      <c r="W47" s="3179"/>
      <c r="X47" s="3179"/>
      <c r="Y47" s="3179"/>
      <c r="Z47" s="3179"/>
      <c r="AA47" s="3179"/>
      <c r="AB47" s="3179"/>
      <c r="AC47" s="3179"/>
      <c r="AD47" s="3179"/>
      <c r="AE47" s="3179"/>
      <c r="AF47" s="3179"/>
      <c r="AG47" s="3179"/>
      <c r="AH47" s="3179"/>
      <c r="AI47" s="3179"/>
      <c r="AJ47" s="3179"/>
      <c r="AK47" s="3179"/>
      <c r="AL47" s="3179"/>
      <c r="AM47" s="3179"/>
      <c r="AN47" s="3181" t="s">
        <v>525</v>
      </c>
      <c r="AO47" s="3180"/>
      <c r="AP47" s="3180"/>
      <c r="AQ47" s="3180"/>
      <c r="AR47" s="3180"/>
      <c r="AS47" s="3180"/>
      <c r="AT47" s="3180"/>
      <c r="AU47" s="3180"/>
      <c r="AV47" s="3180"/>
      <c r="AW47" s="3180"/>
      <c r="AX47" s="3180"/>
      <c r="AY47" s="3180"/>
      <c r="AZ47" s="3180"/>
      <c r="BA47" s="3180"/>
      <c r="BB47" s="3180"/>
      <c r="BC47" s="3180"/>
      <c r="BD47" s="3180"/>
      <c r="BE47" s="3180"/>
      <c r="BF47" s="3181" t="s">
        <v>525</v>
      </c>
      <c r="BG47" s="86"/>
      <c r="BH47" s="86"/>
      <c r="BI47" s="86"/>
      <c r="BJ47" s="86"/>
      <c r="BK47" s="86"/>
      <c r="BL47" s="86"/>
      <c r="BM47" s="86"/>
      <c r="BN47" s="86"/>
      <c r="BO47" s="86"/>
      <c r="BP47" s="86"/>
      <c r="BQ47" s="86"/>
      <c r="BR47" s="86"/>
      <c r="BS47" s="86"/>
      <c r="BT47" s="86"/>
      <c r="BU47" s="86"/>
      <c r="BV47" s="86"/>
      <c r="BW47" s="86"/>
      <c r="BX47" s="86"/>
      <c r="BY47" s="86"/>
      <c r="BZ47" s="617"/>
    </row>
    <row r="48" spans="1:81" ht="17.100000000000001" customHeight="1" x14ac:dyDescent="0.25">
      <c r="B48" s="617"/>
      <c r="C48" s="86"/>
      <c r="D48" s="86"/>
      <c r="E48" s="86"/>
      <c r="F48" s="86"/>
      <c r="G48" s="86"/>
      <c r="H48" s="86"/>
      <c r="I48" s="86"/>
      <c r="J48" s="86"/>
      <c r="K48" s="86"/>
      <c r="L48" s="86"/>
      <c r="M48" s="86"/>
      <c r="N48" s="86"/>
      <c r="O48" s="86"/>
      <c r="P48" s="86"/>
      <c r="Q48" s="86"/>
      <c r="R48" s="86"/>
      <c r="S48" s="86"/>
      <c r="T48" s="86"/>
      <c r="U48" s="86"/>
      <c r="V48" s="617"/>
      <c r="W48" s="3179"/>
      <c r="X48" s="3179"/>
      <c r="Y48" s="3179"/>
      <c r="Z48" s="3179"/>
      <c r="AA48" s="3179"/>
      <c r="AB48" s="3179"/>
      <c r="AC48" s="3179"/>
      <c r="AD48" s="3179"/>
      <c r="AE48" s="3179"/>
      <c r="AF48" s="3179"/>
      <c r="AG48" s="3179"/>
      <c r="AH48" s="3179"/>
      <c r="AI48" s="3179"/>
      <c r="AJ48" s="3179"/>
      <c r="AK48" s="3179"/>
      <c r="AL48" s="3179"/>
      <c r="AM48" s="3179"/>
      <c r="AN48" s="3181" t="s">
        <v>525</v>
      </c>
      <c r="AO48" s="3180"/>
      <c r="AP48" s="3180"/>
      <c r="AQ48" s="3180"/>
      <c r="AR48" s="3180"/>
      <c r="AS48" s="3180"/>
      <c r="AT48" s="3180"/>
      <c r="AU48" s="3180"/>
      <c r="AV48" s="3180"/>
      <c r="AW48" s="3180"/>
      <c r="AX48" s="3180"/>
      <c r="AY48" s="3180"/>
      <c r="AZ48" s="3180"/>
      <c r="BA48" s="3180"/>
      <c r="BB48" s="3180"/>
      <c r="BC48" s="3180"/>
      <c r="BD48" s="3180"/>
      <c r="BE48" s="3180"/>
      <c r="BF48" s="3181" t="s">
        <v>525</v>
      </c>
      <c r="BG48" s="86"/>
      <c r="BH48" s="86"/>
      <c r="BI48" s="86"/>
      <c r="BJ48" s="86"/>
      <c r="BK48" s="86"/>
      <c r="BL48" s="86"/>
      <c r="BM48" s="86"/>
      <c r="BN48" s="86"/>
      <c r="BO48" s="86"/>
      <c r="BP48" s="86"/>
      <c r="BQ48" s="86"/>
      <c r="BR48" s="86"/>
      <c r="BS48" s="86"/>
      <c r="BT48" s="86"/>
      <c r="BU48" s="86"/>
      <c r="BV48" s="86"/>
      <c r="BW48" s="86"/>
      <c r="BX48" s="86"/>
      <c r="BY48" s="86"/>
      <c r="BZ48" s="617"/>
    </row>
    <row r="49" spans="2:78" ht="17.100000000000001" customHeight="1" x14ac:dyDescent="0.25">
      <c r="B49" s="617"/>
      <c r="C49" s="86"/>
      <c r="D49" s="86"/>
      <c r="E49" s="86"/>
      <c r="F49" s="86"/>
      <c r="G49" s="86"/>
      <c r="H49" s="86"/>
      <c r="I49" s="86"/>
      <c r="J49" s="86"/>
      <c r="K49" s="86"/>
      <c r="L49" s="86"/>
      <c r="M49" s="86"/>
      <c r="N49" s="86"/>
      <c r="O49" s="86"/>
      <c r="P49" s="86"/>
      <c r="Q49" s="86"/>
      <c r="R49" s="86"/>
      <c r="S49" s="86"/>
      <c r="T49" s="86"/>
      <c r="U49" s="86"/>
      <c r="V49" s="617"/>
      <c r="W49" s="3179"/>
      <c r="X49" s="3179"/>
      <c r="Y49" s="3179"/>
      <c r="Z49" s="3179"/>
      <c r="AA49" s="3179"/>
      <c r="AB49" s="3179"/>
      <c r="AC49" s="3179"/>
      <c r="AD49" s="3179"/>
      <c r="AE49" s="3179"/>
      <c r="AF49" s="3179"/>
      <c r="AG49" s="3179"/>
      <c r="AH49" s="3179"/>
      <c r="AI49" s="3179"/>
      <c r="AJ49" s="3179"/>
      <c r="AK49" s="3179"/>
      <c r="AL49" s="3179"/>
      <c r="AM49" s="3179"/>
      <c r="AN49" s="3181" t="s">
        <v>525</v>
      </c>
      <c r="AO49" s="3180"/>
      <c r="AP49" s="3180"/>
      <c r="AQ49" s="3180"/>
      <c r="AR49" s="3180"/>
      <c r="AS49" s="3180"/>
      <c r="AT49" s="3180"/>
      <c r="AU49" s="3180"/>
      <c r="AV49" s="3180"/>
      <c r="AW49" s="3180"/>
      <c r="AX49" s="3180"/>
      <c r="AY49" s="3180"/>
      <c r="AZ49" s="3180"/>
      <c r="BA49" s="3180"/>
      <c r="BB49" s="3180"/>
      <c r="BC49" s="3180"/>
      <c r="BD49" s="3180"/>
      <c r="BE49" s="3180"/>
      <c r="BF49" s="3181" t="s">
        <v>525</v>
      </c>
      <c r="BG49" s="86"/>
      <c r="BH49" s="86"/>
      <c r="BI49" s="86"/>
      <c r="BJ49" s="86"/>
      <c r="BK49" s="86"/>
      <c r="BL49" s="86"/>
      <c r="BM49" s="86"/>
      <c r="BN49" s="86"/>
      <c r="BO49" s="86"/>
      <c r="BP49" s="86"/>
      <c r="BQ49" s="86"/>
      <c r="BR49" s="86"/>
      <c r="BS49" s="86"/>
      <c r="BT49" s="86"/>
      <c r="BU49" s="86"/>
      <c r="BV49" s="86"/>
      <c r="BW49" s="86"/>
      <c r="BX49" s="86"/>
      <c r="BY49" s="86"/>
      <c r="BZ49" s="617"/>
    </row>
    <row r="50" spans="2:78" ht="17.100000000000001" customHeight="1" x14ac:dyDescent="0.25">
      <c r="B50" s="617"/>
      <c r="C50" s="86"/>
      <c r="D50" s="86"/>
      <c r="E50" s="86"/>
      <c r="F50" s="86"/>
      <c r="G50" s="86"/>
      <c r="H50" s="86"/>
      <c r="I50" s="86"/>
      <c r="J50" s="86"/>
      <c r="K50" s="86"/>
      <c r="L50" s="86"/>
      <c r="M50" s="86"/>
      <c r="N50" s="86"/>
      <c r="O50" s="86"/>
      <c r="P50" s="86"/>
      <c r="Q50" s="86"/>
      <c r="R50" s="86"/>
      <c r="S50" s="86"/>
      <c r="T50" s="86"/>
      <c r="U50" s="86"/>
      <c r="V50" s="617"/>
      <c r="W50" s="3179"/>
      <c r="X50" s="3179"/>
      <c r="Y50" s="3179"/>
      <c r="Z50" s="3179"/>
      <c r="AA50" s="3179"/>
      <c r="AB50" s="3179"/>
      <c r="AC50" s="3179"/>
      <c r="AD50" s="3179"/>
      <c r="AE50" s="3179"/>
      <c r="AF50" s="3179"/>
      <c r="AG50" s="3179"/>
      <c r="AH50" s="3179"/>
      <c r="AI50" s="3179"/>
      <c r="AJ50" s="3179"/>
      <c r="AK50" s="3179"/>
      <c r="AL50" s="3179"/>
      <c r="AM50" s="3179"/>
      <c r="AN50" s="3181" t="s">
        <v>525</v>
      </c>
      <c r="AO50" s="3180"/>
      <c r="AP50" s="3180"/>
      <c r="AQ50" s="3180"/>
      <c r="AR50" s="3180"/>
      <c r="AS50" s="3180"/>
      <c r="AT50" s="3180"/>
      <c r="AU50" s="3180"/>
      <c r="AV50" s="3180"/>
      <c r="AW50" s="3180"/>
      <c r="AX50" s="3180"/>
      <c r="AY50" s="3180"/>
      <c r="AZ50" s="3180"/>
      <c r="BA50" s="3180"/>
      <c r="BB50" s="3180"/>
      <c r="BC50" s="3180"/>
      <c r="BD50" s="3180"/>
      <c r="BE50" s="3180"/>
      <c r="BF50" s="3181" t="s">
        <v>525</v>
      </c>
      <c r="BG50" s="86"/>
      <c r="BH50" s="86"/>
      <c r="BI50" s="86"/>
      <c r="BJ50" s="86"/>
      <c r="BK50" s="86"/>
      <c r="BL50" s="86"/>
      <c r="BM50" s="86"/>
      <c r="BN50" s="86"/>
      <c r="BO50" s="86"/>
      <c r="BP50" s="86"/>
      <c r="BQ50" s="86"/>
      <c r="BR50" s="86"/>
      <c r="BS50" s="86"/>
      <c r="BT50" s="86"/>
      <c r="BU50" s="86"/>
      <c r="BV50" s="86"/>
      <c r="BW50" s="86"/>
      <c r="BX50" s="86"/>
      <c r="BY50" s="86"/>
      <c r="BZ50" s="617"/>
    </row>
    <row r="51" spans="2:78" ht="17.100000000000001" customHeight="1" x14ac:dyDescent="0.25">
      <c r="B51" s="617"/>
      <c r="C51" s="86"/>
      <c r="D51" s="86"/>
      <c r="E51" s="86"/>
      <c r="F51" s="86"/>
      <c r="G51" s="86"/>
      <c r="H51" s="86"/>
      <c r="I51" s="86"/>
      <c r="J51" s="86"/>
      <c r="K51" s="86"/>
      <c r="L51" s="86"/>
      <c r="M51" s="86"/>
      <c r="N51" s="86"/>
      <c r="O51" s="86"/>
      <c r="P51" s="86"/>
      <c r="Q51" s="86"/>
      <c r="R51" s="86"/>
      <c r="S51" s="86"/>
      <c r="T51" s="86"/>
      <c r="U51" s="86"/>
      <c r="V51" s="617"/>
      <c r="W51" s="3179"/>
      <c r="X51" s="3179"/>
      <c r="Y51" s="3179"/>
      <c r="Z51" s="3179"/>
      <c r="AA51" s="3179"/>
      <c r="AB51" s="3179"/>
      <c r="AC51" s="3179"/>
      <c r="AD51" s="3179"/>
      <c r="AE51" s="3179"/>
      <c r="AF51" s="3179"/>
      <c r="AG51" s="3179"/>
      <c r="AH51" s="3179"/>
      <c r="AI51" s="3179"/>
      <c r="AJ51" s="3179"/>
      <c r="AK51" s="3179"/>
      <c r="AL51" s="3179"/>
      <c r="AM51" s="3179"/>
      <c r="AN51" s="3181" t="s">
        <v>525</v>
      </c>
      <c r="AO51" s="3180"/>
      <c r="AP51" s="3180"/>
      <c r="AQ51" s="3180"/>
      <c r="AR51" s="3180"/>
      <c r="AS51" s="3180"/>
      <c r="AT51" s="3180"/>
      <c r="AU51" s="3180"/>
      <c r="AV51" s="3180"/>
      <c r="AW51" s="3180"/>
      <c r="AX51" s="3180"/>
      <c r="AY51" s="3180"/>
      <c r="AZ51" s="3180"/>
      <c r="BA51" s="3180"/>
      <c r="BB51" s="3180"/>
      <c r="BC51" s="3180"/>
      <c r="BD51" s="3180"/>
      <c r="BE51" s="3180"/>
      <c r="BF51" s="3181" t="s">
        <v>525</v>
      </c>
      <c r="BG51" s="86"/>
      <c r="BH51" s="86"/>
      <c r="BI51" s="86"/>
      <c r="BJ51" s="86"/>
      <c r="BK51" s="86"/>
      <c r="BL51" s="86"/>
      <c r="BM51" s="86"/>
      <c r="BN51" s="86"/>
      <c r="BO51" s="86"/>
      <c r="BP51" s="86"/>
      <c r="BQ51" s="86"/>
      <c r="BR51" s="86"/>
      <c r="BS51" s="86"/>
      <c r="BT51" s="86"/>
      <c r="BU51" s="86"/>
      <c r="BV51" s="86"/>
      <c r="BW51" s="86"/>
      <c r="BX51" s="86"/>
      <c r="BY51" s="86"/>
      <c r="BZ51" s="617"/>
    </row>
    <row r="52" spans="2:78" ht="17.100000000000001" customHeight="1" x14ac:dyDescent="0.25">
      <c r="B52" s="617"/>
      <c r="C52" s="86"/>
      <c r="D52" s="86"/>
      <c r="E52" s="86"/>
      <c r="F52" s="86"/>
      <c r="G52" s="86"/>
      <c r="H52" s="86"/>
      <c r="I52" s="86"/>
      <c r="J52" s="86"/>
      <c r="K52" s="86"/>
      <c r="L52" s="86"/>
      <c r="M52" s="86"/>
      <c r="N52" s="86"/>
      <c r="O52" s="86"/>
      <c r="P52" s="86"/>
      <c r="Q52" s="86"/>
      <c r="R52" s="86"/>
      <c r="S52" s="86"/>
      <c r="T52" s="86"/>
      <c r="U52" s="86"/>
      <c r="V52" s="617"/>
      <c r="W52" s="3179"/>
      <c r="X52" s="3179"/>
      <c r="Y52" s="3179"/>
      <c r="Z52" s="3179"/>
      <c r="AA52" s="3179"/>
      <c r="AB52" s="3179"/>
      <c r="AC52" s="3179"/>
      <c r="AD52" s="3179"/>
      <c r="AE52" s="3179"/>
      <c r="AF52" s="3179"/>
      <c r="AG52" s="3179"/>
      <c r="AH52" s="3179"/>
      <c r="AI52" s="3179"/>
      <c r="AJ52" s="3179"/>
      <c r="AK52" s="3179"/>
      <c r="AL52" s="3179"/>
      <c r="AM52" s="3179"/>
      <c r="AN52" s="3181" t="s">
        <v>525</v>
      </c>
      <c r="AO52" s="3180"/>
      <c r="AP52" s="3180"/>
      <c r="AQ52" s="3180"/>
      <c r="AR52" s="3180"/>
      <c r="AS52" s="3180"/>
      <c r="AT52" s="3180"/>
      <c r="AU52" s="3180"/>
      <c r="AV52" s="3180"/>
      <c r="AW52" s="3180"/>
      <c r="AX52" s="3180"/>
      <c r="AY52" s="3180"/>
      <c r="AZ52" s="3180"/>
      <c r="BA52" s="3180"/>
      <c r="BB52" s="3180"/>
      <c r="BC52" s="3180"/>
      <c r="BD52" s="3180"/>
      <c r="BE52" s="3180"/>
      <c r="BF52" s="3181" t="s">
        <v>525</v>
      </c>
      <c r="BG52" s="86"/>
      <c r="BH52" s="86"/>
      <c r="BI52" s="86"/>
      <c r="BJ52" s="86"/>
      <c r="BK52" s="86"/>
      <c r="BL52" s="86"/>
      <c r="BM52" s="86"/>
      <c r="BN52" s="86"/>
      <c r="BO52" s="86"/>
      <c r="BP52" s="86"/>
      <c r="BQ52" s="86"/>
      <c r="BR52" s="86"/>
      <c r="BS52" s="86"/>
      <c r="BT52" s="86"/>
      <c r="BU52" s="86"/>
      <c r="BV52" s="86"/>
      <c r="BW52" s="86"/>
      <c r="BX52" s="86"/>
      <c r="BY52" s="86"/>
      <c r="BZ52" s="617"/>
    </row>
    <row r="53" spans="2:78" ht="17.100000000000001" customHeight="1" x14ac:dyDescent="0.25">
      <c r="B53" s="617"/>
      <c r="C53" s="86"/>
      <c r="D53" s="86"/>
      <c r="E53" s="86"/>
      <c r="F53" s="86"/>
      <c r="G53" s="86"/>
      <c r="H53" s="86"/>
      <c r="I53" s="86"/>
      <c r="J53" s="86"/>
      <c r="K53" s="86"/>
      <c r="L53" s="86"/>
      <c r="M53" s="86"/>
      <c r="N53" s="86"/>
      <c r="O53" s="86"/>
      <c r="P53" s="86"/>
      <c r="Q53" s="86"/>
      <c r="R53" s="86"/>
      <c r="S53" s="86"/>
      <c r="T53" s="86"/>
      <c r="U53" s="86"/>
      <c r="V53" s="617"/>
      <c r="W53" s="3179"/>
      <c r="X53" s="3179"/>
      <c r="Y53" s="3179"/>
      <c r="Z53" s="3179"/>
      <c r="AA53" s="3179"/>
      <c r="AB53" s="3179"/>
      <c r="AC53" s="3179"/>
      <c r="AD53" s="3179"/>
      <c r="AE53" s="3179"/>
      <c r="AF53" s="3179"/>
      <c r="AG53" s="3179"/>
      <c r="AH53" s="3179"/>
      <c r="AI53" s="3179"/>
      <c r="AJ53" s="3179"/>
      <c r="AK53" s="3179"/>
      <c r="AL53" s="3179"/>
      <c r="AM53" s="3179"/>
      <c r="AN53" s="3181" t="s">
        <v>525</v>
      </c>
      <c r="AO53" s="3180"/>
      <c r="AP53" s="3180"/>
      <c r="AQ53" s="3180"/>
      <c r="AR53" s="3180"/>
      <c r="AS53" s="3180"/>
      <c r="AT53" s="3180"/>
      <c r="AU53" s="3180"/>
      <c r="AV53" s="3180"/>
      <c r="AW53" s="3180"/>
      <c r="AX53" s="3180"/>
      <c r="AY53" s="3180"/>
      <c r="AZ53" s="3180"/>
      <c r="BA53" s="3180"/>
      <c r="BB53" s="3180"/>
      <c r="BC53" s="3180"/>
      <c r="BD53" s="3180"/>
      <c r="BE53" s="3180"/>
      <c r="BF53" s="3181" t="s">
        <v>525</v>
      </c>
      <c r="BG53" s="86"/>
      <c r="BH53" s="86"/>
      <c r="BI53" s="86"/>
      <c r="BJ53" s="86"/>
      <c r="BK53" s="86"/>
      <c r="BL53" s="86"/>
      <c r="BM53" s="86"/>
      <c r="BN53" s="86"/>
      <c r="BO53" s="86"/>
      <c r="BP53" s="86"/>
      <c r="BQ53" s="86"/>
      <c r="BR53" s="86"/>
      <c r="BS53" s="86"/>
      <c r="BT53" s="86"/>
      <c r="BU53" s="86"/>
      <c r="BV53" s="86"/>
      <c r="BW53" s="86"/>
      <c r="BX53" s="86"/>
      <c r="BY53" s="86"/>
      <c r="BZ53" s="617"/>
    </row>
    <row r="54" spans="2:78" ht="17.100000000000001" customHeight="1" x14ac:dyDescent="0.25">
      <c r="B54" s="617"/>
      <c r="C54" s="86"/>
      <c r="D54" s="86"/>
      <c r="E54" s="86"/>
      <c r="F54" s="86"/>
      <c r="G54" s="86"/>
      <c r="H54" s="86"/>
      <c r="I54" s="86"/>
      <c r="J54" s="86"/>
      <c r="K54" s="86"/>
      <c r="L54" s="86"/>
      <c r="M54" s="86"/>
      <c r="N54" s="86"/>
      <c r="O54" s="86"/>
      <c r="P54" s="86"/>
      <c r="Q54" s="86"/>
      <c r="R54" s="86"/>
      <c r="S54" s="86"/>
      <c r="T54" s="86"/>
      <c r="U54" s="86"/>
      <c r="V54" s="617"/>
      <c r="W54" s="3179"/>
      <c r="X54" s="3179"/>
      <c r="Y54" s="3179"/>
      <c r="Z54" s="3179"/>
      <c r="AA54" s="3179"/>
      <c r="AB54" s="3179"/>
      <c r="AC54" s="3179"/>
      <c r="AD54" s="3179"/>
      <c r="AE54" s="3179"/>
      <c r="AF54" s="3179"/>
      <c r="AG54" s="3179"/>
      <c r="AH54" s="3179"/>
      <c r="AI54" s="3179"/>
      <c r="AJ54" s="3179"/>
      <c r="AK54" s="3179"/>
      <c r="AL54" s="3179"/>
      <c r="AM54" s="3179"/>
      <c r="AN54" s="3181" t="s">
        <v>525</v>
      </c>
      <c r="AO54" s="3180"/>
      <c r="AP54" s="3180"/>
      <c r="AQ54" s="3180"/>
      <c r="AR54" s="3180"/>
      <c r="AS54" s="3180"/>
      <c r="AT54" s="3180"/>
      <c r="AU54" s="3180"/>
      <c r="AV54" s="3180"/>
      <c r="AW54" s="3180"/>
      <c r="AX54" s="3180"/>
      <c r="AY54" s="3180"/>
      <c r="AZ54" s="3180"/>
      <c r="BA54" s="3180"/>
      <c r="BB54" s="3180"/>
      <c r="BC54" s="3180"/>
      <c r="BD54" s="3180"/>
      <c r="BE54" s="3180"/>
      <c r="BF54" s="3181" t="s">
        <v>525</v>
      </c>
      <c r="BG54" s="86"/>
      <c r="BH54" s="86"/>
      <c r="BI54" s="86"/>
      <c r="BJ54" s="86"/>
      <c r="BK54" s="86"/>
      <c r="BL54" s="86"/>
      <c r="BM54" s="86"/>
      <c r="BN54" s="86"/>
      <c r="BO54" s="86"/>
      <c r="BP54" s="86"/>
      <c r="BQ54" s="86"/>
      <c r="BR54" s="86"/>
      <c r="BS54" s="86"/>
      <c r="BT54" s="86"/>
      <c r="BU54" s="86"/>
      <c r="BV54" s="86"/>
      <c r="BW54" s="86"/>
      <c r="BX54" s="86"/>
      <c r="BY54" s="86"/>
      <c r="BZ54" s="617"/>
    </row>
    <row r="55" spans="2:78" ht="17.100000000000001" customHeight="1" x14ac:dyDescent="0.25">
      <c r="B55" s="617"/>
      <c r="C55" s="86"/>
      <c r="D55" s="86"/>
      <c r="E55" s="86"/>
      <c r="F55" s="86"/>
      <c r="G55" s="86"/>
      <c r="H55" s="86"/>
      <c r="I55" s="86"/>
      <c r="J55" s="86"/>
      <c r="K55" s="86"/>
      <c r="L55" s="86"/>
      <c r="M55" s="86"/>
      <c r="N55" s="86"/>
      <c r="O55" s="86"/>
      <c r="P55" s="86"/>
      <c r="Q55" s="86"/>
      <c r="R55" s="86"/>
      <c r="S55" s="86"/>
      <c r="T55" s="86"/>
      <c r="U55" s="86"/>
      <c r="V55" s="617"/>
      <c r="W55" s="3179"/>
      <c r="X55" s="3179"/>
      <c r="Y55" s="3179"/>
      <c r="Z55" s="3179"/>
      <c r="AA55" s="3179"/>
      <c r="AB55" s="3179"/>
      <c r="AC55" s="3179"/>
      <c r="AD55" s="3179"/>
      <c r="AE55" s="3179"/>
      <c r="AF55" s="3179"/>
      <c r="AG55" s="3179"/>
      <c r="AH55" s="3179"/>
      <c r="AI55" s="3179"/>
      <c r="AJ55" s="3179"/>
      <c r="AK55" s="3179"/>
      <c r="AL55" s="3179"/>
      <c r="AM55" s="3179"/>
      <c r="AN55" s="3181" t="s">
        <v>525</v>
      </c>
      <c r="AO55" s="3180"/>
      <c r="AP55" s="3180"/>
      <c r="AQ55" s="3180"/>
      <c r="AR55" s="3180"/>
      <c r="AS55" s="3180"/>
      <c r="AT55" s="3180"/>
      <c r="AU55" s="3180"/>
      <c r="AV55" s="3180"/>
      <c r="AW55" s="3180"/>
      <c r="AX55" s="3180"/>
      <c r="AY55" s="3180"/>
      <c r="AZ55" s="3180"/>
      <c r="BA55" s="3180"/>
      <c r="BB55" s="3180"/>
      <c r="BC55" s="3180"/>
      <c r="BD55" s="3180"/>
      <c r="BE55" s="3180"/>
      <c r="BF55" s="3181" t="s">
        <v>525</v>
      </c>
      <c r="BG55" s="86"/>
      <c r="BH55" s="86"/>
      <c r="BI55" s="86"/>
      <c r="BJ55" s="86"/>
      <c r="BK55" s="86"/>
      <c r="BL55" s="86"/>
      <c r="BM55" s="86"/>
      <c r="BN55" s="86"/>
      <c r="BO55" s="86"/>
      <c r="BP55" s="86"/>
      <c r="BQ55" s="86"/>
      <c r="BR55" s="86"/>
      <c r="BS55" s="86"/>
      <c r="BT55" s="86"/>
      <c r="BU55" s="86"/>
      <c r="BV55" s="86"/>
      <c r="BW55" s="86"/>
      <c r="BX55" s="86"/>
      <c r="BY55" s="86"/>
      <c r="BZ55" s="617"/>
    </row>
    <row r="56" spans="2:78" ht="17.100000000000001" customHeight="1" x14ac:dyDescent="0.25">
      <c r="B56" s="617"/>
      <c r="C56" s="86"/>
      <c r="D56" s="86"/>
      <c r="E56" s="86"/>
      <c r="F56" s="86"/>
      <c r="G56" s="86"/>
      <c r="H56" s="86"/>
      <c r="I56" s="86"/>
      <c r="J56" s="86"/>
      <c r="K56" s="86"/>
      <c r="L56" s="86"/>
      <c r="M56" s="86"/>
      <c r="N56" s="86"/>
      <c r="O56" s="86"/>
      <c r="P56" s="86"/>
      <c r="Q56" s="86"/>
      <c r="R56" s="86"/>
      <c r="S56" s="86"/>
      <c r="T56" s="86"/>
      <c r="U56" s="86"/>
      <c r="V56" s="617"/>
      <c r="W56" s="3179"/>
      <c r="X56" s="3179"/>
      <c r="Y56" s="3179"/>
      <c r="Z56" s="3179"/>
      <c r="AA56" s="3179"/>
      <c r="AB56" s="3179"/>
      <c r="AC56" s="3179"/>
      <c r="AD56" s="3179"/>
      <c r="AE56" s="3179"/>
      <c r="AF56" s="3179"/>
      <c r="AG56" s="3179"/>
      <c r="AH56" s="3179"/>
      <c r="AI56" s="3179"/>
      <c r="AJ56" s="3179"/>
      <c r="AK56" s="3179"/>
      <c r="AL56" s="3179"/>
      <c r="AM56" s="3179"/>
      <c r="AN56" s="3181" t="s">
        <v>525</v>
      </c>
      <c r="AO56" s="3180"/>
      <c r="AP56" s="3180"/>
      <c r="AQ56" s="3180"/>
      <c r="AR56" s="3180"/>
      <c r="AS56" s="3180"/>
      <c r="AT56" s="3180"/>
      <c r="AU56" s="3180"/>
      <c r="AV56" s="3180"/>
      <c r="AW56" s="3180"/>
      <c r="AX56" s="3180"/>
      <c r="AY56" s="3180"/>
      <c r="AZ56" s="3180"/>
      <c r="BA56" s="3180"/>
      <c r="BB56" s="3180"/>
      <c r="BC56" s="3180"/>
      <c r="BD56" s="3180"/>
      <c r="BE56" s="3180"/>
      <c r="BF56" s="3181" t="s">
        <v>525</v>
      </c>
      <c r="BG56" s="86"/>
      <c r="BH56" s="86"/>
      <c r="BI56" s="86"/>
      <c r="BJ56" s="86"/>
      <c r="BK56" s="86"/>
      <c r="BL56" s="86"/>
      <c r="BM56" s="86"/>
      <c r="BN56" s="86"/>
      <c r="BO56" s="86"/>
      <c r="BP56" s="86"/>
      <c r="BQ56" s="86"/>
      <c r="BR56" s="86"/>
      <c r="BS56" s="86"/>
      <c r="BT56" s="86"/>
      <c r="BU56" s="86"/>
      <c r="BV56" s="86"/>
      <c r="BW56" s="86"/>
      <c r="BX56" s="86"/>
      <c r="BY56" s="86"/>
      <c r="BZ56" s="617"/>
    </row>
    <row r="57" spans="2:78" ht="17.100000000000001" customHeight="1" x14ac:dyDescent="0.25">
      <c r="B57" s="617"/>
      <c r="C57" s="617"/>
      <c r="D57" s="617"/>
      <c r="E57" s="617"/>
      <c r="F57" s="617"/>
      <c r="G57" s="617"/>
      <c r="H57" s="617"/>
      <c r="I57" s="617"/>
      <c r="J57" s="617"/>
      <c r="K57" s="617"/>
      <c r="L57" s="617"/>
      <c r="M57" s="617"/>
      <c r="N57" s="617"/>
      <c r="O57" s="617"/>
      <c r="P57" s="617"/>
      <c r="Q57" s="617"/>
      <c r="R57" s="617"/>
      <c r="S57" s="617"/>
      <c r="T57" s="617"/>
      <c r="U57" s="617"/>
      <c r="V57" s="617"/>
      <c r="W57" s="3179"/>
      <c r="X57" s="3179"/>
      <c r="Y57" s="3179"/>
      <c r="Z57" s="3179"/>
      <c r="AA57" s="3179"/>
      <c r="AB57" s="3179"/>
      <c r="AC57" s="3179"/>
      <c r="AD57" s="3179"/>
      <c r="AE57" s="3179"/>
      <c r="AF57" s="3179"/>
      <c r="AG57" s="3179"/>
      <c r="AH57" s="3179"/>
      <c r="AI57" s="3179"/>
      <c r="AJ57" s="3179"/>
      <c r="AK57" s="3179"/>
      <c r="AL57" s="3179"/>
      <c r="AM57" s="3179"/>
      <c r="AN57" s="3181" t="s">
        <v>525</v>
      </c>
      <c r="AO57" s="3180"/>
      <c r="AP57" s="3180"/>
      <c r="AQ57" s="3180"/>
      <c r="AR57" s="3180"/>
      <c r="AS57" s="3180"/>
      <c r="AT57" s="3180"/>
      <c r="AU57" s="3180"/>
      <c r="AV57" s="3180"/>
      <c r="AW57" s="3180"/>
      <c r="AX57" s="3180"/>
      <c r="AY57" s="3180"/>
      <c r="AZ57" s="3180"/>
      <c r="BA57" s="3180"/>
      <c r="BB57" s="3180"/>
      <c r="BC57" s="3180"/>
      <c r="BD57" s="3180"/>
      <c r="BE57" s="3180"/>
      <c r="BF57" s="3181" t="s">
        <v>525</v>
      </c>
      <c r="BG57" s="86"/>
      <c r="BH57" s="86"/>
      <c r="BI57" s="86"/>
      <c r="BJ57" s="86"/>
      <c r="BK57" s="86"/>
      <c r="BL57" s="86"/>
      <c r="BM57" s="86"/>
      <c r="BN57" s="86"/>
      <c r="BO57" s="86"/>
      <c r="BP57" s="86"/>
      <c r="BQ57" s="86"/>
      <c r="BR57" s="86"/>
      <c r="BS57" s="86"/>
      <c r="BT57" s="86"/>
      <c r="BU57" s="86"/>
      <c r="BV57" s="86"/>
      <c r="BW57" s="86"/>
      <c r="BX57" s="86"/>
      <c r="BY57" s="86"/>
      <c r="BZ57" s="617"/>
    </row>
    <row r="58" spans="2:78" ht="17.100000000000001" customHeight="1" x14ac:dyDescent="0.25">
      <c r="B58" s="617"/>
      <c r="C58" s="3730" t="s">
        <v>2093</v>
      </c>
      <c r="D58" s="3731"/>
      <c r="E58" s="3731"/>
      <c r="F58" s="3731"/>
      <c r="G58" s="3731"/>
      <c r="H58" s="3731"/>
      <c r="I58" s="3731"/>
      <c r="J58" s="3731"/>
      <c r="K58" s="3731"/>
      <c r="L58" s="3731"/>
      <c r="M58" s="3731"/>
      <c r="N58" s="3731"/>
      <c r="O58" s="3731"/>
      <c r="P58" s="3731"/>
      <c r="Q58" s="3731"/>
      <c r="R58" s="3731"/>
      <c r="S58" s="3731"/>
      <c r="T58" s="3731"/>
      <c r="U58" s="3732"/>
      <c r="V58" s="617"/>
      <c r="W58" s="3179"/>
      <c r="X58" s="3179"/>
      <c r="Y58" s="3179"/>
      <c r="Z58" s="3179"/>
      <c r="AA58" s="3179"/>
      <c r="AB58" s="3179"/>
      <c r="AC58" s="3179"/>
      <c r="AD58" s="3179"/>
      <c r="AE58" s="3179"/>
      <c r="AF58" s="3179"/>
      <c r="AG58" s="3179"/>
      <c r="AH58" s="3179"/>
      <c r="AI58" s="3179"/>
      <c r="AJ58" s="3179"/>
      <c r="AK58" s="3179"/>
      <c r="AL58" s="3179"/>
      <c r="AM58" s="3179"/>
      <c r="AN58" s="3181" t="s">
        <v>525</v>
      </c>
      <c r="AO58" s="3180"/>
      <c r="AP58" s="3180"/>
      <c r="AQ58" s="3180"/>
      <c r="AR58" s="3180"/>
      <c r="AS58" s="3180"/>
      <c r="AT58" s="3180"/>
      <c r="AU58" s="3180"/>
      <c r="AV58" s="3180"/>
      <c r="AW58" s="3180"/>
      <c r="AX58" s="3180"/>
      <c r="AY58" s="3180"/>
      <c r="AZ58" s="3180"/>
      <c r="BA58" s="3180"/>
      <c r="BB58" s="3180"/>
      <c r="BC58" s="3180"/>
      <c r="BD58" s="3180"/>
      <c r="BE58" s="3180"/>
      <c r="BF58" s="3181" t="s">
        <v>525</v>
      </c>
      <c r="BG58" s="86"/>
      <c r="BH58" s="86"/>
      <c r="BI58" s="86"/>
      <c r="BJ58" s="86"/>
      <c r="BK58" s="86"/>
      <c r="BL58" s="86"/>
      <c r="BM58" s="86"/>
      <c r="BN58" s="86"/>
      <c r="BO58" s="86"/>
      <c r="BP58" s="86"/>
      <c r="BQ58" s="86"/>
      <c r="BR58" s="86"/>
      <c r="BS58" s="86"/>
      <c r="BT58" s="86"/>
      <c r="BU58" s="86"/>
      <c r="BV58" s="86"/>
      <c r="BW58" s="86"/>
      <c r="BX58" s="86"/>
      <c r="BY58" s="86"/>
      <c r="BZ58" s="617"/>
    </row>
    <row r="59" spans="2:78" ht="17.100000000000001" customHeight="1" x14ac:dyDescent="0.25">
      <c r="B59" s="617"/>
      <c r="C59" s="3733"/>
      <c r="D59" s="3734"/>
      <c r="E59" s="3734"/>
      <c r="F59" s="3734"/>
      <c r="G59" s="3734"/>
      <c r="H59" s="3734"/>
      <c r="I59" s="3734"/>
      <c r="J59" s="3734"/>
      <c r="K59" s="3734"/>
      <c r="L59" s="3734"/>
      <c r="M59" s="3734"/>
      <c r="N59" s="3734"/>
      <c r="O59" s="3734"/>
      <c r="P59" s="3734"/>
      <c r="Q59" s="3734"/>
      <c r="R59" s="3734"/>
      <c r="S59" s="3734"/>
      <c r="T59" s="3734"/>
      <c r="U59" s="3735"/>
      <c r="V59" s="617"/>
      <c r="W59" s="3179"/>
      <c r="X59" s="3179"/>
      <c r="Y59" s="3179"/>
      <c r="Z59" s="3179"/>
      <c r="AA59" s="3179"/>
      <c r="AB59" s="3179"/>
      <c r="AC59" s="3179"/>
      <c r="AD59" s="3179"/>
      <c r="AE59" s="3179"/>
      <c r="AF59" s="3179"/>
      <c r="AG59" s="3179"/>
      <c r="AH59" s="3179"/>
      <c r="AI59" s="3179"/>
      <c r="AJ59" s="3179"/>
      <c r="AK59" s="3179"/>
      <c r="AL59" s="3179"/>
      <c r="AM59" s="3179"/>
      <c r="AN59" s="3181" t="s">
        <v>525</v>
      </c>
      <c r="AO59" s="3180"/>
      <c r="AP59" s="3180"/>
      <c r="AQ59" s="3180"/>
      <c r="AR59" s="3180"/>
      <c r="AS59" s="3180"/>
      <c r="AT59" s="3180"/>
      <c r="AU59" s="3180"/>
      <c r="AV59" s="3180"/>
      <c r="AW59" s="3180"/>
      <c r="AX59" s="3180"/>
      <c r="AY59" s="3180"/>
      <c r="AZ59" s="3180"/>
      <c r="BA59" s="3180"/>
      <c r="BB59" s="3180"/>
      <c r="BC59" s="3180"/>
      <c r="BD59" s="3180"/>
      <c r="BE59" s="3180"/>
      <c r="BF59" s="3181" t="s">
        <v>525</v>
      </c>
      <c r="BG59" s="86"/>
      <c r="BH59" s="86"/>
      <c r="BI59" s="86"/>
      <c r="BJ59" s="86"/>
      <c r="BK59" s="86"/>
      <c r="BL59" s="86"/>
      <c r="BM59" s="86"/>
      <c r="BN59" s="86"/>
      <c r="BO59" s="86"/>
      <c r="BP59" s="86"/>
      <c r="BQ59" s="86"/>
      <c r="BR59" s="86"/>
      <c r="BS59" s="86"/>
      <c r="BT59" s="86"/>
      <c r="BU59" s="86"/>
      <c r="BV59" s="86"/>
      <c r="BW59" s="86"/>
      <c r="BX59" s="86"/>
      <c r="BY59" s="86"/>
      <c r="BZ59" s="617"/>
    </row>
    <row r="60" spans="2:78" ht="17.100000000000001" customHeight="1" x14ac:dyDescent="0.25">
      <c r="B60" s="617"/>
      <c r="C60" s="86"/>
      <c r="D60" s="86"/>
      <c r="E60" s="86"/>
      <c r="F60" s="86"/>
      <c r="G60" s="86"/>
      <c r="H60" s="86"/>
      <c r="I60" s="86"/>
      <c r="J60" s="86"/>
      <c r="K60" s="86"/>
      <c r="L60" s="86"/>
      <c r="M60" s="86"/>
      <c r="N60" s="86"/>
      <c r="O60" s="86"/>
      <c r="P60" s="86"/>
      <c r="Q60" s="86"/>
      <c r="R60" s="86"/>
      <c r="S60" s="86"/>
      <c r="T60" s="86"/>
      <c r="U60" s="86"/>
      <c r="V60" s="617"/>
      <c r="W60" s="3179"/>
      <c r="X60" s="3179"/>
      <c r="Y60" s="3179"/>
      <c r="Z60" s="3179"/>
      <c r="AA60" s="3179"/>
      <c r="AB60" s="3179"/>
      <c r="AC60" s="3179"/>
      <c r="AD60" s="3179"/>
      <c r="AE60" s="3179"/>
      <c r="AF60" s="3179"/>
      <c r="AG60" s="3179"/>
      <c r="AH60" s="3179"/>
      <c r="AI60" s="3179"/>
      <c r="AJ60" s="3179"/>
      <c r="AK60" s="3179"/>
      <c r="AL60" s="3179"/>
      <c r="AM60" s="3179"/>
      <c r="AN60" s="3181" t="s">
        <v>525</v>
      </c>
      <c r="AO60" s="3180"/>
      <c r="AP60" s="3180"/>
      <c r="AQ60" s="3180"/>
      <c r="AR60" s="3180"/>
      <c r="AS60" s="3180"/>
      <c r="AT60" s="3180"/>
      <c r="AU60" s="3180"/>
      <c r="AV60" s="3180"/>
      <c r="AW60" s="3180"/>
      <c r="AX60" s="3180"/>
      <c r="AY60" s="3180"/>
      <c r="AZ60" s="3180"/>
      <c r="BA60" s="3180"/>
      <c r="BB60" s="3180"/>
      <c r="BC60" s="3180"/>
      <c r="BD60" s="3180"/>
      <c r="BE60" s="3180"/>
      <c r="BF60" s="3181" t="s">
        <v>525</v>
      </c>
      <c r="BG60" s="86"/>
      <c r="BH60" s="86"/>
      <c r="BI60" s="86"/>
      <c r="BJ60" s="86"/>
      <c r="BK60" s="86"/>
      <c r="BL60" s="86"/>
      <c r="BM60" s="86"/>
      <c r="BN60" s="86"/>
      <c r="BO60" s="86"/>
      <c r="BP60" s="86"/>
      <c r="BQ60" s="86"/>
      <c r="BR60" s="86"/>
      <c r="BS60" s="86"/>
      <c r="BT60" s="86"/>
      <c r="BU60" s="86"/>
      <c r="BV60" s="86"/>
      <c r="BW60" s="86"/>
      <c r="BX60" s="86"/>
      <c r="BY60" s="86"/>
      <c r="BZ60" s="617"/>
    </row>
    <row r="61" spans="2:78" ht="17.100000000000001" customHeight="1" x14ac:dyDescent="0.25">
      <c r="B61" s="617"/>
      <c r="C61" s="86"/>
      <c r="D61" s="86"/>
      <c r="E61" s="86"/>
      <c r="F61" s="86"/>
      <c r="G61" s="86"/>
      <c r="H61" s="86"/>
      <c r="I61" s="86"/>
      <c r="J61" s="86"/>
      <c r="K61" s="86"/>
      <c r="L61" s="86"/>
      <c r="M61" s="86"/>
      <c r="N61" s="86"/>
      <c r="O61" s="86"/>
      <c r="P61" s="86"/>
      <c r="Q61" s="86"/>
      <c r="R61" s="86"/>
      <c r="S61" s="86"/>
      <c r="T61" s="86"/>
      <c r="U61" s="86"/>
      <c r="V61" s="617"/>
      <c r="W61" s="3179"/>
      <c r="X61" s="3179"/>
      <c r="Y61" s="3179"/>
      <c r="Z61" s="3179"/>
      <c r="AA61" s="3179"/>
      <c r="AB61" s="3179"/>
      <c r="AC61" s="3179"/>
      <c r="AD61" s="3179"/>
      <c r="AE61" s="3179"/>
      <c r="AF61" s="3179"/>
      <c r="AG61" s="3179"/>
      <c r="AH61" s="3179"/>
      <c r="AI61" s="3179"/>
      <c r="AJ61" s="3179"/>
      <c r="AK61" s="3179"/>
      <c r="AL61" s="3179"/>
      <c r="AM61" s="3179"/>
      <c r="AN61" s="3181" t="s">
        <v>525</v>
      </c>
      <c r="AO61" s="3180"/>
      <c r="AP61" s="3180"/>
      <c r="AQ61" s="3180"/>
      <c r="AR61" s="3180"/>
      <c r="AS61" s="3180"/>
      <c r="AT61" s="3180"/>
      <c r="AU61" s="3180"/>
      <c r="AV61" s="3180"/>
      <c r="AW61" s="3180"/>
      <c r="AX61" s="3180"/>
      <c r="AY61" s="3180"/>
      <c r="AZ61" s="3180"/>
      <c r="BA61" s="3180"/>
      <c r="BB61" s="3180"/>
      <c r="BC61" s="3180"/>
      <c r="BD61" s="3180"/>
      <c r="BE61" s="3180"/>
      <c r="BF61" s="3181" t="s">
        <v>525</v>
      </c>
      <c r="BG61" s="86"/>
      <c r="BH61" s="86"/>
      <c r="BI61" s="86"/>
      <c r="BJ61" s="86"/>
      <c r="BK61" s="86"/>
      <c r="BL61" s="86"/>
      <c r="BM61" s="86"/>
      <c r="BN61" s="86"/>
      <c r="BO61" s="86"/>
      <c r="BP61" s="86"/>
      <c r="BQ61" s="86"/>
      <c r="BR61" s="86"/>
      <c r="BS61" s="86"/>
      <c r="BT61" s="86"/>
      <c r="BU61" s="86"/>
      <c r="BV61" s="86"/>
      <c r="BW61" s="86"/>
      <c r="BX61" s="86"/>
      <c r="BY61" s="86"/>
      <c r="BZ61" s="617"/>
    </row>
    <row r="62" spans="2:78" ht="17.100000000000001" customHeight="1" x14ac:dyDescent="0.25">
      <c r="B62" s="617"/>
      <c r="C62" s="86"/>
      <c r="D62" s="86"/>
      <c r="E62" s="86"/>
      <c r="F62" s="86"/>
      <c r="G62" s="86"/>
      <c r="H62" s="86"/>
      <c r="I62" s="86"/>
      <c r="J62" s="86"/>
      <c r="K62" s="86"/>
      <c r="L62" s="86"/>
      <c r="M62" s="86"/>
      <c r="N62" s="86"/>
      <c r="O62" s="86"/>
      <c r="P62" s="86"/>
      <c r="Q62" s="86"/>
      <c r="R62" s="86"/>
      <c r="S62" s="86"/>
      <c r="T62" s="86"/>
      <c r="U62" s="86"/>
      <c r="V62" s="617"/>
      <c r="W62" s="3179"/>
      <c r="X62" s="3179"/>
      <c r="Y62" s="3179"/>
      <c r="Z62" s="3179"/>
      <c r="AA62" s="3179"/>
      <c r="AB62" s="3179"/>
      <c r="AC62" s="3179"/>
      <c r="AD62" s="3179"/>
      <c r="AE62" s="3179"/>
      <c r="AF62" s="3179"/>
      <c r="AG62" s="3179"/>
      <c r="AH62" s="3179"/>
      <c r="AI62" s="3179"/>
      <c r="AJ62" s="3179"/>
      <c r="AK62" s="3179"/>
      <c r="AL62" s="3179"/>
      <c r="AM62" s="3179"/>
      <c r="AN62" s="3181" t="s">
        <v>525</v>
      </c>
      <c r="AO62" s="3180"/>
      <c r="AP62" s="3180"/>
      <c r="AQ62" s="3180"/>
      <c r="AR62" s="3180"/>
      <c r="AS62" s="3180"/>
      <c r="AT62" s="3180"/>
      <c r="AU62" s="3180"/>
      <c r="AV62" s="3180"/>
      <c r="AW62" s="3180"/>
      <c r="AX62" s="3180"/>
      <c r="AY62" s="3180"/>
      <c r="AZ62" s="3180"/>
      <c r="BA62" s="3180"/>
      <c r="BB62" s="3180"/>
      <c r="BC62" s="3180"/>
      <c r="BD62" s="3180"/>
      <c r="BE62" s="3180"/>
      <c r="BF62" s="3181" t="s">
        <v>525</v>
      </c>
      <c r="BG62" s="86"/>
      <c r="BH62" s="86"/>
      <c r="BI62" s="86"/>
      <c r="BJ62" s="86"/>
      <c r="BK62" s="86"/>
      <c r="BL62" s="86"/>
      <c r="BM62" s="86"/>
      <c r="BN62" s="86"/>
      <c r="BO62" s="86"/>
      <c r="BP62" s="86"/>
      <c r="BQ62" s="86"/>
      <c r="BR62" s="86"/>
      <c r="BS62" s="86"/>
      <c r="BT62" s="86"/>
      <c r="BU62" s="86"/>
      <c r="BV62" s="86"/>
      <c r="BW62" s="86"/>
      <c r="BX62" s="86"/>
      <c r="BY62" s="86"/>
      <c r="BZ62" s="617"/>
    </row>
    <row r="63" spans="2:78" ht="17.100000000000001" customHeight="1" x14ac:dyDescent="0.25">
      <c r="B63" s="617"/>
      <c r="C63" s="86"/>
      <c r="D63" s="86"/>
      <c r="E63" s="86"/>
      <c r="F63" s="86"/>
      <c r="G63" s="86"/>
      <c r="H63" s="86"/>
      <c r="I63" s="86"/>
      <c r="J63" s="86"/>
      <c r="K63" s="86"/>
      <c r="L63" s="86"/>
      <c r="M63" s="86"/>
      <c r="N63" s="86"/>
      <c r="O63" s="86"/>
      <c r="P63" s="86"/>
      <c r="Q63" s="86"/>
      <c r="R63" s="86"/>
      <c r="S63" s="86"/>
      <c r="T63" s="86"/>
      <c r="U63" s="86"/>
      <c r="V63" s="617"/>
      <c r="W63" s="3179"/>
      <c r="X63" s="3179"/>
      <c r="Y63" s="3179"/>
      <c r="Z63" s="3179"/>
      <c r="AA63" s="3179"/>
      <c r="AB63" s="3179"/>
      <c r="AC63" s="3179"/>
      <c r="AD63" s="3179"/>
      <c r="AE63" s="3179"/>
      <c r="AF63" s="3179"/>
      <c r="AG63" s="3179"/>
      <c r="AH63" s="3179"/>
      <c r="AI63" s="3179"/>
      <c r="AJ63" s="3179"/>
      <c r="AK63" s="3179"/>
      <c r="AL63" s="3179"/>
      <c r="AM63" s="3179"/>
      <c r="AN63" s="3181" t="s">
        <v>525</v>
      </c>
      <c r="AO63" s="3180"/>
      <c r="AP63" s="3180"/>
      <c r="AQ63" s="3180"/>
      <c r="AR63" s="3180"/>
      <c r="AS63" s="3180"/>
      <c r="AT63" s="3180"/>
      <c r="AU63" s="3180"/>
      <c r="AV63" s="3180"/>
      <c r="AW63" s="3180"/>
      <c r="AX63" s="3180"/>
      <c r="AY63" s="3180"/>
      <c r="AZ63" s="3180"/>
      <c r="BA63" s="3180"/>
      <c r="BB63" s="3180"/>
      <c r="BC63" s="3180"/>
      <c r="BD63" s="3180"/>
      <c r="BE63" s="3180"/>
      <c r="BF63" s="3181" t="s">
        <v>525</v>
      </c>
      <c r="BG63" s="86"/>
      <c r="BH63" s="86"/>
      <c r="BI63" s="86"/>
      <c r="BJ63" s="86"/>
      <c r="BK63" s="86"/>
      <c r="BL63" s="86"/>
      <c r="BM63" s="86"/>
      <c r="BN63" s="86"/>
      <c r="BO63" s="86"/>
      <c r="BP63" s="86"/>
      <c r="BQ63" s="86"/>
      <c r="BR63" s="86"/>
      <c r="BS63" s="86"/>
      <c r="BT63" s="86"/>
      <c r="BU63" s="86"/>
      <c r="BV63" s="86"/>
      <c r="BW63" s="86"/>
      <c r="BX63" s="86"/>
      <c r="BY63" s="86"/>
      <c r="BZ63" s="617"/>
    </row>
    <row r="64" spans="2:78" ht="17.100000000000001" customHeight="1" x14ac:dyDescent="0.25">
      <c r="B64" s="617"/>
      <c r="C64" s="86"/>
      <c r="D64" s="86"/>
      <c r="E64" s="86"/>
      <c r="F64" s="86"/>
      <c r="G64" s="86"/>
      <c r="H64" s="86"/>
      <c r="I64" s="86"/>
      <c r="J64" s="86"/>
      <c r="K64" s="86"/>
      <c r="L64" s="86"/>
      <c r="M64" s="86"/>
      <c r="N64" s="86"/>
      <c r="O64" s="86"/>
      <c r="P64" s="86"/>
      <c r="Q64" s="86"/>
      <c r="R64" s="86"/>
      <c r="S64" s="86"/>
      <c r="T64" s="86"/>
      <c r="U64" s="86"/>
      <c r="V64" s="617"/>
      <c r="W64" s="3179"/>
      <c r="X64" s="3179"/>
      <c r="Y64" s="3179"/>
      <c r="Z64" s="3179"/>
      <c r="AA64" s="3179"/>
      <c r="AB64" s="3179"/>
      <c r="AC64" s="3179"/>
      <c r="AD64" s="3179"/>
      <c r="AE64" s="3179"/>
      <c r="AF64" s="3179"/>
      <c r="AG64" s="3179"/>
      <c r="AH64" s="3179"/>
      <c r="AI64" s="3179"/>
      <c r="AJ64" s="3179"/>
      <c r="AK64" s="3179"/>
      <c r="AL64" s="3179"/>
      <c r="AM64" s="3179"/>
      <c r="AN64" s="3181" t="s">
        <v>525</v>
      </c>
      <c r="AO64" s="3180"/>
      <c r="AP64" s="3180"/>
      <c r="AQ64" s="3180"/>
      <c r="AR64" s="3180"/>
      <c r="AS64" s="3180"/>
      <c r="AT64" s="3180"/>
      <c r="AU64" s="3180"/>
      <c r="AV64" s="3180"/>
      <c r="AW64" s="3180"/>
      <c r="AX64" s="3180"/>
      <c r="AY64" s="3180"/>
      <c r="AZ64" s="3180"/>
      <c r="BA64" s="3180"/>
      <c r="BB64" s="3180"/>
      <c r="BC64" s="3180"/>
      <c r="BD64" s="3180"/>
      <c r="BE64" s="3180"/>
      <c r="BF64" s="3181" t="s">
        <v>525</v>
      </c>
      <c r="BG64" s="86"/>
      <c r="BH64" s="86"/>
      <c r="BI64" s="86"/>
      <c r="BJ64" s="86"/>
      <c r="BK64" s="86"/>
      <c r="BL64" s="86"/>
      <c r="BM64" s="86"/>
      <c r="BN64" s="86"/>
      <c r="BO64" s="86"/>
      <c r="BP64" s="86"/>
      <c r="BQ64" s="86"/>
      <c r="BR64" s="86"/>
      <c r="BS64" s="86"/>
      <c r="BT64" s="86"/>
      <c r="BU64" s="86"/>
      <c r="BV64" s="86"/>
      <c r="BW64" s="86"/>
      <c r="BX64" s="86"/>
      <c r="BY64" s="86"/>
      <c r="BZ64" s="617"/>
    </row>
    <row r="65" spans="2:78" ht="17.100000000000001" customHeight="1" x14ac:dyDescent="0.25">
      <c r="B65" s="617"/>
      <c r="C65" s="86"/>
      <c r="D65" s="86"/>
      <c r="E65" s="86"/>
      <c r="F65" s="86"/>
      <c r="G65" s="86"/>
      <c r="H65" s="86"/>
      <c r="I65" s="86"/>
      <c r="J65" s="86"/>
      <c r="K65" s="86"/>
      <c r="L65" s="86"/>
      <c r="M65" s="86"/>
      <c r="N65" s="86"/>
      <c r="O65" s="86"/>
      <c r="P65" s="86"/>
      <c r="Q65" s="86"/>
      <c r="R65" s="86"/>
      <c r="S65" s="86"/>
      <c r="T65" s="86"/>
      <c r="U65" s="86"/>
      <c r="V65" s="617"/>
      <c r="W65" s="3179"/>
      <c r="X65" s="3179"/>
      <c r="Y65" s="3179"/>
      <c r="Z65" s="3179"/>
      <c r="AA65" s="3179"/>
      <c r="AB65" s="3179"/>
      <c r="AC65" s="3179"/>
      <c r="AD65" s="3179"/>
      <c r="AE65" s="3179"/>
      <c r="AF65" s="3179"/>
      <c r="AG65" s="3179"/>
      <c r="AH65" s="3179"/>
      <c r="AI65" s="3179"/>
      <c r="AJ65" s="3179"/>
      <c r="AK65" s="3179"/>
      <c r="AL65" s="3179"/>
      <c r="AM65" s="3179"/>
      <c r="AN65" s="3181" t="s">
        <v>525</v>
      </c>
      <c r="AO65" s="3180"/>
      <c r="AP65" s="3180"/>
      <c r="AQ65" s="3180"/>
      <c r="AR65" s="3180"/>
      <c r="AS65" s="3180"/>
      <c r="AT65" s="3180"/>
      <c r="AU65" s="3180"/>
      <c r="AV65" s="3180"/>
      <c r="AW65" s="3180"/>
      <c r="AX65" s="3180"/>
      <c r="AY65" s="3180"/>
      <c r="AZ65" s="3180"/>
      <c r="BA65" s="3180"/>
      <c r="BB65" s="3180"/>
      <c r="BC65" s="3180"/>
      <c r="BD65" s="3180"/>
      <c r="BE65" s="3180"/>
      <c r="BF65" s="3181" t="s">
        <v>525</v>
      </c>
      <c r="BG65" s="86"/>
      <c r="BH65" s="86"/>
      <c r="BI65" s="86"/>
      <c r="BJ65" s="86"/>
      <c r="BK65" s="86"/>
      <c r="BL65" s="86"/>
      <c r="BM65" s="86"/>
      <c r="BN65" s="86"/>
      <c r="BO65" s="86"/>
      <c r="BP65" s="86"/>
      <c r="BQ65" s="86"/>
      <c r="BR65" s="86"/>
      <c r="BS65" s="86"/>
      <c r="BT65" s="86"/>
      <c r="BU65" s="86"/>
      <c r="BV65" s="86"/>
      <c r="BW65" s="86"/>
      <c r="BX65" s="86"/>
      <c r="BY65" s="86"/>
      <c r="BZ65" s="617"/>
    </row>
    <row r="66" spans="2:78" ht="17.100000000000001" customHeight="1" x14ac:dyDescent="0.25">
      <c r="B66" s="617"/>
      <c r="C66" s="86"/>
      <c r="D66" s="86"/>
      <c r="E66" s="86"/>
      <c r="F66" s="86"/>
      <c r="G66" s="86"/>
      <c r="H66" s="86"/>
      <c r="I66" s="86"/>
      <c r="J66" s="86"/>
      <c r="K66" s="86"/>
      <c r="L66" s="86"/>
      <c r="M66" s="86"/>
      <c r="N66" s="86"/>
      <c r="O66" s="86"/>
      <c r="P66" s="86"/>
      <c r="Q66" s="86"/>
      <c r="R66" s="86"/>
      <c r="S66" s="86"/>
      <c r="T66" s="86"/>
      <c r="U66" s="86"/>
      <c r="V66" s="617"/>
      <c r="W66" s="3179"/>
      <c r="X66" s="3179"/>
      <c r="Y66" s="3179"/>
      <c r="Z66" s="3179"/>
      <c r="AA66" s="3179"/>
      <c r="AB66" s="3179"/>
      <c r="AC66" s="3179"/>
      <c r="AD66" s="3179"/>
      <c r="AE66" s="3179"/>
      <c r="AF66" s="3179"/>
      <c r="AG66" s="3179"/>
      <c r="AH66" s="3179"/>
      <c r="AI66" s="3179"/>
      <c r="AJ66" s="3179"/>
      <c r="AK66" s="3179"/>
      <c r="AL66" s="3179"/>
      <c r="AM66" s="3179"/>
      <c r="AN66" s="3181" t="s">
        <v>525</v>
      </c>
      <c r="AO66" s="3180"/>
      <c r="AP66" s="3180"/>
      <c r="AQ66" s="3180"/>
      <c r="AR66" s="3180"/>
      <c r="AS66" s="3180"/>
      <c r="AT66" s="3180"/>
      <c r="AU66" s="3180"/>
      <c r="AV66" s="3180"/>
      <c r="AW66" s="3180"/>
      <c r="AX66" s="3180"/>
      <c r="AY66" s="3180"/>
      <c r="AZ66" s="3180"/>
      <c r="BA66" s="3180"/>
      <c r="BB66" s="3180"/>
      <c r="BC66" s="3180"/>
      <c r="BD66" s="3180"/>
      <c r="BE66" s="3180"/>
      <c r="BF66" s="3181" t="s">
        <v>525</v>
      </c>
      <c r="BG66" s="86"/>
      <c r="BH66" s="86"/>
      <c r="BI66" s="86"/>
      <c r="BJ66" s="86"/>
      <c r="BK66" s="86"/>
      <c r="BL66" s="86"/>
      <c r="BM66" s="86"/>
      <c r="BN66" s="86"/>
      <c r="BO66" s="86"/>
      <c r="BP66" s="86"/>
      <c r="BQ66" s="86"/>
      <c r="BR66" s="86"/>
      <c r="BS66" s="86"/>
      <c r="BT66" s="86"/>
      <c r="BU66" s="86"/>
      <c r="BV66" s="86"/>
      <c r="BW66" s="86"/>
      <c r="BX66" s="86"/>
      <c r="BY66" s="86"/>
      <c r="BZ66" s="617"/>
    </row>
    <row r="67" spans="2:78" ht="17.100000000000001" customHeight="1" x14ac:dyDescent="0.25">
      <c r="B67" s="617"/>
      <c r="C67" s="86"/>
      <c r="D67" s="86"/>
      <c r="E67" s="86"/>
      <c r="F67" s="86"/>
      <c r="G67" s="86"/>
      <c r="H67" s="86"/>
      <c r="I67" s="86"/>
      <c r="J67" s="86"/>
      <c r="K67" s="86"/>
      <c r="L67" s="86"/>
      <c r="M67" s="86"/>
      <c r="N67" s="86"/>
      <c r="O67" s="86"/>
      <c r="P67" s="86"/>
      <c r="Q67" s="86"/>
      <c r="R67" s="86"/>
      <c r="S67" s="86"/>
      <c r="T67" s="86"/>
      <c r="U67" s="86"/>
      <c r="V67" s="617"/>
      <c r="W67" s="3179"/>
      <c r="X67" s="3179"/>
      <c r="Y67" s="3179"/>
      <c r="Z67" s="3179"/>
      <c r="AA67" s="3179"/>
      <c r="AB67" s="3179"/>
      <c r="AC67" s="3179"/>
      <c r="AD67" s="3179"/>
      <c r="AE67" s="3179"/>
      <c r="AF67" s="3179"/>
      <c r="AG67" s="3179"/>
      <c r="AH67" s="3179"/>
      <c r="AI67" s="3179"/>
      <c r="AJ67" s="3179"/>
      <c r="AK67" s="3179"/>
      <c r="AL67" s="3179"/>
      <c r="AM67" s="3179"/>
      <c r="AN67" s="3181" t="s">
        <v>525</v>
      </c>
      <c r="AO67" s="3180"/>
      <c r="AP67" s="3180"/>
      <c r="AQ67" s="3180"/>
      <c r="AR67" s="3180"/>
      <c r="AS67" s="3180"/>
      <c r="AT67" s="3180"/>
      <c r="AU67" s="3180"/>
      <c r="AV67" s="3180"/>
      <c r="AW67" s="3180"/>
      <c r="AX67" s="3180"/>
      <c r="AY67" s="3180"/>
      <c r="AZ67" s="3180"/>
      <c r="BA67" s="3180"/>
      <c r="BB67" s="3180"/>
      <c r="BC67" s="3180"/>
      <c r="BD67" s="3180"/>
      <c r="BE67" s="3180"/>
      <c r="BF67" s="3181" t="s">
        <v>525</v>
      </c>
      <c r="BG67" s="86"/>
      <c r="BH67" s="86"/>
      <c r="BI67" s="86"/>
      <c r="BJ67" s="86"/>
      <c r="BK67" s="86"/>
      <c r="BL67" s="86"/>
      <c r="BM67" s="86"/>
      <c r="BN67" s="86"/>
      <c r="BO67" s="86"/>
      <c r="BP67" s="86"/>
      <c r="BQ67" s="86"/>
      <c r="BR67" s="86"/>
      <c r="BS67" s="86"/>
      <c r="BT67" s="86"/>
      <c r="BU67" s="86"/>
      <c r="BV67" s="86"/>
      <c r="BW67" s="86"/>
      <c r="BX67" s="86"/>
      <c r="BY67" s="86"/>
      <c r="BZ67" s="617"/>
    </row>
    <row r="68" spans="2:78" ht="17.100000000000001" customHeight="1" x14ac:dyDescent="0.25">
      <c r="B68" s="617"/>
      <c r="C68" s="86"/>
      <c r="D68" s="86"/>
      <c r="E68" s="86"/>
      <c r="F68" s="86"/>
      <c r="G68" s="86"/>
      <c r="H68" s="86"/>
      <c r="I68" s="86"/>
      <c r="J68" s="86"/>
      <c r="K68" s="86"/>
      <c r="L68" s="86"/>
      <c r="M68" s="86"/>
      <c r="N68" s="86"/>
      <c r="O68" s="86"/>
      <c r="P68" s="86"/>
      <c r="Q68" s="86"/>
      <c r="R68" s="86"/>
      <c r="S68" s="86"/>
      <c r="T68" s="86"/>
      <c r="U68" s="86"/>
      <c r="V68" s="617"/>
      <c r="W68" s="3179"/>
      <c r="X68" s="3179"/>
      <c r="Y68" s="3179"/>
      <c r="Z68" s="3179"/>
      <c r="AA68" s="3179"/>
      <c r="AB68" s="3179"/>
      <c r="AC68" s="3179"/>
      <c r="AD68" s="3179"/>
      <c r="AE68" s="3179"/>
      <c r="AF68" s="3179"/>
      <c r="AG68" s="3179"/>
      <c r="AH68" s="3179"/>
      <c r="AI68" s="3179"/>
      <c r="AJ68" s="3179"/>
      <c r="AK68" s="3179"/>
      <c r="AL68" s="3179"/>
      <c r="AM68" s="3179"/>
      <c r="AN68" s="3181" t="s">
        <v>525</v>
      </c>
      <c r="AO68" s="3180"/>
      <c r="AP68" s="3180"/>
      <c r="AQ68" s="3180"/>
      <c r="AR68" s="3180"/>
      <c r="AS68" s="3180"/>
      <c r="AT68" s="3180"/>
      <c r="AU68" s="3180"/>
      <c r="AV68" s="3180"/>
      <c r="AW68" s="3180"/>
      <c r="AX68" s="3180"/>
      <c r="AY68" s="3180"/>
      <c r="AZ68" s="3180"/>
      <c r="BA68" s="3180"/>
      <c r="BB68" s="3180"/>
      <c r="BC68" s="3180"/>
      <c r="BD68" s="3180"/>
      <c r="BE68" s="3180"/>
      <c r="BF68" s="3181" t="s">
        <v>525</v>
      </c>
      <c r="BG68" s="86"/>
      <c r="BH68" s="86"/>
      <c r="BI68" s="86"/>
      <c r="BJ68" s="86"/>
      <c r="BK68" s="86"/>
      <c r="BL68" s="86"/>
      <c r="BM68" s="86"/>
      <c r="BN68" s="86"/>
      <c r="BO68" s="86"/>
      <c r="BP68" s="86"/>
      <c r="BQ68" s="86"/>
      <c r="BR68" s="86"/>
      <c r="BS68" s="86"/>
      <c r="BT68" s="86"/>
      <c r="BU68" s="86"/>
      <c r="BV68" s="86"/>
      <c r="BW68" s="86"/>
      <c r="BX68" s="86"/>
      <c r="BY68" s="86"/>
      <c r="BZ68" s="617"/>
    </row>
    <row r="69" spans="2:78" ht="17.100000000000001" customHeight="1" x14ac:dyDescent="0.25">
      <c r="B69" s="617"/>
      <c r="C69" s="86"/>
      <c r="D69" s="86"/>
      <c r="E69" s="86"/>
      <c r="F69" s="86"/>
      <c r="G69" s="86"/>
      <c r="H69" s="86"/>
      <c r="I69" s="86"/>
      <c r="J69" s="86"/>
      <c r="K69" s="86"/>
      <c r="L69" s="86"/>
      <c r="M69" s="86"/>
      <c r="N69" s="86"/>
      <c r="O69" s="86"/>
      <c r="P69" s="86"/>
      <c r="Q69" s="86"/>
      <c r="R69" s="86"/>
      <c r="S69" s="86"/>
      <c r="T69" s="86"/>
      <c r="U69" s="86"/>
      <c r="V69" s="617"/>
      <c r="W69" s="3179"/>
      <c r="X69" s="3179"/>
      <c r="Y69" s="3179"/>
      <c r="Z69" s="3179"/>
      <c r="AA69" s="3179"/>
      <c r="AB69" s="3179"/>
      <c r="AC69" s="3179"/>
      <c r="AD69" s="3179"/>
      <c r="AE69" s="3179"/>
      <c r="AF69" s="3179"/>
      <c r="AG69" s="3179"/>
      <c r="AH69" s="3179"/>
      <c r="AI69" s="3179"/>
      <c r="AJ69" s="3179"/>
      <c r="AK69" s="3179"/>
      <c r="AL69" s="3179"/>
      <c r="AM69" s="3179"/>
      <c r="AN69" s="3181" t="s">
        <v>525</v>
      </c>
      <c r="AO69" s="3180"/>
      <c r="AP69" s="3180"/>
      <c r="AQ69" s="3180"/>
      <c r="AR69" s="3180"/>
      <c r="AS69" s="3180"/>
      <c r="AT69" s="3180"/>
      <c r="AU69" s="3180"/>
      <c r="AV69" s="3180"/>
      <c r="AW69" s="3180"/>
      <c r="AX69" s="3180"/>
      <c r="AY69" s="3180"/>
      <c r="AZ69" s="3180"/>
      <c r="BA69" s="3180"/>
      <c r="BB69" s="3180"/>
      <c r="BC69" s="3180"/>
      <c r="BD69" s="3180"/>
      <c r="BE69" s="3180"/>
      <c r="BF69" s="3181" t="s">
        <v>525</v>
      </c>
      <c r="BG69" s="86"/>
      <c r="BH69" s="86"/>
      <c r="BI69" s="86"/>
      <c r="BJ69" s="86"/>
      <c r="BK69" s="86"/>
      <c r="BL69" s="86"/>
      <c r="BM69" s="86"/>
      <c r="BN69" s="86"/>
      <c r="BO69" s="86"/>
      <c r="BP69" s="86"/>
      <c r="BQ69" s="86"/>
      <c r="BR69" s="86"/>
      <c r="BS69" s="86"/>
      <c r="BT69" s="86"/>
      <c r="BU69" s="86"/>
      <c r="BV69" s="86"/>
      <c r="BW69" s="86"/>
      <c r="BX69" s="86"/>
      <c r="BY69" s="86"/>
      <c r="BZ69" s="617"/>
    </row>
    <row r="70" spans="2:78" ht="17.100000000000001" customHeight="1" x14ac:dyDescent="0.25">
      <c r="B70" s="617"/>
      <c r="C70" s="86"/>
      <c r="D70" s="86"/>
      <c r="E70" s="86"/>
      <c r="F70" s="86"/>
      <c r="G70" s="86"/>
      <c r="H70" s="86"/>
      <c r="I70" s="86"/>
      <c r="J70" s="86"/>
      <c r="K70" s="86"/>
      <c r="L70" s="86"/>
      <c r="M70" s="86"/>
      <c r="N70" s="86"/>
      <c r="O70" s="86"/>
      <c r="P70" s="86"/>
      <c r="Q70" s="86"/>
      <c r="R70" s="86"/>
      <c r="S70" s="86"/>
      <c r="T70" s="86"/>
      <c r="U70" s="86"/>
      <c r="V70" s="617"/>
      <c r="W70" s="3179"/>
      <c r="X70" s="3179"/>
      <c r="Y70" s="3179"/>
      <c r="Z70" s="3179"/>
      <c r="AA70" s="3179"/>
      <c r="AB70" s="3179"/>
      <c r="AC70" s="3179"/>
      <c r="AD70" s="3179"/>
      <c r="AE70" s="3179"/>
      <c r="AF70" s="3179"/>
      <c r="AG70" s="3179"/>
      <c r="AH70" s="3179"/>
      <c r="AI70" s="3179"/>
      <c r="AJ70" s="3179"/>
      <c r="AK70" s="3179"/>
      <c r="AL70" s="3179"/>
      <c r="AM70" s="3179"/>
      <c r="AN70" s="3181" t="s">
        <v>525</v>
      </c>
      <c r="AO70" s="3180"/>
      <c r="AP70" s="3180"/>
      <c r="AQ70" s="3180"/>
      <c r="AR70" s="3180"/>
      <c r="AS70" s="3180"/>
      <c r="AT70" s="3180"/>
      <c r="AU70" s="3180"/>
      <c r="AV70" s="3180"/>
      <c r="AW70" s="3180"/>
      <c r="AX70" s="3180"/>
      <c r="AY70" s="3180"/>
      <c r="AZ70" s="3180"/>
      <c r="BA70" s="3180"/>
      <c r="BB70" s="3180"/>
      <c r="BC70" s="3180"/>
      <c r="BD70" s="3180"/>
      <c r="BE70" s="3180"/>
      <c r="BF70" s="3181" t="s">
        <v>525</v>
      </c>
      <c r="BG70" s="86"/>
      <c r="BH70" s="86"/>
      <c r="BI70" s="86"/>
      <c r="BJ70" s="86"/>
      <c r="BK70" s="86"/>
      <c r="BL70" s="86"/>
      <c r="BM70" s="86"/>
      <c r="BN70" s="86"/>
      <c r="BO70" s="86"/>
      <c r="BP70" s="86"/>
      <c r="BQ70" s="86"/>
      <c r="BR70" s="86"/>
      <c r="BS70" s="86"/>
      <c r="BT70" s="86"/>
      <c r="BU70" s="86"/>
      <c r="BV70" s="86"/>
      <c r="BW70" s="86"/>
      <c r="BX70" s="86"/>
      <c r="BY70" s="86"/>
      <c r="BZ70" s="617"/>
    </row>
    <row r="71" spans="2:78" ht="17.100000000000001" customHeight="1" x14ac:dyDescent="0.25">
      <c r="B71" s="617"/>
      <c r="C71" s="86"/>
      <c r="D71" s="86"/>
      <c r="E71" s="86"/>
      <c r="F71" s="86"/>
      <c r="G71" s="86"/>
      <c r="H71" s="86"/>
      <c r="I71" s="86"/>
      <c r="J71" s="86"/>
      <c r="K71" s="86"/>
      <c r="L71" s="86"/>
      <c r="M71" s="86"/>
      <c r="N71" s="86"/>
      <c r="O71" s="86"/>
      <c r="P71" s="86"/>
      <c r="Q71" s="86"/>
      <c r="R71" s="86"/>
      <c r="S71" s="86"/>
      <c r="T71" s="86"/>
      <c r="U71" s="86"/>
      <c r="V71" s="617"/>
      <c r="W71" s="3179"/>
      <c r="X71" s="3179"/>
      <c r="Y71" s="3179"/>
      <c r="Z71" s="3179"/>
      <c r="AA71" s="3179"/>
      <c r="AB71" s="3179"/>
      <c r="AC71" s="3179"/>
      <c r="AD71" s="3179"/>
      <c r="AE71" s="3179"/>
      <c r="AF71" s="3179"/>
      <c r="AG71" s="3179"/>
      <c r="AH71" s="3179"/>
      <c r="AI71" s="3179"/>
      <c r="AJ71" s="3179"/>
      <c r="AK71" s="3179"/>
      <c r="AL71" s="3179"/>
      <c r="AM71" s="3179"/>
      <c r="AN71" s="3181" t="s">
        <v>525</v>
      </c>
      <c r="AO71" s="3180"/>
      <c r="AP71" s="3180"/>
      <c r="AQ71" s="3180"/>
      <c r="AR71" s="3180"/>
      <c r="AS71" s="3180"/>
      <c r="AT71" s="3180"/>
      <c r="AU71" s="3180"/>
      <c r="AV71" s="3180"/>
      <c r="AW71" s="3180"/>
      <c r="AX71" s="3180"/>
      <c r="AY71" s="3180"/>
      <c r="AZ71" s="3180"/>
      <c r="BA71" s="3180"/>
      <c r="BB71" s="3180"/>
      <c r="BC71" s="3180"/>
      <c r="BD71" s="3180"/>
      <c r="BE71" s="3180"/>
      <c r="BF71" s="3181" t="s">
        <v>525</v>
      </c>
      <c r="BG71" s="86"/>
      <c r="BH71" s="86"/>
      <c r="BI71" s="86"/>
      <c r="BJ71" s="86"/>
      <c r="BK71" s="86"/>
      <c r="BL71" s="86"/>
      <c r="BM71" s="86"/>
      <c r="BN71" s="86"/>
      <c r="BO71" s="86"/>
      <c r="BP71" s="86"/>
      <c r="BQ71" s="86"/>
      <c r="BR71" s="86"/>
      <c r="BS71" s="86"/>
      <c r="BT71" s="86"/>
      <c r="BU71" s="86"/>
      <c r="BV71" s="86"/>
      <c r="BW71" s="86"/>
      <c r="BX71" s="86"/>
      <c r="BY71" s="86"/>
      <c r="BZ71" s="617"/>
    </row>
    <row r="72" spans="2:78" ht="17.100000000000001" customHeight="1" x14ac:dyDescent="0.25">
      <c r="B72" s="617"/>
      <c r="C72" s="86"/>
      <c r="D72" s="86"/>
      <c r="E72" s="86"/>
      <c r="F72" s="86"/>
      <c r="G72" s="86"/>
      <c r="H72" s="86"/>
      <c r="I72" s="86"/>
      <c r="J72" s="86"/>
      <c r="K72" s="86"/>
      <c r="L72" s="86"/>
      <c r="M72" s="86"/>
      <c r="N72" s="86"/>
      <c r="O72" s="86"/>
      <c r="P72" s="86"/>
      <c r="Q72" s="86"/>
      <c r="R72" s="86"/>
      <c r="S72" s="86"/>
      <c r="T72" s="86"/>
      <c r="U72" s="86"/>
      <c r="V72" s="617"/>
      <c r="W72" s="3179"/>
      <c r="X72" s="3179"/>
      <c r="Y72" s="3179"/>
      <c r="Z72" s="3179"/>
      <c r="AA72" s="3179"/>
      <c r="AB72" s="3179"/>
      <c r="AC72" s="3179"/>
      <c r="AD72" s="3179"/>
      <c r="AE72" s="3179"/>
      <c r="AF72" s="3179"/>
      <c r="AG72" s="3179"/>
      <c r="AH72" s="3179"/>
      <c r="AI72" s="3179"/>
      <c r="AJ72" s="3179"/>
      <c r="AK72" s="3179"/>
      <c r="AL72" s="3179"/>
      <c r="AM72" s="3179"/>
      <c r="AN72" s="3181" t="s">
        <v>525</v>
      </c>
      <c r="AO72" s="3180"/>
      <c r="AP72" s="3180"/>
      <c r="AQ72" s="3180"/>
      <c r="AR72" s="3180"/>
      <c r="AS72" s="3180"/>
      <c r="AT72" s="3180"/>
      <c r="AU72" s="3180"/>
      <c r="AV72" s="3180"/>
      <c r="AW72" s="3180"/>
      <c r="AX72" s="3180"/>
      <c r="AY72" s="3180"/>
      <c r="AZ72" s="3180"/>
      <c r="BA72" s="3180"/>
      <c r="BB72" s="3180"/>
      <c r="BC72" s="3180"/>
      <c r="BD72" s="3180"/>
      <c r="BE72" s="3180"/>
      <c r="BF72" s="3181" t="s">
        <v>525</v>
      </c>
      <c r="BG72" s="86"/>
      <c r="BH72" s="86"/>
      <c r="BI72" s="86"/>
      <c r="BJ72" s="86"/>
      <c r="BK72" s="86"/>
      <c r="BL72" s="86"/>
      <c r="BM72" s="86"/>
      <c r="BN72" s="86"/>
      <c r="BO72" s="86"/>
      <c r="BP72" s="86"/>
      <c r="BQ72" s="86"/>
      <c r="BR72" s="86"/>
      <c r="BS72" s="86"/>
      <c r="BT72" s="86"/>
      <c r="BU72" s="86"/>
      <c r="BV72" s="86"/>
      <c r="BW72" s="86"/>
      <c r="BX72" s="86"/>
      <c r="BY72" s="86"/>
      <c r="BZ72" s="617"/>
    </row>
    <row r="73" spans="2:78" ht="17.100000000000001" customHeight="1" x14ac:dyDescent="0.25">
      <c r="B73" s="617"/>
      <c r="C73" s="86"/>
      <c r="D73" s="86"/>
      <c r="E73" s="86"/>
      <c r="F73" s="86"/>
      <c r="G73" s="86"/>
      <c r="H73" s="86"/>
      <c r="I73" s="86"/>
      <c r="J73" s="86"/>
      <c r="K73" s="86"/>
      <c r="L73" s="86"/>
      <c r="M73" s="86"/>
      <c r="N73" s="86"/>
      <c r="O73" s="86"/>
      <c r="P73" s="86"/>
      <c r="Q73" s="86"/>
      <c r="R73" s="86"/>
      <c r="S73" s="86"/>
      <c r="T73" s="86"/>
      <c r="U73" s="86"/>
      <c r="V73" s="617"/>
      <c r="W73" s="3179"/>
      <c r="X73" s="3179"/>
      <c r="Y73" s="3179"/>
      <c r="Z73" s="3179"/>
      <c r="AA73" s="3179"/>
      <c r="AB73" s="3179"/>
      <c r="AC73" s="3179"/>
      <c r="AD73" s="3179"/>
      <c r="AE73" s="3179"/>
      <c r="AF73" s="3179"/>
      <c r="AG73" s="3179"/>
      <c r="AH73" s="3179"/>
      <c r="AI73" s="3179"/>
      <c r="AJ73" s="3179"/>
      <c r="AK73" s="3179"/>
      <c r="AL73" s="3179"/>
      <c r="AM73" s="3179"/>
      <c r="AN73" s="3181" t="s">
        <v>525</v>
      </c>
      <c r="AO73" s="3180"/>
      <c r="AP73" s="3180"/>
      <c r="AQ73" s="3180"/>
      <c r="AR73" s="3180"/>
      <c r="AS73" s="3180"/>
      <c r="AT73" s="3180"/>
      <c r="AU73" s="3180"/>
      <c r="AV73" s="3180"/>
      <c r="AW73" s="3180"/>
      <c r="AX73" s="3180"/>
      <c r="AY73" s="3180"/>
      <c r="AZ73" s="3180"/>
      <c r="BA73" s="3180"/>
      <c r="BB73" s="3180"/>
      <c r="BC73" s="3180"/>
      <c r="BD73" s="3180"/>
      <c r="BE73" s="3180"/>
      <c r="BF73" s="3181" t="s">
        <v>525</v>
      </c>
      <c r="BG73" s="86"/>
      <c r="BH73" s="86"/>
      <c r="BI73" s="86"/>
      <c r="BJ73" s="86"/>
      <c r="BK73" s="86"/>
      <c r="BL73" s="86"/>
      <c r="BM73" s="86"/>
      <c r="BN73" s="86"/>
      <c r="BO73" s="86"/>
      <c r="BP73" s="86"/>
      <c r="BQ73" s="86"/>
      <c r="BR73" s="86"/>
      <c r="BS73" s="86"/>
      <c r="BT73" s="86"/>
      <c r="BU73" s="86"/>
      <c r="BV73" s="86"/>
      <c r="BW73" s="86"/>
      <c r="BX73" s="86"/>
      <c r="BY73" s="86"/>
      <c r="BZ73" s="617"/>
    </row>
    <row r="74" spans="2:78" ht="17.100000000000001" customHeight="1" x14ac:dyDescent="0.25">
      <c r="B74" s="617"/>
      <c r="C74" s="86"/>
      <c r="D74" s="86"/>
      <c r="E74" s="86"/>
      <c r="F74" s="86"/>
      <c r="G74" s="86"/>
      <c r="H74" s="86"/>
      <c r="I74" s="86"/>
      <c r="J74" s="86"/>
      <c r="K74" s="86"/>
      <c r="L74" s="86"/>
      <c r="M74" s="86"/>
      <c r="N74" s="86"/>
      <c r="O74" s="86"/>
      <c r="P74" s="86"/>
      <c r="Q74" s="86"/>
      <c r="R74" s="86"/>
      <c r="S74" s="86"/>
      <c r="T74" s="86"/>
      <c r="U74" s="86"/>
      <c r="V74" s="617"/>
      <c r="W74" s="3179"/>
      <c r="X74" s="3179"/>
      <c r="Y74" s="3179"/>
      <c r="Z74" s="3179"/>
      <c r="AA74" s="3179"/>
      <c r="AB74" s="3179"/>
      <c r="AC74" s="3179"/>
      <c r="AD74" s="3179"/>
      <c r="AE74" s="3179"/>
      <c r="AF74" s="3179"/>
      <c r="AG74" s="3179"/>
      <c r="AH74" s="3179"/>
      <c r="AI74" s="3179"/>
      <c r="AJ74" s="3179"/>
      <c r="AK74" s="3179"/>
      <c r="AL74" s="3179"/>
      <c r="AM74" s="3179"/>
      <c r="AN74" s="3181" t="s">
        <v>525</v>
      </c>
      <c r="AO74" s="3180"/>
      <c r="AP74" s="3180"/>
      <c r="AQ74" s="3180"/>
      <c r="AR74" s="3180"/>
      <c r="AS74" s="3180"/>
      <c r="AT74" s="3180"/>
      <c r="AU74" s="3180"/>
      <c r="AV74" s="3180"/>
      <c r="AW74" s="3180"/>
      <c r="AX74" s="3180"/>
      <c r="AY74" s="3180"/>
      <c r="AZ74" s="3180"/>
      <c r="BA74" s="3180"/>
      <c r="BB74" s="3180"/>
      <c r="BC74" s="3180"/>
      <c r="BD74" s="3180"/>
      <c r="BE74" s="3180"/>
      <c r="BF74" s="3181" t="s">
        <v>525</v>
      </c>
      <c r="BG74" s="86"/>
      <c r="BH74" s="86"/>
      <c r="BI74" s="86"/>
      <c r="BJ74" s="86"/>
      <c r="BK74" s="86"/>
      <c r="BL74" s="86"/>
      <c r="BM74" s="86"/>
      <c r="BN74" s="86"/>
      <c r="BO74" s="86"/>
      <c r="BP74" s="86"/>
      <c r="BQ74" s="86"/>
      <c r="BR74" s="86"/>
      <c r="BS74" s="86"/>
      <c r="BT74" s="86"/>
      <c r="BU74" s="86"/>
      <c r="BV74" s="86"/>
      <c r="BW74" s="86"/>
      <c r="BX74" s="86"/>
      <c r="BY74" s="86"/>
      <c r="BZ74" s="617"/>
    </row>
    <row r="75" spans="2:78" ht="17.100000000000001" customHeight="1" x14ac:dyDescent="0.25">
      <c r="B75" s="617"/>
      <c r="C75" s="86"/>
      <c r="D75" s="86"/>
      <c r="E75" s="86"/>
      <c r="F75" s="86"/>
      <c r="G75" s="86"/>
      <c r="H75" s="86"/>
      <c r="I75" s="86"/>
      <c r="J75" s="86"/>
      <c r="K75" s="86"/>
      <c r="L75" s="86"/>
      <c r="M75" s="86"/>
      <c r="N75" s="86"/>
      <c r="O75" s="86"/>
      <c r="P75" s="86"/>
      <c r="Q75" s="86"/>
      <c r="R75" s="86"/>
      <c r="S75" s="86"/>
      <c r="T75" s="86"/>
      <c r="U75" s="86"/>
      <c r="V75" s="617"/>
      <c r="W75" s="3179"/>
      <c r="X75" s="3179"/>
      <c r="Y75" s="3179"/>
      <c r="Z75" s="3179"/>
      <c r="AA75" s="3179"/>
      <c r="AB75" s="3179"/>
      <c r="AC75" s="3179"/>
      <c r="AD75" s="3179"/>
      <c r="AE75" s="3179"/>
      <c r="AF75" s="3179"/>
      <c r="AG75" s="3179"/>
      <c r="AH75" s="3179"/>
      <c r="AI75" s="3179"/>
      <c r="AJ75" s="3179"/>
      <c r="AK75" s="3179"/>
      <c r="AL75" s="3179"/>
      <c r="AM75" s="3179"/>
      <c r="AN75" s="3181" t="s">
        <v>525</v>
      </c>
      <c r="AO75" s="3180"/>
      <c r="AP75" s="3180"/>
      <c r="AQ75" s="3180"/>
      <c r="AR75" s="3180"/>
      <c r="AS75" s="3180"/>
      <c r="AT75" s="3180"/>
      <c r="AU75" s="3180"/>
      <c r="AV75" s="3180"/>
      <c r="AW75" s="3180"/>
      <c r="AX75" s="3180"/>
      <c r="AY75" s="3180"/>
      <c r="AZ75" s="3180"/>
      <c r="BA75" s="3180"/>
      <c r="BB75" s="3180"/>
      <c r="BC75" s="3180"/>
      <c r="BD75" s="3180"/>
      <c r="BE75" s="3180"/>
      <c r="BF75" s="3181" t="s">
        <v>525</v>
      </c>
      <c r="BG75" s="86"/>
      <c r="BH75" s="86"/>
      <c r="BI75" s="86"/>
      <c r="BJ75" s="86"/>
      <c r="BK75" s="86"/>
      <c r="BL75" s="86"/>
      <c r="BM75" s="86"/>
      <c r="BN75" s="86"/>
      <c r="BO75" s="86"/>
      <c r="BP75" s="86"/>
      <c r="BQ75" s="86"/>
      <c r="BR75" s="86"/>
      <c r="BS75" s="86"/>
      <c r="BT75" s="86"/>
      <c r="BU75" s="86"/>
      <c r="BV75" s="86"/>
      <c r="BW75" s="86"/>
      <c r="BX75" s="86"/>
      <c r="BY75" s="86"/>
      <c r="BZ75" s="617"/>
    </row>
    <row r="76" spans="2:78" ht="17.100000000000001" customHeight="1" x14ac:dyDescent="0.25">
      <c r="B76" s="617"/>
      <c r="C76" s="86"/>
      <c r="D76" s="86"/>
      <c r="E76" s="86"/>
      <c r="F76" s="86"/>
      <c r="G76" s="86"/>
      <c r="H76" s="86"/>
      <c r="I76" s="86"/>
      <c r="J76" s="86"/>
      <c r="K76" s="86"/>
      <c r="L76" s="86"/>
      <c r="M76" s="86"/>
      <c r="N76" s="86"/>
      <c r="O76" s="86"/>
      <c r="P76" s="86"/>
      <c r="Q76" s="86"/>
      <c r="R76" s="86"/>
      <c r="S76" s="86"/>
      <c r="T76" s="86"/>
      <c r="U76" s="86"/>
      <c r="V76" s="617"/>
      <c r="W76" s="3179"/>
      <c r="X76" s="3179"/>
      <c r="Y76" s="3179"/>
      <c r="Z76" s="3179"/>
      <c r="AA76" s="3179"/>
      <c r="AB76" s="3179"/>
      <c r="AC76" s="3179"/>
      <c r="AD76" s="3179"/>
      <c r="AE76" s="3179"/>
      <c r="AF76" s="3179"/>
      <c r="AG76" s="3179"/>
      <c r="AH76" s="3179"/>
      <c r="AI76" s="3179"/>
      <c r="AJ76" s="3179"/>
      <c r="AK76" s="3179"/>
      <c r="AL76" s="3179"/>
      <c r="AM76" s="3179"/>
      <c r="AN76" s="3181" t="s">
        <v>525</v>
      </c>
      <c r="AO76" s="3180"/>
      <c r="AP76" s="3180"/>
      <c r="AQ76" s="3180"/>
      <c r="AR76" s="3180"/>
      <c r="AS76" s="3180"/>
      <c r="AT76" s="3180"/>
      <c r="AU76" s="3180"/>
      <c r="AV76" s="3180"/>
      <c r="AW76" s="3180"/>
      <c r="AX76" s="3180"/>
      <c r="AY76" s="3180"/>
      <c r="AZ76" s="3180"/>
      <c r="BA76" s="3180"/>
      <c r="BB76" s="3180"/>
      <c r="BC76" s="3180"/>
      <c r="BD76" s="3180"/>
      <c r="BE76" s="3180"/>
      <c r="BF76" s="3181" t="s">
        <v>525</v>
      </c>
      <c r="BG76" s="86"/>
      <c r="BH76" s="86"/>
      <c r="BI76" s="86"/>
      <c r="BJ76" s="86"/>
      <c r="BK76" s="86"/>
      <c r="BL76" s="86"/>
      <c r="BM76" s="86"/>
      <c r="BN76" s="86"/>
      <c r="BO76" s="86"/>
      <c r="BP76" s="86"/>
      <c r="BQ76" s="86"/>
      <c r="BR76" s="86"/>
      <c r="BS76" s="86"/>
      <c r="BT76" s="86"/>
      <c r="BU76" s="86"/>
      <c r="BV76" s="86"/>
      <c r="BW76" s="86"/>
      <c r="BX76" s="86"/>
      <c r="BY76" s="86"/>
      <c r="BZ76" s="617"/>
    </row>
    <row r="77" spans="2:78" ht="17.100000000000001" customHeight="1" x14ac:dyDescent="0.25">
      <c r="B77" s="617"/>
      <c r="C77" s="86"/>
      <c r="D77" s="86"/>
      <c r="E77" s="86"/>
      <c r="F77" s="86"/>
      <c r="G77" s="86"/>
      <c r="H77" s="86"/>
      <c r="I77" s="86"/>
      <c r="J77" s="86"/>
      <c r="K77" s="86"/>
      <c r="L77" s="86"/>
      <c r="M77" s="86"/>
      <c r="N77" s="86"/>
      <c r="O77" s="86"/>
      <c r="P77" s="86"/>
      <c r="Q77" s="86"/>
      <c r="R77" s="86"/>
      <c r="S77" s="86"/>
      <c r="T77" s="86"/>
      <c r="U77" s="86"/>
      <c r="V77" s="617"/>
      <c r="W77" s="3179"/>
      <c r="X77" s="3179"/>
      <c r="Y77" s="3179"/>
      <c r="Z77" s="3179"/>
      <c r="AA77" s="3179"/>
      <c r="AB77" s="3179"/>
      <c r="AC77" s="3179"/>
      <c r="AD77" s="3179"/>
      <c r="AE77" s="3179"/>
      <c r="AF77" s="3179"/>
      <c r="AG77" s="3179"/>
      <c r="AH77" s="3179"/>
      <c r="AI77" s="3179"/>
      <c r="AJ77" s="3179"/>
      <c r="AK77" s="3179"/>
      <c r="AL77" s="3179"/>
      <c r="AM77" s="3179"/>
      <c r="AN77" s="3181" t="s">
        <v>525</v>
      </c>
      <c r="AO77" s="3180"/>
      <c r="AP77" s="3180"/>
      <c r="AQ77" s="3180"/>
      <c r="AR77" s="3180"/>
      <c r="AS77" s="3180"/>
      <c r="AT77" s="3180"/>
      <c r="AU77" s="3180"/>
      <c r="AV77" s="3180"/>
      <c r="AW77" s="3180"/>
      <c r="AX77" s="3180"/>
      <c r="AY77" s="3180"/>
      <c r="AZ77" s="3180"/>
      <c r="BA77" s="3180"/>
      <c r="BB77" s="3180"/>
      <c r="BC77" s="3180"/>
      <c r="BD77" s="3180"/>
      <c r="BE77" s="3180"/>
      <c r="BF77" s="3181" t="s">
        <v>525</v>
      </c>
      <c r="BG77" s="617"/>
      <c r="BH77" s="617"/>
      <c r="BI77" s="617"/>
      <c r="BJ77" s="617"/>
      <c r="BK77" s="617"/>
      <c r="BL77" s="617"/>
      <c r="BM77" s="617"/>
      <c r="BN77" s="617"/>
      <c r="BO77" s="617"/>
      <c r="BP77" s="617"/>
      <c r="BQ77" s="617"/>
      <c r="BR77" s="617"/>
      <c r="BS77" s="617"/>
      <c r="BT77" s="617"/>
      <c r="BU77" s="617"/>
      <c r="BV77" s="617"/>
      <c r="BW77" s="617"/>
      <c r="BX77" s="617"/>
      <c r="BY77" s="617"/>
      <c r="BZ77" s="617"/>
    </row>
    <row r="78" spans="2:78" ht="17.100000000000001" customHeight="1" x14ac:dyDescent="0.25">
      <c r="B78" s="617"/>
      <c r="C78" s="86"/>
      <c r="D78" s="86"/>
      <c r="E78" s="86"/>
      <c r="F78" s="86"/>
      <c r="G78" s="86"/>
      <c r="H78" s="86"/>
      <c r="I78" s="86"/>
      <c r="J78" s="86"/>
      <c r="K78" s="86"/>
      <c r="L78" s="86"/>
      <c r="M78" s="86"/>
      <c r="N78" s="86"/>
      <c r="O78" s="86"/>
      <c r="P78" s="86"/>
      <c r="Q78" s="86"/>
      <c r="R78" s="86"/>
      <c r="S78" s="86"/>
      <c r="T78" s="86"/>
      <c r="U78" s="86"/>
      <c r="V78" s="617"/>
      <c r="W78" s="3179"/>
      <c r="X78" s="3179"/>
      <c r="Y78" s="3179"/>
      <c r="Z78" s="3179"/>
      <c r="AA78" s="3179"/>
      <c r="AB78" s="3179"/>
      <c r="AC78" s="3179"/>
      <c r="AD78" s="3179"/>
      <c r="AE78" s="3179"/>
      <c r="AF78" s="3179"/>
      <c r="AG78" s="3179"/>
      <c r="AH78" s="3179"/>
      <c r="AI78" s="3179"/>
      <c r="AJ78" s="3179"/>
      <c r="AK78" s="3179"/>
      <c r="AL78" s="3179"/>
      <c r="AM78" s="3179"/>
      <c r="AN78" s="3181" t="s">
        <v>525</v>
      </c>
      <c r="AO78" s="3180"/>
      <c r="AP78" s="3180"/>
      <c r="AQ78" s="3180"/>
      <c r="AR78" s="3180"/>
      <c r="AS78" s="3180"/>
      <c r="AT78" s="3180"/>
      <c r="AU78" s="3180"/>
      <c r="AV78" s="3180"/>
      <c r="AW78" s="3180"/>
      <c r="AX78" s="3180"/>
      <c r="AY78" s="3180"/>
      <c r="AZ78" s="3180"/>
      <c r="BA78" s="3180"/>
      <c r="BB78" s="3180"/>
      <c r="BC78" s="3180"/>
      <c r="BD78" s="3180"/>
      <c r="BE78" s="3180"/>
      <c r="BF78" s="3181" t="s">
        <v>525</v>
      </c>
      <c r="BG78" s="3730" t="s">
        <v>2096</v>
      </c>
      <c r="BH78" s="3731"/>
      <c r="BI78" s="3731"/>
      <c r="BJ78" s="3731"/>
      <c r="BK78" s="3731"/>
      <c r="BL78" s="3731"/>
      <c r="BM78" s="3731"/>
      <c r="BN78" s="3731"/>
      <c r="BO78" s="3731"/>
      <c r="BP78" s="3731"/>
      <c r="BQ78" s="3731"/>
      <c r="BR78" s="3731"/>
      <c r="BS78" s="3731"/>
      <c r="BT78" s="3731"/>
      <c r="BU78" s="3731"/>
      <c r="BV78" s="3731"/>
      <c r="BW78" s="3731"/>
      <c r="BX78" s="3731"/>
      <c r="BY78" s="3732"/>
      <c r="BZ78" s="617"/>
    </row>
    <row r="79" spans="2:78" ht="17.100000000000001" customHeight="1" x14ac:dyDescent="0.25">
      <c r="B79" s="617"/>
      <c r="C79" s="86"/>
      <c r="D79" s="86"/>
      <c r="E79" s="86"/>
      <c r="F79" s="86"/>
      <c r="G79" s="86"/>
      <c r="H79" s="86"/>
      <c r="I79" s="86"/>
      <c r="J79" s="86"/>
      <c r="K79" s="86"/>
      <c r="L79" s="86"/>
      <c r="M79" s="86"/>
      <c r="N79" s="86"/>
      <c r="O79" s="86"/>
      <c r="P79" s="86"/>
      <c r="Q79" s="86"/>
      <c r="R79" s="86"/>
      <c r="S79" s="86"/>
      <c r="T79" s="86"/>
      <c r="U79" s="86"/>
      <c r="V79" s="617"/>
      <c r="W79" s="3179"/>
      <c r="X79" s="3179"/>
      <c r="Y79" s="3179"/>
      <c r="Z79" s="3179"/>
      <c r="AA79" s="3179"/>
      <c r="AB79" s="3179"/>
      <c r="AC79" s="3179"/>
      <c r="AD79" s="3179"/>
      <c r="AE79" s="3179"/>
      <c r="AF79" s="3179"/>
      <c r="AG79" s="3179"/>
      <c r="AH79" s="3179"/>
      <c r="AI79" s="3179"/>
      <c r="AJ79" s="3179"/>
      <c r="AK79" s="3179"/>
      <c r="AL79" s="3179"/>
      <c r="AM79" s="3179"/>
      <c r="AN79" s="3181" t="s">
        <v>525</v>
      </c>
      <c r="AO79" s="3180"/>
      <c r="AP79" s="3180"/>
      <c r="AQ79" s="3180"/>
      <c r="AR79" s="3180"/>
      <c r="AS79" s="3180"/>
      <c r="AT79" s="3180"/>
      <c r="AU79" s="3180"/>
      <c r="AV79" s="3180"/>
      <c r="AW79" s="3180"/>
      <c r="AX79" s="3180"/>
      <c r="AY79" s="3180"/>
      <c r="AZ79" s="3180"/>
      <c r="BA79" s="3180"/>
      <c r="BB79" s="3180"/>
      <c r="BC79" s="3180"/>
      <c r="BD79" s="3180"/>
      <c r="BE79" s="3180"/>
      <c r="BF79" s="3181" t="s">
        <v>525</v>
      </c>
      <c r="BG79" s="3733"/>
      <c r="BH79" s="3734"/>
      <c r="BI79" s="3734"/>
      <c r="BJ79" s="3734"/>
      <c r="BK79" s="3734"/>
      <c r="BL79" s="3734"/>
      <c r="BM79" s="3734"/>
      <c r="BN79" s="3734"/>
      <c r="BO79" s="3734"/>
      <c r="BP79" s="3734"/>
      <c r="BQ79" s="3734"/>
      <c r="BR79" s="3734"/>
      <c r="BS79" s="3734"/>
      <c r="BT79" s="3734"/>
      <c r="BU79" s="3734"/>
      <c r="BV79" s="3734"/>
      <c r="BW79" s="3734"/>
      <c r="BX79" s="3734"/>
      <c r="BY79" s="3735"/>
      <c r="BZ79" s="617"/>
    </row>
    <row r="80" spans="2:78" ht="17.100000000000001" customHeight="1" x14ac:dyDescent="0.25">
      <c r="B80" s="617"/>
      <c r="C80" s="86"/>
      <c r="D80" s="86"/>
      <c r="E80" s="86"/>
      <c r="F80" s="86"/>
      <c r="G80" s="86"/>
      <c r="H80" s="86"/>
      <c r="I80" s="86"/>
      <c r="J80" s="86"/>
      <c r="K80" s="86"/>
      <c r="L80" s="86"/>
      <c r="M80" s="86"/>
      <c r="N80" s="86"/>
      <c r="O80" s="86"/>
      <c r="P80" s="86"/>
      <c r="Q80" s="86"/>
      <c r="R80" s="86"/>
      <c r="S80" s="86"/>
      <c r="T80" s="86"/>
      <c r="U80" s="86"/>
      <c r="V80" s="617"/>
      <c r="W80" s="3179"/>
      <c r="X80" s="3179"/>
      <c r="Y80" s="3179"/>
      <c r="Z80" s="3179"/>
      <c r="AA80" s="3179"/>
      <c r="AB80" s="3179"/>
      <c r="AC80" s="3179"/>
      <c r="AD80" s="3179"/>
      <c r="AE80" s="3179"/>
      <c r="AF80" s="3179"/>
      <c r="AG80" s="3179"/>
      <c r="AH80" s="3179"/>
      <c r="AI80" s="3179"/>
      <c r="AJ80" s="3179"/>
      <c r="AK80" s="3179"/>
      <c r="AL80" s="3179"/>
      <c r="AM80" s="3179"/>
      <c r="AN80" s="3181" t="s">
        <v>525</v>
      </c>
      <c r="AO80" s="3180"/>
      <c r="AP80" s="3180"/>
      <c r="AQ80" s="3180"/>
      <c r="AR80" s="3180"/>
      <c r="AS80" s="3180"/>
      <c r="AT80" s="3180"/>
      <c r="AU80" s="3180"/>
      <c r="AV80" s="3180"/>
      <c r="AW80" s="3180"/>
      <c r="AX80" s="3180"/>
      <c r="AY80" s="3180"/>
      <c r="AZ80" s="3180"/>
      <c r="BA80" s="3180"/>
      <c r="BB80" s="3180"/>
      <c r="BC80" s="3180"/>
      <c r="BD80" s="3180"/>
      <c r="BE80" s="3180"/>
      <c r="BF80" s="3181" t="s">
        <v>525</v>
      </c>
      <c r="BG80" s="86"/>
      <c r="BH80" s="86"/>
      <c r="BI80" s="86"/>
      <c r="BJ80" s="86"/>
      <c r="BK80" s="86"/>
      <c r="BL80" s="86"/>
      <c r="BM80" s="86"/>
      <c r="BN80" s="86"/>
      <c r="BO80" s="86"/>
      <c r="BP80" s="86"/>
      <c r="BQ80" s="86"/>
      <c r="BR80" s="86"/>
      <c r="BS80" s="86"/>
      <c r="BT80" s="86"/>
      <c r="BU80" s="86"/>
      <c r="BV80" s="86"/>
      <c r="BW80" s="86"/>
      <c r="BX80" s="86"/>
      <c r="BY80" s="86"/>
      <c r="BZ80" s="617"/>
    </row>
    <row r="81" spans="2:78" ht="17.100000000000001" customHeight="1" x14ac:dyDescent="0.25">
      <c r="B81" s="617"/>
      <c r="C81" s="86"/>
      <c r="D81" s="3120"/>
      <c r="E81" s="86"/>
      <c r="F81" s="86"/>
      <c r="G81" s="86"/>
      <c r="H81" s="86"/>
      <c r="I81" s="86"/>
      <c r="J81" s="86"/>
      <c r="K81" s="86"/>
      <c r="L81" s="86"/>
      <c r="M81" s="86"/>
      <c r="N81" s="86"/>
      <c r="O81" s="86"/>
      <c r="P81" s="86"/>
      <c r="Q81" s="86"/>
      <c r="R81" s="86"/>
      <c r="S81" s="86"/>
      <c r="T81" s="86"/>
      <c r="U81" s="86"/>
      <c r="V81" s="617"/>
      <c r="W81" s="3179"/>
      <c r="X81" s="3179"/>
      <c r="Y81" s="3179"/>
      <c r="Z81" s="3179"/>
      <c r="AA81" s="3179"/>
      <c r="AB81" s="3179"/>
      <c r="AC81" s="3179"/>
      <c r="AD81" s="3179"/>
      <c r="AE81" s="3179"/>
      <c r="AF81" s="3179"/>
      <c r="AG81" s="3179"/>
      <c r="AH81" s="3179"/>
      <c r="AI81" s="3179"/>
      <c r="AJ81" s="3179"/>
      <c r="AK81" s="3179"/>
      <c r="AL81" s="3179"/>
      <c r="AM81" s="3179"/>
      <c r="AN81" s="3181" t="s">
        <v>525</v>
      </c>
      <c r="AO81" s="3180"/>
      <c r="AP81" s="3180"/>
      <c r="AQ81" s="3180"/>
      <c r="AR81" s="3180"/>
      <c r="AS81" s="3180"/>
      <c r="AT81" s="3180"/>
      <c r="AU81" s="3180"/>
      <c r="AV81" s="3180"/>
      <c r="AW81" s="3180"/>
      <c r="AX81" s="3180"/>
      <c r="AY81" s="3180"/>
      <c r="AZ81" s="3180"/>
      <c r="BA81" s="3180"/>
      <c r="BB81" s="3180"/>
      <c r="BC81" s="3180"/>
      <c r="BD81" s="3180"/>
      <c r="BE81" s="3180"/>
      <c r="BF81" s="3181" t="s">
        <v>525</v>
      </c>
      <c r="BG81" s="86"/>
      <c r="BH81" s="86"/>
      <c r="BI81" s="86"/>
      <c r="BJ81" s="86"/>
      <c r="BK81" s="86"/>
      <c r="BL81" s="86"/>
      <c r="BM81" s="86"/>
      <c r="BN81" s="86"/>
      <c r="BO81" s="86"/>
      <c r="BP81" s="86"/>
      <c r="BQ81" s="86"/>
      <c r="BR81" s="86"/>
      <c r="BS81" s="86"/>
      <c r="BT81" s="86"/>
      <c r="BU81" s="86"/>
      <c r="BV81" s="86"/>
      <c r="BW81" s="86"/>
      <c r="BX81" s="86"/>
      <c r="BY81" s="86"/>
      <c r="BZ81" s="617"/>
    </row>
    <row r="82" spans="2:78" ht="17.100000000000001" customHeight="1" x14ac:dyDescent="0.25">
      <c r="B82" s="617"/>
      <c r="C82" s="86"/>
      <c r="D82" s="3120"/>
      <c r="E82" s="86"/>
      <c r="F82" s="86"/>
      <c r="G82" s="86"/>
      <c r="H82" s="86"/>
      <c r="I82" s="86"/>
      <c r="J82" s="86"/>
      <c r="K82" s="86"/>
      <c r="L82" s="86"/>
      <c r="M82" s="86"/>
      <c r="N82" s="86"/>
      <c r="O82" s="86"/>
      <c r="P82" s="86"/>
      <c r="Q82" s="86"/>
      <c r="R82" s="86"/>
      <c r="S82" s="86"/>
      <c r="T82" s="86"/>
      <c r="U82" s="86"/>
      <c r="V82" s="617"/>
      <c r="W82" s="3179"/>
      <c r="X82" s="3179"/>
      <c r="Y82" s="3179"/>
      <c r="Z82" s="3179"/>
      <c r="AA82" s="3179"/>
      <c r="AB82" s="3179"/>
      <c r="AC82" s="3179"/>
      <c r="AD82" s="3179"/>
      <c r="AE82" s="3179"/>
      <c r="AF82" s="3179"/>
      <c r="AG82" s="3179"/>
      <c r="AH82" s="3179"/>
      <c r="AI82" s="3179"/>
      <c r="AJ82" s="3179"/>
      <c r="AK82" s="3179"/>
      <c r="AL82" s="3179"/>
      <c r="AM82" s="3179"/>
      <c r="AN82" s="3181" t="s">
        <v>525</v>
      </c>
      <c r="AO82" s="3180"/>
      <c r="AP82" s="3180"/>
      <c r="AQ82" s="3180"/>
      <c r="AR82" s="3180"/>
      <c r="AS82" s="3180"/>
      <c r="AT82" s="3180"/>
      <c r="AU82" s="3180"/>
      <c r="AV82" s="3180"/>
      <c r="AW82" s="3180"/>
      <c r="AX82" s="3180"/>
      <c r="AY82" s="3180"/>
      <c r="AZ82" s="3180"/>
      <c r="BA82" s="3180"/>
      <c r="BB82" s="3180"/>
      <c r="BC82" s="3180"/>
      <c r="BD82" s="3180"/>
      <c r="BE82" s="3180"/>
      <c r="BF82" s="3181" t="s">
        <v>525</v>
      </c>
      <c r="BG82" s="86"/>
      <c r="BH82" s="86"/>
      <c r="BI82" s="86"/>
      <c r="BJ82" s="86"/>
      <c r="BK82" s="86"/>
      <c r="BL82" s="86"/>
      <c r="BM82" s="86"/>
      <c r="BN82" s="86"/>
      <c r="BO82" s="86"/>
      <c r="BP82" s="86"/>
      <c r="BQ82" s="86"/>
      <c r="BR82" s="86"/>
      <c r="BS82" s="86"/>
      <c r="BT82" s="86"/>
      <c r="BU82" s="86"/>
      <c r="BV82" s="86"/>
      <c r="BW82" s="86"/>
      <c r="BX82" s="86"/>
      <c r="BY82" s="86"/>
      <c r="BZ82" s="617"/>
    </row>
    <row r="83" spans="2:78" ht="17.100000000000001" customHeight="1" x14ac:dyDescent="0.25">
      <c r="B83" s="617"/>
      <c r="C83" s="86"/>
      <c r="D83" s="3120"/>
      <c r="E83" s="86"/>
      <c r="F83" s="86"/>
      <c r="G83" s="86"/>
      <c r="H83" s="86"/>
      <c r="I83" s="86"/>
      <c r="J83" s="86"/>
      <c r="K83" s="86"/>
      <c r="L83" s="86"/>
      <c r="M83" s="86"/>
      <c r="N83" s="86"/>
      <c r="O83" s="86"/>
      <c r="P83" s="86"/>
      <c r="Q83" s="86"/>
      <c r="R83" s="86"/>
      <c r="S83" s="86"/>
      <c r="T83" s="86"/>
      <c r="U83" s="86"/>
      <c r="V83" s="617"/>
      <c r="W83" s="3179"/>
      <c r="X83" s="3179"/>
      <c r="Y83" s="3179"/>
      <c r="Z83" s="3179"/>
      <c r="AA83" s="3179"/>
      <c r="AB83" s="3179"/>
      <c r="AC83" s="3179"/>
      <c r="AD83" s="3179"/>
      <c r="AE83" s="3179"/>
      <c r="AF83" s="3179"/>
      <c r="AG83" s="3179"/>
      <c r="AH83" s="3179"/>
      <c r="AI83" s="3179"/>
      <c r="AJ83" s="3179"/>
      <c r="AK83" s="3179"/>
      <c r="AL83" s="3179"/>
      <c r="AM83" s="3179"/>
      <c r="AN83" s="3181" t="s">
        <v>525</v>
      </c>
      <c r="AO83" s="3180"/>
      <c r="AP83" s="3180"/>
      <c r="AQ83" s="3180"/>
      <c r="AR83" s="3180"/>
      <c r="AS83" s="3180"/>
      <c r="AT83" s="3180"/>
      <c r="AU83" s="3180"/>
      <c r="AV83" s="3180"/>
      <c r="AW83" s="3180"/>
      <c r="AX83" s="3180"/>
      <c r="AY83" s="3180"/>
      <c r="AZ83" s="3180"/>
      <c r="BA83" s="3180"/>
      <c r="BB83" s="3180"/>
      <c r="BC83" s="3180"/>
      <c r="BD83" s="3180"/>
      <c r="BE83" s="3180"/>
      <c r="BF83" s="3181" t="s">
        <v>525</v>
      </c>
      <c r="BG83" s="86"/>
      <c r="BH83" s="86"/>
      <c r="BI83" s="86"/>
      <c r="BJ83" s="86"/>
      <c r="BK83" s="86"/>
      <c r="BL83" s="86"/>
      <c r="BM83" s="86"/>
      <c r="BN83" s="86"/>
      <c r="BO83" s="86"/>
      <c r="BP83" s="86"/>
      <c r="BQ83" s="86"/>
      <c r="BR83" s="86"/>
      <c r="BS83" s="86"/>
      <c r="BT83" s="86"/>
      <c r="BU83" s="86"/>
      <c r="BV83" s="86"/>
      <c r="BW83" s="86"/>
      <c r="BX83" s="86"/>
      <c r="BY83" s="86"/>
      <c r="BZ83" s="617"/>
    </row>
    <row r="84" spans="2:78" ht="17.100000000000001" customHeight="1" x14ac:dyDescent="0.25">
      <c r="B84" s="617"/>
      <c r="C84" s="86"/>
      <c r="D84" s="86"/>
      <c r="E84" s="86"/>
      <c r="F84" s="86"/>
      <c r="G84" s="86"/>
      <c r="H84" s="86"/>
      <c r="I84" s="86"/>
      <c r="J84" s="86"/>
      <c r="K84" s="86"/>
      <c r="L84" s="86"/>
      <c r="M84" s="86"/>
      <c r="N84" s="86"/>
      <c r="O84" s="86"/>
      <c r="P84" s="86"/>
      <c r="Q84" s="86"/>
      <c r="R84" s="86"/>
      <c r="S84" s="86"/>
      <c r="T84" s="86"/>
      <c r="U84" s="86"/>
      <c r="V84" s="617"/>
      <c r="W84" s="3179"/>
      <c r="X84" s="3179"/>
      <c r="Y84" s="3179"/>
      <c r="Z84" s="3179"/>
      <c r="AA84" s="3179"/>
      <c r="AB84" s="3179"/>
      <c r="AC84" s="3179"/>
      <c r="AD84" s="3179"/>
      <c r="AE84" s="3179"/>
      <c r="AF84" s="3179"/>
      <c r="AG84" s="3179"/>
      <c r="AH84" s="3179"/>
      <c r="AI84" s="3179"/>
      <c r="AJ84" s="3179"/>
      <c r="AK84" s="3179"/>
      <c r="AL84" s="3179"/>
      <c r="AM84" s="3179"/>
      <c r="AN84" s="3181" t="s">
        <v>525</v>
      </c>
      <c r="AO84" s="3180"/>
      <c r="AP84" s="3180"/>
      <c r="AQ84" s="3180"/>
      <c r="AR84" s="3180"/>
      <c r="AS84" s="3180"/>
      <c r="AT84" s="3180"/>
      <c r="AU84" s="3180"/>
      <c r="AV84" s="3180"/>
      <c r="AW84" s="3180"/>
      <c r="AX84" s="3180"/>
      <c r="AY84" s="3180"/>
      <c r="AZ84" s="3180"/>
      <c r="BA84" s="3180"/>
      <c r="BB84" s="3180"/>
      <c r="BC84" s="3180"/>
      <c r="BD84" s="3180"/>
      <c r="BE84" s="3180"/>
      <c r="BF84" s="3181" t="s">
        <v>525</v>
      </c>
      <c r="BG84" s="86"/>
      <c r="BH84" s="86"/>
      <c r="BI84" s="86"/>
      <c r="BJ84" s="86"/>
      <c r="BK84" s="86"/>
      <c r="BL84" s="86"/>
      <c r="BM84" s="86"/>
      <c r="BN84" s="86"/>
      <c r="BO84" s="86"/>
      <c r="BP84" s="86"/>
      <c r="BQ84" s="86"/>
      <c r="BR84" s="86"/>
      <c r="BS84" s="86"/>
      <c r="BT84" s="86"/>
      <c r="BU84" s="86"/>
      <c r="BV84" s="86"/>
      <c r="BW84" s="86"/>
      <c r="BX84" s="86"/>
      <c r="BY84" s="86"/>
      <c r="BZ84" s="617"/>
    </row>
    <row r="85" spans="2:78" ht="17.100000000000001" customHeight="1" x14ac:dyDescent="0.25">
      <c r="B85" s="617"/>
      <c r="C85" s="86"/>
      <c r="D85" s="86"/>
      <c r="E85" s="86"/>
      <c r="F85" s="86"/>
      <c r="G85" s="86"/>
      <c r="H85" s="86"/>
      <c r="I85" s="86"/>
      <c r="J85" s="86"/>
      <c r="K85" s="86"/>
      <c r="L85" s="86"/>
      <c r="M85" s="86"/>
      <c r="N85" s="86"/>
      <c r="O85" s="86"/>
      <c r="P85" s="86"/>
      <c r="Q85" s="86"/>
      <c r="R85" s="86"/>
      <c r="S85" s="86"/>
      <c r="T85" s="86"/>
      <c r="U85" s="86"/>
      <c r="V85" s="617"/>
      <c r="W85" s="3179"/>
      <c r="X85" s="3179"/>
      <c r="Y85" s="3179"/>
      <c r="Z85" s="3179"/>
      <c r="AA85" s="3179"/>
      <c r="AB85" s="3179"/>
      <c r="AC85" s="3179"/>
      <c r="AD85" s="3179"/>
      <c r="AE85" s="3179"/>
      <c r="AF85" s="3179"/>
      <c r="AG85" s="3179"/>
      <c r="AH85" s="3179"/>
      <c r="AI85" s="3179"/>
      <c r="AJ85" s="3179"/>
      <c r="AK85" s="3179"/>
      <c r="AL85" s="3179"/>
      <c r="AM85" s="3179"/>
      <c r="AN85" s="3181" t="s">
        <v>525</v>
      </c>
      <c r="AO85" s="3180"/>
      <c r="AP85" s="3180"/>
      <c r="AQ85" s="3180"/>
      <c r="AR85" s="3180"/>
      <c r="AS85" s="3180"/>
      <c r="AT85" s="3180"/>
      <c r="AU85" s="3180"/>
      <c r="AV85" s="3180"/>
      <c r="AW85" s="3180"/>
      <c r="AX85" s="3180"/>
      <c r="AY85" s="3180"/>
      <c r="AZ85" s="3180"/>
      <c r="BA85" s="3180"/>
      <c r="BB85" s="3180"/>
      <c r="BC85" s="3180"/>
      <c r="BD85" s="3180"/>
      <c r="BE85" s="3180"/>
      <c r="BF85" s="3181" t="s">
        <v>525</v>
      </c>
      <c r="BG85" s="86"/>
      <c r="BH85" s="86"/>
      <c r="BI85" s="86"/>
      <c r="BJ85" s="86"/>
      <c r="BK85" s="86"/>
      <c r="BL85" s="86"/>
      <c r="BM85" s="86"/>
      <c r="BN85" s="86"/>
      <c r="BO85" s="86"/>
      <c r="BP85" s="86"/>
      <c r="BQ85" s="86"/>
      <c r="BR85" s="86"/>
      <c r="BS85" s="86"/>
      <c r="BT85" s="86"/>
      <c r="BU85" s="86"/>
      <c r="BV85" s="86"/>
      <c r="BW85" s="86"/>
      <c r="BX85" s="86"/>
      <c r="BY85" s="86"/>
      <c r="BZ85" s="617"/>
    </row>
    <row r="86" spans="2:78" ht="17.100000000000001" customHeight="1" x14ac:dyDescent="0.25">
      <c r="B86" s="617"/>
      <c r="C86" s="86"/>
      <c r="D86" s="86"/>
      <c r="E86" s="86"/>
      <c r="F86" s="86"/>
      <c r="G86" s="86"/>
      <c r="H86" s="86"/>
      <c r="I86" s="86"/>
      <c r="J86" s="86"/>
      <c r="K86" s="86"/>
      <c r="L86" s="86"/>
      <c r="M86" s="86"/>
      <c r="N86" s="86"/>
      <c r="O86" s="86"/>
      <c r="P86" s="86"/>
      <c r="Q86" s="86"/>
      <c r="R86" s="86"/>
      <c r="S86" s="86"/>
      <c r="T86" s="86"/>
      <c r="U86" s="86"/>
      <c r="V86" s="617"/>
      <c r="W86" s="3179"/>
      <c r="X86" s="3179"/>
      <c r="Y86" s="3179"/>
      <c r="Z86" s="3179"/>
      <c r="AA86" s="3179"/>
      <c r="AB86" s="3179"/>
      <c r="AC86" s="3179"/>
      <c r="AD86" s="3179"/>
      <c r="AE86" s="3179"/>
      <c r="AF86" s="3179"/>
      <c r="AG86" s="3179"/>
      <c r="AH86" s="3179"/>
      <c r="AI86" s="3179"/>
      <c r="AJ86" s="3179"/>
      <c r="AK86" s="3179"/>
      <c r="AL86" s="3179"/>
      <c r="AM86" s="3179"/>
      <c r="AN86" s="3181" t="s">
        <v>525</v>
      </c>
      <c r="AO86" s="3180"/>
      <c r="AP86" s="3180"/>
      <c r="AQ86" s="3180"/>
      <c r="AR86" s="3180"/>
      <c r="AS86" s="3180"/>
      <c r="AT86" s="3180"/>
      <c r="AU86" s="3180"/>
      <c r="AV86" s="3180"/>
      <c r="AW86" s="3180"/>
      <c r="AX86" s="3180"/>
      <c r="AY86" s="3180"/>
      <c r="AZ86" s="3180"/>
      <c r="BA86" s="3180"/>
      <c r="BB86" s="3180"/>
      <c r="BC86" s="3180"/>
      <c r="BD86" s="3180"/>
      <c r="BE86" s="3180"/>
      <c r="BF86" s="3181" t="s">
        <v>525</v>
      </c>
      <c r="BG86" s="86"/>
      <c r="BH86" s="86"/>
      <c r="BI86" s="86"/>
      <c r="BJ86" s="86"/>
      <c r="BK86" s="86"/>
      <c r="BL86" s="86"/>
      <c r="BM86" s="86"/>
      <c r="BN86" s="86"/>
      <c r="BO86" s="86"/>
      <c r="BP86" s="86"/>
      <c r="BQ86" s="86"/>
      <c r="BR86" s="86"/>
      <c r="BS86" s="86"/>
      <c r="BT86" s="86"/>
      <c r="BU86" s="86"/>
      <c r="BV86" s="86"/>
      <c r="BW86" s="86"/>
      <c r="BX86" s="86"/>
      <c r="BY86" s="86"/>
      <c r="BZ86" s="617"/>
    </row>
    <row r="87" spans="2:78" ht="17.100000000000001" customHeight="1" x14ac:dyDescent="0.25">
      <c r="B87" s="617"/>
      <c r="C87" s="86"/>
      <c r="D87" s="86"/>
      <c r="E87" s="86"/>
      <c r="F87" s="86"/>
      <c r="G87" s="86"/>
      <c r="H87" s="86"/>
      <c r="I87" s="86"/>
      <c r="J87" s="86"/>
      <c r="K87" s="86"/>
      <c r="L87" s="86"/>
      <c r="M87" s="86"/>
      <c r="N87" s="86"/>
      <c r="O87" s="86"/>
      <c r="P87" s="86"/>
      <c r="Q87" s="86"/>
      <c r="R87" s="86"/>
      <c r="S87" s="86"/>
      <c r="T87" s="86"/>
      <c r="U87" s="86"/>
      <c r="V87" s="617"/>
      <c r="W87" s="3179"/>
      <c r="X87" s="3179"/>
      <c r="Y87" s="3179"/>
      <c r="Z87" s="3179"/>
      <c r="AA87" s="3179"/>
      <c r="AB87" s="3179"/>
      <c r="AC87" s="3179"/>
      <c r="AD87" s="3179"/>
      <c r="AE87" s="3179"/>
      <c r="AF87" s="3179"/>
      <c r="AG87" s="3179"/>
      <c r="AH87" s="3179"/>
      <c r="AI87" s="3179"/>
      <c r="AJ87" s="3179"/>
      <c r="AK87" s="3179"/>
      <c r="AL87" s="3179"/>
      <c r="AM87" s="3179"/>
      <c r="AN87" s="3181" t="s">
        <v>525</v>
      </c>
      <c r="AO87" s="3180"/>
      <c r="AP87" s="3180"/>
      <c r="AQ87" s="3180"/>
      <c r="AR87" s="3180"/>
      <c r="AS87" s="3180"/>
      <c r="AT87" s="3180"/>
      <c r="AU87" s="3180"/>
      <c r="AV87" s="3180"/>
      <c r="AW87" s="3180"/>
      <c r="AX87" s="3180"/>
      <c r="AY87" s="3180"/>
      <c r="AZ87" s="3180"/>
      <c r="BA87" s="3180"/>
      <c r="BB87" s="3180"/>
      <c r="BC87" s="3180"/>
      <c r="BD87" s="3180"/>
      <c r="BE87" s="3180"/>
      <c r="BF87" s="3181" t="s">
        <v>525</v>
      </c>
      <c r="BG87" s="86"/>
      <c r="BH87" s="86"/>
      <c r="BI87" s="86"/>
      <c r="BJ87" s="86"/>
      <c r="BK87" s="86"/>
      <c r="BL87" s="86"/>
      <c r="BM87" s="86"/>
      <c r="BN87" s="86"/>
      <c r="BO87" s="86"/>
      <c r="BP87" s="86"/>
      <c r="BQ87" s="86"/>
      <c r="BR87" s="86"/>
      <c r="BS87" s="86"/>
      <c r="BT87" s="86"/>
      <c r="BU87" s="86"/>
      <c r="BV87" s="86"/>
      <c r="BW87" s="86"/>
      <c r="BX87" s="86"/>
      <c r="BY87" s="86"/>
      <c r="BZ87" s="617"/>
    </row>
    <row r="88" spans="2:78" ht="17.100000000000001" customHeight="1" x14ac:dyDescent="0.25">
      <c r="B88" s="617"/>
      <c r="C88" s="86"/>
      <c r="D88" s="86"/>
      <c r="E88" s="86"/>
      <c r="F88" s="86"/>
      <c r="G88" s="86"/>
      <c r="H88" s="86"/>
      <c r="I88" s="86"/>
      <c r="J88" s="86"/>
      <c r="K88" s="86"/>
      <c r="L88" s="86"/>
      <c r="M88" s="86"/>
      <c r="N88" s="86"/>
      <c r="O88" s="86"/>
      <c r="P88" s="86"/>
      <c r="Q88" s="86"/>
      <c r="R88" s="86"/>
      <c r="S88" s="86"/>
      <c r="T88" s="86"/>
      <c r="U88" s="86"/>
      <c r="V88" s="617"/>
      <c r="W88" s="3179"/>
      <c r="X88" s="3179"/>
      <c r="Y88" s="3179"/>
      <c r="Z88" s="3179"/>
      <c r="AA88" s="3179"/>
      <c r="AB88" s="3179"/>
      <c r="AC88" s="3179"/>
      <c r="AD88" s="3179"/>
      <c r="AE88" s="3179"/>
      <c r="AF88" s="3179"/>
      <c r="AG88" s="3179"/>
      <c r="AH88" s="3179"/>
      <c r="AI88" s="3179"/>
      <c r="AJ88" s="3179"/>
      <c r="AK88" s="3179"/>
      <c r="AL88" s="3179"/>
      <c r="AM88" s="3179"/>
      <c r="AN88" s="3181" t="s">
        <v>525</v>
      </c>
      <c r="AO88" s="3180"/>
      <c r="AP88" s="3180"/>
      <c r="AQ88" s="3180"/>
      <c r="AR88" s="3180"/>
      <c r="AS88" s="3180"/>
      <c r="AT88" s="3180"/>
      <c r="AU88" s="3180"/>
      <c r="AV88" s="3180"/>
      <c r="AW88" s="3180"/>
      <c r="AX88" s="3180"/>
      <c r="AY88" s="3180"/>
      <c r="AZ88" s="3180"/>
      <c r="BA88" s="3180"/>
      <c r="BB88" s="3180"/>
      <c r="BC88" s="3180"/>
      <c r="BD88" s="3180"/>
      <c r="BE88" s="3180"/>
      <c r="BF88" s="3181" t="s">
        <v>525</v>
      </c>
      <c r="BG88" s="86"/>
      <c r="BH88" s="86"/>
      <c r="BI88" s="86"/>
      <c r="BJ88" s="86"/>
      <c r="BK88" s="86"/>
      <c r="BL88" s="86"/>
      <c r="BM88" s="86"/>
      <c r="BN88" s="86"/>
      <c r="BO88" s="86"/>
      <c r="BP88" s="86"/>
      <c r="BQ88" s="86"/>
      <c r="BR88" s="86"/>
      <c r="BS88" s="86"/>
      <c r="BT88" s="86"/>
      <c r="BU88" s="86"/>
      <c r="BV88" s="86"/>
      <c r="BW88" s="86"/>
      <c r="BX88" s="86"/>
      <c r="BY88" s="86"/>
      <c r="BZ88" s="617"/>
    </row>
    <row r="89" spans="2:78" ht="17.100000000000001" customHeight="1" x14ac:dyDescent="0.25">
      <c r="B89" s="617"/>
      <c r="C89" s="86"/>
      <c r="D89" s="86"/>
      <c r="E89" s="86"/>
      <c r="F89" s="86"/>
      <c r="G89" s="86"/>
      <c r="H89" s="86"/>
      <c r="I89" s="86"/>
      <c r="J89" s="86"/>
      <c r="K89" s="86"/>
      <c r="L89" s="86"/>
      <c r="M89" s="86"/>
      <c r="N89" s="86"/>
      <c r="O89" s="86"/>
      <c r="P89" s="86"/>
      <c r="Q89" s="86"/>
      <c r="R89" s="86"/>
      <c r="S89" s="86"/>
      <c r="T89" s="86"/>
      <c r="U89" s="86"/>
      <c r="V89" s="617"/>
      <c r="W89" s="3179"/>
      <c r="X89" s="3179"/>
      <c r="Y89" s="3179"/>
      <c r="Z89" s="3179"/>
      <c r="AA89" s="3179"/>
      <c r="AB89" s="3179"/>
      <c r="AC89" s="3179"/>
      <c r="AD89" s="3179"/>
      <c r="AE89" s="3179"/>
      <c r="AF89" s="3179"/>
      <c r="AG89" s="3179"/>
      <c r="AH89" s="3179"/>
      <c r="AI89" s="3179"/>
      <c r="AJ89" s="3179"/>
      <c r="AK89" s="3179"/>
      <c r="AL89" s="3179"/>
      <c r="AM89" s="3179"/>
      <c r="AN89" s="3181" t="s">
        <v>525</v>
      </c>
      <c r="AO89" s="3180"/>
      <c r="AP89" s="3180"/>
      <c r="AQ89" s="3180"/>
      <c r="AR89" s="3180"/>
      <c r="AS89" s="3180"/>
      <c r="AT89" s="3180"/>
      <c r="AU89" s="3180"/>
      <c r="AV89" s="3180"/>
      <c r="AW89" s="3180"/>
      <c r="AX89" s="3180"/>
      <c r="AY89" s="3180"/>
      <c r="AZ89" s="3180"/>
      <c r="BA89" s="3180"/>
      <c r="BB89" s="3180"/>
      <c r="BC89" s="3180"/>
      <c r="BD89" s="3180"/>
      <c r="BE89" s="3180"/>
      <c r="BF89" s="3181" t="s">
        <v>525</v>
      </c>
      <c r="BG89" s="86"/>
      <c r="BH89" s="86"/>
      <c r="BI89" s="86"/>
      <c r="BJ89" s="86"/>
      <c r="BK89" s="86"/>
      <c r="BL89" s="86"/>
      <c r="BM89" s="86"/>
      <c r="BN89" s="86"/>
      <c r="BO89" s="86"/>
      <c r="BP89" s="86"/>
      <c r="BQ89" s="86"/>
      <c r="BR89" s="86"/>
      <c r="BS89" s="86"/>
      <c r="BT89" s="86"/>
      <c r="BU89" s="86"/>
      <c r="BV89" s="86"/>
      <c r="BW89" s="86"/>
      <c r="BX89" s="86"/>
      <c r="BY89" s="86"/>
      <c r="BZ89" s="617"/>
    </row>
    <row r="90" spans="2:78" ht="17.100000000000001" customHeight="1" x14ac:dyDescent="0.25">
      <c r="B90" s="617"/>
      <c r="C90" s="86"/>
      <c r="D90" s="86"/>
      <c r="E90" s="86"/>
      <c r="F90" s="86"/>
      <c r="G90" s="86"/>
      <c r="H90" s="86"/>
      <c r="I90" s="86"/>
      <c r="J90" s="86"/>
      <c r="K90" s="86"/>
      <c r="L90" s="86"/>
      <c r="M90" s="86"/>
      <c r="N90" s="86"/>
      <c r="O90" s="86"/>
      <c r="P90" s="86"/>
      <c r="Q90" s="86"/>
      <c r="R90" s="86"/>
      <c r="S90" s="86"/>
      <c r="T90" s="86"/>
      <c r="U90" s="86"/>
      <c r="V90" s="617"/>
      <c r="W90" s="3179"/>
      <c r="X90" s="3179"/>
      <c r="Y90" s="3179"/>
      <c r="Z90" s="3179"/>
      <c r="AA90" s="3179"/>
      <c r="AB90" s="3179"/>
      <c r="AC90" s="3179"/>
      <c r="AD90" s="3179"/>
      <c r="AE90" s="3179"/>
      <c r="AF90" s="3179"/>
      <c r="AG90" s="3179"/>
      <c r="AH90" s="3179"/>
      <c r="AI90" s="3179"/>
      <c r="AJ90" s="3179"/>
      <c r="AK90" s="3179"/>
      <c r="AL90" s="3179"/>
      <c r="AM90" s="3179"/>
      <c r="AN90" s="3181" t="s">
        <v>525</v>
      </c>
      <c r="AO90" s="3180"/>
      <c r="AP90" s="3180"/>
      <c r="AQ90" s="3180"/>
      <c r="AR90" s="3180"/>
      <c r="AS90" s="3180"/>
      <c r="AT90" s="3180"/>
      <c r="AU90" s="3180"/>
      <c r="AV90" s="3180"/>
      <c r="AW90" s="3180"/>
      <c r="AX90" s="3180"/>
      <c r="AY90" s="3180"/>
      <c r="AZ90" s="3180"/>
      <c r="BA90" s="3180"/>
      <c r="BB90" s="3180"/>
      <c r="BC90" s="3180"/>
      <c r="BD90" s="3180"/>
      <c r="BE90" s="3180"/>
      <c r="BF90" s="3181" t="s">
        <v>525</v>
      </c>
      <c r="BG90" s="86"/>
      <c r="BH90" s="86"/>
      <c r="BI90" s="86"/>
      <c r="BJ90" s="86"/>
      <c r="BK90" s="86"/>
      <c r="BL90" s="86"/>
      <c r="BM90" s="86"/>
      <c r="BN90" s="86"/>
      <c r="BO90" s="86"/>
      <c r="BP90" s="86"/>
      <c r="BQ90" s="86"/>
      <c r="BR90" s="86"/>
      <c r="BS90" s="86"/>
      <c r="BT90" s="86"/>
      <c r="BU90" s="86"/>
      <c r="BV90" s="86"/>
      <c r="BW90" s="86"/>
      <c r="BX90" s="86"/>
      <c r="BY90" s="86"/>
      <c r="BZ90" s="617"/>
    </row>
    <row r="91" spans="2:78" ht="17.100000000000001" customHeight="1" x14ac:dyDescent="0.25">
      <c r="B91" s="617"/>
      <c r="C91" s="86"/>
      <c r="D91" s="86"/>
      <c r="E91" s="86"/>
      <c r="F91" s="86"/>
      <c r="G91" s="86"/>
      <c r="H91" s="86"/>
      <c r="I91" s="86"/>
      <c r="J91" s="86"/>
      <c r="K91" s="86"/>
      <c r="L91" s="86"/>
      <c r="M91" s="86"/>
      <c r="N91" s="86"/>
      <c r="O91" s="86"/>
      <c r="P91" s="86"/>
      <c r="Q91" s="86"/>
      <c r="R91" s="86"/>
      <c r="S91" s="86"/>
      <c r="T91" s="86"/>
      <c r="U91" s="86"/>
      <c r="V91" s="617"/>
      <c r="W91" s="3179"/>
      <c r="X91" s="3179"/>
      <c r="Y91" s="3179"/>
      <c r="Z91" s="3179"/>
      <c r="AA91" s="3179"/>
      <c r="AB91" s="3179"/>
      <c r="AC91" s="3179"/>
      <c r="AD91" s="3179"/>
      <c r="AE91" s="3179"/>
      <c r="AF91" s="3179"/>
      <c r="AG91" s="3179"/>
      <c r="AH91" s="3179"/>
      <c r="AI91" s="3179"/>
      <c r="AJ91" s="3179"/>
      <c r="AK91" s="3179"/>
      <c r="AL91" s="3179"/>
      <c r="AM91" s="3179"/>
      <c r="AN91" s="3181" t="s">
        <v>525</v>
      </c>
      <c r="AO91" s="3180"/>
      <c r="AP91" s="3180"/>
      <c r="AQ91" s="3180"/>
      <c r="AR91" s="3180"/>
      <c r="AS91" s="3180"/>
      <c r="AT91" s="3180"/>
      <c r="AU91" s="3180"/>
      <c r="AV91" s="3180"/>
      <c r="AW91" s="3180"/>
      <c r="AX91" s="3180"/>
      <c r="AY91" s="3180"/>
      <c r="AZ91" s="3180"/>
      <c r="BA91" s="3180"/>
      <c r="BB91" s="3180"/>
      <c r="BC91" s="3180"/>
      <c r="BD91" s="3180"/>
      <c r="BE91" s="3180"/>
      <c r="BF91" s="3181" t="s">
        <v>525</v>
      </c>
      <c r="BG91" s="86"/>
      <c r="BH91" s="86"/>
      <c r="BI91" s="86"/>
      <c r="BJ91" s="86"/>
      <c r="BK91" s="86"/>
      <c r="BL91" s="86"/>
      <c r="BM91" s="86"/>
      <c r="BN91" s="86"/>
      <c r="BO91" s="86"/>
      <c r="BP91" s="86"/>
      <c r="BQ91" s="86"/>
      <c r="BR91" s="86"/>
      <c r="BS91" s="86"/>
      <c r="BT91" s="86"/>
      <c r="BU91" s="86"/>
      <c r="BV91" s="86"/>
      <c r="BW91" s="86"/>
      <c r="BX91" s="86"/>
      <c r="BY91" s="86"/>
      <c r="BZ91" s="617"/>
    </row>
    <row r="92" spans="2:78" ht="17.100000000000001" customHeight="1" x14ac:dyDescent="0.25">
      <c r="B92" s="617"/>
      <c r="C92" s="86"/>
      <c r="D92" s="86"/>
      <c r="E92" s="86"/>
      <c r="F92" s="86"/>
      <c r="G92" s="86"/>
      <c r="H92" s="86"/>
      <c r="I92" s="86"/>
      <c r="J92" s="86"/>
      <c r="K92" s="86"/>
      <c r="L92" s="86"/>
      <c r="M92" s="86"/>
      <c r="N92" s="86"/>
      <c r="O92" s="86"/>
      <c r="P92" s="86"/>
      <c r="Q92" s="86"/>
      <c r="R92" s="86"/>
      <c r="S92" s="86"/>
      <c r="T92" s="86"/>
      <c r="U92" s="86"/>
      <c r="V92" s="617"/>
      <c r="W92" s="3179"/>
      <c r="X92" s="3179"/>
      <c r="Y92" s="3179"/>
      <c r="Z92" s="3179"/>
      <c r="AA92" s="3179"/>
      <c r="AB92" s="3179"/>
      <c r="AC92" s="3179"/>
      <c r="AD92" s="3179"/>
      <c r="AE92" s="3179"/>
      <c r="AF92" s="3179"/>
      <c r="AG92" s="3179"/>
      <c r="AH92" s="3179"/>
      <c r="AI92" s="3179"/>
      <c r="AJ92" s="3179"/>
      <c r="AK92" s="3179"/>
      <c r="AL92" s="3179"/>
      <c r="AM92" s="3179"/>
      <c r="AN92" s="3181" t="s">
        <v>525</v>
      </c>
      <c r="AO92" s="3180"/>
      <c r="AP92" s="3180"/>
      <c r="AQ92" s="3180"/>
      <c r="AR92" s="3180"/>
      <c r="AS92" s="3180"/>
      <c r="AT92" s="3180"/>
      <c r="AU92" s="3180"/>
      <c r="AV92" s="3180"/>
      <c r="AW92" s="3180"/>
      <c r="AX92" s="3180"/>
      <c r="AY92" s="3180"/>
      <c r="AZ92" s="3180"/>
      <c r="BA92" s="3180"/>
      <c r="BB92" s="3180"/>
      <c r="BC92" s="3180"/>
      <c r="BD92" s="3180"/>
      <c r="BE92" s="3180"/>
      <c r="BF92" s="3181" t="s">
        <v>525</v>
      </c>
      <c r="BG92" s="86"/>
      <c r="BH92" s="86"/>
      <c r="BI92" s="86"/>
      <c r="BJ92" s="86"/>
      <c r="BK92" s="86"/>
      <c r="BL92" s="86"/>
      <c r="BM92" s="86"/>
      <c r="BN92" s="86"/>
      <c r="BO92" s="86"/>
      <c r="BP92" s="86"/>
      <c r="BQ92" s="86"/>
      <c r="BR92" s="86"/>
      <c r="BS92" s="86"/>
      <c r="BT92" s="86"/>
      <c r="BU92" s="86"/>
      <c r="BV92" s="86"/>
      <c r="BW92" s="86"/>
      <c r="BX92" s="86"/>
      <c r="BY92" s="86"/>
      <c r="BZ92" s="617"/>
    </row>
    <row r="93" spans="2:78" ht="17.100000000000001" customHeight="1" x14ac:dyDescent="0.25">
      <c r="B93" s="617"/>
      <c r="C93" s="86"/>
      <c r="D93" s="86"/>
      <c r="E93" s="86"/>
      <c r="F93" s="86"/>
      <c r="G93" s="86"/>
      <c r="H93" s="86"/>
      <c r="I93" s="86"/>
      <c r="J93" s="86"/>
      <c r="K93" s="86"/>
      <c r="L93" s="86"/>
      <c r="M93" s="86"/>
      <c r="N93" s="86"/>
      <c r="O93" s="86"/>
      <c r="P93" s="86"/>
      <c r="Q93" s="86"/>
      <c r="R93" s="86"/>
      <c r="S93" s="86"/>
      <c r="T93" s="86"/>
      <c r="U93" s="86"/>
      <c r="V93" s="617"/>
      <c r="W93" s="3179"/>
      <c r="X93" s="3179"/>
      <c r="Y93" s="3179"/>
      <c r="Z93" s="3179"/>
      <c r="AA93" s="3179"/>
      <c r="AB93" s="3179"/>
      <c r="AC93" s="3179"/>
      <c r="AD93" s="3179"/>
      <c r="AE93" s="3179"/>
      <c r="AF93" s="3179"/>
      <c r="AG93" s="3179"/>
      <c r="AH93" s="3179"/>
      <c r="AI93" s="3179"/>
      <c r="AJ93" s="3179"/>
      <c r="AK93" s="3179"/>
      <c r="AL93" s="3179"/>
      <c r="AM93" s="3179"/>
      <c r="AN93" s="3181" t="s">
        <v>525</v>
      </c>
      <c r="AO93" s="3180"/>
      <c r="AP93" s="3180"/>
      <c r="AQ93" s="3180"/>
      <c r="AR93" s="3180"/>
      <c r="AS93" s="3180"/>
      <c r="AT93" s="3180"/>
      <c r="AU93" s="3180"/>
      <c r="AV93" s="3180"/>
      <c r="AW93" s="3180"/>
      <c r="AX93" s="3180"/>
      <c r="AY93" s="3180"/>
      <c r="AZ93" s="3180"/>
      <c r="BA93" s="3180"/>
      <c r="BB93" s="3180"/>
      <c r="BC93" s="3180"/>
      <c r="BD93" s="3180"/>
      <c r="BE93" s="3180"/>
      <c r="BF93" s="3181" t="s">
        <v>525</v>
      </c>
      <c r="BG93" s="86"/>
      <c r="BH93" s="86"/>
      <c r="BI93" s="86"/>
      <c r="BJ93" s="86"/>
      <c r="BK93" s="86"/>
      <c r="BL93" s="86"/>
      <c r="BM93" s="86"/>
      <c r="BN93" s="86"/>
      <c r="BO93" s="86"/>
      <c r="BP93" s="86"/>
      <c r="BQ93" s="86"/>
      <c r="BR93" s="86"/>
      <c r="BS93" s="86"/>
      <c r="BT93" s="86"/>
      <c r="BU93" s="86"/>
      <c r="BV93" s="86"/>
      <c r="BW93" s="86"/>
      <c r="BX93" s="86"/>
      <c r="BY93" s="86"/>
      <c r="BZ93" s="617"/>
    </row>
    <row r="94" spans="2:78" ht="17.100000000000001" customHeight="1" x14ac:dyDescent="0.25">
      <c r="B94" s="617"/>
      <c r="C94" s="86"/>
      <c r="D94" s="86"/>
      <c r="E94" s="86"/>
      <c r="F94" s="86"/>
      <c r="G94" s="86"/>
      <c r="H94" s="86"/>
      <c r="I94" s="86"/>
      <c r="J94" s="86"/>
      <c r="K94" s="86"/>
      <c r="L94" s="86"/>
      <c r="M94" s="86"/>
      <c r="N94" s="86"/>
      <c r="O94" s="86"/>
      <c r="P94" s="86"/>
      <c r="Q94" s="86"/>
      <c r="R94" s="86"/>
      <c r="S94" s="86"/>
      <c r="T94" s="86"/>
      <c r="U94" s="86"/>
      <c r="V94" s="617"/>
      <c r="W94" s="3179"/>
      <c r="X94" s="3179"/>
      <c r="Y94" s="3179"/>
      <c r="Z94" s="3179"/>
      <c r="AA94" s="3179"/>
      <c r="AB94" s="3179"/>
      <c r="AC94" s="3179"/>
      <c r="AD94" s="3179"/>
      <c r="AE94" s="3179"/>
      <c r="AF94" s="3179"/>
      <c r="AG94" s="3179"/>
      <c r="AH94" s="3179"/>
      <c r="AI94" s="3179"/>
      <c r="AJ94" s="3179"/>
      <c r="AK94" s="3179"/>
      <c r="AL94" s="3179"/>
      <c r="AM94" s="3179"/>
      <c r="AN94" s="3181" t="s">
        <v>525</v>
      </c>
      <c r="AO94" s="3180"/>
      <c r="AP94" s="3180"/>
      <c r="AQ94" s="3180"/>
      <c r="AR94" s="3180"/>
      <c r="AS94" s="3180"/>
      <c r="AT94" s="3180"/>
      <c r="AU94" s="3180"/>
      <c r="AV94" s="3180"/>
      <c r="AW94" s="3180"/>
      <c r="AX94" s="3180"/>
      <c r="AY94" s="3180"/>
      <c r="AZ94" s="3180"/>
      <c r="BA94" s="3180"/>
      <c r="BB94" s="3180"/>
      <c r="BC94" s="3180"/>
      <c r="BD94" s="3180"/>
      <c r="BE94" s="3180"/>
      <c r="BF94" s="3181" t="s">
        <v>525</v>
      </c>
      <c r="BG94" s="86"/>
      <c r="BH94" s="86"/>
      <c r="BI94" s="86"/>
      <c r="BJ94" s="86"/>
      <c r="BK94" s="86"/>
      <c r="BL94" s="86"/>
      <c r="BM94" s="86"/>
      <c r="BN94" s="86"/>
      <c r="BO94" s="86"/>
      <c r="BP94" s="86"/>
      <c r="BQ94" s="86"/>
      <c r="BR94" s="86"/>
      <c r="BS94" s="86"/>
      <c r="BT94" s="86"/>
      <c r="BU94" s="86"/>
      <c r="BV94" s="86"/>
      <c r="BW94" s="86"/>
      <c r="BX94" s="86"/>
      <c r="BY94" s="86"/>
      <c r="BZ94" s="617"/>
    </row>
    <row r="95" spans="2:78" ht="17.100000000000001" customHeight="1" x14ac:dyDescent="0.25">
      <c r="B95" s="617"/>
      <c r="C95" s="86"/>
      <c r="D95" s="86"/>
      <c r="E95" s="86"/>
      <c r="F95" s="86"/>
      <c r="G95" s="86"/>
      <c r="H95" s="86"/>
      <c r="I95" s="86"/>
      <c r="J95" s="86"/>
      <c r="K95" s="86"/>
      <c r="L95" s="86"/>
      <c r="M95" s="86"/>
      <c r="N95" s="86"/>
      <c r="O95" s="86"/>
      <c r="P95" s="86"/>
      <c r="Q95" s="86"/>
      <c r="R95" s="86"/>
      <c r="S95" s="86"/>
      <c r="T95" s="86"/>
      <c r="U95" s="86"/>
      <c r="V95" s="617"/>
      <c r="W95" s="3179"/>
      <c r="X95" s="3179"/>
      <c r="Y95" s="3179"/>
      <c r="Z95" s="3179"/>
      <c r="AA95" s="3179"/>
      <c r="AB95" s="3179"/>
      <c r="AC95" s="3179"/>
      <c r="AD95" s="3179"/>
      <c r="AE95" s="3179"/>
      <c r="AF95" s="3179"/>
      <c r="AG95" s="3179"/>
      <c r="AH95" s="3179"/>
      <c r="AI95" s="3179"/>
      <c r="AJ95" s="3179"/>
      <c r="AK95" s="3179"/>
      <c r="AL95" s="3179"/>
      <c r="AM95" s="3179"/>
      <c r="AN95" s="3181" t="s">
        <v>525</v>
      </c>
      <c r="AO95" s="3180"/>
      <c r="AP95" s="3180"/>
      <c r="AQ95" s="3180"/>
      <c r="AR95" s="3180"/>
      <c r="AS95" s="3180"/>
      <c r="AT95" s="3180"/>
      <c r="AU95" s="3180"/>
      <c r="AV95" s="3180"/>
      <c r="AW95" s="3180"/>
      <c r="AX95" s="3180"/>
      <c r="AY95" s="3180"/>
      <c r="AZ95" s="3180"/>
      <c r="BA95" s="3180"/>
      <c r="BB95" s="3180"/>
      <c r="BC95" s="3180"/>
      <c r="BD95" s="3180"/>
      <c r="BE95" s="3180"/>
      <c r="BF95" s="3181" t="s">
        <v>525</v>
      </c>
      <c r="BG95" s="86"/>
      <c r="BH95" s="86"/>
      <c r="BI95" s="86"/>
      <c r="BJ95" s="86"/>
      <c r="BK95" s="86"/>
      <c r="BL95" s="86"/>
      <c r="BM95" s="86"/>
      <c r="BN95" s="86"/>
      <c r="BO95" s="86"/>
      <c r="BP95" s="86"/>
      <c r="BQ95" s="86"/>
      <c r="BR95" s="86"/>
      <c r="BS95" s="86"/>
      <c r="BT95" s="86"/>
      <c r="BU95" s="86"/>
      <c r="BV95" s="86"/>
      <c r="BW95" s="86"/>
      <c r="BX95" s="86"/>
      <c r="BY95" s="86"/>
      <c r="BZ95" s="617"/>
    </row>
    <row r="96" spans="2:78" ht="17.100000000000001" customHeight="1" x14ac:dyDescent="0.25">
      <c r="B96" s="617"/>
      <c r="C96" s="86"/>
      <c r="D96" s="86"/>
      <c r="E96" s="86"/>
      <c r="F96" s="86"/>
      <c r="G96" s="86"/>
      <c r="H96" s="86"/>
      <c r="I96" s="86"/>
      <c r="J96" s="86"/>
      <c r="K96" s="86"/>
      <c r="L96" s="86"/>
      <c r="M96" s="86"/>
      <c r="N96" s="86"/>
      <c r="O96" s="86"/>
      <c r="P96" s="86"/>
      <c r="Q96" s="86"/>
      <c r="R96" s="86"/>
      <c r="S96" s="86"/>
      <c r="T96" s="86"/>
      <c r="U96" s="86"/>
      <c r="V96" s="617"/>
      <c r="W96" s="3179"/>
      <c r="X96" s="3179"/>
      <c r="Y96" s="3179"/>
      <c r="Z96" s="3179"/>
      <c r="AA96" s="3179"/>
      <c r="AB96" s="3179"/>
      <c r="AC96" s="3179"/>
      <c r="AD96" s="3179"/>
      <c r="AE96" s="3179"/>
      <c r="AF96" s="3179"/>
      <c r="AG96" s="3179"/>
      <c r="AH96" s="3179"/>
      <c r="AI96" s="3179"/>
      <c r="AJ96" s="3179"/>
      <c r="AK96" s="3179"/>
      <c r="AL96" s="3179"/>
      <c r="AM96" s="3179"/>
      <c r="AN96" s="3181" t="s">
        <v>525</v>
      </c>
      <c r="AO96" s="3180"/>
      <c r="AP96" s="3180"/>
      <c r="AQ96" s="3180"/>
      <c r="AR96" s="3180"/>
      <c r="AS96" s="3180"/>
      <c r="AT96" s="3180"/>
      <c r="AU96" s="3180"/>
      <c r="AV96" s="3180"/>
      <c r="AW96" s="3180"/>
      <c r="AX96" s="3180"/>
      <c r="AY96" s="3180"/>
      <c r="AZ96" s="3180"/>
      <c r="BA96" s="3180"/>
      <c r="BB96" s="3180"/>
      <c r="BC96" s="3180"/>
      <c r="BD96" s="3180"/>
      <c r="BE96" s="3180"/>
      <c r="BF96" s="3181" t="s">
        <v>525</v>
      </c>
      <c r="BG96" s="86"/>
      <c r="BH96" s="86"/>
      <c r="BI96" s="86"/>
      <c r="BJ96" s="86"/>
      <c r="BK96" s="86"/>
      <c r="BL96" s="86"/>
      <c r="BM96" s="86"/>
      <c r="BN96" s="86"/>
      <c r="BO96" s="86"/>
      <c r="BP96" s="86"/>
      <c r="BQ96" s="86"/>
      <c r="BR96" s="86"/>
      <c r="BS96" s="86"/>
      <c r="BT96" s="86"/>
      <c r="BU96" s="86"/>
      <c r="BV96" s="86"/>
      <c r="BW96" s="86"/>
      <c r="BX96" s="86"/>
      <c r="BY96" s="86"/>
      <c r="BZ96" s="617"/>
    </row>
    <row r="97" spans="2:78" ht="17.100000000000001" customHeight="1" x14ac:dyDescent="0.25">
      <c r="B97" s="617"/>
      <c r="C97" s="86"/>
      <c r="D97" s="86"/>
      <c r="E97" s="86"/>
      <c r="F97" s="86"/>
      <c r="G97" s="86"/>
      <c r="H97" s="86"/>
      <c r="I97" s="86"/>
      <c r="J97" s="86"/>
      <c r="K97" s="86"/>
      <c r="L97" s="86"/>
      <c r="M97" s="86"/>
      <c r="N97" s="86"/>
      <c r="O97" s="86"/>
      <c r="P97" s="86"/>
      <c r="Q97" s="86"/>
      <c r="R97" s="86"/>
      <c r="S97" s="86"/>
      <c r="T97" s="86"/>
      <c r="U97" s="86"/>
      <c r="V97" s="617"/>
      <c r="W97" s="3179"/>
      <c r="X97" s="3179"/>
      <c r="Y97" s="3179"/>
      <c r="Z97" s="3179"/>
      <c r="AA97" s="3179"/>
      <c r="AB97" s="3179"/>
      <c r="AC97" s="3179"/>
      <c r="AD97" s="3179"/>
      <c r="AE97" s="3179"/>
      <c r="AF97" s="3179"/>
      <c r="AG97" s="3179"/>
      <c r="AH97" s="3179"/>
      <c r="AI97" s="3179"/>
      <c r="AJ97" s="3179"/>
      <c r="AK97" s="3179"/>
      <c r="AL97" s="3179"/>
      <c r="AM97" s="3179"/>
      <c r="AN97" s="3181" t="s">
        <v>525</v>
      </c>
      <c r="AO97" s="3180"/>
      <c r="AP97" s="3180"/>
      <c r="AQ97" s="3180"/>
      <c r="AR97" s="3180"/>
      <c r="AS97" s="3180"/>
      <c r="AT97" s="3180"/>
      <c r="AU97" s="3180"/>
      <c r="AV97" s="3180"/>
      <c r="AW97" s="3180"/>
      <c r="AX97" s="3180"/>
      <c r="AY97" s="3180"/>
      <c r="AZ97" s="3180"/>
      <c r="BA97" s="3180"/>
      <c r="BB97" s="3180"/>
      <c r="BC97" s="3180"/>
      <c r="BD97" s="3180"/>
      <c r="BE97" s="3180"/>
      <c r="BF97" s="3181" t="s">
        <v>525</v>
      </c>
      <c r="BG97" s="86"/>
      <c r="BH97" s="86"/>
      <c r="BI97" s="86"/>
      <c r="BJ97" s="86"/>
      <c r="BK97" s="86"/>
      <c r="BL97" s="86"/>
      <c r="BM97" s="86"/>
      <c r="BN97" s="86"/>
      <c r="BO97" s="86"/>
      <c r="BP97" s="86"/>
      <c r="BQ97" s="86"/>
      <c r="BR97" s="86"/>
      <c r="BS97" s="86"/>
      <c r="BT97" s="86"/>
      <c r="BU97" s="86"/>
      <c r="BV97" s="86"/>
      <c r="BW97" s="86"/>
      <c r="BX97" s="86"/>
      <c r="BY97" s="86"/>
      <c r="BZ97" s="617"/>
    </row>
    <row r="98" spans="2:78" ht="17.100000000000001" customHeight="1" x14ac:dyDescent="0.25">
      <c r="B98" s="617"/>
      <c r="C98" s="86"/>
      <c r="D98" s="86"/>
      <c r="E98" s="86"/>
      <c r="F98" s="86"/>
      <c r="G98" s="86"/>
      <c r="H98" s="86"/>
      <c r="I98" s="86"/>
      <c r="J98" s="86"/>
      <c r="K98" s="86"/>
      <c r="L98" s="86"/>
      <c r="M98" s="86"/>
      <c r="N98" s="86"/>
      <c r="O98" s="86"/>
      <c r="P98" s="86"/>
      <c r="Q98" s="86"/>
      <c r="R98" s="86"/>
      <c r="S98" s="86"/>
      <c r="T98" s="86"/>
      <c r="U98" s="86"/>
      <c r="V98" s="617"/>
      <c r="W98" s="3179"/>
      <c r="X98" s="3179"/>
      <c r="Y98" s="3179"/>
      <c r="Z98" s="3179"/>
      <c r="AA98" s="3179"/>
      <c r="AB98" s="3179"/>
      <c r="AC98" s="3179"/>
      <c r="AD98" s="3179"/>
      <c r="AE98" s="3179"/>
      <c r="AF98" s="3179"/>
      <c r="AG98" s="3179"/>
      <c r="AH98" s="3179"/>
      <c r="AI98" s="3179"/>
      <c r="AJ98" s="3179"/>
      <c r="AK98" s="3179"/>
      <c r="AL98" s="3179"/>
      <c r="AM98" s="3179"/>
      <c r="AN98" s="3181" t="s">
        <v>525</v>
      </c>
      <c r="AO98" s="3180"/>
      <c r="AP98" s="3180"/>
      <c r="AQ98" s="3180"/>
      <c r="AR98" s="3180"/>
      <c r="AS98" s="3180"/>
      <c r="AT98" s="3180"/>
      <c r="AU98" s="3180"/>
      <c r="AV98" s="3180"/>
      <c r="AW98" s="3180"/>
      <c r="AX98" s="3180"/>
      <c r="AY98" s="3180"/>
      <c r="AZ98" s="3180"/>
      <c r="BA98" s="3180"/>
      <c r="BB98" s="3180"/>
      <c r="BC98" s="3180"/>
      <c r="BD98" s="3180"/>
      <c r="BE98" s="3180"/>
      <c r="BF98" s="3181" t="s">
        <v>525</v>
      </c>
      <c r="BG98" s="86"/>
      <c r="BH98" s="86"/>
      <c r="BI98" s="86"/>
      <c r="BJ98" s="86"/>
      <c r="BK98" s="86"/>
      <c r="BL98" s="86"/>
      <c r="BM98" s="86"/>
      <c r="BN98" s="86"/>
      <c r="BO98" s="86"/>
      <c r="BP98" s="86"/>
      <c r="BQ98" s="86"/>
      <c r="BR98" s="86"/>
      <c r="BS98" s="86"/>
      <c r="BT98" s="86"/>
      <c r="BU98" s="86"/>
      <c r="BV98" s="86"/>
      <c r="BW98" s="86"/>
      <c r="BX98" s="86"/>
      <c r="BY98" s="86"/>
      <c r="BZ98" s="617"/>
    </row>
    <row r="99" spans="2:78" ht="17.100000000000001" customHeight="1" x14ac:dyDescent="0.25">
      <c r="B99" s="617"/>
      <c r="C99" s="86"/>
      <c r="D99" s="86"/>
      <c r="E99" s="86"/>
      <c r="F99" s="86"/>
      <c r="G99" s="86"/>
      <c r="H99" s="86"/>
      <c r="I99" s="86"/>
      <c r="J99" s="86"/>
      <c r="K99" s="86"/>
      <c r="L99" s="86"/>
      <c r="M99" s="86"/>
      <c r="N99" s="86"/>
      <c r="O99" s="86"/>
      <c r="P99" s="86"/>
      <c r="Q99" s="86"/>
      <c r="R99" s="86"/>
      <c r="S99" s="86"/>
      <c r="T99" s="86"/>
      <c r="U99" s="86"/>
      <c r="V99" s="617"/>
      <c r="W99" s="3179"/>
      <c r="X99" s="3179"/>
      <c r="Y99" s="3179"/>
      <c r="Z99" s="3179"/>
      <c r="AA99" s="3179"/>
      <c r="AB99" s="3179"/>
      <c r="AC99" s="3179"/>
      <c r="AD99" s="3179"/>
      <c r="AE99" s="3179"/>
      <c r="AF99" s="3179"/>
      <c r="AG99" s="3179"/>
      <c r="AH99" s="3179"/>
      <c r="AI99" s="3179"/>
      <c r="AJ99" s="3179"/>
      <c r="AK99" s="3179"/>
      <c r="AL99" s="3179"/>
      <c r="AM99" s="3179"/>
      <c r="AN99" s="3181" t="s">
        <v>525</v>
      </c>
      <c r="AO99" s="3180"/>
      <c r="AP99" s="3180"/>
      <c r="AQ99" s="3180"/>
      <c r="AR99" s="3180"/>
      <c r="AS99" s="3180"/>
      <c r="AT99" s="3180"/>
      <c r="AU99" s="3180"/>
      <c r="AV99" s="3180"/>
      <c r="AW99" s="3180"/>
      <c r="AX99" s="3180"/>
      <c r="AY99" s="3180"/>
      <c r="AZ99" s="3180"/>
      <c r="BA99" s="3180"/>
      <c r="BB99" s="3180"/>
      <c r="BC99" s="3180"/>
      <c r="BD99" s="3180"/>
      <c r="BE99" s="3180"/>
      <c r="BF99" s="3181" t="s">
        <v>525</v>
      </c>
      <c r="BG99" s="86"/>
      <c r="BH99" s="86"/>
      <c r="BI99" s="86"/>
      <c r="BJ99" s="86"/>
      <c r="BK99" s="86"/>
      <c r="BL99" s="86"/>
      <c r="BM99" s="86"/>
      <c r="BN99" s="86"/>
      <c r="BO99" s="86"/>
      <c r="BP99" s="86"/>
      <c r="BQ99" s="86"/>
      <c r="BR99" s="86"/>
      <c r="BS99" s="86"/>
      <c r="BT99" s="86"/>
      <c r="BU99" s="86"/>
      <c r="BV99" s="86"/>
      <c r="BW99" s="86"/>
      <c r="BX99" s="86"/>
      <c r="BY99" s="86"/>
      <c r="BZ99" s="617"/>
    </row>
    <row r="100" spans="2:78" ht="17.100000000000001" customHeight="1" x14ac:dyDescent="0.25">
      <c r="B100" s="617"/>
      <c r="C100" s="86"/>
      <c r="D100" s="86"/>
      <c r="E100" s="86"/>
      <c r="F100" s="86"/>
      <c r="G100" s="86"/>
      <c r="H100" s="86"/>
      <c r="I100" s="86"/>
      <c r="J100" s="86"/>
      <c r="K100" s="86"/>
      <c r="L100" s="86"/>
      <c r="M100" s="86"/>
      <c r="N100" s="86"/>
      <c r="O100" s="86"/>
      <c r="P100" s="86"/>
      <c r="Q100" s="86"/>
      <c r="R100" s="86"/>
      <c r="S100" s="86"/>
      <c r="T100" s="86"/>
      <c r="U100" s="86"/>
      <c r="V100" s="617"/>
      <c r="W100" s="3179"/>
      <c r="X100" s="3179"/>
      <c r="Y100" s="3179"/>
      <c r="Z100" s="3179"/>
      <c r="AA100" s="3179"/>
      <c r="AB100" s="3179"/>
      <c r="AC100" s="3179"/>
      <c r="AD100" s="3179"/>
      <c r="AE100" s="3179"/>
      <c r="AF100" s="3179"/>
      <c r="AG100" s="3179"/>
      <c r="AH100" s="3179"/>
      <c r="AI100" s="3179"/>
      <c r="AJ100" s="3179"/>
      <c r="AK100" s="3179"/>
      <c r="AL100" s="3179"/>
      <c r="AM100" s="3179"/>
      <c r="AN100" s="3181" t="s">
        <v>525</v>
      </c>
      <c r="AO100" s="3180"/>
      <c r="AP100" s="3180"/>
      <c r="AQ100" s="3180"/>
      <c r="AR100" s="3180"/>
      <c r="AS100" s="3180"/>
      <c r="AT100" s="3180"/>
      <c r="AU100" s="3180"/>
      <c r="AV100" s="3180"/>
      <c r="AW100" s="3180"/>
      <c r="AX100" s="3180"/>
      <c r="AY100" s="3180"/>
      <c r="AZ100" s="3180"/>
      <c r="BA100" s="3180"/>
      <c r="BB100" s="3180"/>
      <c r="BC100" s="3180"/>
      <c r="BD100" s="3180"/>
      <c r="BE100" s="3180"/>
      <c r="BF100" s="3181" t="s">
        <v>525</v>
      </c>
      <c r="BG100" s="86"/>
      <c r="BH100" s="86"/>
      <c r="BI100" s="86"/>
      <c r="BJ100" s="86"/>
      <c r="BK100" s="86"/>
      <c r="BL100" s="86"/>
      <c r="BM100" s="86"/>
      <c r="BN100" s="86"/>
      <c r="BO100" s="86"/>
      <c r="BP100" s="86"/>
      <c r="BQ100" s="86"/>
      <c r="BR100" s="86"/>
      <c r="BS100" s="86"/>
      <c r="BT100" s="86"/>
      <c r="BU100" s="86"/>
      <c r="BV100" s="86"/>
      <c r="BW100" s="86"/>
      <c r="BX100" s="86"/>
      <c r="BY100" s="86"/>
      <c r="BZ100" s="617"/>
    </row>
    <row r="101" spans="2:78" ht="17.100000000000001" customHeight="1" x14ac:dyDescent="0.25">
      <c r="B101" s="617"/>
      <c r="C101" s="86"/>
      <c r="D101" s="86"/>
      <c r="E101" s="86"/>
      <c r="F101" s="86"/>
      <c r="G101" s="86"/>
      <c r="H101" s="86"/>
      <c r="I101" s="86"/>
      <c r="J101" s="86"/>
      <c r="K101" s="86"/>
      <c r="L101" s="86"/>
      <c r="M101" s="86"/>
      <c r="N101" s="86"/>
      <c r="O101" s="86"/>
      <c r="P101" s="86"/>
      <c r="Q101" s="86"/>
      <c r="R101" s="86"/>
      <c r="S101" s="86"/>
      <c r="T101" s="86"/>
      <c r="U101" s="86"/>
      <c r="V101" s="617"/>
      <c r="W101" s="3179"/>
      <c r="X101" s="3179"/>
      <c r="Y101" s="3179"/>
      <c r="Z101" s="3179"/>
      <c r="AA101" s="3179"/>
      <c r="AB101" s="3179"/>
      <c r="AC101" s="3179"/>
      <c r="AD101" s="3179"/>
      <c r="AE101" s="3179"/>
      <c r="AF101" s="3179"/>
      <c r="AG101" s="3179"/>
      <c r="AH101" s="3179"/>
      <c r="AI101" s="3179"/>
      <c r="AJ101" s="3179"/>
      <c r="AK101" s="3179"/>
      <c r="AL101" s="3179"/>
      <c r="AM101" s="3179"/>
      <c r="AN101" s="3181" t="s">
        <v>525</v>
      </c>
      <c r="AO101" s="3180"/>
      <c r="AP101" s="3180"/>
      <c r="AQ101" s="3180"/>
      <c r="AR101" s="3180"/>
      <c r="AS101" s="3180"/>
      <c r="AT101" s="3180"/>
      <c r="AU101" s="3180"/>
      <c r="AV101" s="3180"/>
      <c r="AW101" s="3180"/>
      <c r="AX101" s="3180"/>
      <c r="AY101" s="3180"/>
      <c r="AZ101" s="3180"/>
      <c r="BA101" s="3180"/>
      <c r="BB101" s="3180"/>
      <c r="BC101" s="3180"/>
      <c r="BD101" s="3180"/>
      <c r="BE101" s="3180"/>
      <c r="BF101" s="3181" t="s">
        <v>525</v>
      </c>
      <c r="BG101" s="86"/>
      <c r="BH101" s="86"/>
      <c r="BI101" s="86"/>
      <c r="BJ101" s="86"/>
      <c r="BK101" s="86"/>
      <c r="BL101" s="86"/>
      <c r="BM101" s="86"/>
      <c r="BN101" s="86"/>
      <c r="BO101" s="86"/>
      <c r="BP101" s="86"/>
      <c r="BQ101" s="86"/>
      <c r="BR101" s="86"/>
      <c r="BS101" s="86"/>
      <c r="BT101" s="86"/>
      <c r="BU101" s="86"/>
      <c r="BV101" s="86"/>
      <c r="BW101" s="86"/>
      <c r="BX101" s="86"/>
      <c r="BY101" s="86"/>
      <c r="BZ101" s="617"/>
    </row>
    <row r="102" spans="2:78" ht="17.100000000000001" customHeight="1" x14ac:dyDescent="0.25">
      <c r="B102" s="617"/>
      <c r="C102" s="86"/>
      <c r="D102" s="86"/>
      <c r="E102" s="86"/>
      <c r="F102" s="86"/>
      <c r="G102" s="86"/>
      <c r="H102" s="86"/>
      <c r="I102" s="86"/>
      <c r="J102" s="86"/>
      <c r="K102" s="86"/>
      <c r="L102" s="86"/>
      <c r="M102" s="86"/>
      <c r="N102" s="86"/>
      <c r="O102" s="86"/>
      <c r="P102" s="86"/>
      <c r="Q102" s="86"/>
      <c r="R102" s="86"/>
      <c r="S102" s="86"/>
      <c r="T102" s="86"/>
      <c r="U102" s="86"/>
      <c r="V102" s="617"/>
      <c r="W102" s="3179"/>
      <c r="X102" s="3179"/>
      <c r="Y102" s="3179"/>
      <c r="Z102" s="3179"/>
      <c r="AA102" s="3179"/>
      <c r="AB102" s="3179"/>
      <c r="AC102" s="3179"/>
      <c r="AD102" s="3179"/>
      <c r="AE102" s="3179"/>
      <c r="AF102" s="3179"/>
      <c r="AG102" s="3179"/>
      <c r="AH102" s="3179"/>
      <c r="AI102" s="3179"/>
      <c r="AJ102" s="3179"/>
      <c r="AK102" s="3179"/>
      <c r="AL102" s="3179"/>
      <c r="AM102" s="3179"/>
      <c r="AN102" s="3181" t="s">
        <v>525</v>
      </c>
      <c r="AO102" s="3180"/>
      <c r="AP102" s="3180"/>
      <c r="AQ102" s="3180"/>
      <c r="AR102" s="3180"/>
      <c r="AS102" s="3180"/>
      <c r="AT102" s="3180"/>
      <c r="AU102" s="3180"/>
      <c r="AV102" s="3180"/>
      <c r="AW102" s="3180"/>
      <c r="AX102" s="3180"/>
      <c r="AY102" s="3180"/>
      <c r="AZ102" s="3180"/>
      <c r="BA102" s="3180"/>
      <c r="BB102" s="3180"/>
      <c r="BC102" s="3180"/>
      <c r="BD102" s="3180"/>
      <c r="BE102" s="3180"/>
      <c r="BF102" s="3181" t="s">
        <v>525</v>
      </c>
      <c r="BG102" s="86"/>
      <c r="BH102" s="86"/>
      <c r="BI102" s="86"/>
      <c r="BJ102" s="86"/>
      <c r="BK102" s="86"/>
      <c r="BL102" s="86"/>
      <c r="BM102" s="86"/>
      <c r="BN102" s="86"/>
      <c r="BO102" s="86"/>
      <c r="BP102" s="86"/>
      <c r="BQ102" s="86"/>
      <c r="BR102" s="86"/>
      <c r="BS102" s="86"/>
      <c r="BT102" s="86"/>
      <c r="BU102" s="86"/>
      <c r="BV102" s="86"/>
      <c r="BW102" s="86"/>
      <c r="BX102" s="86"/>
      <c r="BY102" s="86"/>
      <c r="BZ102" s="617"/>
    </row>
    <row r="103" spans="2:78" ht="17.100000000000001" customHeight="1" x14ac:dyDescent="0.25">
      <c r="B103" s="617"/>
      <c r="C103" s="86"/>
      <c r="D103" s="86"/>
      <c r="E103" s="86"/>
      <c r="F103" s="86"/>
      <c r="G103" s="86"/>
      <c r="H103" s="86"/>
      <c r="I103" s="86"/>
      <c r="J103" s="86"/>
      <c r="K103" s="86"/>
      <c r="L103" s="86"/>
      <c r="M103" s="86"/>
      <c r="N103" s="86"/>
      <c r="O103" s="86"/>
      <c r="P103" s="86"/>
      <c r="Q103" s="86"/>
      <c r="R103" s="86"/>
      <c r="S103" s="86"/>
      <c r="T103" s="86"/>
      <c r="U103" s="86"/>
      <c r="V103" s="617"/>
      <c r="W103" s="3179"/>
      <c r="X103" s="3179"/>
      <c r="Y103" s="3179"/>
      <c r="Z103" s="3179"/>
      <c r="AA103" s="3179"/>
      <c r="AB103" s="3179"/>
      <c r="AC103" s="3179"/>
      <c r="AD103" s="3179"/>
      <c r="AE103" s="3179"/>
      <c r="AF103" s="3179"/>
      <c r="AG103" s="3179"/>
      <c r="AH103" s="3179"/>
      <c r="AI103" s="3179"/>
      <c r="AJ103" s="3179"/>
      <c r="AK103" s="3179"/>
      <c r="AL103" s="3179"/>
      <c r="AM103" s="3179"/>
      <c r="AN103" s="3181" t="s">
        <v>525</v>
      </c>
      <c r="AO103" s="3180"/>
      <c r="AP103" s="3180"/>
      <c r="AQ103" s="3180"/>
      <c r="AR103" s="3180"/>
      <c r="AS103" s="3180"/>
      <c r="AT103" s="3180"/>
      <c r="AU103" s="3180"/>
      <c r="AV103" s="3180"/>
      <c r="AW103" s="3180"/>
      <c r="AX103" s="3180"/>
      <c r="AY103" s="3180"/>
      <c r="AZ103" s="3180"/>
      <c r="BA103" s="3180"/>
      <c r="BB103" s="3180"/>
      <c r="BC103" s="3180"/>
      <c r="BD103" s="3180"/>
      <c r="BE103" s="3180"/>
      <c r="BF103" s="3181" t="s">
        <v>525</v>
      </c>
      <c r="BG103" s="86"/>
      <c r="BH103" s="86"/>
      <c r="BI103" s="86"/>
      <c r="BJ103" s="86"/>
      <c r="BK103" s="86"/>
      <c r="BL103" s="86"/>
      <c r="BM103" s="86"/>
      <c r="BN103" s="86"/>
      <c r="BO103" s="86"/>
      <c r="BP103" s="86"/>
      <c r="BQ103" s="86"/>
      <c r="BR103" s="86"/>
      <c r="BS103" s="86"/>
      <c r="BT103" s="86"/>
      <c r="BU103" s="86"/>
      <c r="BV103" s="86"/>
      <c r="BW103" s="86"/>
      <c r="BX103" s="86"/>
      <c r="BY103" s="86"/>
      <c r="BZ103" s="617"/>
    </row>
    <row r="104" spans="2:78" ht="17.100000000000001" customHeight="1" x14ac:dyDescent="0.25">
      <c r="B104" s="617"/>
      <c r="C104" s="86"/>
      <c r="D104" s="86"/>
      <c r="E104" s="86"/>
      <c r="F104" s="86"/>
      <c r="G104" s="86"/>
      <c r="H104" s="86"/>
      <c r="I104" s="86"/>
      <c r="J104" s="86"/>
      <c r="K104" s="86"/>
      <c r="L104" s="86"/>
      <c r="M104" s="86"/>
      <c r="N104" s="86"/>
      <c r="O104" s="86"/>
      <c r="P104" s="86"/>
      <c r="Q104" s="86"/>
      <c r="R104" s="86"/>
      <c r="S104" s="86"/>
      <c r="T104" s="86"/>
      <c r="U104" s="86"/>
      <c r="V104" s="617"/>
      <c r="W104" s="3179"/>
      <c r="X104" s="3179"/>
      <c r="Y104" s="3179"/>
      <c r="Z104" s="3179"/>
      <c r="AA104" s="3179"/>
      <c r="AB104" s="3179"/>
      <c r="AC104" s="3179"/>
      <c r="AD104" s="3179"/>
      <c r="AE104" s="3179"/>
      <c r="AF104" s="3179"/>
      <c r="AG104" s="3179"/>
      <c r="AH104" s="3179"/>
      <c r="AI104" s="3179"/>
      <c r="AJ104" s="3179"/>
      <c r="AK104" s="3179"/>
      <c r="AL104" s="3179"/>
      <c r="AM104" s="3179"/>
      <c r="AN104" s="3181" t="s">
        <v>525</v>
      </c>
      <c r="AO104" s="3180"/>
      <c r="AP104" s="3180"/>
      <c r="AQ104" s="3180"/>
      <c r="AR104" s="3180"/>
      <c r="AS104" s="3180"/>
      <c r="AT104" s="3180"/>
      <c r="AU104" s="3180"/>
      <c r="AV104" s="3180"/>
      <c r="AW104" s="3180"/>
      <c r="AX104" s="3180"/>
      <c r="AY104" s="3180"/>
      <c r="AZ104" s="3180"/>
      <c r="BA104" s="3180"/>
      <c r="BB104" s="3180"/>
      <c r="BC104" s="3180"/>
      <c r="BD104" s="3180"/>
      <c r="BE104" s="3180"/>
      <c r="BF104" s="3181" t="s">
        <v>525</v>
      </c>
      <c r="BG104" s="86"/>
      <c r="BH104" s="86"/>
      <c r="BI104" s="86"/>
      <c r="BJ104" s="86"/>
      <c r="BK104" s="86"/>
      <c r="BL104" s="86"/>
      <c r="BM104" s="86"/>
      <c r="BN104" s="86"/>
      <c r="BO104" s="86"/>
      <c r="BP104" s="86"/>
      <c r="BQ104" s="86"/>
      <c r="BR104" s="86"/>
      <c r="BS104" s="86"/>
      <c r="BT104" s="86"/>
      <c r="BU104" s="86"/>
      <c r="BV104" s="86"/>
      <c r="BW104" s="86"/>
      <c r="BX104" s="86"/>
      <c r="BY104" s="86"/>
      <c r="BZ104" s="617"/>
    </row>
    <row r="105" spans="2:78" ht="17.100000000000001" customHeight="1" x14ac:dyDescent="0.25">
      <c r="B105" s="617"/>
      <c r="C105" s="86"/>
      <c r="D105" s="86"/>
      <c r="E105" s="86"/>
      <c r="F105" s="86"/>
      <c r="G105" s="86"/>
      <c r="H105" s="86"/>
      <c r="I105" s="86"/>
      <c r="J105" s="86"/>
      <c r="K105" s="86"/>
      <c r="L105" s="86"/>
      <c r="M105" s="86"/>
      <c r="N105" s="86"/>
      <c r="O105" s="86"/>
      <c r="P105" s="86"/>
      <c r="Q105" s="86"/>
      <c r="R105" s="86"/>
      <c r="S105" s="86"/>
      <c r="T105" s="86"/>
      <c r="U105" s="86"/>
      <c r="V105" s="617"/>
      <c r="W105" s="3179"/>
      <c r="X105" s="3179"/>
      <c r="Y105" s="3179"/>
      <c r="Z105" s="3179"/>
      <c r="AA105" s="3179"/>
      <c r="AB105" s="3179"/>
      <c r="AC105" s="3179"/>
      <c r="AD105" s="3179"/>
      <c r="AE105" s="3179"/>
      <c r="AF105" s="3179"/>
      <c r="AG105" s="3179"/>
      <c r="AH105" s="3179"/>
      <c r="AI105" s="3179"/>
      <c r="AJ105" s="3179"/>
      <c r="AK105" s="3179"/>
      <c r="AL105" s="3179"/>
      <c r="AM105" s="3179"/>
      <c r="AN105" s="3181" t="s">
        <v>525</v>
      </c>
      <c r="AO105" s="3180"/>
      <c r="AP105" s="3180"/>
      <c r="AQ105" s="3180"/>
      <c r="AR105" s="3180"/>
      <c r="AS105" s="3180"/>
      <c r="AT105" s="3180"/>
      <c r="AU105" s="3180"/>
      <c r="AV105" s="3180"/>
      <c r="AW105" s="3180"/>
      <c r="AX105" s="3180"/>
      <c r="AY105" s="3180"/>
      <c r="AZ105" s="3180"/>
      <c r="BA105" s="3180"/>
      <c r="BB105" s="3180"/>
      <c r="BC105" s="3180"/>
      <c r="BD105" s="3180"/>
      <c r="BE105" s="3180"/>
      <c r="BF105" s="3181" t="s">
        <v>525</v>
      </c>
      <c r="BG105" s="86"/>
      <c r="BH105" s="86"/>
      <c r="BI105" s="86"/>
      <c r="BJ105" s="86"/>
      <c r="BK105" s="86"/>
      <c r="BL105" s="86"/>
      <c r="BM105" s="86"/>
      <c r="BN105" s="86"/>
      <c r="BO105" s="86"/>
      <c r="BP105" s="86"/>
      <c r="BQ105" s="86"/>
      <c r="BR105" s="86"/>
      <c r="BS105" s="86"/>
      <c r="BT105" s="86"/>
      <c r="BU105" s="86"/>
      <c r="BV105" s="86"/>
      <c r="BW105" s="86"/>
      <c r="BX105" s="86"/>
      <c r="BY105" s="86"/>
      <c r="BZ105" s="617"/>
    </row>
    <row r="106" spans="2:78" ht="17.100000000000001" customHeight="1" x14ac:dyDescent="0.25">
      <c r="B106" s="617"/>
      <c r="C106" s="86"/>
      <c r="D106" s="86"/>
      <c r="E106" s="86"/>
      <c r="F106" s="86"/>
      <c r="G106" s="86"/>
      <c r="H106" s="86"/>
      <c r="I106" s="86"/>
      <c r="J106" s="86"/>
      <c r="K106" s="86"/>
      <c r="L106" s="86"/>
      <c r="M106" s="86"/>
      <c r="N106" s="86"/>
      <c r="O106" s="86"/>
      <c r="P106" s="86"/>
      <c r="Q106" s="86"/>
      <c r="R106" s="86"/>
      <c r="S106" s="86"/>
      <c r="T106" s="86"/>
      <c r="U106" s="86"/>
      <c r="V106" s="617"/>
      <c r="W106" s="3179"/>
      <c r="X106" s="3179"/>
      <c r="Y106" s="3179"/>
      <c r="Z106" s="3179"/>
      <c r="AA106" s="3179"/>
      <c r="AB106" s="3179"/>
      <c r="AC106" s="3179"/>
      <c r="AD106" s="3179"/>
      <c r="AE106" s="3179"/>
      <c r="AF106" s="3179"/>
      <c r="AG106" s="3179"/>
      <c r="AH106" s="3179"/>
      <c r="AI106" s="3179"/>
      <c r="AJ106" s="3179"/>
      <c r="AK106" s="3179"/>
      <c r="AL106" s="3179"/>
      <c r="AM106" s="3179"/>
      <c r="AN106" s="3181" t="s">
        <v>525</v>
      </c>
      <c r="AO106" s="3180"/>
      <c r="AP106" s="3180"/>
      <c r="AQ106" s="3180"/>
      <c r="AR106" s="3180"/>
      <c r="AS106" s="3180"/>
      <c r="AT106" s="3180"/>
      <c r="AU106" s="3180"/>
      <c r="AV106" s="3180"/>
      <c r="AW106" s="3180"/>
      <c r="AX106" s="3180"/>
      <c r="AY106" s="3180"/>
      <c r="AZ106" s="3180"/>
      <c r="BA106" s="3180"/>
      <c r="BB106" s="3180"/>
      <c r="BC106" s="3180"/>
      <c r="BD106" s="3180"/>
      <c r="BE106" s="3180"/>
      <c r="BF106" s="3181" t="s">
        <v>525</v>
      </c>
      <c r="BG106" s="86"/>
      <c r="BH106" s="86"/>
      <c r="BI106" s="86"/>
      <c r="BJ106" s="86"/>
      <c r="BK106" s="86"/>
      <c r="BL106" s="86"/>
      <c r="BM106" s="86"/>
      <c r="BN106" s="86"/>
      <c r="BO106" s="86"/>
      <c r="BP106" s="86"/>
      <c r="BQ106" s="86"/>
      <c r="BR106" s="86"/>
      <c r="BS106" s="86"/>
      <c r="BT106" s="86"/>
      <c r="BU106" s="86"/>
      <c r="BV106" s="86"/>
      <c r="BW106" s="86"/>
      <c r="BX106" s="86"/>
      <c r="BY106" s="86"/>
      <c r="BZ106" s="617"/>
    </row>
    <row r="107" spans="2:78" ht="17.100000000000001" customHeight="1" x14ac:dyDescent="0.25">
      <c r="B107" s="617"/>
      <c r="C107" s="86"/>
      <c r="D107" s="86"/>
      <c r="E107" s="86"/>
      <c r="F107" s="86"/>
      <c r="G107" s="86"/>
      <c r="H107" s="86"/>
      <c r="I107" s="86"/>
      <c r="J107" s="86"/>
      <c r="K107" s="86"/>
      <c r="L107" s="86"/>
      <c r="M107" s="86"/>
      <c r="N107" s="86"/>
      <c r="O107" s="86"/>
      <c r="P107" s="86"/>
      <c r="Q107" s="86"/>
      <c r="R107" s="86"/>
      <c r="S107" s="86"/>
      <c r="T107" s="86"/>
      <c r="U107" s="86"/>
      <c r="V107" s="617"/>
      <c r="W107" s="3179"/>
      <c r="X107" s="3179"/>
      <c r="Y107" s="3179"/>
      <c r="Z107" s="3179"/>
      <c r="AA107" s="3179"/>
      <c r="AB107" s="3179"/>
      <c r="AC107" s="3179"/>
      <c r="AD107" s="3179"/>
      <c r="AE107" s="3179"/>
      <c r="AF107" s="3179"/>
      <c r="AG107" s="3179"/>
      <c r="AH107" s="3179"/>
      <c r="AI107" s="3179"/>
      <c r="AJ107" s="3179"/>
      <c r="AK107" s="3179"/>
      <c r="AL107" s="3179"/>
      <c r="AM107" s="3179"/>
      <c r="AN107" s="3181" t="s">
        <v>525</v>
      </c>
      <c r="AO107" s="3180"/>
      <c r="AP107" s="3180"/>
      <c r="AQ107" s="3180"/>
      <c r="AR107" s="3180"/>
      <c r="AS107" s="3180"/>
      <c r="AT107" s="3180"/>
      <c r="AU107" s="3180"/>
      <c r="AV107" s="3180"/>
      <c r="AW107" s="3180"/>
      <c r="AX107" s="3180"/>
      <c r="AY107" s="3180"/>
      <c r="AZ107" s="3180"/>
      <c r="BA107" s="3180"/>
      <c r="BB107" s="3180"/>
      <c r="BC107" s="3180"/>
      <c r="BD107" s="3180"/>
      <c r="BE107" s="3180"/>
      <c r="BF107" s="3181" t="s">
        <v>525</v>
      </c>
      <c r="BG107" s="86"/>
      <c r="BH107" s="86"/>
      <c r="BI107" s="86"/>
      <c r="BJ107" s="86"/>
      <c r="BK107" s="86"/>
      <c r="BL107" s="86"/>
      <c r="BM107" s="86"/>
      <c r="BN107" s="86"/>
      <c r="BO107" s="86"/>
      <c r="BP107" s="86"/>
      <c r="BQ107" s="86"/>
      <c r="BR107" s="86"/>
      <c r="BS107" s="86"/>
      <c r="BT107" s="86"/>
      <c r="BU107" s="86"/>
      <c r="BV107" s="86"/>
      <c r="BW107" s="86"/>
      <c r="BX107" s="86"/>
      <c r="BY107" s="86"/>
      <c r="BZ107" s="617"/>
    </row>
    <row r="108" spans="2:78" ht="17.100000000000001" customHeight="1" x14ac:dyDescent="0.25">
      <c r="B108" s="617"/>
      <c r="C108" s="86"/>
      <c r="D108" s="86"/>
      <c r="E108" s="86"/>
      <c r="F108" s="86"/>
      <c r="G108" s="86"/>
      <c r="H108" s="86"/>
      <c r="I108" s="86"/>
      <c r="J108" s="86"/>
      <c r="K108" s="86"/>
      <c r="L108" s="86"/>
      <c r="M108" s="86"/>
      <c r="N108" s="86"/>
      <c r="O108" s="86"/>
      <c r="P108" s="86"/>
      <c r="Q108" s="86"/>
      <c r="R108" s="86"/>
      <c r="S108" s="86"/>
      <c r="T108" s="86"/>
      <c r="U108" s="86"/>
      <c r="V108" s="617"/>
      <c r="W108" s="3179"/>
      <c r="X108" s="3179"/>
      <c r="Y108" s="3179"/>
      <c r="Z108" s="3179"/>
      <c r="AA108" s="3179"/>
      <c r="AB108" s="3179"/>
      <c r="AC108" s="3179"/>
      <c r="AD108" s="3179"/>
      <c r="AE108" s="3179"/>
      <c r="AF108" s="3179"/>
      <c r="AG108" s="3179"/>
      <c r="AH108" s="3179"/>
      <c r="AI108" s="3179"/>
      <c r="AJ108" s="3179"/>
      <c r="AK108" s="3179"/>
      <c r="AL108" s="3179"/>
      <c r="AM108" s="3179"/>
      <c r="AN108" s="3181" t="s">
        <v>525</v>
      </c>
      <c r="AO108" s="3180"/>
      <c r="AP108" s="3180"/>
      <c r="AQ108" s="3180"/>
      <c r="AR108" s="3180"/>
      <c r="AS108" s="3180"/>
      <c r="AT108" s="3180"/>
      <c r="AU108" s="3180"/>
      <c r="AV108" s="3180"/>
      <c r="AW108" s="3180"/>
      <c r="AX108" s="3180"/>
      <c r="AY108" s="3180"/>
      <c r="AZ108" s="3180"/>
      <c r="BA108" s="3180"/>
      <c r="BB108" s="3180"/>
      <c r="BC108" s="3180"/>
      <c r="BD108" s="3180"/>
      <c r="BE108" s="3180"/>
      <c r="BF108" s="3181" t="s">
        <v>525</v>
      </c>
      <c r="BG108" s="86"/>
      <c r="BH108" s="86"/>
      <c r="BI108" s="86"/>
      <c r="BJ108" s="86"/>
      <c r="BK108" s="86"/>
      <c r="BL108" s="86"/>
      <c r="BM108" s="86"/>
      <c r="BN108" s="86"/>
      <c r="BO108" s="86"/>
      <c r="BP108" s="86"/>
      <c r="BQ108" s="86"/>
      <c r="BR108" s="86"/>
      <c r="BS108" s="86"/>
      <c r="BT108" s="86"/>
      <c r="BU108" s="86"/>
      <c r="BV108" s="86"/>
      <c r="BW108" s="86"/>
      <c r="BX108" s="86"/>
      <c r="BY108" s="86"/>
      <c r="BZ108" s="617"/>
    </row>
    <row r="109" spans="2:78" ht="17.100000000000001" customHeight="1" x14ac:dyDescent="0.25">
      <c r="B109" s="617"/>
      <c r="C109" s="86"/>
      <c r="D109" s="86"/>
      <c r="E109" s="86"/>
      <c r="F109" s="86"/>
      <c r="G109" s="86"/>
      <c r="H109" s="86"/>
      <c r="I109" s="86"/>
      <c r="J109" s="86"/>
      <c r="K109" s="86"/>
      <c r="L109" s="86"/>
      <c r="M109" s="86"/>
      <c r="N109" s="86"/>
      <c r="O109" s="86"/>
      <c r="P109" s="86"/>
      <c r="Q109" s="86"/>
      <c r="R109" s="86"/>
      <c r="S109" s="86"/>
      <c r="T109" s="86"/>
      <c r="U109" s="86"/>
      <c r="V109" s="617"/>
      <c r="W109" s="3179"/>
      <c r="X109" s="3179"/>
      <c r="Y109" s="3179"/>
      <c r="Z109" s="3179"/>
      <c r="AA109" s="3179"/>
      <c r="AB109" s="3179"/>
      <c r="AC109" s="3179"/>
      <c r="AD109" s="3179"/>
      <c r="AE109" s="3179"/>
      <c r="AF109" s="3179"/>
      <c r="AG109" s="3179"/>
      <c r="AH109" s="3179"/>
      <c r="AI109" s="3179"/>
      <c r="AJ109" s="3179"/>
      <c r="AK109" s="3179"/>
      <c r="AL109" s="3179"/>
      <c r="AM109" s="3179"/>
      <c r="AN109" s="3181" t="s">
        <v>525</v>
      </c>
      <c r="AO109" s="3180"/>
      <c r="AP109" s="3180"/>
      <c r="AQ109" s="3180"/>
      <c r="AR109" s="3180"/>
      <c r="AS109" s="3180"/>
      <c r="AT109" s="3180"/>
      <c r="AU109" s="3180"/>
      <c r="AV109" s="3180"/>
      <c r="AW109" s="3180"/>
      <c r="AX109" s="3180"/>
      <c r="AY109" s="3180"/>
      <c r="AZ109" s="3180"/>
      <c r="BA109" s="3180"/>
      <c r="BB109" s="3180"/>
      <c r="BC109" s="3180"/>
      <c r="BD109" s="3180"/>
      <c r="BE109" s="3180"/>
      <c r="BF109" s="3181" t="s">
        <v>525</v>
      </c>
      <c r="BG109" s="86"/>
      <c r="BH109" s="86"/>
      <c r="BI109" s="86"/>
      <c r="BJ109" s="86"/>
      <c r="BK109" s="86"/>
      <c r="BL109" s="86"/>
      <c r="BM109" s="86"/>
      <c r="BN109" s="86"/>
      <c r="BO109" s="86"/>
      <c r="BP109" s="86"/>
      <c r="BQ109" s="86"/>
      <c r="BR109" s="86"/>
      <c r="BS109" s="86"/>
      <c r="BT109" s="86"/>
      <c r="BU109" s="86"/>
      <c r="BV109" s="86"/>
      <c r="BW109" s="86"/>
      <c r="BX109" s="86"/>
      <c r="BY109" s="86"/>
      <c r="BZ109" s="617"/>
    </row>
    <row r="110" spans="2:78" ht="17.100000000000001" customHeight="1" x14ac:dyDescent="0.25">
      <c r="B110" s="617"/>
      <c r="C110" s="86"/>
      <c r="D110" s="86"/>
      <c r="E110" s="86"/>
      <c r="F110" s="86"/>
      <c r="G110" s="86"/>
      <c r="H110" s="86"/>
      <c r="I110" s="86"/>
      <c r="J110" s="86"/>
      <c r="K110" s="86"/>
      <c r="L110" s="86"/>
      <c r="M110" s="86"/>
      <c r="N110" s="86"/>
      <c r="O110" s="86"/>
      <c r="P110" s="86"/>
      <c r="Q110" s="86"/>
      <c r="R110" s="86"/>
      <c r="S110" s="86"/>
      <c r="T110" s="86"/>
      <c r="U110" s="86"/>
      <c r="V110" s="617"/>
      <c r="W110" s="3179"/>
      <c r="X110" s="3179"/>
      <c r="Y110" s="3179"/>
      <c r="Z110" s="3179"/>
      <c r="AA110" s="3179"/>
      <c r="AB110" s="3179"/>
      <c r="AC110" s="3179"/>
      <c r="AD110" s="3179"/>
      <c r="AE110" s="3179"/>
      <c r="AF110" s="3179"/>
      <c r="AG110" s="3179"/>
      <c r="AH110" s="3179"/>
      <c r="AI110" s="3179"/>
      <c r="AJ110" s="3179"/>
      <c r="AK110" s="3179"/>
      <c r="AL110" s="3179"/>
      <c r="AM110" s="3179"/>
      <c r="AN110" s="3181" t="s">
        <v>525</v>
      </c>
      <c r="AO110" s="3180"/>
      <c r="AP110" s="3180"/>
      <c r="AQ110" s="3180"/>
      <c r="AR110" s="3180"/>
      <c r="AS110" s="3180"/>
      <c r="AT110" s="3180"/>
      <c r="AU110" s="3180"/>
      <c r="AV110" s="3180"/>
      <c r="AW110" s="3180"/>
      <c r="AX110" s="3180"/>
      <c r="AY110" s="3180"/>
      <c r="AZ110" s="3180"/>
      <c r="BA110" s="3180"/>
      <c r="BB110" s="3180"/>
      <c r="BC110" s="3180"/>
      <c r="BD110" s="3180"/>
      <c r="BE110" s="3180"/>
      <c r="BF110" s="3181" t="s">
        <v>525</v>
      </c>
      <c r="BG110" s="86"/>
      <c r="BH110" s="86"/>
      <c r="BI110" s="86"/>
      <c r="BJ110" s="86"/>
      <c r="BK110" s="86"/>
      <c r="BL110" s="86"/>
      <c r="BM110" s="86"/>
      <c r="BN110" s="86"/>
      <c r="BO110" s="86"/>
      <c r="BP110" s="86"/>
      <c r="BQ110" s="86"/>
      <c r="BR110" s="86"/>
      <c r="BS110" s="86"/>
      <c r="BT110" s="86"/>
      <c r="BU110" s="86"/>
      <c r="BV110" s="86"/>
      <c r="BW110" s="86"/>
      <c r="BX110" s="86"/>
      <c r="BY110" s="86"/>
      <c r="BZ110" s="617"/>
    </row>
    <row r="111" spans="2:78" ht="17.100000000000001" customHeight="1" x14ac:dyDescent="0.25">
      <c r="B111" s="617"/>
      <c r="C111" s="86"/>
      <c r="D111" s="86"/>
      <c r="E111" s="86"/>
      <c r="F111" s="86"/>
      <c r="G111" s="86"/>
      <c r="H111" s="86"/>
      <c r="I111" s="86"/>
      <c r="J111" s="86"/>
      <c r="K111" s="86"/>
      <c r="L111" s="86"/>
      <c r="M111" s="86"/>
      <c r="N111" s="86"/>
      <c r="O111" s="86"/>
      <c r="P111" s="86"/>
      <c r="Q111" s="86"/>
      <c r="R111" s="86"/>
      <c r="S111" s="86"/>
      <c r="T111" s="86"/>
      <c r="U111" s="86"/>
      <c r="V111" s="617"/>
      <c r="W111" s="3179"/>
      <c r="X111" s="3179"/>
      <c r="Y111" s="3179"/>
      <c r="Z111" s="3179"/>
      <c r="AA111" s="3179"/>
      <c r="AB111" s="3179"/>
      <c r="AC111" s="3179"/>
      <c r="AD111" s="3179"/>
      <c r="AE111" s="3179"/>
      <c r="AF111" s="3179"/>
      <c r="AG111" s="3179"/>
      <c r="AH111" s="3179"/>
      <c r="AI111" s="3179"/>
      <c r="AJ111" s="3179"/>
      <c r="AK111" s="3179"/>
      <c r="AL111" s="3179"/>
      <c r="AM111" s="3179"/>
      <c r="AN111" s="3181" t="s">
        <v>525</v>
      </c>
      <c r="AO111" s="3180"/>
      <c r="AP111" s="3180"/>
      <c r="AQ111" s="3180"/>
      <c r="AR111" s="3180"/>
      <c r="AS111" s="3180"/>
      <c r="AT111" s="3180"/>
      <c r="AU111" s="3180"/>
      <c r="AV111" s="3180"/>
      <c r="AW111" s="3180"/>
      <c r="AX111" s="3180"/>
      <c r="AY111" s="3180"/>
      <c r="AZ111" s="3180"/>
      <c r="BA111" s="3180"/>
      <c r="BB111" s="3180"/>
      <c r="BC111" s="3180"/>
      <c r="BD111" s="3180"/>
      <c r="BE111" s="3180"/>
      <c r="BF111" s="3181" t="s">
        <v>525</v>
      </c>
      <c r="BG111" s="86"/>
      <c r="BH111" s="86"/>
      <c r="BI111" s="86"/>
      <c r="BJ111" s="86"/>
      <c r="BK111" s="86"/>
      <c r="BL111" s="86"/>
      <c r="BM111" s="86"/>
      <c r="BN111" s="86"/>
      <c r="BO111" s="86"/>
      <c r="BP111" s="86"/>
      <c r="BQ111" s="86"/>
      <c r="BR111" s="86"/>
      <c r="BS111" s="86"/>
      <c r="BT111" s="86"/>
      <c r="BU111" s="86"/>
      <c r="BV111" s="86"/>
      <c r="BW111" s="86"/>
      <c r="BX111" s="86"/>
      <c r="BY111" s="86"/>
      <c r="BZ111" s="617"/>
    </row>
    <row r="112" spans="2:78" ht="17.100000000000001" customHeight="1" x14ac:dyDescent="0.25">
      <c r="B112" s="617"/>
      <c r="C112" s="86"/>
      <c r="D112" s="86"/>
      <c r="E112" s="86"/>
      <c r="F112" s="86"/>
      <c r="G112" s="86"/>
      <c r="H112" s="86"/>
      <c r="I112" s="86"/>
      <c r="J112" s="86"/>
      <c r="K112" s="86"/>
      <c r="L112" s="86"/>
      <c r="M112" s="86"/>
      <c r="N112" s="86"/>
      <c r="O112" s="86"/>
      <c r="P112" s="86"/>
      <c r="Q112" s="86"/>
      <c r="R112" s="86"/>
      <c r="S112" s="86"/>
      <c r="T112" s="86"/>
      <c r="U112" s="86"/>
      <c r="V112" s="617"/>
      <c r="W112" s="3179"/>
      <c r="X112" s="3179"/>
      <c r="Y112" s="3179"/>
      <c r="Z112" s="3179"/>
      <c r="AA112" s="3179"/>
      <c r="AB112" s="3179"/>
      <c r="AC112" s="3179"/>
      <c r="AD112" s="3179"/>
      <c r="AE112" s="3179"/>
      <c r="AF112" s="3179"/>
      <c r="AG112" s="3179"/>
      <c r="AH112" s="3179"/>
      <c r="AI112" s="3179"/>
      <c r="AJ112" s="3179"/>
      <c r="AK112" s="3179"/>
      <c r="AL112" s="3179"/>
      <c r="AM112" s="3179"/>
      <c r="AN112" s="3181" t="s">
        <v>525</v>
      </c>
      <c r="AO112" s="3180"/>
      <c r="AP112" s="3180"/>
      <c r="AQ112" s="3180"/>
      <c r="AR112" s="3180"/>
      <c r="AS112" s="3180"/>
      <c r="AT112" s="3180"/>
      <c r="AU112" s="3180"/>
      <c r="AV112" s="3180"/>
      <c r="AW112" s="3180"/>
      <c r="AX112" s="3180"/>
      <c r="AY112" s="3180"/>
      <c r="AZ112" s="3180"/>
      <c r="BA112" s="3180"/>
      <c r="BB112" s="3180"/>
      <c r="BC112" s="3180"/>
      <c r="BD112" s="3180"/>
      <c r="BE112" s="3180"/>
      <c r="BF112" s="3181" t="s">
        <v>525</v>
      </c>
      <c r="BG112" s="86"/>
      <c r="BH112" s="86"/>
      <c r="BI112" s="86"/>
      <c r="BJ112" s="86"/>
      <c r="BK112" s="86"/>
      <c r="BL112" s="86"/>
      <c r="BM112" s="86"/>
      <c r="BN112" s="86"/>
      <c r="BO112" s="86"/>
      <c r="BP112" s="86"/>
      <c r="BQ112" s="86"/>
      <c r="BR112" s="86"/>
      <c r="BS112" s="86"/>
      <c r="BT112" s="86"/>
      <c r="BU112" s="86"/>
      <c r="BV112" s="86"/>
      <c r="BW112" s="86"/>
      <c r="BX112" s="86"/>
      <c r="BY112" s="86"/>
      <c r="BZ112" s="617"/>
    </row>
    <row r="113" spans="2:78" ht="17.100000000000001" customHeight="1" x14ac:dyDescent="0.25">
      <c r="B113" s="617"/>
      <c r="C113" s="86"/>
      <c r="D113" s="86"/>
      <c r="E113" s="86"/>
      <c r="F113" s="86"/>
      <c r="G113" s="86"/>
      <c r="H113" s="86"/>
      <c r="I113" s="86"/>
      <c r="J113" s="86"/>
      <c r="K113" s="86"/>
      <c r="L113" s="86"/>
      <c r="M113" s="86"/>
      <c r="N113" s="86"/>
      <c r="O113" s="86"/>
      <c r="P113" s="86"/>
      <c r="Q113" s="86"/>
      <c r="R113" s="86"/>
      <c r="S113" s="86"/>
      <c r="T113" s="86"/>
      <c r="U113" s="86"/>
      <c r="V113" s="617"/>
      <c r="W113" s="3179"/>
      <c r="X113" s="3179"/>
      <c r="Y113" s="3179"/>
      <c r="Z113" s="3179"/>
      <c r="AA113" s="3179"/>
      <c r="AB113" s="3179"/>
      <c r="AC113" s="3179"/>
      <c r="AD113" s="3179"/>
      <c r="AE113" s="3179"/>
      <c r="AF113" s="3179"/>
      <c r="AG113" s="3179"/>
      <c r="AH113" s="3179"/>
      <c r="AI113" s="3179"/>
      <c r="AJ113" s="3179"/>
      <c r="AK113" s="3179"/>
      <c r="AL113" s="3179"/>
      <c r="AM113" s="3179"/>
      <c r="AN113" s="3181" t="s">
        <v>525</v>
      </c>
      <c r="AO113" s="3180"/>
      <c r="AP113" s="3180"/>
      <c r="AQ113" s="3180"/>
      <c r="AR113" s="3180"/>
      <c r="AS113" s="3180"/>
      <c r="AT113" s="3180"/>
      <c r="AU113" s="3180"/>
      <c r="AV113" s="3180"/>
      <c r="AW113" s="3180"/>
      <c r="AX113" s="3180"/>
      <c r="AY113" s="3180"/>
      <c r="AZ113" s="3180"/>
      <c r="BA113" s="3180"/>
      <c r="BB113" s="3180"/>
      <c r="BC113" s="3180"/>
      <c r="BD113" s="3180"/>
      <c r="BE113" s="3180"/>
      <c r="BF113" s="3181" t="s">
        <v>525</v>
      </c>
      <c r="BG113" s="86"/>
      <c r="BH113" s="86"/>
      <c r="BI113" s="86"/>
      <c r="BJ113" s="86"/>
      <c r="BK113" s="86"/>
      <c r="BL113" s="86"/>
      <c r="BM113" s="86"/>
      <c r="BN113" s="86"/>
      <c r="BO113" s="86"/>
      <c r="BP113" s="86"/>
      <c r="BQ113" s="86"/>
      <c r="BR113" s="86"/>
      <c r="BS113" s="86"/>
      <c r="BT113" s="86"/>
      <c r="BU113" s="86"/>
      <c r="BV113" s="86"/>
      <c r="BW113" s="86"/>
      <c r="BX113" s="86"/>
      <c r="BY113" s="86"/>
      <c r="BZ113" s="617"/>
    </row>
    <row r="114" spans="2:78" ht="17.100000000000001" customHeight="1" x14ac:dyDescent="0.25">
      <c r="B114" s="617"/>
      <c r="C114" s="86"/>
      <c r="D114" s="86"/>
      <c r="E114" s="86"/>
      <c r="F114" s="86"/>
      <c r="G114" s="86"/>
      <c r="H114" s="86"/>
      <c r="I114" s="86"/>
      <c r="J114" s="86"/>
      <c r="K114" s="86"/>
      <c r="L114" s="86"/>
      <c r="M114" s="86"/>
      <c r="N114" s="86"/>
      <c r="O114" s="86"/>
      <c r="P114" s="86"/>
      <c r="Q114" s="86"/>
      <c r="R114" s="86"/>
      <c r="S114" s="86"/>
      <c r="T114" s="86"/>
      <c r="U114" s="86"/>
      <c r="V114" s="617"/>
      <c r="W114" s="3179"/>
      <c r="X114" s="3179"/>
      <c r="Y114" s="3179"/>
      <c r="Z114" s="3179"/>
      <c r="AA114" s="3179"/>
      <c r="AB114" s="3179"/>
      <c r="AC114" s="3179"/>
      <c r="AD114" s="3179"/>
      <c r="AE114" s="3179"/>
      <c r="AF114" s="3179"/>
      <c r="AG114" s="3179"/>
      <c r="AH114" s="3179"/>
      <c r="AI114" s="3179"/>
      <c r="AJ114" s="3179"/>
      <c r="AK114" s="3179"/>
      <c r="AL114" s="3179"/>
      <c r="AM114" s="3179"/>
      <c r="AN114" s="3181" t="s">
        <v>525</v>
      </c>
      <c r="AO114" s="3180"/>
      <c r="AP114" s="3180"/>
      <c r="AQ114" s="3180"/>
      <c r="AR114" s="3180"/>
      <c r="AS114" s="3180"/>
      <c r="AT114" s="3180"/>
      <c r="AU114" s="3180"/>
      <c r="AV114" s="3180"/>
      <c r="AW114" s="3180"/>
      <c r="AX114" s="3180"/>
      <c r="AY114" s="3180"/>
      <c r="AZ114" s="3180"/>
      <c r="BA114" s="3180"/>
      <c r="BB114" s="3180"/>
      <c r="BC114" s="3180"/>
      <c r="BD114" s="3180"/>
      <c r="BE114" s="3180"/>
      <c r="BF114" s="3181" t="s">
        <v>525</v>
      </c>
      <c r="BG114" s="86"/>
      <c r="BH114" s="86"/>
      <c r="BI114" s="86"/>
      <c r="BJ114" s="86"/>
      <c r="BK114" s="86"/>
      <c r="BL114" s="86"/>
      <c r="BM114" s="86"/>
      <c r="BN114" s="86"/>
      <c r="BO114" s="86"/>
      <c r="BP114" s="86"/>
      <c r="BQ114" s="86"/>
      <c r="BR114" s="86"/>
      <c r="BS114" s="86"/>
      <c r="BT114" s="86"/>
      <c r="BU114" s="86"/>
      <c r="BV114" s="86"/>
      <c r="BW114" s="86"/>
      <c r="BX114" s="86"/>
      <c r="BY114" s="86"/>
      <c r="BZ114" s="617"/>
    </row>
    <row r="115" spans="2:78" ht="17.100000000000001" customHeight="1" x14ac:dyDescent="0.25">
      <c r="B115" s="617"/>
      <c r="C115" s="86"/>
      <c r="D115" s="86"/>
      <c r="E115" s="86"/>
      <c r="F115" s="86"/>
      <c r="G115" s="86"/>
      <c r="H115" s="86"/>
      <c r="I115" s="86"/>
      <c r="J115" s="86"/>
      <c r="K115" s="86"/>
      <c r="L115" s="86"/>
      <c r="M115" s="86"/>
      <c r="N115" s="86"/>
      <c r="O115" s="86"/>
      <c r="P115" s="86"/>
      <c r="Q115" s="86"/>
      <c r="R115" s="86"/>
      <c r="S115" s="86"/>
      <c r="T115" s="86"/>
      <c r="U115" s="86"/>
      <c r="V115" s="617"/>
      <c r="W115" s="3179"/>
      <c r="X115" s="3179"/>
      <c r="Y115" s="3179"/>
      <c r="Z115" s="3179"/>
      <c r="AA115" s="3179"/>
      <c r="AB115" s="3179"/>
      <c r="AC115" s="3179"/>
      <c r="AD115" s="3179"/>
      <c r="AE115" s="3179"/>
      <c r="AF115" s="3179"/>
      <c r="AG115" s="3179"/>
      <c r="AH115" s="3179"/>
      <c r="AI115" s="3179"/>
      <c r="AJ115" s="3179"/>
      <c r="AK115" s="3179"/>
      <c r="AL115" s="3179"/>
      <c r="AM115" s="3179"/>
      <c r="AN115" s="3181" t="s">
        <v>525</v>
      </c>
      <c r="AO115" s="3180"/>
      <c r="AP115" s="3180"/>
      <c r="AQ115" s="3180"/>
      <c r="AR115" s="3180"/>
      <c r="AS115" s="3180"/>
      <c r="AT115" s="3180"/>
      <c r="AU115" s="3180"/>
      <c r="AV115" s="3180"/>
      <c r="AW115" s="3180"/>
      <c r="AX115" s="3180"/>
      <c r="AY115" s="3180"/>
      <c r="AZ115" s="3180"/>
      <c r="BA115" s="3180"/>
      <c r="BB115" s="3180"/>
      <c r="BC115" s="3180"/>
      <c r="BD115" s="3180"/>
      <c r="BE115" s="3180"/>
      <c r="BF115" s="3181" t="s">
        <v>525</v>
      </c>
      <c r="BG115" s="86"/>
      <c r="BH115" s="86"/>
      <c r="BI115" s="86"/>
      <c r="BJ115" s="86"/>
      <c r="BK115" s="86"/>
      <c r="BL115" s="86"/>
      <c r="BM115" s="86"/>
      <c r="BN115" s="86"/>
      <c r="BO115" s="86"/>
      <c r="BP115" s="86"/>
      <c r="BQ115" s="86"/>
      <c r="BR115" s="86"/>
      <c r="BS115" s="86"/>
      <c r="BT115" s="86"/>
      <c r="BU115" s="86"/>
      <c r="BV115" s="86"/>
      <c r="BW115" s="86"/>
      <c r="BX115" s="86"/>
      <c r="BY115" s="86"/>
      <c r="BZ115" s="617"/>
    </row>
    <row r="116" spans="2:78" ht="17.100000000000001" customHeight="1" x14ac:dyDescent="0.25">
      <c r="B116" s="617"/>
      <c r="C116" s="86"/>
      <c r="D116" s="86"/>
      <c r="E116" s="86"/>
      <c r="F116" s="86"/>
      <c r="G116" s="86"/>
      <c r="H116" s="86"/>
      <c r="I116" s="86"/>
      <c r="J116" s="86"/>
      <c r="K116" s="86"/>
      <c r="L116" s="86"/>
      <c r="M116" s="86"/>
      <c r="N116" s="86"/>
      <c r="O116" s="86"/>
      <c r="P116" s="86"/>
      <c r="Q116" s="86"/>
      <c r="R116" s="86"/>
      <c r="S116" s="86"/>
      <c r="T116" s="86"/>
      <c r="U116" s="86"/>
      <c r="V116" s="617"/>
      <c r="W116" s="3179"/>
      <c r="X116" s="3179"/>
      <c r="Y116" s="3179"/>
      <c r="Z116" s="3179"/>
      <c r="AA116" s="3179"/>
      <c r="AB116" s="3179"/>
      <c r="AC116" s="3179"/>
      <c r="AD116" s="3179"/>
      <c r="AE116" s="3179"/>
      <c r="AF116" s="3179"/>
      <c r="AG116" s="3179"/>
      <c r="AH116" s="3179"/>
      <c r="AI116" s="3179"/>
      <c r="AJ116" s="3179"/>
      <c r="AK116" s="3179"/>
      <c r="AL116" s="3179"/>
      <c r="AM116" s="3179"/>
      <c r="AN116" s="3181" t="s">
        <v>525</v>
      </c>
      <c r="AO116" s="3180"/>
      <c r="AP116" s="3180"/>
      <c r="AQ116" s="3180"/>
      <c r="AR116" s="3180"/>
      <c r="AS116" s="3180"/>
      <c r="AT116" s="3180"/>
      <c r="AU116" s="3180"/>
      <c r="AV116" s="3180"/>
      <c r="AW116" s="3180"/>
      <c r="AX116" s="3180"/>
      <c r="AY116" s="3180"/>
      <c r="AZ116" s="3180"/>
      <c r="BA116" s="3180"/>
      <c r="BB116" s="3180"/>
      <c r="BC116" s="3180"/>
      <c r="BD116" s="3180"/>
      <c r="BE116" s="3180"/>
      <c r="BF116" s="3181" t="s">
        <v>525</v>
      </c>
      <c r="BG116" s="86"/>
      <c r="BH116" s="86"/>
      <c r="BI116" s="86"/>
      <c r="BJ116" s="86"/>
      <c r="BK116" s="86"/>
      <c r="BL116" s="86"/>
      <c r="BM116" s="86"/>
      <c r="BN116" s="86"/>
      <c r="BO116" s="86"/>
      <c r="BP116" s="86"/>
      <c r="BQ116" s="86"/>
      <c r="BR116" s="86"/>
      <c r="BS116" s="86"/>
      <c r="BT116" s="86"/>
      <c r="BU116" s="86"/>
      <c r="BV116" s="86"/>
      <c r="BW116" s="86"/>
      <c r="BX116" s="86"/>
      <c r="BY116" s="86"/>
      <c r="BZ116" s="617"/>
    </row>
    <row r="117" spans="2:78" ht="17.100000000000001" customHeight="1" x14ac:dyDescent="0.25">
      <c r="B117" s="617"/>
      <c r="C117" s="86"/>
      <c r="D117" s="86"/>
      <c r="E117" s="86"/>
      <c r="F117" s="86"/>
      <c r="G117" s="86"/>
      <c r="H117" s="86"/>
      <c r="I117" s="86"/>
      <c r="J117" s="86"/>
      <c r="K117" s="86"/>
      <c r="L117" s="86"/>
      <c r="M117" s="86"/>
      <c r="N117" s="86"/>
      <c r="O117" s="86"/>
      <c r="P117" s="86"/>
      <c r="Q117" s="86"/>
      <c r="R117" s="86"/>
      <c r="S117" s="86"/>
      <c r="T117" s="86"/>
      <c r="U117" s="86"/>
      <c r="V117" s="617"/>
      <c r="W117" s="3179"/>
      <c r="X117" s="3179"/>
      <c r="Y117" s="3179"/>
      <c r="Z117" s="3179"/>
      <c r="AA117" s="3179"/>
      <c r="AB117" s="3179"/>
      <c r="AC117" s="3179"/>
      <c r="AD117" s="3179"/>
      <c r="AE117" s="3179"/>
      <c r="AF117" s="3179"/>
      <c r="AG117" s="3179"/>
      <c r="AH117" s="3179"/>
      <c r="AI117" s="3179"/>
      <c r="AJ117" s="3179"/>
      <c r="AK117" s="3179"/>
      <c r="AL117" s="3179"/>
      <c r="AM117" s="3179"/>
      <c r="AN117" s="3181" t="s">
        <v>525</v>
      </c>
      <c r="AO117" s="3180"/>
      <c r="AP117" s="3180"/>
      <c r="AQ117" s="3180"/>
      <c r="AR117" s="3180"/>
      <c r="AS117" s="3180"/>
      <c r="AT117" s="3180"/>
      <c r="AU117" s="3180"/>
      <c r="AV117" s="3180"/>
      <c r="AW117" s="3180"/>
      <c r="AX117" s="3180"/>
      <c r="AY117" s="3180"/>
      <c r="AZ117" s="3180"/>
      <c r="BA117" s="3180"/>
      <c r="BB117" s="3180"/>
      <c r="BC117" s="3180"/>
      <c r="BD117" s="3180"/>
      <c r="BE117" s="3180"/>
      <c r="BF117" s="3181" t="s">
        <v>525</v>
      </c>
      <c r="BG117" s="86"/>
      <c r="BH117" s="86"/>
      <c r="BI117" s="86"/>
      <c r="BJ117" s="86"/>
      <c r="BK117" s="86"/>
      <c r="BL117" s="86"/>
      <c r="BM117" s="86"/>
      <c r="BN117" s="86"/>
      <c r="BO117" s="86"/>
      <c r="BP117" s="86"/>
      <c r="BQ117" s="86"/>
      <c r="BR117" s="86"/>
      <c r="BS117" s="86"/>
      <c r="BT117" s="86"/>
      <c r="BU117" s="86"/>
      <c r="BV117" s="86"/>
      <c r="BW117" s="86"/>
      <c r="BX117" s="86"/>
      <c r="BY117" s="86"/>
      <c r="BZ117" s="617"/>
    </row>
    <row r="118" spans="2:78" ht="17.100000000000001" customHeight="1" x14ac:dyDescent="0.25">
      <c r="B118" s="617"/>
      <c r="C118" s="86"/>
      <c r="D118" s="86"/>
      <c r="E118" s="86"/>
      <c r="F118" s="86"/>
      <c r="G118" s="86"/>
      <c r="H118" s="86"/>
      <c r="I118" s="86"/>
      <c r="J118" s="86"/>
      <c r="K118" s="86"/>
      <c r="L118" s="86"/>
      <c r="M118" s="86"/>
      <c r="N118" s="86"/>
      <c r="O118" s="86"/>
      <c r="P118" s="86"/>
      <c r="Q118" s="86"/>
      <c r="R118" s="86"/>
      <c r="S118" s="86"/>
      <c r="T118" s="86"/>
      <c r="U118" s="86"/>
      <c r="V118" s="617"/>
      <c r="W118" s="3179"/>
      <c r="X118" s="3179"/>
      <c r="Y118" s="3179"/>
      <c r="Z118" s="3179"/>
      <c r="AA118" s="3179"/>
      <c r="AB118" s="3179"/>
      <c r="AC118" s="3179"/>
      <c r="AD118" s="3179"/>
      <c r="AE118" s="3179"/>
      <c r="AF118" s="3179"/>
      <c r="AG118" s="3179"/>
      <c r="AH118" s="3179"/>
      <c r="AI118" s="3179"/>
      <c r="AJ118" s="3179"/>
      <c r="AK118" s="3179"/>
      <c r="AL118" s="3179"/>
      <c r="AM118" s="3179"/>
      <c r="AN118" s="3181" t="s">
        <v>525</v>
      </c>
      <c r="AO118" s="3180"/>
      <c r="AP118" s="3180"/>
      <c r="AQ118" s="3180"/>
      <c r="AR118" s="3180"/>
      <c r="AS118" s="3180"/>
      <c r="AT118" s="3180"/>
      <c r="AU118" s="3180"/>
      <c r="AV118" s="3180"/>
      <c r="AW118" s="3180"/>
      <c r="AX118" s="3180"/>
      <c r="AY118" s="3180"/>
      <c r="AZ118" s="3180"/>
      <c r="BA118" s="3180"/>
      <c r="BB118" s="3180"/>
      <c r="BC118" s="3180"/>
      <c r="BD118" s="3180"/>
      <c r="BE118" s="3180"/>
      <c r="BF118" s="3181" t="s">
        <v>525</v>
      </c>
      <c r="BG118" s="86"/>
      <c r="BH118" s="86"/>
      <c r="BI118" s="86"/>
      <c r="BJ118" s="86"/>
      <c r="BK118" s="86"/>
      <c r="BL118" s="86"/>
      <c r="BM118" s="86"/>
      <c r="BN118" s="86"/>
      <c r="BO118" s="86"/>
      <c r="BP118" s="86"/>
      <c r="BQ118" s="86"/>
      <c r="BR118" s="86"/>
      <c r="BS118" s="86"/>
      <c r="BT118" s="86"/>
      <c r="BU118" s="86"/>
      <c r="BV118" s="86"/>
      <c r="BW118" s="86"/>
      <c r="BX118" s="86"/>
      <c r="BY118" s="86"/>
      <c r="BZ118" s="617"/>
    </row>
    <row r="119" spans="2:78" ht="17.100000000000001" customHeight="1" x14ac:dyDescent="0.25">
      <c r="B119" s="617"/>
      <c r="C119" s="86"/>
      <c r="D119" s="86"/>
      <c r="E119" s="86"/>
      <c r="F119" s="86"/>
      <c r="G119" s="86"/>
      <c r="H119" s="86"/>
      <c r="I119" s="86"/>
      <c r="J119" s="86"/>
      <c r="K119" s="86"/>
      <c r="L119" s="86"/>
      <c r="M119" s="86"/>
      <c r="N119" s="86"/>
      <c r="O119" s="86"/>
      <c r="P119" s="86"/>
      <c r="Q119" s="86"/>
      <c r="R119" s="86"/>
      <c r="S119" s="86"/>
      <c r="T119" s="86"/>
      <c r="U119" s="86"/>
      <c r="V119" s="617"/>
      <c r="W119" s="3179"/>
      <c r="X119" s="3179"/>
      <c r="Y119" s="3179"/>
      <c r="Z119" s="3179"/>
      <c r="AA119" s="3179"/>
      <c r="AB119" s="3179"/>
      <c r="AC119" s="3179"/>
      <c r="AD119" s="3179"/>
      <c r="AE119" s="3179"/>
      <c r="AF119" s="3179"/>
      <c r="AG119" s="3179"/>
      <c r="AH119" s="3179"/>
      <c r="AI119" s="3179"/>
      <c r="AJ119" s="3179"/>
      <c r="AK119" s="3179"/>
      <c r="AL119" s="3179"/>
      <c r="AM119" s="3179"/>
      <c r="AN119" s="3181" t="s">
        <v>525</v>
      </c>
      <c r="AO119" s="3180"/>
      <c r="AP119" s="3180"/>
      <c r="AQ119" s="3180"/>
      <c r="AR119" s="3180"/>
      <c r="AS119" s="3180"/>
      <c r="AT119" s="3180"/>
      <c r="AU119" s="3180"/>
      <c r="AV119" s="3180"/>
      <c r="AW119" s="3180"/>
      <c r="AX119" s="3180"/>
      <c r="AY119" s="3180"/>
      <c r="AZ119" s="3180"/>
      <c r="BA119" s="3180"/>
      <c r="BB119" s="3180"/>
      <c r="BC119" s="3180"/>
      <c r="BD119" s="3180"/>
      <c r="BE119" s="3180"/>
      <c r="BF119" s="3181" t="s">
        <v>525</v>
      </c>
      <c r="BG119" s="86"/>
      <c r="BH119" s="86"/>
      <c r="BI119" s="86"/>
      <c r="BJ119" s="86"/>
      <c r="BK119" s="86"/>
      <c r="BL119" s="86"/>
      <c r="BM119" s="86"/>
      <c r="BN119" s="86"/>
      <c r="BO119" s="86"/>
      <c r="BP119" s="86"/>
      <c r="BQ119" s="86"/>
      <c r="BR119" s="86"/>
      <c r="BS119" s="86"/>
      <c r="BT119" s="86"/>
      <c r="BU119" s="86"/>
      <c r="BV119" s="86"/>
      <c r="BW119" s="86"/>
      <c r="BX119" s="86"/>
      <c r="BY119" s="86"/>
      <c r="BZ119" s="617"/>
    </row>
    <row r="120" spans="2:78" ht="17.100000000000001" customHeight="1" x14ac:dyDescent="0.25">
      <c r="B120" s="617"/>
      <c r="C120" s="86"/>
      <c r="D120" s="86"/>
      <c r="E120" s="86"/>
      <c r="F120" s="86"/>
      <c r="G120" s="86"/>
      <c r="H120" s="86"/>
      <c r="I120" s="86"/>
      <c r="J120" s="86"/>
      <c r="K120" s="86"/>
      <c r="L120" s="86"/>
      <c r="M120" s="86"/>
      <c r="N120" s="86"/>
      <c r="O120" s="86"/>
      <c r="P120" s="86"/>
      <c r="Q120" s="86"/>
      <c r="R120" s="86"/>
      <c r="S120" s="86"/>
      <c r="T120" s="86"/>
      <c r="U120" s="86"/>
      <c r="V120" s="617"/>
      <c r="W120" s="3179"/>
      <c r="X120" s="3179"/>
      <c r="Y120" s="3179"/>
      <c r="Z120" s="3179"/>
      <c r="AA120" s="3179"/>
      <c r="AB120" s="3179"/>
      <c r="AC120" s="3179"/>
      <c r="AD120" s="3179"/>
      <c r="AE120" s="3179"/>
      <c r="AF120" s="3179"/>
      <c r="AG120" s="3179"/>
      <c r="AH120" s="3179"/>
      <c r="AI120" s="3179"/>
      <c r="AJ120" s="3179"/>
      <c r="AK120" s="3179"/>
      <c r="AL120" s="3179"/>
      <c r="AM120" s="3179"/>
      <c r="AN120" s="3181" t="s">
        <v>525</v>
      </c>
      <c r="AO120" s="3180"/>
      <c r="AP120" s="3180"/>
      <c r="AQ120" s="3180"/>
      <c r="AR120" s="3180"/>
      <c r="AS120" s="3180"/>
      <c r="AT120" s="3180"/>
      <c r="AU120" s="3180"/>
      <c r="AV120" s="3180"/>
      <c r="AW120" s="3180"/>
      <c r="AX120" s="3180"/>
      <c r="AY120" s="3180"/>
      <c r="AZ120" s="3180"/>
      <c r="BA120" s="3180"/>
      <c r="BB120" s="3180"/>
      <c r="BC120" s="3180"/>
      <c r="BD120" s="3180"/>
      <c r="BE120" s="3180"/>
      <c r="BF120" s="3181" t="s">
        <v>525</v>
      </c>
      <c r="BG120" s="86"/>
      <c r="BH120" s="86"/>
      <c r="BI120" s="86"/>
      <c r="BJ120" s="86"/>
      <c r="BK120" s="86"/>
      <c r="BL120" s="86"/>
      <c r="BM120" s="86"/>
      <c r="BN120" s="86"/>
      <c r="BO120" s="86"/>
      <c r="BP120" s="86"/>
      <c r="BQ120" s="86"/>
      <c r="BR120" s="86"/>
      <c r="BS120" s="86"/>
      <c r="BT120" s="86"/>
      <c r="BU120" s="86"/>
      <c r="BV120" s="86"/>
      <c r="BW120" s="86"/>
      <c r="BX120" s="86"/>
      <c r="BY120" s="86"/>
      <c r="BZ120" s="617"/>
    </row>
    <row r="121" spans="2:78" ht="17.100000000000001" customHeight="1" x14ac:dyDescent="0.25">
      <c r="B121" s="617"/>
      <c r="C121" s="86"/>
      <c r="D121" s="86"/>
      <c r="E121" s="86"/>
      <c r="F121" s="86"/>
      <c r="G121" s="86"/>
      <c r="H121" s="86"/>
      <c r="I121" s="86"/>
      <c r="J121" s="86"/>
      <c r="K121" s="86"/>
      <c r="L121" s="86"/>
      <c r="M121" s="86"/>
      <c r="N121" s="86"/>
      <c r="O121" s="86"/>
      <c r="P121" s="86"/>
      <c r="Q121" s="86"/>
      <c r="R121" s="86"/>
      <c r="S121" s="86"/>
      <c r="T121" s="86"/>
      <c r="U121" s="86"/>
      <c r="V121" s="617"/>
      <c r="W121" s="3179"/>
      <c r="X121" s="3179"/>
      <c r="Y121" s="3179"/>
      <c r="Z121" s="3179"/>
      <c r="AA121" s="3179"/>
      <c r="AB121" s="3179"/>
      <c r="AC121" s="3179"/>
      <c r="AD121" s="3179"/>
      <c r="AE121" s="3179"/>
      <c r="AF121" s="3179"/>
      <c r="AG121" s="3179"/>
      <c r="AH121" s="3179"/>
      <c r="AI121" s="3179"/>
      <c r="AJ121" s="3179"/>
      <c r="AK121" s="3179"/>
      <c r="AL121" s="3179"/>
      <c r="AM121" s="3179"/>
      <c r="AN121" s="3181" t="s">
        <v>525</v>
      </c>
      <c r="AO121" s="3180"/>
      <c r="AP121" s="3180"/>
      <c r="AQ121" s="3180"/>
      <c r="AR121" s="3180"/>
      <c r="AS121" s="3180"/>
      <c r="AT121" s="3180"/>
      <c r="AU121" s="3180"/>
      <c r="AV121" s="3180"/>
      <c r="AW121" s="3180"/>
      <c r="AX121" s="3180"/>
      <c r="AY121" s="3180"/>
      <c r="AZ121" s="3180"/>
      <c r="BA121" s="3180"/>
      <c r="BB121" s="3180"/>
      <c r="BC121" s="3180"/>
      <c r="BD121" s="3180"/>
      <c r="BE121" s="3180"/>
      <c r="BF121" s="3181" t="s">
        <v>525</v>
      </c>
      <c r="BG121" s="86"/>
      <c r="BH121" s="86"/>
      <c r="BI121" s="86"/>
      <c r="BJ121" s="86"/>
      <c r="BK121" s="86"/>
      <c r="BL121" s="86"/>
      <c r="BM121" s="86"/>
      <c r="BN121" s="86"/>
      <c r="BO121" s="86"/>
      <c r="BP121" s="86"/>
      <c r="BQ121" s="86"/>
      <c r="BR121" s="86"/>
      <c r="BS121" s="86"/>
      <c r="BT121" s="86"/>
      <c r="BU121" s="86"/>
      <c r="BV121" s="86"/>
      <c r="BW121" s="86"/>
      <c r="BX121" s="86"/>
      <c r="BY121" s="86"/>
      <c r="BZ121" s="617"/>
    </row>
    <row r="122" spans="2:78" ht="17.100000000000001" customHeight="1" x14ac:dyDescent="0.25">
      <c r="B122" s="617"/>
      <c r="C122" s="86"/>
      <c r="D122" s="86"/>
      <c r="E122" s="86"/>
      <c r="F122" s="86"/>
      <c r="G122" s="86"/>
      <c r="H122" s="86"/>
      <c r="I122" s="86"/>
      <c r="J122" s="86"/>
      <c r="K122" s="86"/>
      <c r="L122" s="86"/>
      <c r="M122" s="86"/>
      <c r="N122" s="86"/>
      <c r="O122" s="86"/>
      <c r="P122" s="86"/>
      <c r="Q122" s="86"/>
      <c r="R122" s="86"/>
      <c r="S122" s="86"/>
      <c r="T122" s="86"/>
      <c r="U122" s="86"/>
      <c r="V122" s="617"/>
      <c r="W122" s="3179"/>
      <c r="X122" s="3179"/>
      <c r="Y122" s="3179"/>
      <c r="Z122" s="3179"/>
      <c r="AA122" s="3179"/>
      <c r="AB122" s="3179"/>
      <c r="AC122" s="3179"/>
      <c r="AD122" s="3179"/>
      <c r="AE122" s="3179"/>
      <c r="AF122" s="3179"/>
      <c r="AG122" s="3179"/>
      <c r="AH122" s="3179"/>
      <c r="AI122" s="3179"/>
      <c r="AJ122" s="3179"/>
      <c r="AK122" s="3179"/>
      <c r="AL122" s="3179"/>
      <c r="AM122" s="3179"/>
      <c r="AN122" s="3181" t="s">
        <v>525</v>
      </c>
      <c r="AO122" s="3180"/>
      <c r="AP122" s="3180"/>
      <c r="AQ122" s="3180"/>
      <c r="AR122" s="3180"/>
      <c r="AS122" s="3180"/>
      <c r="AT122" s="3180"/>
      <c r="AU122" s="3180"/>
      <c r="AV122" s="3180"/>
      <c r="AW122" s="3180"/>
      <c r="AX122" s="3180"/>
      <c r="AY122" s="3180"/>
      <c r="AZ122" s="3180"/>
      <c r="BA122" s="3180"/>
      <c r="BB122" s="3180"/>
      <c r="BC122" s="3180"/>
      <c r="BD122" s="3180"/>
      <c r="BE122" s="3180"/>
      <c r="BF122" s="3181" t="s">
        <v>525</v>
      </c>
      <c r="BG122" s="86"/>
      <c r="BH122" s="86"/>
      <c r="BI122" s="86"/>
      <c r="BJ122" s="86"/>
      <c r="BK122" s="86"/>
      <c r="BL122" s="86"/>
      <c r="BM122" s="86"/>
      <c r="BN122" s="86"/>
      <c r="BO122" s="86"/>
      <c r="BP122" s="86"/>
      <c r="BQ122" s="86"/>
      <c r="BR122" s="86"/>
      <c r="BS122" s="86"/>
      <c r="BT122" s="86"/>
      <c r="BU122" s="86"/>
      <c r="BV122" s="86"/>
      <c r="BW122" s="86"/>
      <c r="BX122" s="86"/>
      <c r="BY122" s="86"/>
      <c r="BZ122" s="617"/>
    </row>
    <row r="123" spans="2:78" ht="17.100000000000001" customHeight="1" x14ac:dyDescent="0.25">
      <c r="B123" s="617"/>
      <c r="C123" s="86"/>
      <c r="D123" s="3120"/>
      <c r="E123" s="86"/>
      <c r="F123" s="86"/>
      <c r="G123" s="86"/>
      <c r="H123" s="86"/>
      <c r="I123" s="86"/>
      <c r="J123" s="86"/>
      <c r="K123" s="86"/>
      <c r="L123" s="86"/>
      <c r="M123" s="86"/>
      <c r="N123" s="86"/>
      <c r="O123" s="86"/>
      <c r="P123" s="86"/>
      <c r="Q123" s="86"/>
      <c r="R123" s="86"/>
      <c r="S123" s="86"/>
      <c r="T123" s="86"/>
      <c r="U123" s="86"/>
      <c r="V123" s="617"/>
      <c r="W123" s="3179"/>
      <c r="X123" s="3179"/>
      <c r="Y123" s="3179"/>
      <c r="Z123" s="3179"/>
      <c r="AA123" s="3179"/>
      <c r="AB123" s="3179"/>
      <c r="AC123" s="3179"/>
      <c r="AD123" s="3179"/>
      <c r="AE123" s="3179"/>
      <c r="AF123" s="3179"/>
      <c r="AG123" s="3179"/>
      <c r="AH123" s="3179"/>
      <c r="AI123" s="3179"/>
      <c r="AJ123" s="3179"/>
      <c r="AK123" s="3179"/>
      <c r="AL123" s="3179"/>
      <c r="AM123" s="3179"/>
      <c r="AN123" s="3181" t="s">
        <v>525</v>
      </c>
      <c r="AO123" s="3180"/>
      <c r="AP123" s="3180"/>
      <c r="AQ123" s="3180"/>
      <c r="AR123" s="3180"/>
      <c r="AS123" s="3180"/>
      <c r="AT123" s="3180"/>
      <c r="AU123" s="3180"/>
      <c r="AV123" s="3180"/>
      <c r="AW123" s="3180"/>
      <c r="AX123" s="3180"/>
      <c r="AY123" s="3180"/>
      <c r="AZ123" s="3180"/>
      <c r="BA123" s="3180"/>
      <c r="BB123" s="3180"/>
      <c r="BC123" s="3180"/>
      <c r="BD123" s="3180"/>
      <c r="BE123" s="3180"/>
      <c r="BF123" s="3181" t="s">
        <v>525</v>
      </c>
      <c r="BG123" s="86"/>
      <c r="BH123" s="86"/>
      <c r="BI123" s="86"/>
      <c r="BJ123" s="86"/>
      <c r="BK123" s="86"/>
      <c r="BL123" s="86"/>
      <c r="BM123" s="86"/>
      <c r="BN123" s="86"/>
      <c r="BO123" s="86"/>
      <c r="BP123" s="86"/>
      <c r="BQ123" s="86"/>
      <c r="BR123" s="86"/>
      <c r="BS123" s="86"/>
      <c r="BT123" s="86"/>
      <c r="BU123" s="86"/>
      <c r="BV123" s="86"/>
      <c r="BW123" s="86"/>
      <c r="BX123" s="86"/>
      <c r="BY123" s="86"/>
      <c r="BZ123" s="617"/>
    </row>
    <row r="124" spans="2:78" ht="17.100000000000001" customHeight="1" x14ac:dyDescent="0.25">
      <c r="B124" s="617"/>
      <c r="C124" s="86"/>
      <c r="D124" s="86"/>
      <c r="E124" s="86"/>
      <c r="F124" s="86"/>
      <c r="G124" s="86"/>
      <c r="H124" s="86"/>
      <c r="I124" s="86"/>
      <c r="J124" s="86"/>
      <c r="K124" s="86"/>
      <c r="L124" s="86"/>
      <c r="M124" s="86"/>
      <c r="N124" s="86"/>
      <c r="O124" s="86"/>
      <c r="P124" s="86"/>
      <c r="Q124" s="86"/>
      <c r="R124" s="86"/>
      <c r="S124" s="86"/>
      <c r="T124" s="86"/>
      <c r="U124" s="86"/>
      <c r="V124" s="617"/>
      <c r="W124" s="3179"/>
      <c r="X124" s="3179"/>
      <c r="Y124" s="3179"/>
      <c r="Z124" s="3179"/>
      <c r="AA124" s="3179"/>
      <c r="AB124" s="3179"/>
      <c r="AC124" s="3179"/>
      <c r="AD124" s="3179"/>
      <c r="AE124" s="3179"/>
      <c r="AF124" s="3179"/>
      <c r="AG124" s="3179"/>
      <c r="AH124" s="3179"/>
      <c r="AI124" s="3179"/>
      <c r="AJ124" s="3179"/>
      <c r="AK124" s="3179"/>
      <c r="AL124" s="3179"/>
      <c r="AM124" s="3179"/>
      <c r="AN124" s="3181" t="s">
        <v>525</v>
      </c>
      <c r="AO124" s="3180"/>
      <c r="AP124" s="3180"/>
      <c r="AQ124" s="3180"/>
      <c r="AR124" s="3180"/>
      <c r="AS124" s="3180"/>
      <c r="AT124" s="3180"/>
      <c r="AU124" s="3180"/>
      <c r="AV124" s="3180"/>
      <c r="AW124" s="3180"/>
      <c r="AX124" s="3180"/>
      <c r="AY124" s="3180"/>
      <c r="AZ124" s="3180"/>
      <c r="BA124" s="3180"/>
      <c r="BB124" s="3180"/>
      <c r="BC124" s="3180"/>
      <c r="BD124" s="3180"/>
      <c r="BE124" s="3180"/>
      <c r="BF124" s="3181" t="s">
        <v>525</v>
      </c>
      <c r="BG124" s="86"/>
      <c r="BH124" s="86"/>
      <c r="BI124" s="86"/>
      <c r="BJ124" s="86"/>
      <c r="BK124" s="86"/>
      <c r="BL124" s="86"/>
      <c r="BM124" s="86"/>
      <c r="BN124" s="86"/>
      <c r="BO124" s="86"/>
      <c r="BP124" s="86"/>
      <c r="BQ124" s="86"/>
      <c r="BR124" s="86"/>
      <c r="BS124" s="86"/>
      <c r="BT124" s="86"/>
      <c r="BU124" s="86"/>
      <c r="BV124" s="86"/>
      <c r="BW124" s="86"/>
      <c r="BX124" s="86"/>
      <c r="BY124" s="86"/>
      <c r="BZ124" s="617"/>
    </row>
    <row r="125" spans="2:78" ht="17.100000000000001" customHeight="1" x14ac:dyDescent="0.25">
      <c r="B125" s="617"/>
      <c r="C125" s="86"/>
      <c r="D125" s="86"/>
      <c r="E125" s="86"/>
      <c r="F125" s="86"/>
      <c r="G125" s="86"/>
      <c r="H125" s="86"/>
      <c r="I125" s="86"/>
      <c r="J125" s="86"/>
      <c r="K125" s="86"/>
      <c r="L125" s="86"/>
      <c r="M125" s="86"/>
      <c r="N125" s="86"/>
      <c r="O125" s="86"/>
      <c r="P125" s="86"/>
      <c r="Q125" s="86"/>
      <c r="R125" s="86"/>
      <c r="S125" s="86"/>
      <c r="T125" s="86"/>
      <c r="U125" s="86"/>
      <c r="V125" s="617"/>
      <c r="W125" s="3179"/>
      <c r="X125" s="3179"/>
      <c r="Y125" s="3179"/>
      <c r="Z125" s="3179"/>
      <c r="AA125" s="3179"/>
      <c r="AB125" s="3179"/>
      <c r="AC125" s="3179"/>
      <c r="AD125" s="3179"/>
      <c r="AE125" s="3179"/>
      <c r="AF125" s="3179"/>
      <c r="AG125" s="3179"/>
      <c r="AH125" s="3179"/>
      <c r="AI125" s="3179"/>
      <c r="AJ125" s="3179"/>
      <c r="AK125" s="3179"/>
      <c r="AL125" s="3179"/>
      <c r="AM125" s="3179"/>
      <c r="AN125" s="3181" t="s">
        <v>525</v>
      </c>
      <c r="AO125" s="3180"/>
      <c r="AP125" s="3180"/>
      <c r="AQ125" s="3180"/>
      <c r="AR125" s="3180"/>
      <c r="AS125" s="3180"/>
      <c r="AT125" s="3180"/>
      <c r="AU125" s="3180"/>
      <c r="AV125" s="3180"/>
      <c r="AW125" s="3180"/>
      <c r="AX125" s="3180"/>
      <c r="AY125" s="3180"/>
      <c r="AZ125" s="3180"/>
      <c r="BA125" s="3180"/>
      <c r="BB125" s="3180"/>
      <c r="BC125" s="3180"/>
      <c r="BD125" s="3180"/>
      <c r="BE125" s="3180"/>
      <c r="BF125" s="3181" t="s">
        <v>525</v>
      </c>
      <c r="BG125" s="86"/>
      <c r="BH125" s="86"/>
      <c r="BI125" s="86"/>
      <c r="BJ125" s="86"/>
      <c r="BK125" s="86"/>
      <c r="BL125" s="86"/>
      <c r="BM125" s="86"/>
      <c r="BN125" s="86"/>
      <c r="BO125" s="86"/>
      <c r="BP125" s="86"/>
      <c r="BQ125" s="86"/>
      <c r="BR125" s="86"/>
      <c r="BS125" s="86"/>
      <c r="BT125" s="86"/>
      <c r="BU125" s="86"/>
      <c r="BV125" s="86"/>
      <c r="BW125" s="86"/>
      <c r="BX125" s="86"/>
      <c r="BY125" s="86"/>
      <c r="BZ125" s="617"/>
    </row>
    <row r="126" spans="2:78" ht="17.100000000000001" customHeight="1" x14ac:dyDescent="0.25">
      <c r="B126" s="617"/>
      <c r="C126" s="86"/>
      <c r="D126" s="86"/>
      <c r="E126" s="86"/>
      <c r="F126" s="86"/>
      <c r="G126" s="86"/>
      <c r="H126" s="86"/>
      <c r="I126" s="86"/>
      <c r="J126" s="86"/>
      <c r="K126" s="86"/>
      <c r="L126" s="86"/>
      <c r="M126" s="86"/>
      <c r="N126" s="86"/>
      <c r="O126" s="86"/>
      <c r="P126" s="86"/>
      <c r="Q126" s="86"/>
      <c r="R126" s="86"/>
      <c r="S126" s="86"/>
      <c r="T126" s="86"/>
      <c r="U126" s="86"/>
      <c r="V126" s="617"/>
      <c r="W126" s="3179"/>
      <c r="X126" s="3179"/>
      <c r="Y126" s="3179"/>
      <c r="Z126" s="3179"/>
      <c r="AA126" s="3179"/>
      <c r="AB126" s="3179"/>
      <c r="AC126" s="3179"/>
      <c r="AD126" s="3179"/>
      <c r="AE126" s="3179"/>
      <c r="AF126" s="3179"/>
      <c r="AG126" s="3179"/>
      <c r="AH126" s="3179"/>
      <c r="AI126" s="3179"/>
      <c r="AJ126" s="3179"/>
      <c r="AK126" s="3179"/>
      <c r="AL126" s="3179"/>
      <c r="AM126" s="3179"/>
      <c r="AN126" s="3181" t="s">
        <v>525</v>
      </c>
      <c r="AO126" s="3180"/>
      <c r="AP126" s="3180"/>
      <c r="AQ126" s="3180"/>
      <c r="AR126" s="3180"/>
      <c r="AS126" s="3180"/>
      <c r="AT126" s="3180"/>
      <c r="AU126" s="3180"/>
      <c r="AV126" s="3180"/>
      <c r="AW126" s="3180"/>
      <c r="AX126" s="3180"/>
      <c r="AY126" s="3180"/>
      <c r="AZ126" s="3180"/>
      <c r="BA126" s="3180"/>
      <c r="BB126" s="3180"/>
      <c r="BC126" s="3180"/>
      <c r="BD126" s="3180"/>
      <c r="BE126" s="3180"/>
      <c r="BF126" s="3181" t="s">
        <v>525</v>
      </c>
      <c r="BG126" s="86"/>
      <c r="BH126" s="86"/>
      <c r="BI126" s="86"/>
      <c r="BJ126" s="86"/>
      <c r="BK126" s="86"/>
      <c r="BL126" s="86"/>
      <c r="BM126" s="86"/>
      <c r="BN126" s="86"/>
      <c r="BO126" s="86"/>
      <c r="BP126" s="86"/>
      <c r="BQ126" s="86"/>
      <c r="BR126" s="86"/>
      <c r="BS126" s="86"/>
      <c r="BT126" s="86"/>
      <c r="BU126" s="86"/>
      <c r="BV126" s="86"/>
      <c r="BW126" s="86"/>
      <c r="BX126" s="86"/>
      <c r="BY126" s="86"/>
      <c r="BZ126" s="617"/>
    </row>
    <row r="127" spans="2:78" ht="17.100000000000001" customHeight="1" x14ac:dyDescent="0.25">
      <c r="B127" s="617"/>
      <c r="C127" s="86"/>
      <c r="D127" s="86"/>
      <c r="E127" s="86"/>
      <c r="F127" s="86"/>
      <c r="G127" s="86"/>
      <c r="H127" s="86"/>
      <c r="I127" s="86"/>
      <c r="J127" s="86"/>
      <c r="K127" s="86"/>
      <c r="L127" s="86"/>
      <c r="M127" s="86"/>
      <c r="N127" s="86"/>
      <c r="O127" s="86"/>
      <c r="P127" s="86"/>
      <c r="Q127" s="86"/>
      <c r="R127" s="86"/>
      <c r="S127" s="86"/>
      <c r="T127" s="86"/>
      <c r="U127" s="86"/>
      <c r="V127" s="617"/>
      <c r="W127" s="3179"/>
      <c r="X127" s="3179"/>
      <c r="Y127" s="3179"/>
      <c r="Z127" s="3179"/>
      <c r="AA127" s="3179"/>
      <c r="AB127" s="3179"/>
      <c r="AC127" s="3179"/>
      <c r="AD127" s="3179"/>
      <c r="AE127" s="3179"/>
      <c r="AF127" s="3179"/>
      <c r="AG127" s="3179"/>
      <c r="AH127" s="3179"/>
      <c r="AI127" s="3179"/>
      <c r="AJ127" s="3179"/>
      <c r="AK127" s="3179"/>
      <c r="AL127" s="3179"/>
      <c r="AM127" s="3179"/>
      <c r="AN127" s="3181" t="s">
        <v>525</v>
      </c>
      <c r="AO127" s="3180"/>
      <c r="AP127" s="3180"/>
      <c r="AQ127" s="3180"/>
      <c r="AR127" s="3180"/>
      <c r="AS127" s="3180"/>
      <c r="AT127" s="3180"/>
      <c r="AU127" s="3180"/>
      <c r="AV127" s="3180"/>
      <c r="AW127" s="3180"/>
      <c r="AX127" s="3180"/>
      <c r="AY127" s="3180"/>
      <c r="AZ127" s="3180"/>
      <c r="BA127" s="3180"/>
      <c r="BB127" s="3180"/>
      <c r="BC127" s="3180"/>
      <c r="BD127" s="3180"/>
      <c r="BE127" s="3180"/>
      <c r="BF127" s="3181" t="s">
        <v>525</v>
      </c>
      <c r="BG127" s="86"/>
      <c r="BH127" s="86"/>
      <c r="BI127" s="86"/>
      <c r="BJ127" s="86"/>
      <c r="BK127" s="86"/>
      <c r="BL127" s="86"/>
      <c r="BM127" s="86"/>
      <c r="BN127" s="86"/>
      <c r="BO127" s="86"/>
      <c r="BP127" s="86"/>
      <c r="BQ127" s="86"/>
      <c r="BR127" s="86"/>
      <c r="BS127" s="86"/>
      <c r="BT127" s="86"/>
      <c r="BU127" s="86"/>
      <c r="BV127" s="86"/>
      <c r="BW127" s="86"/>
      <c r="BX127" s="86"/>
      <c r="BY127" s="86"/>
      <c r="BZ127" s="617"/>
    </row>
    <row r="128" spans="2:78" ht="17.100000000000001" customHeight="1" x14ac:dyDescent="0.25">
      <c r="B128" s="617"/>
      <c r="C128" s="86"/>
      <c r="D128" s="86"/>
      <c r="E128" s="86"/>
      <c r="F128" s="86"/>
      <c r="G128" s="86"/>
      <c r="H128" s="86"/>
      <c r="I128" s="86"/>
      <c r="J128" s="86"/>
      <c r="K128" s="86"/>
      <c r="L128" s="86"/>
      <c r="M128" s="86"/>
      <c r="N128" s="86"/>
      <c r="O128" s="86"/>
      <c r="P128" s="86"/>
      <c r="Q128" s="86"/>
      <c r="R128" s="86"/>
      <c r="S128" s="86"/>
      <c r="T128" s="86"/>
      <c r="U128" s="86"/>
      <c r="V128" s="617"/>
      <c r="W128" s="3179"/>
      <c r="X128" s="3179"/>
      <c r="Y128" s="3179"/>
      <c r="Z128" s="3179"/>
      <c r="AA128" s="3179"/>
      <c r="AB128" s="3179"/>
      <c r="AC128" s="3179"/>
      <c r="AD128" s="3179"/>
      <c r="AE128" s="3179"/>
      <c r="AF128" s="3179"/>
      <c r="AG128" s="3179"/>
      <c r="AH128" s="3179"/>
      <c r="AI128" s="3179"/>
      <c r="AJ128" s="3179"/>
      <c r="AK128" s="3179"/>
      <c r="AL128" s="3179"/>
      <c r="AM128" s="3179"/>
      <c r="AN128" s="3181" t="s">
        <v>525</v>
      </c>
      <c r="AO128" s="3180"/>
      <c r="AP128" s="3180"/>
      <c r="AQ128" s="3180"/>
      <c r="AR128" s="3180"/>
      <c r="AS128" s="3180"/>
      <c r="AT128" s="3180"/>
      <c r="AU128" s="3180"/>
      <c r="AV128" s="3180"/>
      <c r="AW128" s="3180"/>
      <c r="AX128" s="3180"/>
      <c r="AY128" s="3180"/>
      <c r="AZ128" s="3180"/>
      <c r="BA128" s="3180"/>
      <c r="BB128" s="3180"/>
      <c r="BC128" s="3180"/>
      <c r="BD128" s="3180"/>
      <c r="BE128" s="3180"/>
      <c r="BF128" s="3181" t="s">
        <v>525</v>
      </c>
      <c r="BG128" s="86"/>
      <c r="BH128" s="86"/>
      <c r="BI128" s="86"/>
      <c r="BJ128" s="86"/>
      <c r="BK128" s="86"/>
      <c r="BL128" s="86"/>
      <c r="BM128" s="86"/>
      <c r="BN128" s="86"/>
      <c r="BO128" s="86"/>
      <c r="BP128" s="86"/>
      <c r="BQ128" s="86"/>
      <c r="BR128" s="86"/>
      <c r="BS128" s="86"/>
      <c r="BT128" s="86"/>
      <c r="BU128" s="86"/>
      <c r="BV128" s="86"/>
      <c r="BW128" s="86"/>
      <c r="BX128" s="86"/>
      <c r="BY128" s="86"/>
      <c r="BZ128" s="617"/>
    </row>
    <row r="129" spans="2:78" ht="17.100000000000001" customHeight="1" x14ac:dyDescent="0.25">
      <c r="B129" s="617"/>
      <c r="C129" s="86"/>
      <c r="D129" s="86"/>
      <c r="E129" s="86"/>
      <c r="F129" s="86"/>
      <c r="G129" s="86"/>
      <c r="H129" s="86"/>
      <c r="I129" s="86"/>
      <c r="J129" s="86"/>
      <c r="K129" s="86"/>
      <c r="L129" s="86"/>
      <c r="M129" s="86"/>
      <c r="N129" s="86"/>
      <c r="O129" s="86"/>
      <c r="P129" s="86"/>
      <c r="Q129" s="86"/>
      <c r="R129" s="86"/>
      <c r="S129" s="86"/>
      <c r="T129" s="86"/>
      <c r="U129" s="86"/>
      <c r="V129" s="617"/>
      <c r="W129" s="3179"/>
      <c r="X129" s="3179"/>
      <c r="Y129" s="3179"/>
      <c r="Z129" s="3179"/>
      <c r="AA129" s="3179"/>
      <c r="AB129" s="3179"/>
      <c r="AC129" s="3179"/>
      <c r="AD129" s="3179"/>
      <c r="AE129" s="3179"/>
      <c r="AF129" s="3179"/>
      <c r="AG129" s="3179"/>
      <c r="AH129" s="3179"/>
      <c r="AI129" s="3179"/>
      <c r="AJ129" s="3179"/>
      <c r="AK129" s="3179"/>
      <c r="AL129" s="3179"/>
      <c r="AM129" s="3179"/>
      <c r="AN129" s="3181" t="s">
        <v>525</v>
      </c>
      <c r="AO129" s="3180"/>
      <c r="AP129" s="3180"/>
      <c r="AQ129" s="3180"/>
      <c r="AR129" s="3180"/>
      <c r="AS129" s="3180"/>
      <c r="AT129" s="3180"/>
      <c r="AU129" s="3180"/>
      <c r="AV129" s="3180"/>
      <c r="AW129" s="3180"/>
      <c r="AX129" s="3180"/>
      <c r="AY129" s="3180"/>
      <c r="AZ129" s="3180"/>
      <c r="BA129" s="3180"/>
      <c r="BB129" s="3180"/>
      <c r="BC129" s="3180"/>
      <c r="BD129" s="3180"/>
      <c r="BE129" s="3180"/>
      <c r="BF129" s="3181" t="s">
        <v>525</v>
      </c>
      <c r="BG129" s="86"/>
      <c r="BH129" s="86"/>
      <c r="BI129" s="86"/>
      <c r="BJ129" s="86"/>
      <c r="BK129" s="86"/>
      <c r="BL129" s="86"/>
      <c r="BM129" s="86"/>
      <c r="BN129" s="86"/>
      <c r="BO129" s="86"/>
      <c r="BP129" s="86"/>
      <c r="BQ129" s="86"/>
      <c r="BR129" s="86"/>
      <c r="BS129" s="86"/>
      <c r="BT129" s="86"/>
      <c r="BU129" s="86"/>
      <c r="BV129" s="86"/>
      <c r="BW129" s="86"/>
      <c r="BX129" s="86"/>
      <c r="BY129" s="86"/>
      <c r="BZ129" s="617"/>
    </row>
    <row r="130" spans="2:78" ht="17.100000000000001" customHeight="1" x14ac:dyDescent="0.25">
      <c r="B130" s="617"/>
      <c r="C130" s="86"/>
      <c r="D130" s="86"/>
      <c r="E130" s="86"/>
      <c r="F130" s="86"/>
      <c r="G130" s="86"/>
      <c r="H130" s="86"/>
      <c r="I130" s="86"/>
      <c r="J130" s="86"/>
      <c r="K130" s="86"/>
      <c r="L130" s="86"/>
      <c r="M130" s="86"/>
      <c r="N130" s="86"/>
      <c r="O130" s="86"/>
      <c r="P130" s="86"/>
      <c r="Q130" s="86"/>
      <c r="R130" s="86"/>
      <c r="S130" s="86"/>
      <c r="T130" s="86"/>
      <c r="U130" s="86"/>
      <c r="V130" s="617"/>
      <c r="W130" s="3179"/>
      <c r="X130" s="3179"/>
      <c r="Y130" s="3179"/>
      <c r="Z130" s="3179"/>
      <c r="AA130" s="3179"/>
      <c r="AB130" s="3179"/>
      <c r="AC130" s="3179"/>
      <c r="AD130" s="3179"/>
      <c r="AE130" s="3179"/>
      <c r="AF130" s="3179"/>
      <c r="AG130" s="3179"/>
      <c r="AH130" s="3179"/>
      <c r="AI130" s="3179"/>
      <c r="AJ130" s="3179"/>
      <c r="AK130" s="3179"/>
      <c r="AL130" s="3179"/>
      <c r="AM130" s="3179"/>
      <c r="AN130" s="3181" t="s">
        <v>525</v>
      </c>
      <c r="AO130" s="3180"/>
      <c r="AP130" s="3180"/>
      <c r="AQ130" s="3180"/>
      <c r="AR130" s="3180"/>
      <c r="AS130" s="3180"/>
      <c r="AT130" s="3180"/>
      <c r="AU130" s="3180"/>
      <c r="AV130" s="3180"/>
      <c r="AW130" s="3180"/>
      <c r="AX130" s="3180"/>
      <c r="AY130" s="3180"/>
      <c r="AZ130" s="3180"/>
      <c r="BA130" s="3180"/>
      <c r="BB130" s="3180"/>
      <c r="BC130" s="3180"/>
      <c r="BD130" s="3180"/>
      <c r="BE130" s="3180"/>
      <c r="BF130" s="3181" t="s">
        <v>525</v>
      </c>
      <c r="BG130" s="86"/>
      <c r="BH130" s="86"/>
      <c r="BI130" s="86"/>
      <c r="BJ130" s="86"/>
      <c r="BK130" s="86"/>
      <c r="BL130" s="86"/>
      <c r="BM130" s="86"/>
      <c r="BN130" s="86"/>
      <c r="BO130" s="86"/>
      <c r="BP130" s="86"/>
      <c r="BQ130" s="86"/>
      <c r="BR130" s="86"/>
      <c r="BS130" s="86"/>
      <c r="BT130" s="86"/>
      <c r="BU130" s="86"/>
      <c r="BV130" s="86"/>
      <c r="BW130" s="86"/>
      <c r="BX130" s="86"/>
      <c r="BY130" s="86"/>
      <c r="BZ130" s="617"/>
    </row>
    <row r="131" spans="2:78" ht="17.100000000000001" customHeight="1" x14ac:dyDescent="0.25">
      <c r="B131" s="617"/>
      <c r="C131" s="86"/>
      <c r="D131" s="86"/>
      <c r="E131" s="86"/>
      <c r="F131" s="86"/>
      <c r="G131" s="86"/>
      <c r="H131" s="86"/>
      <c r="I131" s="86"/>
      <c r="J131" s="86"/>
      <c r="K131" s="86"/>
      <c r="L131" s="86"/>
      <c r="M131" s="86"/>
      <c r="N131" s="86"/>
      <c r="O131" s="86"/>
      <c r="P131" s="86"/>
      <c r="Q131" s="86"/>
      <c r="R131" s="86"/>
      <c r="S131" s="86"/>
      <c r="T131" s="86"/>
      <c r="U131" s="86"/>
      <c r="V131" s="617"/>
      <c r="W131" s="3179"/>
      <c r="X131" s="3179"/>
      <c r="Y131" s="3179"/>
      <c r="Z131" s="3179"/>
      <c r="AA131" s="3179"/>
      <c r="AB131" s="3179"/>
      <c r="AC131" s="3179"/>
      <c r="AD131" s="3179"/>
      <c r="AE131" s="3179"/>
      <c r="AF131" s="3179"/>
      <c r="AG131" s="3179"/>
      <c r="AH131" s="3179"/>
      <c r="AI131" s="3179"/>
      <c r="AJ131" s="3179"/>
      <c r="AK131" s="3179"/>
      <c r="AL131" s="3179"/>
      <c r="AM131" s="3179"/>
      <c r="AN131" s="3181" t="s">
        <v>525</v>
      </c>
      <c r="AO131" s="3180"/>
      <c r="AP131" s="3180"/>
      <c r="AQ131" s="3180"/>
      <c r="AR131" s="3180"/>
      <c r="AS131" s="3180"/>
      <c r="AT131" s="3180"/>
      <c r="AU131" s="3180"/>
      <c r="AV131" s="3180"/>
      <c r="AW131" s="3180"/>
      <c r="AX131" s="3180"/>
      <c r="AY131" s="3180"/>
      <c r="AZ131" s="3180"/>
      <c r="BA131" s="3180"/>
      <c r="BB131" s="3180"/>
      <c r="BC131" s="3180"/>
      <c r="BD131" s="3180"/>
      <c r="BE131" s="3180"/>
      <c r="BF131" s="3181" t="s">
        <v>525</v>
      </c>
      <c r="BG131" s="86"/>
      <c r="BH131" s="86"/>
      <c r="BI131" s="86"/>
      <c r="BJ131" s="86"/>
      <c r="BK131" s="86"/>
      <c r="BL131" s="86"/>
      <c r="BM131" s="86"/>
      <c r="BN131" s="86"/>
      <c r="BO131" s="86"/>
      <c r="BP131" s="86"/>
      <c r="BQ131" s="86"/>
      <c r="BR131" s="86"/>
      <c r="BS131" s="86"/>
      <c r="BT131" s="86"/>
      <c r="BU131" s="86"/>
      <c r="BV131" s="86"/>
      <c r="BW131" s="86"/>
      <c r="BX131" s="86"/>
      <c r="BY131" s="86"/>
      <c r="BZ131" s="617"/>
    </row>
    <row r="132" spans="2:78" ht="17.100000000000001" customHeight="1" x14ac:dyDescent="0.25">
      <c r="B132" s="617"/>
      <c r="C132" s="86"/>
      <c r="D132" s="86"/>
      <c r="E132" s="86"/>
      <c r="F132" s="86"/>
      <c r="G132" s="86"/>
      <c r="H132" s="86"/>
      <c r="I132" s="86"/>
      <c r="J132" s="86"/>
      <c r="K132" s="86"/>
      <c r="L132" s="86"/>
      <c r="M132" s="86"/>
      <c r="N132" s="86"/>
      <c r="O132" s="86"/>
      <c r="P132" s="86"/>
      <c r="Q132" s="86"/>
      <c r="R132" s="86"/>
      <c r="S132" s="86"/>
      <c r="T132" s="86"/>
      <c r="U132" s="86"/>
      <c r="V132" s="617"/>
      <c r="W132" s="3179"/>
      <c r="X132" s="3179"/>
      <c r="Y132" s="3179"/>
      <c r="Z132" s="3179"/>
      <c r="AA132" s="3179"/>
      <c r="AB132" s="3179"/>
      <c r="AC132" s="3179"/>
      <c r="AD132" s="3179"/>
      <c r="AE132" s="3179"/>
      <c r="AF132" s="3179"/>
      <c r="AG132" s="3179"/>
      <c r="AH132" s="3179"/>
      <c r="AI132" s="3179"/>
      <c r="AJ132" s="3179"/>
      <c r="AK132" s="3179"/>
      <c r="AL132" s="3179"/>
      <c r="AM132" s="3179"/>
      <c r="AN132" s="3181" t="s">
        <v>525</v>
      </c>
      <c r="AO132" s="3180"/>
      <c r="AP132" s="3180"/>
      <c r="AQ132" s="3180"/>
      <c r="AR132" s="3180"/>
      <c r="AS132" s="3180"/>
      <c r="AT132" s="3180"/>
      <c r="AU132" s="3180"/>
      <c r="AV132" s="3180"/>
      <c r="AW132" s="3180"/>
      <c r="AX132" s="3180"/>
      <c r="AY132" s="3180"/>
      <c r="AZ132" s="3180"/>
      <c r="BA132" s="3180"/>
      <c r="BB132" s="3180"/>
      <c r="BC132" s="3180"/>
      <c r="BD132" s="3180"/>
      <c r="BE132" s="3180"/>
      <c r="BF132" s="3181" t="s">
        <v>525</v>
      </c>
      <c r="BG132" s="86"/>
      <c r="BH132" s="86"/>
      <c r="BI132" s="86"/>
      <c r="BJ132" s="86"/>
      <c r="BK132" s="86"/>
      <c r="BL132" s="86"/>
      <c r="BM132" s="86"/>
      <c r="BN132" s="86"/>
      <c r="BO132" s="86"/>
      <c r="BP132" s="86"/>
      <c r="BQ132" s="86"/>
      <c r="BR132" s="86"/>
      <c r="BS132" s="86"/>
      <c r="BT132" s="86"/>
      <c r="BU132" s="86"/>
      <c r="BV132" s="86"/>
      <c r="BW132" s="86"/>
      <c r="BX132" s="86"/>
      <c r="BY132" s="86"/>
      <c r="BZ132" s="617"/>
    </row>
    <row r="133" spans="2:78" ht="17.100000000000001" customHeight="1" x14ac:dyDescent="0.25">
      <c r="B133" s="617"/>
      <c r="C133" s="86"/>
      <c r="D133" s="86"/>
      <c r="E133" s="86"/>
      <c r="F133" s="86"/>
      <c r="G133" s="86"/>
      <c r="H133" s="86"/>
      <c r="I133" s="86"/>
      <c r="J133" s="86"/>
      <c r="K133" s="86"/>
      <c r="L133" s="86"/>
      <c r="M133" s="86"/>
      <c r="N133" s="86"/>
      <c r="O133" s="86"/>
      <c r="P133" s="86"/>
      <c r="Q133" s="86"/>
      <c r="R133" s="86"/>
      <c r="S133" s="86"/>
      <c r="T133" s="86"/>
      <c r="U133" s="86"/>
      <c r="V133" s="617"/>
      <c r="W133" s="3179"/>
      <c r="X133" s="3179"/>
      <c r="Y133" s="3179"/>
      <c r="Z133" s="3179"/>
      <c r="AA133" s="3179"/>
      <c r="AB133" s="3179"/>
      <c r="AC133" s="3179"/>
      <c r="AD133" s="3179"/>
      <c r="AE133" s="3179"/>
      <c r="AF133" s="3179"/>
      <c r="AG133" s="3179"/>
      <c r="AH133" s="3179"/>
      <c r="AI133" s="3179"/>
      <c r="AJ133" s="3179"/>
      <c r="AK133" s="3179"/>
      <c r="AL133" s="3179"/>
      <c r="AM133" s="3179"/>
      <c r="AN133" s="3181" t="s">
        <v>525</v>
      </c>
      <c r="AO133" s="3180"/>
      <c r="AP133" s="3180"/>
      <c r="AQ133" s="3180"/>
      <c r="AR133" s="3180"/>
      <c r="AS133" s="3180"/>
      <c r="AT133" s="3180"/>
      <c r="AU133" s="3180"/>
      <c r="AV133" s="3180"/>
      <c r="AW133" s="3180"/>
      <c r="AX133" s="3180"/>
      <c r="AY133" s="3180"/>
      <c r="AZ133" s="3180"/>
      <c r="BA133" s="3180"/>
      <c r="BB133" s="3180"/>
      <c r="BC133" s="3180"/>
      <c r="BD133" s="3180"/>
      <c r="BE133" s="3180"/>
      <c r="BF133" s="3181" t="s">
        <v>525</v>
      </c>
      <c r="BG133" s="86"/>
      <c r="BH133" s="86"/>
      <c r="BI133" s="86"/>
      <c r="BJ133" s="86"/>
      <c r="BK133" s="86"/>
      <c r="BL133" s="86"/>
      <c r="BM133" s="86"/>
      <c r="BN133" s="86"/>
      <c r="BO133" s="86"/>
      <c r="BP133" s="86"/>
      <c r="BQ133" s="86"/>
      <c r="BR133" s="86"/>
      <c r="BS133" s="86"/>
      <c r="BT133" s="86"/>
      <c r="BU133" s="86"/>
      <c r="BV133" s="86"/>
      <c r="BW133" s="86"/>
      <c r="BX133" s="86"/>
      <c r="BY133" s="86"/>
      <c r="BZ133" s="617"/>
    </row>
    <row r="134" spans="2:78" ht="17.100000000000001" customHeight="1" x14ac:dyDescent="0.25">
      <c r="B134" s="617"/>
      <c r="C134" s="86"/>
      <c r="D134" s="86"/>
      <c r="E134" s="86"/>
      <c r="F134" s="86"/>
      <c r="G134" s="86"/>
      <c r="H134" s="86"/>
      <c r="I134" s="86"/>
      <c r="J134" s="86"/>
      <c r="K134" s="86"/>
      <c r="L134" s="86"/>
      <c r="M134" s="86"/>
      <c r="N134" s="86"/>
      <c r="O134" s="86"/>
      <c r="P134" s="86"/>
      <c r="Q134" s="86"/>
      <c r="R134" s="86"/>
      <c r="S134" s="86"/>
      <c r="T134" s="86"/>
      <c r="U134" s="86"/>
      <c r="V134" s="617"/>
      <c r="W134" s="3179"/>
      <c r="X134" s="3179"/>
      <c r="Y134" s="3179"/>
      <c r="Z134" s="3179"/>
      <c r="AA134" s="3179"/>
      <c r="AB134" s="3179"/>
      <c r="AC134" s="3179"/>
      <c r="AD134" s="3179"/>
      <c r="AE134" s="3179"/>
      <c r="AF134" s="3179"/>
      <c r="AG134" s="3179"/>
      <c r="AH134" s="3179"/>
      <c r="AI134" s="3179"/>
      <c r="AJ134" s="3179"/>
      <c r="AK134" s="3179"/>
      <c r="AL134" s="3179"/>
      <c r="AM134" s="3179"/>
      <c r="AN134" s="3181" t="s">
        <v>525</v>
      </c>
      <c r="AO134" s="3180"/>
      <c r="AP134" s="3180"/>
      <c r="AQ134" s="3180"/>
      <c r="AR134" s="3180"/>
      <c r="AS134" s="3180"/>
      <c r="AT134" s="3180"/>
      <c r="AU134" s="3180"/>
      <c r="AV134" s="3180"/>
      <c r="AW134" s="3180"/>
      <c r="AX134" s="3180"/>
      <c r="AY134" s="3180"/>
      <c r="AZ134" s="3180"/>
      <c r="BA134" s="3180"/>
      <c r="BB134" s="3180"/>
      <c r="BC134" s="3180"/>
      <c r="BD134" s="3180"/>
      <c r="BE134" s="3180"/>
      <c r="BF134" s="3181" t="s">
        <v>525</v>
      </c>
      <c r="BG134" s="86"/>
      <c r="BH134" s="86"/>
      <c r="BI134" s="86"/>
      <c r="BJ134" s="86"/>
      <c r="BK134" s="86"/>
      <c r="BL134" s="86"/>
      <c r="BM134" s="86"/>
      <c r="BN134" s="86"/>
      <c r="BO134" s="86"/>
      <c r="BP134" s="86"/>
      <c r="BQ134" s="86"/>
      <c r="BR134" s="86"/>
      <c r="BS134" s="86"/>
      <c r="BT134" s="86"/>
      <c r="BU134" s="86"/>
      <c r="BV134" s="86"/>
      <c r="BW134" s="86"/>
      <c r="BX134" s="86"/>
      <c r="BY134" s="86"/>
      <c r="BZ134" s="617"/>
    </row>
    <row r="135" spans="2:78" ht="17.100000000000001" customHeight="1" x14ac:dyDescent="0.25">
      <c r="B135" s="617"/>
      <c r="C135" s="86"/>
      <c r="D135" s="86"/>
      <c r="E135" s="86"/>
      <c r="F135" s="86"/>
      <c r="G135" s="86"/>
      <c r="H135" s="86"/>
      <c r="I135" s="86"/>
      <c r="J135" s="86"/>
      <c r="K135" s="86"/>
      <c r="L135" s="86"/>
      <c r="M135" s="86"/>
      <c r="N135" s="86"/>
      <c r="O135" s="86"/>
      <c r="P135" s="86"/>
      <c r="Q135" s="86"/>
      <c r="R135" s="86"/>
      <c r="S135" s="86"/>
      <c r="T135" s="86"/>
      <c r="U135" s="86"/>
      <c r="V135" s="617"/>
      <c r="W135" s="3179"/>
      <c r="X135" s="3179"/>
      <c r="Y135" s="3179"/>
      <c r="Z135" s="3179"/>
      <c r="AA135" s="3179"/>
      <c r="AB135" s="3179"/>
      <c r="AC135" s="3179"/>
      <c r="AD135" s="3179"/>
      <c r="AE135" s="3179"/>
      <c r="AF135" s="3179"/>
      <c r="AG135" s="3179"/>
      <c r="AH135" s="3179"/>
      <c r="AI135" s="3179"/>
      <c r="AJ135" s="3179"/>
      <c r="AK135" s="3179"/>
      <c r="AL135" s="3179"/>
      <c r="AM135" s="3179"/>
      <c r="AN135" s="3181" t="s">
        <v>525</v>
      </c>
      <c r="AO135" s="3180"/>
      <c r="AP135" s="3180"/>
      <c r="AQ135" s="3180"/>
      <c r="AR135" s="3180"/>
      <c r="AS135" s="3180"/>
      <c r="AT135" s="3180"/>
      <c r="AU135" s="3180"/>
      <c r="AV135" s="3180"/>
      <c r="AW135" s="3180"/>
      <c r="AX135" s="3180"/>
      <c r="AY135" s="3180"/>
      <c r="AZ135" s="3180"/>
      <c r="BA135" s="3180"/>
      <c r="BB135" s="3180"/>
      <c r="BC135" s="3180"/>
      <c r="BD135" s="3180"/>
      <c r="BE135" s="3180"/>
      <c r="BF135" s="3181" t="s">
        <v>525</v>
      </c>
      <c r="BG135" s="86"/>
      <c r="BH135" s="86"/>
      <c r="BI135" s="86"/>
      <c r="BJ135" s="86"/>
      <c r="BK135" s="86"/>
      <c r="BL135" s="86"/>
      <c r="BM135" s="86"/>
      <c r="BN135" s="86"/>
      <c r="BO135" s="86"/>
      <c r="BP135" s="86"/>
      <c r="BQ135" s="86"/>
      <c r="BR135" s="86"/>
      <c r="BS135" s="86"/>
      <c r="BT135" s="86"/>
      <c r="BU135" s="86"/>
      <c r="BV135" s="86"/>
      <c r="BW135" s="86"/>
      <c r="BX135" s="86"/>
      <c r="BY135" s="86"/>
      <c r="BZ135" s="617"/>
    </row>
    <row r="136" spans="2:78" ht="17.100000000000001" customHeight="1" x14ac:dyDescent="0.25">
      <c r="B136" s="617"/>
      <c r="C136" s="86"/>
      <c r="D136" s="86"/>
      <c r="E136" s="86"/>
      <c r="F136" s="86"/>
      <c r="G136" s="86"/>
      <c r="H136" s="86"/>
      <c r="I136" s="86"/>
      <c r="J136" s="86"/>
      <c r="K136" s="86"/>
      <c r="L136" s="86"/>
      <c r="M136" s="86"/>
      <c r="N136" s="86"/>
      <c r="O136" s="86"/>
      <c r="P136" s="86"/>
      <c r="Q136" s="86"/>
      <c r="R136" s="86"/>
      <c r="S136" s="86"/>
      <c r="T136" s="86"/>
      <c r="U136" s="86"/>
      <c r="V136" s="617"/>
      <c r="W136" s="3179"/>
      <c r="X136" s="3179"/>
      <c r="Y136" s="3179"/>
      <c r="Z136" s="3179"/>
      <c r="AA136" s="3179"/>
      <c r="AB136" s="3179"/>
      <c r="AC136" s="3179"/>
      <c r="AD136" s="3179"/>
      <c r="AE136" s="3179"/>
      <c r="AF136" s="3179"/>
      <c r="AG136" s="3179"/>
      <c r="AH136" s="3179"/>
      <c r="AI136" s="3179"/>
      <c r="AJ136" s="3179"/>
      <c r="AK136" s="3179"/>
      <c r="AL136" s="3179"/>
      <c r="AM136" s="3179"/>
      <c r="AN136" s="3181" t="s">
        <v>525</v>
      </c>
      <c r="AO136" s="3180"/>
      <c r="AP136" s="3180"/>
      <c r="AQ136" s="3180"/>
      <c r="AR136" s="3180"/>
      <c r="AS136" s="3180"/>
      <c r="AT136" s="3180"/>
      <c r="AU136" s="3180"/>
      <c r="AV136" s="3180"/>
      <c r="AW136" s="3180"/>
      <c r="AX136" s="3180"/>
      <c r="AY136" s="3180"/>
      <c r="AZ136" s="3180"/>
      <c r="BA136" s="3180"/>
      <c r="BB136" s="3180"/>
      <c r="BC136" s="3180"/>
      <c r="BD136" s="3180"/>
      <c r="BE136" s="3180"/>
      <c r="BF136" s="3181" t="s">
        <v>525</v>
      </c>
      <c r="BG136" s="86"/>
      <c r="BH136" s="86"/>
      <c r="BI136" s="86"/>
      <c r="BJ136" s="86"/>
      <c r="BK136" s="86"/>
      <c r="BL136" s="86"/>
      <c r="BM136" s="86"/>
      <c r="BN136" s="86"/>
      <c r="BO136" s="86"/>
      <c r="BP136" s="86"/>
      <c r="BQ136" s="86"/>
      <c r="BR136" s="86"/>
      <c r="BS136" s="86"/>
      <c r="BT136" s="86"/>
      <c r="BU136" s="86"/>
      <c r="BV136" s="86"/>
      <c r="BW136" s="86"/>
      <c r="BX136" s="86"/>
      <c r="BY136" s="86"/>
      <c r="BZ136" s="617"/>
    </row>
    <row r="137" spans="2:78" ht="17.100000000000001" customHeight="1" x14ac:dyDescent="0.25">
      <c r="B137" s="617"/>
      <c r="C137" s="86"/>
      <c r="D137" s="86"/>
      <c r="E137" s="86"/>
      <c r="F137" s="86"/>
      <c r="G137" s="86"/>
      <c r="H137" s="86"/>
      <c r="I137" s="86"/>
      <c r="J137" s="86"/>
      <c r="K137" s="86"/>
      <c r="L137" s="86"/>
      <c r="M137" s="86"/>
      <c r="N137" s="86"/>
      <c r="O137" s="86"/>
      <c r="P137" s="86"/>
      <c r="Q137" s="86"/>
      <c r="R137" s="86"/>
      <c r="S137" s="86"/>
      <c r="T137" s="86"/>
      <c r="U137" s="86"/>
      <c r="V137" s="617"/>
      <c r="W137" s="3179"/>
      <c r="X137" s="3179"/>
      <c r="Y137" s="3179"/>
      <c r="Z137" s="3179"/>
      <c r="AA137" s="3179"/>
      <c r="AB137" s="3179"/>
      <c r="AC137" s="3179"/>
      <c r="AD137" s="3179"/>
      <c r="AE137" s="3179"/>
      <c r="AF137" s="3179"/>
      <c r="AG137" s="3179"/>
      <c r="AH137" s="3179"/>
      <c r="AI137" s="3179"/>
      <c r="AJ137" s="3179"/>
      <c r="AK137" s="3179"/>
      <c r="AL137" s="3179"/>
      <c r="AM137" s="3179"/>
      <c r="AN137" s="3181" t="s">
        <v>525</v>
      </c>
      <c r="AO137" s="3180"/>
      <c r="AP137" s="3180"/>
      <c r="AQ137" s="3180"/>
      <c r="AR137" s="3180"/>
      <c r="AS137" s="3180"/>
      <c r="AT137" s="3180"/>
      <c r="AU137" s="3180"/>
      <c r="AV137" s="3180"/>
      <c r="AW137" s="3180"/>
      <c r="AX137" s="3180"/>
      <c r="AY137" s="3180"/>
      <c r="AZ137" s="3180"/>
      <c r="BA137" s="3180"/>
      <c r="BB137" s="3180"/>
      <c r="BC137" s="3180"/>
      <c r="BD137" s="3180"/>
      <c r="BE137" s="3180"/>
      <c r="BF137" s="3181" t="s">
        <v>525</v>
      </c>
      <c r="BG137" s="86"/>
      <c r="BH137" s="86"/>
      <c r="BI137" s="86"/>
      <c r="BJ137" s="86"/>
      <c r="BK137" s="86"/>
      <c r="BL137" s="86"/>
      <c r="BM137" s="86"/>
      <c r="BN137" s="86"/>
      <c r="BO137" s="86"/>
      <c r="BP137" s="86"/>
      <c r="BQ137" s="86"/>
      <c r="BR137" s="86"/>
      <c r="BS137" s="86"/>
      <c r="BT137" s="86"/>
      <c r="BU137" s="86"/>
      <c r="BV137" s="86"/>
      <c r="BW137" s="86"/>
      <c r="BX137" s="86"/>
      <c r="BY137" s="86"/>
      <c r="BZ137" s="617"/>
    </row>
    <row r="138" spans="2:78" ht="17.100000000000001" customHeight="1" x14ac:dyDescent="0.25">
      <c r="B138" s="617"/>
      <c r="C138" s="86"/>
      <c r="D138" s="86"/>
      <c r="E138" s="86"/>
      <c r="F138" s="86"/>
      <c r="G138" s="86"/>
      <c r="H138" s="86"/>
      <c r="I138" s="86"/>
      <c r="J138" s="86"/>
      <c r="K138" s="86"/>
      <c r="L138" s="86"/>
      <c r="M138" s="86"/>
      <c r="N138" s="86"/>
      <c r="O138" s="86"/>
      <c r="P138" s="86"/>
      <c r="Q138" s="86"/>
      <c r="R138" s="86"/>
      <c r="S138" s="86"/>
      <c r="T138" s="86"/>
      <c r="U138" s="86"/>
      <c r="V138" s="617"/>
      <c r="W138" s="3179"/>
      <c r="X138" s="3179"/>
      <c r="Y138" s="3179"/>
      <c r="Z138" s="3179"/>
      <c r="AA138" s="3179"/>
      <c r="AB138" s="3179"/>
      <c r="AC138" s="3179"/>
      <c r="AD138" s="3179"/>
      <c r="AE138" s="3179"/>
      <c r="AF138" s="3179"/>
      <c r="AG138" s="3179"/>
      <c r="AH138" s="3179"/>
      <c r="AI138" s="3179"/>
      <c r="AJ138" s="3179"/>
      <c r="AK138" s="3179"/>
      <c r="AL138" s="3179"/>
      <c r="AM138" s="3179"/>
      <c r="AN138" s="3181" t="s">
        <v>525</v>
      </c>
      <c r="AO138" s="3180"/>
      <c r="AP138" s="3180"/>
      <c r="AQ138" s="3180"/>
      <c r="AR138" s="3180"/>
      <c r="AS138" s="3180"/>
      <c r="AT138" s="3180"/>
      <c r="AU138" s="3180"/>
      <c r="AV138" s="3180"/>
      <c r="AW138" s="3180"/>
      <c r="AX138" s="3180"/>
      <c r="AY138" s="3180"/>
      <c r="AZ138" s="3180"/>
      <c r="BA138" s="3180"/>
      <c r="BB138" s="3180"/>
      <c r="BC138" s="3180"/>
      <c r="BD138" s="3180"/>
      <c r="BE138" s="3180"/>
      <c r="BF138" s="3181" t="s">
        <v>525</v>
      </c>
      <c r="BG138" s="86"/>
      <c r="BH138" s="86"/>
      <c r="BI138" s="86"/>
      <c r="BJ138" s="86"/>
      <c r="BK138" s="86"/>
      <c r="BL138" s="86"/>
      <c r="BM138" s="86"/>
      <c r="BN138" s="86"/>
      <c r="BO138" s="86"/>
      <c r="BP138" s="86"/>
      <c r="BQ138" s="86"/>
      <c r="BR138" s="86"/>
      <c r="BS138" s="86"/>
      <c r="BT138" s="86"/>
      <c r="BU138" s="86"/>
      <c r="BV138" s="86"/>
      <c r="BW138" s="86"/>
      <c r="BX138" s="86"/>
      <c r="BY138" s="86"/>
      <c r="BZ138" s="617"/>
    </row>
    <row r="139" spans="2:78" ht="17.100000000000001" customHeight="1" x14ac:dyDescent="0.25">
      <c r="B139" s="617"/>
      <c r="C139" s="86"/>
      <c r="D139" s="86"/>
      <c r="E139" s="86"/>
      <c r="F139" s="86"/>
      <c r="G139" s="86"/>
      <c r="H139" s="86"/>
      <c r="I139" s="86"/>
      <c r="J139" s="86"/>
      <c r="K139" s="86"/>
      <c r="L139" s="86"/>
      <c r="M139" s="86"/>
      <c r="N139" s="86"/>
      <c r="O139" s="86"/>
      <c r="P139" s="86"/>
      <c r="Q139" s="86"/>
      <c r="R139" s="86"/>
      <c r="S139" s="86"/>
      <c r="T139" s="86"/>
      <c r="U139" s="86"/>
      <c r="V139" s="617"/>
      <c r="W139" s="3179"/>
      <c r="X139" s="3179"/>
      <c r="Y139" s="3179"/>
      <c r="Z139" s="3179"/>
      <c r="AA139" s="3179"/>
      <c r="AB139" s="3179"/>
      <c r="AC139" s="3179"/>
      <c r="AD139" s="3179"/>
      <c r="AE139" s="3179"/>
      <c r="AF139" s="3179"/>
      <c r="AG139" s="3179"/>
      <c r="AH139" s="3179"/>
      <c r="AI139" s="3179"/>
      <c r="AJ139" s="3179"/>
      <c r="AK139" s="3179"/>
      <c r="AL139" s="3179"/>
      <c r="AM139" s="3179"/>
      <c r="AN139" s="3181" t="s">
        <v>525</v>
      </c>
      <c r="AO139" s="3180"/>
      <c r="AP139" s="3180"/>
      <c r="AQ139" s="3180"/>
      <c r="AR139" s="3180"/>
      <c r="AS139" s="3180"/>
      <c r="AT139" s="3180"/>
      <c r="AU139" s="3180"/>
      <c r="AV139" s="3180"/>
      <c r="AW139" s="3180"/>
      <c r="AX139" s="3180"/>
      <c r="AY139" s="3180"/>
      <c r="AZ139" s="3180"/>
      <c r="BA139" s="3180"/>
      <c r="BB139" s="3180"/>
      <c r="BC139" s="3180"/>
      <c r="BD139" s="3180"/>
      <c r="BE139" s="3180"/>
      <c r="BF139" s="3181" t="s">
        <v>525</v>
      </c>
      <c r="BG139" s="86"/>
      <c r="BH139" s="86"/>
      <c r="BI139" s="86"/>
      <c r="BJ139" s="86"/>
      <c r="BK139" s="86"/>
      <c r="BL139" s="86"/>
      <c r="BM139" s="86"/>
      <c r="BN139" s="86"/>
      <c r="BO139" s="86"/>
      <c r="BP139" s="86"/>
      <c r="BQ139" s="86"/>
      <c r="BR139" s="86"/>
      <c r="BS139" s="86"/>
      <c r="BT139" s="86"/>
      <c r="BU139" s="86"/>
      <c r="BV139" s="86"/>
      <c r="BW139" s="86"/>
      <c r="BX139" s="86"/>
      <c r="BY139" s="86"/>
      <c r="BZ139" s="617"/>
    </row>
    <row r="140" spans="2:78" ht="17.100000000000001" customHeight="1" x14ac:dyDescent="0.25">
      <c r="B140" s="617"/>
      <c r="C140" s="86"/>
      <c r="D140" s="86"/>
      <c r="E140" s="86"/>
      <c r="F140" s="86"/>
      <c r="G140" s="86"/>
      <c r="H140" s="86"/>
      <c r="I140" s="86"/>
      <c r="J140" s="86"/>
      <c r="K140" s="86"/>
      <c r="L140" s="86"/>
      <c r="M140" s="86"/>
      <c r="N140" s="86"/>
      <c r="O140" s="86"/>
      <c r="P140" s="86"/>
      <c r="Q140" s="86"/>
      <c r="R140" s="86"/>
      <c r="S140" s="86"/>
      <c r="T140" s="86"/>
      <c r="U140" s="86"/>
      <c r="V140" s="617"/>
      <c r="W140" s="3179"/>
      <c r="X140" s="3179"/>
      <c r="Y140" s="3179"/>
      <c r="Z140" s="3179"/>
      <c r="AA140" s="3179"/>
      <c r="AB140" s="3179"/>
      <c r="AC140" s="3179"/>
      <c r="AD140" s="3179"/>
      <c r="AE140" s="3179"/>
      <c r="AF140" s="3179"/>
      <c r="AG140" s="3179"/>
      <c r="AH140" s="3179"/>
      <c r="AI140" s="3179"/>
      <c r="AJ140" s="3179"/>
      <c r="AK140" s="3179"/>
      <c r="AL140" s="3179"/>
      <c r="AM140" s="3179"/>
      <c r="AN140" s="3181" t="s">
        <v>525</v>
      </c>
      <c r="AO140" s="3180"/>
      <c r="AP140" s="3180"/>
      <c r="AQ140" s="3180"/>
      <c r="AR140" s="3180"/>
      <c r="AS140" s="3180"/>
      <c r="AT140" s="3180"/>
      <c r="AU140" s="3180"/>
      <c r="AV140" s="3180"/>
      <c r="AW140" s="3180"/>
      <c r="AX140" s="3180"/>
      <c r="AY140" s="3180"/>
      <c r="AZ140" s="3180"/>
      <c r="BA140" s="3180"/>
      <c r="BB140" s="3180"/>
      <c r="BC140" s="3180"/>
      <c r="BD140" s="3180"/>
      <c r="BE140" s="3180"/>
      <c r="BF140" s="3181" t="s">
        <v>525</v>
      </c>
      <c r="BG140" s="86"/>
      <c r="BH140" s="86"/>
      <c r="BI140" s="86"/>
      <c r="BJ140" s="86"/>
      <c r="BK140" s="86"/>
      <c r="BL140" s="86"/>
      <c r="BM140" s="86"/>
      <c r="BN140" s="86"/>
      <c r="BO140" s="86"/>
      <c r="BP140" s="86"/>
      <c r="BQ140" s="86"/>
      <c r="BR140" s="86"/>
      <c r="BS140" s="86"/>
      <c r="BT140" s="86"/>
      <c r="BU140" s="86"/>
      <c r="BV140" s="86"/>
      <c r="BW140" s="86"/>
      <c r="BX140" s="86"/>
      <c r="BY140" s="86"/>
      <c r="BZ140" s="617"/>
    </row>
    <row r="141" spans="2:78" ht="17.100000000000001" customHeight="1" x14ac:dyDescent="0.25">
      <c r="B141" s="617"/>
      <c r="C141" s="86"/>
      <c r="D141" s="86"/>
      <c r="E141" s="86"/>
      <c r="F141" s="86"/>
      <c r="G141" s="86"/>
      <c r="H141" s="86"/>
      <c r="I141" s="86"/>
      <c r="J141" s="86"/>
      <c r="K141" s="86"/>
      <c r="L141" s="86"/>
      <c r="M141" s="86"/>
      <c r="N141" s="86"/>
      <c r="O141" s="86"/>
      <c r="P141" s="86"/>
      <c r="Q141" s="86"/>
      <c r="R141" s="86"/>
      <c r="S141" s="86"/>
      <c r="T141" s="86"/>
      <c r="U141" s="86"/>
      <c r="V141" s="617"/>
      <c r="W141" s="3179"/>
      <c r="X141" s="3179"/>
      <c r="Y141" s="3179"/>
      <c r="Z141" s="3179"/>
      <c r="AA141" s="3179"/>
      <c r="AB141" s="3179"/>
      <c r="AC141" s="3179"/>
      <c r="AD141" s="3179"/>
      <c r="AE141" s="3179"/>
      <c r="AF141" s="3179"/>
      <c r="AG141" s="3179"/>
      <c r="AH141" s="3179"/>
      <c r="AI141" s="3179"/>
      <c r="AJ141" s="3179"/>
      <c r="AK141" s="3179"/>
      <c r="AL141" s="3179"/>
      <c r="AM141" s="3179"/>
      <c r="AN141" s="3181" t="s">
        <v>525</v>
      </c>
      <c r="AO141" s="3180"/>
      <c r="AP141" s="3180"/>
      <c r="AQ141" s="3180"/>
      <c r="AR141" s="3180"/>
      <c r="AS141" s="3180"/>
      <c r="AT141" s="3180"/>
      <c r="AU141" s="3180"/>
      <c r="AV141" s="3180"/>
      <c r="AW141" s="3180"/>
      <c r="AX141" s="3180"/>
      <c r="AY141" s="3180"/>
      <c r="AZ141" s="3180"/>
      <c r="BA141" s="3180"/>
      <c r="BB141" s="3180"/>
      <c r="BC141" s="3180"/>
      <c r="BD141" s="3180"/>
      <c r="BE141" s="3180"/>
      <c r="BF141" s="3181" t="s">
        <v>525</v>
      </c>
      <c r="BG141" s="86"/>
      <c r="BH141" s="86"/>
      <c r="BI141" s="86"/>
      <c r="BJ141" s="86"/>
      <c r="BK141" s="86"/>
      <c r="BL141" s="86"/>
      <c r="BM141" s="86"/>
      <c r="BN141" s="86"/>
      <c r="BO141" s="86"/>
      <c r="BP141" s="86"/>
      <c r="BQ141" s="86"/>
      <c r="BR141" s="86"/>
      <c r="BS141" s="86"/>
      <c r="BT141" s="86"/>
      <c r="BU141" s="86"/>
      <c r="BV141" s="86"/>
      <c r="BW141" s="86"/>
      <c r="BX141" s="86"/>
      <c r="BY141" s="86"/>
      <c r="BZ141" s="617"/>
    </row>
    <row r="142" spans="2:78" ht="17.100000000000001" customHeight="1" x14ac:dyDescent="0.25">
      <c r="B142" s="617"/>
      <c r="C142" s="86"/>
      <c r="D142" s="86"/>
      <c r="E142" s="86"/>
      <c r="F142" s="86"/>
      <c r="G142" s="86"/>
      <c r="H142" s="86"/>
      <c r="I142" s="86"/>
      <c r="J142" s="86"/>
      <c r="K142" s="86"/>
      <c r="L142" s="86"/>
      <c r="M142" s="86"/>
      <c r="N142" s="86"/>
      <c r="O142" s="86"/>
      <c r="P142" s="86"/>
      <c r="Q142" s="86"/>
      <c r="R142" s="86"/>
      <c r="S142" s="86"/>
      <c r="T142" s="86"/>
      <c r="U142" s="86"/>
      <c r="V142" s="617"/>
      <c r="W142" s="3179"/>
      <c r="X142" s="3179"/>
      <c r="Y142" s="3179"/>
      <c r="Z142" s="3179"/>
      <c r="AA142" s="3179"/>
      <c r="AB142" s="3179"/>
      <c r="AC142" s="3179"/>
      <c r="AD142" s="3179"/>
      <c r="AE142" s="3179"/>
      <c r="AF142" s="3179"/>
      <c r="AG142" s="3179"/>
      <c r="AH142" s="3179"/>
      <c r="AI142" s="3179"/>
      <c r="AJ142" s="3179"/>
      <c r="AK142" s="3179"/>
      <c r="AL142" s="3179"/>
      <c r="AM142" s="3179"/>
      <c r="AN142" s="3181" t="s">
        <v>525</v>
      </c>
      <c r="AO142" s="3180"/>
      <c r="AP142" s="3180"/>
      <c r="AQ142" s="3180"/>
      <c r="AR142" s="3180"/>
      <c r="AS142" s="3180"/>
      <c r="AT142" s="3180"/>
      <c r="AU142" s="3180"/>
      <c r="AV142" s="3180"/>
      <c r="AW142" s="3180"/>
      <c r="AX142" s="3180"/>
      <c r="AY142" s="3180"/>
      <c r="AZ142" s="3180"/>
      <c r="BA142" s="3180"/>
      <c r="BB142" s="3180"/>
      <c r="BC142" s="3180"/>
      <c r="BD142" s="3180"/>
      <c r="BE142" s="3180"/>
      <c r="BF142" s="3181" t="s">
        <v>525</v>
      </c>
      <c r="BG142" s="86"/>
      <c r="BH142" s="86"/>
      <c r="BI142" s="86"/>
      <c r="BJ142" s="86"/>
      <c r="BK142" s="86"/>
      <c r="BL142" s="86"/>
      <c r="BM142" s="86"/>
      <c r="BN142" s="86"/>
      <c r="BO142" s="86"/>
      <c r="BP142" s="86"/>
      <c r="BQ142" s="86"/>
      <c r="BR142" s="86"/>
      <c r="BS142" s="86"/>
      <c r="BT142" s="86"/>
      <c r="BU142" s="86"/>
      <c r="BV142" s="86"/>
      <c r="BW142" s="86"/>
      <c r="BX142" s="86"/>
      <c r="BY142" s="86"/>
      <c r="BZ142" s="617"/>
    </row>
    <row r="143" spans="2:78" ht="17.100000000000001" customHeight="1" x14ac:dyDescent="0.25">
      <c r="B143" s="617"/>
      <c r="C143" s="86"/>
      <c r="D143" s="86"/>
      <c r="E143" s="86"/>
      <c r="F143" s="86"/>
      <c r="G143" s="86"/>
      <c r="H143" s="86"/>
      <c r="I143" s="86"/>
      <c r="J143" s="86"/>
      <c r="K143" s="86"/>
      <c r="L143" s="86"/>
      <c r="M143" s="86"/>
      <c r="N143" s="86"/>
      <c r="O143" s="86"/>
      <c r="P143" s="86"/>
      <c r="Q143" s="86"/>
      <c r="R143" s="86"/>
      <c r="S143" s="86"/>
      <c r="T143" s="86"/>
      <c r="U143" s="86"/>
      <c r="V143" s="617"/>
      <c r="W143" s="3179"/>
      <c r="X143" s="3179"/>
      <c r="Y143" s="3179"/>
      <c r="Z143" s="3179"/>
      <c r="AA143" s="3179"/>
      <c r="AB143" s="3179"/>
      <c r="AC143" s="3179"/>
      <c r="AD143" s="3179"/>
      <c r="AE143" s="3179"/>
      <c r="AF143" s="3179"/>
      <c r="AG143" s="3179"/>
      <c r="AH143" s="3179"/>
      <c r="AI143" s="3179"/>
      <c r="AJ143" s="3179"/>
      <c r="AK143" s="3179"/>
      <c r="AL143" s="3179"/>
      <c r="AM143" s="3179"/>
      <c r="AN143" s="3181" t="s">
        <v>525</v>
      </c>
      <c r="AO143" s="3180"/>
      <c r="AP143" s="3180"/>
      <c r="AQ143" s="3180"/>
      <c r="AR143" s="3180"/>
      <c r="AS143" s="3180"/>
      <c r="AT143" s="3180"/>
      <c r="AU143" s="3180"/>
      <c r="AV143" s="3180"/>
      <c r="AW143" s="3180"/>
      <c r="AX143" s="3180"/>
      <c r="AY143" s="3180"/>
      <c r="AZ143" s="3180"/>
      <c r="BA143" s="3180"/>
      <c r="BB143" s="3180"/>
      <c r="BC143" s="3180"/>
      <c r="BD143" s="3180"/>
      <c r="BE143" s="3180"/>
      <c r="BF143" s="3181" t="s">
        <v>525</v>
      </c>
      <c r="BG143" s="86"/>
      <c r="BH143" s="86"/>
      <c r="BI143" s="86"/>
      <c r="BJ143" s="86"/>
      <c r="BK143" s="86"/>
      <c r="BL143" s="86"/>
      <c r="BM143" s="86"/>
      <c r="BN143" s="86"/>
      <c r="BO143" s="86"/>
      <c r="BP143" s="86"/>
      <c r="BQ143" s="86"/>
      <c r="BR143" s="86"/>
      <c r="BS143" s="86"/>
      <c r="BT143" s="86"/>
      <c r="BU143" s="86"/>
      <c r="BV143" s="86"/>
      <c r="BW143" s="86"/>
      <c r="BX143" s="86"/>
      <c r="BY143" s="86"/>
      <c r="BZ143" s="617"/>
    </row>
    <row r="144" spans="2:78" ht="17.100000000000001" customHeight="1" x14ac:dyDescent="0.25">
      <c r="B144" s="617"/>
      <c r="C144" s="86"/>
      <c r="D144" s="86"/>
      <c r="E144" s="86"/>
      <c r="F144" s="86"/>
      <c r="G144" s="86"/>
      <c r="H144" s="86"/>
      <c r="I144" s="86"/>
      <c r="J144" s="86"/>
      <c r="K144" s="86"/>
      <c r="L144" s="86"/>
      <c r="M144" s="86"/>
      <c r="N144" s="86"/>
      <c r="O144" s="86"/>
      <c r="P144" s="86"/>
      <c r="Q144" s="86"/>
      <c r="R144" s="86"/>
      <c r="S144" s="86"/>
      <c r="T144" s="86"/>
      <c r="U144" s="86"/>
      <c r="V144" s="617"/>
      <c r="W144" s="3179"/>
      <c r="X144" s="3179"/>
      <c r="Y144" s="3179"/>
      <c r="Z144" s="3179"/>
      <c r="AA144" s="3179"/>
      <c r="AB144" s="3179"/>
      <c r="AC144" s="3179"/>
      <c r="AD144" s="3179"/>
      <c r="AE144" s="3179"/>
      <c r="AF144" s="3179"/>
      <c r="AG144" s="3179"/>
      <c r="AH144" s="3179"/>
      <c r="AI144" s="3179"/>
      <c r="AJ144" s="3179"/>
      <c r="AK144" s="3179"/>
      <c r="AL144" s="3179"/>
      <c r="AM144" s="3179"/>
      <c r="AN144" s="3181" t="s">
        <v>525</v>
      </c>
      <c r="AO144" s="3180"/>
      <c r="AP144" s="3180"/>
      <c r="AQ144" s="3180"/>
      <c r="AR144" s="3180"/>
      <c r="AS144" s="3180"/>
      <c r="AT144" s="3180"/>
      <c r="AU144" s="3180"/>
      <c r="AV144" s="3180"/>
      <c r="AW144" s="3180"/>
      <c r="AX144" s="3180"/>
      <c r="AY144" s="3180"/>
      <c r="AZ144" s="3180"/>
      <c r="BA144" s="3180"/>
      <c r="BB144" s="3180"/>
      <c r="BC144" s="3180"/>
      <c r="BD144" s="3180"/>
      <c r="BE144" s="3180"/>
      <c r="BF144" s="3181" t="s">
        <v>525</v>
      </c>
      <c r="BG144" s="86"/>
      <c r="BH144" s="86"/>
      <c r="BI144" s="86"/>
      <c r="BJ144" s="86"/>
      <c r="BK144" s="86"/>
      <c r="BL144" s="86"/>
      <c r="BM144" s="86"/>
      <c r="BN144" s="86"/>
      <c r="BO144" s="86"/>
      <c r="BP144" s="86"/>
      <c r="BQ144" s="86"/>
      <c r="BR144" s="86"/>
      <c r="BS144" s="86"/>
      <c r="BT144" s="86"/>
      <c r="BU144" s="86"/>
      <c r="BV144" s="86"/>
      <c r="BW144" s="86"/>
      <c r="BX144" s="86"/>
      <c r="BY144" s="86"/>
      <c r="BZ144" s="617"/>
    </row>
    <row r="145" spans="2:78" ht="17.100000000000001" customHeight="1" x14ac:dyDescent="0.25">
      <c r="B145" s="617"/>
      <c r="C145" s="86"/>
      <c r="D145" s="86"/>
      <c r="E145" s="86"/>
      <c r="F145" s="86"/>
      <c r="G145" s="86"/>
      <c r="H145" s="86"/>
      <c r="I145" s="86"/>
      <c r="J145" s="86"/>
      <c r="K145" s="86"/>
      <c r="L145" s="86"/>
      <c r="M145" s="86"/>
      <c r="N145" s="86"/>
      <c r="O145" s="86"/>
      <c r="P145" s="86"/>
      <c r="Q145" s="86"/>
      <c r="R145" s="86"/>
      <c r="S145" s="86"/>
      <c r="T145" s="86"/>
      <c r="U145" s="86"/>
      <c r="V145" s="617"/>
      <c r="W145" s="3179"/>
      <c r="X145" s="3179"/>
      <c r="Y145" s="3179"/>
      <c r="Z145" s="3179"/>
      <c r="AA145" s="3179"/>
      <c r="AB145" s="3179"/>
      <c r="AC145" s="3179"/>
      <c r="AD145" s="3179"/>
      <c r="AE145" s="3179"/>
      <c r="AF145" s="3179"/>
      <c r="AG145" s="3179"/>
      <c r="AH145" s="3179"/>
      <c r="AI145" s="3179"/>
      <c r="AJ145" s="3179"/>
      <c r="AK145" s="3179"/>
      <c r="AL145" s="3179"/>
      <c r="AM145" s="3179"/>
      <c r="AN145" s="3181" t="s">
        <v>525</v>
      </c>
      <c r="AO145" s="3180"/>
      <c r="AP145" s="3180"/>
      <c r="AQ145" s="3180"/>
      <c r="AR145" s="3180"/>
      <c r="AS145" s="3180"/>
      <c r="AT145" s="3180"/>
      <c r="AU145" s="3180"/>
      <c r="AV145" s="3180"/>
      <c r="AW145" s="3180"/>
      <c r="AX145" s="3180"/>
      <c r="AY145" s="3180"/>
      <c r="AZ145" s="3180"/>
      <c r="BA145" s="3180"/>
      <c r="BB145" s="3180"/>
      <c r="BC145" s="3180"/>
      <c r="BD145" s="3180"/>
      <c r="BE145" s="3180"/>
      <c r="BF145" s="3181" t="s">
        <v>525</v>
      </c>
      <c r="BG145" s="86"/>
      <c r="BH145" s="86"/>
      <c r="BI145" s="86"/>
      <c r="BJ145" s="86"/>
      <c r="BK145" s="86"/>
      <c r="BL145" s="86"/>
      <c r="BM145" s="86"/>
      <c r="BN145" s="86"/>
      <c r="BO145" s="86"/>
      <c r="BP145" s="86"/>
      <c r="BQ145" s="86"/>
      <c r="BR145" s="86"/>
      <c r="BS145" s="86"/>
      <c r="BT145" s="86"/>
      <c r="BU145" s="86"/>
      <c r="BV145" s="86"/>
      <c r="BW145" s="86"/>
      <c r="BX145" s="86"/>
      <c r="BY145" s="86"/>
      <c r="BZ145" s="617"/>
    </row>
    <row r="146" spans="2:78" ht="17.100000000000001" customHeight="1" x14ac:dyDescent="0.25">
      <c r="B146" s="617"/>
      <c r="C146" s="86"/>
      <c r="D146" s="86"/>
      <c r="E146" s="86"/>
      <c r="F146" s="86"/>
      <c r="G146" s="86"/>
      <c r="H146" s="86"/>
      <c r="I146" s="86"/>
      <c r="J146" s="86"/>
      <c r="K146" s="86"/>
      <c r="L146" s="86"/>
      <c r="M146" s="86"/>
      <c r="N146" s="86"/>
      <c r="O146" s="86"/>
      <c r="P146" s="86"/>
      <c r="Q146" s="86"/>
      <c r="R146" s="86"/>
      <c r="S146" s="86"/>
      <c r="T146" s="86"/>
      <c r="U146" s="86"/>
      <c r="V146" s="617"/>
      <c r="W146" s="3179"/>
      <c r="X146" s="3179"/>
      <c r="Y146" s="3179"/>
      <c r="Z146" s="3179"/>
      <c r="AA146" s="3179"/>
      <c r="AB146" s="3179"/>
      <c r="AC146" s="3179"/>
      <c r="AD146" s="3179"/>
      <c r="AE146" s="3179"/>
      <c r="AF146" s="3179"/>
      <c r="AG146" s="3179"/>
      <c r="AH146" s="3179"/>
      <c r="AI146" s="3179"/>
      <c r="AJ146" s="3179"/>
      <c r="AK146" s="3179"/>
      <c r="AL146" s="3179"/>
      <c r="AM146" s="3179"/>
      <c r="AN146" s="3181" t="s">
        <v>525</v>
      </c>
      <c r="AO146" s="3180"/>
      <c r="AP146" s="3180"/>
      <c r="AQ146" s="3180"/>
      <c r="AR146" s="3180"/>
      <c r="AS146" s="3180"/>
      <c r="AT146" s="3180"/>
      <c r="AU146" s="3180"/>
      <c r="AV146" s="3180"/>
      <c r="AW146" s="3180"/>
      <c r="AX146" s="3180"/>
      <c r="AY146" s="3180"/>
      <c r="AZ146" s="3180"/>
      <c r="BA146" s="3180"/>
      <c r="BB146" s="3180"/>
      <c r="BC146" s="3180"/>
      <c r="BD146" s="3180"/>
      <c r="BE146" s="3180"/>
      <c r="BF146" s="3181" t="s">
        <v>525</v>
      </c>
      <c r="BG146" s="86"/>
      <c r="BH146" s="86"/>
      <c r="BI146" s="86"/>
      <c r="BJ146" s="86"/>
      <c r="BK146" s="86"/>
      <c r="BL146" s="86"/>
      <c r="BM146" s="86"/>
      <c r="BN146" s="86"/>
      <c r="BO146" s="86"/>
      <c r="BP146" s="86"/>
      <c r="BQ146" s="86"/>
      <c r="BR146" s="86"/>
      <c r="BS146" s="86"/>
      <c r="BT146" s="86"/>
      <c r="BU146" s="86"/>
      <c r="BV146" s="86"/>
      <c r="BW146" s="86"/>
      <c r="BX146" s="86"/>
      <c r="BY146" s="86"/>
      <c r="BZ146" s="617"/>
    </row>
    <row r="147" spans="2:78" ht="17.100000000000001" customHeight="1" x14ac:dyDescent="0.25">
      <c r="B147" s="617"/>
      <c r="C147" s="86"/>
      <c r="D147" s="86"/>
      <c r="E147" s="86"/>
      <c r="F147" s="86"/>
      <c r="G147" s="86"/>
      <c r="H147" s="86"/>
      <c r="I147" s="86"/>
      <c r="J147" s="86"/>
      <c r="K147" s="86"/>
      <c r="L147" s="86"/>
      <c r="M147" s="86"/>
      <c r="N147" s="86"/>
      <c r="O147" s="86"/>
      <c r="P147" s="86"/>
      <c r="Q147" s="86"/>
      <c r="R147" s="86"/>
      <c r="S147" s="86"/>
      <c r="T147" s="86"/>
      <c r="U147" s="86"/>
      <c r="V147" s="617"/>
      <c r="W147" s="3179"/>
      <c r="X147" s="3179"/>
      <c r="Y147" s="3179"/>
      <c r="Z147" s="3179"/>
      <c r="AA147" s="3179"/>
      <c r="AB147" s="3179"/>
      <c r="AC147" s="3179"/>
      <c r="AD147" s="3179"/>
      <c r="AE147" s="3179"/>
      <c r="AF147" s="3179"/>
      <c r="AG147" s="3179"/>
      <c r="AH147" s="3179"/>
      <c r="AI147" s="3179"/>
      <c r="AJ147" s="3179"/>
      <c r="AK147" s="3179"/>
      <c r="AL147" s="3179"/>
      <c r="AM147" s="3179"/>
      <c r="AN147" s="3181" t="s">
        <v>525</v>
      </c>
      <c r="AO147" s="3180"/>
      <c r="AP147" s="3180"/>
      <c r="AQ147" s="3180"/>
      <c r="AR147" s="3180"/>
      <c r="AS147" s="3180"/>
      <c r="AT147" s="3180"/>
      <c r="AU147" s="3180"/>
      <c r="AV147" s="3180"/>
      <c r="AW147" s="3180"/>
      <c r="AX147" s="3180"/>
      <c r="AY147" s="3180"/>
      <c r="AZ147" s="3180"/>
      <c r="BA147" s="3180"/>
      <c r="BB147" s="3180"/>
      <c r="BC147" s="3180"/>
      <c r="BD147" s="3180"/>
      <c r="BE147" s="3180"/>
      <c r="BF147" s="3181" t="s">
        <v>525</v>
      </c>
      <c r="BG147" s="86"/>
      <c r="BH147" s="86"/>
      <c r="BI147" s="86"/>
      <c r="BJ147" s="86"/>
      <c r="BK147" s="86"/>
      <c r="BL147" s="86"/>
      <c r="BM147" s="86"/>
      <c r="BN147" s="86"/>
      <c r="BO147" s="86"/>
      <c r="BP147" s="86"/>
      <c r="BQ147" s="86"/>
      <c r="BR147" s="86"/>
      <c r="BS147" s="86"/>
      <c r="BT147" s="86"/>
      <c r="BU147" s="86"/>
      <c r="BV147" s="86"/>
      <c r="BW147" s="86"/>
      <c r="BX147" s="86"/>
      <c r="BY147" s="86"/>
      <c r="BZ147" s="617"/>
    </row>
    <row r="148" spans="2:78" ht="17.100000000000001" customHeight="1" x14ac:dyDescent="0.25">
      <c r="B148" s="617"/>
      <c r="C148" s="86"/>
      <c r="D148" s="86"/>
      <c r="E148" s="86"/>
      <c r="F148" s="86"/>
      <c r="G148" s="86"/>
      <c r="H148" s="86"/>
      <c r="I148" s="86"/>
      <c r="J148" s="86"/>
      <c r="K148" s="86"/>
      <c r="L148" s="86"/>
      <c r="M148" s="86"/>
      <c r="N148" s="86"/>
      <c r="O148" s="86"/>
      <c r="P148" s="86"/>
      <c r="Q148" s="86"/>
      <c r="R148" s="86"/>
      <c r="S148" s="86"/>
      <c r="T148" s="86"/>
      <c r="U148" s="86"/>
      <c r="V148" s="617"/>
      <c r="W148" s="3179"/>
      <c r="X148" s="3179"/>
      <c r="Y148" s="3179"/>
      <c r="Z148" s="3179"/>
      <c r="AA148" s="3179"/>
      <c r="AB148" s="3179"/>
      <c r="AC148" s="3179"/>
      <c r="AD148" s="3179"/>
      <c r="AE148" s="3179"/>
      <c r="AF148" s="3179"/>
      <c r="AG148" s="3179"/>
      <c r="AH148" s="3179"/>
      <c r="AI148" s="3179"/>
      <c r="AJ148" s="3179"/>
      <c r="AK148" s="3179"/>
      <c r="AL148" s="3179"/>
      <c r="AM148" s="3179"/>
      <c r="AN148" s="3181" t="s">
        <v>525</v>
      </c>
      <c r="AO148" s="3180"/>
      <c r="AP148" s="3180"/>
      <c r="AQ148" s="3180"/>
      <c r="AR148" s="3180"/>
      <c r="AS148" s="3180"/>
      <c r="AT148" s="3180"/>
      <c r="AU148" s="3180"/>
      <c r="AV148" s="3180"/>
      <c r="AW148" s="3180"/>
      <c r="AX148" s="3180"/>
      <c r="AY148" s="3180"/>
      <c r="AZ148" s="3180"/>
      <c r="BA148" s="3180"/>
      <c r="BB148" s="3180"/>
      <c r="BC148" s="3180"/>
      <c r="BD148" s="3180"/>
      <c r="BE148" s="3180"/>
      <c r="BF148" s="3181" t="s">
        <v>525</v>
      </c>
      <c r="BG148" s="86"/>
      <c r="BH148" s="86"/>
      <c r="BI148" s="86"/>
      <c r="BJ148" s="86"/>
      <c r="BK148" s="86"/>
      <c r="BL148" s="86"/>
      <c r="BM148" s="86"/>
      <c r="BN148" s="86"/>
      <c r="BO148" s="86"/>
      <c r="BP148" s="86"/>
      <c r="BQ148" s="86"/>
      <c r="BR148" s="86"/>
      <c r="BS148" s="86"/>
      <c r="BT148" s="86"/>
      <c r="BU148" s="86"/>
      <c r="BV148" s="86"/>
      <c r="BW148" s="86"/>
      <c r="BX148" s="86"/>
      <c r="BY148" s="86"/>
      <c r="BZ148" s="617"/>
    </row>
    <row r="149" spans="2:78" ht="17.100000000000001" customHeight="1" x14ac:dyDescent="0.25">
      <c r="B149" s="617"/>
      <c r="C149" s="86"/>
      <c r="D149" s="86"/>
      <c r="E149" s="86"/>
      <c r="F149" s="86"/>
      <c r="G149" s="86"/>
      <c r="H149" s="86"/>
      <c r="I149" s="86"/>
      <c r="J149" s="86"/>
      <c r="K149" s="86"/>
      <c r="L149" s="86"/>
      <c r="M149" s="86"/>
      <c r="N149" s="86"/>
      <c r="O149" s="86"/>
      <c r="P149" s="86"/>
      <c r="Q149" s="86"/>
      <c r="R149" s="86"/>
      <c r="S149" s="86"/>
      <c r="T149" s="86"/>
      <c r="U149" s="86"/>
      <c r="V149" s="617"/>
      <c r="W149" s="3179"/>
      <c r="X149" s="3179"/>
      <c r="Y149" s="3179"/>
      <c r="Z149" s="3179"/>
      <c r="AA149" s="3179"/>
      <c r="AB149" s="3179"/>
      <c r="AC149" s="3179"/>
      <c r="AD149" s="3179"/>
      <c r="AE149" s="3179"/>
      <c r="AF149" s="3179"/>
      <c r="AG149" s="3179"/>
      <c r="AH149" s="3179"/>
      <c r="AI149" s="3179"/>
      <c r="AJ149" s="3179"/>
      <c r="AK149" s="3179"/>
      <c r="AL149" s="3179"/>
      <c r="AM149" s="3179"/>
      <c r="AN149" s="3181" t="s">
        <v>525</v>
      </c>
      <c r="AO149" s="3180"/>
      <c r="AP149" s="3180"/>
      <c r="AQ149" s="3180"/>
      <c r="AR149" s="3180"/>
      <c r="AS149" s="3180"/>
      <c r="AT149" s="3180"/>
      <c r="AU149" s="3180"/>
      <c r="AV149" s="3180"/>
      <c r="AW149" s="3180"/>
      <c r="AX149" s="3180"/>
      <c r="AY149" s="3180"/>
      <c r="AZ149" s="3180"/>
      <c r="BA149" s="3180"/>
      <c r="BB149" s="3180"/>
      <c r="BC149" s="3180"/>
      <c r="BD149" s="3180"/>
      <c r="BE149" s="3180"/>
      <c r="BF149" s="3181" t="s">
        <v>525</v>
      </c>
      <c r="BG149" s="86"/>
      <c r="BH149" s="86"/>
      <c r="BI149" s="86"/>
      <c r="BJ149" s="86"/>
      <c r="BK149" s="86"/>
      <c r="BL149" s="86"/>
      <c r="BM149" s="86"/>
      <c r="BN149" s="86"/>
      <c r="BO149" s="86"/>
      <c r="BP149" s="86"/>
      <c r="BQ149" s="86"/>
      <c r="BR149" s="86"/>
      <c r="BS149" s="86"/>
      <c r="BT149" s="86"/>
      <c r="BU149" s="86"/>
      <c r="BV149" s="86"/>
      <c r="BW149" s="86"/>
      <c r="BX149" s="86"/>
      <c r="BY149" s="86"/>
      <c r="BZ149" s="617"/>
    </row>
    <row r="150" spans="2:78" ht="17.100000000000001" customHeight="1" x14ac:dyDescent="0.25">
      <c r="B150" s="617"/>
      <c r="C150" s="86"/>
      <c r="D150" s="86"/>
      <c r="E150" s="86"/>
      <c r="F150" s="86"/>
      <c r="G150" s="86"/>
      <c r="H150" s="86"/>
      <c r="I150" s="86"/>
      <c r="J150" s="86"/>
      <c r="K150" s="86"/>
      <c r="L150" s="86"/>
      <c r="M150" s="86"/>
      <c r="N150" s="86"/>
      <c r="O150" s="86"/>
      <c r="P150" s="86"/>
      <c r="Q150" s="86"/>
      <c r="R150" s="86"/>
      <c r="S150" s="86"/>
      <c r="T150" s="86"/>
      <c r="U150" s="86"/>
      <c r="V150" s="617"/>
      <c r="W150" s="3179"/>
      <c r="X150" s="3179"/>
      <c r="Y150" s="3179"/>
      <c r="Z150" s="3179"/>
      <c r="AA150" s="3179"/>
      <c r="AB150" s="3179"/>
      <c r="AC150" s="3179"/>
      <c r="AD150" s="3179"/>
      <c r="AE150" s="3179"/>
      <c r="AF150" s="3179"/>
      <c r="AG150" s="3179"/>
      <c r="AH150" s="3179"/>
      <c r="AI150" s="3179"/>
      <c r="AJ150" s="3179"/>
      <c r="AK150" s="3179"/>
      <c r="AL150" s="3179"/>
      <c r="AM150" s="3179"/>
      <c r="AN150" s="3181" t="s">
        <v>525</v>
      </c>
      <c r="AO150" s="3180"/>
      <c r="AP150" s="3180"/>
      <c r="AQ150" s="3180"/>
      <c r="AR150" s="3180"/>
      <c r="AS150" s="3180"/>
      <c r="AT150" s="3180"/>
      <c r="AU150" s="3180"/>
      <c r="AV150" s="3180"/>
      <c r="AW150" s="3180"/>
      <c r="AX150" s="3180"/>
      <c r="AY150" s="3180"/>
      <c r="AZ150" s="3180"/>
      <c r="BA150" s="3180"/>
      <c r="BB150" s="3180"/>
      <c r="BC150" s="3180"/>
      <c r="BD150" s="3180"/>
      <c r="BE150" s="3180"/>
      <c r="BF150" s="3181" t="s">
        <v>525</v>
      </c>
      <c r="BG150" s="86"/>
      <c r="BH150" s="86"/>
      <c r="BI150" s="86"/>
      <c r="BJ150" s="86"/>
      <c r="BK150" s="86"/>
      <c r="BL150" s="86"/>
      <c r="BM150" s="86"/>
      <c r="BN150" s="86"/>
      <c r="BO150" s="86"/>
      <c r="BP150" s="86"/>
      <c r="BQ150" s="86"/>
      <c r="BR150" s="86"/>
      <c r="BS150" s="86"/>
      <c r="BT150" s="86"/>
      <c r="BU150" s="86"/>
      <c r="BV150" s="86"/>
      <c r="BW150" s="86"/>
      <c r="BX150" s="86"/>
      <c r="BY150" s="86"/>
      <c r="BZ150" s="617"/>
    </row>
    <row r="151" spans="2:78" ht="17.100000000000001" customHeight="1" x14ac:dyDescent="0.25">
      <c r="B151" s="617"/>
      <c r="C151" s="86"/>
      <c r="D151" s="86"/>
      <c r="E151" s="86"/>
      <c r="F151" s="86"/>
      <c r="G151" s="86"/>
      <c r="H151" s="86"/>
      <c r="I151" s="86"/>
      <c r="J151" s="86"/>
      <c r="K151" s="86"/>
      <c r="L151" s="86"/>
      <c r="M151" s="86"/>
      <c r="N151" s="86"/>
      <c r="O151" s="86"/>
      <c r="P151" s="86"/>
      <c r="Q151" s="86"/>
      <c r="R151" s="86"/>
      <c r="S151" s="86"/>
      <c r="T151" s="86"/>
      <c r="U151" s="86"/>
      <c r="V151" s="617"/>
      <c r="W151" s="3179"/>
      <c r="X151" s="3179"/>
      <c r="Y151" s="3179"/>
      <c r="Z151" s="3179"/>
      <c r="AA151" s="3179"/>
      <c r="AB151" s="3179"/>
      <c r="AC151" s="3179"/>
      <c r="AD151" s="3179"/>
      <c r="AE151" s="3179"/>
      <c r="AF151" s="3179"/>
      <c r="AG151" s="3179"/>
      <c r="AH151" s="3179"/>
      <c r="AI151" s="3179"/>
      <c r="AJ151" s="3179"/>
      <c r="AK151" s="3179"/>
      <c r="AL151" s="3179"/>
      <c r="AM151" s="3179"/>
      <c r="AN151" s="3181" t="s">
        <v>525</v>
      </c>
      <c r="AO151" s="3180"/>
      <c r="AP151" s="3180"/>
      <c r="AQ151" s="3180"/>
      <c r="AR151" s="3180"/>
      <c r="AS151" s="3180"/>
      <c r="AT151" s="3180"/>
      <c r="AU151" s="3180"/>
      <c r="AV151" s="3180"/>
      <c r="AW151" s="3180"/>
      <c r="AX151" s="3180"/>
      <c r="AY151" s="3180"/>
      <c r="AZ151" s="3180"/>
      <c r="BA151" s="3180"/>
      <c r="BB151" s="3180"/>
      <c r="BC151" s="3180"/>
      <c r="BD151" s="3180"/>
      <c r="BE151" s="3180"/>
      <c r="BF151" s="3181" t="s">
        <v>525</v>
      </c>
      <c r="BG151" s="86"/>
      <c r="BH151" s="86"/>
      <c r="BI151" s="86"/>
      <c r="BJ151" s="86"/>
      <c r="BK151" s="86"/>
      <c r="BL151" s="86"/>
      <c r="BM151" s="86"/>
      <c r="BN151" s="86"/>
      <c r="BO151" s="86"/>
      <c r="BP151" s="86"/>
      <c r="BQ151" s="86"/>
      <c r="BR151" s="86"/>
      <c r="BS151" s="86"/>
      <c r="BT151" s="86"/>
      <c r="BU151" s="86"/>
      <c r="BV151" s="86"/>
      <c r="BW151" s="86"/>
      <c r="BX151" s="86"/>
      <c r="BY151" s="86"/>
      <c r="BZ151" s="617"/>
    </row>
    <row r="152" spans="2:78" ht="17.100000000000001" customHeight="1" x14ac:dyDescent="0.25">
      <c r="B152" s="617"/>
      <c r="C152" s="86"/>
      <c r="D152" s="86"/>
      <c r="E152" s="86"/>
      <c r="F152" s="86"/>
      <c r="G152" s="86"/>
      <c r="H152" s="86"/>
      <c r="I152" s="86"/>
      <c r="J152" s="86"/>
      <c r="K152" s="86"/>
      <c r="L152" s="86"/>
      <c r="M152" s="86"/>
      <c r="N152" s="86"/>
      <c r="O152" s="86"/>
      <c r="P152" s="86"/>
      <c r="Q152" s="86"/>
      <c r="R152" s="86"/>
      <c r="S152" s="86"/>
      <c r="T152" s="86"/>
      <c r="U152" s="86"/>
      <c r="V152" s="617"/>
      <c r="W152" s="3179"/>
      <c r="X152" s="3179"/>
      <c r="Y152" s="3179"/>
      <c r="Z152" s="3179"/>
      <c r="AA152" s="3179"/>
      <c r="AB152" s="3179"/>
      <c r="AC152" s="3179"/>
      <c r="AD152" s="3179"/>
      <c r="AE152" s="3179"/>
      <c r="AF152" s="3179"/>
      <c r="AG152" s="3179"/>
      <c r="AH152" s="3179"/>
      <c r="AI152" s="3179"/>
      <c r="AJ152" s="3179"/>
      <c r="AK152" s="3179"/>
      <c r="AL152" s="3179"/>
      <c r="AM152" s="3179"/>
      <c r="AN152" s="3181" t="s">
        <v>525</v>
      </c>
      <c r="AO152" s="3180"/>
      <c r="AP152" s="3180"/>
      <c r="AQ152" s="3180"/>
      <c r="AR152" s="3180"/>
      <c r="AS152" s="3180"/>
      <c r="AT152" s="3180"/>
      <c r="AU152" s="3180"/>
      <c r="AV152" s="3180"/>
      <c r="AW152" s="3180"/>
      <c r="AX152" s="3180"/>
      <c r="AY152" s="3180"/>
      <c r="AZ152" s="3180"/>
      <c r="BA152" s="3180"/>
      <c r="BB152" s="3180"/>
      <c r="BC152" s="3180"/>
      <c r="BD152" s="3180"/>
      <c r="BE152" s="3180"/>
      <c r="BF152" s="3181" t="s">
        <v>525</v>
      </c>
      <c r="BG152" s="86"/>
      <c r="BH152" s="86"/>
      <c r="BI152" s="86"/>
      <c r="BJ152" s="86"/>
      <c r="BK152" s="86"/>
      <c r="BL152" s="86"/>
      <c r="BM152" s="86"/>
      <c r="BN152" s="86"/>
      <c r="BO152" s="86"/>
      <c r="BP152" s="86"/>
      <c r="BQ152" s="86"/>
      <c r="BR152" s="86"/>
      <c r="BS152" s="86"/>
      <c r="BT152" s="86"/>
      <c r="BU152" s="86"/>
      <c r="BV152" s="86"/>
      <c r="BW152" s="86"/>
      <c r="BX152" s="86"/>
      <c r="BY152" s="86"/>
      <c r="BZ152" s="617"/>
    </row>
    <row r="153" spans="2:78" ht="17.100000000000001" customHeight="1" x14ac:dyDescent="0.25">
      <c r="B153" s="617"/>
      <c r="C153" s="86"/>
      <c r="D153" s="86"/>
      <c r="E153" s="86"/>
      <c r="F153" s="86"/>
      <c r="G153" s="86"/>
      <c r="H153" s="86"/>
      <c r="I153" s="86"/>
      <c r="J153" s="86"/>
      <c r="K153" s="86"/>
      <c r="L153" s="86"/>
      <c r="M153" s="86"/>
      <c r="N153" s="86"/>
      <c r="O153" s="86"/>
      <c r="P153" s="86"/>
      <c r="Q153" s="86"/>
      <c r="R153" s="86"/>
      <c r="S153" s="86"/>
      <c r="T153" s="86"/>
      <c r="U153" s="86"/>
      <c r="V153" s="617"/>
      <c r="W153" s="3179"/>
      <c r="X153" s="3179"/>
      <c r="Y153" s="3179"/>
      <c r="Z153" s="3179"/>
      <c r="AA153" s="3179"/>
      <c r="AB153" s="3179"/>
      <c r="AC153" s="3179"/>
      <c r="AD153" s="3179"/>
      <c r="AE153" s="3179"/>
      <c r="AF153" s="3179"/>
      <c r="AG153" s="3179"/>
      <c r="AH153" s="3179"/>
      <c r="AI153" s="3179"/>
      <c r="AJ153" s="3179"/>
      <c r="AK153" s="3179"/>
      <c r="AL153" s="3179"/>
      <c r="AM153" s="3179"/>
      <c r="AN153" s="3181" t="s">
        <v>525</v>
      </c>
      <c r="AO153" s="3180"/>
      <c r="AP153" s="3180"/>
      <c r="AQ153" s="3180"/>
      <c r="AR153" s="3180"/>
      <c r="AS153" s="3180"/>
      <c r="AT153" s="3180"/>
      <c r="AU153" s="3180"/>
      <c r="AV153" s="3180"/>
      <c r="AW153" s="3180"/>
      <c r="AX153" s="3180"/>
      <c r="AY153" s="3180"/>
      <c r="AZ153" s="3180"/>
      <c r="BA153" s="3180"/>
      <c r="BB153" s="3180"/>
      <c r="BC153" s="3180"/>
      <c r="BD153" s="3180"/>
      <c r="BE153" s="3180"/>
      <c r="BF153" s="3181" t="s">
        <v>525</v>
      </c>
      <c r="BG153" s="86"/>
      <c r="BH153" s="86"/>
      <c r="BI153" s="86"/>
      <c r="BJ153" s="86"/>
      <c r="BK153" s="86"/>
      <c r="BL153" s="86"/>
      <c r="BM153" s="86"/>
      <c r="BN153" s="86"/>
      <c r="BO153" s="86"/>
      <c r="BP153" s="86"/>
      <c r="BQ153" s="86"/>
      <c r="BR153" s="86"/>
      <c r="BS153" s="86"/>
      <c r="BT153" s="86"/>
      <c r="BU153" s="86"/>
      <c r="BV153" s="86"/>
      <c r="BW153" s="86"/>
      <c r="BX153" s="86"/>
      <c r="BY153" s="86"/>
      <c r="BZ153" s="617"/>
    </row>
    <row r="154" spans="2:78" ht="17.100000000000001" customHeight="1" x14ac:dyDescent="0.25">
      <c r="B154" s="617"/>
      <c r="C154" s="86"/>
      <c r="D154" s="86"/>
      <c r="E154" s="86"/>
      <c r="F154" s="86"/>
      <c r="G154" s="86"/>
      <c r="H154" s="86"/>
      <c r="I154" s="86"/>
      <c r="J154" s="86"/>
      <c r="K154" s="86"/>
      <c r="L154" s="86"/>
      <c r="M154" s="86"/>
      <c r="N154" s="86"/>
      <c r="O154" s="86"/>
      <c r="P154" s="86"/>
      <c r="Q154" s="86"/>
      <c r="R154" s="86"/>
      <c r="S154" s="86"/>
      <c r="T154" s="86"/>
      <c r="U154" s="86"/>
      <c r="V154" s="617"/>
      <c r="W154" s="3179"/>
      <c r="X154" s="3179"/>
      <c r="Y154" s="3179"/>
      <c r="Z154" s="3179"/>
      <c r="AA154" s="3179"/>
      <c r="AB154" s="3179"/>
      <c r="AC154" s="3179"/>
      <c r="AD154" s="3179"/>
      <c r="AE154" s="3179"/>
      <c r="AF154" s="3179"/>
      <c r="AG154" s="3179"/>
      <c r="AH154" s="3179"/>
      <c r="AI154" s="3179"/>
      <c r="AJ154" s="3179"/>
      <c r="AK154" s="3179"/>
      <c r="AL154" s="3179"/>
      <c r="AM154" s="3179"/>
      <c r="AN154" s="3181" t="s">
        <v>525</v>
      </c>
      <c r="AO154" s="3180"/>
      <c r="AP154" s="3180"/>
      <c r="AQ154" s="3180"/>
      <c r="AR154" s="3180"/>
      <c r="AS154" s="3180"/>
      <c r="AT154" s="3180"/>
      <c r="AU154" s="3180"/>
      <c r="AV154" s="3180"/>
      <c r="AW154" s="3180"/>
      <c r="AX154" s="3180"/>
      <c r="AY154" s="3180"/>
      <c r="AZ154" s="3180"/>
      <c r="BA154" s="3180"/>
      <c r="BB154" s="3180"/>
      <c r="BC154" s="3180"/>
      <c r="BD154" s="3180"/>
      <c r="BE154" s="3180"/>
      <c r="BF154" s="3181" t="s">
        <v>525</v>
      </c>
      <c r="BG154" s="86"/>
      <c r="BH154" s="86"/>
      <c r="BI154" s="86"/>
      <c r="BJ154" s="86"/>
      <c r="BK154" s="86"/>
      <c r="BL154" s="86"/>
      <c r="BM154" s="86"/>
      <c r="BN154" s="86"/>
      <c r="BO154" s="86"/>
      <c r="BP154" s="86"/>
      <c r="BQ154" s="86"/>
      <c r="BR154" s="86"/>
      <c r="BS154" s="86"/>
      <c r="BT154" s="86"/>
      <c r="BU154" s="86"/>
      <c r="BV154" s="86"/>
      <c r="BW154" s="86"/>
      <c r="BX154" s="86"/>
      <c r="BY154" s="86"/>
      <c r="BZ154" s="617"/>
    </row>
    <row r="155" spans="2:78" ht="17.100000000000001" customHeight="1" x14ac:dyDescent="0.25">
      <c r="B155" s="617"/>
      <c r="C155" s="86"/>
      <c r="D155" s="86"/>
      <c r="E155" s="86"/>
      <c r="F155" s="86"/>
      <c r="G155" s="86"/>
      <c r="H155" s="86"/>
      <c r="I155" s="86"/>
      <c r="J155" s="86"/>
      <c r="K155" s="86"/>
      <c r="L155" s="86"/>
      <c r="M155" s="86"/>
      <c r="N155" s="86"/>
      <c r="O155" s="86"/>
      <c r="P155" s="86"/>
      <c r="Q155" s="86"/>
      <c r="R155" s="86"/>
      <c r="S155" s="86"/>
      <c r="T155" s="86"/>
      <c r="U155" s="86"/>
      <c r="V155" s="617"/>
      <c r="W155" s="3179"/>
      <c r="X155" s="3179"/>
      <c r="Y155" s="3179"/>
      <c r="Z155" s="3179"/>
      <c r="AA155" s="3179"/>
      <c r="AB155" s="3179"/>
      <c r="AC155" s="3179"/>
      <c r="AD155" s="3179"/>
      <c r="AE155" s="3179"/>
      <c r="AF155" s="3179"/>
      <c r="AG155" s="3179"/>
      <c r="AH155" s="3179"/>
      <c r="AI155" s="3179"/>
      <c r="AJ155" s="3179"/>
      <c r="AK155" s="3179"/>
      <c r="AL155" s="3179"/>
      <c r="AM155" s="3179"/>
      <c r="AN155" s="3181" t="s">
        <v>525</v>
      </c>
      <c r="AO155" s="3180"/>
      <c r="AP155" s="3180"/>
      <c r="AQ155" s="3180"/>
      <c r="AR155" s="3180"/>
      <c r="AS155" s="3180"/>
      <c r="AT155" s="3180"/>
      <c r="AU155" s="3180"/>
      <c r="AV155" s="3180"/>
      <c r="AW155" s="3180"/>
      <c r="AX155" s="3180"/>
      <c r="AY155" s="3180"/>
      <c r="AZ155" s="3180"/>
      <c r="BA155" s="3180"/>
      <c r="BB155" s="3180"/>
      <c r="BC155" s="3180"/>
      <c r="BD155" s="3180"/>
      <c r="BE155" s="3180"/>
      <c r="BF155" s="3181" t="s">
        <v>525</v>
      </c>
      <c r="BG155" s="86"/>
      <c r="BH155" s="86"/>
      <c r="BI155" s="86"/>
      <c r="BJ155" s="86"/>
      <c r="BK155" s="86"/>
      <c r="BL155" s="86"/>
      <c r="BM155" s="86"/>
      <c r="BN155" s="86"/>
      <c r="BO155" s="86"/>
      <c r="BP155" s="86"/>
      <c r="BQ155" s="86"/>
      <c r="BR155" s="86"/>
      <c r="BS155" s="86"/>
      <c r="BT155" s="86"/>
      <c r="BU155" s="86"/>
      <c r="BV155" s="86"/>
      <c r="BW155" s="86"/>
      <c r="BX155" s="86"/>
      <c r="BY155" s="86"/>
      <c r="BZ155" s="617"/>
    </row>
    <row r="156" spans="2:78" ht="17.100000000000001" customHeight="1" x14ac:dyDescent="0.25">
      <c r="B156" s="617"/>
      <c r="C156" s="86"/>
      <c r="D156" s="86"/>
      <c r="E156" s="86"/>
      <c r="F156" s="86"/>
      <c r="G156" s="86"/>
      <c r="H156" s="86"/>
      <c r="I156" s="86"/>
      <c r="J156" s="86"/>
      <c r="K156" s="86"/>
      <c r="L156" s="86"/>
      <c r="M156" s="86"/>
      <c r="N156" s="86"/>
      <c r="O156" s="86"/>
      <c r="P156" s="86"/>
      <c r="Q156" s="86"/>
      <c r="R156" s="86"/>
      <c r="S156" s="86"/>
      <c r="T156" s="86"/>
      <c r="U156" s="86"/>
      <c r="V156" s="617"/>
      <c r="W156" s="3179"/>
      <c r="X156" s="3179"/>
      <c r="Y156" s="3179"/>
      <c r="Z156" s="3179"/>
      <c r="AA156" s="3179"/>
      <c r="AB156" s="3179"/>
      <c r="AC156" s="3179"/>
      <c r="AD156" s="3179"/>
      <c r="AE156" s="3179"/>
      <c r="AF156" s="3179"/>
      <c r="AG156" s="3179"/>
      <c r="AH156" s="3179"/>
      <c r="AI156" s="3179"/>
      <c r="AJ156" s="3179"/>
      <c r="AK156" s="3179"/>
      <c r="AL156" s="3179"/>
      <c r="AM156" s="3179"/>
      <c r="AN156" s="3181" t="s">
        <v>525</v>
      </c>
      <c r="AO156" s="3180"/>
      <c r="AP156" s="3180"/>
      <c r="AQ156" s="3180"/>
      <c r="AR156" s="3180"/>
      <c r="AS156" s="3180"/>
      <c r="AT156" s="3180"/>
      <c r="AU156" s="3180"/>
      <c r="AV156" s="3180"/>
      <c r="AW156" s="3180"/>
      <c r="AX156" s="3180"/>
      <c r="AY156" s="3180"/>
      <c r="AZ156" s="3180"/>
      <c r="BA156" s="3180"/>
      <c r="BB156" s="3180"/>
      <c r="BC156" s="3180"/>
      <c r="BD156" s="3180"/>
      <c r="BE156" s="3180"/>
      <c r="BF156" s="3181" t="s">
        <v>525</v>
      </c>
      <c r="BG156" s="86"/>
      <c r="BH156" s="86"/>
      <c r="BI156" s="86"/>
      <c r="BJ156" s="86"/>
      <c r="BK156" s="86"/>
      <c r="BL156" s="86"/>
      <c r="BM156" s="86"/>
      <c r="BN156" s="86"/>
      <c r="BO156" s="86"/>
      <c r="BP156" s="86"/>
      <c r="BQ156" s="86"/>
      <c r="BR156" s="86"/>
      <c r="BS156" s="86"/>
      <c r="BT156" s="86"/>
      <c r="BU156" s="86"/>
      <c r="BV156" s="86"/>
      <c r="BW156" s="86"/>
      <c r="BX156" s="86"/>
      <c r="BY156" s="86"/>
      <c r="BZ156" s="617"/>
    </row>
    <row r="157" spans="2:78" ht="17.100000000000001" customHeight="1" x14ac:dyDescent="0.25">
      <c r="B157" s="617"/>
      <c r="C157" s="86"/>
      <c r="D157" s="86"/>
      <c r="E157" s="86"/>
      <c r="F157" s="86"/>
      <c r="G157" s="86"/>
      <c r="H157" s="86"/>
      <c r="I157" s="86"/>
      <c r="J157" s="86"/>
      <c r="K157" s="86"/>
      <c r="L157" s="86"/>
      <c r="M157" s="86"/>
      <c r="N157" s="86"/>
      <c r="O157" s="86"/>
      <c r="P157" s="86"/>
      <c r="Q157" s="86"/>
      <c r="R157" s="86"/>
      <c r="S157" s="86"/>
      <c r="T157" s="86"/>
      <c r="U157" s="86"/>
      <c r="V157" s="617"/>
      <c r="W157" s="3179"/>
      <c r="X157" s="3179"/>
      <c r="Y157" s="3179"/>
      <c r="Z157" s="3179"/>
      <c r="AA157" s="3179"/>
      <c r="AB157" s="3179"/>
      <c r="AC157" s="3179"/>
      <c r="AD157" s="3179"/>
      <c r="AE157" s="3179"/>
      <c r="AF157" s="3179"/>
      <c r="AG157" s="3179"/>
      <c r="AH157" s="3179"/>
      <c r="AI157" s="3179"/>
      <c r="AJ157" s="3179"/>
      <c r="AK157" s="3179"/>
      <c r="AL157" s="3179"/>
      <c r="AM157" s="3179"/>
      <c r="AN157" s="3181" t="s">
        <v>525</v>
      </c>
      <c r="AO157" s="3180"/>
      <c r="AP157" s="3180"/>
      <c r="AQ157" s="3180"/>
      <c r="AR157" s="3180"/>
      <c r="AS157" s="3180"/>
      <c r="AT157" s="3180"/>
      <c r="AU157" s="3180"/>
      <c r="AV157" s="3180"/>
      <c r="AW157" s="3180"/>
      <c r="AX157" s="3180"/>
      <c r="AY157" s="3180"/>
      <c r="AZ157" s="3180"/>
      <c r="BA157" s="3180"/>
      <c r="BB157" s="3180"/>
      <c r="BC157" s="3180"/>
      <c r="BD157" s="3180"/>
      <c r="BE157" s="3180"/>
      <c r="BF157" s="3181" t="s">
        <v>525</v>
      </c>
      <c r="BG157" s="86"/>
      <c r="BH157" s="86"/>
      <c r="BI157" s="86"/>
      <c r="BJ157" s="86"/>
      <c r="BK157" s="86"/>
      <c r="BL157" s="86"/>
      <c r="BM157" s="86"/>
      <c r="BN157" s="86"/>
      <c r="BO157" s="86"/>
      <c r="BP157" s="86"/>
      <c r="BQ157" s="86"/>
      <c r="BR157" s="86"/>
      <c r="BS157" s="86"/>
      <c r="BT157" s="86"/>
      <c r="BU157" s="86"/>
      <c r="BV157" s="86"/>
      <c r="BW157" s="86"/>
      <c r="BX157" s="86"/>
      <c r="BY157" s="86"/>
      <c r="BZ157" s="617"/>
    </row>
    <row r="158" spans="2:78" ht="17.100000000000001" customHeight="1" x14ac:dyDescent="0.25">
      <c r="B158" s="617"/>
      <c r="C158" s="86"/>
      <c r="D158" s="86"/>
      <c r="E158" s="86"/>
      <c r="F158" s="86"/>
      <c r="G158" s="86"/>
      <c r="H158" s="86"/>
      <c r="I158" s="86"/>
      <c r="J158" s="86"/>
      <c r="K158" s="86"/>
      <c r="L158" s="86"/>
      <c r="M158" s="86"/>
      <c r="N158" s="86"/>
      <c r="O158" s="86"/>
      <c r="P158" s="86"/>
      <c r="Q158" s="86"/>
      <c r="R158" s="86"/>
      <c r="S158" s="86"/>
      <c r="T158" s="86"/>
      <c r="U158" s="86"/>
      <c r="V158" s="617"/>
      <c r="W158" s="3179"/>
      <c r="X158" s="3179"/>
      <c r="Y158" s="3179"/>
      <c r="Z158" s="3179"/>
      <c r="AA158" s="3179"/>
      <c r="AB158" s="3179"/>
      <c r="AC158" s="3179"/>
      <c r="AD158" s="3179"/>
      <c r="AE158" s="3179"/>
      <c r="AF158" s="3179"/>
      <c r="AG158" s="3179"/>
      <c r="AH158" s="3179"/>
      <c r="AI158" s="3179"/>
      <c r="AJ158" s="3179"/>
      <c r="AK158" s="3179"/>
      <c r="AL158" s="3179"/>
      <c r="AM158" s="3179"/>
      <c r="AN158" s="3181" t="s">
        <v>525</v>
      </c>
      <c r="AO158" s="3180"/>
      <c r="AP158" s="3180"/>
      <c r="AQ158" s="3180"/>
      <c r="AR158" s="3180"/>
      <c r="AS158" s="3180"/>
      <c r="AT158" s="3180"/>
      <c r="AU158" s="3180"/>
      <c r="AV158" s="3180"/>
      <c r="AW158" s="3180"/>
      <c r="AX158" s="3180"/>
      <c r="AY158" s="3180"/>
      <c r="AZ158" s="3180"/>
      <c r="BA158" s="3180"/>
      <c r="BB158" s="3180"/>
      <c r="BC158" s="3180"/>
      <c r="BD158" s="3180"/>
      <c r="BE158" s="3180"/>
      <c r="BF158" s="3181" t="s">
        <v>525</v>
      </c>
      <c r="BG158" s="86"/>
      <c r="BH158" s="86"/>
      <c r="BI158" s="86"/>
      <c r="BJ158" s="86"/>
      <c r="BK158" s="86"/>
      <c r="BL158" s="86"/>
      <c r="BM158" s="86"/>
      <c r="BN158" s="86"/>
      <c r="BO158" s="86"/>
      <c r="BP158" s="86"/>
      <c r="BQ158" s="86"/>
      <c r="BR158" s="86"/>
      <c r="BS158" s="86"/>
      <c r="BT158" s="86"/>
      <c r="BU158" s="86"/>
      <c r="BV158" s="86"/>
      <c r="BW158" s="86"/>
      <c r="BX158" s="86"/>
      <c r="BY158" s="86"/>
      <c r="BZ158" s="617"/>
    </row>
    <row r="159" spans="2:78" ht="17.100000000000001" customHeight="1" x14ac:dyDescent="0.25">
      <c r="B159" s="617"/>
      <c r="C159" s="86"/>
      <c r="D159" s="86"/>
      <c r="E159" s="86"/>
      <c r="F159" s="86"/>
      <c r="G159" s="86"/>
      <c r="H159" s="86"/>
      <c r="I159" s="86"/>
      <c r="J159" s="86"/>
      <c r="K159" s="86"/>
      <c r="L159" s="86"/>
      <c r="M159" s="86"/>
      <c r="N159" s="86"/>
      <c r="O159" s="86"/>
      <c r="P159" s="86"/>
      <c r="Q159" s="86"/>
      <c r="R159" s="86"/>
      <c r="S159" s="86"/>
      <c r="T159" s="86"/>
      <c r="U159" s="86"/>
      <c r="V159" s="617"/>
      <c r="W159" s="3179"/>
      <c r="X159" s="3179"/>
      <c r="Y159" s="3179"/>
      <c r="Z159" s="3179"/>
      <c r="AA159" s="3179"/>
      <c r="AB159" s="3179"/>
      <c r="AC159" s="3179"/>
      <c r="AD159" s="3179"/>
      <c r="AE159" s="3179"/>
      <c r="AF159" s="3179"/>
      <c r="AG159" s="3179"/>
      <c r="AH159" s="3179"/>
      <c r="AI159" s="3179"/>
      <c r="AJ159" s="3179"/>
      <c r="AK159" s="3179"/>
      <c r="AL159" s="3179"/>
      <c r="AM159" s="3179"/>
      <c r="AN159" s="3181" t="s">
        <v>525</v>
      </c>
      <c r="AO159" s="3180"/>
      <c r="AP159" s="3180"/>
      <c r="AQ159" s="3180"/>
      <c r="AR159" s="3180"/>
      <c r="AS159" s="3180"/>
      <c r="AT159" s="3180"/>
      <c r="AU159" s="3180"/>
      <c r="AV159" s="3180"/>
      <c r="AW159" s="3180"/>
      <c r="AX159" s="3180"/>
      <c r="AY159" s="3180"/>
      <c r="AZ159" s="3180"/>
      <c r="BA159" s="3180"/>
      <c r="BB159" s="3180"/>
      <c r="BC159" s="3180"/>
      <c r="BD159" s="3180"/>
      <c r="BE159" s="3180"/>
      <c r="BF159" s="3181" t="s">
        <v>525</v>
      </c>
      <c r="BG159" s="86"/>
      <c r="BH159" s="86"/>
      <c r="BI159" s="86"/>
      <c r="BJ159" s="86"/>
      <c r="BK159" s="86"/>
      <c r="BL159" s="86"/>
      <c r="BM159" s="86"/>
      <c r="BN159" s="86"/>
      <c r="BO159" s="86"/>
      <c r="BP159" s="86"/>
      <c r="BQ159" s="86"/>
      <c r="BR159" s="86"/>
      <c r="BS159" s="86"/>
      <c r="BT159" s="86"/>
      <c r="BU159" s="86"/>
      <c r="BV159" s="86"/>
      <c r="BW159" s="86"/>
      <c r="BX159" s="86"/>
      <c r="BY159" s="86"/>
      <c r="BZ159" s="617"/>
    </row>
    <row r="160" spans="2:78" ht="17.100000000000001" customHeight="1" x14ac:dyDescent="0.25">
      <c r="B160" s="617"/>
      <c r="C160" s="86"/>
      <c r="D160" s="86"/>
      <c r="E160" s="86"/>
      <c r="F160" s="86"/>
      <c r="G160" s="86"/>
      <c r="H160" s="86"/>
      <c r="I160" s="86"/>
      <c r="J160" s="86"/>
      <c r="K160" s="86"/>
      <c r="L160" s="86"/>
      <c r="M160" s="86"/>
      <c r="N160" s="86"/>
      <c r="O160" s="86"/>
      <c r="P160" s="86"/>
      <c r="Q160" s="86"/>
      <c r="R160" s="86"/>
      <c r="S160" s="86"/>
      <c r="T160" s="86"/>
      <c r="U160" s="86"/>
      <c r="V160" s="617"/>
      <c r="W160" s="3179"/>
      <c r="X160" s="3179"/>
      <c r="Y160" s="3179"/>
      <c r="Z160" s="3179"/>
      <c r="AA160" s="3179"/>
      <c r="AB160" s="3179"/>
      <c r="AC160" s="3179"/>
      <c r="AD160" s="3179"/>
      <c r="AE160" s="3179"/>
      <c r="AF160" s="3179"/>
      <c r="AG160" s="3179"/>
      <c r="AH160" s="3179"/>
      <c r="AI160" s="3179"/>
      <c r="AJ160" s="3179"/>
      <c r="AK160" s="3179"/>
      <c r="AL160" s="3179"/>
      <c r="AM160" s="3179"/>
      <c r="AN160" s="3181" t="s">
        <v>525</v>
      </c>
      <c r="AO160" s="3180"/>
      <c r="AP160" s="3180"/>
      <c r="AQ160" s="3180"/>
      <c r="AR160" s="3180"/>
      <c r="AS160" s="3180"/>
      <c r="AT160" s="3180"/>
      <c r="AU160" s="3180"/>
      <c r="AV160" s="3180"/>
      <c r="AW160" s="3180"/>
      <c r="AX160" s="3180"/>
      <c r="AY160" s="3180"/>
      <c r="AZ160" s="3180"/>
      <c r="BA160" s="3180"/>
      <c r="BB160" s="3180"/>
      <c r="BC160" s="3180"/>
      <c r="BD160" s="3180"/>
      <c r="BE160" s="3180"/>
      <c r="BF160" s="3181" t="s">
        <v>525</v>
      </c>
      <c r="BG160" s="86"/>
      <c r="BH160" s="86"/>
      <c r="BI160" s="86"/>
      <c r="BJ160" s="86"/>
      <c r="BK160" s="86"/>
      <c r="BL160" s="86"/>
      <c r="BM160" s="86"/>
      <c r="BN160" s="86"/>
      <c r="BO160" s="86"/>
      <c r="BP160" s="86"/>
      <c r="BQ160" s="86"/>
      <c r="BR160" s="86"/>
      <c r="BS160" s="86"/>
      <c r="BT160" s="86"/>
      <c r="BU160" s="86"/>
      <c r="BV160" s="86"/>
      <c r="BW160" s="86"/>
      <c r="BX160" s="86"/>
      <c r="BY160" s="86"/>
      <c r="BZ160" s="617"/>
    </row>
    <row r="161" spans="2:78" ht="17.100000000000001" customHeight="1" x14ac:dyDescent="0.25">
      <c r="B161" s="617"/>
      <c r="C161" s="86"/>
      <c r="D161" s="86"/>
      <c r="E161" s="86"/>
      <c r="F161" s="86"/>
      <c r="G161" s="86"/>
      <c r="H161" s="86"/>
      <c r="I161" s="86"/>
      <c r="J161" s="86"/>
      <c r="K161" s="86"/>
      <c r="L161" s="86"/>
      <c r="M161" s="86"/>
      <c r="N161" s="86"/>
      <c r="O161" s="86"/>
      <c r="P161" s="86"/>
      <c r="Q161" s="86"/>
      <c r="R161" s="86"/>
      <c r="S161" s="86"/>
      <c r="T161" s="86"/>
      <c r="U161" s="86"/>
      <c r="V161" s="617"/>
      <c r="W161" s="3179"/>
      <c r="X161" s="3179"/>
      <c r="Y161" s="3179"/>
      <c r="Z161" s="3179"/>
      <c r="AA161" s="3179"/>
      <c r="AB161" s="3179"/>
      <c r="AC161" s="3179"/>
      <c r="AD161" s="3179"/>
      <c r="AE161" s="3179"/>
      <c r="AF161" s="3179"/>
      <c r="AG161" s="3179"/>
      <c r="AH161" s="3179"/>
      <c r="AI161" s="3179"/>
      <c r="AJ161" s="3179"/>
      <c r="AK161" s="3179"/>
      <c r="AL161" s="3179"/>
      <c r="AM161" s="3179"/>
      <c r="AN161" s="3181" t="s">
        <v>525</v>
      </c>
      <c r="AO161" s="3180"/>
      <c r="AP161" s="3180"/>
      <c r="AQ161" s="3180"/>
      <c r="AR161" s="3180"/>
      <c r="AS161" s="3180"/>
      <c r="AT161" s="3180"/>
      <c r="AU161" s="3180"/>
      <c r="AV161" s="3180"/>
      <c r="AW161" s="3180"/>
      <c r="AX161" s="3180"/>
      <c r="AY161" s="3180"/>
      <c r="AZ161" s="3180"/>
      <c r="BA161" s="3180"/>
      <c r="BB161" s="3180"/>
      <c r="BC161" s="3180"/>
      <c r="BD161" s="3180"/>
      <c r="BE161" s="3180"/>
      <c r="BF161" s="3181" t="s">
        <v>525</v>
      </c>
      <c r="BG161" s="86"/>
      <c r="BH161" s="86"/>
      <c r="BI161" s="86"/>
      <c r="BJ161" s="86"/>
      <c r="BK161" s="86"/>
      <c r="BL161" s="86"/>
      <c r="BM161" s="86"/>
      <c r="BN161" s="86"/>
      <c r="BO161" s="86"/>
      <c r="BP161" s="86"/>
      <c r="BQ161" s="86"/>
      <c r="BR161" s="86"/>
      <c r="BS161" s="86"/>
      <c r="BT161" s="86"/>
      <c r="BU161" s="86"/>
      <c r="BV161" s="86"/>
      <c r="BW161" s="86"/>
      <c r="BX161" s="86"/>
      <c r="BY161" s="86"/>
      <c r="BZ161" s="617"/>
    </row>
    <row r="162" spans="2:78" ht="17.100000000000001" customHeight="1" x14ac:dyDescent="0.25">
      <c r="B162" s="617"/>
      <c r="C162" s="86"/>
      <c r="D162" s="86"/>
      <c r="E162" s="86"/>
      <c r="F162" s="86"/>
      <c r="G162" s="86"/>
      <c r="H162" s="86"/>
      <c r="I162" s="86"/>
      <c r="J162" s="86"/>
      <c r="K162" s="86"/>
      <c r="L162" s="86"/>
      <c r="M162" s="86"/>
      <c r="N162" s="86"/>
      <c r="O162" s="86"/>
      <c r="P162" s="86"/>
      <c r="Q162" s="86"/>
      <c r="R162" s="86"/>
      <c r="S162" s="86"/>
      <c r="T162" s="86"/>
      <c r="U162" s="86"/>
      <c r="V162" s="617"/>
      <c r="W162" s="3179"/>
      <c r="X162" s="3179"/>
      <c r="Y162" s="3179"/>
      <c r="Z162" s="3179"/>
      <c r="AA162" s="3179"/>
      <c r="AB162" s="3179"/>
      <c r="AC162" s="3179"/>
      <c r="AD162" s="3179"/>
      <c r="AE162" s="3179"/>
      <c r="AF162" s="3179"/>
      <c r="AG162" s="3179"/>
      <c r="AH162" s="3179"/>
      <c r="AI162" s="3179"/>
      <c r="AJ162" s="3179"/>
      <c r="AK162" s="3179"/>
      <c r="AL162" s="3179"/>
      <c r="AM162" s="3179"/>
      <c r="AN162" s="3181" t="s">
        <v>525</v>
      </c>
      <c r="AO162" s="3180"/>
      <c r="AP162" s="3180"/>
      <c r="AQ162" s="3180"/>
      <c r="AR162" s="3180"/>
      <c r="AS162" s="3180"/>
      <c r="AT162" s="3180"/>
      <c r="AU162" s="3180"/>
      <c r="AV162" s="3180"/>
      <c r="AW162" s="3180"/>
      <c r="AX162" s="3180"/>
      <c r="AY162" s="3180"/>
      <c r="AZ162" s="3180"/>
      <c r="BA162" s="3180"/>
      <c r="BB162" s="3180"/>
      <c r="BC162" s="3180"/>
      <c r="BD162" s="3180"/>
      <c r="BE162" s="3180"/>
      <c r="BF162" s="3181" t="s">
        <v>525</v>
      </c>
      <c r="BG162" s="86"/>
      <c r="BH162" s="86"/>
      <c r="BI162" s="86"/>
      <c r="BJ162" s="86"/>
      <c r="BK162" s="86"/>
      <c r="BL162" s="86"/>
      <c r="BM162" s="86"/>
      <c r="BN162" s="86"/>
      <c r="BO162" s="86"/>
      <c r="BP162" s="86"/>
      <c r="BQ162" s="86"/>
      <c r="BR162" s="86"/>
      <c r="BS162" s="86"/>
      <c r="BT162" s="86"/>
      <c r="BU162" s="86"/>
      <c r="BV162" s="86"/>
      <c r="BW162" s="86"/>
      <c r="BX162" s="86"/>
      <c r="BY162" s="86"/>
      <c r="BZ162" s="617"/>
    </row>
    <row r="163" spans="2:78" ht="17.100000000000001" customHeight="1" x14ac:dyDescent="0.25">
      <c r="B163" s="617"/>
      <c r="C163" s="86"/>
      <c r="D163" s="86"/>
      <c r="E163" s="86"/>
      <c r="F163" s="86"/>
      <c r="G163" s="86"/>
      <c r="H163" s="86"/>
      <c r="I163" s="86"/>
      <c r="J163" s="86"/>
      <c r="K163" s="86"/>
      <c r="L163" s="86"/>
      <c r="M163" s="86"/>
      <c r="N163" s="86"/>
      <c r="O163" s="86"/>
      <c r="P163" s="86"/>
      <c r="Q163" s="86"/>
      <c r="R163" s="86"/>
      <c r="S163" s="86"/>
      <c r="T163" s="86"/>
      <c r="U163" s="86"/>
      <c r="V163" s="617"/>
      <c r="W163" s="3179"/>
      <c r="X163" s="3179"/>
      <c r="Y163" s="3179"/>
      <c r="Z163" s="3179"/>
      <c r="AA163" s="3179"/>
      <c r="AB163" s="3179"/>
      <c r="AC163" s="3179"/>
      <c r="AD163" s="3179"/>
      <c r="AE163" s="3179"/>
      <c r="AF163" s="3179"/>
      <c r="AG163" s="3179"/>
      <c r="AH163" s="3179"/>
      <c r="AI163" s="3179"/>
      <c r="AJ163" s="3179"/>
      <c r="AK163" s="3179"/>
      <c r="AL163" s="3179"/>
      <c r="AM163" s="3179"/>
      <c r="AN163" s="3181" t="s">
        <v>525</v>
      </c>
      <c r="AO163" s="3180"/>
      <c r="AP163" s="3180"/>
      <c r="AQ163" s="3180"/>
      <c r="AR163" s="3180"/>
      <c r="AS163" s="3180"/>
      <c r="AT163" s="3180"/>
      <c r="AU163" s="3180"/>
      <c r="AV163" s="3180"/>
      <c r="AW163" s="3180"/>
      <c r="AX163" s="3180"/>
      <c r="AY163" s="3180"/>
      <c r="AZ163" s="3180"/>
      <c r="BA163" s="3180"/>
      <c r="BB163" s="3180"/>
      <c r="BC163" s="3180"/>
      <c r="BD163" s="3180"/>
      <c r="BE163" s="3180"/>
      <c r="BF163" s="3181" t="s">
        <v>525</v>
      </c>
      <c r="BG163" s="86"/>
      <c r="BH163" s="86"/>
      <c r="BI163" s="86"/>
      <c r="BJ163" s="86"/>
      <c r="BK163" s="86"/>
      <c r="BL163" s="86"/>
      <c r="BM163" s="86"/>
      <c r="BN163" s="86"/>
      <c r="BO163" s="86"/>
      <c r="BP163" s="86"/>
      <c r="BQ163" s="86"/>
      <c r="BR163" s="86"/>
      <c r="BS163" s="86"/>
      <c r="BT163" s="86"/>
      <c r="BU163" s="86"/>
      <c r="BV163" s="86"/>
      <c r="BW163" s="86"/>
      <c r="BX163" s="86"/>
      <c r="BY163" s="86"/>
      <c r="BZ163" s="617"/>
    </row>
    <row r="164" spans="2:78" ht="17.100000000000001" customHeight="1" x14ac:dyDescent="0.25">
      <c r="B164" s="617"/>
      <c r="C164" s="86"/>
      <c r="D164" s="86"/>
      <c r="E164" s="86"/>
      <c r="F164" s="86"/>
      <c r="G164" s="86"/>
      <c r="H164" s="86"/>
      <c r="I164" s="86"/>
      <c r="J164" s="86"/>
      <c r="K164" s="86"/>
      <c r="L164" s="86"/>
      <c r="M164" s="86"/>
      <c r="N164" s="86"/>
      <c r="O164" s="86"/>
      <c r="P164" s="86"/>
      <c r="Q164" s="86"/>
      <c r="R164" s="86"/>
      <c r="S164" s="86"/>
      <c r="T164" s="86"/>
      <c r="U164" s="86"/>
      <c r="V164" s="617"/>
      <c r="W164" s="3179"/>
      <c r="X164" s="3179"/>
      <c r="Y164" s="3179"/>
      <c r="Z164" s="3179"/>
      <c r="AA164" s="3179"/>
      <c r="AB164" s="3179"/>
      <c r="AC164" s="3179"/>
      <c r="AD164" s="3179"/>
      <c r="AE164" s="3179"/>
      <c r="AF164" s="3179"/>
      <c r="AG164" s="3179"/>
      <c r="AH164" s="3179"/>
      <c r="AI164" s="3179"/>
      <c r="AJ164" s="3179"/>
      <c r="AK164" s="3179"/>
      <c r="AL164" s="3179"/>
      <c r="AM164" s="3179"/>
      <c r="AN164" s="3181" t="s">
        <v>525</v>
      </c>
      <c r="AO164" s="3180"/>
      <c r="AP164" s="3180"/>
      <c r="AQ164" s="3180"/>
      <c r="AR164" s="3180"/>
      <c r="AS164" s="3180"/>
      <c r="AT164" s="3180"/>
      <c r="AU164" s="3180"/>
      <c r="AV164" s="3180"/>
      <c r="AW164" s="3180"/>
      <c r="AX164" s="3180"/>
      <c r="AY164" s="3180"/>
      <c r="AZ164" s="3180"/>
      <c r="BA164" s="3180"/>
      <c r="BB164" s="3180"/>
      <c r="BC164" s="3180"/>
      <c r="BD164" s="3180"/>
      <c r="BE164" s="3180"/>
      <c r="BF164" s="3181" t="s">
        <v>525</v>
      </c>
      <c r="BG164" s="86"/>
      <c r="BH164" s="86"/>
      <c r="BI164" s="86"/>
      <c r="BJ164" s="86"/>
      <c r="BK164" s="86"/>
      <c r="BL164" s="86"/>
      <c r="BM164" s="86"/>
      <c r="BN164" s="86"/>
      <c r="BO164" s="86"/>
      <c r="BP164" s="86"/>
      <c r="BQ164" s="86"/>
      <c r="BR164" s="86"/>
      <c r="BS164" s="86"/>
      <c r="BT164" s="86"/>
      <c r="BU164" s="86"/>
      <c r="BV164" s="86"/>
      <c r="BW164" s="86"/>
      <c r="BX164" s="86"/>
      <c r="BY164" s="86"/>
      <c r="BZ164" s="617"/>
    </row>
    <row r="165" spans="2:78" ht="17.100000000000001" customHeight="1" x14ac:dyDescent="0.25">
      <c r="B165" s="617"/>
      <c r="C165" s="86"/>
      <c r="D165" s="3120"/>
      <c r="E165" s="86"/>
      <c r="F165" s="86"/>
      <c r="G165" s="86"/>
      <c r="H165" s="86"/>
      <c r="I165" s="86"/>
      <c r="J165" s="86"/>
      <c r="K165" s="86"/>
      <c r="L165" s="86"/>
      <c r="M165" s="86"/>
      <c r="N165" s="86"/>
      <c r="O165" s="86"/>
      <c r="P165" s="86"/>
      <c r="Q165" s="86"/>
      <c r="R165" s="86"/>
      <c r="S165" s="86"/>
      <c r="T165" s="86"/>
      <c r="U165" s="86"/>
      <c r="V165" s="617"/>
      <c r="W165" s="3179"/>
      <c r="X165" s="3179"/>
      <c r="Y165" s="3179"/>
      <c r="Z165" s="3179"/>
      <c r="AA165" s="3179"/>
      <c r="AB165" s="3179"/>
      <c r="AC165" s="3179"/>
      <c r="AD165" s="3179"/>
      <c r="AE165" s="3179"/>
      <c r="AF165" s="3179"/>
      <c r="AG165" s="3179"/>
      <c r="AH165" s="3179"/>
      <c r="AI165" s="3179"/>
      <c r="AJ165" s="3179"/>
      <c r="AK165" s="3179"/>
      <c r="AL165" s="3179"/>
      <c r="AM165" s="3179"/>
      <c r="AN165" s="3181" t="s">
        <v>525</v>
      </c>
      <c r="AO165" s="3180"/>
      <c r="AP165" s="3180"/>
      <c r="AQ165" s="3180"/>
      <c r="AR165" s="3180"/>
      <c r="AS165" s="3180"/>
      <c r="AT165" s="3180"/>
      <c r="AU165" s="3180"/>
      <c r="AV165" s="3180"/>
      <c r="AW165" s="3180"/>
      <c r="AX165" s="3180"/>
      <c r="AY165" s="3180"/>
      <c r="AZ165" s="3180"/>
      <c r="BA165" s="3180"/>
      <c r="BB165" s="3180"/>
      <c r="BC165" s="3180"/>
      <c r="BD165" s="3180"/>
      <c r="BE165" s="3180"/>
      <c r="BF165" s="3181" t="s">
        <v>525</v>
      </c>
      <c r="BG165" s="86"/>
      <c r="BH165" s="86"/>
      <c r="BI165" s="86"/>
      <c r="BJ165" s="86"/>
      <c r="BK165" s="86"/>
      <c r="BL165" s="86"/>
      <c r="BM165" s="86"/>
      <c r="BN165" s="86"/>
      <c r="BO165" s="86"/>
      <c r="BP165" s="86"/>
      <c r="BQ165" s="86"/>
      <c r="BR165" s="86"/>
      <c r="BS165" s="86"/>
      <c r="BT165" s="86"/>
      <c r="BU165" s="86"/>
      <c r="BV165" s="86"/>
      <c r="BW165" s="86"/>
      <c r="BX165" s="86"/>
      <c r="BY165" s="86"/>
      <c r="BZ165" s="617"/>
    </row>
    <row r="166" spans="2:78" ht="17.100000000000001" customHeight="1" x14ac:dyDescent="0.25">
      <c r="B166" s="617"/>
      <c r="C166" s="86"/>
      <c r="D166" s="86"/>
      <c r="E166" s="86"/>
      <c r="F166" s="86"/>
      <c r="G166" s="86"/>
      <c r="H166" s="86"/>
      <c r="I166" s="86"/>
      <c r="J166" s="86"/>
      <c r="K166" s="86"/>
      <c r="L166" s="86"/>
      <c r="M166" s="86"/>
      <c r="N166" s="86"/>
      <c r="O166" s="86"/>
      <c r="P166" s="86"/>
      <c r="Q166" s="86"/>
      <c r="R166" s="86"/>
      <c r="S166" s="86"/>
      <c r="T166" s="86"/>
      <c r="U166" s="86"/>
      <c r="V166" s="617"/>
      <c r="W166" s="3179"/>
      <c r="X166" s="3179"/>
      <c r="Y166" s="3179"/>
      <c r="Z166" s="3179"/>
      <c r="AA166" s="3179"/>
      <c r="AB166" s="3179"/>
      <c r="AC166" s="3179"/>
      <c r="AD166" s="3179"/>
      <c r="AE166" s="3179"/>
      <c r="AF166" s="3179"/>
      <c r="AG166" s="3179"/>
      <c r="AH166" s="3179"/>
      <c r="AI166" s="3179"/>
      <c r="AJ166" s="3179"/>
      <c r="AK166" s="3179"/>
      <c r="AL166" s="3179"/>
      <c r="AM166" s="3179"/>
      <c r="AN166" s="3181" t="s">
        <v>525</v>
      </c>
      <c r="AO166" s="3180"/>
      <c r="AP166" s="3180"/>
      <c r="AQ166" s="3180"/>
      <c r="AR166" s="3180"/>
      <c r="AS166" s="3180"/>
      <c r="AT166" s="3180"/>
      <c r="AU166" s="3180"/>
      <c r="AV166" s="3180"/>
      <c r="AW166" s="3180"/>
      <c r="AX166" s="3180"/>
      <c r="AY166" s="3180"/>
      <c r="AZ166" s="3180"/>
      <c r="BA166" s="3180"/>
      <c r="BB166" s="3180"/>
      <c r="BC166" s="3180"/>
      <c r="BD166" s="3180"/>
      <c r="BE166" s="3180"/>
      <c r="BF166" s="3181" t="s">
        <v>525</v>
      </c>
      <c r="BG166" s="86"/>
      <c r="BH166" s="86"/>
      <c r="BI166" s="86"/>
      <c r="BJ166" s="86"/>
      <c r="BK166" s="86"/>
      <c r="BL166" s="86"/>
      <c r="BM166" s="86"/>
      <c r="BN166" s="86"/>
      <c r="BO166" s="86"/>
      <c r="BP166" s="86"/>
      <c r="BQ166" s="86"/>
      <c r="BR166" s="86"/>
      <c r="BS166" s="86"/>
      <c r="BT166" s="86"/>
      <c r="BU166" s="86"/>
      <c r="BV166" s="86"/>
      <c r="BW166" s="86"/>
      <c r="BX166" s="86"/>
      <c r="BY166" s="86"/>
      <c r="BZ166" s="617"/>
    </row>
    <row r="167" spans="2:78" ht="17.100000000000001" customHeight="1" x14ac:dyDescent="0.25">
      <c r="B167" s="617"/>
      <c r="C167" s="86"/>
      <c r="D167" s="86"/>
      <c r="E167" s="86"/>
      <c r="F167" s="86"/>
      <c r="G167" s="86"/>
      <c r="H167" s="86"/>
      <c r="I167" s="86"/>
      <c r="J167" s="86"/>
      <c r="K167" s="86"/>
      <c r="L167" s="86"/>
      <c r="M167" s="86"/>
      <c r="N167" s="86"/>
      <c r="O167" s="86"/>
      <c r="P167" s="86"/>
      <c r="Q167" s="86"/>
      <c r="R167" s="86"/>
      <c r="S167" s="86"/>
      <c r="T167" s="86"/>
      <c r="U167" s="86"/>
      <c r="V167" s="617"/>
      <c r="W167" s="3179"/>
      <c r="X167" s="3179"/>
      <c r="Y167" s="3179"/>
      <c r="Z167" s="3179"/>
      <c r="AA167" s="3179"/>
      <c r="AB167" s="3179"/>
      <c r="AC167" s="3179"/>
      <c r="AD167" s="3179"/>
      <c r="AE167" s="3179"/>
      <c r="AF167" s="3179"/>
      <c r="AG167" s="3179"/>
      <c r="AH167" s="3179"/>
      <c r="AI167" s="3179"/>
      <c r="AJ167" s="3179"/>
      <c r="AK167" s="3179"/>
      <c r="AL167" s="3179"/>
      <c r="AM167" s="3179"/>
      <c r="AN167" s="3181" t="s">
        <v>525</v>
      </c>
      <c r="AO167" s="3180"/>
      <c r="AP167" s="3180"/>
      <c r="AQ167" s="3180"/>
      <c r="AR167" s="3180"/>
      <c r="AS167" s="3180"/>
      <c r="AT167" s="3180"/>
      <c r="AU167" s="3180"/>
      <c r="AV167" s="3180"/>
      <c r="AW167" s="3180"/>
      <c r="AX167" s="3180"/>
      <c r="AY167" s="3180"/>
      <c r="AZ167" s="3180"/>
      <c r="BA167" s="3180"/>
      <c r="BB167" s="3180"/>
      <c r="BC167" s="3180"/>
      <c r="BD167" s="3180"/>
      <c r="BE167" s="3180"/>
      <c r="BF167" s="3181" t="s">
        <v>525</v>
      </c>
      <c r="BG167" s="86"/>
      <c r="BH167" s="86"/>
      <c r="BI167" s="86"/>
      <c r="BJ167" s="86"/>
      <c r="BK167" s="86"/>
      <c r="BL167" s="86"/>
      <c r="BM167" s="86"/>
      <c r="BN167" s="86"/>
      <c r="BO167" s="86"/>
      <c r="BP167" s="86"/>
      <c r="BQ167" s="86"/>
      <c r="BR167" s="86"/>
      <c r="BS167" s="86"/>
      <c r="BT167" s="86"/>
      <c r="BU167" s="86"/>
      <c r="BV167" s="86"/>
      <c r="BW167" s="86"/>
      <c r="BX167" s="86"/>
      <c r="BY167" s="86"/>
      <c r="BZ167" s="617"/>
    </row>
    <row r="168" spans="2:78" ht="17.100000000000001" customHeight="1" x14ac:dyDescent="0.25">
      <c r="B168" s="617"/>
      <c r="C168" s="86"/>
      <c r="D168" s="86"/>
      <c r="E168" s="86"/>
      <c r="F168" s="86"/>
      <c r="G168" s="86"/>
      <c r="H168" s="86"/>
      <c r="I168" s="86"/>
      <c r="J168" s="86"/>
      <c r="K168" s="86"/>
      <c r="L168" s="86"/>
      <c r="M168" s="86"/>
      <c r="N168" s="86"/>
      <c r="O168" s="86"/>
      <c r="P168" s="86"/>
      <c r="Q168" s="86"/>
      <c r="R168" s="86"/>
      <c r="S168" s="86"/>
      <c r="T168" s="86"/>
      <c r="U168" s="86"/>
      <c r="V168" s="617"/>
      <c r="W168" s="3179"/>
      <c r="X168" s="3179"/>
      <c r="Y168" s="3179"/>
      <c r="Z168" s="3179"/>
      <c r="AA168" s="3179"/>
      <c r="AB168" s="3179"/>
      <c r="AC168" s="3179"/>
      <c r="AD168" s="3179"/>
      <c r="AE168" s="3179"/>
      <c r="AF168" s="3179"/>
      <c r="AG168" s="3179"/>
      <c r="AH168" s="3179"/>
      <c r="AI168" s="3179"/>
      <c r="AJ168" s="3179"/>
      <c r="AK168" s="3179"/>
      <c r="AL168" s="3179"/>
      <c r="AM168" s="3179"/>
      <c r="AN168" s="3181" t="s">
        <v>525</v>
      </c>
      <c r="AO168" s="3180"/>
      <c r="AP168" s="3180"/>
      <c r="AQ168" s="3180"/>
      <c r="AR168" s="3180"/>
      <c r="AS168" s="3180"/>
      <c r="AT168" s="3180"/>
      <c r="AU168" s="3180"/>
      <c r="AV168" s="3180"/>
      <c r="AW168" s="3180"/>
      <c r="AX168" s="3180"/>
      <c r="AY168" s="3180"/>
      <c r="AZ168" s="3180"/>
      <c r="BA168" s="3180"/>
      <c r="BB168" s="3180"/>
      <c r="BC168" s="3180"/>
      <c r="BD168" s="3180"/>
      <c r="BE168" s="3180"/>
      <c r="BF168" s="3181" t="s">
        <v>525</v>
      </c>
      <c r="BG168" s="86"/>
      <c r="BH168" s="86"/>
      <c r="BI168" s="86"/>
      <c r="BJ168" s="86"/>
      <c r="BK168" s="86"/>
      <c r="BL168" s="86"/>
      <c r="BM168" s="86"/>
      <c r="BN168" s="86"/>
      <c r="BO168" s="86"/>
      <c r="BP168" s="86"/>
      <c r="BQ168" s="86"/>
      <c r="BR168" s="86"/>
      <c r="BS168" s="86"/>
      <c r="BT168" s="86"/>
      <c r="BU168" s="86"/>
      <c r="BV168" s="86"/>
      <c r="BW168" s="86"/>
      <c r="BX168" s="86"/>
      <c r="BY168" s="86"/>
      <c r="BZ168" s="617"/>
    </row>
    <row r="169" spans="2:78" ht="17.100000000000001" customHeight="1" x14ac:dyDescent="0.25">
      <c r="B169" s="617"/>
      <c r="C169" s="86"/>
      <c r="D169" s="86"/>
      <c r="E169" s="86"/>
      <c r="F169" s="86"/>
      <c r="G169" s="86"/>
      <c r="H169" s="86"/>
      <c r="I169" s="86"/>
      <c r="J169" s="86"/>
      <c r="K169" s="86"/>
      <c r="L169" s="86"/>
      <c r="M169" s="86"/>
      <c r="N169" s="86"/>
      <c r="O169" s="86"/>
      <c r="P169" s="86"/>
      <c r="Q169" s="86"/>
      <c r="R169" s="86"/>
      <c r="S169" s="86"/>
      <c r="T169" s="86"/>
      <c r="U169" s="86"/>
      <c r="V169" s="617"/>
      <c r="W169" s="3179"/>
      <c r="X169" s="3179"/>
      <c r="Y169" s="3179"/>
      <c r="Z169" s="3179"/>
      <c r="AA169" s="3179"/>
      <c r="AB169" s="3179"/>
      <c r="AC169" s="3179"/>
      <c r="AD169" s="3179"/>
      <c r="AE169" s="3179"/>
      <c r="AF169" s="3179"/>
      <c r="AG169" s="3179"/>
      <c r="AH169" s="3179"/>
      <c r="AI169" s="3179"/>
      <c r="AJ169" s="3179"/>
      <c r="AK169" s="3179"/>
      <c r="AL169" s="3179"/>
      <c r="AM169" s="3179"/>
      <c r="AN169" s="3181" t="s">
        <v>525</v>
      </c>
      <c r="AO169" s="3180"/>
      <c r="AP169" s="3180"/>
      <c r="AQ169" s="3180"/>
      <c r="AR169" s="3180"/>
      <c r="AS169" s="3180"/>
      <c r="AT169" s="3180"/>
      <c r="AU169" s="3180"/>
      <c r="AV169" s="3180"/>
      <c r="AW169" s="3180"/>
      <c r="AX169" s="3180"/>
      <c r="AY169" s="3180"/>
      <c r="AZ169" s="3180"/>
      <c r="BA169" s="3180"/>
      <c r="BB169" s="3180"/>
      <c r="BC169" s="3180"/>
      <c r="BD169" s="3180"/>
      <c r="BE169" s="3180"/>
      <c r="BF169" s="3181" t="s">
        <v>525</v>
      </c>
      <c r="BG169" s="86"/>
      <c r="BH169" s="86"/>
      <c r="BI169" s="86"/>
      <c r="BJ169" s="86"/>
      <c r="BK169" s="86"/>
      <c r="BL169" s="86"/>
      <c r="BM169" s="86"/>
      <c r="BN169" s="86"/>
      <c r="BO169" s="86"/>
      <c r="BP169" s="86"/>
      <c r="BQ169" s="86"/>
      <c r="BR169" s="86"/>
      <c r="BS169" s="86"/>
      <c r="BT169" s="86"/>
      <c r="BU169" s="86"/>
      <c r="BV169" s="86"/>
      <c r="BW169" s="86"/>
      <c r="BX169" s="86"/>
      <c r="BY169" s="86"/>
      <c r="BZ169" s="617"/>
    </row>
    <row r="170" spans="2:78" ht="17.100000000000001" customHeight="1" x14ac:dyDescent="0.25">
      <c r="B170" s="617"/>
      <c r="C170" s="86"/>
      <c r="D170" s="86"/>
      <c r="E170" s="86"/>
      <c r="F170" s="86"/>
      <c r="G170" s="86"/>
      <c r="H170" s="86"/>
      <c r="I170" s="86"/>
      <c r="J170" s="86"/>
      <c r="K170" s="86"/>
      <c r="L170" s="86"/>
      <c r="M170" s="86"/>
      <c r="N170" s="86"/>
      <c r="O170" s="86"/>
      <c r="P170" s="86"/>
      <c r="Q170" s="86"/>
      <c r="R170" s="86"/>
      <c r="S170" s="86"/>
      <c r="T170" s="86"/>
      <c r="U170" s="86"/>
      <c r="V170" s="617"/>
      <c r="W170" s="3179"/>
      <c r="X170" s="3179"/>
      <c r="Y170" s="3179"/>
      <c r="Z170" s="3179"/>
      <c r="AA170" s="3179"/>
      <c r="AB170" s="3179"/>
      <c r="AC170" s="3179"/>
      <c r="AD170" s="3179"/>
      <c r="AE170" s="3179"/>
      <c r="AF170" s="3179"/>
      <c r="AG170" s="3179"/>
      <c r="AH170" s="3179"/>
      <c r="AI170" s="3179"/>
      <c r="AJ170" s="3179"/>
      <c r="AK170" s="3179"/>
      <c r="AL170" s="3179"/>
      <c r="AM170" s="3179"/>
      <c r="AN170" s="3181" t="s">
        <v>525</v>
      </c>
      <c r="AO170" s="3180"/>
      <c r="AP170" s="3180"/>
      <c r="AQ170" s="3180"/>
      <c r="AR170" s="3180"/>
      <c r="AS170" s="3180"/>
      <c r="AT170" s="3180"/>
      <c r="AU170" s="3180"/>
      <c r="AV170" s="3180"/>
      <c r="AW170" s="3180"/>
      <c r="AX170" s="3180"/>
      <c r="AY170" s="3180"/>
      <c r="AZ170" s="3180"/>
      <c r="BA170" s="3180"/>
      <c r="BB170" s="3180"/>
      <c r="BC170" s="3180"/>
      <c r="BD170" s="3180"/>
      <c r="BE170" s="3180"/>
      <c r="BF170" s="3181" t="s">
        <v>525</v>
      </c>
      <c r="BG170" s="86"/>
      <c r="BH170" s="86"/>
      <c r="BI170" s="86"/>
      <c r="BJ170" s="86"/>
      <c r="BK170" s="86"/>
      <c r="BL170" s="86"/>
      <c r="BM170" s="86"/>
      <c r="BN170" s="86"/>
      <c r="BO170" s="86"/>
      <c r="BP170" s="86"/>
      <c r="BQ170" s="86"/>
      <c r="BR170" s="86"/>
      <c r="BS170" s="86"/>
      <c r="BT170" s="86"/>
      <c r="BU170" s="86"/>
      <c r="BV170" s="86"/>
      <c r="BW170" s="86"/>
      <c r="BX170" s="86"/>
      <c r="BY170" s="86"/>
      <c r="BZ170" s="617"/>
    </row>
    <row r="171" spans="2:78" ht="17.100000000000001" customHeight="1" x14ac:dyDescent="0.25">
      <c r="B171" s="617"/>
      <c r="C171" s="86"/>
      <c r="D171" s="86"/>
      <c r="E171" s="86"/>
      <c r="F171" s="86"/>
      <c r="G171" s="86"/>
      <c r="H171" s="86"/>
      <c r="I171" s="86"/>
      <c r="J171" s="86"/>
      <c r="K171" s="86"/>
      <c r="L171" s="86"/>
      <c r="M171" s="86"/>
      <c r="N171" s="86"/>
      <c r="O171" s="86"/>
      <c r="P171" s="86"/>
      <c r="Q171" s="86"/>
      <c r="R171" s="86"/>
      <c r="S171" s="86"/>
      <c r="T171" s="86"/>
      <c r="U171" s="86"/>
      <c r="V171" s="617"/>
      <c r="W171" s="3179"/>
      <c r="X171" s="3179"/>
      <c r="Y171" s="3179"/>
      <c r="Z171" s="3179"/>
      <c r="AA171" s="3179"/>
      <c r="AB171" s="3179"/>
      <c r="AC171" s="3179"/>
      <c r="AD171" s="3179"/>
      <c r="AE171" s="3179"/>
      <c r="AF171" s="3179"/>
      <c r="AG171" s="3179"/>
      <c r="AH171" s="3179"/>
      <c r="AI171" s="3179"/>
      <c r="AJ171" s="3179"/>
      <c r="AK171" s="3179"/>
      <c r="AL171" s="3179"/>
      <c r="AM171" s="3179"/>
      <c r="AN171" s="3181" t="s">
        <v>525</v>
      </c>
      <c r="AO171" s="3180"/>
      <c r="AP171" s="3180"/>
      <c r="AQ171" s="3180"/>
      <c r="AR171" s="3180"/>
      <c r="AS171" s="3180"/>
      <c r="AT171" s="3180"/>
      <c r="AU171" s="3180"/>
      <c r="AV171" s="3180"/>
      <c r="AW171" s="3180"/>
      <c r="AX171" s="3180"/>
      <c r="AY171" s="3180"/>
      <c r="AZ171" s="3180"/>
      <c r="BA171" s="3180"/>
      <c r="BB171" s="3180"/>
      <c r="BC171" s="3180"/>
      <c r="BD171" s="3180"/>
      <c r="BE171" s="3180"/>
      <c r="BF171" s="3181" t="s">
        <v>525</v>
      </c>
      <c r="BG171" s="86"/>
      <c r="BH171" s="86"/>
      <c r="BI171" s="86"/>
      <c r="BJ171" s="86"/>
      <c r="BK171" s="86"/>
      <c r="BL171" s="86"/>
      <c r="BM171" s="86"/>
      <c r="BN171" s="86"/>
      <c r="BO171" s="86"/>
      <c r="BP171" s="86"/>
      <c r="BQ171" s="86"/>
      <c r="BR171" s="86"/>
      <c r="BS171" s="86"/>
      <c r="BT171" s="86"/>
      <c r="BU171" s="86"/>
      <c r="BV171" s="86"/>
      <c r="BW171" s="86"/>
      <c r="BX171" s="86"/>
      <c r="BY171" s="86"/>
      <c r="BZ171" s="617"/>
    </row>
    <row r="172" spans="2:78" ht="17.100000000000001" customHeight="1" x14ac:dyDescent="0.25">
      <c r="B172" s="617"/>
      <c r="C172" s="86"/>
      <c r="D172" s="86"/>
      <c r="E172" s="86"/>
      <c r="F172" s="86"/>
      <c r="G172" s="86"/>
      <c r="H172" s="86"/>
      <c r="I172" s="86"/>
      <c r="J172" s="86"/>
      <c r="K172" s="86"/>
      <c r="L172" s="86"/>
      <c r="M172" s="86"/>
      <c r="N172" s="86"/>
      <c r="O172" s="86"/>
      <c r="P172" s="86"/>
      <c r="Q172" s="86"/>
      <c r="R172" s="86"/>
      <c r="S172" s="86"/>
      <c r="T172" s="86"/>
      <c r="U172" s="86"/>
      <c r="V172" s="617"/>
      <c r="W172" s="3179"/>
      <c r="X172" s="3179"/>
      <c r="Y172" s="3179"/>
      <c r="Z172" s="3179"/>
      <c r="AA172" s="3179"/>
      <c r="AB172" s="3179"/>
      <c r="AC172" s="3179"/>
      <c r="AD172" s="3179"/>
      <c r="AE172" s="3179"/>
      <c r="AF172" s="3179"/>
      <c r="AG172" s="3179"/>
      <c r="AH172" s="3179"/>
      <c r="AI172" s="3179"/>
      <c r="AJ172" s="3179"/>
      <c r="AK172" s="3179"/>
      <c r="AL172" s="3179"/>
      <c r="AM172" s="3179"/>
      <c r="AN172" s="3181" t="s">
        <v>525</v>
      </c>
      <c r="AO172" s="3180"/>
      <c r="AP172" s="3180"/>
      <c r="AQ172" s="3180"/>
      <c r="AR172" s="3180"/>
      <c r="AS172" s="3180"/>
      <c r="AT172" s="3180"/>
      <c r="AU172" s="3180"/>
      <c r="AV172" s="3180"/>
      <c r="AW172" s="3180"/>
      <c r="AX172" s="3180"/>
      <c r="AY172" s="3180"/>
      <c r="AZ172" s="3180"/>
      <c r="BA172" s="3180"/>
      <c r="BB172" s="3180"/>
      <c r="BC172" s="3180"/>
      <c r="BD172" s="3180"/>
      <c r="BE172" s="3180"/>
      <c r="BF172" s="3181" t="s">
        <v>525</v>
      </c>
      <c r="BG172" s="86"/>
      <c r="BH172" s="86"/>
      <c r="BI172" s="86"/>
      <c r="BJ172" s="86"/>
      <c r="BK172" s="86"/>
      <c r="BL172" s="86"/>
      <c r="BM172" s="86"/>
      <c r="BN172" s="86"/>
      <c r="BO172" s="86"/>
      <c r="BP172" s="86"/>
      <c r="BQ172" s="86"/>
      <c r="BR172" s="86"/>
      <c r="BS172" s="86"/>
      <c r="BT172" s="86"/>
      <c r="BU172" s="86"/>
      <c r="BV172" s="86"/>
      <c r="BW172" s="86"/>
      <c r="BX172" s="86"/>
      <c r="BY172" s="86"/>
      <c r="BZ172" s="617"/>
    </row>
    <row r="173" spans="2:78" ht="17.100000000000001" customHeight="1" x14ac:dyDescent="0.25">
      <c r="B173" s="617"/>
      <c r="C173" s="86"/>
      <c r="D173" s="86"/>
      <c r="E173" s="86"/>
      <c r="F173" s="86"/>
      <c r="G173" s="86"/>
      <c r="H173" s="86"/>
      <c r="I173" s="86"/>
      <c r="J173" s="86"/>
      <c r="K173" s="86"/>
      <c r="L173" s="86"/>
      <c r="M173" s="86"/>
      <c r="N173" s="86"/>
      <c r="O173" s="86"/>
      <c r="P173" s="86"/>
      <c r="Q173" s="86"/>
      <c r="R173" s="86"/>
      <c r="S173" s="86"/>
      <c r="T173" s="86"/>
      <c r="U173" s="86"/>
      <c r="V173" s="617"/>
      <c r="W173" s="3179"/>
      <c r="X173" s="3179"/>
      <c r="Y173" s="3179"/>
      <c r="Z173" s="3179"/>
      <c r="AA173" s="3179"/>
      <c r="AB173" s="3179"/>
      <c r="AC173" s="3179"/>
      <c r="AD173" s="3179"/>
      <c r="AE173" s="3179"/>
      <c r="AF173" s="3179"/>
      <c r="AG173" s="3179"/>
      <c r="AH173" s="3179"/>
      <c r="AI173" s="3179"/>
      <c r="AJ173" s="3179"/>
      <c r="AK173" s="3179"/>
      <c r="AL173" s="3179"/>
      <c r="AM173" s="3179"/>
      <c r="AN173" s="3181" t="s">
        <v>525</v>
      </c>
      <c r="AO173" s="3180"/>
      <c r="AP173" s="3180"/>
      <c r="AQ173" s="3180"/>
      <c r="AR173" s="3180"/>
      <c r="AS173" s="3180"/>
      <c r="AT173" s="3180"/>
      <c r="AU173" s="3180"/>
      <c r="AV173" s="3180"/>
      <c r="AW173" s="3180"/>
      <c r="AX173" s="3180"/>
      <c r="AY173" s="3180"/>
      <c r="AZ173" s="3180"/>
      <c r="BA173" s="3180"/>
      <c r="BB173" s="3180"/>
      <c r="BC173" s="3180"/>
      <c r="BD173" s="3180"/>
      <c r="BE173" s="3180"/>
      <c r="BF173" s="3181" t="s">
        <v>525</v>
      </c>
      <c r="BG173" s="86"/>
      <c r="BH173" s="86"/>
      <c r="BI173" s="86"/>
      <c r="BJ173" s="86"/>
      <c r="BK173" s="86"/>
      <c r="BL173" s="86"/>
      <c r="BM173" s="86"/>
      <c r="BN173" s="86"/>
      <c r="BO173" s="86"/>
      <c r="BP173" s="86"/>
      <c r="BQ173" s="86"/>
      <c r="BR173" s="86"/>
      <c r="BS173" s="86"/>
      <c r="BT173" s="86"/>
      <c r="BU173" s="86"/>
      <c r="BV173" s="86"/>
      <c r="BW173" s="86"/>
      <c r="BX173" s="86"/>
      <c r="BY173" s="86"/>
      <c r="BZ173" s="617"/>
    </row>
    <row r="174" spans="2:78" ht="17.100000000000001" customHeight="1" x14ac:dyDescent="0.25">
      <c r="B174" s="617"/>
      <c r="C174" s="86"/>
      <c r="D174" s="86"/>
      <c r="E174" s="86"/>
      <c r="F174" s="86"/>
      <c r="G174" s="86"/>
      <c r="H174" s="86"/>
      <c r="I174" s="86"/>
      <c r="J174" s="86"/>
      <c r="K174" s="86"/>
      <c r="L174" s="86"/>
      <c r="M174" s="86"/>
      <c r="N174" s="86"/>
      <c r="O174" s="86"/>
      <c r="P174" s="86"/>
      <c r="Q174" s="86"/>
      <c r="R174" s="86"/>
      <c r="S174" s="86"/>
      <c r="T174" s="86"/>
      <c r="U174" s="86"/>
      <c r="V174" s="617"/>
      <c r="W174" s="3179"/>
      <c r="X174" s="3179"/>
      <c r="Y174" s="3179"/>
      <c r="Z174" s="3179"/>
      <c r="AA174" s="3179"/>
      <c r="AB174" s="3179"/>
      <c r="AC174" s="3179"/>
      <c r="AD174" s="3179"/>
      <c r="AE174" s="3179"/>
      <c r="AF174" s="3179"/>
      <c r="AG174" s="3179"/>
      <c r="AH174" s="3179"/>
      <c r="AI174" s="3179"/>
      <c r="AJ174" s="3179"/>
      <c r="AK174" s="3179"/>
      <c r="AL174" s="3179"/>
      <c r="AM174" s="3179"/>
      <c r="AN174" s="3181" t="s">
        <v>525</v>
      </c>
      <c r="AO174" s="3180"/>
      <c r="AP174" s="3180"/>
      <c r="AQ174" s="3180"/>
      <c r="AR174" s="3180"/>
      <c r="AS174" s="3180"/>
      <c r="AT174" s="3180"/>
      <c r="AU174" s="3180"/>
      <c r="AV174" s="3180"/>
      <c r="AW174" s="3180"/>
      <c r="AX174" s="3180"/>
      <c r="AY174" s="3180"/>
      <c r="AZ174" s="3180"/>
      <c r="BA174" s="3180"/>
      <c r="BB174" s="3180"/>
      <c r="BC174" s="3180"/>
      <c r="BD174" s="3180"/>
      <c r="BE174" s="3180"/>
      <c r="BF174" s="3181" t="s">
        <v>525</v>
      </c>
      <c r="BG174" s="86"/>
      <c r="BH174" s="86"/>
      <c r="BI174" s="86"/>
      <c r="BJ174" s="86"/>
      <c r="BK174" s="86"/>
      <c r="BL174" s="86"/>
      <c r="BM174" s="86"/>
      <c r="BN174" s="86"/>
      <c r="BO174" s="86"/>
      <c r="BP174" s="86"/>
      <c r="BQ174" s="86"/>
      <c r="BR174" s="86"/>
      <c r="BS174" s="86"/>
      <c r="BT174" s="86"/>
      <c r="BU174" s="86"/>
      <c r="BV174" s="86"/>
      <c r="BW174" s="86"/>
      <c r="BX174" s="86"/>
      <c r="BY174" s="86"/>
      <c r="BZ174" s="617"/>
    </row>
    <row r="175" spans="2:78" ht="17.100000000000001" customHeight="1" x14ac:dyDescent="0.25">
      <c r="B175" s="617"/>
      <c r="C175" s="86"/>
      <c r="D175" s="86"/>
      <c r="E175" s="86"/>
      <c r="F175" s="86"/>
      <c r="G175" s="86"/>
      <c r="H175" s="86"/>
      <c r="I175" s="86"/>
      <c r="J175" s="86"/>
      <c r="K175" s="86"/>
      <c r="L175" s="86"/>
      <c r="M175" s="86"/>
      <c r="N175" s="86"/>
      <c r="O175" s="86"/>
      <c r="P175" s="86"/>
      <c r="Q175" s="86"/>
      <c r="R175" s="86"/>
      <c r="S175" s="86"/>
      <c r="T175" s="86"/>
      <c r="U175" s="86"/>
      <c r="V175" s="617"/>
      <c r="W175" s="3179"/>
      <c r="X175" s="3179"/>
      <c r="Y175" s="3179"/>
      <c r="Z175" s="3179"/>
      <c r="AA175" s="3179"/>
      <c r="AB175" s="3179"/>
      <c r="AC175" s="3179"/>
      <c r="AD175" s="3179"/>
      <c r="AE175" s="3179"/>
      <c r="AF175" s="3179"/>
      <c r="AG175" s="3179"/>
      <c r="AH175" s="3179"/>
      <c r="AI175" s="3179"/>
      <c r="AJ175" s="3179"/>
      <c r="AK175" s="3179"/>
      <c r="AL175" s="3179"/>
      <c r="AM175" s="3179"/>
      <c r="AN175" s="3181" t="s">
        <v>525</v>
      </c>
      <c r="AO175" s="3180"/>
      <c r="AP175" s="3180"/>
      <c r="AQ175" s="3180"/>
      <c r="AR175" s="3180"/>
      <c r="AS175" s="3180"/>
      <c r="AT175" s="3180"/>
      <c r="AU175" s="3180"/>
      <c r="AV175" s="3180"/>
      <c r="AW175" s="3180"/>
      <c r="AX175" s="3180"/>
      <c r="AY175" s="3180"/>
      <c r="AZ175" s="3180"/>
      <c r="BA175" s="3180"/>
      <c r="BB175" s="3180"/>
      <c r="BC175" s="3180"/>
      <c r="BD175" s="3180"/>
      <c r="BE175" s="3180"/>
      <c r="BF175" s="3181" t="s">
        <v>525</v>
      </c>
      <c r="BG175" s="86"/>
      <c r="BH175" s="86"/>
      <c r="BI175" s="86"/>
      <c r="BJ175" s="86"/>
      <c r="BK175" s="86"/>
      <c r="BL175" s="86"/>
      <c r="BM175" s="86"/>
      <c r="BN175" s="86"/>
      <c r="BO175" s="86"/>
      <c r="BP175" s="86"/>
      <c r="BQ175" s="86"/>
      <c r="BR175" s="86"/>
      <c r="BS175" s="86"/>
      <c r="BT175" s="86"/>
      <c r="BU175" s="86"/>
      <c r="BV175" s="86"/>
      <c r="BW175" s="86"/>
      <c r="BX175" s="86"/>
      <c r="BY175" s="86"/>
      <c r="BZ175" s="617"/>
    </row>
    <row r="176" spans="2:78" ht="17.100000000000001" customHeight="1" x14ac:dyDescent="0.25">
      <c r="B176" s="617"/>
      <c r="C176" s="86"/>
      <c r="D176" s="86"/>
      <c r="E176" s="86"/>
      <c r="F176" s="86"/>
      <c r="G176" s="86"/>
      <c r="H176" s="86"/>
      <c r="I176" s="86"/>
      <c r="J176" s="86"/>
      <c r="K176" s="86"/>
      <c r="L176" s="86"/>
      <c r="M176" s="86"/>
      <c r="N176" s="86"/>
      <c r="O176" s="86"/>
      <c r="P176" s="86"/>
      <c r="Q176" s="86"/>
      <c r="R176" s="86"/>
      <c r="S176" s="86"/>
      <c r="T176" s="86"/>
      <c r="U176" s="86"/>
      <c r="V176" s="617"/>
      <c r="W176" s="3179"/>
      <c r="X176" s="3179"/>
      <c r="Y176" s="3179"/>
      <c r="Z176" s="3179"/>
      <c r="AA176" s="3179"/>
      <c r="AB176" s="3179"/>
      <c r="AC176" s="3179"/>
      <c r="AD176" s="3179"/>
      <c r="AE176" s="3179"/>
      <c r="AF176" s="3179"/>
      <c r="AG176" s="3179"/>
      <c r="AH176" s="3179"/>
      <c r="AI176" s="3179"/>
      <c r="AJ176" s="3179"/>
      <c r="AK176" s="3179"/>
      <c r="AL176" s="3179"/>
      <c r="AM176" s="3179"/>
      <c r="AN176" s="3181" t="s">
        <v>525</v>
      </c>
      <c r="AO176" s="3180"/>
      <c r="AP176" s="3180"/>
      <c r="AQ176" s="3180"/>
      <c r="AR176" s="3180"/>
      <c r="AS176" s="3180"/>
      <c r="AT176" s="3180"/>
      <c r="AU176" s="3180"/>
      <c r="AV176" s="3180"/>
      <c r="AW176" s="3180"/>
      <c r="AX176" s="3180"/>
      <c r="AY176" s="3180"/>
      <c r="AZ176" s="3180"/>
      <c r="BA176" s="3180"/>
      <c r="BB176" s="3180"/>
      <c r="BC176" s="3180"/>
      <c r="BD176" s="3180"/>
      <c r="BE176" s="3180"/>
      <c r="BF176" s="3181" t="s">
        <v>525</v>
      </c>
      <c r="BG176" s="86"/>
      <c r="BH176" s="86"/>
      <c r="BI176" s="86"/>
      <c r="BJ176" s="86"/>
      <c r="BK176" s="86"/>
      <c r="BL176" s="86"/>
      <c r="BM176" s="86"/>
      <c r="BN176" s="86"/>
      <c r="BO176" s="86"/>
      <c r="BP176" s="86"/>
      <c r="BQ176" s="86"/>
      <c r="BR176" s="86"/>
      <c r="BS176" s="86"/>
      <c r="BT176" s="86"/>
      <c r="BU176" s="86"/>
      <c r="BV176" s="86"/>
      <c r="BW176" s="86"/>
      <c r="BX176" s="86"/>
      <c r="BY176" s="86"/>
      <c r="BZ176" s="617"/>
    </row>
    <row r="177" spans="2:78" ht="17.100000000000001" customHeight="1" x14ac:dyDescent="0.25">
      <c r="B177" s="617"/>
      <c r="C177" s="86"/>
      <c r="D177" s="86"/>
      <c r="E177" s="86"/>
      <c r="F177" s="86"/>
      <c r="G177" s="86"/>
      <c r="H177" s="86"/>
      <c r="I177" s="86"/>
      <c r="J177" s="86"/>
      <c r="K177" s="86"/>
      <c r="L177" s="86"/>
      <c r="M177" s="86"/>
      <c r="N177" s="86"/>
      <c r="O177" s="86"/>
      <c r="P177" s="86"/>
      <c r="Q177" s="86"/>
      <c r="R177" s="86"/>
      <c r="S177" s="86"/>
      <c r="T177" s="86"/>
      <c r="U177" s="86"/>
      <c r="V177" s="617"/>
      <c r="W177" s="3179"/>
      <c r="X177" s="3179"/>
      <c r="Y177" s="3179"/>
      <c r="Z177" s="3179"/>
      <c r="AA177" s="3179"/>
      <c r="AB177" s="3179"/>
      <c r="AC177" s="3179"/>
      <c r="AD177" s="3179"/>
      <c r="AE177" s="3179"/>
      <c r="AF177" s="3179"/>
      <c r="AG177" s="3179"/>
      <c r="AH177" s="3179"/>
      <c r="AI177" s="3179"/>
      <c r="AJ177" s="3179"/>
      <c r="AK177" s="3179"/>
      <c r="AL177" s="3179"/>
      <c r="AM177" s="3179"/>
      <c r="AN177" s="3181" t="s">
        <v>525</v>
      </c>
      <c r="AO177" s="3180"/>
      <c r="AP177" s="3180"/>
      <c r="AQ177" s="3180"/>
      <c r="AR177" s="3180"/>
      <c r="AS177" s="3180"/>
      <c r="AT177" s="3180"/>
      <c r="AU177" s="3180"/>
      <c r="AV177" s="3180"/>
      <c r="AW177" s="3180"/>
      <c r="AX177" s="3180"/>
      <c r="AY177" s="3180"/>
      <c r="AZ177" s="3180"/>
      <c r="BA177" s="3180"/>
      <c r="BB177" s="3180"/>
      <c r="BC177" s="3180"/>
      <c r="BD177" s="3180"/>
      <c r="BE177" s="3180"/>
      <c r="BF177" s="3181" t="s">
        <v>525</v>
      </c>
      <c r="BG177" s="86"/>
      <c r="BH177" s="86"/>
      <c r="BI177" s="86"/>
      <c r="BJ177" s="86"/>
      <c r="BK177" s="86"/>
      <c r="BL177" s="86"/>
      <c r="BM177" s="86"/>
      <c r="BN177" s="86"/>
      <c r="BO177" s="86"/>
      <c r="BP177" s="86"/>
      <c r="BQ177" s="86"/>
      <c r="BR177" s="86"/>
      <c r="BS177" s="86"/>
      <c r="BT177" s="86"/>
      <c r="BU177" s="86"/>
      <c r="BV177" s="86"/>
      <c r="BW177" s="86"/>
      <c r="BX177" s="86"/>
      <c r="BY177" s="86"/>
      <c r="BZ177" s="617"/>
    </row>
    <row r="178" spans="2:78" ht="17.100000000000001" customHeight="1" x14ac:dyDescent="0.25">
      <c r="B178" s="617"/>
      <c r="C178" s="86"/>
      <c r="D178" s="86"/>
      <c r="E178" s="86"/>
      <c r="F178" s="86"/>
      <c r="G178" s="86"/>
      <c r="H178" s="86"/>
      <c r="I178" s="86"/>
      <c r="J178" s="86"/>
      <c r="K178" s="86"/>
      <c r="L178" s="86"/>
      <c r="M178" s="86"/>
      <c r="N178" s="86"/>
      <c r="O178" s="86"/>
      <c r="P178" s="86"/>
      <c r="Q178" s="86"/>
      <c r="R178" s="86"/>
      <c r="S178" s="86"/>
      <c r="T178" s="86"/>
      <c r="U178" s="86"/>
      <c r="V178" s="617"/>
      <c r="W178" s="3179"/>
      <c r="X178" s="3179"/>
      <c r="Y178" s="3179"/>
      <c r="Z178" s="3179"/>
      <c r="AA178" s="3179"/>
      <c r="AB178" s="3179"/>
      <c r="AC178" s="3179"/>
      <c r="AD178" s="3179"/>
      <c r="AE178" s="3179"/>
      <c r="AF178" s="3179"/>
      <c r="AG178" s="3179"/>
      <c r="AH178" s="3179"/>
      <c r="AI178" s="3179"/>
      <c r="AJ178" s="3179"/>
      <c r="AK178" s="3179"/>
      <c r="AL178" s="3179"/>
      <c r="AM178" s="3179"/>
      <c r="AN178" s="3181" t="s">
        <v>525</v>
      </c>
      <c r="AO178" s="3180"/>
      <c r="AP178" s="3180"/>
      <c r="AQ178" s="3180"/>
      <c r="AR178" s="3180"/>
      <c r="AS178" s="3180"/>
      <c r="AT178" s="3180"/>
      <c r="AU178" s="3180"/>
      <c r="AV178" s="3180"/>
      <c r="AW178" s="3180"/>
      <c r="AX178" s="3180"/>
      <c r="AY178" s="3180"/>
      <c r="AZ178" s="3180"/>
      <c r="BA178" s="3180"/>
      <c r="BB178" s="3180"/>
      <c r="BC178" s="3180"/>
      <c r="BD178" s="3180"/>
      <c r="BE178" s="3180"/>
      <c r="BF178" s="3181" t="s">
        <v>525</v>
      </c>
      <c r="BG178" s="86"/>
      <c r="BH178" s="86"/>
      <c r="BI178" s="86"/>
      <c r="BJ178" s="86"/>
      <c r="BK178" s="86"/>
      <c r="BL178" s="86"/>
      <c r="BM178" s="86"/>
      <c r="BN178" s="86"/>
      <c r="BO178" s="86"/>
      <c r="BP178" s="86"/>
      <c r="BQ178" s="86"/>
      <c r="BR178" s="86"/>
      <c r="BS178" s="86"/>
      <c r="BT178" s="86"/>
      <c r="BU178" s="86"/>
      <c r="BV178" s="86"/>
      <c r="BW178" s="86"/>
      <c r="BX178" s="86"/>
      <c r="BY178" s="86"/>
      <c r="BZ178" s="617"/>
    </row>
    <row r="179" spans="2:78" ht="17.100000000000001" customHeight="1" x14ac:dyDescent="0.25">
      <c r="B179" s="617"/>
      <c r="C179" s="86"/>
      <c r="D179" s="86"/>
      <c r="E179" s="86"/>
      <c r="F179" s="86"/>
      <c r="G179" s="86"/>
      <c r="H179" s="86"/>
      <c r="I179" s="86"/>
      <c r="J179" s="86"/>
      <c r="K179" s="86"/>
      <c r="L179" s="86"/>
      <c r="M179" s="86"/>
      <c r="N179" s="86"/>
      <c r="O179" s="86"/>
      <c r="P179" s="86"/>
      <c r="Q179" s="86"/>
      <c r="R179" s="86"/>
      <c r="S179" s="86"/>
      <c r="T179" s="86"/>
      <c r="U179" s="86"/>
      <c r="V179" s="617"/>
      <c r="W179" s="3179"/>
      <c r="X179" s="3179"/>
      <c r="Y179" s="3179"/>
      <c r="Z179" s="3179"/>
      <c r="AA179" s="3179"/>
      <c r="AB179" s="3179"/>
      <c r="AC179" s="3179"/>
      <c r="AD179" s="3179"/>
      <c r="AE179" s="3179"/>
      <c r="AF179" s="3179"/>
      <c r="AG179" s="3179"/>
      <c r="AH179" s="3179"/>
      <c r="AI179" s="3179"/>
      <c r="AJ179" s="3179"/>
      <c r="AK179" s="3179"/>
      <c r="AL179" s="3179"/>
      <c r="AM179" s="3179"/>
      <c r="AN179" s="3181" t="s">
        <v>525</v>
      </c>
      <c r="AO179" s="3180"/>
      <c r="AP179" s="3180"/>
      <c r="AQ179" s="3180"/>
      <c r="AR179" s="3180"/>
      <c r="AS179" s="3180"/>
      <c r="AT179" s="3180"/>
      <c r="AU179" s="3180"/>
      <c r="AV179" s="3180"/>
      <c r="AW179" s="3180"/>
      <c r="AX179" s="3180"/>
      <c r="AY179" s="3180"/>
      <c r="AZ179" s="3180"/>
      <c r="BA179" s="3180"/>
      <c r="BB179" s="3180"/>
      <c r="BC179" s="3180"/>
      <c r="BD179" s="3180"/>
      <c r="BE179" s="3180"/>
      <c r="BF179" s="3181" t="s">
        <v>525</v>
      </c>
      <c r="BG179" s="86"/>
      <c r="BH179" s="86"/>
      <c r="BI179" s="86"/>
      <c r="BJ179" s="86"/>
      <c r="BK179" s="86"/>
      <c r="BL179" s="86"/>
      <c r="BM179" s="86"/>
      <c r="BN179" s="86"/>
      <c r="BO179" s="86"/>
      <c r="BP179" s="86"/>
      <c r="BQ179" s="86"/>
      <c r="BR179" s="86"/>
      <c r="BS179" s="86"/>
      <c r="BT179" s="86"/>
      <c r="BU179" s="86"/>
      <c r="BV179" s="86"/>
      <c r="BW179" s="86"/>
      <c r="BX179" s="86"/>
      <c r="BY179" s="86"/>
      <c r="BZ179" s="617"/>
    </row>
    <row r="180" spans="2:78" ht="17.100000000000001" customHeight="1" x14ac:dyDescent="0.25">
      <c r="B180" s="617"/>
      <c r="C180" s="86"/>
      <c r="D180" s="86"/>
      <c r="E180" s="86"/>
      <c r="F180" s="86"/>
      <c r="G180" s="86"/>
      <c r="H180" s="86"/>
      <c r="I180" s="86"/>
      <c r="J180" s="86"/>
      <c r="K180" s="86"/>
      <c r="L180" s="86"/>
      <c r="M180" s="86"/>
      <c r="N180" s="86"/>
      <c r="O180" s="86"/>
      <c r="P180" s="86"/>
      <c r="Q180" s="86"/>
      <c r="R180" s="86"/>
      <c r="S180" s="86"/>
      <c r="T180" s="86"/>
      <c r="U180" s="86"/>
      <c r="V180" s="617"/>
      <c r="W180" s="3179"/>
      <c r="X180" s="3179"/>
      <c r="Y180" s="3179"/>
      <c r="Z180" s="3179"/>
      <c r="AA180" s="3179"/>
      <c r="AB180" s="3179"/>
      <c r="AC180" s="3179"/>
      <c r="AD180" s="3179"/>
      <c r="AE180" s="3179"/>
      <c r="AF180" s="3179"/>
      <c r="AG180" s="3179"/>
      <c r="AH180" s="3179"/>
      <c r="AI180" s="3179"/>
      <c r="AJ180" s="3179"/>
      <c r="AK180" s="3179"/>
      <c r="AL180" s="3179"/>
      <c r="AM180" s="3179"/>
      <c r="AN180" s="3181" t="s">
        <v>525</v>
      </c>
      <c r="AO180" s="3180"/>
      <c r="AP180" s="3180"/>
      <c r="AQ180" s="3180"/>
      <c r="AR180" s="3180"/>
      <c r="AS180" s="3180"/>
      <c r="AT180" s="3180"/>
      <c r="AU180" s="3180"/>
      <c r="AV180" s="3180"/>
      <c r="AW180" s="3180"/>
      <c r="AX180" s="3180"/>
      <c r="AY180" s="3180"/>
      <c r="AZ180" s="3180"/>
      <c r="BA180" s="3180"/>
      <c r="BB180" s="3180"/>
      <c r="BC180" s="3180"/>
      <c r="BD180" s="3180"/>
      <c r="BE180" s="3180"/>
      <c r="BF180" s="3181" t="s">
        <v>525</v>
      </c>
      <c r="BG180" s="86"/>
      <c r="BH180" s="86"/>
      <c r="BI180" s="86"/>
      <c r="BJ180" s="86"/>
      <c r="BK180" s="86"/>
      <c r="BL180" s="86"/>
      <c r="BM180" s="86"/>
      <c r="BN180" s="86"/>
      <c r="BO180" s="86"/>
      <c r="BP180" s="86"/>
      <c r="BQ180" s="86"/>
      <c r="BR180" s="86"/>
      <c r="BS180" s="86"/>
      <c r="BT180" s="86"/>
      <c r="BU180" s="86"/>
      <c r="BV180" s="86"/>
      <c r="BW180" s="86"/>
      <c r="BX180" s="86"/>
      <c r="BY180" s="86"/>
      <c r="BZ180" s="617"/>
    </row>
    <row r="181" spans="2:78" ht="17.100000000000001" customHeight="1" x14ac:dyDescent="0.25">
      <c r="B181" s="617"/>
      <c r="C181" s="86"/>
      <c r="D181" s="86"/>
      <c r="E181" s="86"/>
      <c r="F181" s="86"/>
      <c r="G181" s="86"/>
      <c r="H181" s="86"/>
      <c r="I181" s="86"/>
      <c r="J181" s="86"/>
      <c r="K181" s="86"/>
      <c r="L181" s="86"/>
      <c r="M181" s="86"/>
      <c r="N181" s="86"/>
      <c r="O181" s="86"/>
      <c r="P181" s="86"/>
      <c r="Q181" s="86"/>
      <c r="R181" s="86"/>
      <c r="S181" s="86"/>
      <c r="T181" s="86"/>
      <c r="U181" s="86"/>
      <c r="V181" s="617"/>
      <c r="W181" s="3179"/>
      <c r="X181" s="3179"/>
      <c r="Y181" s="3179"/>
      <c r="Z181" s="3179"/>
      <c r="AA181" s="3179"/>
      <c r="AB181" s="3179"/>
      <c r="AC181" s="3179"/>
      <c r="AD181" s="3179"/>
      <c r="AE181" s="3179"/>
      <c r="AF181" s="3179"/>
      <c r="AG181" s="3179"/>
      <c r="AH181" s="3179"/>
      <c r="AI181" s="3179"/>
      <c r="AJ181" s="3179"/>
      <c r="AK181" s="3179"/>
      <c r="AL181" s="3179"/>
      <c r="AM181" s="3179"/>
      <c r="AN181" s="3181" t="s">
        <v>525</v>
      </c>
      <c r="AO181" s="3180"/>
      <c r="AP181" s="3180"/>
      <c r="AQ181" s="3180"/>
      <c r="AR181" s="3180"/>
      <c r="AS181" s="3180"/>
      <c r="AT181" s="3180"/>
      <c r="AU181" s="3180"/>
      <c r="AV181" s="3180"/>
      <c r="AW181" s="3180"/>
      <c r="AX181" s="3180"/>
      <c r="AY181" s="3180"/>
      <c r="AZ181" s="3180"/>
      <c r="BA181" s="3180"/>
      <c r="BB181" s="3180"/>
      <c r="BC181" s="3180"/>
      <c r="BD181" s="3180"/>
      <c r="BE181" s="3180"/>
      <c r="BF181" s="3181" t="s">
        <v>525</v>
      </c>
      <c r="BG181" s="86"/>
      <c r="BH181" s="86"/>
      <c r="BI181" s="86"/>
      <c r="BJ181" s="86"/>
      <c r="BK181" s="86"/>
      <c r="BL181" s="86"/>
      <c r="BM181" s="86"/>
      <c r="BN181" s="86"/>
      <c r="BO181" s="86"/>
      <c r="BP181" s="86"/>
      <c r="BQ181" s="86"/>
      <c r="BR181" s="86"/>
      <c r="BS181" s="86"/>
      <c r="BT181" s="86"/>
      <c r="BU181" s="86"/>
      <c r="BV181" s="86"/>
      <c r="BW181" s="86"/>
      <c r="BX181" s="86"/>
      <c r="BY181" s="86"/>
      <c r="BZ181" s="617"/>
    </row>
    <row r="182" spans="2:78" ht="17.100000000000001" customHeight="1" x14ac:dyDescent="0.25">
      <c r="B182" s="617"/>
      <c r="C182" s="86"/>
      <c r="D182" s="86"/>
      <c r="E182" s="86"/>
      <c r="F182" s="86"/>
      <c r="G182" s="86"/>
      <c r="H182" s="86"/>
      <c r="I182" s="86"/>
      <c r="J182" s="86"/>
      <c r="K182" s="86"/>
      <c r="L182" s="86"/>
      <c r="M182" s="86"/>
      <c r="N182" s="86"/>
      <c r="O182" s="86"/>
      <c r="P182" s="86"/>
      <c r="Q182" s="86"/>
      <c r="R182" s="86"/>
      <c r="S182" s="86"/>
      <c r="T182" s="86"/>
      <c r="U182" s="86"/>
      <c r="V182" s="617"/>
      <c r="W182" s="3179"/>
      <c r="X182" s="3179"/>
      <c r="Y182" s="3179"/>
      <c r="Z182" s="3179"/>
      <c r="AA182" s="3179"/>
      <c r="AB182" s="3179"/>
      <c r="AC182" s="3179"/>
      <c r="AD182" s="3179"/>
      <c r="AE182" s="3179"/>
      <c r="AF182" s="3179"/>
      <c r="AG182" s="3179"/>
      <c r="AH182" s="3179"/>
      <c r="AI182" s="3179"/>
      <c r="AJ182" s="3179"/>
      <c r="AK182" s="3179"/>
      <c r="AL182" s="3179"/>
      <c r="AM182" s="3179"/>
      <c r="AN182" s="3181" t="s">
        <v>525</v>
      </c>
      <c r="AO182" s="3180"/>
      <c r="AP182" s="3180"/>
      <c r="AQ182" s="3180"/>
      <c r="AR182" s="3180"/>
      <c r="AS182" s="3180"/>
      <c r="AT182" s="3180"/>
      <c r="AU182" s="3180"/>
      <c r="AV182" s="3180"/>
      <c r="AW182" s="3180"/>
      <c r="AX182" s="3180"/>
      <c r="AY182" s="3180"/>
      <c r="AZ182" s="3180"/>
      <c r="BA182" s="3180"/>
      <c r="BB182" s="3180"/>
      <c r="BC182" s="3180"/>
      <c r="BD182" s="3180"/>
      <c r="BE182" s="3180"/>
      <c r="BF182" s="3181" t="s">
        <v>525</v>
      </c>
      <c r="BG182" s="86"/>
      <c r="BH182" s="86"/>
      <c r="BI182" s="86"/>
      <c r="BJ182" s="86"/>
      <c r="BK182" s="86"/>
      <c r="BL182" s="86"/>
      <c r="BM182" s="86"/>
      <c r="BN182" s="86"/>
      <c r="BO182" s="86"/>
      <c r="BP182" s="86"/>
      <c r="BQ182" s="86"/>
      <c r="BR182" s="86"/>
      <c r="BS182" s="86"/>
      <c r="BT182" s="86"/>
      <c r="BU182" s="86"/>
      <c r="BV182" s="86"/>
      <c r="BW182" s="86"/>
      <c r="BX182" s="86"/>
      <c r="BY182" s="86"/>
      <c r="BZ182" s="617"/>
    </row>
    <row r="183" spans="2:78" ht="17.100000000000001" customHeight="1" x14ac:dyDescent="0.25">
      <c r="B183" s="617"/>
      <c r="C183" s="86"/>
      <c r="D183" s="86"/>
      <c r="E183" s="86"/>
      <c r="F183" s="86"/>
      <c r="G183" s="86"/>
      <c r="H183" s="86"/>
      <c r="I183" s="86"/>
      <c r="J183" s="86"/>
      <c r="K183" s="86"/>
      <c r="L183" s="86"/>
      <c r="M183" s="86"/>
      <c r="N183" s="86"/>
      <c r="O183" s="86"/>
      <c r="P183" s="86"/>
      <c r="Q183" s="86"/>
      <c r="R183" s="86"/>
      <c r="S183" s="86"/>
      <c r="T183" s="86"/>
      <c r="U183" s="86"/>
      <c r="V183" s="617"/>
      <c r="W183" s="3179"/>
      <c r="X183" s="3179"/>
      <c r="Y183" s="3179"/>
      <c r="Z183" s="3179"/>
      <c r="AA183" s="3179"/>
      <c r="AB183" s="3179"/>
      <c r="AC183" s="3179"/>
      <c r="AD183" s="3179"/>
      <c r="AE183" s="3179"/>
      <c r="AF183" s="3179"/>
      <c r="AG183" s="3179"/>
      <c r="AH183" s="3179"/>
      <c r="AI183" s="3179"/>
      <c r="AJ183" s="3179"/>
      <c r="AK183" s="3179"/>
      <c r="AL183" s="3179"/>
      <c r="AM183" s="3179"/>
      <c r="AN183" s="3181" t="s">
        <v>525</v>
      </c>
      <c r="AO183" s="3180"/>
      <c r="AP183" s="3180"/>
      <c r="AQ183" s="3180"/>
      <c r="AR183" s="3180"/>
      <c r="AS183" s="3180"/>
      <c r="AT183" s="3180"/>
      <c r="AU183" s="3180"/>
      <c r="AV183" s="3180"/>
      <c r="AW183" s="3180"/>
      <c r="AX183" s="3180"/>
      <c r="AY183" s="3180"/>
      <c r="AZ183" s="3180"/>
      <c r="BA183" s="3180"/>
      <c r="BB183" s="3180"/>
      <c r="BC183" s="3180"/>
      <c r="BD183" s="3180"/>
      <c r="BE183" s="3180"/>
      <c r="BF183" s="3181" t="s">
        <v>525</v>
      </c>
      <c r="BG183" s="86"/>
      <c r="BH183" s="86"/>
      <c r="BI183" s="86"/>
      <c r="BJ183" s="86"/>
      <c r="BK183" s="86"/>
      <c r="BL183" s="86"/>
      <c r="BM183" s="86"/>
      <c r="BN183" s="86"/>
      <c r="BO183" s="86"/>
      <c r="BP183" s="86"/>
      <c r="BQ183" s="86"/>
      <c r="BR183" s="86"/>
      <c r="BS183" s="86"/>
      <c r="BT183" s="86"/>
      <c r="BU183" s="86"/>
      <c r="BV183" s="86"/>
      <c r="BW183" s="86"/>
      <c r="BX183" s="86"/>
      <c r="BY183" s="86"/>
      <c r="BZ183" s="617"/>
    </row>
    <row r="184" spans="2:78" ht="17.100000000000001" customHeight="1" x14ac:dyDescent="0.25">
      <c r="B184" s="617"/>
      <c r="C184" s="86"/>
      <c r="D184" s="86"/>
      <c r="E184" s="86"/>
      <c r="F184" s="86"/>
      <c r="G184" s="86"/>
      <c r="H184" s="86"/>
      <c r="I184" s="86"/>
      <c r="J184" s="86"/>
      <c r="K184" s="86"/>
      <c r="L184" s="86"/>
      <c r="M184" s="86"/>
      <c r="N184" s="86"/>
      <c r="O184" s="86"/>
      <c r="P184" s="86"/>
      <c r="Q184" s="86"/>
      <c r="R184" s="86"/>
      <c r="S184" s="86"/>
      <c r="T184" s="86"/>
      <c r="U184" s="86"/>
      <c r="V184" s="617"/>
      <c r="W184" s="3179"/>
      <c r="X184" s="3179"/>
      <c r="Y184" s="3179"/>
      <c r="Z184" s="3179"/>
      <c r="AA184" s="3179"/>
      <c r="AB184" s="3179"/>
      <c r="AC184" s="3179"/>
      <c r="AD184" s="3179"/>
      <c r="AE184" s="3179"/>
      <c r="AF184" s="3179"/>
      <c r="AG184" s="3179"/>
      <c r="AH184" s="3179"/>
      <c r="AI184" s="3179"/>
      <c r="AJ184" s="3179"/>
      <c r="AK184" s="3179"/>
      <c r="AL184" s="3179"/>
      <c r="AM184" s="3179"/>
      <c r="AN184" s="3181" t="s">
        <v>525</v>
      </c>
      <c r="AO184" s="3180"/>
      <c r="AP184" s="3180"/>
      <c r="AQ184" s="3180"/>
      <c r="AR184" s="3180"/>
      <c r="AS184" s="3180"/>
      <c r="AT184" s="3180"/>
      <c r="AU184" s="3180"/>
      <c r="AV184" s="3180"/>
      <c r="AW184" s="3180"/>
      <c r="AX184" s="3180"/>
      <c r="AY184" s="3180"/>
      <c r="AZ184" s="3180"/>
      <c r="BA184" s="3180"/>
      <c r="BB184" s="3180"/>
      <c r="BC184" s="3180"/>
      <c r="BD184" s="3180"/>
      <c r="BE184" s="3180"/>
      <c r="BF184" s="3181" t="s">
        <v>525</v>
      </c>
      <c r="BG184" s="86"/>
      <c r="BH184" s="86"/>
      <c r="BI184" s="86"/>
      <c r="BJ184" s="86"/>
      <c r="BK184" s="86"/>
      <c r="BL184" s="86"/>
      <c r="BM184" s="86"/>
      <c r="BN184" s="86"/>
      <c r="BO184" s="86"/>
      <c r="BP184" s="86"/>
      <c r="BQ184" s="86"/>
      <c r="BR184" s="86"/>
      <c r="BS184" s="86"/>
      <c r="BT184" s="86"/>
      <c r="BU184" s="86"/>
      <c r="BV184" s="86"/>
      <c r="BW184" s="86"/>
      <c r="BX184" s="86"/>
      <c r="BY184" s="86"/>
      <c r="BZ184" s="617"/>
    </row>
    <row r="185" spans="2:78" ht="17.100000000000001" customHeight="1" x14ac:dyDescent="0.25">
      <c r="B185" s="617"/>
      <c r="C185" s="86"/>
      <c r="D185" s="86"/>
      <c r="E185" s="86"/>
      <c r="F185" s="86"/>
      <c r="G185" s="86"/>
      <c r="H185" s="86"/>
      <c r="I185" s="86"/>
      <c r="J185" s="86"/>
      <c r="K185" s="86"/>
      <c r="L185" s="86"/>
      <c r="M185" s="86"/>
      <c r="N185" s="86"/>
      <c r="O185" s="86"/>
      <c r="P185" s="86"/>
      <c r="Q185" s="86"/>
      <c r="R185" s="86"/>
      <c r="S185" s="86"/>
      <c r="T185" s="86"/>
      <c r="U185" s="86"/>
      <c r="V185" s="617"/>
      <c r="W185" s="3179"/>
      <c r="X185" s="3179"/>
      <c r="Y185" s="3179"/>
      <c r="Z185" s="3179"/>
      <c r="AA185" s="3179"/>
      <c r="AB185" s="3179"/>
      <c r="AC185" s="3179"/>
      <c r="AD185" s="3179"/>
      <c r="AE185" s="3179"/>
      <c r="AF185" s="3179"/>
      <c r="AG185" s="3179"/>
      <c r="AH185" s="3179"/>
      <c r="AI185" s="3179"/>
      <c r="AJ185" s="3179"/>
      <c r="AK185" s="3179"/>
      <c r="AL185" s="3179"/>
      <c r="AM185" s="3179"/>
      <c r="AN185" s="3181" t="s">
        <v>525</v>
      </c>
      <c r="AO185" s="3180"/>
      <c r="AP185" s="3180"/>
      <c r="AQ185" s="3180"/>
      <c r="AR185" s="3180"/>
      <c r="AS185" s="3180"/>
      <c r="AT185" s="3180"/>
      <c r="AU185" s="3180"/>
      <c r="AV185" s="3180"/>
      <c r="AW185" s="3180"/>
      <c r="AX185" s="3180"/>
      <c r="AY185" s="3180"/>
      <c r="AZ185" s="3180"/>
      <c r="BA185" s="3180"/>
      <c r="BB185" s="3180"/>
      <c r="BC185" s="3180"/>
      <c r="BD185" s="3180"/>
      <c r="BE185" s="3180"/>
      <c r="BF185" s="3181" t="s">
        <v>525</v>
      </c>
      <c r="BG185" s="86"/>
      <c r="BH185" s="86"/>
      <c r="BI185" s="86"/>
      <c r="BJ185" s="86"/>
      <c r="BK185" s="86"/>
      <c r="BL185" s="86"/>
      <c r="BM185" s="86"/>
      <c r="BN185" s="86"/>
      <c r="BO185" s="86"/>
      <c r="BP185" s="86"/>
      <c r="BQ185" s="86"/>
      <c r="BR185" s="86"/>
      <c r="BS185" s="86"/>
      <c r="BT185" s="86"/>
      <c r="BU185" s="86"/>
      <c r="BV185" s="86"/>
      <c r="BW185" s="86"/>
      <c r="BX185" s="86"/>
      <c r="BY185" s="86"/>
      <c r="BZ185" s="617"/>
    </row>
    <row r="186" spans="2:78" ht="17.100000000000001" customHeight="1" x14ac:dyDescent="0.25">
      <c r="B186" s="617"/>
      <c r="C186" s="86"/>
      <c r="D186" s="86"/>
      <c r="E186" s="86"/>
      <c r="F186" s="86"/>
      <c r="G186" s="86"/>
      <c r="H186" s="86"/>
      <c r="I186" s="86"/>
      <c r="J186" s="86"/>
      <c r="K186" s="86"/>
      <c r="L186" s="86"/>
      <c r="M186" s="86"/>
      <c r="N186" s="86"/>
      <c r="O186" s="86"/>
      <c r="P186" s="86"/>
      <c r="Q186" s="86"/>
      <c r="R186" s="86"/>
      <c r="S186" s="86"/>
      <c r="T186" s="86"/>
      <c r="U186" s="86"/>
      <c r="V186" s="617"/>
      <c r="W186" s="3179"/>
      <c r="X186" s="3179"/>
      <c r="Y186" s="3179"/>
      <c r="Z186" s="3179"/>
      <c r="AA186" s="3179"/>
      <c r="AB186" s="3179"/>
      <c r="AC186" s="3179"/>
      <c r="AD186" s="3179"/>
      <c r="AE186" s="3179"/>
      <c r="AF186" s="3179"/>
      <c r="AG186" s="3179"/>
      <c r="AH186" s="3179"/>
      <c r="AI186" s="3179"/>
      <c r="AJ186" s="3179"/>
      <c r="AK186" s="3179"/>
      <c r="AL186" s="3179"/>
      <c r="AM186" s="3179"/>
      <c r="AN186" s="3181" t="s">
        <v>525</v>
      </c>
      <c r="AO186" s="3180"/>
      <c r="AP186" s="3180"/>
      <c r="AQ186" s="3180"/>
      <c r="AR186" s="3180"/>
      <c r="AS186" s="3180"/>
      <c r="AT186" s="3180"/>
      <c r="AU186" s="3180"/>
      <c r="AV186" s="3180"/>
      <c r="AW186" s="3180"/>
      <c r="AX186" s="3180"/>
      <c r="AY186" s="3180"/>
      <c r="AZ186" s="3180"/>
      <c r="BA186" s="3180"/>
      <c r="BB186" s="3180"/>
      <c r="BC186" s="3180"/>
      <c r="BD186" s="3180"/>
      <c r="BE186" s="3180"/>
      <c r="BF186" s="3181" t="s">
        <v>525</v>
      </c>
      <c r="BG186" s="86"/>
      <c r="BH186" s="86"/>
      <c r="BI186" s="86"/>
      <c r="BJ186" s="86"/>
      <c r="BK186" s="86"/>
      <c r="BL186" s="86"/>
      <c r="BM186" s="86"/>
      <c r="BN186" s="86"/>
      <c r="BO186" s="86"/>
      <c r="BP186" s="86"/>
      <c r="BQ186" s="86"/>
      <c r="BR186" s="86"/>
      <c r="BS186" s="86"/>
      <c r="BT186" s="86"/>
      <c r="BU186" s="86"/>
      <c r="BV186" s="86"/>
      <c r="BW186" s="86"/>
      <c r="BX186" s="86"/>
      <c r="BY186" s="86"/>
      <c r="BZ186" s="617"/>
    </row>
    <row r="187" spans="2:78" ht="17.100000000000001" customHeight="1" x14ac:dyDescent="0.25">
      <c r="B187" s="617"/>
      <c r="C187" s="86"/>
      <c r="D187" s="86"/>
      <c r="E187" s="86"/>
      <c r="F187" s="86"/>
      <c r="G187" s="86"/>
      <c r="H187" s="86"/>
      <c r="I187" s="86"/>
      <c r="J187" s="86"/>
      <c r="K187" s="86"/>
      <c r="L187" s="86"/>
      <c r="M187" s="86"/>
      <c r="N187" s="86"/>
      <c r="O187" s="86"/>
      <c r="P187" s="86"/>
      <c r="Q187" s="86"/>
      <c r="R187" s="86"/>
      <c r="S187" s="86"/>
      <c r="T187" s="86"/>
      <c r="U187" s="86"/>
      <c r="V187" s="617"/>
      <c r="W187" s="3179"/>
      <c r="X187" s="3179"/>
      <c r="Y187" s="3179"/>
      <c r="Z187" s="3179"/>
      <c r="AA187" s="3179"/>
      <c r="AB187" s="3179"/>
      <c r="AC187" s="3179"/>
      <c r="AD187" s="3179"/>
      <c r="AE187" s="3179"/>
      <c r="AF187" s="3179"/>
      <c r="AG187" s="3179"/>
      <c r="AH187" s="3179"/>
      <c r="AI187" s="3179"/>
      <c r="AJ187" s="3179"/>
      <c r="AK187" s="3179"/>
      <c r="AL187" s="3179"/>
      <c r="AM187" s="3179"/>
      <c r="AN187" s="3181" t="s">
        <v>525</v>
      </c>
      <c r="AO187" s="3180"/>
      <c r="AP187" s="3180"/>
      <c r="AQ187" s="3180"/>
      <c r="AR187" s="3180"/>
      <c r="AS187" s="3180"/>
      <c r="AT187" s="3180"/>
      <c r="AU187" s="3180"/>
      <c r="AV187" s="3180"/>
      <c r="AW187" s="3180"/>
      <c r="AX187" s="3180"/>
      <c r="AY187" s="3180"/>
      <c r="AZ187" s="3180"/>
      <c r="BA187" s="3180"/>
      <c r="BB187" s="3180"/>
      <c r="BC187" s="3180"/>
      <c r="BD187" s="3180"/>
      <c r="BE187" s="3180"/>
      <c r="BF187" s="3181" t="s">
        <v>525</v>
      </c>
      <c r="BG187" s="86"/>
      <c r="BH187" s="86"/>
      <c r="BI187" s="86"/>
      <c r="BJ187" s="86"/>
      <c r="BK187" s="86"/>
      <c r="BL187" s="86"/>
      <c r="BM187" s="86"/>
      <c r="BN187" s="86"/>
      <c r="BO187" s="86"/>
      <c r="BP187" s="86"/>
      <c r="BQ187" s="86"/>
      <c r="BR187" s="86"/>
      <c r="BS187" s="86"/>
      <c r="BT187" s="86"/>
      <c r="BU187" s="86"/>
      <c r="BV187" s="86"/>
      <c r="BW187" s="86"/>
      <c r="BX187" s="86"/>
      <c r="BY187" s="86"/>
      <c r="BZ187" s="617"/>
    </row>
    <row r="188" spans="2:78" ht="17.100000000000001" customHeight="1" x14ac:dyDescent="0.25">
      <c r="B188" s="617"/>
      <c r="C188" s="86"/>
      <c r="D188" s="86"/>
      <c r="E188" s="86"/>
      <c r="F188" s="86"/>
      <c r="G188" s="86"/>
      <c r="H188" s="86"/>
      <c r="I188" s="86"/>
      <c r="J188" s="86"/>
      <c r="K188" s="86"/>
      <c r="L188" s="86"/>
      <c r="M188" s="86"/>
      <c r="N188" s="86"/>
      <c r="O188" s="86"/>
      <c r="P188" s="86"/>
      <c r="Q188" s="86"/>
      <c r="R188" s="86"/>
      <c r="S188" s="86"/>
      <c r="T188" s="86"/>
      <c r="U188" s="86"/>
      <c r="V188" s="617"/>
      <c r="W188" s="3179"/>
      <c r="X188" s="3179"/>
      <c r="Y188" s="3179"/>
      <c r="Z188" s="3179"/>
      <c r="AA188" s="3179"/>
      <c r="AB188" s="3179"/>
      <c r="AC188" s="3179"/>
      <c r="AD188" s="3179"/>
      <c r="AE188" s="3179"/>
      <c r="AF188" s="3179"/>
      <c r="AG188" s="3179"/>
      <c r="AH188" s="3179"/>
      <c r="AI188" s="3179"/>
      <c r="AJ188" s="3179"/>
      <c r="AK188" s="3179"/>
      <c r="AL188" s="3179"/>
      <c r="AM188" s="3179"/>
      <c r="AN188" s="3181" t="s">
        <v>525</v>
      </c>
      <c r="AO188" s="3180"/>
      <c r="AP188" s="3180"/>
      <c r="AQ188" s="3180"/>
      <c r="AR188" s="3180"/>
      <c r="AS188" s="3180"/>
      <c r="AT188" s="3180"/>
      <c r="AU188" s="3180"/>
      <c r="AV188" s="3180"/>
      <c r="AW188" s="3180"/>
      <c r="AX188" s="3180"/>
      <c r="AY188" s="3180"/>
      <c r="AZ188" s="3180"/>
      <c r="BA188" s="3180"/>
      <c r="BB188" s="3180"/>
      <c r="BC188" s="3180"/>
      <c r="BD188" s="3180"/>
      <c r="BE188" s="3180"/>
      <c r="BF188" s="3181" t="s">
        <v>525</v>
      </c>
      <c r="BG188" s="86"/>
      <c r="BH188" s="86"/>
      <c r="BI188" s="86"/>
      <c r="BJ188" s="86"/>
      <c r="BK188" s="86"/>
      <c r="BL188" s="86"/>
      <c r="BM188" s="86"/>
      <c r="BN188" s="86"/>
      <c r="BO188" s="86"/>
      <c r="BP188" s="86"/>
      <c r="BQ188" s="86"/>
      <c r="BR188" s="86"/>
      <c r="BS188" s="86"/>
      <c r="BT188" s="86"/>
      <c r="BU188" s="86"/>
      <c r="BV188" s="86"/>
      <c r="BW188" s="86"/>
      <c r="BX188" s="86"/>
      <c r="BY188" s="86"/>
      <c r="BZ188" s="617"/>
    </row>
    <row r="189" spans="2:78" ht="17.100000000000001" customHeight="1" x14ac:dyDescent="0.25">
      <c r="B189" s="617"/>
      <c r="C189" s="86"/>
      <c r="D189" s="86"/>
      <c r="E189" s="86"/>
      <c r="F189" s="86"/>
      <c r="G189" s="86"/>
      <c r="H189" s="86"/>
      <c r="I189" s="86"/>
      <c r="J189" s="86"/>
      <c r="K189" s="86"/>
      <c r="L189" s="86"/>
      <c r="M189" s="86"/>
      <c r="N189" s="86"/>
      <c r="O189" s="86"/>
      <c r="P189" s="86"/>
      <c r="Q189" s="86"/>
      <c r="R189" s="86"/>
      <c r="S189" s="86"/>
      <c r="T189" s="86"/>
      <c r="U189" s="86"/>
      <c r="V189" s="617"/>
      <c r="W189" s="3179"/>
      <c r="X189" s="3179"/>
      <c r="Y189" s="3179"/>
      <c r="Z189" s="3179"/>
      <c r="AA189" s="3179"/>
      <c r="AB189" s="3179"/>
      <c r="AC189" s="3179"/>
      <c r="AD189" s="3179"/>
      <c r="AE189" s="3179"/>
      <c r="AF189" s="3179"/>
      <c r="AG189" s="3179"/>
      <c r="AH189" s="3179"/>
      <c r="AI189" s="3179"/>
      <c r="AJ189" s="3179"/>
      <c r="AK189" s="3179"/>
      <c r="AL189" s="3179"/>
      <c r="AM189" s="3179"/>
      <c r="AN189" s="3181" t="s">
        <v>525</v>
      </c>
      <c r="AO189" s="3180"/>
      <c r="AP189" s="3180"/>
      <c r="AQ189" s="3180"/>
      <c r="AR189" s="3180"/>
      <c r="AS189" s="3180"/>
      <c r="AT189" s="3180"/>
      <c r="AU189" s="3180"/>
      <c r="AV189" s="3180"/>
      <c r="AW189" s="3180"/>
      <c r="AX189" s="3180"/>
      <c r="AY189" s="3180"/>
      <c r="AZ189" s="3180"/>
      <c r="BA189" s="3180"/>
      <c r="BB189" s="3180"/>
      <c r="BC189" s="3180"/>
      <c r="BD189" s="3180"/>
      <c r="BE189" s="3180"/>
      <c r="BF189" s="3181" t="s">
        <v>525</v>
      </c>
      <c r="BG189" s="86"/>
      <c r="BH189" s="86"/>
      <c r="BI189" s="86"/>
      <c r="BJ189" s="86"/>
      <c r="BK189" s="86"/>
      <c r="BL189" s="86"/>
      <c r="BM189" s="86"/>
      <c r="BN189" s="86"/>
      <c r="BO189" s="86"/>
      <c r="BP189" s="86"/>
      <c r="BQ189" s="86"/>
      <c r="BR189" s="86"/>
      <c r="BS189" s="86"/>
      <c r="BT189" s="86"/>
      <c r="BU189" s="86"/>
      <c r="BV189" s="86"/>
      <c r="BW189" s="86"/>
      <c r="BX189" s="86"/>
      <c r="BY189" s="86"/>
      <c r="BZ189" s="617"/>
    </row>
    <row r="190" spans="2:78" ht="17.100000000000001" customHeight="1" x14ac:dyDescent="0.25">
      <c r="B190" s="617"/>
      <c r="C190" s="86"/>
      <c r="D190" s="86"/>
      <c r="E190" s="86"/>
      <c r="F190" s="86"/>
      <c r="G190" s="86"/>
      <c r="H190" s="86"/>
      <c r="I190" s="86"/>
      <c r="J190" s="86"/>
      <c r="K190" s="86"/>
      <c r="L190" s="86"/>
      <c r="M190" s="86"/>
      <c r="N190" s="86"/>
      <c r="O190" s="86"/>
      <c r="P190" s="86"/>
      <c r="Q190" s="86"/>
      <c r="R190" s="86"/>
      <c r="S190" s="86"/>
      <c r="T190" s="86"/>
      <c r="U190" s="86"/>
      <c r="V190" s="617"/>
      <c r="W190" s="3179"/>
      <c r="X190" s="3179"/>
      <c r="Y190" s="3179"/>
      <c r="Z190" s="3179"/>
      <c r="AA190" s="3179"/>
      <c r="AB190" s="3179"/>
      <c r="AC190" s="3179"/>
      <c r="AD190" s="3179"/>
      <c r="AE190" s="3179"/>
      <c r="AF190" s="3179"/>
      <c r="AG190" s="3179"/>
      <c r="AH190" s="3179"/>
      <c r="AI190" s="3179"/>
      <c r="AJ190" s="3179"/>
      <c r="AK190" s="3179"/>
      <c r="AL190" s="3179"/>
      <c r="AM190" s="3179"/>
      <c r="AN190" s="3181" t="s">
        <v>525</v>
      </c>
      <c r="AO190" s="3180"/>
      <c r="AP190" s="3180"/>
      <c r="AQ190" s="3180"/>
      <c r="AR190" s="3180"/>
      <c r="AS190" s="3180"/>
      <c r="AT190" s="3180"/>
      <c r="AU190" s="3180"/>
      <c r="AV190" s="3180"/>
      <c r="AW190" s="3180"/>
      <c r="AX190" s="3180"/>
      <c r="AY190" s="3180"/>
      <c r="AZ190" s="3180"/>
      <c r="BA190" s="3180"/>
      <c r="BB190" s="3180"/>
      <c r="BC190" s="3180"/>
      <c r="BD190" s="3180"/>
      <c r="BE190" s="3180"/>
      <c r="BF190" s="3181" t="s">
        <v>525</v>
      </c>
      <c r="BG190" s="86"/>
      <c r="BH190" s="86"/>
      <c r="BI190" s="86"/>
      <c r="BJ190" s="86"/>
      <c r="BK190" s="86"/>
      <c r="BL190" s="86"/>
      <c r="BM190" s="86"/>
      <c r="BN190" s="86"/>
      <c r="BO190" s="86"/>
      <c r="BP190" s="86"/>
      <c r="BQ190" s="86"/>
      <c r="BR190" s="86"/>
      <c r="BS190" s="86"/>
      <c r="BT190" s="86"/>
      <c r="BU190" s="86"/>
      <c r="BV190" s="86"/>
      <c r="BW190" s="86"/>
      <c r="BX190" s="86"/>
      <c r="BY190" s="86"/>
      <c r="BZ190" s="617"/>
    </row>
    <row r="191" spans="2:78" ht="17.100000000000001" customHeight="1" x14ac:dyDescent="0.25">
      <c r="B191" s="617"/>
      <c r="C191" s="86"/>
      <c r="D191" s="86"/>
      <c r="E191" s="86"/>
      <c r="F191" s="86"/>
      <c r="G191" s="86"/>
      <c r="H191" s="86"/>
      <c r="I191" s="86"/>
      <c r="J191" s="86"/>
      <c r="K191" s="86"/>
      <c r="L191" s="86"/>
      <c r="M191" s="86"/>
      <c r="N191" s="86"/>
      <c r="O191" s="86"/>
      <c r="P191" s="86"/>
      <c r="Q191" s="86"/>
      <c r="R191" s="86"/>
      <c r="S191" s="86"/>
      <c r="T191" s="86"/>
      <c r="U191" s="86"/>
      <c r="V191" s="617"/>
      <c r="W191" s="3179"/>
      <c r="X191" s="3179"/>
      <c r="Y191" s="3179"/>
      <c r="Z191" s="3179"/>
      <c r="AA191" s="3179"/>
      <c r="AB191" s="3179"/>
      <c r="AC191" s="3179"/>
      <c r="AD191" s="3179"/>
      <c r="AE191" s="3179"/>
      <c r="AF191" s="3179"/>
      <c r="AG191" s="3179"/>
      <c r="AH191" s="3179"/>
      <c r="AI191" s="3179"/>
      <c r="AJ191" s="3179"/>
      <c r="AK191" s="3179"/>
      <c r="AL191" s="3179"/>
      <c r="AM191" s="3179"/>
      <c r="AN191" s="3181" t="s">
        <v>525</v>
      </c>
      <c r="AO191" s="3180"/>
      <c r="AP191" s="3180"/>
      <c r="AQ191" s="3180"/>
      <c r="AR191" s="3180"/>
      <c r="AS191" s="3180"/>
      <c r="AT191" s="3180"/>
      <c r="AU191" s="3180"/>
      <c r="AV191" s="3180"/>
      <c r="AW191" s="3180"/>
      <c r="AX191" s="3180"/>
      <c r="AY191" s="3180"/>
      <c r="AZ191" s="3180"/>
      <c r="BA191" s="3180"/>
      <c r="BB191" s="3180"/>
      <c r="BC191" s="3180"/>
      <c r="BD191" s="3180"/>
      <c r="BE191" s="3180"/>
      <c r="BF191" s="3181" t="s">
        <v>525</v>
      </c>
      <c r="BG191" s="86"/>
      <c r="BH191" s="86"/>
      <c r="BI191" s="86"/>
      <c r="BJ191" s="86"/>
      <c r="BK191" s="86"/>
      <c r="BL191" s="86"/>
      <c r="BM191" s="86"/>
      <c r="BN191" s="86"/>
      <c r="BO191" s="86"/>
      <c r="BP191" s="86"/>
      <c r="BQ191" s="86"/>
      <c r="BR191" s="86"/>
      <c r="BS191" s="86"/>
      <c r="BT191" s="86"/>
      <c r="BU191" s="86"/>
      <c r="BV191" s="86"/>
      <c r="BW191" s="86"/>
      <c r="BX191" s="86"/>
      <c r="BY191" s="86"/>
      <c r="BZ191" s="617"/>
    </row>
    <row r="192" spans="2:78" ht="17.100000000000001" customHeight="1" x14ac:dyDescent="0.25">
      <c r="B192" s="617"/>
      <c r="C192" s="86"/>
      <c r="D192" s="86"/>
      <c r="E192" s="86"/>
      <c r="F192" s="86"/>
      <c r="G192" s="86"/>
      <c r="H192" s="86"/>
      <c r="I192" s="86"/>
      <c r="J192" s="86"/>
      <c r="K192" s="86"/>
      <c r="L192" s="86"/>
      <c r="M192" s="86"/>
      <c r="N192" s="86"/>
      <c r="O192" s="86"/>
      <c r="P192" s="86"/>
      <c r="Q192" s="86"/>
      <c r="R192" s="86"/>
      <c r="S192" s="86"/>
      <c r="T192" s="86"/>
      <c r="U192" s="86"/>
      <c r="V192" s="617"/>
      <c r="W192" s="3179"/>
      <c r="X192" s="3179"/>
      <c r="Y192" s="3179"/>
      <c r="Z192" s="3179"/>
      <c r="AA192" s="3179"/>
      <c r="AB192" s="3179"/>
      <c r="AC192" s="3179"/>
      <c r="AD192" s="3179"/>
      <c r="AE192" s="3179"/>
      <c r="AF192" s="3179"/>
      <c r="AG192" s="3179"/>
      <c r="AH192" s="3179"/>
      <c r="AI192" s="3179"/>
      <c r="AJ192" s="3179"/>
      <c r="AK192" s="3179"/>
      <c r="AL192" s="3179"/>
      <c r="AM192" s="3179"/>
      <c r="AN192" s="3181" t="s">
        <v>525</v>
      </c>
      <c r="AO192" s="3180"/>
      <c r="AP192" s="3180"/>
      <c r="AQ192" s="3180"/>
      <c r="AR192" s="3180"/>
      <c r="AS192" s="3180"/>
      <c r="AT192" s="3180"/>
      <c r="AU192" s="3180"/>
      <c r="AV192" s="3180"/>
      <c r="AW192" s="3180"/>
      <c r="AX192" s="3180"/>
      <c r="AY192" s="3180"/>
      <c r="AZ192" s="3180"/>
      <c r="BA192" s="3180"/>
      <c r="BB192" s="3180"/>
      <c r="BC192" s="3180"/>
      <c r="BD192" s="3180"/>
      <c r="BE192" s="3180"/>
      <c r="BF192" s="3181" t="s">
        <v>525</v>
      </c>
      <c r="BG192" s="86"/>
      <c r="BH192" s="86"/>
      <c r="BI192" s="86"/>
      <c r="BJ192" s="86"/>
      <c r="BK192" s="86"/>
      <c r="BL192" s="86"/>
      <c r="BM192" s="86"/>
      <c r="BN192" s="86"/>
      <c r="BO192" s="86"/>
      <c r="BP192" s="86"/>
      <c r="BQ192" s="86"/>
      <c r="BR192" s="86"/>
      <c r="BS192" s="86"/>
      <c r="BT192" s="86"/>
      <c r="BU192" s="86"/>
      <c r="BV192" s="86"/>
      <c r="BW192" s="86"/>
      <c r="BX192" s="86"/>
      <c r="BY192" s="86"/>
      <c r="BZ192" s="617"/>
    </row>
    <row r="193" spans="2:78" ht="17.100000000000001" customHeight="1" x14ac:dyDescent="0.25">
      <c r="B193" s="617"/>
      <c r="C193" s="86"/>
      <c r="D193" s="86"/>
      <c r="E193" s="86"/>
      <c r="F193" s="86"/>
      <c r="G193" s="86"/>
      <c r="H193" s="86"/>
      <c r="I193" s="86"/>
      <c r="J193" s="86"/>
      <c r="K193" s="86"/>
      <c r="L193" s="86"/>
      <c r="M193" s="86"/>
      <c r="N193" s="86"/>
      <c r="O193" s="86"/>
      <c r="P193" s="86"/>
      <c r="Q193" s="86"/>
      <c r="R193" s="86"/>
      <c r="S193" s="86"/>
      <c r="T193" s="86"/>
      <c r="U193" s="86"/>
      <c r="V193" s="617"/>
      <c r="W193" s="3179"/>
      <c r="X193" s="3179"/>
      <c r="Y193" s="3179"/>
      <c r="Z193" s="3179"/>
      <c r="AA193" s="3179"/>
      <c r="AB193" s="3179"/>
      <c r="AC193" s="3179"/>
      <c r="AD193" s="3179"/>
      <c r="AE193" s="3179"/>
      <c r="AF193" s="3179"/>
      <c r="AG193" s="3179"/>
      <c r="AH193" s="3179"/>
      <c r="AI193" s="3179"/>
      <c r="AJ193" s="3179"/>
      <c r="AK193" s="3179"/>
      <c r="AL193" s="3179"/>
      <c r="AM193" s="3179"/>
      <c r="AN193" s="3181" t="s">
        <v>525</v>
      </c>
      <c r="AO193" s="3180"/>
      <c r="AP193" s="3180"/>
      <c r="AQ193" s="3180"/>
      <c r="AR193" s="3180"/>
      <c r="AS193" s="3180"/>
      <c r="AT193" s="3180"/>
      <c r="AU193" s="3180"/>
      <c r="AV193" s="3180"/>
      <c r="AW193" s="3180"/>
      <c r="AX193" s="3180"/>
      <c r="AY193" s="3180"/>
      <c r="AZ193" s="3180"/>
      <c r="BA193" s="3180"/>
      <c r="BB193" s="3180"/>
      <c r="BC193" s="3180"/>
      <c r="BD193" s="3180"/>
      <c r="BE193" s="3180"/>
      <c r="BF193" s="3181" t="s">
        <v>525</v>
      </c>
      <c r="BG193" s="86"/>
      <c r="BH193" s="86"/>
      <c r="BI193" s="86"/>
      <c r="BJ193" s="86"/>
      <c r="BK193" s="86"/>
      <c r="BL193" s="86"/>
      <c r="BM193" s="86"/>
      <c r="BN193" s="86"/>
      <c r="BO193" s="86"/>
      <c r="BP193" s="86"/>
      <c r="BQ193" s="86"/>
      <c r="BR193" s="86"/>
      <c r="BS193" s="86"/>
      <c r="BT193" s="86"/>
      <c r="BU193" s="86"/>
      <c r="BV193" s="86"/>
      <c r="BW193" s="86"/>
      <c r="BX193" s="86"/>
      <c r="BY193" s="86"/>
      <c r="BZ193" s="617"/>
    </row>
    <row r="194" spans="2:78" ht="17.100000000000001" customHeight="1" x14ac:dyDescent="0.25">
      <c r="B194" s="617"/>
      <c r="C194" s="86"/>
      <c r="D194" s="86"/>
      <c r="E194" s="86"/>
      <c r="F194" s="86"/>
      <c r="G194" s="86"/>
      <c r="H194" s="86"/>
      <c r="I194" s="86"/>
      <c r="J194" s="86"/>
      <c r="K194" s="86"/>
      <c r="L194" s="86"/>
      <c r="M194" s="86"/>
      <c r="N194" s="86"/>
      <c r="O194" s="86"/>
      <c r="P194" s="86"/>
      <c r="Q194" s="86"/>
      <c r="R194" s="86"/>
      <c r="S194" s="86"/>
      <c r="T194" s="86"/>
      <c r="U194" s="86"/>
      <c r="V194" s="617"/>
      <c r="W194" s="3179"/>
      <c r="X194" s="3179"/>
      <c r="Y194" s="3179"/>
      <c r="Z194" s="3179"/>
      <c r="AA194" s="3179"/>
      <c r="AB194" s="3179"/>
      <c r="AC194" s="3179"/>
      <c r="AD194" s="3179"/>
      <c r="AE194" s="3179"/>
      <c r="AF194" s="3179"/>
      <c r="AG194" s="3179"/>
      <c r="AH194" s="3179"/>
      <c r="AI194" s="3179"/>
      <c r="AJ194" s="3179"/>
      <c r="AK194" s="3179"/>
      <c r="AL194" s="3179"/>
      <c r="AM194" s="3179"/>
      <c r="AN194" s="3181" t="s">
        <v>525</v>
      </c>
      <c r="AO194" s="3180"/>
      <c r="AP194" s="3180"/>
      <c r="AQ194" s="3180"/>
      <c r="AR194" s="3180"/>
      <c r="AS194" s="3180"/>
      <c r="AT194" s="3180"/>
      <c r="AU194" s="3180"/>
      <c r="AV194" s="3180"/>
      <c r="AW194" s="3180"/>
      <c r="AX194" s="3180"/>
      <c r="AY194" s="3180"/>
      <c r="AZ194" s="3180"/>
      <c r="BA194" s="3180"/>
      <c r="BB194" s="3180"/>
      <c r="BC194" s="3180"/>
      <c r="BD194" s="3180"/>
      <c r="BE194" s="3180"/>
      <c r="BF194" s="3181" t="s">
        <v>525</v>
      </c>
      <c r="BG194" s="86"/>
      <c r="BH194" s="86"/>
      <c r="BI194" s="86"/>
      <c r="BJ194" s="86"/>
      <c r="BK194" s="86"/>
      <c r="BL194" s="86"/>
      <c r="BM194" s="86"/>
      <c r="BN194" s="86"/>
      <c r="BO194" s="86"/>
      <c r="BP194" s="86"/>
      <c r="BQ194" s="86"/>
      <c r="BR194" s="86"/>
      <c r="BS194" s="86"/>
      <c r="BT194" s="86"/>
      <c r="BU194" s="86"/>
      <c r="BV194" s="86"/>
      <c r="BW194" s="86"/>
      <c r="BX194" s="86"/>
      <c r="BY194" s="86"/>
      <c r="BZ194" s="617"/>
    </row>
    <row r="195" spans="2:78" ht="17.100000000000001" customHeight="1" x14ac:dyDescent="0.25">
      <c r="B195" s="617"/>
      <c r="C195" s="86"/>
      <c r="D195" s="86"/>
      <c r="E195" s="86"/>
      <c r="F195" s="86"/>
      <c r="G195" s="86"/>
      <c r="H195" s="86"/>
      <c r="I195" s="86"/>
      <c r="J195" s="86"/>
      <c r="K195" s="86"/>
      <c r="L195" s="86"/>
      <c r="M195" s="86"/>
      <c r="N195" s="86"/>
      <c r="O195" s="86"/>
      <c r="P195" s="86"/>
      <c r="Q195" s="86"/>
      <c r="R195" s="86"/>
      <c r="S195" s="86"/>
      <c r="T195" s="86"/>
      <c r="U195" s="86"/>
      <c r="V195" s="617"/>
      <c r="W195" s="3179"/>
      <c r="X195" s="3179"/>
      <c r="Y195" s="3179"/>
      <c r="Z195" s="3179"/>
      <c r="AA195" s="3179"/>
      <c r="AB195" s="3179"/>
      <c r="AC195" s="3179"/>
      <c r="AD195" s="3179"/>
      <c r="AE195" s="3179"/>
      <c r="AF195" s="3179"/>
      <c r="AG195" s="3179"/>
      <c r="AH195" s="3179"/>
      <c r="AI195" s="3179"/>
      <c r="AJ195" s="3179"/>
      <c r="AK195" s="3179"/>
      <c r="AL195" s="3179"/>
      <c r="AM195" s="3179"/>
      <c r="AN195" s="3181" t="s">
        <v>525</v>
      </c>
      <c r="AO195" s="3180"/>
      <c r="AP195" s="3180"/>
      <c r="AQ195" s="3180"/>
      <c r="AR195" s="3180"/>
      <c r="AS195" s="3180"/>
      <c r="AT195" s="3180"/>
      <c r="AU195" s="3180"/>
      <c r="AV195" s="3180"/>
      <c r="AW195" s="3180"/>
      <c r="AX195" s="3180"/>
      <c r="AY195" s="3180"/>
      <c r="AZ195" s="3180"/>
      <c r="BA195" s="3180"/>
      <c r="BB195" s="3180"/>
      <c r="BC195" s="3180"/>
      <c r="BD195" s="3180"/>
      <c r="BE195" s="3180"/>
      <c r="BF195" s="3181" t="s">
        <v>525</v>
      </c>
      <c r="BG195" s="86"/>
      <c r="BH195" s="86"/>
      <c r="BI195" s="86"/>
      <c r="BJ195" s="86"/>
      <c r="BK195" s="86"/>
      <c r="BL195" s="86"/>
      <c r="BM195" s="86"/>
      <c r="BN195" s="86"/>
      <c r="BO195" s="86"/>
      <c r="BP195" s="86"/>
      <c r="BQ195" s="86"/>
      <c r="BR195" s="86"/>
      <c r="BS195" s="86"/>
      <c r="BT195" s="86"/>
      <c r="BU195" s="86"/>
      <c r="BV195" s="86"/>
      <c r="BW195" s="86"/>
      <c r="BX195" s="86"/>
      <c r="BY195" s="86"/>
      <c r="BZ195" s="617"/>
    </row>
    <row r="196" spans="2:78" ht="17.100000000000001" customHeight="1" x14ac:dyDescent="0.25">
      <c r="B196" s="617"/>
      <c r="C196" s="86"/>
      <c r="D196" s="86"/>
      <c r="E196" s="86"/>
      <c r="F196" s="86"/>
      <c r="G196" s="86"/>
      <c r="H196" s="86"/>
      <c r="I196" s="86"/>
      <c r="J196" s="86"/>
      <c r="K196" s="86"/>
      <c r="L196" s="86"/>
      <c r="M196" s="86"/>
      <c r="N196" s="86"/>
      <c r="O196" s="86"/>
      <c r="P196" s="86"/>
      <c r="Q196" s="86"/>
      <c r="R196" s="86"/>
      <c r="S196" s="86"/>
      <c r="T196" s="86"/>
      <c r="U196" s="86"/>
      <c r="V196" s="617"/>
      <c r="W196" s="3179"/>
      <c r="X196" s="3179"/>
      <c r="Y196" s="3179"/>
      <c r="Z196" s="3179"/>
      <c r="AA196" s="3179"/>
      <c r="AB196" s="3179"/>
      <c r="AC196" s="3179"/>
      <c r="AD196" s="3179"/>
      <c r="AE196" s="3179"/>
      <c r="AF196" s="3179"/>
      <c r="AG196" s="3179"/>
      <c r="AH196" s="3179"/>
      <c r="AI196" s="3179"/>
      <c r="AJ196" s="3179"/>
      <c r="AK196" s="3179"/>
      <c r="AL196" s="3179"/>
      <c r="AM196" s="3179"/>
      <c r="AN196" s="3181" t="s">
        <v>525</v>
      </c>
      <c r="AO196" s="3180"/>
      <c r="AP196" s="3180"/>
      <c r="AQ196" s="3180"/>
      <c r="AR196" s="3180"/>
      <c r="AS196" s="3180"/>
      <c r="AT196" s="3180"/>
      <c r="AU196" s="3180"/>
      <c r="AV196" s="3180"/>
      <c r="AW196" s="3180"/>
      <c r="AX196" s="3180"/>
      <c r="AY196" s="3180"/>
      <c r="AZ196" s="3180"/>
      <c r="BA196" s="3180"/>
      <c r="BB196" s="3180"/>
      <c r="BC196" s="3180"/>
      <c r="BD196" s="3180"/>
      <c r="BE196" s="3180"/>
      <c r="BF196" s="3181" t="s">
        <v>525</v>
      </c>
      <c r="BG196" s="86"/>
      <c r="BH196" s="86"/>
      <c r="BI196" s="86"/>
      <c r="BJ196" s="86"/>
      <c r="BK196" s="86"/>
      <c r="BL196" s="86"/>
      <c r="BM196" s="86"/>
      <c r="BN196" s="86"/>
      <c r="BO196" s="86"/>
      <c r="BP196" s="86"/>
      <c r="BQ196" s="86"/>
      <c r="BR196" s="86"/>
      <c r="BS196" s="86"/>
      <c r="BT196" s="86"/>
      <c r="BU196" s="86"/>
      <c r="BV196" s="86"/>
      <c r="BW196" s="86"/>
      <c r="BX196" s="86"/>
      <c r="BY196" s="86"/>
      <c r="BZ196" s="617"/>
    </row>
    <row r="197" spans="2:78" ht="17.100000000000001" customHeight="1" x14ac:dyDescent="0.25">
      <c r="B197" s="617"/>
      <c r="C197" s="86"/>
      <c r="D197" s="86"/>
      <c r="E197" s="86"/>
      <c r="F197" s="86"/>
      <c r="G197" s="86"/>
      <c r="H197" s="86"/>
      <c r="I197" s="86"/>
      <c r="J197" s="86"/>
      <c r="K197" s="86"/>
      <c r="L197" s="86"/>
      <c r="M197" s="86"/>
      <c r="N197" s="86"/>
      <c r="O197" s="86"/>
      <c r="P197" s="86"/>
      <c r="Q197" s="86"/>
      <c r="R197" s="86"/>
      <c r="S197" s="86"/>
      <c r="T197" s="86"/>
      <c r="U197" s="86"/>
      <c r="V197" s="617"/>
      <c r="W197" s="3179"/>
      <c r="X197" s="3179"/>
      <c r="Y197" s="3179"/>
      <c r="Z197" s="3179"/>
      <c r="AA197" s="3179"/>
      <c r="AB197" s="3179"/>
      <c r="AC197" s="3179"/>
      <c r="AD197" s="3179"/>
      <c r="AE197" s="3179"/>
      <c r="AF197" s="3179"/>
      <c r="AG197" s="3179"/>
      <c r="AH197" s="3179"/>
      <c r="AI197" s="3179"/>
      <c r="AJ197" s="3179"/>
      <c r="AK197" s="3179"/>
      <c r="AL197" s="3179"/>
      <c r="AM197" s="3179"/>
      <c r="AN197" s="3181" t="s">
        <v>525</v>
      </c>
      <c r="AO197" s="3180"/>
      <c r="AP197" s="3180"/>
      <c r="AQ197" s="3180"/>
      <c r="AR197" s="3180"/>
      <c r="AS197" s="3180"/>
      <c r="AT197" s="3180"/>
      <c r="AU197" s="3180"/>
      <c r="AV197" s="3180"/>
      <c r="AW197" s="3180"/>
      <c r="AX197" s="3180"/>
      <c r="AY197" s="3180"/>
      <c r="AZ197" s="3180"/>
      <c r="BA197" s="3180"/>
      <c r="BB197" s="3180"/>
      <c r="BC197" s="3180"/>
      <c r="BD197" s="3180"/>
      <c r="BE197" s="3180"/>
      <c r="BF197" s="3181" t="s">
        <v>525</v>
      </c>
      <c r="BG197" s="86"/>
      <c r="BH197" s="86"/>
      <c r="BI197" s="86"/>
      <c r="BJ197" s="86"/>
      <c r="BK197" s="86"/>
      <c r="BL197" s="86"/>
      <c r="BM197" s="86"/>
      <c r="BN197" s="86"/>
      <c r="BO197" s="86"/>
      <c r="BP197" s="86"/>
      <c r="BQ197" s="86"/>
      <c r="BR197" s="86"/>
      <c r="BS197" s="86"/>
      <c r="BT197" s="86"/>
      <c r="BU197" s="86"/>
      <c r="BV197" s="86"/>
      <c r="BW197" s="86"/>
      <c r="BX197" s="86"/>
      <c r="BY197" s="86"/>
      <c r="BZ197" s="617"/>
    </row>
    <row r="198" spans="2:78" ht="17.100000000000001" customHeight="1" x14ac:dyDescent="0.25">
      <c r="B198" s="617"/>
      <c r="C198" s="86"/>
      <c r="D198" s="86"/>
      <c r="E198" s="86"/>
      <c r="F198" s="86"/>
      <c r="G198" s="86"/>
      <c r="H198" s="86"/>
      <c r="I198" s="86"/>
      <c r="J198" s="86"/>
      <c r="K198" s="86"/>
      <c r="L198" s="86"/>
      <c r="M198" s="86"/>
      <c r="N198" s="86"/>
      <c r="O198" s="86"/>
      <c r="P198" s="86"/>
      <c r="Q198" s="86"/>
      <c r="R198" s="86"/>
      <c r="S198" s="86"/>
      <c r="T198" s="86"/>
      <c r="U198" s="86"/>
      <c r="V198" s="617"/>
      <c r="W198" s="3179"/>
      <c r="X198" s="3179"/>
      <c r="Y198" s="3179"/>
      <c r="Z198" s="3179"/>
      <c r="AA198" s="3179"/>
      <c r="AB198" s="3179"/>
      <c r="AC198" s="3179"/>
      <c r="AD198" s="3179"/>
      <c r="AE198" s="3179"/>
      <c r="AF198" s="3179"/>
      <c r="AG198" s="3179"/>
      <c r="AH198" s="3179"/>
      <c r="AI198" s="3179"/>
      <c r="AJ198" s="3179"/>
      <c r="AK198" s="3179"/>
      <c r="AL198" s="3179"/>
      <c r="AM198" s="3179"/>
      <c r="AN198" s="3181" t="s">
        <v>525</v>
      </c>
      <c r="AO198" s="3180"/>
      <c r="AP198" s="3180"/>
      <c r="AQ198" s="3180"/>
      <c r="AR198" s="3180"/>
      <c r="AS198" s="3180"/>
      <c r="AT198" s="3180"/>
      <c r="AU198" s="3180"/>
      <c r="AV198" s="3180"/>
      <c r="AW198" s="3180"/>
      <c r="AX198" s="3180"/>
      <c r="AY198" s="3180"/>
      <c r="AZ198" s="3180"/>
      <c r="BA198" s="3180"/>
      <c r="BB198" s="3180"/>
      <c r="BC198" s="3180"/>
      <c r="BD198" s="3180"/>
      <c r="BE198" s="3180"/>
      <c r="BF198" s="3181" t="s">
        <v>525</v>
      </c>
      <c r="BG198" s="86"/>
      <c r="BH198" s="86"/>
      <c r="BI198" s="86"/>
      <c r="BJ198" s="86"/>
      <c r="BK198" s="86"/>
      <c r="BL198" s="86"/>
      <c r="BM198" s="86"/>
      <c r="BN198" s="86"/>
      <c r="BO198" s="86"/>
      <c r="BP198" s="86"/>
      <c r="BQ198" s="86"/>
      <c r="BR198" s="86"/>
      <c r="BS198" s="86"/>
      <c r="BT198" s="86"/>
      <c r="BU198" s="86"/>
      <c r="BV198" s="86"/>
      <c r="BW198" s="86"/>
      <c r="BX198" s="86"/>
      <c r="BY198" s="86"/>
      <c r="BZ198" s="617"/>
    </row>
    <row r="199" spans="2:78" ht="17.100000000000001" customHeight="1" x14ac:dyDescent="0.25">
      <c r="B199" s="617"/>
      <c r="C199" s="86"/>
      <c r="D199" s="86"/>
      <c r="E199" s="86"/>
      <c r="F199" s="86"/>
      <c r="G199" s="86"/>
      <c r="H199" s="86"/>
      <c r="I199" s="86"/>
      <c r="J199" s="86"/>
      <c r="K199" s="86"/>
      <c r="L199" s="86"/>
      <c r="M199" s="86"/>
      <c r="N199" s="86"/>
      <c r="O199" s="86"/>
      <c r="P199" s="86"/>
      <c r="Q199" s="86"/>
      <c r="R199" s="86"/>
      <c r="S199" s="86"/>
      <c r="T199" s="86"/>
      <c r="U199" s="86"/>
      <c r="V199" s="617"/>
      <c r="W199" s="3179"/>
      <c r="X199" s="3179"/>
      <c r="Y199" s="3179"/>
      <c r="Z199" s="3179"/>
      <c r="AA199" s="3179"/>
      <c r="AB199" s="3179"/>
      <c r="AC199" s="3179"/>
      <c r="AD199" s="3179"/>
      <c r="AE199" s="3179"/>
      <c r="AF199" s="3179"/>
      <c r="AG199" s="3179"/>
      <c r="AH199" s="3179"/>
      <c r="AI199" s="3179"/>
      <c r="AJ199" s="3179"/>
      <c r="AK199" s="3179"/>
      <c r="AL199" s="3179"/>
      <c r="AM199" s="3179"/>
      <c r="AN199" s="3181" t="s">
        <v>525</v>
      </c>
      <c r="AO199" s="3180"/>
      <c r="AP199" s="3180"/>
      <c r="AQ199" s="3180"/>
      <c r="AR199" s="3180"/>
      <c r="AS199" s="3180"/>
      <c r="AT199" s="3180"/>
      <c r="AU199" s="3180"/>
      <c r="AV199" s="3180"/>
      <c r="AW199" s="3180"/>
      <c r="AX199" s="3180"/>
      <c r="AY199" s="3180"/>
      <c r="AZ199" s="3180"/>
      <c r="BA199" s="3180"/>
      <c r="BB199" s="3180"/>
      <c r="BC199" s="3180"/>
      <c r="BD199" s="3180"/>
      <c r="BE199" s="3180"/>
      <c r="BF199" s="3181" t="s">
        <v>525</v>
      </c>
      <c r="BG199" s="86"/>
      <c r="BH199" s="86"/>
      <c r="BI199" s="86"/>
      <c r="BJ199" s="86"/>
      <c r="BK199" s="86"/>
      <c r="BL199" s="86"/>
      <c r="BM199" s="86"/>
      <c r="BN199" s="86"/>
      <c r="BO199" s="86"/>
      <c r="BP199" s="86"/>
      <c r="BQ199" s="86"/>
      <c r="BR199" s="86"/>
      <c r="BS199" s="86"/>
      <c r="BT199" s="86"/>
      <c r="BU199" s="86"/>
      <c r="BV199" s="86"/>
      <c r="BW199" s="86"/>
      <c r="BX199" s="86"/>
      <c r="BY199" s="86"/>
      <c r="BZ199" s="617"/>
    </row>
    <row r="200" spans="2:78" ht="17.100000000000001" customHeight="1" x14ac:dyDescent="0.25">
      <c r="B200" s="617"/>
      <c r="C200" s="86"/>
      <c r="D200" s="86"/>
      <c r="E200" s="86"/>
      <c r="F200" s="86"/>
      <c r="G200" s="86"/>
      <c r="H200" s="86"/>
      <c r="I200" s="86"/>
      <c r="J200" s="86"/>
      <c r="K200" s="86"/>
      <c r="L200" s="86"/>
      <c r="M200" s="86"/>
      <c r="N200" s="86"/>
      <c r="O200" s="86"/>
      <c r="P200" s="86"/>
      <c r="Q200" s="86"/>
      <c r="R200" s="86"/>
      <c r="S200" s="86"/>
      <c r="T200" s="86"/>
      <c r="U200" s="86"/>
      <c r="V200" s="617"/>
      <c r="W200" s="3179"/>
      <c r="X200" s="3179"/>
      <c r="Y200" s="3179"/>
      <c r="Z200" s="3179"/>
      <c r="AA200" s="3179"/>
      <c r="AB200" s="3179"/>
      <c r="AC200" s="3179"/>
      <c r="AD200" s="3179"/>
      <c r="AE200" s="3179"/>
      <c r="AF200" s="3179"/>
      <c r="AG200" s="3179"/>
      <c r="AH200" s="3179"/>
      <c r="AI200" s="3179"/>
      <c r="AJ200" s="3179"/>
      <c r="AK200" s="3179"/>
      <c r="AL200" s="3179"/>
      <c r="AM200" s="3179"/>
      <c r="AN200" s="3181" t="s">
        <v>525</v>
      </c>
      <c r="AO200" s="3180"/>
      <c r="AP200" s="3180"/>
      <c r="AQ200" s="3180"/>
      <c r="AR200" s="3180"/>
      <c r="AS200" s="3180"/>
      <c r="AT200" s="3180"/>
      <c r="AU200" s="3180"/>
      <c r="AV200" s="3180"/>
      <c r="AW200" s="3180"/>
      <c r="AX200" s="3180"/>
      <c r="AY200" s="3180"/>
      <c r="AZ200" s="3180"/>
      <c r="BA200" s="3180"/>
      <c r="BB200" s="3180"/>
      <c r="BC200" s="3180"/>
      <c r="BD200" s="3180"/>
      <c r="BE200" s="3180"/>
      <c r="BF200" s="3181" t="s">
        <v>525</v>
      </c>
      <c r="BG200" s="86"/>
      <c r="BH200" s="86"/>
      <c r="BI200" s="86"/>
      <c r="BJ200" s="86"/>
      <c r="BK200" s="86"/>
      <c r="BL200" s="86"/>
      <c r="BM200" s="86"/>
      <c r="BN200" s="86"/>
      <c r="BO200" s="86"/>
      <c r="BP200" s="86"/>
      <c r="BQ200" s="86"/>
      <c r="BR200" s="86"/>
      <c r="BS200" s="86"/>
      <c r="BT200" s="86"/>
      <c r="BU200" s="86"/>
      <c r="BV200" s="86"/>
      <c r="BW200" s="86"/>
      <c r="BX200" s="86"/>
      <c r="BY200" s="86"/>
      <c r="BZ200" s="617"/>
    </row>
    <row r="201" spans="2:78" ht="17.100000000000001" customHeight="1" x14ac:dyDescent="0.25">
      <c r="B201" s="617"/>
      <c r="C201" s="86"/>
      <c r="D201" s="86"/>
      <c r="E201" s="86"/>
      <c r="F201" s="86"/>
      <c r="G201" s="86"/>
      <c r="H201" s="86"/>
      <c r="I201" s="86"/>
      <c r="J201" s="86"/>
      <c r="K201" s="86"/>
      <c r="L201" s="86"/>
      <c r="M201" s="86"/>
      <c r="N201" s="86"/>
      <c r="O201" s="86"/>
      <c r="P201" s="86"/>
      <c r="Q201" s="86"/>
      <c r="R201" s="86"/>
      <c r="S201" s="86"/>
      <c r="T201" s="86"/>
      <c r="U201" s="86"/>
      <c r="V201" s="617"/>
      <c r="W201" s="3179"/>
      <c r="X201" s="3179"/>
      <c r="Y201" s="3179"/>
      <c r="Z201" s="3179"/>
      <c r="AA201" s="3179"/>
      <c r="AB201" s="3179"/>
      <c r="AC201" s="3179"/>
      <c r="AD201" s="3179"/>
      <c r="AE201" s="3179"/>
      <c r="AF201" s="3179"/>
      <c r="AG201" s="3179"/>
      <c r="AH201" s="3179"/>
      <c r="AI201" s="3179"/>
      <c r="AJ201" s="3179"/>
      <c r="AK201" s="3179"/>
      <c r="AL201" s="3179"/>
      <c r="AM201" s="3179"/>
      <c r="AN201" s="3181" t="s">
        <v>525</v>
      </c>
      <c r="AO201" s="3180"/>
      <c r="AP201" s="3180"/>
      <c r="AQ201" s="3180"/>
      <c r="AR201" s="3180"/>
      <c r="AS201" s="3180"/>
      <c r="AT201" s="3180"/>
      <c r="AU201" s="3180"/>
      <c r="AV201" s="3180"/>
      <c r="AW201" s="3180"/>
      <c r="AX201" s="3180"/>
      <c r="AY201" s="3180"/>
      <c r="AZ201" s="3180"/>
      <c r="BA201" s="3180"/>
      <c r="BB201" s="3180"/>
      <c r="BC201" s="3180"/>
      <c r="BD201" s="3180"/>
      <c r="BE201" s="3180"/>
      <c r="BF201" s="3181" t="s">
        <v>525</v>
      </c>
      <c r="BG201" s="86"/>
      <c r="BH201" s="86"/>
      <c r="BI201" s="86"/>
      <c r="BJ201" s="86"/>
      <c r="BK201" s="86"/>
      <c r="BL201" s="86"/>
      <c r="BM201" s="86"/>
      <c r="BN201" s="86"/>
      <c r="BO201" s="86"/>
      <c r="BP201" s="86"/>
      <c r="BQ201" s="86"/>
      <c r="BR201" s="86"/>
      <c r="BS201" s="86"/>
      <c r="BT201" s="86"/>
      <c r="BU201" s="86"/>
      <c r="BV201" s="86"/>
      <c r="BW201" s="86"/>
      <c r="BX201" s="86"/>
      <c r="BY201" s="86"/>
      <c r="BZ201" s="617"/>
    </row>
    <row r="202" spans="2:78" ht="17.100000000000001" customHeight="1" x14ac:dyDescent="0.25">
      <c r="B202" s="617"/>
      <c r="C202" s="86"/>
      <c r="D202" s="86"/>
      <c r="E202" s="86"/>
      <c r="F202" s="86"/>
      <c r="G202" s="86"/>
      <c r="H202" s="86"/>
      <c r="I202" s="86"/>
      <c r="J202" s="86"/>
      <c r="K202" s="86"/>
      <c r="L202" s="86"/>
      <c r="M202" s="86"/>
      <c r="N202" s="86"/>
      <c r="O202" s="86"/>
      <c r="P202" s="86"/>
      <c r="Q202" s="86"/>
      <c r="R202" s="86"/>
      <c r="S202" s="86"/>
      <c r="T202" s="86"/>
      <c r="U202" s="86"/>
      <c r="V202" s="617"/>
      <c r="W202" s="3179"/>
      <c r="X202" s="3179"/>
      <c r="Y202" s="3179"/>
      <c r="Z202" s="3179"/>
      <c r="AA202" s="3179"/>
      <c r="AB202" s="3179"/>
      <c r="AC202" s="3179"/>
      <c r="AD202" s="3179"/>
      <c r="AE202" s="3179"/>
      <c r="AF202" s="3179"/>
      <c r="AG202" s="3179"/>
      <c r="AH202" s="3179"/>
      <c r="AI202" s="3179"/>
      <c r="AJ202" s="3179"/>
      <c r="AK202" s="3179"/>
      <c r="AL202" s="3179"/>
      <c r="AM202" s="3179"/>
      <c r="AN202" s="3181" t="s">
        <v>525</v>
      </c>
      <c r="AO202" s="3180"/>
      <c r="AP202" s="3180"/>
      <c r="AQ202" s="3180"/>
      <c r="AR202" s="3180"/>
      <c r="AS202" s="3180"/>
      <c r="AT202" s="3180"/>
      <c r="AU202" s="3180"/>
      <c r="AV202" s="3180"/>
      <c r="AW202" s="3180"/>
      <c r="AX202" s="3180"/>
      <c r="AY202" s="3180"/>
      <c r="AZ202" s="3180"/>
      <c r="BA202" s="3180"/>
      <c r="BB202" s="3180"/>
      <c r="BC202" s="3180"/>
      <c r="BD202" s="3180"/>
      <c r="BE202" s="3180"/>
      <c r="BF202" s="3181" t="s">
        <v>525</v>
      </c>
      <c r="BG202" s="86"/>
      <c r="BH202" s="86"/>
      <c r="BI202" s="86"/>
      <c r="BJ202" s="86"/>
      <c r="BK202" s="86"/>
      <c r="BL202" s="86"/>
      <c r="BM202" s="86"/>
      <c r="BN202" s="86"/>
      <c r="BO202" s="86"/>
      <c r="BP202" s="86"/>
      <c r="BQ202" s="86"/>
      <c r="BR202" s="86"/>
      <c r="BS202" s="86"/>
      <c r="BT202" s="86"/>
      <c r="BU202" s="86"/>
      <c r="BV202" s="86"/>
      <c r="BW202" s="86"/>
      <c r="BX202" s="86"/>
      <c r="BY202" s="86"/>
      <c r="BZ202" s="617"/>
    </row>
    <row r="203" spans="2:78" ht="17.100000000000001" customHeight="1" x14ac:dyDescent="0.25">
      <c r="B203" s="617"/>
      <c r="C203" s="86"/>
      <c r="D203" s="86"/>
      <c r="E203" s="86"/>
      <c r="F203" s="86"/>
      <c r="G203" s="86"/>
      <c r="H203" s="86"/>
      <c r="I203" s="86"/>
      <c r="J203" s="86"/>
      <c r="K203" s="86"/>
      <c r="L203" s="86"/>
      <c r="M203" s="86"/>
      <c r="N203" s="86"/>
      <c r="O203" s="86"/>
      <c r="P203" s="86"/>
      <c r="Q203" s="86"/>
      <c r="R203" s="86"/>
      <c r="S203" s="86"/>
      <c r="T203" s="86"/>
      <c r="U203" s="86"/>
      <c r="V203" s="617"/>
      <c r="W203" s="3179"/>
      <c r="X203" s="3179"/>
      <c r="Y203" s="3179"/>
      <c r="Z203" s="3179"/>
      <c r="AA203" s="3179"/>
      <c r="AB203" s="3179"/>
      <c r="AC203" s="3179"/>
      <c r="AD203" s="3179"/>
      <c r="AE203" s="3179"/>
      <c r="AF203" s="3179"/>
      <c r="AG203" s="3179"/>
      <c r="AH203" s="3179"/>
      <c r="AI203" s="3179"/>
      <c r="AJ203" s="3179"/>
      <c r="AK203" s="3179"/>
      <c r="AL203" s="3179"/>
      <c r="AM203" s="3179"/>
      <c r="AN203" s="3181" t="s">
        <v>525</v>
      </c>
      <c r="AO203" s="3180"/>
      <c r="AP203" s="3180"/>
      <c r="AQ203" s="3180"/>
      <c r="AR203" s="3180"/>
      <c r="AS203" s="3180"/>
      <c r="AT203" s="3180"/>
      <c r="AU203" s="3180"/>
      <c r="AV203" s="3180"/>
      <c r="AW203" s="3180"/>
      <c r="AX203" s="3180"/>
      <c r="AY203" s="3180"/>
      <c r="AZ203" s="3180"/>
      <c r="BA203" s="3180"/>
      <c r="BB203" s="3180"/>
      <c r="BC203" s="3180"/>
      <c r="BD203" s="3180"/>
      <c r="BE203" s="3180"/>
      <c r="BF203" s="3181" t="s">
        <v>525</v>
      </c>
      <c r="BG203" s="86"/>
      <c r="BH203" s="86"/>
      <c r="BI203" s="86"/>
      <c r="BJ203" s="86"/>
      <c r="BK203" s="86"/>
      <c r="BL203" s="86"/>
      <c r="BM203" s="86"/>
      <c r="BN203" s="86"/>
      <c r="BO203" s="86"/>
      <c r="BP203" s="86"/>
      <c r="BQ203" s="86"/>
      <c r="BR203" s="86"/>
      <c r="BS203" s="86"/>
      <c r="BT203" s="86"/>
      <c r="BU203" s="86"/>
      <c r="BV203" s="86"/>
      <c r="BW203" s="86"/>
      <c r="BX203" s="86"/>
      <c r="BY203" s="86"/>
      <c r="BZ203" s="617"/>
    </row>
    <row r="204" spans="2:78" ht="17.100000000000001" customHeight="1" x14ac:dyDescent="0.25">
      <c r="B204" s="617"/>
      <c r="C204" s="86"/>
      <c r="D204" s="86"/>
      <c r="E204" s="86"/>
      <c r="F204" s="86"/>
      <c r="G204" s="86"/>
      <c r="H204" s="86"/>
      <c r="I204" s="86"/>
      <c r="J204" s="86"/>
      <c r="K204" s="86"/>
      <c r="L204" s="86"/>
      <c r="M204" s="86"/>
      <c r="N204" s="86"/>
      <c r="O204" s="86"/>
      <c r="P204" s="86"/>
      <c r="Q204" s="86"/>
      <c r="R204" s="86"/>
      <c r="S204" s="86"/>
      <c r="T204" s="86"/>
      <c r="U204" s="86"/>
      <c r="V204" s="617"/>
      <c r="W204" s="3179"/>
      <c r="X204" s="3179"/>
      <c r="Y204" s="3179"/>
      <c r="Z204" s="3179"/>
      <c r="AA204" s="3179"/>
      <c r="AB204" s="3179"/>
      <c r="AC204" s="3179"/>
      <c r="AD204" s="3179"/>
      <c r="AE204" s="3179"/>
      <c r="AF204" s="3179"/>
      <c r="AG204" s="3179"/>
      <c r="AH204" s="3179"/>
      <c r="AI204" s="3179"/>
      <c r="AJ204" s="3179"/>
      <c r="AK204" s="3179"/>
      <c r="AL204" s="3179"/>
      <c r="AM204" s="3179"/>
      <c r="AN204" s="3181" t="s">
        <v>525</v>
      </c>
      <c r="AO204" s="3180"/>
      <c r="AP204" s="3180"/>
      <c r="AQ204" s="3180"/>
      <c r="AR204" s="3180"/>
      <c r="AS204" s="3180"/>
      <c r="AT204" s="3180"/>
      <c r="AU204" s="3180"/>
      <c r="AV204" s="3180"/>
      <c r="AW204" s="3180"/>
      <c r="AX204" s="3180"/>
      <c r="AY204" s="3180"/>
      <c r="AZ204" s="3180"/>
      <c r="BA204" s="3180"/>
      <c r="BB204" s="3180"/>
      <c r="BC204" s="3180"/>
      <c r="BD204" s="3180"/>
      <c r="BE204" s="3180"/>
      <c r="BF204" s="3181" t="s">
        <v>525</v>
      </c>
      <c r="BG204" s="86"/>
      <c r="BH204" s="86"/>
      <c r="BI204" s="86"/>
      <c r="BJ204" s="86"/>
      <c r="BK204" s="86"/>
      <c r="BL204" s="86"/>
      <c r="BM204" s="86"/>
      <c r="BN204" s="86"/>
      <c r="BO204" s="86"/>
      <c r="BP204" s="86"/>
      <c r="BQ204" s="86"/>
      <c r="BR204" s="86"/>
      <c r="BS204" s="86"/>
      <c r="BT204" s="86"/>
      <c r="BU204" s="86"/>
      <c r="BV204" s="86"/>
      <c r="BW204" s="86"/>
      <c r="BX204" s="86"/>
      <c r="BY204" s="86"/>
      <c r="BZ204" s="617"/>
    </row>
    <row r="205" spans="2:78" ht="17.100000000000001" customHeight="1" x14ac:dyDescent="0.25">
      <c r="B205" s="617"/>
      <c r="C205" s="86"/>
      <c r="D205" s="86"/>
      <c r="E205" s="86"/>
      <c r="F205" s="86"/>
      <c r="G205" s="86"/>
      <c r="H205" s="86"/>
      <c r="I205" s="86"/>
      <c r="J205" s="86"/>
      <c r="K205" s="86"/>
      <c r="L205" s="86"/>
      <c r="M205" s="86"/>
      <c r="N205" s="86"/>
      <c r="O205" s="86"/>
      <c r="P205" s="86"/>
      <c r="Q205" s="86"/>
      <c r="R205" s="86"/>
      <c r="S205" s="86"/>
      <c r="T205" s="86"/>
      <c r="U205" s="86"/>
      <c r="V205" s="617"/>
      <c r="W205" s="3179"/>
      <c r="X205" s="3179"/>
      <c r="Y205" s="3179"/>
      <c r="Z205" s="3179"/>
      <c r="AA205" s="3179"/>
      <c r="AB205" s="3179"/>
      <c r="AC205" s="3179"/>
      <c r="AD205" s="3179"/>
      <c r="AE205" s="3179"/>
      <c r="AF205" s="3179"/>
      <c r="AG205" s="3179"/>
      <c r="AH205" s="3179"/>
      <c r="AI205" s="3179"/>
      <c r="AJ205" s="3179"/>
      <c r="AK205" s="3179"/>
      <c r="AL205" s="3179"/>
      <c r="AM205" s="3179"/>
      <c r="AN205" s="3181" t="s">
        <v>525</v>
      </c>
      <c r="AO205" s="3180"/>
      <c r="AP205" s="3180"/>
      <c r="AQ205" s="3180"/>
      <c r="AR205" s="3180"/>
      <c r="AS205" s="3180"/>
      <c r="AT205" s="3180"/>
      <c r="AU205" s="3180"/>
      <c r="AV205" s="3180"/>
      <c r="AW205" s="3180"/>
      <c r="AX205" s="3180"/>
      <c r="AY205" s="3180"/>
      <c r="AZ205" s="3180"/>
      <c r="BA205" s="3180"/>
      <c r="BB205" s="3180"/>
      <c r="BC205" s="3180"/>
      <c r="BD205" s="3180"/>
      <c r="BE205" s="3180"/>
      <c r="BF205" s="3181" t="s">
        <v>525</v>
      </c>
      <c r="BG205" s="86"/>
      <c r="BH205" s="86"/>
      <c r="BI205" s="86"/>
      <c r="BJ205" s="86"/>
      <c r="BK205" s="86"/>
      <c r="BL205" s="86"/>
      <c r="BM205" s="86"/>
      <c r="BN205" s="86"/>
      <c r="BO205" s="86"/>
      <c r="BP205" s="86"/>
      <c r="BQ205" s="86"/>
      <c r="BR205" s="86"/>
      <c r="BS205" s="86"/>
      <c r="BT205" s="86"/>
      <c r="BU205" s="86"/>
      <c r="BV205" s="86"/>
      <c r="BW205" s="86"/>
      <c r="BX205" s="86"/>
      <c r="BY205" s="86"/>
      <c r="BZ205" s="617"/>
    </row>
    <row r="206" spans="2:78" ht="17.100000000000001" customHeight="1" x14ac:dyDescent="0.25">
      <c r="B206" s="617"/>
      <c r="C206" s="86"/>
      <c r="D206" s="86"/>
      <c r="E206" s="86"/>
      <c r="F206" s="86"/>
      <c r="G206" s="86"/>
      <c r="H206" s="86"/>
      <c r="I206" s="86"/>
      <c r="J206" s="86"/>
      <c r="K206" s="86"/>
      <c r="L206" s="86"/>
      <c r="M206" s="86"/>
      <c r="N206" s="86"/>
      <c r="O206" s="86"/>
      <c r="P206" s="86"/>
      <c r="Q206" s="86"/>
      <c r="R206" s="86"/>
      <c r="S206" s="86"/>
      <c r="T206" s="86"/>
      <c r="U206" s="86"/>
      <c r="V206" s="617"/>
      <c r="W206" s="3179"/>
      <c r="X206" s="3179"/>
      <c r="Y206" s="3179"/>
      <c r="Z206" s="3179"/>
      <c r="AA206" s="3179"/>
      <c r="AB206" s="3179"/>
      <c r="AC206" s="3179"/>
      <c r="AD206" s="3179"/>
      <c r="AE206" s="3179"/>
      <c r="AF206" s="3179"/>
      <c r="AG206" s="3179"/>
      <c r="AH206" s="3179"/>
      <c r="AI206" s="3179"/>
      <c r="AJ206" s="3179"/>
      <c r="AK206" s="3179"/>
      <c r="AL206" s="3179"/>
      <c r="AM206" s="3179"/>
      <c r="AN206" s="3181" t="s">
        <v>525</v>
      </c>
      <c r="AO206" s="3180"/>
      <c r="AP206" s="3180"/>
      <c r="AQ206" s="3180"/>
      <c r="AR206" s="3180"/>
      <c r="AS206" s="3180"/>
      <c r="AT206" s="3180"/>
      <c r="AU206" s="3180"/>
      <c r="AV206" s="3180"/>
      <c r="AW206" s="3180"/>
      <c r="AX206" s="3180"/>
      <c r="AY206" s="3180"/>
      <c r="AZ206" s="3180"/>
      <c r="BA206" s="3180"/>
      <c r="BB206" s="3180"/>
      <c r="BC206" s="3180"/>
      <c r="BD206" s="3180"/>
      <c r="BE206" s="3180"/>
      <c r="BF206" s="3181" t="s">
        <v>525</v>
      </c>
      <c r="BG206" s="86"/>
      <c r="BH206" s="86"/>
      <c r="BI206" s="86"/>
      <c r="BJ206" s="86"/>
      <c r="BK206" s="86"/>
      <c r="BL206" s="86"/>
      <c r="BM206" s="86"/>
      <c r="BN206" s="86"/>
      <c r="BO206" s="86"/>
      <c r="BP206" s="86"/>
      <c r="BQ206" s="86"/>
      <c r="BR206" s="86"/>
      <c r="BS206" s="86"/>
      <c r="BT206" s="86"/>
      <c r="BU206" s="86"/>
      <c r="BV206" s="86"/>
      <c r="BW206" s="86"/>
      <c r="BX206" s="86"/>
      <c r="BY206" s="86"/>
      <c r="BZ206" s="617"/>
    </row>
    <row r="207" spans="2:78" ht="17.100000000000001" customHeight="1" x14ac:dyDescent="0.25">
      <c r="B207" s="617"/>
      <c r="C207" s="86"/>
      <c r="D207" s="86"/>
      <c r="E207" s="86"/>
      <c r="F207" s="86"/>
      <c r="G207" s="86"/>
      <c r="H207" s="86"/>
      <c r="I207" s="86"/>
      <c r="J207" s="86"/>
      <c r="K207" s="86"/>
      <c r="L207" s="86"/>
      <c r="M207" s="86"/>
      <c r="N207" s="86"/>
      <c r="O207" s="86"/>
      <c r="P207" s="86"/>
      <c r="Q207" s="86"/>
      <c r="R207" s="86"/>
      <c r="S207" s="86"/>
      <c r="T207" s="86"/>
      <c r="U207" s="86"/>
      <c r="V207" s="617"/>
      <c r="W207" s="3179"/>
      <c r="X207" s="3179"/>
      <c r="Y207" s="3179"/>
      <c r="Z207" s="3179"/>
      <c r="AA207" s="3179"/>
      <c r="AB207" s="3179"/>
      <c r="AC207" s="3179"/>
      <c r="AD207" s="3179"/>
      <c r="AE207" s="3179"/>
      <c r="AF207" s="3179"/>
      <c r="AG207" s="3179"/>
      <c r="AH207" s="3179"/>
      <c r="AI207" s="3179"/>
      <c r="AJ207" s="3179"/>
      <c r="AK207" s="3179"/>
      <c r="AL207" s="3179"/>
      <c r="AM207" s="3179"/>
      <c r="AN207" s="3181" t="s">
        <v>525</v>
      </c>
      <c r="AO207" s="3180"/>
      <c r="AP207" s="3180"/>
      <c r="AQ207" s="3180"/>
      <c r="AR207" s="3180"/>
      <c r="AS207" s="3180"/>
      <c r="AT207" s="3180"/>
      <c r="AU207" s="3180"/>
      <c r="AV207" s="3180"/>
      <c r="AW207" s="3180"/>
      <c r="AX207" s="3180"/>
      <c r="AY207" s="3180"/>
      <c r="AZ207" s="3180"/>
      <c r="BA207" s="3180"/>
      <c r="BB207" s="3180"/>
      <c r="BC207" s="3180"/>
      <c r="BD207" s="3180"/>
      <c r="BE207" s="3180"/>
      <c r="BF207" s="3181" t="s">
        <v>525</v>
      </c>
      <c r="BG207" s="86"/>
      <c r="BH207" s="86"/>
      <c r="BI207" s="86"/>
      <c r="BJ207" s="86"/>
      <c r="BK207" s="86"/>
      <c r="BL207" s="86"/>
      <c r="BM207" s="86"/>
      <c r="BN207" s="86"/>
      <c r="BO207" s="86"/>
      <c r="BP207" s="86"/>
      <c r="BQ207" s="86"/>
      <c r="BR207" s="86"/>
      <c r="BS207" s="86"/>
      <c r="BT207" s="86"/>
      <c r="BU207" s="86"/>
      <c r="BV207" s="86"/>
      <c r="BW207" s="86"/>
      <c r="BX207" s="86"/>
      <c r="BY207" s="86"/>
      <c r="BZ207" s="617"/>
    </row>
    <row r="208" spans="2:78" ht="17.100000000000001" customHeight="1" x14ac:dyDescent="0.25">
      <c r="B208" s="617"/>
      <c r="C208" s="86"/>
      <c r="D208" s="86"/>
      <c r="E208" s="86"/>
      <c r="F208" s="86"/>
      <c r="G208" s="86"/>
      <c r="H208" s="86"/>
      <c r="I208" s="86"/>
      <c r="J208" s="86"/>
      <c r="K208" s="86"/>
      <c r="L208" s="86"/>
      <c r="M208" s="86"/>
      <c r="N208" s="86"/>
      <c r="O208" s="86"/>
      <c r="P208" s="86"/>
      <c r="Q208" s="86"/>
      <c r="R208" s="86"/>
      <c r="S208" s="86"/>
      <c r="T208" s="86"/>
      <c r="U208" s="86"/>
      <c r="V208" s="617"/>
      <c r="W208" s="3179"/>
      <c r="X208" s="3179"/>
      <c r="Y208" s="3179"/>
      <c r="Z208" s="3179"/>
      <c r="AA208" s="3179"/>
      <c r="AB208" s="3179"/>
      <c r="AC208" s="3179"/>
      <c r="AD208" s="3179"/>
      <c r="AE208" s="3179"/>
      <c r="AF208" s="3179"/>
      <c r="AG208" s="3179"/>
      <c r="AH208" s="3179"/>
      <c r="AI208" s="3179"/>
      <c r="AJ208" s="3179"/>
      <c r="AK208" s="3179"/>
      <c r="AL208" s="3179"/>
      <c r="AM208" s="3179"/>
      <c r="AN208" s="3181" t="s">
        <v>525</v>
      </c>
      <c r="AO208" s="3180"/>
      <c r="AP208" s="3180"/>
      <c r="AQ208" s="3180"/>
      <c r="AR208" s="3180"/>
      <c r="AS208" s="3180"/>
      <c r="AT208" s="3180"/>
      <c r="AU208" s="3180"/>
      <c r="AV208" s="3180"/>
      <c r="AW208" s="3180"/>
      <c r="AX208" s="3180"/>
      <c r="AY208" s="3180"/>
      <c r="AZ208" s="3180"/>
      <c r="BA208" s="3180"/>
      <c r="BB208" s="3180"/>
      <c r="BC208" s="3180"/>
      <c r="BD208" s="3180"/>
      <c r="BE208" s="3180"/>
      <c r="BF208" s="3181" t="s">
        <v>525</v>
      </c>
      <c r="BG208" s="86"/>
      <c r="BH208" s="86"/>
      <c r="BI208" s="86"/>
      <c r="BJ208" s="86"/>
      <c r="BK208" s="86"/>
      <c r="BL208" s="86"/>
      <c r="BM208" s="86"/>
      <c r="BN208" s="86"/>
      <c r="BO208" s="86"/>
      <c r="BP208" s="86"/>
      <c r="BQ208" s="86"/>
      <c r="BR208" s="86"/>
      <c r="BS208" s="86"/>
      <c r="BT208" s="86"/>
      <c r="BU208" s="86"/>
      <c r="BV208" s="86"/>
      <c r="BW208" s="86"/>
      <c r="BX208" s="86"/>
      <c r="BY208" s="86"/>
      <c r="BZ208" s="617"/>
    </row>
    <row r="209" spans="2:78" ht="17.100000000000001" customHeight="1" x14ac:dyDescent="0.25">
      <c r="B209" s="617"/>
      <c r="C209" s="86"/>
      <c r="D209" s="86"/>
      <c r="E209" s="86"/>
      <c r="F209" s="86"/>
      <c r="G209" s="86"/>
      <c r="H209" s="86"/>
      <c r="I209" s="86"/>
      <c r="J209" s="86"/>
      <c r="K209" s="86"/>
      <c r="L209" s="86"/>
      <c r="M209" s="86"/>
      <c r="N209" s="86"/>
      <c r="O209" s="86"/>
      <c r="P209" s="86"/>
      <c r="Q209" s="86"/>
      <c r="R209" s="86"/>
      <c r="S209" s="86"/>
      <c r="T209" s="86"/>
      <c r="U209" s="86"/>
      <c r="V209" s="617"/>
      <c r="W209" s="3179"/>
      <c r="X209" s="3179"/>
      <c r="Y209" s="3179"/>
      <c r="Z209" s="3179"/>
      <c r="AA209" s="3179"/>
      <c r="AB209" s="3179"/>
      <c r="AC209" s="3179"/>
      <c r="AD209" s="3179"/>
      <c r="AE209" s="3179"/>
      <c r="AF209" s="3179"/>
      <c r="AG209" s="3179"/>
      <c r="AH209" s="3179"/>
      <c r="AI209" s="3179"/>
      <c r="AJ209" s="3179"/>
      <c r="AK209" s="3179"/>
      <c r="AL209" s="3179"/>
      <c r="AM209" s="3179"/>
      <c r="AN209" s="3181" t="s">
        <v>525</v>
      </c>
      <c r="AO209" s="3180"/>
      <c r="AP209" s="3180"/>
      <c r="AQ209" s="3180"/>
      <c r="AR209" s="3180"/>
      <c r="AS209" s="3180"/>
      <c r="AT209" s="3180"/>
      <c r="AU209" s="3180"/>
      <c r="AV209" s="3180"/>
      <c r="AW209" s="3180"/>
      <c r="AX209" s="3180"/>
      <c r="AY209" s="3180"/>
      <c r="AZ209" s="3180"/>
      <c r="BA209" s="3180"/>
      <c r="BB209" s="3180"/>
      <c r="BC209" s="3180"/>
      <c r="BD209" s="3180"/>
      <c r="BE209" s="3180"/>
      <c r="BF209" s="3181" t="s">
        <v>525</v>
      </c>
      <c r="BG209" s="86"/>
      <c r="BH209" s="86"/>
      <c r="BI209" s="86"/>
      <c r="BJ209" s="86"/>
      <c r="BK209" s="86"/>
      <c r="BL209" s="86"/>
      <c r="BM209" s="86"/>
      <c r="BN209" s="86"/>
      <c r="BO209" s="86"/>
      <c r="BP209" s="86"/>
      <c r="BQ209" s="86"/>
      <c r="BR209" s="86"/>
      <c r="BS209" s="86"/>
      <c r="BT209" s="86"/>
      <c r="BU209" s="86"/>
      <c r="BV209" s="86"/>
      <c r="BW209" s="86"/>
      <c r="BX209" s="86"/>
      <c r="BY209" s="86"/>
      <c r="BZ209" s="617"/>
    </row>
    <row r="210" spans="2:78" ht="17.100000000000001" customHeight="1" x14ac:dyDescent="0.25">
      <c r="B210" s="617"/>
      <c r="C210" s="86"/>
      <c r="D210" s="86"/>
      <c r="E210" s="86"/>
      <c r="F210" s="86"/>
      <c r="G210" s="86"/>
      <c r="H210" s="86"/>
      <c r="I210" s="86"/>
      <c r="J210" s="86"/>
      <c r="K210" s="86"/>
      <c r="L210" s="86"/>
      <c r="M210" s="86"/>
      <c r="N210" s="86"/>
      <c r="O210" s="86"/>
      <c r="P210" s="86"/>
      <c r="Q210" s="86"/>
      <c r="R210" s="86"/>
      <c r="S210" s="86"/>
      <c r="T210" s="86"/>
      <c r="U210" s="86"/>
      <c r="V210" s="617"/>
      <c r="W210" s="3179"/>
      <c r="X210" s="3179"/>
      <c r="Y210" s="3179"/>
      <c r="Z210" s="3179"/>
      <c r="AA210" s="3179"/>
      <c r="AB210" s="3179"/>
      <c r="AC210" s="3179"/>
      <c r="AD210" s="3179"/>
      <c r="AE210" s="3179"/>
      <c r="AF210" s="3179"/>
      <c r="AG210" s="3179"/>
      <c r="AH210" s="3179"/>
      <c r="AI210" s="3179"/>
      <c r="AJ210" s="3179"/>
      <c r="AK210" s="3179"/>
      <c r="AL210" s="3179"/>
      <c r="AM210" s="3179"/>
      <c r="AN210" s="3181" t="s">
        <v>525</v>
      </c>
      <c r="AO210" s="3180"/>
      <c r="AP210" s="3180"/>
      <c r="AQ210" s="3180"/>
      <c r="AR210" s="3180"/>
      <c r="AS210" s="3180"/>
      <c r="AT210" s="3180"/>
      <c r="AU210" s="3180"/>
      <c r="AV210" s="3180"/>
      <c r="AW210" s="3180"/>
      <c r="AX210" s="3180"/>
      <c r="AY210" s="3180"/>
      <c r="AZ210" s="3180"/>
      <c r="BA210" s="3180"/>
      <c r="BB210" s="3180"/>
      <c r="BC210" s="3180"/>
      <c r="BD210" s="3180"/>
      <c r="BE210" s="3180"/>
      <c r="BF210" s="3181" t="s">
        <v>525</v>
      </c>
      <c r="BG210" s="86"/>
      <c r="BH210" s="86"/>
      <c r="BI210" s="86"/>
      <c r="BJ210" s="86"/>
      <c r="BK210" s="86"/>
      <c r="BL210" s="86"/>
      <c r="BM210" s="86"/>
      <c r="BN210" s="86"/>
      <c r="BO210" s="86"/>
      <c r="BP210" s="86"/>
      <c r="BQ210" s="86"/>
      <c r="BR210" s="86"/>
      <c r="BS210" s="86"/>
      <c r="BT210" s="86"/>
      <c r="BU210" s="86"/>
      <c r="BV210" s="86"/>
      <c r="BW210" s="86"/>
      <c r="BX210" s="86"/>
      <c r="BY210" s="86"/>
      <c r="BZ210" s="617"/>
    </row>
    <row r="211" spans="2:78" ht="17.100000000000001" customHeight="1" x14ac:dyDescent="0.25">
      <c r="B211" s="617"/>
      <c r="C211" s="86"/>
      <c r="D211" s="86"/>
      <c r="E211" s="86"/>
      <c r="F211" s="86"/>
      <c r="G211" s="86"/>
      <c r="H211" s="86"/>
      <c r="I211" s="86"/>
      <c r="J211" s="86"/>
      <c r="K211" s="86"/>
      <c r="L211" s="86"/>
      <c r="M211" s="86"/>
      <c r="N211" s="86"/>
      <c r="O211" s="86"/>
      <c r="P211" s="86"/>
      <c r="Q211" s="86"/>
      <c r="R211" s="86"/>
      <c r="S211" s="86"/>
      <c r="T211" s="86"/>
      <c r="U211" s="86"/>
      <c r="V211" s="617"/>
      <c r="W211" s="3179"/>
      <c r="X211" s="3179"/>
      <c r="Y211" s="3179"/>
      <c r="Z211" s="3179"/>
      <c r="AA211" s="3179"/>
      <c r="AB211" s="3179"/>
      <c r="AC211" s="3179"/>
      <c r="AD211" s="3179"/>
      <c r="AE211" s="3179"/>
      <c r="AF211" s="3179"/>
      <c r="AG211" s="3179"/>
      <c r="AH211" s="3179"/>
      <c r="AI211" s="3179"/>
      <c r="AJ211" s="3179"/>
      <c r="AK211" s="3179"/>
      <c r="AL211" s="3179"/>
      <c r="AM211" s="3179"/>
      <c r="AN211" s="3181" t="s">
        <v>525</v>
      </c>
      <c r="AO211" s="3180"/>
      <c r="AP211" s="3180"/>
      <c r="AQ211" s="3180"/>
      <c r="AR211" s="3180"/>
      <c r="AS211" s="3180"/>
      <c r="AT211" s="3180"/>
      <c r="AU211" s="3180"/>
      <c r="AV211" s="3180"/>
      <c r="AW211" s="3180"/>
      <c r="AX211" s="3180"/>
      <c r="AY211" s="3180"/>
      <c r="AZ211" s="3180"/>
      <c r="BA211" s="3180"/>
      <c r="BB211" s="3180"/>
      <c r="BC211" s="3180"/>
      <c r="BD211" s="3180"/>
      <c r="BE211" s="3180"/>
      <c r="BF211" s="3181" t="s">
        <v>525</v>
      </c>
      <c r="BG211" s="86"/>
      <c r="BH211" s="86"/>
      <c r="BI211" s="86"/>
      <c r="BJ211" s="86"/>
      <c r="BK211" s="86"/>
      <c r="BL211" s="86"/>
      <c r="BM211" s="86"/>
      <c r="BN211" s="86"/>
      <c r="BO211" s="86"/>
      <c r="BP211" s="86"/>
      <c r="BQ211" s="86"/>
      <c r="BR211" s="86"/>
      <c r="BS211" s="86"/>
      <c r="BT211" s="86"/>
      <c r="BU211" s="86"/>
      <c r="BV211" s="86"/>
      <c r="BW211" s="86"/>
      <c r="BX211" s="86"/>
      <c r="BY211" s="86"/>
      <c r="BZ211" s="617"/>
    </row>
    <row r="212" spans="2:78" ht="17.100000000000001" customHeight="1" x14ac:dyDescent="0.25">
      <c r="B212" s="617"/>
      <c r="C212" s="86"/>
      <c r="D212" s="86"/>
      <c r="E212" s="86"/>
      <c r="F212" s="86"/>
      <c r="G212" s="86"/>
      <c r="H212" s="86"/>
      <c r="I212" s="86"/>
      <c r="J212" s="86"/>
      <c r="K212" s="86"/>
      <c r="L212" s="86"/>
      <c r="M212" s="86"/>
      <c r="N212" s="86"/>
      <c r="O212" s="86"/>
      <c r="P212" s="86"/>
      <c r="Q212" s="86"/>
      <c r="R212" s="86"/>
      <c r="S212" s="86"/>
      <c r="T212" s="86"/>
      <c r="U212" s="86"/>
      <c r="V212" s="617"/>
      <c r="W212" s="3179"/>
      <c r="X212" s="3179"/>
      <c r="Y212" s="3179"/>
      <c r="Z212" s="3179"/>
      <c r="AA212" s="3179"/>
      <c r="AB212" s="3179"/>
      <c r="AC212" s="3179"/>
      <c r="AD212" s="3179"/>
      <c r="AE212" s="3179"/>
      <c r="AF212" s="3179"/>
      <c r="AG212" s="3179"/>
      <c r="AH212" s="3179"/>
      <c r="AI212" s="3179"/>
      <c r="AJ212" s="3179"/>
      <c r="AK212" s="3179"/>
      <c r="AL212" s="3179"/>
      <c r="AM212" s="3179"/>
      <c r="AN212" s="3181" t="s">
        <v>525</v>
      </c>
      <c r="AO212" s="3180"/>
      <c r="AP212" s="3180"/>
      <c r="AQ212" s="3180"/>
      <c r="AR212" s="3180"/>
      <c r="AS212" s="3180"/>
      <c r="AT212" s="3180"/>
      <c r="AU212" s="3180"/>
      <c r="AV212" s="3180"/>
      <c r="AW212" s="3180"/>
      <c r="AX212" s="3180"/>
      <c r="AY212" s="3180"/>
      <c r="AZ212" s="3180"/>
      <c r="BA212" s="3180"/>
      <c r="BB212" s="3180"/>
      <c r="BC212" s="3180"/>
      <c r="BD212" s="3180"/>
      <c r="BE212" s="3180"/>
      <c r="BF212" s="3181" t="s">
        <v>525</v>
      </c>
      <c r="BG212" s="86"/>
      <c r="BH212" s="86"/>
      <c r="BI212" s="86"/>
      <c r="BJ212" s="86"/>
      <c r="BK212" s="86"/>
      <c r="BL212" s="86"/>
      <c r="BM212" s="86"/>
      <c r="BN212" s="86"/>
      <c r="BO212" s="86"/>
      <c r="BP212" s="86"/>
      <c r="BQ212" s="86"/>
      <c r="BR212" s="86"/>
      <c r="BS212" s="86"/>
      <c r="BT212" s="86"/>
      <c r="BU212" s="86"/>
      <c r="BV212" s="86"/>
      <c r="BW212" s="86"/>
      <c r="BX212" s="86"/>
      <c r="BY212" s="86"/>
      <c r="BZ212" s="617"/>
    </row>
    <row r="213" spans="2:78" ht="17.100000000000001" customHeight="1" x14ac:dyDescent="0.25">
      <c r="B213" s="617"/>
      <c r="C213" s="86"/>
      <c r="D213" s="86"/>
      <c r="E213" s="86"/>
      <c r="F213" s="86"/>
      <c r="G213" s="86"/>
      <c r="H213" s="86"/>
      <c r="I213" s="86"/>
      <c r="J213" s="86"/>
      <c r="K213" s="86"/>
      <c r="L213" s="86"/>
      <c r="M213" s="86"/>
      <c r="N213" s="86"/>
      <c r="O213" s="86"/>
      <c r="P213" s="86"/>
      <c r="Q213" s="86"/>
      <c r="R213" s="86"/>
      <c r="S213" s="86"/>
      <c r="T213" s="86"/>
      <c r="U213" s="86"/>
      <c r="V213" s="617"/>
      <c r="W213" s="3179"/>
      <c r="X213" s="3179"/>
      <c r="Y213" s="3179"/>
      <c r="Z213" s="3179"/>
      <c r="AA213" s="3179"/>
      <c r="AB213" s="3179"/>
      <c r="AC213" s="3179"/>
      <c r="AD213" s="3179"/>
      <c r="AE213" s="3179"/>
      <c r="AF213" s="3179"/>
      <c r="AG213" s="3179"/>
      <c r="AH213" s="3179"/>
      <c r="AI213" s="3179"/>
      <c r="AJ213" s="3179"/>
      <c r="AK213" s="3179"/>
      <c r="AL213" s="3179"/>
      <c r="AM213" s="3179"/>
      <c r="AN213" s="3181" t="s">
        <v>525</v>
      </c>
      <c r="AO213" s="3180"/>
      <c r="AP213" s="3180"/>
      <c r="AQ213" s="3180"/>
      <c r="AR213" s="3180"/>
      <c r="AS213" s="3180"/>
      <c r="AT213" s="3180"/>
      <c r="AU213" s="3180"/>
      <c r="AV213" s="3180"/>
      <c r="AW213" s="3180"/>
      <c r="AX213" s="3180"/>
      <c r="AY213" s="3180"/>
      <c r="AZ213" s="3180"/>
      <c r="BA213" s="3180"/>
      <c r="BB213" s="3180"/>
      <c r="BC213" s="3180"/>
      <c r="BD213" s="3180"/>
      <c r="BE213" s="3180"/>
      <c r="BF213" s="3181" t="s">
        <v>525</v>
      </c>
      <c r="BG213" s="86"/>
      <c r="BH213" s="86"/>
      <c r="BI213" s="86"/>
      <c r="BJ213" s="86"/>
      <c r="BK213" s="86"/>
      <c r="BL213" s="86"/>
      <c r="BM213" s="86"/>
      <c r="BN213" s="86"/>
      <c r="BO213" s="86"/>
      <c r="BP213" s="86"/>
      <c r="BQ213" s="86"/>
      <c r="BR213" s="86"/>
      <c r="BS213" s="86"/>
      <c r="BT213" s="86"/>
      <c r="BU213" s="86"/>
      <c r="BV213" s="86"/>
      <c r="BW213" s="86"/>
      <c r="BX213" s="86"/>
      <c r="BY213" s="86"/>
      <c r="BZ213" s="617"/>
    </row>
    <row r="214" spans="2:78" ht="17.100000000000001" customHeight="1" x14ac:dyDescent="0.25">
      <c r="B214" s="617"/>
      <c r="C214" s="86"/>
      <c r="D214" s="86"/>
      <c r="E214" s="86"/>
      <c r="F214" s="86"/>
      <c r="G214" s="86"/>
      <c r="H214" s="86"/>
      <c r="I214" s="86"/>
      <c r="J214" s="86"/>
      <c r="K214" s="86"/>
      <c r="L214" s="86"/>
      <c r="M214" s="86"/>
      <c r="N214" s="86"/>
      <c r="O214" s="86"/>
      <c r="P214" s="86"/>
      <c r="Q214" s="86"/>
      <c r="R214" s="86"/>
      <c r="S214" s="86"/>
      <c r="T214" s="86"/>
      <c r="U214" s="86"/>
      <c r="V214" s="617"/>
      <c r="W214" s="3179"/>
      <c r="X214" s="3179"/>
      <c r="Y214" s="3179"/>
      <c r="Z214" s="3179"/>
      <c r="AA214" s="3179"/>
      <c r="AB214" s="3179"/>
      <c r="AC214" s="3179"/>
      <c r="AD214" s="3179"/>
      <c r="AE214" s="3179"/>
      <c r="AF214" s="3179"/>
      <c r="AG214" s="3179"/>
      <c r="AH214" s="3179"/>
      <c r="AI214" s="3179"/>
      <c r="AJ214" s="3179"/>
      <c r="AK214" s="3179"/>
      <c r="AL214" s="3179"/>
      <c r="AM214" s="3179"/>
      <c r="AN214" s="3181" t="s">
        <v>525</v>
      </c>
      <c r="AO214" s="3180"/>
      <c r="AP214" s="3180"/>
      <c r="AQ214" s="3180"/>
      <c r="AR214" s="3180"/>
      <c r="AS214" s="3180"/>
      <c r="AT214" s="3180"/>
      <c r="AU214" s="3180"/>
      <c r="AV214" s="3180"/>
      <c r="AW214" s="3180"/>
      <c r="AX214" s="3180"/>
      <c r="AY214" s="3180"/>
      <c r="AZ214" s="3180"/>
      <c r="BA214" s="3180"/>
      <c r="BB214" s="3180"/>
      <c r="BC214" s="3180"/>
      <c r="BD214" s="3180"/>
      <c r="BE214" s="3180"/>
      <c r="BF214" s="3181" t="s">
        <v>525</v>
      </c>
      <c r="BG214" s="86"/>
      <c r="BH214" s="86"/>
      <c r="BI214" s="86"/>
      <c r="BJ214" s="86"/>
      <c r="BK214" s="86"/>
      <c r="BL214" s="86"/>
      <c r="BM214" s="86"/>
      <c r="BN214" s="86"/>
      <c r="BO214" s="86"/>
      <c r="BP214" s="86"/>
      <c r="BQ214" s="86"/>
      <c r="BR214" s="86"/>
      <c r="BS214" s="86"/>
      <c r="BT214" s="86"/>
      <c r="BU214" s="86"/>
      <c r="BV214" s="86"/>
      <c r="BW214" s="86"/>
      <c r="BX214" s="86"/>
      <c r="BY214" s="86"/>
      <c r="BZ214" s="617"/>
    </row>
    <row r="215" spans="2:78" ht="17.100000000000001" customHeight="1" x14ac:dyDescent="0.25">
      <c r="B215" s="617"/>
      <c r="C215" s="86"/>
      <c r="D215" s="86"/>
      <c r="E215" s="86"/>
      <c r="F215" s="86"/>
      <c r="G215" s="86"/>
      <c r="H215" s="86"/>
      <c r="I215" s="86"/>
      <c r="J215" s="86"/>
      <c r="K215" s="86"/>
      <c r="L215" s="86"/>
      <c r="M215" s="86"/>
      <c r="N215" s="86"/>
      <c r="O215" s="86"/>
      <c r="P215" s="86"/>
      <c r="Q215" s="86"/>
      <c r="R215" s="86"/>
      <c r="S215" s="86"/>
      <c r="T215" s="86"/>
      <c r="U215" s="86"/>
      <c r="V215" s="617"/>
      <c r="W215" s="3179"/>
      <c r="X215" s="3179"/>
      <c r="Y215" s="3179"/>
      <c r="Z215" s="3179"/>
      <c r="AA215" s="3179"/>
      <c r="AB215" s="3179"/>
      <c r="AC215" s="3179"/>
      <c r="AD215" s="3179"/>
      <c r="AE215" s="3179"/>
      <c r="AF215" s="3179"/>
      <c r="AG215" s="3179"/>
      <c r="AH215" s="3179"/>
      <c r="AI215" s="3179"/>
      <c r="AJ215" s="3179"/>
      <c r="AK215" s="3179"/>
      <c r="AL215" s="3179"/>
      <c r="AM215" s="3179"/>
      <c r="AN215" s="3181" t="s">
        <v>525</v>
      </c>
      <c r="AO215" s="3180"/>
      <c r="AP215" s="3180"/>
      <c r="AQ215" s="3180"/>
      <c r="AR215" s="3180"/>
      <c r="AS215" s="3180"/>
      <c r="AT215" s="3180"/>
      <c r="AU215" s="3180"/>
      <c r="AV215" s="3180"/>
      <c r="AW215" s="3180"/>
      <c r="AX215" s="3180"/>
      <c r="AY215" s="3180"/>
      <c r="AZ215" s="3180"/>
      <c r="BA215" s="3180"/>
      <c r="BB215" s="3180"/>
      <c r="BC215" s="3180"/>
      <c r="BD215" s="3180"/>
      <c r="BE215" s="3180"/>
      <c r="BF215" s="3181" t="s">
        <v>525</v>
      </c>
      <c r="BG215" s="86"/>
      <c r="BH215" s="86"/>
      <c r="BI215" s="86"/>
      <c r="BJ215" s="86"/>
      <c r="BK215" s="86"/>
      <c r="BL215" s="86"/>
      <c r="BM215" s="86"/>
      <c r="BN215" s="86"/>
      <c r="BO215" s="86"/>
      <c r="BP215" s="86"/>
      <c r="BQ215" s="86"/>
      <c r="BR215" s="86"/>
      <c r="BS215" s="86"/>
      <c r="BT215" s="86"/>
      <c r="BU215" s="86"/>
      <c r="BV215" s="86"/>
      <c r="BW215" s="86"/>
      <c r="BX215" s="86"/>
      <c r="BY215" s="86"/>
      <c r="BZ215" s="617"/>
    </row>
    <row r="216" spans="2:78" ht="17.100000000000001" customHeight="1" x14ac:dyDescent="0.25">
      <c r="B216" s="617"/>
      <c r="C216" s="86"/>
      <c r="D216" s="86"/>
      <c r="E216" s="86"/>
      <c r="F216" s="86"/>
      <c r="G216" s="86"/>
      <c r="H216" s="86"/>
      <c r="I216" s="86"/>
      <c r="J216" s="86"/>
      <c r="K216" s="86"/>
      <c r="L216" s="86"/>
      <c r="M216" s="86"/>
      <c r="N216" s="86"/>
      <c r="O216" s="86"/>
      <c r="P216" s="86"/>
      <c r="Q216" s="86"/>
      <c r="R216" s="86"/>
      <c r="S216" s="86"/>
      <c r="T216" s="86"/>
      <c r="U216" s="86"/>
      <c r="V216" s="617"/>
      <c r="W216" s="3179"/>
      <c r="X216" s="3179"/>
      <c r="Y216" s="3179"/>
      <c r="Z216" s="3179"/>
      <c r="AA216" s="3179"/>
      <c r="AB216" s="3179"/>
      <c r="AC216" s="3179"/>
      <c r="AD216" s="3179"/>
      <c r="AE216" s="3179"/>
      <c r="AF216" s="3179"/>
      <c r="AG216" s="3179"/>
      <c r="AH216" s="3179"/>
      <c r="AI216" s="3179"/>
      <c r="AJ216" s="3179"/>
      <c r="AK216" s="3179"/>
      <c r="AL216" s="3179"/>
      <c r="AM216" s="3179"/>
      <c r="AN216" s="3181" t="s">
        <v>525</v>
      </c>
      <c r="AO216" s="3180"/>
      <c r="AP216" s="3180"/>
      <c r="AQ216" s="3180"/>
      <c r="AR216" s="3180"/>
      <c r="AS216" s="3180"/>
      <c r="AT216" s="3180"/>
      <c r="AU216" s="3180"/>
      <c r="AV216" s="3180"/>
      <c r="AW216" s="3180"/>
      <c r="AX216" s="3180"/>
      <c r="AY216" s="3180"/>
      <c r="AZ216" s="3180"/>
      <c r="BA216" s="3180"/>
      <c r="BB216" s="3180"/>
      <c r="BC216" s="3180"/>
      <c r="BD216" s="3180"/>
      <c r="BE216" s="3180"/>
      <c r="BF216" s="3181" t="s">
        <v>525</v>
      </c>
      <c r="BG216" s="86"/>
      <c r="BH216" s="86"/>
      <c r="BI216" s="86"/>
      <c r="BJ216" s="86"/>
      <c r="BK216" s="86"/>
      <c r="BL216" s="86"/>
      <c r="BM216" s="86"/>
      <c r="BN216" s="86"/>
      <c r="BO216" s="86"/>
      <c r="BP216" s="86"/>
      <c r="BQ216" s="86"/>
      <c r="BR216" s="86"/>
      <c r="BS216" s="86"/>
      <c r="BT216" s="86"/>
      <c r="BU216" s="86"/>
      <c r="BV216" s="86"/>
      <c r="BW216" s="86"/>
      <c r="BX216" s="86"/>
      <c r="BY216" s="86"/>
      <c r="BZ216" s="617"/>
    </row>
    <row r="217" spans="2:78" ht="17.100000000000001" customHeight="1" x14ac:dyDescent="0.25">
      <c r="B217" s="617"/>
      <c r="C217" s="86"/>
      <c r="D217" s="86"/>
      <c r="E217" s="86"/>
      <c r="F217" s="86"/>
      <c r="G217" s="86"/>
      <c r="H217" s="86"/>
      <c r="I217" s="86"/>
      <c r="J217" s="86"/>
      <c r="K217" s="86"/>
      <c r="L217" s="86"/>
      <c r="M217" s="86"/>
      <c r="N217" s="86"/>
      <c r="O217" s="86"/>
      <c r="P217" s="86"/>
      <c r="Q217" s="86"/>
      <c r="R217" s="86"/>
      <c r="S217" s="86"/>
      <c r="T217" s="86"/>
      <c r="U217" s="86"/>
      <c r="V217" s="617"/>
      <c r="W217" s="3179"/>
      <c r="X217" s="3179"/>
      <c r="Y217" s="3179"/>
      <c r="Z217" s="3179"/>
      <c r="AA217" s="3179"/>
      <c r="AB217" s="3179"/>
      <c r="AC217" s="3179"/>
      <c r="AD217" s="3179"/>
      <c r="AE217" s="3179"/>
      <c r="AF217" s="3179"/>
      <c r="AG217" s="3179"/>
      <c r="AH217" s="3179"/>
      <c r="AI217" s="3179"/>
      <c r="AJ217" s="3179"/>
      <c r="AK217" s="3179"/>
      <c r="AL217" s="3179"/>
      <c r="AM217" s="3179"/>
      <c r="AN217" s="3181" t="s">
        <v>525</v>
      </c>
      <c r="AO217" s="3180"/>
      <c r="AP217" s="3180"/>
      <c r="AQ217" s="3180"/>
      <c r="AR217" s="3180"/>
      <c r="AS217" s="3180"/>
      <c r="AT217" s="3180"/>
      <c r="AU217" s="3180"/>
      <c r="AV217" s="3180"/>
      <c r="AW217" s="3180"/>
      <c r="AX217" s="3180"/>
      <c r="AY217" s="3180"/>
      <c r="AZ217" s="3180"/>
      <c r="BA217" s="3180"/>
      <c r="BB217" s="3180"/>
      <c r="BC217" s="3180"/>
      <c r="BD217" s="3180"/>
      <c r="BE217" s="3180"/>
      <c r="BF217" s="3181" t="s">
        <v>525</v>
      </c>
      <c r="BG217" s="86"/>
      <c r="BH217" s="86"/>
      <c r="BI217" s="86"/>
      <c r="BJ217" s="86"/>
      <c r="BK217" s="86"/>
      <c r="BL217" s="86"/>
      <c r="BM217" s="86"/>
      <c r="BN217" s="86"/>
      <c r="BO217" s="86"/>
      <c r="BP217" s="86"/>
      <c r="BQ217" s="86"/>
      <c r="BR217" s="86"/>
      <c r="BS217" s="86"/>
      <c r="BT217" s="86"/>
      <c r="BU217" s="86"/>
      <c r="BV217" s="86"/>
      <c r="BW217" s="86"/>
      <c r="BX217" s="86"/>
      <c r="BY217" s="86"/>
      <c r="BZ217" s="617"/>
    </row>
    <row r="218" spans="2:78" ht="17.100000000000001" customHeight="1" x14ac:dyDescent="0.25">
      <c r="B218" s="617"/>
      <c r="C218" s="86"/>
      <c r="D218" s="86"/>
      <c r="E218" s="86"/>
      <c r="F218" s="86"/>
      <c r="G218" s="86"/>
      <c r="H218" s="86"/>
      <c r="I218" s="86"/>
      <c r="J218" s="86"/>
      <c r="K218" s="86"/>
      <c r="L218" s="86"/>
      <c r="M218" s="86"/>
      <c r="N218" s="86"/>
      <c r="O218" s="86"/>
      <c r="P218" s="86"/>
      <c r="Q218" s="86"/>
      <c r="R218" s="86"/>
      <c r="S218" s="86"/>
      <c r="T218" s="86"/>
      <c r="U218" s="86"/>
      <c r="V218" s="617"/>
      <c r="W218" s="3179"/>
      <c r="X218" s="3179"/>
      <c r="Y218" s="3179"/>
      <c r="Z218" s="3179"/>
      <c r="AA218" s="3179"/>
      <c r="AB218" s="3179"/>
      <c r="AC218" s="3179"/>
      <c r="AD218" s="3179"/>
      <c r="AE218" s="3179"/>
      <c r="AF218" s="3179"/>
      <c r="AG218" s="3179"/>
      <c r="AH218" s="3179"/>
      <c r="AI218" s="3179"/>
      <c r="AJ218" s="3179"/>
      <c r="AK218" s="3179"/>
      <c r="AL218" s="3179"/>
      <c r="AM218" s="3179"/>
      <c r="AN218" s="3181" t="s">
        <v>525</v>
      </c>
      <c r="AO218" s="3180"/>
      <c r="AP218" s="3180"/>
      <c r="AQ218" s="3180"/>
      <c r="AR218" s="3180"/>
      <c r="AS218" s="3180"/>
      <c r="AT218" s="3180"/>
      <c r="AU218" s="3180"/>
      <c r="AV218" s="3180"/>
      <c r="AW218" s="3180"/>
      <c r="AX218" s="3180"/>
      <c r="AY218" s="3180"/>
      <c r="AZ218" s="3180"/>
      <c r="BA218" s="3180"/>
      <c r="BB218" s="3180"/>
      <c r="BC218" s="3180"/>
      <c r="BD218" s="3180"/>
      <c r="BE218" s="3180"/>
      <c r="BF218" s="3181" t="s">
        <v>525</v>
      </c>
      <c r="BG218" s="86"/>
      <c r="BH218" s="86"/>
      <c r="BI218" s="86"/>
      <c r="BJ218" s="86"/>
      <c r="BK218" s="86"/>
      <c r="BL218" s="86"/>
      <c r="BM218" s="86"/>
      <c r="BN218" s="86"/>
      <c r="BO218" s="86"/>
      <c r="BP218" s="86"/>
      <c r="BQ218" s="86"/>
      <c r="BR218" s="86"/>
      <c r="BS218" s="86"/>
      <c r="BT218" s="86"/>
      <c r="BU218" s="86"/>
      <c r="BV218" s="86"/>
      <c r="BW218" s="86"/>
      <c r="BX218" s="86"/>
      <c r="BY218" s="86"/>
      <c r="BZ218" s="617"/>
    </row>
    <row r="219" spans="2:78" ht="17.100000000000001" customHeight="1" x14ac:dyDescent="0.25">
      <c r="B219" s="617"/>
      <c r="C219" s="86"/>
      <c r="D219" s="86"/>
      <c r="E219" s="86"/>
      <c r="F219" s="86"/>
      <c r="G219" s="86"/>
      <c r="H219" s="86"/>
      <c r="I219" s="86"/>
      <c r="J219" s="86"/>
      <c r="K219" s="86"/>
      <c r="L219" s="86"/>
      <c r="M219" s="86"/>
      <c r="N219" s="86"/>
      <c r="O219" s="86"/>
      <c r="P219" s="86"/>
      <c r="Q219" s="86"/>
      <c r="R219" s="86"/>
      <c r="S219" s="86"/>
      <c r="T219" s="86"/>
      <c r="U219" s="86"/>
      <c r="V219" s="617"/>
      <c r="W219" s="3179"/>
      <c r="X219" s="3179"/>
      <c r="Y219" s="3179"/>
      <c r="Z219" s="3179"/>
      <c r="AA219" s="3179"/>
      <c r="AB219" s="3179"/>
      <c r="AC219" s="3179"/>
      <c r="AD219" s="3179"/>
      <c r="AE219" s="3179"/>
      <c r="AF219" s="3179"/>
      <c r="AG219" s="3179"/>
      <c r="AH219" s="3179"/>
      <c r="AI219" s="3179"/>
      <c r="AJ219" s="3179"/>
      <c r="AK219" s="3179"/>
      <c r="AL219" s="3179"/>
      <c r="AM219" s="3179"/>
      <c r="AN219" s="3181" t="s">
        <v>525</v>
      </c>
      <c r="AO219" s="3180"/>
      <c r="AP219" s="3180"/>
      <c r="AQ219" s="3180"/>
      <c r="AR219" s="3180"/>
      <c r="AS219" s="3180"/>
      <c r="AT219" s="3180"/>
      <c r="AU219" s="3180"/>
      <c r="AV219" s="3180"/>
      <c r="AW219" s="3180"/>
      <c r="AX219" s="3180"/>
      <c r="AY219" s="3180"/>
      <c r="AZ219" s="3180"/>
      <c r="BA219" s="3180"/>
      <c r="BB219" s="3180"/>
      <c r="BC219" s="3180"/>
      <c r="BD219" s="3180"/>
      <c r="BE219" s="3180"/>
      <c r="BF219" s="3181" t="s">
        <v>525</v>
      </c>
      <c r="BG219" s="86"/>
      <c r="BH219" s="86"/>
      <c r="BI219" s="86"/>
      <c r="BJ219" s="86"/>
      <c r="BK219" s="86"/>
      <c r="BL219" s="86"/>
      <c r="BM219" s="86"/>
      <c r="BN219" s="86"/>
      <c r="BO219" s="86"/>
      <c r="BP219" s="86"/>
      <c r="BQ219" s="86"/>
      <c r="BR219" s="86"/>
      <c r="BS219" s="86"/>
      <c r="BT219" s="86"/>
      <c r="BU219" s="86"/>
      <c r="BV219" s="86"/>
      <c r="BW219" s="86"/>
      <c r="BX219" s="86"/>
      <c r="BY219" s="86"/>
      <c r="BZ219" s="617"/>
    </row>
    <row r="220" spans="2:78" ht="17.100000000000001" customHeight="1" x14ac:dyDescent="0.25">
      <c r="B220" s="617"/>
      <c r="C220" s="86"/>
      <c r="D220" s="86"/>
      <c r="E220" s="86"/>
      <c r="F220" s="86"/>
      <c r="G220" s="86"/>
      <c r="H220" s="86"/>
      <c r="I220" s="86"/>
      <c r="J220" s="86"/>
      <c r="K220" s="86"/>
      <c r="L220" s="86"/>
      <c r="M220" s="86"/>
      <c r="N220" s="86"/>
      <c r="O220" s="86"/>
      <c r="P220" s="86"/>
      <c r="Q220" s="86"/>
      <c r="R220" s="86"/>
      <c r="S220" s="86"/>
      <c r="T220" s="86"/>
      <c r="U220" s="86"/>
      <c r="V220" s="617"/>
      <c r="W220" s="3179"/>
      <c r="X220" s="3179"/>
      <c r="Y220" s="3179"/>
      <c r="Z220" s="3179"/>
      <c r="AA220" s="3179"/>
      <c r="AB220" s="3179"/>
      <c r="AC220" s="3179"/>
      <c r="AD220" s="3179"/>
      <c r="AE220" s="3179"/>
      <c r="AF220" s="3179"/>
      <c r="AG220" s="3179"/>
      <c r="AH220" s="3179"/>
      <c r="AI220" s="3179"/>
      <c r="AJ220" s="3179"/>
      <c r="AK220" s="3179"/>
      <c r="AL220" s="3179"/>
      <c r="AM220" s="3179"/>
      <c r="AN220" s="3181" t="s">
        <v>525</v>
      </c>
      <c r="AO220" s="3180"/>
      <c r="AP220" s="3180"/>
      <c r="AQ220" s="3180"/>
      <c r="AR220" s="3180"/>
      <c r="AS220" s="3180"/>
      <c r="AT220" s="3180"/>
      <c r="AU220" s="3180"/>
      <c r="AV220" s="3180"/>
      <c r="AW220" s="3180"/>
      <c r="AX220" s="3180"/>
      <c r="AY220" s="3180"/>
      <c r="AZ220" s="3180"/>
      <c r="BA220" s="3180"/>
      <c r="BB220" s="3180"/>
      <c r="BC220" s="3180"/>
      <c r="BD220" s="3180"/>
      <c r="BE220" s="3180"/>
      <c r="BF220" s="3181" t="s">
        <v>525</v>
      </c>
      <c r="BG220" s="86"/>
      <c r="BH220" s="86"/>
      <c r="BI220" s="86"/>
      <c r="BJ220" s="86"/>
      <c r="BK220" s="86"/>
      <c r="BL220" s="86"/>
      <c r="BM220" s="86"/>
      <c r="BN220" s="86"/>
      <c r="BO220" s="86"/>
      <c r="BP220" s="86"/>
      <c r="BQ220" s="86"/>
      <c r="BR220" s="86"/>
      <c r="BS220" s="86"/>
      <c r="BT220" s="86"/>
      <c r="BU220" s="86"/>
      <c r="BV220" s="86"/>
      <c r="BW220" s="86"/>
      <c r="BX220" s="86"/>
      <c r="BY220" s="86"/>
      <c r="BZ220" s="617"/>
    </row>
    <row r="221" spans="2:78" ht="17.100000000000001" customHeight="1" x14ac:dyDescent="0.25">
      <c r="B221" s="617"/>
      <c r="C221" s="86"/>
      <c r="D221" s="86"/>
      <c r="E221" s="86"/>
      <c r="F221" s="86"/>
      <c r="G221" s="86"/>
      <c r="H221" s="86"/>
      <c r="I221" s="86"/>
      <c r="J221" s="86"/>
      <c r="K221" s="86"/>
      <c r="L221" s="86"/>
      <c r="M221" s="86"/>
      <c r="N221" s="86"/>
      <c r="O221" s="86"/>
      <c r="P221" s="86"/>
      <c r="Q221" s="86"/>
      <c r="R221" s="86"/>
      <c r="S221" s="86"/>
      <c r="T221" s="86"/>
      <c r="U221" s="86"/>
      <c r="V221" s="617"/>
      <c r="W221" s="3179"/>
      <c r="X221" s="3179"/>
      <c r="Y221" s="3179"/>
      <c r="Z221" s="3179"/>
      <c r="AA221" s="3179"/>
      <c r="AB221" s="3179"/>
      <c r="AC221" s="3179"/>
      <c r="AD221" s="3179"/>
      <c r="AE221" s="3179"/>
      <c r="AF221" s="3179"/>
      <c r="AG221" s="3179"/>
      <c r="AH221" s="3179"/>
      <c r="AI221" s="3179"/>
      <c r="AJ221" s="3179"/>
      <c r="AK221" s="3179"/>
      <c r="AL221" s="3179"/>
      <c r="AM221" s="3179"/>
      <c r="AN221" s="3181" t="s">
        <v>525</v>
      </c>
      <c r="AO221" s="3180"/>
      <c r="AP221" s="3180"/>
      <c r="AQ221" s="3180"/>
      <c r="AR221" s="3180"/>
      <c r="AS221" s="3180"/>
      <c r="AT221" s="3180"/>
      <c r="AU221" s="3180"/>
      <c r="AV221" s="3180"/>
      <c r="AW221" s="3180"/>
      <c r="AX221" s="3180"/>
      <c r="AY221" s="3180"/>
      <c r="AZ221" s="3180"/>
      <c r="BA221" s="3180"/>
      <c r="BB221" s="3180"/>
      <c r="BC221" s="3180"/>
      <c r="BD221" s="3180"/>
      <c r="BE221" s="3180"/>
      <c r="BF221" s="3181" t="s">
        <v>525</v>
      </c>
      <c r="BG221" s="86"/>
      <c r="BH221" s="86"/>
      <c r="BI221" s="86"/>
      <c r="BJ221" s="86"/>
      <c r="BK221" s="86"/>
      <c r="BL221" s="86"/>
      <c r="BM221" s="86"/>
      <c r="BN221" s="86"/>
      <c r="BO221" s="86"/>
      <c r="BP221" s="86"/>
      <c r="BQ221" s="86"/>
      <c r="BR221" s="86"/>
      <c r="BS221" s="86"/>
      <c r="BT221" s="86"/>
      <c r="BU221" s="86"/>
      <c r="BV221" s="86"/>
      <c r="BW221" s="86"/>
      <c r="BX221" s="86"/>
      <c r="BY221" s="86"/>
      <c r="BZ221" s="617"/>
    </row>
    <row r="222" spans="2:78" ht="17.100000000000001" customHeight="1" x14ac:dyDescent="0.25">
      <c r="B222" s="617"/>
      <c r="C222" s="86"/>
      <c r="D222" s="86"/>
      <c r="E222" s="86"/>
      <c r="F222" s="86"/>
      <c r="G222" s="86"/>
      <c r="H222" s="86"/>
      <c r="I222" s="86"/>
      <c r="J222" s="86"/>
      <c r="K222" s="86"/>
      <c r="L222" s="86"/>
      <c r="M222" s="86"/>
      <c r="N222" s="86"/>
      <c r="O222" s="86"/>
      <c r="P222" s="86"/>
      <c r="Q222" s="86"/>
      <c r="R222" s="86"/>
      <c r="S222" s="86"/>
      <c r="T222" s="86"/>
      <c r="U222" s="86"/>
      <c r="V222" s="617"/>
      <c r="W222" s="3179"/>
      <c r="X222" s="3179"/>
      <c r="Y222" s="3179"/>
      <c r="Z222" s="3179"/>
      <c r="AA222" s="3179"/>
      <c r="AB222" s="3179"/>
      <c r="AC222" s="3179"/>
      <c r="AD222" s="3179"/>
      <c r="AE222" s="3179"/>
      <c r="AF222" s="3179"/>
      <c r="AG222" s="3179"/>
      <c r="AH222" s="3179"/>
      <c r="AI222" s="3179"/>
      <c r="AJ222" s="3179"/>
      <c r="AK222" s="3179"/>
      <c r="AL222" s="3179"/>
      <c r="AM222" s="3179"/>
      <c r="AN222" s="3181" t="s">
        <v>525</v>
      </c>
      <c r="AO222" s="3180"/>
      <c r="AP222" s="3180"/>
      <c r="AQ222" s="3180"/>
      <c r="AR222" s="3180"/>
      <c r="AS222" s="3180"/>
      <c r="AT222" s="3180"/>
      <c r="AU222" s="3180"/>
      <c r="AV222" s="3180"/>
      <c r="AW222" s="3180"/>
      <c r="AX222" s="3180"/>
      <c r="AY222" s="3180"/>
      <c r="AZ222" s="3180"/>
      <c r="BA222" s="3180"/>
      <c r="BB222" s="3180"/>
      <c r="BC222" s="3180"/>
      <c r="BD222" s="3180"/>
      <c r="BE222" s="3180"/>
      <c r="BF222" s="3181" t="s">
        <v>525</v>
      </c>
      <c r="BG222" s="86"/>
      <c r="BH222" s="86"/>
      <c r="BI222" s="86"/>
      <c r="BJ222" s="86"/>
      <c r="BK222" s="86"/>
      <c r="BL222" s="86"/>
      <c r="BM222" s="86"/>
      <c r="BN222" s="86"/>
      <c r="BO222" s="86"/>
      <c r="BP222" s="86"/>
      <c r="BQ222" s="86"/>
      <c r="BR222" s="86"/>
      <c r="BS222" s="86"/>
      <c r="BT222" s="86"/>
      <c r="BU222" s="86"/>
      <c r="BV222" s="86"/>
      <c r="BW222" s="86"/>
      <c r="BX222" s="86"/>
      <c r="BY222" s="86"/>
      <c r="BZ222" s="617"/>
    </row>
    <row r="223" spans="2:78" ht="17.100000000000001" customHeight="1" x14ac:dyDescent="0.25">
      <c r="B223" s="617"/>
      <c r="C223" s="86"/>
      <c r="D223" s="86"/>
      <c r="E223" s="86"/>
      <c r="F223" s="86"/>
      <c r="G223" s="86"/>
      <c r="H223" s="86"/>
      <c r="I223" s="86"/>
      <c r="J223" s="86"/>
      <c r="K223" s="86"/>
      <c r="L223" s="86"/>
      <c r="M223" s="86"/>
      <c r="N223" s="86"/>
      <c r="O223" s="86"/>
      <c r="P223" s="86"/>
      <c r="Q223" s="86"/>
      <c r="R223" s="86"/>
      <c r="S223" s="86"/>
      <c r="T223" s="86"/>
      <c r="U223" s="86"/>
      <c r="V223" s="617"/>
      <c r="W223" s="3179"/>
      <c r="X223" s="3179"/>
      <c r="Y223" s="3179"/>
      <c r="Z223" s="3179"/>
      <c r="AA223" s="3179"/>
      <c r="AB223" s="3179"/>
      <c r="AC223" s="3179"/>
      <c r="AD223" s="3179"/>
      <c r="AE223" s="3179"/>
      <c r="AF223" s="3179"/>
      <c r="AG223" s="3179"/>
      <c r="AH223" s="3179"/>
      <c r="AI223" s="3179"/>
      <c r="AJ223" s="3179"/>
      <c r="AK223" s="3179"/>
      <c r="AL223" s="3179"/>
      <c r="AM223" s="3179"/>
      <c r="AN223" s="3181" t="s">
        <v>525</v>
      </c>
      <c r="AO223" s="3180"/>
      <c r="AP223" s="3180"/>
      <c r="AQ223" s="3180"/>
      <c r="AR223" s="3180"/>
      <c r="AS223" s="3180"/>
      <c r="AT223" s="3180"/>
      <c r="AU223" s="3180"/>
      <c r="AV223" s="3180"/>
      <c r="AW223" s="3180"/>
      <c r="AX223" s="3180"/>
      <c r="AY223" s="3180"/>
      <c r="AZ223" s="3180"/>
      <c r="BA223" s="3180"/>
      <c r="BB223" s="3180"/>
      <c r="BC223" s="3180"/>
      <c r="BD223" s="3180"/>
      <c r="BE223" s="3180"/>
      <c r="BF223" s="3181" t="s">
        <v>525</v>
      </c>
      <c r="BG223" s="86"/>
      <c r="BH223" s="86"/>
      <c r="BI223" s="86"/>
      <c r="BJ223" s="86"/>
      <c r="BK223" s="86"/>
      <c r="BL223" s="86"/>
      <c r="BM223" s="86"/>
      <c r="BN223" s="86"/>
      <c r="BO223" s="86"/>
      <c r="BP223" s="86"/>
      <c r="BQ223" s="86"/>
      <c r="BR223" s="86"/>
      <c r="BS223" s="86"/>
      <c r="BT223" s="86"/>
      <c r="BU223" s="86"/>
      <c r="BV223" s="86"/>
      <c r="BW223" s="86"/>
      <c r="BX223" s="86"/>
      <c r="BY223" s="86"/>
      <c r="BZ223" s="617"/>
    </row>
    <row r="224" spans="2:78" ht="17.100000000000001" customHeight="1" x14ac:dyDescent="0.25">
      <c r="B224" s="617"/>
      <c r="C224" s="86"/>
      <c r="D224" s="86"/>
      <c r="E224" s="86"/>
      <c r="F224" s="86"/>
      <c r="G224" s="86"/>
      <c r="H224" s="86"/>
      <c r="I224" s="86"/>
      <c r="J224" s="86"/>
      <c r="K224" s="86"/>
      <c r="L224" s="86"/>
      <c r="M224" s="86"/>
      <c r="N224" s="86"/>
      <c r="O224" s="86"/>
      <c r="P224" s="86"/>
      <c r="Q224" s="86"/>
      <c r="R224" s="86"/>
      <c r="S224" s="86"/>
      <c r="T224" s="86"/>
      <c r="U224" s="86"/>
      <c r="V224" s="617"/>
      <c r="W224" s="3179"/>
      <c r="X224" s="3179"/>
      <c r="Y224" s="3179"/>
      <c r="Z224" s="3179"/>
      <c r="AA224" s="3179"/>
      <c r="AB224" s="3179"/>
      <c r="AC224" s="3179"/>
      <c r="AD224" s="3179"/>
      <c r="AE224" s="3179"/>
      <c r="AF224" s="3179"/>
      <c r="AG224" s="3179"/>
      <c r="AH224" s="3179"/>
      <c r="AI224" s="3179"/>
      <c r="AJ224" s="3179"/>
      <c r="AK224" s="3179"/>
      <c r="AL224" s="3179"/>
      <c r="AM224" s="3179"/>
      <c r="AN224" s="3181" t="s">
        <v>525</v>
      </c>
      <c r="AO224" s="3180"/>
      <c r="AP224" s="3180"/>
      <c r="AQ224" s="3180"/>
      <c r="AR224" s="3180"/>
      <c r="AS224" s="3180"/>
      <c r="AT224" s="3180"/>
      <c r="AU224" s="3180"/>
      <c r="AV224" s="3180"/>
      <c r="AW224" s="3180"/>
      <c r="AX224" s="3180"/>
      <c r="AY224" s="3180"/>
      <c r="AZ224" s="3180"/>
      <c r="BA224" s="3180"/>
      <c r="BB224" s="3180"/>
      <c r="BC224" s="3180"/>
      <c r="BD224" s="3180"/>
      <c r="BE224" s="3180"/>
      <c r="BF224" s="3181" t="s">
        <v>525</v>
      </c>
      <c r="BG224" s="86"/>
      <c r="BH224" s="86"/>
      <c r="BI224" s="86"/>
      <c r="BJ224" s="86"/>
      <c r="BK224" s="86"/>
      <c r="BL224" s="86"/>
      <c r="BM224" s="86"/>
      <c r="BN224" s="86"/>
      <c r="BO224" s="86"/>
      <c r="BP224" s="86"/>
      <c r="BQ224" s="86"/>
      <c r="BR224" s="86"/>
      <c r="BS224" s="86"/>
      <c r="BT224" s="86"/>
      <c r="BU224" s="86"/>
      <c r="BV224" s="86"/>
      <c r="BW224" s="86"/>
      <c r="BX224" s="86"/>
      <c r="BY224" s="86"/>
      <c r="BZ224" s="617"/>
    </row>
    <row r="225" spans="2:78" ht="17.100000000000001" customHeight="1" x14ac:dyDescent="0.25">
      <c r="B225" s="617"/>
      <c r="C225" s="86"/>
      <c r="D225" s="86"/>
      <c r="E225" s="86"/>
      <c r="F225" s="86"/>
      <c r="G225" s="86"/>
      <c r="H225" s="86"/>
      <c r="I225" s="86"/>
      <c r="J225" s="86"/>
      <c r="K225" s="86"/>
      <c r="L225" s="86"/>
      <c r="M225" s="86"/>
      <c r="N225" s="86"/>
      <c r="O225" s="86"/>
      <c r="P225" s="86"/>
      <c r="Q225" s="86"/>
      <c r="R225" s="86"/>
      <c r="S225" s="86"/>
      <c r="T225" s="86"/>
      <c r="U225" s="86"/>
      <c r="V225" s="617"/>
      <c r="W225" s="3179"/>
      <c r="X225" s="3179"/>
      <c r="Y225" s="3179"/>
      <c r="Z225" s="3179"/>
      <c r="AA225" s="3179"/>
      <c r="AB225" s="3179"/>
      <c r="AC225" s="3179"/>
      <c r="AD225" s="3179"/>
      <c r="AE225" s="3179"/>
      <c r="AF225" s="3179"/>
      <c r="AG225" s="3179"/>
      <c r="AH225" s="3179"/>
      <c r="AI225" s="3179"/>
      <c r="AJ225" s="3179"/>
      <c r="AK225" s="3179"/>
      <c r="AL225" s="3179"/>
      <c r="AM225" s="3179"/>
      <c r="AN225" s="3181" t="s">
        <v>525</v>
      </c>
      <c r="AO225" s="3180"/>
      <c r="AP225" s="3180"/>
      <c r="AQ225" s="3180"/>
      <c r="AR225" s="3180"/>
      <c r="AS225" s="3180"/>
      <c r="AT225" s="3180"/>
      <c r="AU225" s="3180"/>
      <c r="AV225" s="3180"/>
      <c r="AW225" s="3180"/>
      <c r="AX225" s="3180"/>
      <c r="AY225" s="3180"/>
      <c r="AZ225" s="3180"/>
      <c r="BA225" s="3180"/>
      <c r="BB225" s="3180"/>
      <c r="BC225" s="3180"/>
      <c r="BD225" s="3180"/>
      <c r="BE225" s="3180"/>
      <c r="BF225" s="3181" t="s">
        <v>525</v>
      </c>
      <c r="BG225" s="86"/>
      <c r="BH225" s="86"/>
      <c r="BI225" s="86"/>
      <c r="BJ225" s="86"/>
      <c r="BK225" s="86"/>
      <c r="BL225" s="86"/>
      <c r="BM225" s="86"/>
      <c r="BN225" s="86"/>
      <c r="BO225" s="86"/>
      <c r="BP225" s="86"/>
      <c r="BQ225" s="86"/>
      <c r="BR225" s="86"/>
      <c r="BS225" s="86"/>
      <c r="BT225" s="86"/>
      <c r="BU225" s="86"/>
      <c r="BV225" s="86"/>
      <c r="BW225" s="86"/>
      <c r="BX225" s="86"/>
      <c r="BY225" s="86"/>
      <c r="BZ225" s="617"/>
    </row>
    <row r="226" spans="2:78" ht="17.100000000000001" customHeight="1" x14ac:dyDescent="0.25">
      <c r="B226" s="617"/>
      <c r="C226" s="86"/>
      <c r="D226" s="86"/>
      <c r="E226" s="86"/>
      <c r="F226" s="86"/>
      <c r="G226" s="86"/>
      <c r="H226" s="86"/>
      <c r="I226" s="86"/>
      <c r="J226" s="86"/>
      <c r="K226" s="86"/>
      <c r="L226" s="86"/>
      <c r="M226" s="86"/>
      <c r="N226" s="86"/>
      <c r="O226" s="86"/>
      <c r="P226" s="86"/>
      <c r="Q226" s="86"/>
      <c r="R226" s="86"/>
      <c r="S226" s="86"/>
      <c r="T226" s="86"/>
      <c r="U226" s="86"/>
      <c r="V226" s="617"/>
      <c r="W226" s="3179"/>
      <c r="X226" s="3179"/>
      <c r="Y226" s="3179"/>
      <c r="Z226" s="3179"/>
      <c r="AA226" s="3179"/>
      <c r="AB226" s="3179"/>
      <c r="AC226" s="3179"/>
      <c r="AD226" s="3179"/>
      <c r="AE226" s="3179"/>
      <c r="AF226" s="3179"/>
      <c r="AG226" s="3179"/>
      <c r="AH226" s="3179"/>
      <c r="AI226" s="3179"/>
      <c r="AJ226" s="3179"/>
      <c r="AK226" s="3179"/>
      <c r="AL226" s="3179"/>
      <c r="AM226" s="3179"/>
      <c r="AN226" s="3181" t="s">
        <v>525</v>
      </c>
      <c r="AO226" s="3180"/>
      <c r="AP226" s="3180"/>
      <c r="AQ226" s="3180"/>
      <c r="AR226" s="3180"/>
      <c r="AS226" s="3180"/>
      <c r="AT226" s="3180"/>
      <c r="AU226" s="3180"/>
      <c r="AV226" s="3180"/>
      <c r="AW226" s="3180"/>
      <c r="AX226" s="3180"/>
      <c r="AY226" s="3180"/>
      <c r="AZ226" s="3180"/>
      <c r="BA226" s="3180"/>
      <c r="BB226" s="3180"/>
      <c r="BC226" s="3180"/>
      <c r="BD226" s="3180"/>
      <c r="BE226" s="3180"/>
      <c r="BF226" s="3181" t="s">
        <v>525</v>
      </c>
      <c r="BG226" s="86"/>
      <c r="BH226" s="86"/>
      <c r="BI226" s="86"/>
      <c r="BJ226" s="86"/>
      <c r="BK226" s="86"/>
      <c r="BL226" s="86"/>
      <c r="BM226" s="86"/>
      <c r="BN226" s="86"/>
      <c r="BO226" s="86"/>
      <c r="BP226" s="86"/>
      <c r="BQ226" s="86"/>
      <c r="BR226" s="86"/>
      <c r="BS226" s="86"/>
      <c r="BT226" s="86"/>
      <c r="BU226" s="86"/>
      <c r="BV226" s="86"/>
      <c r="BW226" s="86"/>
      <c r="BX226" s="86"/>
      <c r="BY226" s="86"/>
      <c r="BZ226" s="617"/>
    </row>
    <row r="227" spans="2:78" ht="17.100000000000001" customHeight="1" x14ac:dyDescent="0.25">
      <c r="B227" s="617"/>
      <c r="C227" s="617"/>
      <c r="D227" s="617"/>
      <c r="E227" s="617"/>
      <c r="F227" s="617"/>
      <c r="G227" s="617"/>
      <c r="H227" s="617"/>
      <c r="I227" s="617"/>
      <c r="J227" s="617"/>
      <c r="K227" s="617"/>
      <c r="L227" s="617"/>
      <c r="M227" s="617"/>
      <c r="N227" s="617"/>
      <c r="O227" s="617"/>
      <c r="P227" s="617"/>
      <c r="Q227" s="617"/>
      <c r="R227" s="617"/>
      <c r="S227" s="617"/>
      <c r="T227" s="617"/>
      <c r="U227" s="617"/>
      <c r="V227" s="617"/>
      <c r="W227" s="3179"/>
      <c r="X227" s="3179"/>
      <c r="Y227" s="3179"/>
      <c r="Z227" s="3179"/>
      <c r="AA227" s="3179"/>
      <c r="AB227" s="3179"/>
      <c r="AC227" s="3179"/>
      <c r="AD227" s="3179"/>
      <c r="AE227" s="3179"/>
      <c r="AF227" s="3179"/>
      <c r="AG227" s="3179"/>
      <c r="AH227" s="3179"/>
      <c r="AI227" s="3179"/>
      <c r="AJ227" s="3179"/>
      <c r="AK227" s="3179"/>
      <c r="AL227" s="3179"/>
      <c r="AM227" s="3179"/>
      <c r="AN227" s="3181" t="s">
        <v>525</v>
      </c>
      <c r="AO227" s="3180"/>
      <c r="AP227" s="3180"/>
      <c r="AQ227" s="3180"/>
      <c r="AR227" s="3180"/>
      <c r="AS227" s="3180"/>
      <c r="AT227" s="3180"/>
      <c r="AU227" s="3180"/>
      <c r="AV227" s="3180"/>
      <c r="AW227" s="3180"/>
      <c r="AX227" s="3180"/>
      <c r="AY227" s="3180"/>
      <c r="AZ227" s="3180"/>
      <c r="BA227" s="3180"/>
      <c r="BB227" s="3180"/>
      <c r="BC227" s="3180"/>
      <c r="BD227" s="3180"/>
      <c r="BE227" s="3180"/>
      <c r="BF227" s="3181" t="s">
        <v>525</v>
      </c>
      <c r="BG227" s="86"/>
      <c r="BH227" s="86"/>
      <c r="BI227" s="86"/>
      <c r="BJ227" s="86"/>
      <c r="BK227" s="86"/>
      <c r="BL227" s="86"/>
      <c r="BM227" s="86"/>
      <c r="BN227" s="86"/>
      <c r="BO227" s="86"/>
      <c r="BP227" s="86"/>
      <c r="BQ227" s="86"/>
      <c r="BR227" s="86"/>
      <c r="BS227" s="86"/>
      <c r="BT227" s="86"/>
      <c r="BU227" s="86"/>
      <c r="BV227" s="86"/>
      <c r="BW227" s="86"/>
      <c r="BX227" s="86"/>
      <c r="BY227" s="86"/>
      <c r="BZ227" s="617"/>
    </row>
    <row r="228" spans="2:78" ht="17.100000000000001" customHeight="1" x14ac:dyDescent="0.25">
      <c r="B228" s="617"/>
      <c r="C228" s="3730" t="s">
        <v>2101</v>
      </c>
      <c r="D228" s="3731"/>
      <c r="E228" s="3731"/>
      <c r="F228" s="3731"/>
      <c r="G228" s="3731"/>
      <c r="H228" s="3731"/>
      <c r="I228" s="3731"/>
      <c r="J228" s="3731"/>
      <c r="K228" s="3731"/>
      <c r="L228" s="3731"/>
      <c r="M228" s="3731"/>
      <c r="N228" s="3731"/>
      <c r="O228" s="3731"/>
      <c r="P228" s="3731"/>
      <c r="Q228" s="3731"/>
      <c r="R228" s="3731"/>
      <c r="S228" s="3731"/>
      <c r="T228" s="3731"/>
      <c r="U228" s="3732"/>
      <c r="V228" s="617"/>
      <c r="W228" s="3179"/>
      <c r="X228" s="3179"/>
      <c r="Y228" s="3179"/>
      <c r="Z228" s="3179"/>
      <c r="AA228" s="3179"/>
      <c r="AB228" s="3179"/>
      <c r="AC228" s="3179"/>
      <c r="AD228" s="3179"/>
      <c r="AE228" s="3179"/>
      <c r="AF228" s="3179"/>
      <c r="AG228" s="3179"/>
      <c r="AH228" s="3179"/>
      <c r="AI228" s="3179"/>
      <c r="AJ228" s="3179"/>
      <c r="AK228" s="3179"/>
      <c r="AL228" s="3179"/>
      <c r="AM228" s="3179"/>
      <c r="AN228" s="3181" t="s">
        <v>525</v>
      </c>
      <c r="AO228" s="3180"/>
      <c r="AP228" s="3180"/>
      <c r="AQ228" s="3180"/>
      <c r="AR228" s="3180"/>
      <c r="AS228" s="3180"/>
      <c r="AT228" s="3180"/>
      <c r="AU228" s="3180"/>
      <c r="AV228" s="3180"/>
      <c r="AW228" s="3180"/>
      <c r="AX228" s="3180"/>
      <c r="AY228" s="3180"/>
      <c r="AZ228" s="3180"/>
      <c r="BA228" s="3180"/>
      <c r="BB228" s="3180"/>
      <c r="BC228" s="3180"/>
      <c r="BD228" s="3180"/>
      <c r="BE228" s="3180"/>
      <c r="BF228" s="3181" t="s">
        <v>525</v>
      </c>
      <c r="BG228" s="86"/>
      <c r="BH228" s="86"/>
      <c r="BI228" s="86"/>
      <c r="BJ228" s="86"/>
      <c r="BK228" s="86"/>
      <c r="BL228" s="86"/>
      <c r="BM228" s="86"/>
      <c r="BN228" s="86"/>
      <c r="BO228" s="86"/>
      <c r="BP228" s="86"/>
      <c r="BQ228" s="86"/>
      <c r="BR228" s="86"/>
      <c r="BS228" s="86"/>
      <c r="BT228" s="86"/>
      <c r="BU228" s="86"/>
      <c r="BV228" s="86"/>
      <c r="BW228" s="86"/>
      <c r="BX228" s="86"/>
      <c r="BY228" s="86"/>
      <c r="BZ228" s="617"/>
    </row>
    <row r="229" spans="2:78" ht="17.100000000000001" customHeight="1" x14ac:dyDescent="0.25">
      <c r="B229" s="617"/>
      <c r="C229" s="3733"/>
      <c r="D229" s="3734"/>
      <c r="E229" s="3734"/>
      <c r="F229" s="3734"/>
      <c r="G229" s="3734"/>
      <c r="H229" s="3734"/>
      <c r="I229" s="3734"/>
      <c r="J229" s="3734"/>
      <c r="K229" s="3734"/>
      <c r="L229" s="3734"/>
      <c r="M229" s="3734"/>
      <c r="N229" s="3734"/>
      <c r="O229" s="3734"/>
      <c r="P229" s="3734"/>
      <c r="Q229" s="3734"/>
      <c r="R229" s="3734"/>
      <c r="S229" s="3734"/>
      <c r="T229" s="3734"/>
      <c r="U229" s="3735"/>
      <c r="V229" s="617"/>
      <c r="W229" s="3179"/>
      <c r="X229" s="3179"/>
      <c r="Y229" s="3179"/>
      <c r="Z229" s="3179"/>
      <c r="AA229" s="3179"/>
      <c r="AB229" s="3179"/>
      <c r="AC229" s="3179"/>
      <c r="AD229" s="3179"/>
      <c r="AE229" s="3179"/>
      <c r="AF229" s="3179"/>
      <c r="AG229" s="3179"/>
      <c r="AH229" s="3179"/>
      <c r="AI229" s="3179"/>
      <c r="AJ229" s="3179"/>
      <c r="AK229" s="3179"/>
      <c r="AL229" s="3179"/>
      <c r="AM229" s="3179"/>
      <c r="AN229" s="3181" t="s">
        <v>525</v>
      </c>
      <c r="AO229" s="3180"/>
      <c r="AP229" s="3180"/>
      <c r="AQ229" s="3180"/>
      <c r="AR229" s="3180"/>
      <c r="AS229" s="3180"/>
      <c r="AT229" s="3180"/>
      <c r="AU229" s="3180"/>
      <c r="AV229" s="3180"/>
      <c r="AW229" s="3180"/>
      <c r="AX229" s="3180"/>
      <c r="AY229" s="3180"/>
      <c r="AZ229" s="3180"/>
      <c r="BA229" s="3180"/>
      <c r="BB229" s="3180"/>
      <c r="BC229" s="3180"/>
      <c r="BD229" s="3180"/>
      <c r="BE229" s="3180"/>
      <c r="BF229" s="3181" t="s">
        <v>525</v>
      </c>
      <c r="BG229" s="86"/>
      <c r="BH229" s="86"/>
      <c r="BI229" s="86"/>
      <c r="BJ229" s="86"/>
      <c r="BK229" s="86"/>
      <c r="BL229" s="86"/>
      <c r="BM229" s="86"/>
      <c r="BN229" s="86"/>
      <c r="BO229" s="86"/>
      <c r="BP229" s="86"/>
      <c r="BQ229" s="86"/>
      <c r="BR229" s="86"/>
      <c r="BS229" s="86"/>
      <c r="BT229" s="86"/>
      <c r="BU229" s="86"/>
      <c r="BV229" s="86"/>
      <c r="BW229" s="86"/>
      <c r="BX229" s="86"/>
      <c r="BY229" s="86"/>
      <c r="BZ229" s="617"/>
    </row>
    <row r="230" spans="2:78" ht="17.100000000000001" customHeight="1" x14ac:dyDescent="0.25">
      <c r="B230" s="617"/>
      <c r="C230" s="86"/>
      <c r="D230" s="86"/>
      <c r="E230" s="86"/>
      <c r="F230" s="86"/>
      <c r="G230" s="86"/>
      <c r="H230" s="86"/>
      <c r="I230" s="86"/>
      <c r="J230" s="86"/>
      <c r="K230" s="86"/>
      <c r="L230" s="86"/>
      <c r="M230" s="86"/>
      <c r="N230" s="86"/>
      <c r="O230" s="86"/>
      <c r="P230" s="86"/>
      <c r="Q230" s="86"/>
      <c r="R230" s="86"/>
      <c r="S230" s="86"/>
      <c r="T230" s="86"/>
      <c r="U230" s="86"/>
      <c r="V230" s="617"/>
      <c r="W230" s="3179"/>
      <c r="X230" s="3179"/>
      <c r="Y230" s="3179"/>
      <c r="Z230" s="3179"/>
      <c r="AA230" s="3179"/>
      <c r="AB230" s="3179"/>
      <c r="AC230" s="3179"/>
      <c r="AD230" s="3179"/>
      <c r="AE230" s="3179"/>
      <c r="AF230" s="3179"/>
      <c r="AG230" s="3179"/>
      <c r="AH230" s="3179"/>
      <c r="AI230" s="3179"/>
      <c r="AJ230" s="3179"/>
      <c r="AK230" s="3179"/>
      <c r="AL230" s="3179"/>
      <c r="AM230" s="3179"/>
      <c r="AN230" s="3181" t="s">
        <v>525</v>
      </c>
      <c r="AO230" s="3180"/>
      <c r="AP230" s="3180"/>
      <c r="AQ230" s="3180"/>
      <c r="AR230" s="3180"/>
      <c r="AS230" s="3180"/>
      <c r="AT230" s="3180"/>
      <c r="AU230" s="3180"/>
      <c r="AV230" s="3180"/>
      <c r="AW230" s="3180"/>
      <c r="AX230" s="3180"/>
      <c r="AY230" s="3180"/>
      <c r="AZ230" s="3180"/>
      <c r="BA230" s="3180"/>
      <c r="BB230" s="3180"/>
      <c r="BC230" s="3180"/>
      <c r="BD230" s="3180"/>
      <c r="BE230" s="3180"/>
      <c r="BF230" s="3181" t="s">
        <v>525</v>
      </c>
      <c r="BG230" s="86"/>
      <c r="BH230" s="86"/>
      <c r="BI230" s="86"/>
      <c r="BJ230" s="86"/>
      <c r="BK230" s="86"/>
      <c r="BL230" s="86"/>
      <c r="BM230" s="86"/>
      <c r="BN230" s="86"/>
      <c r="BO230" s="86"/>
      <c r="BP230" s="86"/>
      <c r="BQ230" s="86"/>
      <c r="BR230" s="86"/>
      <c r="BS230" s="86"/>
      <c r="BT230" s="86"/>
      <c r="BU230" s="86"/>
      <c r="BV230" s="86"/>
      <c r="BW230" s="86"/>
      <c r="BX230" s="86"/>
      <c r="BY230" s="86"/>
      <c r="BZ230" s="617"/>
    </row>
    <row r="231" spans="2:78" ht="17.100000000000001" customHeight="1" x14ac:dyDescent="0.25">
      <c r="B231" s="617"/>
      <c r="C231" s="86"/>
      <c r="D231" s="86"/>
      <c r="E231" s="86"/>
      <c r="F231" s="86"/>
      <c r="G231" s="86"/>
      <c r="H231" s="86"/>
      <c r="I231" s="86"/>
      <c r="J231" s="86"/>
      <c r="K231" s="86"/>
      <c r="L231" s="86"/>
      <c r="M231" s="86"/>
      <c r="N231" s="86"/>
      <c r="O231" s="86"/>
      <c r="P231" s="86"/>
      <c r="Q231" s="86"/>
      <c r="R231" s="86"/>
      <c r="S231" s="86"/>
      <c r="T231" s="86"/>
      <c r="U231" s="86"/>
      <c r="V231" s="617"/>
      <c r="W231" s="3179"/>
      <c r="X231" s="3179"/>
      <c r="Y231" s="3179"/>
      <c r="Z231" s="3179"/>
      <c r="AA231" s="3179"/>
      <c r="AB231" s="3179"/>
      <c r="AC231" s="3179"/>
      <c r="AD231" s="3179"/>
      <c r="AE231" s="3179"/>
      <c r="AF231" s="3179"/>
      <c r="AG231" s="3179"/>
      <c r="AH231" s="3179"/>
      <c r="AI231" s="3179"/>
      <c r="AJ231" s="3179"/>
      <c r="AK231" s="3179"/>
      <c r="AL231" s="3179"/>
      <c r="AM231" s="3179"/>
      <c r="AN231" s="3181" t="s">
        <v>525</v>
      </c>
      <c r="AO231" s="3180"/>
      <c r="AP231" s="3180"/>
      <c r="AQ231" s="3180"/>
      <c r="AR231" s="3180"/>
      <c r="AS231" s="3180"/>
      <c r="AT231" s="3180"/>
      <c r="AU231" s="3180"/>
      <c r="AV231" s="3180"/>
      <c r="AW231" s="3180"/>
      <c r="AX231" s="3180"/>
      <c r="AY231" s="3180"/>
      <c r="AZ231" s="3180"/>
      <c r="BA231" s="3180"/>
      <c r="BB231" s="3180"/>
      <c r="BC231" s="3180"/>
      <c r="BD231" s="3180"/>
      <c r="BE231" s="3180"/>
      <c r="BF231" s="3181" t="s">
        <v>525</v>
      </c>
      <c r="BG231" s="86"/>
      <c r="BH231" s="86"/>
      <c r="BI231" s="86"/>
      <c r="BJ231" s="86"/>
      <c r="BK231" s="86"/>
      <c r="BL231" s="86"/>
      <c r="BM231" s="86"/>
      <c r="BN231" s="86"/>
      <c r="BO231" s="86"/>
      <c r="BP231" s="86"/>
      <c r="BQ231" s="86"/>
      <c r="BR231" s="86"/>
      <c r="BS231" s="86"/>
      <c r="BT231" s="86"/>
      <c r="BU231" s="86"/>
      <c r="BV231" s="86"/>
      <c r="BW231" s="86"/>
      <c r="BX231" s="86"/>
      <c r="BY231" s="86"/>
      <c r="BZ231" s="617"/>
    </row>
    <row r="232" spans="2:78" ht="17.100000000000001" customHeight="1" x14ac:dyDescent="0.25">
      <c r="B232" s="617"/>
      <c r="C232" s="86"/>
      <c r="D232" s="86"/>
      <c r="E232" s="86"/>
      <c r="F232" s="86"/>
      <c r="G232" s="86"/>
      <c r="H232" s="86"/>
      <c r="I232" s="86"/>
      <c r="J232" s="86"/>
      <c r="K232" s="86"/>
      <c r="L232" s="86"/>
      <c r="M232" s="86"/>
      <c r="N232" s="86"/>
      <c r="O232" s="86"/>
      <c r="P232" s="86"/>
      <c r="Q232" s="86"/>
      <c r="R232" s="86"/>
      <c r="S232" s="86"/>
      <c r="T232" s="86"/>
      <c r="U232" s="86"/>
      <c r="V232" s="617"/>
      <c r="W232" s="3179"/>
      <c r="X232" s="3179"/>
      <c r="Y232" s="3179"/>
      <c r="Z232" s="3179"/>
      <c r="AA232" s="3179"/>
      <c r="AB232" s="3179"/>
      <c r="AC232" s="3179"/>
      <c r="AD232" s="3179"/>
      <c r="AE232" s="3179"/>
      <c r="AF232" s="3179"/>
      <c r="AG232" s="3179"/>
      <c r="AH232" s="3179"/>
      <c r="AI232" s="3179"/>
      <c r="AJ232" s="3179"/>
      <c r="AK232" s="3179"/>
      <c r="AL232" s="3179"/>
      <c r="AM232" s="3179"/>
      <c r="AN232" s="3181" t="s">
        <v>525</v>
      </c>
      <c r="AO232" s="3180"/>
      <c r="AP232" s="3180"/>
      <c r="AQ232" s="3180"/>
      <c r="AR232" s="3180"/>
      <c r="AS232" s="3180"/>
      <c r="AT232" s="3180"/>
      <c r="AU232" s="3180"/>
      <c r="AV232" s="3180"/>
      <c r="AW232" s="3180"/>
      <c r="AX232" s="3180"/>
      <c r="AY232" s="3180"/>
      <c r="AZ232" s="3180"/>
      <c r="BA232" s="3180"/>
      <c r="BB232" s="3180"/>
      <c r="BC232" s="3180"/>
      <c r="BD232" s="3180"/>
      <c r="BE232" s="3180"/>
      <c r="BF232" s="3181" t="s">
        <v>525</v>
      </c>
      <c r="BG232" s="86"/>
      <c r="BH232" s="86"/>
      <c r="BI232" s="86"/>
      <c r="BJ232" s="86"/>
      <c r="BK232" s="86"/>
      <c r="BL232" s="86"/>
      <c r="BM232" s="86"/>
      <c r="BN232" s="86"/>
      <c r="BO232" s="86"/>
      <c r="BP232" s="86"/>
      <c r="BQ232" s="86"/>
      <c r="BR232" s="86"/>
      <c r="BS232" s="86"/>
      <c r="BT232" s="86"/>
      <c r="BU232" s="86"/>
      <c r="BV232" s="86"/>
      <c r="BW232" s="86"/>
      <c r="BX232" s="86"/>
      <c r="BY232" s="86"/>
      <c r="BZ232" s="617"/>
    </row>
    <row r="233" spans="2:78" ht="17.100000000000001" customHeight="1" x14ac:dyDescent="0.25">
      <c r="B233" s="617"/>
      <c r="C233" s="86"/>
      <c r="D233" s="86"/>
      <c r="E233" s="86"/>
      <c r="F233" s="86"/>
      <c r="G233" s="86"/>
      <c r="H233" s="86"/>
      <c r="I233" s="86"/>
      <c r="J233" s="86"/>
      <c r="K233" s="86"/>
      <c r="L233" s="86"/>
      <c r="M233" s="86"/>
      <c r="N233" s="86"/>
      <c r="O233" s="86"/>
      <c r="P233" s="86"/>
      <c r="Q233" s="86"/>
      <c r="R233" s="86"/>
      <c r="S233" s="86"/>
      <c r="T233" s="86"/>
      <c r="U233" s="86"/>
      <c r="V233" s="617"/>
      <c r="W233" s="3179"/>
      <c r="X233" s="3179"/>
      <c r="Y233" s="3179"/>
      <c r="Z233" s="3179"/>
      <c r="AA233" s="3179"/>
      <c r="AB233" s="3179"/>
      <c r="AC233" s="3179"/>
      <c r="AD233" s="3179"/>
      <c r="AE233" s="3179"/>
      <c r="AF233" s="3179"/>
      <c r="AG233" s="3179"/>
      <c r="AH233" s="3179"/>
      <c r="AI233" s="3179"/>
      <c r="AJ233" s="3179"/>
      <c r="AK233" s="3179"/>
      <c r="AL233" s="3179"/>
      <c r="AM233" s="3179"/>
      <c r="AN233" s="3181" t="s">
        <v>525</v>
      </c>
      <c r="AO233" s="3180"/>
      <c r="AP233" s="3180"/>
      <c r="AQ233" s="3180"/>
      <c r="AR233" s="3180"/>
      <c r="AS233" s="3180"/>
      <c r="AT233" s="3180"/>
      <c r="AU233" s="3180"/>
      <c r="AV233" s="3180"/>
      <c r="AW233" s="3180"/>
      <c r="AX233" s="3180"/>
      <c r="AY233" s="3180"/>
      <c r="AZ233" s="3180"/>
      <c r="BA233" s="3180"/>
      <c r="BB233" s="3180"/>
      <c r="BC233" s="3180"/>
      <c r="BD233" s="3180"/>
      <c r="BE233" s="3180"/>
      <c r="BF233" s="3181" t="s">
        <v>525</v>
      </c>
      <c r="BG233" s="86"/>
      <c r="BH233" s="86"/>
      <c r="BI233" s="86"/>
      <c r="BJ233" s="86"/>
      <c r="BK233" s="86"/>
      <c r="BL233" s="86"/>
      <c r="BM233" s="86"/>
      <c r="BN233" s="86"/>
      <c r="BO233" s="86"/>
      <c r="BP233" s="86"/>
      <c r="BQ233" s="86"/>
      <c r="BR233" s="86"/>
      <c r="BS233" s="86"/>
      <c r="BT233" s="86"/>
      <c r="BU233" s="86"/>
      <c r="BV233" s="86"/>
      <c r="BW233" s="86"/>
      <c r="BX233" s="86"/>
      <c r="BY233" s="86"/>
      <c r="BZ233" s="617"/>
    </row>
    <row r="234" spans="2:78" ht="17.100000000000001" customHeight="1" x14ac:dyDescent="0.25">
      <c r="B234" s="617"/>
      <c r="C234" s="86"/>
      <c r="D234" s="86"/>
      <c r="E234" s="86"/>
      <c r="F234" s="86"/>
      <c r="G234" s="86"/>
      <c r="H234" s="86"/>
      <c r="I234" s="86"/>
      <c r="J234" s="86"/>
      <c r="K234" s="86"/>
      <c r="L234" s="86"/>
      <c r="M234" s="86"/>
      <c r="N234" s="86"/>
      <c r="O234" s="86"/>
      <c r="P234" s="86"/>
      <c r="Q234" s="86"/>
      <c r="R234" s="86"/>
      <c r="S234" s="86"/>
      <c r="T234" s="86"/>
      <c r="U234" s="86"/>
      <c r="V234" s="617"/>
      <c r="W234" s="3179"/>
      <c r="X234" s="3179"/>
      <c r="Y234" s="3179"/>
      <c r="Z234" s="3179"/>
      <c r="AA234" s="3179"/>
      <c r="AB234" s="3179"/>
      <c r="AC234" s="3179"/>
      <c r="AD234" s="3179"/>
      <c r="AE234" s="3179"/>
      <c r="AF234" s="3179"/>
      <c r="AG234" s="3179"/>
      <c r="AH234" s="3179"/>
      <c r="AI234" s="3179"/>
      <c r="AJ234" s="3179"/>
      <c r="AK234" s="3179"/>
      <c r="AL234" s="3179"/>
      <c r="AM234" s="3179"/>
      <c r="AN234" s="3181" t="s">
        <v>525</v>
      </c>
      <c r="AO234" s="3180"/>
      <c r="AP234" s="3180"/>
      <c r="AQ234" s="3180"/>
      <c r="AR234" s="3180"/>
      <c r="AS234" s="3180"/>
      <c r="AT234" s="3180"/>
      <c r="AU234" s="3180"/>
      <c r="AV234" s="3180"/>
      <c r="AW234" s="3180"/>
      <c r="AX234" s="3180"/>
      <c r="AY234" s="3180"/>
      <c r="AZ234" s="3180"/>
      <c r="BA234" s="3180"/>
      <c r="BB234" s="3180"/>
      <c r="BC234" s="3180"/>
      <c r="BD234" s="3180"/>
      <c r="BE234" s="3180"/>
      <c r="BF234" s="3181" t="s">
        <v>525</v>
      </c>
      <c r="BG234" s="86"/>
      <c r="BH234" s="86"/>
      <c r="BI234" s="86"/>
      <c r="BJ234" s="86"/>
      <c r="BK234" s="86"/>
      <c r="BL234" s="86"/>
      <c r="BM234" s="86"/>
      <c r="BN234" s="86"/>
      <c r="BO234" s="86"/>
      <c r="BP234" s="86"/>
      <c r="BQ234" s="86"/>
      <c r="BR234" s="86"/>
      <c r="BS234" s="86"/>
      <c r="BT234" s="86"/>
      <c r="BU234" s="86"/>
      <c r="BV234" s="86"/>
      <c r="BW234" s="86"/>
      <c r="BX234" s="86"/>
      <c r="BY234" s="86"/>
      <c r="BZ234" s="617"/>
    </row>
    <row r="235" spans="2:78" ht="17.100000000000001" customHeight="1" x14ac:dyDescent="0.25">
      <c r="B235" s="617"/>
      <c r="C235" s="86"/>
      <c r="D235" s="86"/>
      <c r="E235" s="86"/>
      <c r="F235" s="86"/>
      <c r="G235" s="86"/>
      <c r="H235" s="86"/>
      <c r="I235" s="86"/>
      <c r="J235" s="86"/>
      <c r="K235" s="86"/>
      <c r="L235" s="86"/>
      <c r="M235" s="86"/>
      <c r="N235" s="86"/>
      <c r="O235" s="86"/>
      <c r="P235" s="86"/>
      <c r="Q235" s="86"/>
      <c r="R235" s="86"/>
      <c r="S235" s="86"/>
      <c r="T235" s="86"/>
      <c r="U235" s="86"/>
      <c r="V235" s="617"/>
      <c r="W235" s="3179"/>
      <c r="X235" s="3179"/>
      <c r="Y235" s="3179"/>
      <c r="Z235" s="3179"/>
      <c r="AA235" s="3179"/>
      <c r="AB235" s="3179"/>
      <c r="AC235" s="3179"/>
      <c r="AD235" s="3179"/>
      <c r="AE235" s="3179"/>
      <c r="AF235" s="3179"/>
      <c r="AG235" s="3179"/>
      <c r="AH235" s="3179"/>
      <c r="AI235" s="3179"/>
      <c r="AJ235" s="3179"/>
      <c r="AK235" s="3179"/>
      <c r="AL235" s="3179"/>
      <c r="AM235" s="3179"/>
      <c r="AN235" s="3181" t="s">
        <v>525</v>
      </c>
      <c r="AO235" s="3180"/>
      <c r="AP235" s="3180"/>
      <c r="AQ235" s="3180"/>
      <c r="AR235" s="3180"/>
      <c r="AS235" s="3180"/>
      <c r="AT235" s="3180"/>
      <c r="AU235" s="3180"/>
      <c r="AV235" s="3180"/>
      <c r="AW235" s="3180"/>
      <c r="AX235" s="3180"/>
      <c r="AY235" s="3180"/>
      <c r="AZ235" s="3180"/>
      <c r="BA235" s="3180"/>
      <c r="BB235" s="3180"/>
      <c r="BC235" s="3180"/>
      <c r="BD235" s="3180"/>
      <c r="BE235" s="3180"/>
      <c r="BF235" s="3181" t="s">
        <v>525</v>
      </c>
      <c r="BG235" s="86"/>
      <c r="BH235" s="86"/>
      <c r="BI235" s="86"/>
      <c r="BJ235" s="86"/>
      <c r="BK235" s="86"/>
      <c r="BL235" s="86"/>
      <c r="BM235" s="86"/>
      <c r="BN235" s="86"/>
      <c r="BO235" s="86"/>
      <c r="BP235" s="86"/>
      <c r="BQ235" s="86"/>
      <c r="BR235" s="86"/>
      <c r="BS235" s="86"/>
      <c r="BT235" s="86"/>
      <c r="BU235" s="86"/>
      <c r="BV235" s="86"/>
      <c r="BW235" s="86"/>
      <c r="BX235" s="86"/>
      <c r="BY235" s="86"/>
      <c r="BZ235" s="617"/>
    </row>
    <row r="236" spans="2:78" ht="17.100000000000001" customHeight="1" x14ac:dyDescent="0.25">
      <c r="B236" s="617"/>
      <c r="C236" s="86"/>
      <c r="D236" s="86"/>
      <c r="E236" s="86"/>
      <c r="F236" s="86"/>
      <c r="G236" s="86"/>
      <c r="H236" s="86"/>
      <c r="I236" s="86"/>
      <c r="J236" s="86"/>
      <c r="K236" s="86"/>
      <c r="L236" s="86"/>
      <c r="M236" s="86"/>
      <c r="N236" s="86"/>
      <c r="O236" s="86"/>
      <c r="P236" s="86"/>
      <c r="Q236" s="86"/>
      <c r="R236" s="86"/>
      <c r="S236" s="86"/>
      <c r="T236" s="86"/>
      <c r="U236" s="86"/>
      <c r="V236" s="617"/>
      <c r="W236" s="3179"/>
      <c r="X236" s="3179"/>
      <c r="Y236" s="3179"/>
      <c r="Z236" s="3179"/>
      <c r="AA236" s="3179"/>
      <c r="AB236" s="3179"/>
      <c r="AC236" s="3179"/>
      <c r="AD236" s="3179"/>
      <c r="AE236" s="3179"/>
      <c r="AF236" s="3179"/>
      <c r="AG236" s="3179"/>
      <c r="AH236" s="3179"/>
      <c r="AI236" s="3179"/>
      <c r="AJ236" s="3179"/>
      <c r="AK236" s="3179"/>
      <c r="AL236" s="3179"/>
      <c r="AM236" s="3179"/>
      <c r="AN236" s="3181" t="s">
        <v>525</v>
      </c>
      <c r="AO236" s="3180"/>
      <c r="AP236" s="3180"/>
      <c r="AQ236" s="3180"/>
      <c r="AR236" s="3180"/>
      <c r="AS236" s="3180"/>
      <c r="AT236" s="3180"/>
      <c r="AU236" s="3180"/>
      <c r="AV236" s="3180"/>
      <c r="AW236" s="3180"/>
      <c r="AX236" s="3180"/>
      <c r="AY236" s="3180"/>
      <c r="AZ236" s="3180"/>
      <c r="BA236" s="3180"/>
      <c r="BB236" s="3180"/>
      <c r="BC236" s="3180"/>
      <c r="BD236" s="3180"/>
      <c r="BE236" s="3180"/>
      <c r="BF236" s="3181" t="s">
        <v>525</v>
      </c>
      <c r="BG236" s="86"/>
      <c r="BH236" s="86"/>
      <c r="BI236" s="86"/>
      <c r="BJ236" s="86"/>
      <c r="BK236" s="86"/>
      <c r="BL236" s="86"/>
      <c r="BM236" s="86"/>
      <c r="BN236" s="86"/>
      <c r="BO236" s="86"/>
      <c r="BP236" s="86"/>
      <c r="BQ236" s="86"/>
      <c r="BR236" s="86"/>
      <c r="BS236" s="86"/>
      <c r="BT236" s="86"/>
      <c r="BU236" s="86"/>
      <c r="BV236" s="86"/>
      <c r="BW236" s="86"/>
      <c r="BX236" s="86"/>
      <c r="BY236" s="86"/>
      <c r="BZ236" s="617"/>
    </row>
    <row r="237" spans="2:78" ht="17.100000000000001" customHeight="1" x14ac:dyDescent="0.25">
      <c r="B237" s="617"/>
      <c r="C237" s="86"/>
      <c r="D237" s="86"/>
      <c r="E237" s="86"/>
      <c r="F237" s="86"/>
      <c r="G237" s="86"/>
      <c r="H237" s="86"/>
      <c r="I237" s="86"/>
      <c r="J237" s="86"/>
      <c r="K237" s="86"/>
      <c r="L237" s="86"/>
      <c r="M237" s="86"/>
      <c r="N237" s="86"/>
      <c r="O237" s="86"/>
      <c r="P237" s="86"/>
      <c r="Q237" s="86"/>
      <c r="R237" s="86"/>
      <c r="S237" s="86"/>
      <c r="T237" s="86"/>
      <c r="U237" s="86"/>
      <c r="V237" s="617"/>
      <c r="W237" s="3179"/>
      <c r="X237" s="3179"/>
      <c r="Y237" s="3179"/>
      <c r="Z237" s="3179"/>
      <c r="AA237" s="3179"/>
      <c r="AB237" s="3179"/>
      <c r="AC237" s="3179"/>
      <c r="AD237" s="3179"/>
      <c r="AE237" s="3179"/>
      <c r="AF237" s="3179"/>
      <c r="AG237" s="3179"/>
      <c r="AH237" s="3179"/>
      <c r="AI237" s="3179"/>
      <c r="AJ237" s="3179"/>
      <c r="AK237" s="3179"/>
      <c r="AL237" s="3179"/>
      <c r="AM237" s="3179"/>
      <c r="AN237" s="3181" t="s">
        <v>525</v>
      </c>
      <c r="AO237" s="3180"/>
      <c r="AP237" s="3180"/>
      <c r="AQ237" s="3180"/>
      <c r="AR237" s="3180"/>
      <c r="AS237" s="3180"/>
      <c r="AT237" s="3180"/>
      <c r="AU237" s="3180"/>
      <c r="AV237" s="3180"/>
      <c r="AW237" s="3180"/>
      <c r="AX237" s="3180"/>
      <c r="AY237" s="3180"/>
      <c r="AZ237" s="3180"/>
      <c r="BA237" s="3180"/>
      <c r="BB237" s="3180"/>
      <c r="BC237" s="3180"/>
      <c r="BD237" s="3180"/>
      <c r="BE237" s="3180"/>
      <c r="BF237" s="3181" t="s">
        <v>525</v>
      </c>
      <c r="BG237" s="86"/>
      <c r="BH237" s="86"/>
      <c r="BI237" s="86"/>
      <c r="BJ237" s="86"/>
      <c r="BK237" s="86"/>
      <c r="BL237" s="86"/>
      <c r="BM237" s="86"/>
      <c r="BN237" s="86"/>
      <c r="BO237" s="86"/>
      <c r="BP237" s="86"/>
      <c r="BQ237" s="86"/>
      <c r="BR237" s="86"/>
      <c r="BS237" s="86"/>
      <c r="BT237" s="86"/>
      <c r="BU237" s="86"/>
      <c r="BV237" s="86"/>
      <c r="BW237" s="86"/>
      <c r="BX237" s="86"/>
      <c r="BY237" s="86"/>
      <c r="BZ237" s="617"/>
    </row>
    <row r="238" spans="2:78" ht="17.100000000000001" customHeight="1" x14ac:dyDescent="0.25">
      <c r="B238" s="617"/>
      <c r="C238" s="86"/>
      <c r="D238" s="86"/>
      <c r="E238" s="86"/>
      <c r="F238" s="86"/>
      <c r="G238" s="86"/>
      <c r="H238" s="86"/>
      <c r="I238" s="86"/>
      <c r="J238" s="86"/>
      <c r="K238" s="86"/>
      <c r="L238" s="86"/>
      <c r="M238" s="86"/>
      <c r="N238" s="86"/>
      <c r="O238" s="86"/>
      <c r="P238" s="86"/>
      <c r="Q238" s="86"/>
      <c r="R238" s="86"/>
      <c r="S238" s="86"/>
      <c r="T238" s="86"/>
      <c r="U238" s="86"/>
      <c r="V238" s="617"/>
      <c r="W238" s="3179"/>
      <c r="X238" s="3179"/>
      <c r="Y238" s="3179"/>
      <c r="Z238" s="3179"/>
      <c r="AA238" s="3179"/>
      <c r="AB238" s="3179"/>
      <c r="AC238" s="3179"/>
      <c r="AD238" s="3179"/>
      <c r="AE238" s="3179"/>
      <c r="AF238" s="3179"/>
      <c r="AG238" s="3179"/>
      <c r="AH238" s="3179"/>
      <c r="AI238" s="3179"/>
      <c r="AJ238" s="3179"/>
      <c r="AK238" s="3179"/>
      <c r="AL238" s="3179"/>
      <c r="AM238" s="3179"/>
      <c r="AN238" s="3181" t="s">
        <v>525</v>
      </c>
      <c r="AO238" s="3180"/>
      <c r="AP238" s="3180"/>
      <c r="AQ238" s="3180"/>
      <c r="AR238" s="3180"/>
      <c r="AS238" s="3180"/>
      <c r="AT238" s="3180"/>
      <c r="AU238" s="3180"/>
      <c r="AV238" s="3180"/>
      <c r="AW238" s="3180"/>
      <c r="AX238" s="3180"/>
      <c r="AY238" s="3180"/>
      <c r="AZ238" s="3180"/>
      <c r="BA238" s="3180"/>
      <c r="BB238" s="3180"/>
      <c r="BC238" s="3180"/>
      <c r="BD238" s="3180"/>
      <c r="BE238" s="3180"/>
      <c r="BF238" s="3181" t="s">
        <v>525</v>
      </c>
      <c r="BG238" s="86"/>
      <c r="BH238" s="86"/>
      <c r="BI238" s="86"/>
      <c r="BJ238" s="86"/>
      <c r="BK238" s="86"/>
      <c r="BL238" s="86"/>
      <c r="BM238" s="86"/>
      <c r="BN238" s="86"/>
      <c r="BO238" s="86"/>
      <c r="BP238" s="86"/>
      <c r="BQ238" s="86"/>
      <c r="BR238" s="86"/>
      <c r="BS238" s="86"/>
      <c r="BT238" s="86"/>
      <c r="BU238" s="86"/>
      <c r="BV238" s="86"/>
      <c r="BW238" s="86"/>
      <c r="BX238" s="86"/>
      <c r="BY238" s="86"/>
      <c r="BZ238" s="617"/>
    </row>
    <row r="239" spans="2:78" ht="17.100000000000001" customHeight="1" x14ac:dyDescent="0.25">
      <c r="B239" s="617"/>
      <c r="C239" s="86"/>
      <c r="D239" s="86"/>
      <c r="E239" s="86"/>
      <c r="F239" s="86"/>
      <c r="G239" s="86"/>
      <c r="H239" s="86"/>
      <c r="I239" s="86"/>
      <c r="J239" s="86"/>
      <c r="K239" s="86"/>
      <c r="L239" s="86"/>
      <c r="M239" s="86"/>
      <c r="N239" s="86"/>
      <c r="O239" s="86"/>
      <c r="P239" s="86"/>
      <c r="Q239" s="86"/>
      <c r="R239" s="86"/>
      <c r="S239" s="86"/>
      <c r="T239" s="86"/>
      <c r="U239" s="86"/>
      <c r="V239" s="617"/>
      <c r="W239" s="3179"/>
      <c r="X239" s="3179"/>
      <c r="Y239" s="3179"/>
      <c r="Z239" s="3179"/>
      <c r="AA239" s="3179"/>
      <c r="AB239" s="3179"/>
      <c r="AC239" s="3179"/>
      <c r="AD239" s="3179"/>
      <c r="AE239" s="3179"/>
      <c r="AF239" s="3179"/>
      <c r="AG239" s="3179"/>
      <c r="AH239" s="3179"/>
      <c r="AI239" s="3179"/>
      <c r="AJ239" s="3179"/>
      <c r="AK239" s="3179"/>
      <c r="AL239" s="3179"/>
      <c r="AM239" s="3179"/>
      <c r="AN239" s="3181" t="s">
        <v>525</v>
      </c>
      <c r="AO239" s="3180"/>
      <c r="AP239" s="3180"/>
      <c r="AQ239" s="3180"/>
      <c r="AR239" s="3180"/>
      <c r="AS239" s="3180"/>
      <c r="AT239" s="3180"/>
      <c r="AU239" s="3180"/>
      <c r="AV239" s="3180"/>
      <c r="AW239" s="3180"/>
      <c r="AX239" s="3180"/>
      <c r="AY239" s="3180"/>
      <c r="AZ239" s="3180"/>
      <c r="BA239" s="3180"/>
      <c r="BB239" s="3180"/>
      <c r="BC239" s="3180"/>
      <c r="BD239" s="3180"/>
      <c r="BE239" s="3180"/>
      <c r="BF239" s="3181" t="s">
        <v>525</v>
      </c>
      <c r="BG239" s="86"/>
      <c r="BH239" s="86"/>
      <c r="BI239" s="86"/>
      <c r="BJ239" s="86"/>
      <c r="BK239" s="86"/>
      <c r="BL239" s="86"/>
      <c r="BM239" s="86"/>
      <c r="BN239" s="86"/>
      <c r="BO239" s="86"/>
      <c r="BP239" s="86"/>
      <c r="BQ239" s="86"/>
      <c r="BR239" s="86"/>
      <c r="BS239" s="86"/>
      <c r="BT239" s="86"/>
      <c r="BU239" s="86"/>
      <c r="BV239" s="86"/>
      <c r="BW239" s="86"/>
      <c r="BX239" s="86"/>
      <c r="BY239" s="86"/>
      <c r="BZ239" s="617"/>
    </row>
    <row r="240" spans="2:78" ht="17.100000000000001" customHeight="1" x14ac:dyDescent="0.25">
      <c r="B240" s="617"/>
      <c r="C240" s="86"/>
      <c r="D240" s="86"/>
      <c r="E240" s="86"/>
      <c r="F240" s="86"/>
      <c r="G240" s="86"/>
      <c r="H240" s="86"/>
      <c r="I240" s="86"/>
      <c r="J240" s="86"/>
      <c r="K240" s="86"/>
      <c r="L240" s="86"/>
      <c r="M240" s="86"/>
      <c r="N240" s="86"/>
      <c r="O240" s="86"/>
      <c r="P240" s="86"/>
      <c r="Q240" s="86"/>
      <c r="R240" s="86"/>
      <c r="S240" s="86"/>
      <c r="T240" s="86"/>
      <c r="U240" s="86"/>
      <c r="V240" s="617"/>
      <c r="W240" s="3179"/>
      <c r="X240" s="3179"/>
      <c r="Y240" s="3179"/>
      <c r="Z240" s="3179"/>
      <c r="AA240" s="3179"/>
      <c r="AB240" s="3179"/>
      <c r="AC240" s="3179"/>
      <c r="AD240" s="3179"/>
      <c r="AE240" s="3179"/>
      <c r="AF240" s="3179"/>
      <c r="AG240" s="3179"/>
      <c r="AH240" s="3179"/>
      <c r="AI240" s="3179"/>
      <c r="AJ240" s="3179"/>
      <c r="AK240" s="3179"/>
      <c r="AL240" s="3179"/>
      <c r="AM240" s="3179"/>
      <c r="AN240" s="3181" t="s">
        <v>525</v>
      </c>
      <c r="AO240" s="3180"/>
      <c r="AP240" s="3180"/>
      <c r="AQ240" s="3180"/>
      <c r="AR240" s="3180"/>
      <c r="AS240" s="3180"/>
      <c r="AT240" s="3180"/>
      <c r="AU240" s="3180"/>
      <c r="AV240" s="3180"/>
      <c r="AW240" s="3180"/>
      <c r="AX240" s="3180"/>
      <c r="AY240" s="3180"/>
      <c r="AZ240" s="3180"/>
      <c r="BA240" s="3180"/>
      <c r="BB240" s="3180"/>
      <c r="BC240" s="3180"/>
      <c r="BD240" s="3180"/>
      <c r="BE240" s="3180"/>
      <c r="BF240" s="3181" t="s">
        <v>525</v>
      </c>
      <c r="BG240" s="86"/>
      <c r="BH240" s="86"/>
      <c r="BI240" s="86"/>
      <c r="BJ240" s="86"/>
      <c r="BK240" s="86"/>
      <c r="BL240" s="86"/>
      <c r="BM240" s="86"/>
      <c r="BN240" s="86"/>
      <c r="BO240" s="86"/>
      <c r="BP240" s="86"/>
      <c r="BQ240" s="86"/>
      <c r="BR240" s="86"/>
      <c r="BS240" s="86"/>
      <c r="BT240" s="86"/>
      <c r="BU240" s="86"/>
      <c r="BV240" s="86"/>
      <c r="BW240" s="86"/>
      <c r="BX240" s="86"/>
      <c r="BY240" s="86"/>
      <c r="BZ240" s="617"/>
    </row>
    <row r="241" spans="2:78" ht="17.100000000000001" customHeight="1" x14ac:dyDescent="0.25">
      <c r="B241" s="617"/>
      <c r="C241" s="86"/>
      <c r="D241" s="86"/>
      <c r="E241" s="86"/>
      <c r="F241" s="86"/>
      <c r="G241" s="86"/>
      <c r="H241" s="86"/>
      <c r="I241" s="86"/>
      <c r="J241" s="86"/>
      <c r="K241" s="86"/>
      <c r="L241" s="86"/>
      <c r="M241" s="86"/>
      <c r="N241" s="86"/>
      <c r="O241" s="86"/>
      <c r="P241" s="86"/>
      <c r="Q241" s="86"/>
      <c r="R241" s="86"/>
      <c r="S241" s="86"/>
      <c r="T241" s="86"/>
      <c r="U241" s="86"/>
      <c r="V241" s="617"/>
      <c r="W241" s="3179"/>
      <c r="X241" s="3179"/>
      <c r="Y241" s="3179"/>
      <c r="Z241" s="3179"/>
      <c r="AA241" s="3179"/>
      <c r="AB241" s="3179"/>
      <c r="AC241" s="3179"/>
      <c r="AD241" s="3179"/>
      <c r="AE241" s="3179"/>
      <c r="AF241" s="3179"/>
      <c r="AG241" s="3179"/>
      <c r="AH241" s="3179"/>
      <c r="AI241" s="3179"/>
      <c r="AJ241" s="3179"/>
      <c r="AK241" s="3179"/>
      <c r="AL241" s="3179"/>
      <c r="AM241" s="3179"/>
      <c r="AN241" s="3181" t="s">
        <v>525</v>
      </c>
      <c r="AO241" s="3180"/>
      <c r="AP241" s="3180"/>
      <c r="AQ241" s="3180"/>
      <c r="AR241" s="3180"/>
      <c r="AS241" s="3180"/>
      <c r="AT241" s="3180"/>
      <c r="AU241" s="3180"/>
      <c r="AV241" s="3180"/>
      <c r="AW241" s="3180"/>
      <c r="AX241" s="3180"/>
      <c r="AY241" s="3180"/>
      <c r="AZ241" s="3180"/>
      <c r="BA241" s="3180"/>
      <c r="BB241" s="3180"/>
      <c r="BC241" s="3180"/>
      <c r="BD241" s="3180"/>
      <c r="BE241" s="3180"/>
      <c r="BF241" s="3181" t="s">
        <v>525</v>
      </c>
      <c r="BG241" s="86"/>
      <c r="BH241" s="86"/>
      <c r="BI241" s="86"/>
      <c r="BJ241" s="86"/>
      <c r="BK241" s="86"/>
      <c r="BL241" s="86"/>
      <c r="BM241" s="86"/>
      <c r="BN241" s="86"/>
      <c r="BO241" s="86"/>
      <c r="BP241" s="86"/>
      <c r="BQ241" s="86"/>
      <c r="BR241" s="86"/>
      <c r="BS241" s="86"/>
      <c r="BT241" s="86"/>
      <c r="BU241" s="86"/>
      <c r="BV241" s="86"/>
      <c r="BW241" s="86"/>
      <c r="BX241" s="86"/>
      <c r="BY241" s="86"/>
      <c r="BZ241" s="617"/>
    </row>
    <row r="242" spans="2:78" ht="17.100000000000001" customHeight="1" x14ac:dyDescent="0.25">
      <c r="B242" s="617"/>
      <c r="C242" s="86"/>
      <c r="D242" s="86"/>
      <c r="E242" s="86"/>
      <c r="F242" s="86"/>
      <c r="G242" s="86"/>
      <c r="H242" s="86"/>
      <c r="I242" s="86"/>
      <c r="J242" s="86"/>
      <c r="K242" s="86"/>
      <c r="L242" s="86"/>
      <c r="M242" s="86"/>
      <c r="N242" s="86"/>
      <c r="O242" s="86"/>
      <c r="P242" s="86"/>
      <c r="Q242" s="86"/>
      <c r="R242" s="86"/>
      <c r="S242" s="86"/>
      <c r="T242" s="86"/>
      <c r="U242" s="86"/>
      <c r="V242" s="617"/>
      <c r="W242" s="3179"/>
      <c r="X242" s="3179"/>
      <c r="Y242" s="3179"/>
      <c r="Z242" s="3179"/>
      <c r="AA242" s="3179"/>
      <c r="AB242" s="3179"/>
      <c r="AC242" s="3179"/>
      <c r="AD242" s="3179"/>
      <c r="AE242" s="3179"/>
      <c r="AF242" s="3179"/>
      <c r="AG242" s="3179"/>
      <c r="AH242" s="3179"/>
      <c r="AI242" s="3179"/>
      <c r="AJ242" s="3179"/>
      <c r="AK242" s="3179"/>
      <c r="AL242" s="3179"/>
      <c r="AM242" s="3179"/>
      <c r="AN242" s="3181" t="s">
        <v>525</v>
      </c>
      <c r="AO242" s="3180"/>
      <c r="AP242" s="3180"/>
      <c r="AQ242" s="3180"/>
      <c r="AR242" s="3180"/>
      <c r="AS242" s="3180"/>
      <c r="AT242" s="3180"/>
      <c r="AU242" s="3180"/>
      <c r="AV242" s="3180"/>
      <c r="AW242" s="3180"/>
      <c r="AX242" s="3180"/>
      <c r="AY242" s="3180"/>
      <c r="AZ242" s="3180"/>
      <c r="BA242" s="3180"/>
      <c r="BB242" s="3180"/>
      <c r="BC242" s="3180"/>
      <c r="BD242" s="3180"/>
      <c r="BE242" s="3180"/>
      <c r="BF242" s="3181" t="s">
        <v>525</v>
      </c>
      <c r="BG242" s="86"/>
      <c r="BH242" s="86"/>
      <c r="BI242" s="86"/>
      <c r="BJ242" s="86"/>
      <c r="BK242" s="86"/>
      <c r="BL242" s="86"/>
      <c r="BM242" s="86"/>
      <c r="BN242" s="86"/>
      <c r="BO242" s="86"/>
      <c r="BP242" s="86"/>
      <c r="BQ242" s="86"/>
      <c r="BR242" s="86"/>
      <c r="BS242" s="86"/>
      <c r="BT242" s="86"/>
      <c r="BU242" s="86"/>
      <c r="BV242" s="86"/>
      <c r="BW242" s="86"/>
      <c r="BX242" s="86"/>
      <c r="BY242" s="86"/>
      <c r="BZ242" s="617"/>
    </row>
    <row r="243" spans="2:78" ht="17.100000000000001" customHeight="1" x14ac:dyDescent="0.15">
      <c r="B243" s="617"/>
      <c r="C243" s="617"/>
      <c r="D243" s="617"/>
      <c r="E243" s="617"/>
      <c r="F243" s="617"/>
      <c r="G243" s="617"/>
      <c r="H243" s="617"/>
      <c r="I243" s="617"/>
      <c r="J243" s="617"/>
      <c r="K243" s="617"/>
      <c r="L243" s="617"/>
      <c r="M243" s="617"/>
      <c r="N243" s="617"/>
      <c r="O243" s="617"/>
      <c r="P243" s="617"/>
      <c r="Q243" s="617"/>
      <c r="R243" s="617"/>
      <c r="S243" s="617"/>
      <c r="T243" s="617"/>
      <c r="U243" s="617"/>
      <c r="V243" s="617"/>
      <c r="W243" s="617"/>
      <c r="X243" s="617"/>
      <c r="Y243" s="617"/>
      <c r="Z243" s="617"/>
      <c r="AA243" s="617"/>
      <c r="AB243" s="617"/>
      <c r="AC243" s="617"/>
      <c r="AD243" s="617"/>
      <c r="AE243" s="617"/>
      <c r="AF243" s="617"/>
      <c r="AG243" s="617"/>
      <c r="AH243" s="617"/>
      <c r="AI243" s="617"/>
      <c r="AJ243" s="617"/>
      <c r="AK243" s="617"/>
      <c r="AL243" s="617"/>
      <c r="AM243" s="617"/>
      <c r="AN243" s="617"/>
      <c r="AO243" s="617"/>
      <c r="AP243" s="617"/>
      <c r="AQ243" s="617"/>
      <c r="AR243" s="617"/>
      <c r="AS243" s="617"/>
      <c r="AT243" s="617"/>
      <c r="AU243" s="617"/>
      <c r="AV243" s="617"/>
      <c r="AW243" s="617"/>
      <c r="AX243" s="617"/>
      <c r="AY243" s="617"/>
      <c r="AZ243" s="617"/>
      <c r="BA243" s="617"/>
      <c r="BB243" s="617"/>
      <c r="BC243" s="617"/>
      <c r="BD243" s="617"/>
      <c r="BE243" s="617"/>
      <c r="BF243" s="617"/>
      <c r="BG243" s="617"/>
      <c r="BH243" s="617"/>
      <c r="BI243" s="617"/>
      <c r="BJ243" s="617"/>
      <c r="BK243" s="617"/>
      <c r="BL243" s="617"/>
      <c r="BM243" s="617"/>
      <c r="BN243" s="617"/>
      <c r="BO243" s="617"/>
      <c r="BP243" s="617"/>
      <c r="BQ243" s="617"/>
      <c r="BR243" s="617"/>
      <c r="BS243" s="617"/>
      <c r="BT243" s="617"/>
      <c r="BU243" s="617"/>
      <c r="BV243" s="617"/>
      <c r="BW243" s="617"/>
      <c r="BX243" s="617"/>
      <c r="BY243" s="617"/>
      <c r="BZ243" s="617"/>
    </row>
  </sheetData>
  <sheetProtection sheet="1" scenarios="1"/>
  <mergeCells count="13">
    <mergeCell ref="BG78:BY79"/>
    <mergeCell ref="BA42:BD43"/>
    <mergeCell ref="X42:AA43"/>
    <mergeCell ref="C42:U43"/>
    <mergeCell ref="BG42:BY43"/>
    <mergeCell ref="C58:U59"/>
    <mergeCell ref="AD42:AX43"/>
    <mergeCell ref="C228:U229"/>
    <mergeCell ref="F3:H36"/>
    <mergeCell ref="C3:E22"/>
    <mergeCell ref="I3:K22"/>
    <mergeCell ref="L3:N22"/>
    <mergeCell ref="Q3:S36"/>
  </mergeCells>
  <phoneticPr fontId="39" type="noConversion"/>
  <dataValidations xWindow="279" yWindow="490" count="11">
    <dataValidation allowBlank="1" showInputMessage="1" showErrorMessage="1" promptTitle="Templates" prompt="Click on a template shape from below, copy and paste it to then use.  " sqref="AM2:AN2 V2" xr:uid="{9824EC9A-3C07-47BC-81AB-87D94A5A21DB}"/>
    <dataValidation allowBlank="1" showInputMessage="1" showErrorMessage="1" promptTitle="Logs" prompt="Place completed logs in the area to the right. " sqref="Q3:S36" xr:uid="{3020DD8E-DFAF-43DA-B18C-7E269B3E6276}"/>
    <dataValidation allowBlank="1" showInputMessage="1" showErrorMessage="1" promptTitle="Writing Desk" prompt="Black grid = area for typing out logs._x000a_White grid = area for doing guided logs._x000a__x000a_• Place blank template at the top of the left or right grid below._x000a_• Click inside the shape and begin writing. " sqref="W42:AC43 AD42 AY42:BE43" xr:uid="{5F2A333A-E4F5-4B09-8147-721B903860FE}"/>
    <dataValidation allowBlank="1" showInputMessage="1" showErrorMessage="1" promptTitle="Following Up" prompt="Retain previous logs for reflection._x000a__x000a_• Place here completed logs from the previous month/s._x000a_• Re-read and reflect on these logs._x000a_• Write a post-reflection log if desired._x000a_• Delete the old logs once finished." sqref="BG78:BY79" xr:uid="{901DF47F-214B-44CA-BB8D-986C7E712F6A}"/>
    <dataValidation allowBlank="1" showInputMessage="1" showErrorMessage="1" promptTitle="Following On" prompt="Guided journalling templates to work through next._x000a__x000a_• Copy and paste the shape templates here, ready to use next." sqref="BG42:BY43" xr:uid="{299DBEC9-0D5A-41FC-9A12-973E28E60214}"/>
    <dataValidation allowBlank="1" showInputMessage="1" showErrorMessage="1" promptTitle=" LOGS" prompt="This is a space for journalling._x000a_ _x000a_Here you can:_x000a_• enter personal logs on thoughts or about plans/ progress_x000a_• do journalling exercises or create new ones_x000a_• reflect on previous logs_x000a_ _x000a_Select individual cells for specific information and instructions._x000a_" sqref="CA1" xr:uid="{5AD2FCD2-5D24-4DED-AEC7-BDB74110BCF0}"/>
    <dataValidation allowBlank="1" showInputMessage="1" showErrorMessage="1" promptTitle=" HUD = Overview" prompt="[LOGS = Journal]          PLANS = Calendar_x000a_ NOTES = Ideas            TIMINGS = Schedule_x000a__x000a_ MISSIONS = Tasks_x000a_ ACTIONS = Input_x000a_ PROGRESS = Output_x000a_ JOURNEY = Status_x000a__x000a_ BOUNTY = Rewards   MONEY = Finance_x000a_ VICTORY = Success    RESPITE = Media_x000a_ GUIDE = History" sqref="A1" xr:uid="{F4839824-9A46-4993-BD02-8A8FBAFB0248}"/>
    <dataValidation allowBlank="1" showInputMessage="1" showErrorMessage="1" promptTitle="New Templates" prompt="Use the blank templates to create new journalling questions or exercises to add to the guided templates above." sqref="C228:U229" xr:uid="{2851A29E-A8D3-4DDF-A1F5-32DE106CC043}"/>
    <dataValidation allowBlank="1" showInputMessage="1" showErrorMessage="1" promptTitle="Blank Templates" prompt="Black = new log entry_x000a_Dark grey = written log details_x000a_Light grey = audiolog details_x000a__x000a_• Click on a journalling template below._x000a_• Copy and paste the shape to the writing desk area._x000a_• Enter the day, date and time._x000a_• Start journalling._x000a_• Enter a title." sqref="C42:U43" xr:uid="{EF967DA9-0A88-4134-BB79-2EEC4BAE17AB}"/>
    <dataValidation allowBlank="1" showInputMessage="1" showErrorMessage="1" promptTitle="Guided Templates" prompt="Template journalling exercises or prompt questions._x000a__x000a_• Choose and click on one of the guides._x000a_• Copy and paste the shape to the writing desk area._x000a_• Enter the day, date and time._x000a_• Answer the questions/ follow the instructions." sqref="C58:U59" xr:uid="{A364ED01-C166-4AAC-900D-FD240071211F}"/>
    <dataValidation type="list" allowBlank="1" showInputMessage="1" showErrorMessage="1" prompt="Refresh current time" sqref="AN45" xr:uid="{8FCF704E-C8CB-4129-85F4-2C4AFE1D0ADC}">
      <formula1>$CC$44</formula1>
    </dataValidation>
  </dataValidations>
  <printOptions horizontalCentered="1" verticalCentered="1" gridLines="1"/>
  <pageMargins left="0.39370078740157483" right="0.39370078740157483" top="0.39370078740157483" bottom="0.39370078740157483" header="0" footer="0"/>
  <pageSetup paperSize="9" scale="50" fitToWidth="0" fitToHeight="0" orientation="landscape" r:id="rId1"/>
  <headerFooter>
    <oddHeader>&amp;C&amp;"Lucida Console,Bold"GAMEPLAN</oddHeader>
  </headerFooter>
  <drawing r:id="rId2"/>
  <extLst>
    <ext xmlns:x14="http://schemas.microsoft.com/office/spreadsheetml/2009/9/main" uri="{78C0D931-6437-407d-A8EE-F0AAD7539E65}">
      <x14:conditionalFormattings>
        <x14:conditionalFormatting xmlns:xm="http://schemas.microsoft.com/office/excel/2006/main">
          <x14:cfRule type="expression" priority="73" id="{F74C13F2-6662-44F9-A12C-AB12904F9E82}">
            <xm:f>PLANS!$F$3="JUNE"</xm:f>
            <x14:dxf>
              <fill>
                <patternFill>
                  <bgColor rgb="FFFFC000"/>
                </patternFill>
              </fill>
            </x14:dxf>
          </x14:cfRule>
          <x14:cfRule type="expression" priority="74" id="{BD146CA2-2B25-4D65-9484-BCCADBA4A490}">
            <xm:f>PLANS!$F$3="MAY"</xm:f>
            <x14:dxf>
              <fill>
                <patternFill>
                  <bgColor rgb="FFEBE600"/>
                </patternFill>
              </fill>
            </x14:dxf>
          </x14:cfRule>
          <x14:cfRule type="expression" priority="75" id="{883B0FFE-49C9-4952-9D48-78ABFCDDC527}">
            <xm:f>PLANS!$F$3="APRIL"</xm:f>
            <x14:dxf>
              <fill>
                <patternFill>
                  <bgColor rgb="FF92D050"/>
                </patternFill>
              </fill>
            </x14:dxf>
          </x14:cfRule>
          <x14:cfRule type="expression" priority="76" id="{1C005DF6-CF9C-4EE4-AEE9-15A7222678D6}">
            <xm:f>PLANS!$F$3="MARCH"</xm:f>
            <x14:dxf>
              <fill>
                <patternFill>
                  <bgColor rgb="FF00B050"/>
                </patternFill>
              </fill>
            </x14:dxf>
          </x14:cfRule>
          <x14:cfRule type="expression" priority="77" id="{8F12E308-EDFE-45F8-9643-24A4F080C10C}">
            <xm:f>PLANS!$F$3="FEBRUARY"</xm:f>
            <x14:dxf>
              <fill>
                <patternFill>
                  <bgColor rgb="FF00B0F0"/>
                </patternFill>
              </fill>
            </x14:dxf>
          </x14:cfRule>
          <x14:cfRule type="expression" priority="78" id="{70A03C96-1057-412A-8AD7-891ED1BDB1A8}">
            <xm:f>PLANS!$F$3="JANUARY"</xm:f>
            <x14:dxf>
              <fill>
                <patternFill>
                  <bgColor rgb="FF0070C0"/>
                </patternFill>
              </fill>
            </x14:dxf>
          </x14:cfRule>
          <x14:cfRule type="expression" priority="79" id="{211F18C1-6AFB-487F-A61A-D783803E1309}">
            <xm:f>PLANS!$F$3="DECEMBER"</xm:f>
            <x14:dxf>
              <fill>
                <patternFill>
                  <bgColor rgb="FF6600CC"/>
                </patternFill>
              </fill>
            </x14:dxf>
          </x14:cfRule>
          <x14:cfRule type="expression" priority="80" id="{E1AC94EA-A92B-41DB-A070-2D84142ACD84}">
            <xm:f>PLANS!$F$3="NOVEMBER"</xm:f>
            <x14:dxf>
              <fill>
                <patternFill>
                  <bgColor rgb="FF9900CC"/>
                </patternFill>
              </fill>
            </x14:dxf>
          </x14:cfRule>
          <x14:cfRule type="expression" priority="81" id="{76268408-A6E2-437C-98A6-8E0025BD8D9C}">
            <xm:f>PLANS!$F$3="OCTOBER"</xm:f>
            <x14:dxf>
              <fill>
                <patternFill>
                  <bgColor rgb="FFFF00FF"/>
                </patternFill>
              </fill>
            </x14:dxf>
          </x14:cfRule>
          <x14:cfRule type="expression" priority="82" id="{357D0A1A-497E-4A63-BE8B-25E3B5A4952A}">
            <xm:f>PLANS!$F$3="SEPTEMBER"</xm:f>
            <x14:dxf>
              <fill>
                <patternFill>
                  <bgColor rgb="FFFF0000"/>
                </patternFill>
              </fill>
            </x14:dxf>
          </x14:cfRule>
          <x14:cfRule type="expression" priority="83" id="{B365DEE3-69C1-476D-A59C-8FC739474C14}">
            <xm:f>PLANS!$F$3="AUGUST"</xm:f>
            <x14:dxf>
              <fill>
                <patternFill>
                  <bgColor rgb="FFC00000"/>
                </patternFill>
              </fill>
            </x14:dxf>
          </x14:cfRule>
          <x14:cfRule type="expression" priority="84" id="{01AACB7C-03DA-4830-A24C-DA9EE2D18FAF}">
            <xm:f>PLANS!$F$3="JULY"</xm:f>
            <x14:dxf>
              <fill>
                <patternFill>
                  <bgColor rgb="FFFF6600"/>
                </patternFill>
              </fill>
            </x14:dxf>
          </x14:cfRule>
          <xm:sqref>B2:B37</xm:sqref>
        </x14:conditionalFormatting>
        <x14:conditionalFormatting xmlns:xm="http://schemas.microsoft.com/office/excel/2006/main">
          <x14:cfRule type="expression" priority="49" id="{4BF1EBAF-3C39-4134-B2ED-6822A006F8DE}">
            <xm:f>PLANS!$F$3="JUNE"</xm:f>
            <x14:dxf>
              <fill>
                <patternFill>
                  <bgColor rgb="FFFFC000"/>
                </patternFill>
              </fill>
            </x14:dxf>
          </x14:cfRule>
          <x14:cfRule type="expression" priority="50" id="{ED08111B-2A14-414D-8FE2-E50958085611}">
            <xm:f>PLANS!$F$3="MAY"</xm:f>
            <x14:dxf>
              <fill>
                <patternFill>
                  <bgColor rgb="FFEBE600"/>
                </patternFill>
              </fill>
            </x14:dxf>
          </x14:cfRule>
          <x14:cfRule type="expression" priority="51" id="{89E414DE-F5E0-4D68-BDFC-363D1CA3A2C2}">
            <xm:f>PLANS!$F$3="APRIL"</xm:f>
            <x14:dxf>
              <fill>
                <patternFill>
                  <bgColor rgb="FF92D050"/>
                </patternFill>
              </fill>
            </x14:dxf>
          </x14:cfRule>
          <x14:cfRule type="expression" priority="52" id="{A6FDB474-A72E-4824-B524-E12675E07B27}">
            <xm:f>PLANS!$F$3="MARCH"</xm:f>
            <x14:dxf>
              <fill>
                <patternFill>
                  <bgColor rgb="FF00B050"/>
                </patternFill>
              </fill>
            </x14:dxf>
          </x14:cfRule>
          <x14:cfRule type="expression" priority="53" id="{1E4E1718-720B-4686-9D2E-86940FB64817}">
            <xm:f>PLANS!$F$3="FEBRUARY"</xm:f>
            <x14:dxf>
              <fill>
                <patternFill>
                  <bgColor rgb="FF00B0F0"/>
                </patternFill>
              </fill>
            </x14:dxf>
          </x14:cfRule>
          <x14:cfRule type="expression" priority="54" id="{D0CED00A-909B-4F9F-A500-59B82565D6DE}">
            <xm:f>PLANS!$F$3="JANUARY"</xm:f>
            <x14:dxf>
              <fill>
                <patternFill>
                  <bgColor rgb="FF0070C0"/>
                </patternFill>
              </fill>
            </x14:dxf>
          </x14:cfRule>
          <x14:cfRule type="expression" priority="55" id="{2D245075-46F9-456E-BF51-620D80C4EBEE}">
            <xm:f>PLANS!$F$3="DECEMBER"</xm:f>
            <x14:dxf>
              <fill>
                <patternFill>
                  <bgColor rgb="FF6600CC"/>
                </patternFill>
              </fill>
            </x14:dxf>
          </x14:cfRule>
          <x14:cfRule type="expression" priority="56" id="{C8C6C29D-A6AB-4C75-82C7-D6007CC83732}">
            <xm:f>PLANS!$F$3="NOVEMBER"</xm:f>
            <x14:dxf>
              <fill>
                <patternFill>
                  <bgColor rgb="FF9900CC"/>
                </patternFill>
              </fill>
            </x14:dxf>
          </x14:cfRule>
          <x14:cfRule type="expression" priority="57" id="{CA701C11-63CC-466F-8E3F-09B4E6232A15}">
            <xm:f>PLANS!$F$3="OCTOBER"</xm:f>
            <x14:dxf>
              <fill>
                <patternFill>
                  <bgColor rgb="FFFF00FF"/>
                </patternFill>
              </fill>
            </x14:dxf>
          </x14:cfRule>
          <x14:cfRule type="expression" priority="58" id="{FFCBCF84-7594-4315-A975-2353E1A65E37}">
            <xm:f>PLANS!$F$3="SEPTEMBER"</xm:f>
            <x14:dxf>
              <fill>
                <patternFill>
                  <bgColor rgb="FFFF0000"/>
                </patternFill>
              </fill>
            </x14:dxf>
          </x14:cfRule>
          <x14:cfRule type="expression" priority="59" id="{AEF6460C-F34C-435D-A190-F20A2986C793}">
            <xm:f>PLANS!$F$3="AUGUST"</xm:f>
            <x14:dxf>
              <fill>
                <patternFill>
                  <bgColor rgb="FFC00000"/>
                </patternFill>
              </fill>
            </x14:dxf>
          </x14:cfRule>
          <x14:cfRule type="expression" priority="60" id="{B44BB9BF-DFC2-4CEA-B578-5DE18DFFDC1C}">
            <xm:f>PLANS!$F$3="JULY"</xm:f>
            <x14:dxf>
              <fill>
                <patternFill>
                  <bgColor rgb="FFFF6600"/>
                </patternFill>
              </fill>
            </x14:dxf>
          </x14:cfRule>
          <xm:sqref>C3</xm:sqref>
        </x14:conditionalFormatting>
        <x14:conditionalFormatting xmlns:xm="http://schemas.microsoft.com/office/excel/2006/main">
          <x14:cfRule type="expression" priority="61" id="{4D22CE6A-CB5C-44C3-9F85-AC98EA1F3E9F}">
            <xm:f>PLANS!$F$3="JUNE"</xm:f>
            <x14:dxf>
              <fill>
                <patternFill>
                  <bgColor rgb="FFFFC000"/>
                </patternFill>
              </fill>
            </x14:dxf>
          </x14:cfRule>
          <x14:cfRule type="expression" priority="62" id="{283B3FEE-2F6E-4A5D-8747-35BC6366456E}">
            <xm:f>PLANS!$F$3="MAY"</xm:f>
            <x14:dxf>
              <fill>
                <patternFill>
                  <bgColor rgb="FFEBE600"/>
                </patternFill>
              </fill>
            </x14:dxf>
          </x14:cfRule>
          <x14:cfRule type="expression" priority="63" id="{AA70ED42-1AFF-4611-98D1-0CDC626B2AFF}">
            <xm:f>PLANS!$F$3="APRIL"</xm:f>
            <x14:dxf>
              <fill>
                <patternFill>
                  <bgColor rgb="FF92D050"/>
                </patternFill>
              </fill>
            </x14:dxf>
          </x14:cfRule>
          <x14:cfRule type="expression" priority="64" id="{3CDD36CB-2318-46CC-9514-4616522DFBA8}">
            <xm:f>PLANS!$F$3="MARCH"</xm:f>
            <x14:dxf>
              <fill>
                <patternFill>
                  <bgColor rgb="FF00B050"/>
                </patternFill>
              </fill>
            </x14:dxf>
          </x14:cfRule>
          <x14:cfRule type="expression" priority="65" id="{C2EE9B68-EB53-4336-B997-967B4C3CB56D}">
            <xm:f>PLANS!$F$3="FEBRUARY"</xm:f>
            <x14:dxf>
              <fill>
                <patternFill>
                  <bgColor rgb="FF00B0F0"/>
                </patternFill>
              </fill>
            </x14:dxf>
          </x14:cfRule>
          <x14:cfRule type="expression" priority="66" id="{E740052F-A1B6-4321-A055-7A99F9C377B6}">
            <xm:f>PLANS!$F$3="JANUARY"</xm:f>
            <x14:dxf>
              <fill>
                <patternFill>
                  <bgColor rgb="FF0070C0"/>
                </patternFill>
              </fill>
            </x14:dxf>
          </x14:cfRule>
          <x14:cfRule type="expression" priority="67" id="{19EFC489-A1DE-4884-AB85-606A5DD0BC78}">
            <xm:f>PLANS!$F$3="DECEMBER"</xm:f>
            <x14:dxf>
              <fill>
                <patternFill>
                  <bgColor rgb="FF6600CC"/>
                </patternFill>
              </fill>
            </x14:dxf>
          </x14:cfRule>
          <x14:cfRule type="expression" priority="68" id="{8455DC27-EBA2-47CE-9FB3-9EF2D85EAD3C}">
            <xm:f>PLANS!$F$3="NOVEMBER"</xm:f>
            <x14:dxf>
              <fill>
                <patternFill>
                  <bgColor rgb="FF9900CC"/>
                </patternFill>
              </fill>
            </x14:dxf>
          </x14:cfRule>
          <x14:cfRule type="expression" priority="69" id="{08583509-7922-475C-92F2-C92F3D18D3F8}">
            <xm:f>PLANS!$F$3="OCTOBER"</xm:f>
            <x14:dxf>
              <fill>
                <patternFill>
                  <bgColor rgb="FFFF00FF"/>
                </patternFill>
              </fill>
            </x14:dxf>
          </x14:cfRule>
          <x14:cfRule type="expression" priority="70" id="{FB325C06-9243-4E28-ADB3-72E79BEDE489}">
            <xm:f>PLANS!$F$3="SEPTEMBER"</xm:f>
            <x14:dxf>
              <fill>
                <patternFill>
                  <bgColor rgb="FFFF0000"/>
                </patternFill>
              </fill>
            </x14:dxf>
          </x14:cfRule>
          <x14:cfRule type="expression" priority="71" id="{B2265A43-AD04-44B7-81C1-831F7DFEEF82}">
            <xm:f>PLANS!$F$3="AUGUST"</xm:f>
            <x14:dxf>
              <fill>
                <patternFill>
                  <bgColor rgb="FFC00000"/>
                </patternFill>
              </fill>
            </x14:dxf>
          </x14:cfRule>
          <x14:cfRule type="expression" priority="72" id="{2A84D79E-BD97-47AF-AC48-417E61633F6E}">
            <xm:f>PLANS!$F$3="JULY"</xm:f>
            <x14:dxf>
              <fill>
                <patternFill>
                  <bgColor rgb="FFFF6600"/>
                </patternFill>
              </fill>
            </x14:dxf>
          </x14:cfRule>
          <xm:sqref>C2:N2 F3 C23:E36 I23:N36 C37:N37</xm:sqref>
        </x14:conditionalFormatting>
        <x14:conditionalFormatting xmlns:xm="http://schemas.microsoft.com/office/excel/2006/main">
          <x14:cfRule type="expression" priority="25" id="{BA1A1530-D4DC-4089-B314-573C885F3DAE}">
            <xm:f>PLANS!$F$3="JUNE"</xm:f>
            <x14:dxf>
              <fill>
                <patternFill>
                  <bgColor rgb="FFFFC000"/>
                </patternFill>
              </fill>
            </x14:dxf>
          </x14:cfRule>
          <x14:cfRule type="expression" priority="26" id="{F6C8E3F6-CE81-4674-96D3-888D4F8F1375}">
            <xm:f>PLANS!$F$3="MAY"</xm:f>
            <x14:dxf>
              <fill>
                <patternFill>
                  <bgColor rgb="FFEBE600"/>
                </patternFill>
              </fill>
            </x14:dxf>
          </x14:cfRule>
          <x14:cfRule type="expression" priority="27" id="{D64B00CE-E414-4592-98C6-CE7C6DD66F34}">
            <xm:f>PLANS!$F$3="APRIL"</xm:f>
            <x14:dxf>
              <fill>
                <patternFill>
                  <bgColor rgb="FF92D050"/>
                </patternFill>
              </fill>
            </x14:dxf>
          </x14:cfRule>
          <x14:cfRule type="expression" priority="28" id="{218B8958-7E77-4B39-8AC8-4AB673AFEFAD}">
            <xm:f>PLANS!$F$3="MARCH"</xm:f>
            <x14:dxf>
              <fill>
                <patternFill>
                  <bgColor rgb="FF00B050"/>
                </patternFill>
              </fill>
            </x14:dxf>
          </x14:cfRule>
          <x14:cfRule type="expression" priority="29" id="{DFAB988F-C58F-4753-97F7-9AA0090958D8}">
            <xm:f>PLANS!$F$3="FEBRUARY"</xm:f>
            <x14:dxf>
              <fill>
                <patternFill>
                  <bgColor rgb="FF00B0F0"/>
                </patternFill>
              </fill>
            </x14:dxf>
          </x14:cfRule>
          <x14:cfRule type="expression" priority="30" id="{F83A6362-EC9F-4D7F-A693-86278D8C6F78}">
            <xm:f>PLANS!$F$3="JANUARY"</xm:f>
            <x14:dxf>
              <fill>
                <patternFill>
                  <bgColor rgb="FF0070C0"/>
                </patternFill>
              </fill>
            </x14:dxf>
          </x14:cfRule>
          <x14:cfRule type="expression" priority="31" id="{0C622876-F3AC-4B46-B66D-7CF0A31710A5}">
            <xm:f>PLANS!$F$3="DECEMBER"</xm:f>
            <x14:dxf>
              <fill>
                <patternFill>
                  <bgColor rgb="FF6600CC"/>
                </patternFill>
              </fill>
            </x14:dxf>
          </x14:cfRule>
          <x14:cfRule type="expression" priority="32" id="{66618AA2-63FD-43D7-A226-66B5A33E1AF4}">
            <xm:f>PLANS!$F$3="NOVEMBER"</xm:f>
            <x14:dxf>
              <fill>
                <patternFill>
                  <bgColor rgb="FF9900CC"/>
                </patternFill>
              </fill>
            </x14:dxf>
          </x14:cfRule>
          <x14:cfRule type="expression" priority="33" id="{F3018282-9672-4FFF-9172-16A8DB43537E}">
            <xm:f>PLANS!$F$3="OCTOBER"</xm:f>
            <x14:dxf>
              <fill>
                <patternFill>
                  <bgColor rgb="FFFF00FF"/>
                </patternFill>
              </fill>
            </x14:dxf>
          </x14:cfRule>
          <x14:cfRule type="expression" priority="34" id="{D132B741-BABB-4F5E-ACEC-B4AB357321A5}">
            <xm:f>PLANS!$F$3="SEPTEMBER"</xm:f>
            <x14:dxf>
              <fill>
                <patternFill>
                  <bgColor rgb="FFFF0000"/>
                </patternFill>
              </fill>
            </x14:dxf>
          </x14:cfRule>
          <x14:cfRule type="expression" priority="35" id="{5F6C6A61-45A0-4A2E-AE1E-CBF4257BF818}">
            <xm:f>PLANS!$F$3="AUGUST"</xm:f>
            <x14:dxf>
              <fill>
                <patternFill>
                  <bgColor rgb="FFC00000"/>
                </patternFill>
              </fill>
            </x14:dxf>
          </x14:cfRule>
          <x14:cfRule type="expression" priority="36" id="{A01EA258-5B05-45C3-B298-CDBFCAD6511A}">
            <xm:f>PLANS!$F$3="JULY"</xm:f>
            <x14:dxf>
              <fill>
                <patternFill>
                  <bgColor rgb="FFFF6600"/>
                </patternFill>
              </fill>
            </x14:dxf>
          </x14:cfRule>
          <xm:sqref>I3 L3</xm:sqref>
        </x14:conditionalFormatting>
        <x14:conditionalFormatting xmlns:xm="http://schemas.microsoft.com/office/excel/2006/main">
          <x14:cfRule type="expression" priority="37" id="{7A9115CA-6C91-4A8C-9CB8-24929557CF64}">
            <xm:f>PLANS!$F$3="JUNE"</xm:f>
            <x14:dxf>
              <fill>
                <patternFill>
                  <bgColor rgb="FFFFC000"/>
                </patternFill>
              </fill>
            </x14:dxf>
          </x14:cfRule>
          <x14:cfRule type="expression" priority="38" id="{8ECD863E-8E81-40E4-956C-8CDA71D7C06E}">
            <xm:f>PLANS!$F$3="MAY"</xm:f>
            <x14:dxf>
              <fill>
                <patternFill>
                  <bgColor rgb="FFEBE600"/>
                </patternFill>
              </fill>
            </x14:dxf>
          </x14:cfRule>
          <x14:cfRule type="expression" priority="39" id="{47F1ED54-C2A5-493C-87D4-A202BE9F4559}">
            <xm:f>PLANS!$F$3="APRIL"</xm:f>
            <x14:dxf>
              <fill>
                <patternFill>
                  <bgColor rgb="FF92D050"/>
                </patternFill>
              </fill>
            </x14:dxf>
          </x14:cfRule>
          <x14:cfRule type="expression" priority="40" id="{84EC9168-7182-46A4-B003-7C9A94483EB5}">
            <xm:f>PLANS!$F$3="MARCH"</xm:f>
            <x14:dxf>
              <fill>
                <patternFill>
                  <bgColor rgb="FF00B050"/>
                </patternFill>
              </fill>
            </x14:dxf>
          </x14:cfRule>
          <x14:cfRule type="expression" priority="41" id="{7A77D65B-AC2C-436B-B75D-2E7C2DA8508E}">
            <xm:f>PLANS!$F$3="FEBRUARY"</xm:f>
            <x14:dxf>
              <fill>
                <patternFill>
                  <bgColor rgb="FF00B0F0"/>
                </patternFill>
              </fill>
            </x14:dxf>
          </x14:cfRule>
          <x14:cfRule type="expression" priority="42" id="{ACE05833-3640-41C3-9472-D7A3B458413A}">
            <xm:f>PLANS!$F$3="JANUARY"</xm:f>
            <x14:dxf>
              <fill>
                <patternFill>
                  <bgColor rgb="FF0070C0"/>
                </patternFill>
              </fill>
            </x14:dxf>
          </x14:cfRule>
          <x14:cfRule type="expression" priority="43" id="{635B2DEA-0CA7-4213-8B2E-0AFB0D8623D6}">
            <xm:f>PLANS!$F$3="DECEMBER"</xm:f>
            <x14:dxf>
              <fill>
                <patternFill>
                  <bgColor rgb="FF6600CC"/>
                </patternFill>
              </fill>
            </x14:dxf>
          </x14:cfRule>
          <x14:cfRule type="expression" priority="44" id="{B3F3C129-01B7-4E3D-B19F-659DD39B4D35}">
            <xm:f>PLANS!$F$3="NOVEMBER"</xm:f>
            <x14:dxf>
              <fill>
                <patternFill>
                  <bgColor rgb="FF9900CC"/>
                </patternFill>
              </fill>
            </x14:dxf>
          </x14:cfRule>
          <x14:cfRule type="expression" priority="45" id="{717895B3-4AF5-4803-A243-69CC245BC11F}">
            <xm:f>PLANS!$F$3="OCTOBER"</xm:f>
            <x14:dxf>
              <fill>
                <patternFill>
                  <bgColor rgb="FFFF00FF"/>
                </patternFill>
              </fill>
            </x14:dxf>
          </x14:cfRule>
          <x14:cfRule type="expression" priority="46" id="{9D2F23F0-F13C-44DE-BD5E-E53966474C24}">
            <xm:f>PLANS!$F$3="SEPTEMBER"</xm:f>
            <x14:dxf>
              <fill>
                <patternFill>
                  <bgColor rgb="FFFF0000"/>
                </patternFill>
              </fill>
            </x14:dxf>
          </x14:cfRule>
          <x14:cfRule type="expression" priority="47" id="{2EE8C0DA-AEF3-4577-B328-DEBDD9B58076}">
            <xm:f>PLANS!$F$3="AUGUST"</xm:f>
            <x14:dxf>
              <fill>
                <patternFill>
                  <bgColor rgb="FFC00000"/>
                </patternFill>
              </fill>
            </x14:dxf>
          </x14:cfRule>
          <x14:cfRule type="expression" priority="48" id="{DFCA4735-14C9-4730-B063-10D2BC380A19}">
            <xm:f>PLANS!$F$3="JULY"</xm:f>
            <x14:dxf>
              <fill>
                <patternFill>
                  <bgColor rgb="FFFF6600"/>
                </patternFill>
              </fill>
            </x14:dxf>
          </x14:cfRule>
          <xm:sqref>O2:O37</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88601-687C-4097-991D-670ABCF10DB7}">
  <sheetPr codeName="Sheet3"/>
  <dimension ref="A1:DN145"/>
  <sheetViews>
    <sheetView showGridLines="0" showRowColHeaders="0" zoomScaleNormal="100" workbookViewId="0"/>
  </sheetViews>
  <sheetFormatPr defaultColWidth="3.42578125" defaultRowHeight="17.100000000000001" customHeight="1" x14ac:dyDescent="0.15"/>
  <cols>
    <col min="1" max="2" width="3.42578125" style="19" customWidth="1"/>
    <col min="3" max="15" width="3.42578125" style="19"/>
    <col min="16" max="16" width="3.42578125" style="19" customWidth="1"/>
    <col min="17" max="24" width="3.42578125" style="19"/>
    <col min="25" max="25" width="3.42578125" style="19" customWidth="1"/>
    <col min="26" max="33" width="3.42578125" style="19"/>
    <col min="34" max="34" width="3.42578125" style="19" customWidth="1"/>
    <col min="35" max="37" width="3.42578125" style="19"/>
    <col min="38" max="38" width="3.42578125" style="19" customWidth="1"/>
    <col min="39" max="42" width="3.42578125" style="19"/>
    <col min="43" max="43" width="3.42578125" style="19" customWidth="1"/>
    <col min="44" max="51" width="3.42578125" style="19"/>
    <col min="52" max="52" width="3.42578125" style="19" customWidth="1"/>
    <col min="53" max="60" width="3.42578125" style="19"/>
    <col min="61" max="61" width="3.42578125" style="19" customWidth="1"/>
    <col min="62" max="69" width="3.42578125" style="19"/>
    <col min="70" max="70" width="3.42578125" style="19" customWidth="1"/>
    <col min="71" max="78" width="3.42578125" style="19"/>
    <col min="79" max="79" width="3.42578125" style="19" customWidth="1"/>
    <col min="80" max="118" width="3.42578125" style="19" hidden="1" customWidth="1"/>
    <col min="119" max="120" width="0" style="19" hidden="1" customWidth="1"/>
    <col min="121" max="16384" width="3.42578125" style="19"/>
  </cols>
  <sheetData>
    <row r="1" spans="1:114" ht="17.100000000000001" customHeight="1" x14ac:dyDescent="0.15">
      <c r="A1" s="2694" t="s">
        <v>1706</v>
      </c>
      <c r="B1" s="88">
        <f ca="1">IF('^'!$BK$45="A C T I V E",DAY(TODAY()),32)</f>
        <v>32</v>
      </c>
      <c r="C1" s="88" t="str">
        <f>'^'!$BK$52</f>
        <v>MM</v>
      </c>
      <c r="D1" s="17"/>
      <c r="E1" s="17"/>
      <c r="F1" s="17"/>
      <c r="G1" s="17"/>
      <c r="H1" s="17"/>
      <c r="I1" s="17"/>
      <c r="J1" s="17"/>
      <c r="K1" s="17"/>
      <c r="L1" s="17"/>
      <c r="M1" s="17"/>
      <c r="N1" s="17"/>
      <c r="O1" s="17"/>
      <c r="P1" s="89"/>
      <c r="Q1" s="90" t="s">
        <v>48</v>
      </c>
      <c r="R1" s="90"/>
      <c r="S1" s="90"/>
      <c r="T1" s="90"/>
      <c r="U1" s="90"/>
      <c r="V1" s="90"/>
      <c r="W1" s="90"/>
      <c r="X1" s="47"/>
      <c r="Y1" s="47"/>
      <c r="Z1" s="90" t="s">
        <v>49</v>
      </c>
      <c r="AA1" s="47"/>
      <c r="AB1" s="47"/>
      <c r="AC1" s="47"/>
      <c r="AD1" s="47"/>
      <c r="AE1" s="47"/>
      <c r="AF1" s="47"/>
      <c r="AG1" s="47"/>
      <c r="AH1" s="47"/>
      <c r="AI1" s="90" t="s">
        <v>50</v>
      </c>
      <c r="AJ1" s="47"/>
      <c r="AK1" s="47"/>
      <c r="AL1" s="47"/>
      <c r="AM1" s="47"/>
      <c r="AN1" s="47"/>
      <c r="AO1" s="47"/>
      <c r="AP1" s="47"/>
      <c r="AQ1" s="47"/>
      <c r="AR1" s="90" t="s">
        <v>51</v>
      </c>
      <c r="AS1" s="47"/>
      <c r="AT1" s="47"/>
      <c r="AU1" s="47"/>
      <c r="AV1" s="47"/>
      <c r="AW1" s="47"/>
      <c r="AX1" s="47"/>
      <c r="AY1" s="47"/>
      <c r="AZ1" s="47"/>
      <c r="BA1" s="90" t="s">
        <v>52</v>
      </c>
      <c r="BB1" s="47"/>
      <c r="BC1" s="47"/>
      <c r="BD1" s="47"/>
      <c r="BE1" s="47"/>
      <c r="BF1" s="47"/>
      <c r="BG1" s="47"/>
      <c r="BH1" s="47"/>
      <c r="BI1" s="47"/>
      <c r="BJ1" s="90" t="s">
        <v>53</v>
      </c>
      <c r="BK1" s="47"/>
      <c r="BL1" s="47"/>
      <c r="BM1" s="47"/>
      <c r="BN1" s="47"/>
      <c r="BO1" s="47"/>
      <c r="BP1" s="47"/>
      <c r="BQ1" s="47"/>
      <c r="BR1" s="47"/>
      <c r="BS1" s="90" t="s">
        <v>54</v>
      </c>
      <c r="BT1" s="91"/>
      <c r="BU1" s="91"/>
      <c r="BV1" s="91"/>
      <c r="BW1" s="91"/>
      <c r="BX1" s="91"/>
      <c r="BY1" s="91"/>
      <c r="BZ1" s="91"/>
      <c r="CA1" s="18" t="s">
        <v>782</v>
      </c>
    </row>
    <row r="2" spans="1:114" ht="17.100000000000001" customHeight="1" x14ac:dyDescent="0.15">
      <c r="A2" s="1213"/>
      <c r="B2" s="155"/>
      <c r="P2" s="92"/>
      <c r="Q2" s="3794" t="s">
        <v>10</v>
      </c>
      <c r="R2" s="3794"/>
      <c r="S2" s="3794"/>
      <c r="T2" s="3794"/>
      <c r="U2" s="3794"/>
      <c r="V2" s="3794"/>
      <c r="W2" s="3794"/>
      <c r="X2" s="3794"/>
      <c r="Y2" s="93"/>
      <c r="Z2" s="3794" t="s">
        <v>11</v>
      </c>
      <c r="AA2" s="3794"/>
      <c r="AB2" s="3794"/>
      <c r="AC2" s="3794"/>
      <c r="AD2" s="3794"/>
      <c r="AE2" s="3794"/>
      <c r="AF2" s="3794"/>
      <c r="AG2" s="3794"/>
      <c r="AH2" s="94"/>
      <c r="AI2" s="3794" t="s">
        <v>12</v>
      </c>
      <c r="AJ2" s="3794"/>
      <c r="AK2" s="3794"/>
      <c r="AL2" s="3794"/>
      <c r="AM2" s="3794"/>
      <c r="AN2" s="3794"/>
      <c r="AO2" s="3794"/>
      <c r="AP2" s="3794"/>
      <c r="AQ2" s="94"/>
      <c r="AR2" s="3794" t="s">
        <v>13</v>
      </c>
      <c r="AS2" s="3794"/>
      <c r="AT2" s="3794"/>
      <c r="AU2" s="3794"/>
      <c r="AV2" s="3794"/>
      <c r="AW2" s="3794"/>
      <c r="AX2" s="3794"/>
      <c r="AY2" s="3794"/>
      <c r="AZ2" s="94"/>
      <c r="BA2" s="3794" t="s">
        <v>14</v>
      </c>
      <c r="BB2" s="3794"/>
      <c r="BC2" s="3794"/>
      <c r="BD2" s="3794"/>
      <c r="BE2" s="3794"/>
      <c r="BF2" s="3794"/>
      <c r="BG2" s="3794"/>
      <c r="BH2" s="3794"/>
      <c r="BI2" s="94"/>
      <c r="BJ2" s="3794" t="s">
        <v>15</v>
      </c>
      <c r="BK2" s="3794"/>
      <c r="BL2" s="3794"/>
      <c r="BM2" s="3794"/>
      <c r="BN2" s="3794"/>
      <c r="BO2" s="3794"/>
      <c r="BP2" s="3794"/>
      <c r="BQ2" s="3794"/>
      <c r="BR2" s="95"/>
      <c r="BS2" s="3794" t="s">
        <v>16</v>
      </c>
      <c r="BT2" s="3794"/>
      <c r="BU2" s="3794"/>
      <c r="BV2" s="3794"/>
      <c r="BW2" s="3794"/>
      <c r="BX2" s="3794"/>
      <c r="BY2" s="3794"/>
      <c r="BZ2" s="3794"/>
      <c r="CA2" s="81"/>
    </row>
    <row r="3" spans="1:114" ht="15" customHeight="1" x14ac:dyDescent="0.15">
      <c r="A3" s="17"/>
      <c r="C3" s="3799" t="str">
        <f>'^'!$BK$55</f>
        <v>YYYY</v>
      </c>
      <c r="D3" s="3799"/>
      <c r="E3" s="3799"/>
      <c r="F3" s="3800" t="str">
        <f>_xlfn.IFS(
'^'!$BK$52=1,"JANUARY",
'^'!$BK$52=2,"FEBRUARY",
'^'!$BK$52=3,"MARCH",
'^'!$BK$52=4,"APRIL",
'^'!$BK$52=5,"MAY",
'^'!$BK$52=6,"JUNE",
'^'!$BK$52=7,"JULY",
'^'!$BK$52=8,"AUGUST",
'^'!$BK$52=9,"SEPTEMBER",
'^'!$BK$52=10,"OCTOBER",
'^'!$BK$52=11,"NOVEMBER",
'^'!$BK$52=12,"DECEMBER",
TRUE,"MONTH")</f>
        <v>MONTH</v>
      </c>
      <c r="G3" s="3800"/>
      <c r="H3" s="3800"/>
      <c r="I3" s="3800" t="str">
        <f ca="1">IF('^'!$BK$45="A C T I V E",$B$1,"00")</f>
        <v>00</v>
      </c>
      <c r="J3" s="3800"/>
      <c r="K3" s="3800"/>
      <c r="L3" s="3801" t="str">
        <f ca="1">IF( '^'!$BK$45="A C T I V E", NOW(), "00:00")</f>
        <v>00:00</v>
      </c>
      <c r="M3" s="3801"/>
      <c r="N3" s="3801"/>
      <c r="P3" s="92"/>
      <c r="Q3" s="92"/>
      <c r="R3" s="92"/>
      <c r="S3" s="92"/>
      <c r="T3" s="92"/>
      <c r="U3" s="92"/>
      <c r="V3" s="92"/>
      <c r="W3" s="92"/>
      <c r="X3" s="96" t="e">
        <f>IF(W4&gt;7,1,0)</f>
        <v>#VALUE!</v>
      </c>
      <c r="Y3" s="92"/>
      <c r="Z3" s="92"/>
      <c r="AA3" s="92"/>
      <c r="AB3" s="92"/>
      <c r="AC3" s="92"/>
      <c r="AD3" s="92"/>
      <c r="AE3" s="92"/>
      <c r="AF3" s="92"/>
      <c r="AG3" s="96" t="e">
        <f>IF(AF4&gt;7,1,0)</f>
        <v>#VALUE!</v>
      </c>
      <c r="AH3" s="92"/>
      <c r="AI3" s="92"/>
      <c r="AJ3" s="92"/>
      <c r="AK3" s="92"/>
      <c r="AL3" s="92"/>
      <c r="AM3" s="92"/>
      <c r="AN3" s="92"/>
      <c r="AO3" s="92"/>
      <c r="AP3" s="96" t="e">
        <f>IF(AO4&gt;7,1,0)</f>
        <v>#VALUE!</v>
      </c>
      <c r="AQ3" s="92"/>
      <c r="AR3" s="92"/>
      <c r="AS3" s="92"/>
      <c r="AT3" s="92"/>
      <c r="AU3" s="92"/>
      <c r="AV3" s="92"/>
      <c r="AW3" s="92"/>
      <c r="AX3" s="92"/>
      <c r="AY3" s="96" t="e">
        <f>IF(AX4&gt;7,1,0)</f>
        <v>#VALUE!</v>
      </c>
      <c r="AZ3" s="92"/>
      <c r="BA3" s="92"/>
      <c r="BB3" s="92"/>
      <c r="BC3" s="92"/>
      <c r="BD3" s="92"/>
      <c r="BE3" s="92"/>
      <c r="BF3" s="92"/>
      <c r="BG3" s="92"/>
      <c r="BH3" s="96" t="e">
        <f>IF(BG4&gt;7,1,0)</f>
        <v>#VALUE!</v>
      </c>
      <c r="BI3" s="92"/>
      <c r="BJ3" s="92"/>
      <c r="BK3" s="92"/>
      <c r="BL3" s="92"/>
      <c r="BM3" s="92"/>
      <c r="BN3" s="92"/>
      <c r="BO3" s="92"/>
      <c r="BP3" s="92"/>
      <c r="BQ3" s="96" t="e">
        <f>IF(BP4&gt;7,1,0)</f>
        <v>#VALUE!</v>
      </c>
      <c r="BR3" s="92"/>
      <c r="BS3" s="92"/>
      <c r="BT3" s="92"/>
      <c r="BU3" s="92"/>
      <c r="BV3" s="92"/>
      <c r="BW3" s="92"/>
      <c r="BX3" s="92"/>
      <c r="BY3" s="92"/>
      <c r="BZ3" s="96"/>
      <c r="CA3" s="81"/>
      <c r="CG3" s="1530" t="s">
        <v>1090</v>
      </c>
      <c r="CH3" s="1530"/>
      <c r="CL3" s="1530" t="s">
        <v>1091</v>
      </c>
      <c r="CM3" s="1530"/>
      <c r="CQ3" s="1530" t="s">
        <v>1092</v>
      </c>
      <c r="CR3" s="1530"/>
      <c r="CV3" s="1530" t="s">
        <v>1095</v>
      </c>
      <c r="CW3" s="1530"/>
      <c r="DA3" s="1530" t="s">
        <v>1096</v>
      </c>
      <c r="DB3" s="1530"/>
      <c r="DF3" s="1530" t="s">
        <v>1097</v>
      </c>
      <c r="DG3" s="1530"/>
    </row>
    <row r="4" spans="1:114" ht="17.100000000000001" customHeight="1" x14ac:dyDescent="0.25">
      <c r="A4" s="81"/>
      <c r="C4" s="3799"/>
      <c r="D4" s="3799"/>
      <c r="E4" s="3799"/>
      <c r="F4" s="3800"/>
      <c r="G4" s="3800"/>
      <c r="H4" s="3800"/>
      <c r="I4" s="3800"/>
      <c r="J4" s="3800"/>
      <c r="K4" s="3800"/>
      <c r="L4" s="3801"/>
      <c r="M4" s="3801"/>
      <c r="N4" s="3801"/>
      <c r="P4" s="92"/>
      <c r="Q4" s="3791"/>
      <c r="R4" s="3791"/>
      <c r="S4" s="3791"/>
      <c r="T4" s="3791"/>
      <c r="U4" s="3791"/>
      <c r="V4" s="3791"/>
      <c r="W4" s="3795" t="e">
        <f>$CT$43</f>
        <v>#VALUE!</v>
      </c>
      <c r="X4" s="3795"/>
      <c r="Y4" s="97"/>
      <c r="Z4" s="3791"/>
      <c r="AA4" s="3791"/>
      <c r="AB4" s="3791"/>
      <c r="AC4" s="3791"/>
      <c r="AD4" s="3791"/>
      <c r="AE4" s="3791"/>
      <c r="AF4" s="3795" t="e">
        <f>_xlfn.IFS(
AND(OR($C$1=1,$C$1=2,$C$1=4,$C$1=6,$C$1=8,$C$1=9,$C$1=11),W4=31),1,
AND(OR($C$1=5,$C$1=7,$C$1=10,$C$1=12),W4=30),1,
AND($C$1=3,OR(AND($CD$57=0,W4=28),AND($CD$57=1,W4=29))),1,
TRUE,W4+1
)</f>
        <v>#VALUE!</v>
      </c>
      <c r="AG4" s="3795"/>
      <c r="AH4" s="97"/>
      <c r="AI4" s="3791"/>
      <c r="AJ4" s="3791"/>
      <c r="AK4" s="3791"/>
      <c r="AL4" s="3791"/>
      <c r="AM4" s="3791"/>
      <c r="AN4" s="3791"/>
      <c r="AO4" s="3795" t="e">
        <f>_xlfn.IFS(
AND(OR($C$1=1,$C$1=2,$C$1=4,$C$1=6,$C$1=8,$C$1=9,$C$1=11),AF4=31),1,
AND(OR($C$1=5,$C$1=7,$C$1=10,$C$1=12),AF4=30),1,
AND($C$1=3,OR(AND($CD$57=0,AF4=28),AND($CD$57=1,AF4=29))),1,
TRUE,AF4+1
)</f>
        <v>#VALUE!</v>
      </c>
      <c r="AP4" s="3795"/>
      <c r="AQ4" s="97"/>
      <c r="AR4" s="3791"/>
      <c r="AS4" s="3791"/>
      <c r="AT4" s="3791"/>
      <c r="AU4" s="3791"/>
      <c r="AV4" s="3791"/>
      <c r="AW4" s="3791"/>
      <c r="AX4" s="3795" t="e">
        <f>_xlfn.IFS(
AND(OR($C$1=1,$C$1=2,$C$1=4,$C$1=6,$C$1=8,$C$1=9,$C$1=11),AO4=31),1,
AND(OR($C$1=5,$C$1=7,$C$1=10,$C$1=12),AO4=30),1,
AND($C$1=3,OR(AND($CD$57=0,AO4=28),AND($CD$57=1,AO4=29))),1,
TRUE,AO4+1
)</f>
        <v>#VALUE!</v>
      </c>
      <c r="AY4" s="3795"/>
      <c r="AZ4" s="97"/>
      <c r="BA4" s="3791"/>
      <c r="BB4" s="3791"/>
      <c r="BC4" s="3791"/>
      <c r="BD4" s="3791"/>
      <c r="BE4" s="3791"/>
      <c r="BF4" s="3791"/>
      <c r="BG4" s="3795" t="e">
        <f>_xlfn.IFS(
AND(OR($C$1=1,$C$1=2,$C$1=4,$C$1=6,$C$1=8,$C$1=9,$C$1=11),AX4=31),1,
AND(OR($C$1=5,$C$1=7,$C$1=10,$C$1=12),AX4=30),1,
AND($C$1=3,OR(AND($CD$57=0,AX4=28),AND($CD$57=1,AX4=29))),1,
TRUE,AX4+1
)</f>
        <v>#VALUE!</v>
      </c>
      <c r="BH4" s="3795"/>
      <c r="BI4" s="98"/>
      <c r="BJ4" s="3788"/>
      <c r="BK4" s="3788"/>
      <c r="BL4" s="3788"/>
      <c r="BM4" s="3788"/>
      <c r="BN4" s="3788"/>
      <c r="BO4" s="3788"/>
      <c r="BP4" s="3796" t="e">
        <f>_xlfn.IFS(
AND(OR($C$1=1,$C$1=2,$C$1=4,$C$1=6,$C$1=8,$C$1=9,$C$1=11),BG4=31),1,
AND(OR($C$1=5,$C$1=7,$C$1=10,$C$1=12),BG4=30),1,
AND($C$1=3,OR(AND($CD$57=0,BG4=28),AND($CD$57=1,BG4=29))),1,
TRUE,BG4+1
)</f>
        <v>#VALUE!</v>
      </c>
      <c r="BQ4" s="3796"/>
      <c r="BR4" s="98"/>
      <c r="BS4" s="3788"/>
      <c r="BT4" s="3788"/>
      <c r="BU4" s="3788"/>
      <c r="BV4" s="3788"/>
      <c r="BW4" s="3788"/>
      <c r="BX4" s="3788"/>
      <c r="BY4" s="3796" t="e">
        <f>_xlfn.IFS(
AND(OR($C$1=1,$C$1=2,$C$1=4,$C$1=6,$C$1=8,$C$1=9,$C$1=11),BP4=31),1,
AND(OR($C$1=5,$C$1=7,$C$1=10,$C$1=12),BP4=30),1,
AND($C$1=3,OR(AND($CD$57=0,BP4=28),AND($CD$57=1,BP4=29))),1,
TRUE,BP4+1
)</f>
        <v>#VALUE!</v>
      </c>
      <c r="BZ4" s="3796"/>
      <c r="CA4" s="81"/>
      <c r="CD4" s="99" t="s">
        <v>320</v>
      </c>
      <c r="CE4" s="100">
        <f>_xlfn.MAXIFS(W4:BZ4,W4:BZ4,"&lt;=7")</f>
        <v>0</v>
      </c>
      <c r="CG4" s="1227" t="s">
        <v>1093</v>
      </c>
      <c r="CI4" s="1227" t="s">
        <v>1094</v>
      </c>
      <c r="CL4" s="1227" t="s">
        <v>1093</v>
      </c>
      <c r="CN4" s="1227" t="s">
        <v>1094</v>
      </c>
      <c r="CQ4" s="1227" t="s">
        <v>1093</v>
      </c>
      <c r="CS4" s="1227" t="s">
        <v>1094</v>
      </c>
      <c r="CV4" s="1227" t="s">
        <v>1093</v>
      </c>
      <c r="CX4" s="1227" t="s">
        <v>1094</v>
      </c>
      <c r="DA4" s="1227" t="s">
        <v>1093</v>
      </c>
      <c r="DC4" s="1227" t="s">
        <v>1094</v>
      </c>
      <c r="DF4" s="1227" t="s">
        <v>1093</v>
      </c>
      <c r="DH4" s="1227" t="s">
        <v>1094</v>
      </c>
    </row>
    <row r="5" spans="1:114" ht="17.100000000000001" customHeight="1" x14ac:dyDescent="0.15">
      <c r="A5" s="17"/>
      <c r="C5" s="3799"/>
      <c r="D5" s="3799"/>
      <c r="E5" s="3799"/>
      <c r="F5" s="3800"/>
      <c r="G5" s="3800"/>
      <c r="H5" s="3800"/>
      <c r="I5" s="3800"/>
      <c r="J5" s="3800"/>
      <c r="K5" s="3800"/>
      <c r="L5" s="3801"/>
      <c r="M5" s="3801"/>
      <c r="N5" s="3801"/>
      <c r="P5" s="92"/>
      <c r="Q5" s="3777"/>
      <c r="R5" s="3777"/>
      <c r="S5" s="3777"/>
      <c r="T5" s="3777"/>
      <c r="U5" s="3777"/>
      <c r="V5" s="3777"/>
      <c r="W5" s="3777"/>
      <c r="X5" s="3777"/>
      <c r="Y5" s="105"/>
      <c r="Z5" s="3797"/>
      <c r="AA5" s="3777"/>
      <c r="AB5" s="3777"/>
      <c r="AC5" s="3777"/>
      <c r="AD5" s="3777"/>
      <c r="AE5" s="3777"/>
      <c r="AF5" s="3777"/>
      <c r="AG5" s="3777"/>
      <c r="AH5" s="105"/>
      <c r="AI5" s="3777"/>
      <c r="AJ5" s="3777"/>
      <c r="AK5" s="3777"/>
      <c r="AL5" s="3777"/>
      <c r="AM5" s="3777"/>
      <c r="AN5" s="3777"/>
      <c r="AO5" s="3777"/>
      <c r="AP5" s="3777"/>
      <c r="AQ5" s="105"/>
      <c r="AR5" s="3777"/>
      <c r="AS5" s="3777"/>
      <c r="AT5" s="3777"/>
      <c r="AU5" s="3777"/>
      <c r="AV5" s="3777"/>
      <c r="AW5" s="3777"/>
      <c r="AX5" s="3777"/>
      <c r="AY5" s="3777"/>
      <c r="AZ5" s="105"/>
      <c r="BA5" s="3777"/>
      <c r="BB5" s="3777"/>
      <c r="BC5" s="3777"/>
      <c r="BD5" s="3777"/>
      <c r="BE5" s="3777"/>
      <c r="BF5" s="3777"/>
      <c r="BG5" s="3777"/>
      <c r="BH5" s="3777"/>
      <c r="BI5" s="105"/>
      <c r="BJ5" s="3784"/>
      <c r="BK5" s="3784"/>
      <c r="BL5" s="3784"/>
      <c r="BM5" s="3784"/>
      <c r="BN5" s="3784"/>
      <c r="BO5" s="3784"/>
      <c r="BP5" s="3784"/>
      <c r="BQ5" s="3784"/>
      <c r="BR5" s="105"/>
      <c r="BS5" s="3784"/>
      <c r="BT5" s="3784"/>
      <c r="BU5" s="3784"/>
      <c r="BV5" s="3784"/>
      <c r="BW5" s="3784"/>
      <c r="BX5" s="3784"/>
      <c r="BY5" s="3784"/>
      <c r="BZ5" s="3784"/>
      <c r="CA5" s="81"/>
      <c r="CD5" s="46"/>
      <c r="CE5" s="46"/>
      <c r="CG5" s="1538" t="str">
        <f>IF(Q5&lt;&gt;"",Q$1&amp;" "&amp;W4&amp;" "&amp;Q5,"")</f>
        <v/>
      </c>
      <c r="CH5" s="1534" t="s">
        <v>525</v>
      </c>
      <c r="CI5" s="1532" t="str" cm="1">
        <f t="array" ref="CI5">IF(CG33&gt;=1,_xlfn._xlws.FILTER(CG5:CG32,CG5:CG32&lt;&gt;""),"")</f>
        <v/>
      </c>
      <c r="CJ5" s="1535"/>
      <c r="CK5" s="1534" t="s">
        <v>525</v>
      </c>
      <c r="CL5" s="1538" t="str">
        <f>IF(Q11&lt;&gt;"",Q$1&amp;" "&amp;W10&amp;" "&amp;Q11,"")</f>
        <v/>
      </c>
      <c r="CM5" s="1534" t="s">
        <v>525</v>
      </c>
      <c r="CN5" s="1532" t="str" cm="1">
        <f t="array" ref="CN5">IF(CL33&gt;=1,_xlfn._xlws.FILTER(CL5:CL32,CL5:CL32&lt;&gt;""),"")</f>
        <v/>
      </c>
      <c r="CO5" s="1535"/>
      <c r="CP5" s="1534" t="s">
        <v>525</v>
      </c>
      <c r="CQ5" s="1538" t="str">
        <f>IF(Q17&lt;&gt;"",Q$1&amp;" "&amp;W16&amp;" "&amp;Q17,"")</f>
        <v/>
      </c>
      <c r="CR5" s="1534" t="s">
        <v>525</v>
      </c>
      <c r="CS5" s="1532" t="str" cm="1">
        <f t="array" ref="CS5">IF(CQ33&gt;=1,_xlfn._xlws.FILTER(CQ5:CQ32,CQ5:CQ32&lt;&gt;""),"")</f>
        <v/>
      </c>
      <c r="CT5" s="1535"/>
      <c r="CU5" s="1534" t="s">
        <v>525</v>
      </c>
      <c r="CV5" s="1538" t="str">
        <f>IF(Q23&lt;&gt;"",Q$1&amp;" "&amp;W22&amp;" "&amp;Q23,"")</f>
        <v/>
      </c>
      <c r="CW5" s="1534" t="s">
        <v>525</v>
      </c>
      <c r="CX5" s="1532" t="str" cm="1">
        <f t="array" ref="CX5">IF(CV33&gt;=1,_xlfn._xlws.FILTER(CV5:CV32,CV5:CV32&lt;&gt;""),"")</f>
        <v/>
      </c>
      <c r="CY5" s="1535"/>
      <c r="CZ5" s="1534" t="s">
        <v>525</v>
      </c>
      <c r="DA5" s="1538" t="str">
        <f>IF(Q29&lt;&gt;"",Q$1&amp;" "&amp;W28&amp;" "&amp;Q29,"")</f>
        <v/>
      </c>
      <c r="DB5" s="1534" t="s">
        <v>525</v>
      </c>
      <c r="DC5" s="1532" t="str" cm="1">
        <f t="array" ref="DC5">IF(DA33&gt;=1,_xlfn._xlws.FILTER(DA5:DA32,DA5:DA32&lt;&gt;""),"")</f>
        <v/>
      </c>
      <c r="DD5" s="1535"/>
      <c r="DE5" s="1534" t="s">
        <v>525</v>
      </c>
      <c r="DF5" s="1538" t="str">
        <f>IF(Q35&lt;&gt;"",Q$1&amp;" "&amp;W34&amp;" "&amp;Q35,"")</f>
        <v/>
      </c>
      <c r="DG5" s="1534" t="s">
        <v>525</v>
      </c>
      <c r="DH5" s="1532" t="str" cm="1">
        <f t="array" ref="DH5">IF(DF33&gt;=1,_xlfn._xlws.FILTER(DF5:DF28,DF5:DF28&lt;&gt;""),"")</f>
        <v/>
      </c>
      <c r="DI5" s="1535"/>
      <c r="DJ5" s="1534" t="s">
        <v>525</v>
      </c>
    </row>
    <row r="6" spans="1:114" ht="17.100000000000001" customHeight="1" x14ac:dyDescent="0.15">
      <c r="A6" s="81"/>
      <c r="C6" s="3799"/>
      <c r="D6" s="3799"/>
      <c r="E6" s="3799"/>
      <c r="F6" s="3800"/>
      <c r="G6" s="3800"/>
      <c r="H6" s="3800"/>
      <c r="I6" s="3800"/>
      <c r="J6" s="3800"/>
      <c r="K6" s="3800"/>
      <c r="L6" s="3801"/>
      <c r="M6" s="3801"/>
      <c r="N6" s="3801"/>
      <c r="P6" s="92"/>
      <c r="Q6" s="3777"/>
      <c r="R6" s="3777"/>
      <c r="S6" s="3777"/>
      <c r="T6" s="3777"/>
      <c r="U6" s="3777"/>
      <c r="V6" s="3777"/>
      <c r="W6" s="3777"/>
      <c r="X6" s="3777"/>
      <c r="Y6" s="105"/>
      <c r="Z6" s="3777"/>
      <c r="AA6" s="3777"/>
      <c r="AB6" s="3777"/>
      <c r="AC6" s="3777"/>
      <c r="AD6" s="3777"/>
      <c r="AE6" s="3777"/>
      <c r="AF6" s="3777"/>
      <c r="AG6" s="3777"/>
      <c r="AH6" s="105"/>
      <c r="AI6" s="3777"/>
      <c r="AJ6" s="3777"/>
      <c r="AK6" s="3777"/>
      <c r="AL6" s="3777"/>
      <c r="AM6" s="3777"/>
      <c r="AN6" s="3777"/>
      <c r="AO6" s="3777"/>
      <c r="AP6" s="3777"/>
      <c r="AQ6" s="105"/>
      <c r="AR6" s="3777"/>
      <c r="AS6" s="3777"/>
      <c r="AT6" s="3777"/>
      <c r="AU6" s="3777"/>
      <c r="AV6" s="3777"/>
      <c r="AW6" s="3777"/>
      <c r="AX6" s="3777"/>
      <c r="AY6" s="3777"/>
      <c r="AZ6" s="105"/>
      <c r="BA6" s="3777"/>
      <c r="BB6" s="3777"/>
      <c r="BC6" s="3777"/>
      <c r="BD6" s="3777"/>
      <c r="BE6" s="3777"/>
      <c r="BF6" s="3777"/>
      <c r="BG6" s="3777"/>
      <c r="BH6" s="3777"/>
      <c r="BI6" s="105"/>
      <c r="BJ6" s="3784"/>
      <c r="BK6" s="3784"/>
      <c r="BL6" s="3784"/>
      <c r="BM6" s="3784"/>
      <c r="BN6" s="3784"/>
      <c r="BO6" s="3784"/>
      <c r="BP6" s="3784"/>
      <c r="BQ6" s="3784"/>
      <c r="BR6" s="105"/>
      <c r="BS6" s="3784"/>
      <c r="BT6" s="3784"/>
      <c r="BU6" s="3784"/>
      <c r="BV6" s="3784"/>
      <c r="BW6" s="3784"/>
      <c r="BX6" s="3784"/>
      <c r="BY6" s="3784"/>
      <c r="BZ6" s="3784"/>
      <c r="CA6" s="81"/>
      <c r="CD6" s="46"/>
      <c r="CE6" s="46"/>
      <c r="CG6" s="1539" t="str">
        <f>IF(Q6&lt;&gt;"",Q$1&amp;" "&amp;W4&amp;" "&amp;Q6,"")</f>
        <v/>
      </c>
      <c r="CH6" s="1534" t="s">
        <v>525</v>
      </c>
      <c r="CI6" s="1531"/>
      <c r="CJ6" s="1533"/>
      <c r="CK6" s="1534" t="s">
        <v>525</v>
      </c>
      <c r="CL6" s="1539" t="str">
        <f>IF(Q12&lt;&gt;"",Q$1&amp;" "&amp;W10&amp;" "&amp;Q12,"")</f>
        <v/>
      </c>
      <c r="CM6" s="1534" t="s">
        <v>525</v>
      </c>
      <c r="CN6" s="1531"/>
      <c r="CO6" s="1533"/>
      <c r="CP6" s="1534" t="s">
        <v>525</v>
      </c>
      <c r="CQ6" s="1539" t="str">
        <f>IF(Q18&lt;&gt;"",Q$1&amp;" "&amp;W16&amp;" "&amp;Q18,"")</f>
        <v/>
      </c>
      <c r="CR6" s="1534" t="s">
        <v>525</v>
      </c>
      <c r="CS6" s="1531"/>
      <c r="CT6" s="1533"/>
      <c r="CU6" s="1534" t="s">
        <v>525</v>
      </c>
      <c r="CV6" s="1539" t="str">
        <f>IF(Q24&lt;&gt;"",Q$1&amp;" "&amp;W22&amp;" "&amp;Q24,"")</f>
        <v/>
      </c>
      <c r="CW6" s="1534" t="s">
        <v>525</v>
      </c>
      <c r="CX6" s="1531"/>
      <c r="CY6" s="1533"/>
      <c r="CZ6" s="1534" t="s">
        <v>525</v>
      </c>
      <c r="DA6" s="1539" t="str">
        <f>IF(Q30&lt;&gt;"",Q$1&amp;" "&amp;W28&amp;" "&amp;Q30,"")</f>
        <v/>
      </c>
      <c r="DB6" s="1534" t="s">
        <v>525</v>
      </c>
      <c r="DC6" s="1531"/>
      <c r="DD6" s="1533"/>
      <c r="DE6" s="1534" t="s">
        <v>525</v>
      </c>
      <c r="DF6" s="1539" t="str">
        <f>IF(Q36&lt;&gt;"",Q$1&amp;" "&amp;W34&amp;" "&amp;Q36,"")</f>
        <v/>
      </c>
      <c r="DG6" s="1534" t="s">
        <v>525</v>
      </c>
      <c r="DH6" s="1531"/>
      <c r="DI6" s="1533"/>
      <c r="DJ6" s="1534" t="s">
        <v>525</v>
      </c>
    </row>
    <row r="7" spans="1:114" ht="17.100000000000001" customHeight="1" x14ac:dyDescent="0.15">
      <c r="A7" s="17"/>
      <c r="C7" s="3799"/>
      <c r="D7" s="3799"/>
      <c r="E7" s="3799"/>
      <c r="F7" s="3800"/>
      <c r="G7" s="3800"/>
      <c r="H7" s="3800"/>
      <c r="I7" s="3800"/>
      <c r="J7" s="3800"/>
      <c r="K7" s="3800"/>
      <c r="L7" s="3801"/>
      <c r="M7" s="3801"/>
      <c r="N7" s="3801"/>
      <c r="P7" s="92"/>
      <c r="Q7" s="3777"/>
      <c r="R7" s="3777"/>
      <c r="S7" s="3777"/>
      <c r="T7" s="3777"/>
      <c r="U7" s="3777"/>
      <c r="V7" s="3777"/>
      <c r="W7" s="3777"/>
      <c r="X7" s="3777"/>
      <c r="Y7" s="105"/>
      <c r="Z7" s="3777"/>
      <c r="AA7" s="3777"/>
      <c r="AB7" s="3777"/>
      <c r="AC7" s="3777"/>
      <c r="AD7" s="3777"/>
      <c r="AE7" s="3777"/>
      <c r="AF7" s="3777"/>
      <c r="AG7" s="3777"/>
      <c r="AH7" s="105"/>
      <c r="AI7" s="3777"/>
      <c r="AJ7" s="3777"/>
      <c r="AK7" s="3777"/>
      <c r="AL7" s="3777"/>
      <c r="AM7" s="3777"/>
      <c r="AN7" s="3777"/>
      <c r="AO7" s="3777"/>
      <c r="AP7" s="3777"/>
      <c r="AQ7" s="105"/>
      <c r="AR7" s="3777"/>
      <c r="AS7" s="3777"/>
      <c r="AT7" s="3777"/>
      <c r="AU7" s="3777"/>
      <c r="AV7" s="3777"/>
      <c r="AW7" s="3777"/>
      <c r="AX7" s="3777"/>
      <c r="AY7" s="3777"/>
      <c r="AZ7" s="105"/>
      <c r="BA7" s="3777"/>
      <c r="BB7" s="3777"/>
      <c r="BC7" s="3777"/>
      <c r="BD7" s="3777"/>
      <c r="BE7" s="3777"/>
      <c r="BF7" s="3777"/>
      <c r="BG7" s="3777"/>
      <c r="BH7" s="3777"/>
      <c r="BI7" s="105"/>
      <c r="BJ7" s="3784"/>
      <c r="BK7" s="3784"/>
      <c r="BL7" s="3784"/>
      <c r="BM7" s="3784"/>
      <c r="BN7" s="3784"/>
      <c r="BO7" s="3784"/>
      <c r="BP7" s="3784"/>
      <c r="BQ7" s="3784"/>
      <c r="BR7" s="105"/>
      <c r="BS7" s="3784"/>
      <c r="BT7" s="3784"/>
      <c r="BU7" s="3784"/>
      <c r="BV7" s="3784"/>
      <c r="BW7" s="3784"/>
      <c r="BX7" s="3784"/>
      <c r="BY7" s="3784"/>
      <c r="BZ7" s="3784"/>
      <c r="CA7" s="81"/>
      <c r="CD7" s="46"/>
      <c r="CE7" s="46"/>
      <c r="CG7" s="1539" t="str">
        <f>IF(Q7&lt;&gt;"",Q$1&amp;" "&amp;W4&amp;" "&amp;Q7,"")</f>
        <v/>
      </c>
      <c r="CH7" s="1534" t="s">
        <v>525</v>
      </c>
      <c r="CI7" s="1531"/>
      <c r="CJ7" s="1533"/>
      <c r="CK7" s="1534" t="s">
        <v>525</v>
      </c>
      <c r="CL7" s="1539" t="str">
        <f>IF(Q13&lt;&gt;"",Q$1&amp;" "&amp;W10&amp;" "&amp;Q13,"")</f>
        <v/>
      </c>
      <c r="CM7" s="1534" t="s">
        <v>525</v>
      </c>
      <c r="CN7" s="1531"/>
      <c r="CO7" s="1533"/>
      <c r="CP7" s="1534" t="s">
        <v>525</v>
      </c>
      <c r="CQ7" s="1539" t="str">
        <f>IF(Q19&lt;&gt;"",Q$1&amp;" "&amp;W16&amp;" "&amp;Q19,"")</f>
        <v/>
      </c>
      <c r="CR7" s="1534" t="s">
        <v>525</v>
      </c>
      <c r="CS7" s="1531"/>
      <c r="CT7" s="1533"/>
      <c r="CU7" s="1534" t="s">
        <v>525</v>
      </c>
      <c r="CV7" s="1539" t="str">
        <f>IF(Q25&lt;&gt;"",Q$1&amp;" "&amp;W22&amp;" "&amp;Q25,"")</f>
        <v/>
      </c>
      <c r="CW7" s="1534" t="s">
        <v>525</v>
      </c>
      <c r="CX7" s="1531"/>
      <c r="CY7" s="1533"/>
      <c r="CZ7" s="1534" t="s">
        <v>525</v>
      </c>
      <c r="DA7" s="1539" t="str">
        <f>IF(Q31&lt;&gt;"",Q$1&amp;" "&amp;W28&amp;" "&amp;Q31,"")</f>
        <v/>
      </c>
      <c r="DB7" s="1534" t="s">
        <v>525</v>
      </c>
      <c r="DC7" s="1531"/>
      <c r="DD7" s="1533"/>
      <c r="DE7" s="1534" t="s">
        <v>525</v>
      </c>
      <c r="DF7" s="1539" t="str">
        <f>IF(Q37&lt;&gt;"",Q$1&amp;" "&amp;W34&amp;" "&amp;Q37,"")</f>
        <v/>
      </c>
      <c r="DG7" s="1534" t="s">
        <v>525</v>
      </c>
      <c r="DH7" s="1531"/>
      <c r="DI7" s="1533"/>
      <c r="DJ7" s="1534" t="s">
        <v>525</v>
      </c>
    </row>
    <row r="8" spans="1:114" ht="17.100000000000001" customHeight="1" x14ac:dyDescent="0.15">
      <c r="A8" s="81"/>
      <c r="C8" s="3799"/>
      <c r="D8" s="3799"/>
      <c r="E8" s="3799"/>
      <c r="F8" s="3800"/>
      <c r="G8" s="3800"/>
      <c r="H8" s="3800"/>
      <c r="I8" s="3800"/>
      <c r="J8" s="3800"/>
      <c r="K8" s="3800"/>
      <c r="L8" s="3801"/>
      <c r="M8" s="3801"/>
      <c r="N8" s="3801"/>
      <c r="P8" s="92"/>
      <c r="Q8" s="3777"/>
      <c r="R8" s="3777"/>
      <c r="S8" s="3777"/>
      <c r="T8" s="3777"/>
      <c r="U8" s="3777"/>
      <c r="V8" s="3777"/>
      <c r="W8" s="3777"/>
      <c r="X8" s="3777"/>
      <c r="Y8" s="105"/>
      <c r="Z8" s="3777"/>
      <c r="AA8" s="3777"/>
      <c r="AB8" s="3777"/>
      <c r="AC8" s="3777"/>
      <c r="AD8" s="3777"/>
      <c r="AE8" s="3777"/>
      <c r="AF8" s="3777"/>
      <c r="AG8" s="3777"/>
      <c r="AH8" s="105"/>
      <c r="AI8" s="3777"/>
      <c r="AJ8" s="3777"/>
      <c r="AK8" s="3777"/>
      <c r="AL8" s="3777"/>
      <c r="AM8" s="3777"/>
      <c r="AN8" s="3777"/>
      <c r="AO8" s="3777"/>
      <c r="AP8" s="3777"/>
      <c r="AQ8" s="105"/>
      <c r="AR8" s="3777"/>
      <c r="AS8" s="3777"/>
      <c r="AT8" s="3777"/>
      <c r="AU8" s="3777"/>
      <c r="AV8" s="3777"/>
      <c r="AW8" s="3777"/>
      <c r="AX8" s="3777"/>
      <c r="AY8" s="3777"/>
      <c r="AZ8" s="105"/>
      <c r="BA8" s="3777"/>
      <c r="BB8" s="3777"/>
      <c r="BC8" s="3777"/>
      <c r="BD8" s="3777"/>
      <c r="BE8" s="3777"/>
      <c r="BF8" s="3777"/>
      <c r="BG8" s="3777"/>
      <c r="BH8" s="3777"/>
      <c r="BI8" s="105"/>
      <c r="BJ8" s="3784"/>
      <c r="BK8" s="3784"/>
      <c r="BL8" s="3784"/>
      <c r="BM8" s="3784"/>
      <c r="BN8" s="3784"/>
      <c r="BO8" s="3784"/>
      <c r="BP8" s="3784"/>
      <c r="BQ8" s="3784"/>
      <c r="BR8" s="105"/>
      <c r="BS8" s="3784"/>
      <c r="BT8" s="3784"/>
      <c r="BU8" s="3784"/>
      <c r="BV8" s="3784"/>
      <c r="BW8" s="3784"/>
      <c r="BX8" s="3784"/>
      <c r="BY8" s="3784"/>
      <c r="BZ8" s="3784"/>
      <c r="CA8" s="81"/>
      <c r="CD8" s="46"/>
      <c r="CE8" s="46"/>
      <c r="CG8" s="1540" t="str">
        <f>IF(Q8&lt;&gt;"",Q$1&amp;" "&amp;W4&amp;" "&amp;Q8,"")</f>
        <v/>
      </c>
      <c r="CH8" s="1534" t="s">
        <v>525</v>
      </c>
      <c r="CI8" s="1531"/>
      <c r="CJ8" s="1533"/>
      <c r="CK8" s="1534" t="s">
        <v>525</v>
      </c>
      <c r="CL8" s="1540" t="str">
        <f>IF(Q14&lt;&gt;"",Q$1&amp;" "&amp;W10&amp;" "&amp;Q14,"")</f>
        <v/>
      </c>
      <c r="CM8" s="1534" t="s">
        <v>525</v>
      </c>
      <c r="CN8" s="1531"/>
      <c r="CO8" s="1533"/>
      <c r="CP8" s="1534" t="s">
        <v>525</v>
      </c>
      <c r="CQ8" s="1540" t="str">
        <f>IF(Q20&lt;&gt;"",Q$1&amp;" "&amp;W16&amp;" "&amp;Q20,"")</f>
        <v/>
      </c>
      <c r="CR8" s="1534" t="s">
        <v>525</v>
      </c>
      <c r="CS8" s="1531"/>
      <c r="CT8" s="1533"/>
      <c r="CU8" s="1534" t="s">
        <v>525</v>
      </c>
      <c r="CV8" s="1540" t="str">
        <f>IF(Q26&lt;&gt;"",Q$1&amp;" "&amp;W22&amp;" "&amp;Q26,"")</f>
        <v/>
      </c>
      <c r="CW8" s="1534" t="s">
        <v>525</v>
      </c>
      <c r="CX8" s="1531"/>
      <c r="CY8" s="1533"/>
      <c r="CZ8" s="1534" t="s">
        <v>525</v>
      </c>
      <c r="DA8" s="1540" t="str">
        <f>IF(Q32&lt;&gt;"",Q$1&amp;" "&amp;W28&amp;" "&amp;Q32,"")</f>
        <v/>
      </c>
      <c r="DB8" s="1534" t="s">
        <v>525</v>
      </c>
      <c r="DC8" s="1531"/>
      <c r="DD8" s="1533"/>
      <c r="DE8" s="1534" t="s">
        <v>525</v>
      </c>
      <c r="DF8" s="1540" t="str">
        <f>IF(Q38&lt;&gt;"",Q$1&amp;" "&amp;W34&amp;" "&amp;Q38,"")</f>
        <v/>
      </c>
      <c r="DG8" s="1534" t="s">
        <v>525</v>
      </c>
      <c r="DH8" s="1531"/>
      <c r="DI8" s="1533"/>
      <c r="DJ8" s="1534" t="s">
        <v>525</v>
      </c>
    </row>
    <row r="9" spans="1:114" ht="14.1" customHeight="1" x14ac:dyDescent="0.15">
      <c r="A9" s="17"/>
      <c r="C9" s="3799"/>
      <c r="D9" s="3799"/>
      <c r="E9" s="3799"/>
      <c r="F9" s="3800"/>
      <c r="G9" s="3800"/>
      <c r="H9" s="3800"/>
      <c r="I9" s="3800"/>
      <c r="J9" s="3800"/>
      <c r="K9" s="3800"/>
      <c r="L9" s="3801"/>
      <c r="M9" s="3801"/>
      <c r="N9" s="3801"/>
      <c r="P9" s="92"/>
      <c r="Q9" s="103"/>
      <c r="R9" s="103"/>
      <c r="S9" s="103"/>
      <c r="T9" s="103"/>
      <c r="U9" s="103"/>
      <c r="V9" s="103"/>
      <c r="W9" s="103"/>
      <c r="X9" s="104"/>
      <c r="Y9" s="97"/>
      <c r="Z9" s="103"/>
      <c r="AA9" s="103"/>
      <c r="AB9" s="103"/>
      <c r="AC9" s="103"/>
      <c r="AD9" s="103"/>
      <c r="AE9" s="103"/>
      <c r="AF9" s="103"/>
      <c r="AG9" s="104"/>
      <c r="AH9" s="97"/>
      <c r="AI9" s="103"/>
      <c r="AJ9" s="103"/>
      <c r="AK9" s="103"/>
      <c r="AL9" s="103"/>
      <c r="AM9" s="103"/>
      <c r="AN9" s="103"/>
      <c r="AO9" s="103"/>
      <c r="AP9" s="104"/>
      <c r="AQ9" s="97"/>
      <c r="AR9" s="103"/>
      <c r="AS9" s="103"/>
      <c r="AT9" s="103"/>
      <c r="AU9" s="103"/>
      <c r="AV9" s="103"/>
      <c r="AW9" s="103"/>
      <c r="AX9" s="103"/>
      <c r="AY9" s="104"/>
      <c r="AZ9" s="97"/>
      <c r="BA9" s="103"/>
      <c r="BB9" s="103"/>
      <c r="BC9" s="103"/>
      <c r="BD9" s="103"/>
      <c r="BE9" s="103"/>
      <c r="BF9" s="103"/>
      <c r="BG9" s="103"/>
      <c r="BH9" s="104"/>
      <c r="BI9" s="97"/>
      <c r="BJ9" s="103"/>
      <c r="BK9" s="103"/>
      <c r="BL9" s="103"/>
      <c r="BM9" s="103"/>
      <c r="BN9" s="103"/>
      <c r="BO9" s="103"/>
      <c r="BP9" s="103"/>
      <c r="BQ9" s="104"/>
      <c r="BR9" s="97"/>
      <c r="BS9" s="103"/>
      <c r="BT9" s="103"/>
      <c r="BU9" s="103"/>
      <c r="BV9" s="103"/>
      <c r="BW9" s="103"/>
      <c r="BX9" s="103"/>
      <c r="BY9" s="103"/>
      <c r="BZ9" s="104"/>
      <c r="CA9" s="92"/>
      <c r="CD9" s="46"/>
      <c r="CE9" s="46"/>
      <c r="CG9" s="1538" t="str">
        <f>IF(Z5&lt;&gt;"",Z$1&amp;" "&amp;AF4&amp;" "&amp;Z5,"")</f>
        <v/>
      </c>
      <c r="CH9" s="1534" t="s">
        <v>525</v>
      </c>
      <c r="CI9" s="1531"/>
      <c r="CJ9" s="1533"/>
      <c r="CK9" s="1534" t="s">
        <v>525</v>
      </c>
      <c r="CL9" s="1538" t="str">
        <f>IF(Z11&lt;&gt;"",Z$1&amp;" "&amp;AF10&amp;" "&amp;Z11,"")</f>
        <v/>
      </c>
      <c r="CM9" s="1534" t="s">
        <v>525</v>
      </c>
      <c r="CN9" s="1531"/>
      <c r="CO9" s="1533"/>
      <c r="CP9" s="1534" t="s">
        <v>525</v>
      </c>
      <c r="CQ9" s="1538" t="str">
        <f>IF(Z17&lt;&gt;"",Z$1&amp;" "&amp;AF16&amp;" "&amp;Z17,"")</f>
        <v/>
      </c>
      <c r="CR9" s="1534" t="s">
        <v>525</v>
      </c>
      <c r="CS9" s="1531"/>
      <c r="CT9" s="1533"/>
      <c r="CU9" s="1534" t="s">
        <v>525</v>
      </c>
      <c r="CV9" s="1538" t="str">
        <f>IF(Z23&lt;&gt;"",Z$1&amp;" "&amp;AF22&amp;" "&amp;Z23,"")</f>
        <v/>
      </c>
      <c r="CW9" s="1534" t="s">
        <v>525</v>
      </c>
      <c r="CX9" s="1531"/>
      <c r="CY9" s="1533"/>
      <c r="CZ9" s="1534" t="s">
        <v>525</v>
      </c>
      <c r="DA9" s="1538" t="str">
        <f>IF(Z29&lt;&gt;"",Z$1&amp;" "&amp;AF28&amp;" "&amp;Z29,"")</f>
        <v/>
      </c>
      <c r="DB9" s="1534" t="s">
        <v>525</v>
      </c>
      <c r="DC9" s="1531"/>
      <c r="DD9" s="1533"/>
      <c r="DE9" s="1534" t="s">
        <v>525</v>
      </c>
      <c r="DF9" s="1538" t="str">
        <f>IF(Z35&lt;&gt;"",Z$1&amp;" "&amp;AF34&amp;" "&amp;Z35,"")</f>
        <v/>
      </c>
      <c r="DG9" s="1534" t="s">
        <v>525</v>
      </c>
      <c r="DH9" s="1531"/>
      <c r="DI9" s="1533"/>
      <c r="DJ9" s="1534" t="s">
        <v>525</v>
      </c>
    </row>
    <row r="10" spans="1:114" ht="17.100000000000001" customHeight="1" x14ac:dyDescent="0.25">
      <c r="A10" s="81"/>
      <c r="C10" s="3799"/>
      <c r="D10" s="3799"/>
      <c r="E10" s="3799"/>
      <c r="F10" s="3800"/>
      <c r="G10" s="3800"/>
      <c r="H10" s="3800"/>
      <c r="I10" s="3800"/>
      <c r="J10" s="3800"/>
      <c r="K10" s="3800"/>
      <c r="L10" s="3801"/>
      <c r="M10" s="3801"/>
      <c r="N10" s="3801"/>
      <c r="P10" s="92"/>
      <c r="Q10" s="3791"/>
      <c r="R10" s="3791"/>
      <c r="S10" s="3791"/>
      <c r="T10" s="3791"/>
      <c r="U10" s="3791"/>
      <c r="V10" s="3791"/>
      <c r="W10" s="3792" t="e">
        <f>BY4+1</f>
        <v>#VALUE!</v>
      </c>
      <c r="X10" s="3792"/>
      <c r="Y10" s="98"/>
      <c r="Z10" s="3791"/>
      <c r="AA10" s="3791"/>
      <c r="AB10" s="3791"/>
      <c r="AC10" s="3791"/>
      <c r="AD10" s="3791"/>
      <c r="AE10" s="3791"/>
      <c r="AF10" s="3792" t="e">
        <f>W10+1</f>
        <v>#VALUE!</v>
      </c>
      <c r="AG10" s="3792"/>
      <c r="AH10" s="98"/>
      <c r="AI10" s="3791"/>
      <c r="AJ10" s="3791"/>
      <c r="AK10" s="3791"/>
      <c r="AL10" s="3791"/>
      <c r="AM10" s="3791"/>
      <c r="AN10" s="3791"/>
      <c r="AO10" s="3792" t="e">
        <f>AF10+1</f>
        <v>#VALUE!</v>
      </c>
      <c r="AP10" s="3792"/>
      <c r="AQ10" s="98"/>
      <c r="AR10" s="3791"/>
      <c r="AS10" s="3791"/>
      <c r="AT10" s="3791"/>
      <c r="AU10" s="3791"/>
      <c r="AV10" s="3791"/>
      <c r="AW10" s="3791"/>
      <c r="AX10" s="3792" t="e">
        <f>AO10+1</f>
        <v>#VALUE!</v>
      </c>
      <c r="AY10" s="3792"/>
      <c r="AZ10" s="98"/>
      <c r="BA10" s="3791"/>
      <c r="BB10" s="3791"/>
      <c r="BC10" s="3791"/>
      <c r="BD10" s="3791"/>
      <c r="BE10" s="3791"/>
      <c r="BF10" s="3791"/>
      <c r="BG10" s="3792" t="e">
        <f>AX10+1</f>
        <v>#VALUE!</v>
      </c>
      <c r="BH10" s="3792"/>
      <c r="BI10" s="98"/>
      <c r="BJ10" s="3788"/>
      <c r="BK10" s="3788"/>
      <c r="BL10" s="3788"/>
      <c r="BM10" s="3788"/>
      <c r="BN10" s="3788"/>
      <c r="BO10" s="3788"/>
      <c r="BP10" s="3789" t="str">
        <f>IFERROR(BG10+1,"")</f>
        <v/>
      </c>
      <c r="BQ10" s="3789"/>
      <c r="BR10" s="98"/>
      <c r="BS10" s="3788"/>
      <c r="BT10" s="3788"/>
      <c r="BU10" s="3788"/>
      <c r="BV10" s="3788"/>
      <c r="BW10" s="3788"/>
      <c r="BX10" s="3788"/>
      <c r="BY10" s="3789" t="str">
        <f>IFERROR(BP10+1,"")</f>
        <v/>
      </c>
      <c r="BZ10" s="3789"/>
      <c r="CA10" s="81"/>
      <c r="CD10" s="99" t="s">
        <v>321</v>
      </c>
      <c r="CE10" s="100" t="e">
        <f>MAX(W10:BZ10)</f>
        <v>#VALUE!</v>
      </c>
      <c r="CG10" s="1539" t="str">
        <f>IF(Z6&lt;&gt;"",Z$1&amp;" "&amp;AF4&amp;" "&amp;Z6,"")</f>
        <v/>
      </c>
      <c r="CH10" s="1534" t="s">
        <v>525</v>
      </c>
      <c r="CI10" s="1531"/>
      <c r="CJ10" s="1533"/>
      <c r="CK10" s="1534" t="s">
        <v>525</v>
      </c>
      <c r="CL10" s="1539" t="str">
        <f>IF(Z12&lt;&gt;"",Z$1&amp;" "&amp;AF10&amp;" "&amp;Z12,"")</f>
        <v/>
      </c>
      <c r="CM10" s="1534" t="s">
        <v>525</v>
      </c>
      <c r="CN10" s="1531"/>
      <c r="CO10" s="1533"/>
      <c r="CP10" s="1534" t="s">
        <v>525</v>
      </c>
      <c r="CQ10" s="1539" t="str">
        <f>IF(Z18&lt;&gt;"",Z$1&amp;" "&amp;AF16&amp;" "&amp;Z18,"")</f>
        <v/>
      </c>
      <c r="CR10" s="1534" t="s">
        <v>525</v>
      </c>
      <c r="CS10" s="1531"/>
      <c r="CT10" s="1533"/>
      <c r="CU10" s="1534" t="s">
        <v>525</v>
      </c>
      <c r="CV10" s="1539" t="str">
        <f>IF(Z24&lt;&gt;"",Z$1&amp;" "&amp;AF22&amp;" "&amp;Z24,"")</f>
        <v/>
      </c>
      <c r="CW10" s="1534" t="s">
        <v>525</v>
      </c>
      <c r="CX10" s="1531"/>
      <c r="CY10" s="1533"/>
      <c r="CZ10" s="1534" t="s">
        <v>525</v>
      </c>
      <c r="DA10" s="1539" t="str">
        <f>IF(Z30&lt;&gt;"",Z$1&amp;" "&amp;AF28&amp;" "&amp;Z30,"")</f>
        <v/>
      </c>
      <c r="DB10" s="1534" t="s">
        <v>525</v>
      </c>
      <c r="DC10" s="1531"/>
      <c r="DD10" s="1533"/>
      <c r="DE10" s="1534" t="s">
        <v>525</v>
      </c>
      <c r="DF10" s="1539" t="str">
        <f>IF(Z36&lt;&gt;"",Z$1&amp;" "&amp;AF34&amp;" "&amp;Z36,"")</f>
        <v/>
      </c>
      <c r="DG10" s="1534" t="s">
        <v>525</v>
      </c>
      <c r="DH10" s="1531"/>
      <c r="DI10" s="1533"/>
      <c r="DJ10" s="1534" t="s">
        <v>525</v>
      </c>
    </row>
    <row r="11" spans="1:114" ht="17.100000000000001" customHeight="1" x14ac:dyDescent="0.15">
      <c r="A11" s="17"/>
      <c r="C11" s="3799"/>
      <c r="D11" s="3799"/>
      <c r="E11" s="3799"/>
      <c r="F11" s="3800"/>
      <c r="G11" s="3800"/>
      <c r="H11" s="3800"/>
      <c r="I11" s="3800"/>
      <c r="J11" s="3800"/>
      <c r="K11" s="3800"/>
      <c r="L11" s="3801"/>
      <c r="M11" s="3801"/>
      <c r="N11" s="3801"/>
      <c r="P11" s="105"/>
      <c r="Q11" s="3777"/>
      <c r="R11" s="3777"/>
      <c r="S11" s="3777"/>
      <c r="T11" s="3777"/>
      <c r="U11" s="3777"/>
      <c r="V11" s="3777"/>
      <c r="W11" s="3777"/>
      <c r="X11" s="3777"/>
      <c r="Y11" s="105"/>
      <c r="Z11" s="3777"/>
      <c r="AA11" s="3777"/>
      <c r="AB11" s="3777"/>
      <c r="AC11" s="3777"/>
      <c r="AD11" s="3777"/>
      <c r="AE11" s="3777"/>
      <c r="AF11" s="3777"/>
      <c r="AG11" s="3777"/>
      <c r="AH11" s="105"/>
      <c r="AI11" s="3777"/>
      <c r="AJ11" s="3777"/>
      <c r="AK11" s="3777"/>
      <c r="AL11" s="3777"/>
      <c r="AM11" s="3777"/>
      <c r="AN11" s="3777"/>
      <c r="AO11" s="3777"/>
      <c r="AP11" s="3777"/>
      <c r="AQ11" s="105"/>
      <c r="AR11" s="3777"/>
      <c r="AS11" s="3777"/>
      <c r="AT11" s="3777"/>
      <c r="AU11" s="3777"/>
      <c r="AV11" s="3777"/>
      <c r="AW11" s="3777"/>
      <c r="AX11" s="3777"/>
      <c r="AY11" s="3777"/>
      <c r="AZ11" s="105"/>
      <c r="BA11" s="3777"/>
      <c r="BB11" s="3777"/>
      <c r="BC11" s="3777"/>
      <c r="BD11" s="3777"/>
      <c r="BE11" s="3777"/>
      <c r="BF11" s="3777"/>
      <c r="BG11" s="3777"/>
      <c r="BH11" s="3777"/>
      <c r="BI11" s="105"/>
      <c r="BJ11" s="3784"/>
      <c r="BK11" s="3784"/>
      <c r="BL11" s="3784"/>
      <c r="BM11" s="3784"/>
      <c r="BN11" s="3784"/>
      <c r="BO11" s="3784"/>
      <c r="BP11" s="3784"/>
      <c r="BQ11" s="3784"/>
      <c r="BR11" s="105"/>
      <c r="BS11" s="3784"/>
      <c r="BT11" s="3784"/>
      <c r="BU11" s="3784"/>
      <c r="BV11" s="3784"/>
      <c r="BW11" s="3784"/>
      <c r="BX11" s="3784"/>
      <c r="BY11" s="3784"/>
      <c r="BZ11" s="3784"/>
      <c r="CA11" s="81"/>
      <c r="CD11" s="46"/>
      <c r="CE11" s="46"/>
      <c r="CG11" s="1539" t="str">
        <f>IF(Z7&lt;&gt;"",Z$1&amp;" "&amp;AF4&amp;" "&amp;Z7,"")</f>
        <v/>
      </c>
      <c r="CH11" s="1534" t="s">
        <v>525</v>
      </c>
      <c r="CI11" s="1531"/>
      <c r="CJ11" s="1533"/>
      <c r="CK11" s="1534" t="s">
        <v>525</v>
      </c>
      <c r="CL11" s="1539" t="str">
        <f>IF(Z13&lt;&gt;"",Z$1&amp;" "&amp;AF10&amp;" "&amp;Z13,"")</f>
        <v/>
      </c>
      <c r="CM11" s="1534" t="s">
        <v>525</v>
      </c>
      <c r="CN11" s="1531"/>
      <c r="CO11" s="1533"/>
      <c r="CP11" s="1534" t="s">
        <v>525</v>
      </c>
      <c r="CQ11" s="1539" t="str">
        <f>IF(Z19&lt;&gt;"",Z$1&amp;" "&amp;AF16&amp;" "&amp;Z19,"")</f>
        <v/>
      </c>
      <c r="CR11" s="1534" t="s">
        <v>525</v>
      </c>
      <c r="CS11" s="1531"/>
      <c r="CT11" s="1533"/>
      <c r="CU11" s="1534" t="s">
        <v>525</v>
      </c>
      <c r="CV11" s="1539" t="str">
        <f>IF(Z25&lt;&gt;"",Z$1&amp;" "&amp;AF22&amp;" "&amp;Z25,"")</f>
        <v/>
      </c>
      <c r="CW11" s="1534" t="s">
        <v>525</v>
      </c>
      <c r="CX11" s="1531"/>
      <c r="CY11" s="1533"/>
      <c r="CZ11" s="1534" t="s">
        <v>525</v>
      </c>
      <c r="DA11" s="1539" t="str">
        <f>IF(Z31&lt;&gt;"",Z$1&amp;" "&amp;AF28&amp;" "&amp;Z31,"")</f>
        <v/>
      </c>
      <c r="DB11" s="1534" t="s">
        <v>525</v>
      </c>
      <c r="DC11" s="1531"/>
      <c r="DD11" s="1533"/>
      <c r="DE11" s="1534" t="s">
        <v>525</v>
      </c>
      <c r="DF11" s="1539" t="str">
        <f>IF(Z37&lt;&gt;"",Z$1&amp;" "&amp;AF34&amp;" "&amp;Z37,"")</f>
        <v/>
      </c>
      <c r="DG11" s="1534" t="s">
        <v>525</v>
      </c>
      <c r="DH11" s="1531"/>
      <c r="DI11" s="1533"/>
      <c r="DJ11" s="1534" t="s">
        <v>525</v>
      </c>
    </row>
    <row r="12" spans="1:114" ht="17.100000000000001" customHeight="1" x14ac:dyDescent="0.15">
      <c r="A12" s="81"/>
      <c r="C12" s="3799"/>
      <c r="D12" s="3799"/>
      <c r="E12" s="3799"/>
      <c r="F12" s="3800"/>
      <c r="G12" s="3800"/>
      <c r="H12" s="3800"/>
      <c r="I12" s="3800"/>
      <c r="J12" s="3800"/>
      <c r="K12" s="3800"/>
      <c r="L12" s="3801"/>
      <c r="M12" s="3801"/>
      <c r="N12" s="3801"/>
      <c r="P12" s="92"/>
      <c r="Q12" s="3777"/>
      <c r="R12" s="3777"/>
      <c r="S12" s="3777"/>
      <c r="T12" s="3777"/>
      <c r="U12" s="3777"/>
      <c r="V12" s="3777"/>
      <c r="W12" s="3777"/>
      <c r="X12" s="3777"/>
      <c r="Y12" s="105"/>
      <c r="Z12" s="3777"/>
      <c r="AA12" s="3777"/>
      <c r="AB12" s="3777"/>
      <c r="AC12" s="3777"/>
      <c r="AD12" s="3777"/>
      <c r="AE12" s="3777"/>
      <c r="AF12" s="3777"/>
      <c r="AG12" s="3777"/>
      <c r="AH12" s="105"/>
      <c r="AI12" s="3777"/>
      <c r="AJ12" s="3777"/>
      <c r="AK12" s="3777"/>
      <c r="AL12" s="3777"/>
      <c r="AM12" s="3777"/>
      <c r="AN12" s="3777"/>
      <c r="AO12" s="3777"/>
      <c r="AP12" s="3777"/>
      <c r="AQ12" s="105"/>
      <c r="AR12" s="3777"/>
      <c r="AS12" s="3777"/>
      <c r="AT12" s="3777"/>
      <c r="AU12" s="3777"/>
      <c r="AV12" s="3777"/>
      <c r="AW12" s="3777"/>
      <c r="AX12" s="3777"/>
      <c r="AY12" s="3777"/>
      <c r="AZ12" s="105"/>
      <c r="BA12" s="3777"/>
      <c r="BB12" s="3777"/>
      <c r="BC12" s="3777"/>
      <c r="BD12" s="3777"/>
      <c r="BE12" s="3777"/>
      <c r="BF12" s="3777"/>
      <c r="BG12" s="3777"/>
      <c r="BH12" s="3777"/>
      <c r="BI12" s="105"/>
      <c r="BJ12" s="3784"/>
      <c r="BK12" s="3784"/>
      <c r="BL12" s="3784"/>
      <c r="BM12" s="3784"/>
      <c r="BN12" s="3784"/>
      <c r="BO12" s="3784"/>
      <c r="BP12" s="3784"/>
      <c r="BQ12" s="3784"/>
      <c r="BR12" s="105"/>
      <c r="BS12" s="3784"/>
      <c r="BT12" s="3784"/>
      <c r="BU12" s="3784"/>
      <c r="BV12" s="3784"/>
      <c r="BW12" s="3784"/>
      <c r="BX12" s="3784"/>
      <c r="BY12" s="3784"/>
      <c r="BZ12" s="3784"/>
      <c r="CA12" s="81"/>
      <c r="CD12" s="46"/>
      <c r="CE12" s="46"/>
      <c r="CG12" s="1540" t="str">
        <f>IF(Z8&lt;&gt;"",Z$1&amp;" "&amp;AF4&amp;" "&amp;Z8,"")</f>
        <v/>
      </c>
      <c r="CH12" s="1534" t="s">
        <v>525</v>
      </c>
      <c r="CI12" s="1531"/>
      <c r="CJ12" s="1533"/>
      <c r="CK12" s="1534" t="s">
        <v>525</v>
      </c>
      <c r="CL12" s="1540" t="str">
        <f>IF(Z14&lt;&gt;"",Z$1&amp;" "&amp;AF10&amp;" "&amp;Z14,"")</f>
        <v/>
      </c>
      <c r="CM12" s="1534" t="s">
        <v>525</v>
      </c>
      <c r="CN12" s="1531"/>
      <c r="CO12" s="1533"/>
      <c r="CP12" s="1534" t="s">
        <v>525</v>
      </c>
      <c r="CQ12" s="1540" t="str">
        <f>IF(Z20&lt;&gt;"",Z$1&amp;" "&amp;AF16&amp;" "&amp;Z20,"")</f>
        <v/>
      </c>
      <c r="CR12" s="1534" t="s">
        <v>525</v>
      </c>
      <c r="CS12" s="1531"/>
      <c r="CT12" s="1533"/>
      <c r="CU12" s="1534" t="s">
        <v>525</v>
      </c>
      <c r="CV12" s="1540" t="str">
        <f>IF(Z26&lt;&gt;"",Z$1&amp;" "&amp;AF22&amp;" "&amp;Z26,"")</f>
        <v/>
      </c>
      <c r="CW12" s="1534" t="s">
        <v>525</v>
      </c>
      <c r="CX12" s="1531"/>
      <c r="CY12" s="1533"/>
      <c r="CZ12" s="1534" t="s">
        <v>525</v>
      </c>
      <c r="DA12" s="1540" t="str">
        <f>IF(Z32&lt;&gt;"",Z$1&amp;" "&amp;AF28&amp;" "&amp;Z32,"")</f>
        <v/>
      </c>
      <c r="DB12" s="1534" t="s">
        <v>525</v>
      </c>
      <c r="DC12" s="1531"/>
      <c r="DD12" s="1533"/>
      <c r="DE12" s="1534" t="s">
        <v>525</v>
      </c>
      <c r="DF12" s="1540" t="str">
        <f>IF(Z38&lt;&gt;"",Z$1&amp;" "&amp;AF34&amp;" "&amp;Z38,"")</f>
        <v/>
      </c>
      <c r="DG12" s="1534" t="s">
        <v>525</v>
      </c>
      <c r="DH12" s="1531"/>
      <c r="DI12" s="1533"/>
      <c r="DJ12" s="1534" t="s">
        <v>525</v>
      </c>
    </row>
    <row r="13" spans="1:114" ht="17.100000000000001" customHeight="1" x14ac:dyDescent="0.15">
      <c r="A13" s="17"/>
      <c r="C13" s="3799"/>
      <c r="D13" s="3799"/>
      <c r="E13" s="3799"/>
      <c r="F13" s="3800"/>
      <c r="G13" s="3800"/>
      <c r="H13" s="3800"/>
      <c r="I13" s="3800"/>
      <c r="J13" s="3800"/>
      <c r="K13" s="3800"/>
      <c r="L13" s="3801"/>
      <c r="M13" s="3801"/>
      <c r="N13" s="3801"/>
      <c r="P13" s="92"/>
      <c r="Q13" s="3777"/>
      <c r="R13" s="3777"/>
      <c r="S13" s="3777"/>
      <c r="T13" s="3777"/>
      <c r="U13" s="3777"/>
      <c r="V13" s="3777"/>
      <c r="W13" s="3777"/>
      <c r="X13" s="3777"/>
      <c r="Y13" s="105"/>
      <c r="Z13" s="3777"/>
      <c r="AA13" s="3777"/>
      <c r="AB13" s="3777"/>
      <c r="AC13" s="3777"/>
      <c r="AD13" s="3777"/>
      <c r="AE13" s="3777"/>
      <c r="AF13" s="3777"/>
      <c r="AG13" s="3777"/>
      <c r="AH13" s="105"/>
      <c r="AI13" s="3777"/>
      <c r="AJ13" s="3777"/>
      <c r="AK13" s="3777"/>
      <c r="AL13" s="3777"/>
      <c r="AM13" s="3777"/>
      <c r="AN13" s="3777"/>
      <c r="AO13" s="3777"/>
      <c r="AP13" s="3777"/>
      <c r="AQ13" s="105"/>
      <c r="AR13" s="3777"/>
      <c r="AS13" s="3777"/>
      <c r="AT13" s="3777"/>
      <c r="AU13" s="3777"/>
      <c r="AV13" s="3777"/>
      <c r="AW13" s="3777"/>
      <c r="AX13" s="3777"/>
      <c r="AY13" s="3777"/>
      <c r="AZ13" s="105"/>
      <c r="BA13" s="3777"/>
      <c r="BB13" s="3777"/>
      <c r="BC13" s="3777"/>
      <c r="BD13" s="3777"/>
      <c r="BE13" s="3777"/>
      <c r="BF13" s="3777"/>
      <c r="BG13" s="3777"/>
      <c r="BH13" s="3777"/>
      <c r="BI13" s="105"/>
      <c r="BJ13" s="3784"/>
      <c r="BK13" s="3784"/>
      <c r="BL13" s="3784"/>
      <c r="BM13" s="3784"/>
      <c r="BN13" s="3784"/>
      <c r="BO13" s="3784"/>
      <c r="BP13" s="3784"/>
      <c r="BQ13" s="3784"/>
      <c r="BR13" s="105"/>
      <c r="BS13" s="3784"/>
      <c r="BT13" s="3784"/>
      <c r="BU13" s="3784"/>
      <c r="BV13" s="3784"/>
      <c r="BW13" s="3784"/>
      <c r="BX13" s="3784"/>
      <c r="BY13" s="3784"/>
      <c r="BZ13" s="3784"/>
      <c r="CA13" s="81"/>
      <c r="CD13" s="46"/>
      <c r="CE13" s="46"/>
      <c r="CG13" s="1538" t="str">
        <f>IF(AI5&lt;&gt;"",AI$1&amp;" "&amp;AO4&amp;" "&amp;AI5,"")</f>
        <v/>
      </c>
      <c r="CH13" s="1534" t="s">
        <v>525</v>
      </c>
      <c r="CI13" s="1531"/>
      <c r="CJ13" s="1533"/>
      <c r="CK13" s="1534" t="s">
        <v>525</v>
      </c>
      <c r="CL13" s="1538" t="str">
        <f>IF(AI11&lt;&gt;"",AI$1&amp;" "&amp;AO10&amp;" "&amp;AI11,"")</f>
        <v/>
      </c>
      <c r="CM13" s="1534" t="s">
        <v>525</v>
      </c>
      <c r="CN13" s="1531"/>
      <c r="CO13" s="1533"/>
      <c r="CP13" s="1534" t="s">
        <v>525</v>
      </c>
      <c r="CQ13" s="1538" t="str">
        <f>IF(AI17&lt;&gt;"",AI$1&amp;" "&amp;AO16&amp;" "&amp;AI17,"")</f>
        <v/>
      </c>
      <c r="CR13" s="1534" t="s">
        <v>525</v>
      </c>
      <c r="CS13" s="1531"/>
      <c r="CT13" s="1533"/>
      <c r="CU13" s="1534" t="s">
        <v>525</v>
      </c>
      <c r="CV13" s="1538" t="str">
        <f>IF(AI23&lt;&gt;"",AI$1&amp;" "&amp;AO22&amp;" "&amp;AI23,"")</f>
        <v/>
      </c>
      <c r="CW13" s="1534" t="s">
        <v>525</v>
      </c>
      <c r="CX13" s="1531"/>
      <c r="CY13" s="1533"/>
      <c r="CZ13" s="1534" t="s">
        <v>525</v>
      </c>
      <c r="DA13" s="1538" t="str">
        <f>IF(AI29&lt;&gt;"",AI$1&amp;" "&amp;AO28&amp;" "&amp;AI29,"")</f>
        <v/>
      </c>
      <c r="DB13" s="1534" t="s">
        <v>525</v>
      </c>
      <c r="DC13" s="1531"/>
      <c r="DD13" s="1533"/>
      <c r="DE13" s="1534" t="s">
        <v>525</v>
      </c>
      <c r="DF13" s="1538" t="str">
        <f>IF(AI35&lt;&gt;"",AI$1&amp;" "&amp;AO34&amp;" "&amp;AI35,"")</f>
        <v/>
      </c>
      <c r="DG13" s="1534" t="s">
        <v>525</v>
      </c>
      <c r="DH13" s="1531"/>
      <c r="DI13" s="1533"/>
      <c r="DJ13" s="1534" t="s">
        <v>525</v>
      </c>
    </row>
    <row r="14" spans="1:114" ht="17.100000000000001" customHeight="1" x14ac:dyDescent="0.15">
      <c r="A14" s="81"/>
      <c r="C14" s="3799"/>
      <c r="D14" s="3799"/>
      <c r="E14" s="3799"/>
      <c r="F14" s="3800"/>
      <c r="G14" s="3800"/>
      <c r="H14" s="3800"/>
      <c r="I14" s="3800"/>
      <c r="J14" s="3800"/>
      <c r="K14" s="3800"/>
      <c r="L14" s="3801"/>
      <c r="M14" s="3801"/>
      <c r="N14" s="3801"/>
      <c r="P14" s="92"/>
      <c r="Q14" s="3777"/>
      <c r="R14" s="3777"/>
      <c r="S14" s="3777"/>
      <c r="T14" s="3777"/>
      <c r="U14" s="3777"/>
      <c r="V14" s="3777"/>
      <c r="W14" s="3777"/>
      <c r="X14" s="3777"/>
      <c r="Y14" s="105"/>
      <c r="Z14" s="3777"/>
      <c r="AA14" s="3777"/>
      <c r="AB14" s="3777"/>
      <c r="AC14" s="3777"/>
      <c r="AD14" s="3777"/>
      <c r="AE14" s="3777"/>
      <c r="AF14" s="3777"/>
      <c r="AG14" s="3777"/>
      <c r="AH14" s="105"/>
      <c r="AI14" s="3777"/>
      <c r="AJ14" s="3777"/>
      <c r="AK14" s="3777"/>
      <c r="AL14" s="3777"/>
      <c r="AM14" s="3777"/>
      <c r="AN14" s="3777"/>
      <c r="AO14" s="3777"/>
      <c r="AP14" s="3777"/>
      <c r="AQ14" s="105"/>
      <c r="AR14" s="3777"/>
      <c r="AS14" s="3777"/>
      <c r="AT14" s="3777"/>
      <c r="AU14" s="3777"/>
      <c r="AV14" s="3777"/>
      <c r="AW14" s="3777"/>
      <c r="AX14" s="3777"/>
      <c r="AY14" s="3777"/>
      <c r="AZ14" s="105"/>
      <c r="BA14" s="3777"/>
      <c r="BB14" s="3777"/>
      <c r="BC14" s="3777"/>
      <c r="BD14" s="3777"/>
      <c r="BE14" s="3777"/>
      <c r="BF14" s="3777"/>
      <c r="BG14" s="3777"/>
      <c r="BH14" s="3777"/>
      <c r="BI14" s="105"/>
      <c r="BJ14" s="3784"/>
      <c r="BK14" s="3784"/>
      <c r="BL14" s="3784"/>
      <c r="BM14" s="3784"/>
      <c r="BN14" s="3784"/>
      <c r="BO14" s="3784"/>
      <c r="BP14" s="3784"/>
      <c r="BQ14" s="3784"/>
      <c r="BR14" s="105"/>
      <c r="BS14" s="3784"/>
      <c r="BT14" s="3784"/>
      <c r="BU14" s="3784"/>
      <c r="BV14" s="3784"/>
      <c r="BW14" s="3784"/>
      <c r="BX14" s="3784"/>
      <c r="BY14" s="3784"/>
      <c r="BZ14" s="3784"/>
      <c r="CA14" s="81"/>
      <c r="CD14" s="46"/>
      <c r="CE14" s="46"/>
      <c r="CG14" s="1539" t="str">
        <f>IF(AI6&lt;&gt;"",AI$1&amp;" "&amp;AO4&amp;" "&amp;AI6,"")</f>
        <v/>
      </c>
      <c r="CH14" s="1534" t="s">
        <v>525</v>
      </c>
      <c r="CI14" s="1531"/>
      <c r="CJ14" s="1533"/>
      <c r="CK14" s="1534" t="s">
        <v>525</v>
      </c>
      <c r="CL14" s="1539" t="str">
        <f>IF(AI12&lt;&gt;"",AI$1&amp;" "&amp;AO10&amp;" "&amp;AI12,"")</f>
        <v/>
      </c>
      <c r="CM14" s="1534" t="s">
        <v>525</v>
      </c>
      <c r="CN14" s="1531"/>
      <c r="CO14" s="1533"/>
      <c r="CP14" s="1534" t="s">
        <v>525</v>
      </c>
      <c r="CQ14" s="1539" t="str">
        <f>IF(AI18&lt;&gt;"",AI$1&amp;" "&amp;AO16&amp;" "&amp;AI18,"")</f>
        <v/>
      </c>
      <c r="CR14" s="1534" t="s">
        <v>525</v>
      </c>
      <c r="CS14" s="1531"/>
      <c r="CT14" s="1533"/>
      <c r="CU14" s="1534" t="s">
        <v>525</v>
      </c>
      <c r="CV14" s="1539" t="str">
        <f>IF(AI24&lt;&gt;"",AI$1&amp;" "&amp;AO22&amp;" "&amp;AI24,"")</f>
        <v/>
      </c>
      <c r="CW14" s="1534" t="s">
        <v>525</v>
      </c>
      <c r="CX14" s="1531"/>
      <c r="CY14" s="1533"/>
      <c r="CZ14" s="1534" t="s">
        <v>525</v>
      </c>
      <c r="DA14" s="1539" t="str">
        <f>IF(AI30&lt;&gt;"",AI$1&amp;" "&amp;AO28&amp;" "&amp;AI30,"")</f>
        <v/>
      </c>
      <c r="DB14" s="1534" t="s">
        <v>525</v>
      </c>
      <c r="DC14" s="1531"/>
      <c r="DD14" s="1533"/>
      <c r="DE14" s="1534" t="s">
        <v>525</v>
      </c>
      <c r="DF14" s="1539" t="str">
        <f>IF(AI36&lt;&gt;"",AI$1&amp;" "&amp;AO34&amp;" "&amp;AI36,"")</f>
        <v/>
      </c>
      <c r="DG14" s="1534" t="s">
        <v>525</v>
      </c>
      <c r="DH14" s="1531"/>
      <c r="DI14" s="1533"/>
      <c r="DJ14" s="1534" t="s">
        <v>525</v>
      </c>
    </row>
    <row r="15" spans="1:114" ht="14.1" customHeight="1" x14ac:dyDescent="0.15">
      <c r="A15" s="17"/>
      <c r="C15" s="3799"/>
      <c r="D15" s="3799"/>
      <c r="E15" s="3799"/>
      <c r="F15" s="3800"/>
      <c r="G15" s="3800"/>
      <c r="H15" s="3800"/>
      <c r="I15" s="3800"/>
      <c r="J15" s="3800"/>
      <c r="K15" s="3800"/>
      <c r="L15" s="3801"/>
      <c r="M15" s="3801"/>
      <c r="N15" s="3801"/>
      <c r="P15" s="92"/>
      <c r="Q15" s="103"/>
      <c r="R15" s="103"/>
      <c r="S15" s="103"/>
      <c r="T15" s="103"/>
      <c r="U15" s="103"/>
      <c r="V15" s="103"/>
      <c r="W15" s="103"/>
      <c r="X15" s="104"/>
      <c r="Y15" s="97"/>
      <c r="Z15" s="103"/>
      <c r="AA15" s="103"/>
      <c r="AB15" s="103"/>
      <c r="AC15" s="103"/>
      <c r="AD15" s="103"/>
      <c r="AE15" s="103"/>
      <c r="AF15" s="103"/>
      <c r="AG15" s="104"/>
      <c r="AH15" s="97"/>
      <c r="AI15" s="103"/>
      <c r="AJ15" s="103"/>
      <c r="AK15" s="103"/>
      <c r="AL15" s="103"/>
      <c r="AM15" s="103"/>
      <c r="AN15" s="103"/>
      <c r="AO15" s="103"/>
      <c r="AP15" s="104"/>
      <c r="AQ15" s="97"/>
      <c r="AR15" s="103"/>
      <c r="AS15" s="103"/>
      <c r="AT15" s="103"/>
      <c r="AU15" s="103"/>
      <c r="AV15" s="103"/>
      <c r="AW15" s="103"/>
      <c r="AX15" s="103"/>
      <c r="AY15" s="104"/>
      <c r="AZ15" s="97"/>
      <c r="BA15" s="103"/>
      <c r="BB15" s="103"/>
      <c r="BC15" s="103"/>
      <c r="BD15" s="103"/>
      <c r="BE15" s="103"/>
      <c r="BF15" s="103"/>
      <c r="BG15" s="103"/>
      <c r="BH15" s="104"/>
      <c r="BI15" s="97"/>
      <c r="BJ15" s="103"/>
      <c r="BK15" s="103"/>
      <c r="BL15" s="103"/>
      <c r="BM15" s="103"/>
      <c r="BN15" s="103"/>
      <c r="BO15" s="103"/>
      <c r="BP15" s="103"/>
      <c r="BQ15" s="104"/>
      <c r="BR15" s="97"/>
      <c r="BS15" s="103"/>
      <c r="BT15" s="103"/>
      <c r="BU15" s="103"/>
      <c r="BV15" s="103"/>
      <c r="BW15" s="103"/>
      <c r="BX15" s="103"/>
      <c r="BY15" s="103"/>
      <c r="BZ15" s="104"/>
      <c r="CA15" s="81"/>
      <c r="CD15" s="46"/>
      <c r="CE15" s="46"/>
      <c r="CG15" s="1539" t="str">
        <f>IF(AI7&lt;&gt;"",AI$1&amp;" "&amp;AO4&amp;" "&amp;AI7,"")</f>
        <v/>
      </c>
      <c r="CH15" s="1534" t="s">
        <v>525</v>
      </c>
      <c r="CI15" s="1531"/>
      <c r="CJ15" s="1533"/>
      <c r="CK15" s="1534" t="s">
        <v>525</v>
      </c>
      <c r="CL15" s="1539" t="str">
        <f>IF(AI13&lt;&gt;"",AI$1&amp;" "&amp;AO10&amp;" "&amp;AI13,"")</f>
        <v/>
      </c>
      <c r="CM15" s="1534" t="s">
        <v>525</v>
      </c>
      <c r="CN15" s="1531"/>
      <c r="CO15" s="1533"/>
      <c r="CP15" s="1534" t="s">
        <v>525</v>
      </c>
      <c r="CQ15" s="1539" t="str">
        <f>IF(AI19&lt;&gt;"",AI$1&amp;" "&amp;AO16&amp;" "&amp;AI19,"")</f>
        <v/>
      </c>
      <c r="CR15" s="1534" t="s">
        <v>525</v>
      </c>
      <c r="CS15" s="1531"/>
      <c r="CT15" s="1533"/>
      <c r="CU15" s="1534" t="s">
        <v>525</v>
      </c>
      <c r="CV15" s="1539" t="str">
        <f>IF(AI25&lt;&gt;"",AI$1&amp;" "&amp;AO22&amp;" "&amp;AI25,"")</f>
        <v/>
      </c>
      <c r="CW15" s="1534" t="s">
        <v>525</v>
      </c>
      <c r="CX15" s="1531"/>
      <c r="CY15" s="1533"/>
      <c r="CZ15" s="1534" t="s">
        <v>525</v>
      </c>
      <c r="DA15" s="1539" t="str">
        <f>IF(AI31&lt;&gt;"",AI$1&amp;" "&amp;AO28&amp;" "&amp;AI31,"")</f>
        <v/>
      </c>
      <c r="DB15" s="1534" t="s">
        <v>525</v>
      </c>
      <c r="DC15" s="1531"/>
      <c r="DD15" s="1533"/>
      <c r="DE15" s="1534" t="s">
        <v>525</v>
      </c>
      <c r="DF15" s="1539" t="str">
        <f>IF(AI37&lt;&gt;"",AI$1&amp;" "&amp;AO34&amp;" "&amp;AI37,"")</f>
        <v/>
      </c>
      <c r="DG15" s="1534" t="s">
        <v>525</v>
      </c>
      <c r="DH15" s="1531"/>
      <c r="DI15" s="1533"/>
      <c r="DJ15" s="1534" t="s">
        <v>525</v>
      </c>
    </row>
    <row r="16" spans="1:114" ht="17.100000000000001" customHeight="1" x14ac:dyDescent="0.25">
      <c r="A16" s="81"/>
      <c r="C16" s="3799"/>
      <c r="D16" s="3799"/>
      <c r="E16" s="3799"/>
      <c r="F16" s="3800"/>
      <c r="G16" s="3800"/>
      <c r="H16" s="3800"/>
      <c r="I16" s="3800"/>
      <c r="J16" s="3800"/>
      <c r="K16" s="3800"/>
      <c r="L16" s="3801"/>
      <c r="M16" s="3801"/>
      <c r="N16" s="3801"/>
      <c r="P16" s="92"/>
      <c r="Q16" s="3791"/>
      <c r="R16" s="3791"/>
      <c r="S16" s="3791"/>
      <c r="T16" s="3791"/>
      <c r="U16" s="3791"/>
      <c r="V16" s="3791"/>
      <c r="W16" s="3792" t="e">
        <f>BY10+1</f>
        <v>#VALUE!</v>
      </c>
      <c r="X16" s="3792"/>
      <c r="Y16" s="98"/>
      <c r="Z16" s="3791"/>
      <c r="AA16" s="3791"/>
      <c r="AB16" s="3791"/>
      <c r="AC16" s="3791"/>
      <c r="AD16" s="3791"/>
      <c r="AE16" s="3791"/>
      <c r="AF16" s="3792" t="e">
        <f>W16+1</f>
        <v>#VALUE!</v>
      </c>
      <c r="AG16" s="3792"/>
      <c r="AH16" s="98"/>
      <c r="AI16" s="3791"/>
      <c r="AJ16" s="3791"/>
      <c r="AK16" s="3791"/>
      <c r="AL16" s="3791"/>
      <c r="AM16" s="3791"/>
      <c r="AN16" s="3791"/>
      <c r="AO16" s="3792" t="e">
        <f>AF16+1</f>
        <v>#VALUE!</v>
      </c>
      <c r="AP16" s="3792"/>
      <c r="AQ16" s="98"/>
      <c r="AR16" s="3791"/>
      <c r="AS16" s="3791"/>
      <c r="AT16" s="3791"/>
      <c r="AU16" s="3791"/>
      <c r="AV16" s="3791"/>
      <c r="AW16" s="3791"/>
      <c r="AX16" s="3792" t="e">
        <f>AO16+1</f>
        <v>#VALUE!</v>
      </c>
      <c r="AY16" s="3792"/>
      <c r="AZ16" s="98"/>
      <c r="BA16" s="3791"/>
      <c r="BB16" s="3791"/>
      <c r="BC16" s="3791"/>
      <c r="BD16" s="3791"/>
      <c r="BE16" s="3791"/>
      <c r="BF16" s="3791"/>
      <c r="BG16" s="3792" t="e">
        <f>AX16+1</f>
        <v>#VALUE!</v>
      </c>
      <c r="BH16" s="3792"/>
      <c r="BI16" s="98"/>
      <c r="BJ16" s="3788"/>
      <c r="BK16" s="3788"/>
      <c r="BL16" s="3788"/>
      <c r="BM16" s="3788"/>
      <c r="BN16" s="3788"/>
      <c r="BO16" s="3788"/>
      <c r="BP16" s="3789" t="str">
        <f>IFERROR(BG16+1,"")</f>
        <v/>
      </c>
      <c r="BQ16" s="3789"/>
      <c r="BR16" s="98"/>
      <c r="BS16" s="3788"/>
      <c r="BT16" s="3788"/>
      <c r="BU16" s="3788"/>
      <c r="BV16" s="3788"/>
      <c r="BW16" s="3788"/>
      <c r="BX16" s="3788"/>
      <c r="BY16" s="3789" t="str">
        <f>IFERROR(BP16+1,"")</f>
        <v/>
      </c>
      <c r="BZ16" s="3789"/>
      <c r="CA16" s="81"/>
      <c r="CD16" s="99" t="s">
        <v>322</v>
      </c>
      <c r="CE16" s="100" t="e">
        <f>MAX(W16:BZ16)</f>
        <v>#VALUE!</v>
      </c>
      <c r="CG16" s="1540" t="str">
        <f>IF(AI8&lt;&gt;"",AI$1&amp;" "&amp;AO4&amp;" "&amp;AI8,"")</f>
        <v/>
      </c>
      <c r="CH16" s="1534" t="s">
        <v>525</v>
      </c>
      <c r="CI16" s="1536"/>
      <c r="CJ16" s="1537"/>
      <c r="CK16" s="1534" t="s">
        <v>525</v>
      </c>
      <c r="CL16" s="1540" t="str">
        <f>IF(AI14&lt;&gt;"",AI$1&amp;" "&amp;AO10&amp;" "&amp;AI14,"")</f>
        <v/>
      </c>
      <c r="CM16" s="1534" t="s">
        <v>525</v>
      </c>
      <c r="CN16" s="1536"/>
      <c r="CO16" s="1537"/>
      <c r="CP16" s="1534" t="s">
        <v>525</v>
      </c>
      <c r="CQ16" s="1540" t="str">
        <f>IF(AI20&lt;&gt;"",AI$1&amp;" "&amp;AO16&amp;" "&amp;AI20,"")</f>
        <v/>
      </c>
      <c r="CR16" s="1534" t="s">
        <v>525</v>
      </c>
      <c r="CS16" s="1536"/>
      <c r="CT16" s="1537"/>
      <c r="CU16" s="1534" t="s">
        <v>525</v>
      </c>
      <c r="CV16" s="1540" t="str">
        <f>IF(AI26&lt;&gt;"",AI$1&amp;" "&amp;AO22&amp;" "&amp;AI26,"")</f>
        <v/>
      </c>
      <c r="CW16" s="1534" t="s">
        <v>525</v>
      </c>
      <c r="CX16" s="1536"/>
      <c r="CY16" s="1537"/>
      <c r="CZ16" s="1534" t="s">
        <v>525</v>
      </c>
      <c r="DA16" s="1540" t="str">
        <f>IF(AI32&lt;&gt;"",AI$1&amp;" "&amp;AO28&amp;" "&amp;AI32,"")</f>
        <v/>
      </c>
      <c r="DB16" s="1534" t="s">
        <v>525</v>
      </c>
      <c r="DC16" s="1536"/>
      <c r="DD16" s="1537"/>
      <c r="DE16" s="1534" t="s">
        <v>525</v>
      </c>
      <c r="DF16" s="1540" t="str">
        <f>IF(AI38&lt;&gt;"",AI$1&amp;" "&amp;AO34&amp;" "&amp;AI38,"")</f>
        <v/>
      </c>
      <c r="DG16" s="1534" t="s">
        <v>525</v>
      </c>
      <c r="DH16" s="1536"/>
      <c r="DI16" s="1537"/>
      <c r="DJ16" s="1534" t="s">
        <v>525</v>
      </c>
    </row>
    <row r="17" spans="1:114" ht="17.100000000000001" customHeight="1" x14ac:dyDescent="0.15">
      <c r="A17" s="17"/>
      <c r="C17" s="3799"/>
      <c r="D17" s="3799"/>
      <c r="E17" s="3799"/>
      <c r="F17" s="3800"/>
      <c r="G17" s="3800"/>
      <c r="H17" s="3800"/>
      <c r="I17" s="3800"/>
      <c r="J17" s="3800"/>
      <c r="K17" s="3800"/>
      <c r="L17" s="3801"/>
      <c r="M17" s="3801"/>
      <c r="N17" s="3801"/>
      <c r="P17" s="92"/>
      <c r="Q17" s="3777"/>
      <c r="R17" s="3777"/>
      <c r="S17" s="3777"/>
      <c r="T17" s="3777"/>
      <c r="U17" s="3777"/>
      <c r="V17" s="3777"/>
      <c r="W17" s="3777"/>
      <c r="X17" s="3777"/>
      <c r="Y17" s="105"/>
      <c r="Z17" s="3777"/>
      <c r="AA17" s="3777"/>
      <c r="AB17" s="3777"/>
      <c r="AC17" s="3777"/>
      <c r="AD17" s="3777"/>
      <c r="AE17" s="3777"/>
      <c r="AF17" s="3777"/>
      <c r="AG17" s="3777"/>
      <c r="AH17" s="105"/>
      <c r="AI17" s="3777"/>
      <c r="AJ17" s="3777"/>
      <c r="AK17" s="3777"/>
      <c r="AL17" s="3777"/>
      <c r="AM17" s="3777"/>
      <c r="AN17" s="3777"/>
      <c r="AO17" s="3777"/>
      <c r="AP17" s="3777"/>
      <c r="AQ17" s="105"/>
      <c r="AR17" s="3777"/>
      <c r="AS17" s="3777"/>
      <c r="AT17" s="3777"/>
      <c r="AU17" s="3777"/>
      <c r="AV17" s="3777"/>
      <c r="AW17" s="3777"/>
      <c r="AX17" s="3777"/>
      <c r="AY17" s="3777"/>
      <c r="AZ17" s="105"/>
      <c r="BA17" s="3777"/>
      <c r="BB17" s="3777"/>
      <c r="BC17" s="3777"/>
      <c r="BD17" s="3777"/>
      <c r="BE17" s="3777"/>
      <c r="BF17" s="3777"/>
      <c r="BG17" s="3777"/>
      <c r="BH17" s="3777"/>
      <c r="BI17" s="105"/>
      <c r="BJ17" s="3784"/>
      <c r="BK17" s="3784"/>
      <c r="BL17" s="3784"/>
      <c r="BM17" s="3784"/>
      <c r="BN17" s="3784"/>
      <c r="BO17" s="3784"/>
      <c r="BP17" s="3784"/>
      <c r="BQ17" s="3784"/>
      <c r="BR17" s="105"/>
      <c r="BS17" s="3784"/>
      <c r="BT17" s="3784"/>
      <c r="BU17" s="3784"/>
      <c r="BV17" s="3784"/>
      <c r="BW17" s="3784"/>
      <c r="BX17" s="3784"/>
      <c r="BY17" s="3784"/>
      <c r="BZ17" s="3784"/>
      <c r="CA17" s="81"/>
      <c r="CD17" s="46"/>
      <c r="CE17" s="46"/>
      <c r="CG17" s="1538" t="str">
        <f>IF(AR5&lt;&gt;"",AR$1&amp;" "&amp;AX4&amp;" "&amp;AR5,"")</f>
        <v/>
      </c>
      <c r="CH17" s="1534" t="s">
        <v>525</v>
      </c>
      <c r="CI17" s="325"/>
      <c r="CJ17" s="325"/>
      <c r="CK17" s="1534" t="s">
        <v>525</v>
      </c>
      <c r="CL17" s="1538" t="str">
        <f>IF(AR11&lt;&gt;"",AR$1&amp;" "&amp;AX10&amp;" "&amp;AR11,"")</f>
        <v/>
      </c>
      <c r="CM17" s="1534" t="s">
        <v>525</v>
      </c>
      <c r="CN17" s="325"/>
      <c r="CO17" s="325"/>
      <c r="CP17" s="1534" t="s">
        <v>525</v>
      </c>
      <c r="CQ17" s="1538" t="str">
        <f>IF(AR17&lt;&gt;"",AR$1&amp;" "&amp;AX16&amp;" "&amp;AR17,"")</f>
        <v/>
      </c>
      <c r="CR17" s="1534" t="s">
        <v>525</v>
      </c>
      <c r="CS17" s="325"/>
      <c r="CT17" s="325"/>
      <c r="CU17" s="1534" t="s">
        <v>525</v>
      </c>
      <c r="CV17" s="1538" t="str">
        <f>IF(AR23&lt;&gt;"",AR$1&amp;" "&amp;AX22&amp;" "&amp;AR23,"")</f>
        <v/>
      </c>
      <c r="CW17" s="1534" t="s">
        <v>525</v>
      </c>
      <c r="CX17" s="325"/>
      <c r="CY17" s="325"/>
      <c r="CZ17" s="1534" t="s">
        <v>525</v>
      </c>
      <c r="DA17" s="1538" t="str">
        <f>IF(AR29&lt;&gt;"",AR$1&amp;" "&amp;AX28&amp;" "&amp;AR29,"")</f>
        <v/>
      </c>
      <c r="DB17" s="1534" t="s">
        <v>525</v>
      </c>
      <c r="DC17" s="325"/>
      <c r="DD17" s="325"/>
      <c r="DE17" s="1534" t="s">
        <v>525</v>
      </c>
      <c r="DF17" s="1538" t="str">
        <f>IF(AR35&lt;&gt;"",AR$1&amp;" "&amp;AX34&amp;" "&amp;AR35,"")</f>
        <v/>
      </c>
      <c r="DG17" s="1534" t="s">
        <v>525</v>
      </c>
      <c r="DH17" s="325"/>
      <c r="DI17" s="325"/>
      <c r="DJ17" s="1534" t="s">
        <v>525</v>
      </c>
    </row>
    <row r="18" spans="1:114" ht="17.100000000000001" customHeight="1" x14ac:dyDescent="0.15">
      <c r="A18" s="81"/>
      <c r="C18" s="3799"/>
      <c r="D18" s="3799"/>
      <c r="E18" s="3799"/>
      <c r="F18" s="3800"/>
      <c r="G18" s="3800"/>
      <c r="H18" s="3800"/>
      <c r="I18" s="3800"/>
      <c r="J18" s="3800"/>
      <c r="K18" s="3800"/>
      <c r="L18" s="3801"/>
      <c r="M18" s="3801"/>
      <c r="N18" s="3801"/>
      <c r="P18" s="92"/>
      <c r="Q18" s="3777"/>
      <c r="R18" s="3777"/>
      <c r="S18" s="3777"/>
      <c r="T18" s="3777"/>
      <c r="U18" s="3777"/>
      <c r="V18" s="3777"/>
      <c r="W18" s="3777"/>
      <c r="X18" s="3777"/>
      <c r="Y18" s="105"/>
      <c r="Z18" s="3777"/>
      <c r="AA18" s="3777"/>
      <c r="AB18" s="3777"/>
      <c r="AC18" s="3777"/>
      <c r="AD18" s="3777"/>
      <c r="AE18" s="3777"/>
      <c r="AF18" s="3777"/>
      <c r="AG18" s="3777"/>
      <c r="AH18" s="105"/>
      <c r="AI18" s="3777"/>
      <c r="AJ18" s="3777"/>
      <c r="AK18" s="3777"/>
      <c r="AL18" s="3777"/>
      <c r="AM18" s="3777"/>
      <c r="AN18" s="3777"/>
      <c r="AO18" s="3777"/>
      <c r="AP18" s="3777"/>
      <c r="AQ18" s="105"/>
      <c r="AR18" s="3777"/>
      <c r="AS18" s="3777"/>
      <c r="AT18" s="3777"/>
      <c r="AU18" s="3777"/>
      <c r="AV18" s="3777"/>
      <c r="AW18" s="3777"/>
      <c r="AX18" s="3777"/>
      <c r="AY18" s="3777"/>
      <c r="AZ18" s="105"/>
      <c r="BA18" s="3777"/>
      <c r="BB18" s="3777"/>
      <c r="BC18" s="3777"/>
      <c r="BD18" s="3777"/>
      <c r="BE18" s="3777"/>
      <c r="BF18" s="3777"/>
      <c r="BG18" s="3777"/>
      <c r="BH18" s="3777"/>
      <c r="BI18" s="105"/>
      <c r="BJ18" s="3784"/>
      <c r="BK18" s="3784"/>
      <c r="BL18" s="3784"/>
      <c r="BM18" s="3784"/>
      <c r="BN18" s="3784"/>
      <c r="BO18" s="3784"/>
      <c r="BP18" s="3784"/>
      <c r="BQ18" s="3784"/>
      <c r="BR18" s="105"/>
      <c r="BS18" s="3784"/>
      <c r="BT18" s="3784"/>
      <c r="BU18" s="3784"/>
      <c r="BV18" s="3784"/>
      <c r="BW18" s="3784"/>
      <c r="BX18" s="3784"/>
      <c r="BY18" s="3784"/>
      <c r="BZ18" s="3784"/>
      <c r="CA18" s="81"/>
      <c r="CD18" s="46"/>
      <c r="CE18" s="46"/>
      <c r="CG18" s="1539" t="str">
        <f>IF(AR6&lt;&gt;"",AR$1&amp;" "&amp;AX4&amp;" "&amp;AR6,"")</f>
        <v/>
      </c>
      <c r="CH18" s="1534" t="s">
        <v>525</v>
      </c>
      <c r="CI18" s="325"/>
      <c r="CJ18" s="325"/>
      <c r="CK18" s="1534" t="s">
        <v>525</v>
      </c>
      <c r="CL18" s="1539" t="str">
        <f>IF(AR12&lt;&gt;"",AR$1&amp;" "&amp;AX10&amp;" "&amp;AR12,"")</f>
        <v/>
      </c>
      <c r="CM18" s="1534" t="s">
        <v>525</v>
      </c>
      <c r="CN18" s="325"/>
      <c r="CO18" s="325"/>
      <c r="CP18" s="1534" t="s">
        <v>525</v>
      </c>
      <c r="CQ18" s="1539" t="str">
        <f>IF(AR18&lt;&gt;"",AR$1&amp;" "&amp;AX16&amp;" "&amp;AR18,"")</f>
        <v/>
      </c>
      <c r="CR18" s="1534" t="s">
        <v>525</v>
      </c>
      <c r="CS18" s="325"/>
      <c r="CT18" s="325"/>
      <c r="CU18" s="1534" t="s">
        <v>525</v>
      </c>
      <c r="CV18" s="1539" t="str">
        <f>IF(AR24&lt;&gt;"",AR$1&amp;" "&amp;AX22&amp;" "&amp;AR24,"")</f>
        <v/>
      </c>
      <c r="CW18" s="1534" t="s">
        <v>525</v>
      </c>
      <c r="CX18" s="325"/>
      <c r="CY18" s="325"/>
      <c r="CZ18" s="1534" t="s">
        <v>525</v>
      </c>
      <c r="DA18" s="1539" t="str">
        <f>IF(AR30&lt;&gt;"",AR$1&amp;" "&amp;AX28&amp;" "&amp;AR30,"")</f>
        <v/>
      </c>
      <c r="DB18" s="1534" t="s">
        <v>525</v>
      </c>
      <c r="DC18" s="325"/>
      <c r="DD18" s="325"/>
      <c r="DE18" s="1534" t="s">
        <v>525</v>
      </c>
      <c r="DF18" s="1539" t="str">
        <f>IF(AR36&lt;&gt;"",AR$1&amp;" "&amp;AX34&amp;" "&amp;AR36,"")</f>
        <v/>
      </c>
      <c r="DG18" s="1534" t="s">
        <v>525</v>
      </c>
      <c r="DH18" s="325"/>
      <c r="DI18" s="325"/>
      <c r="DJ18" s="1534" t="s">
        <v>525</v>
      </c>
    </row>
    <row r="19" spans="1:114" ht="17.100000000000001" customHeight="1" x14ac:dyDescent="0.15">
      <c r="A19" s="17"/>
      <c r="C19" s="3799"/>
      <c r="D19" s="3799"/>
      <c r="E19" s="3799"/>
      <c r="F19" s="3800"/>
      <c r="G19" s="3800"/>
      <c r="H19" s="3800"/>
      <c r="I19" s="3800"/>
      <c r="J19" s="3800"/>
      <c r="K19" s="3800"/>
      <c r="L19" s="3801"/>
      <c r="M19" s="3801"/>
      <c r="N19" s="3801"/>
      <c r="P19" s="92"/>
      <c r="Q19" s="3777"/>
      <c r="R19" s="3777"/>
      <c r="S19" s="3777"/>
      <c r="T19" s="3777"/>
      <c r="U19" s="3777"/>
      <c r="V19" s="3777"/>
      <c r="W19" s="3777"/>
      <c r="X19" s="3777"/>
      <c r="Y19" s="105"/>
      <c r="Z19" s="3777"/>
      <c r="AA19" s="3777"/>
      <c r="AB19" s="3777"/>
      <c r="AC19" s="3777"/>
      <c r="AD19" s="3777"/>
      <c r="AE19" s="3777"/>
      <c r="AF19" s="3777"/>
      <c r="AG19" s="3777"/>
      <c r="AH19" s="105"/>
      <c r="AI19" s="3777"/>
      <c r="AJ19" s="3777"/>
      <c r="AK19" s="3777"/>
      <c r="AL19" s="3777"/>
      <c r="AM19" s="3777"/>
      <c r="AN19" s="3777"/>
      <c r="AO19" s="3777"/>
      <c r="AP19" s="3777"/>
      <c r="AQ19" s="105"/>
      <c r="AR19" s="3777"/>
      <c r="AS19" s="3777"/>
      <c r="AT19" s="3777"/>
      <c r="AU19" s="3777"/>
      <c r="AV19" s="3777"/>
      <c r="AW19" s="3777"/>
      <c r="AX19" s="3777"/>
      <c r="AY19" s="3777"/>
      <c r="AZ19" s="105"/>
      <c r="BA19" s="3777"/>
      <c r="BB19" s="3777"/>
      <c r="BC19" s="3777"/>
      <c r="BD19" s="3777"/>
      <c r="BE19" s="3777"/>
      <c r="BF19" s="3777"/>
      <c r="BG19" s="3777"/>
      <c r="BH19" s="3777"/>
      <c r="BI19" s="105"/>
      <c r="BJ19" s="3784"/>
      <c r="BK19" s="3784"/>
      <c r="BL19" s="3784"/>
      <c r="BM19" s="3784"/>
      <c r="BN19" s="3784"/>
      <c r="BO19" s="3784"/>
      <c r="BP19" s="3784"/>
      <c r="BQ19" s="3784"/>
      <c r="BR19" s="105"/>
      <c r="BS19" s="3784"/>
      <c r="BT19" s="3784"/>
      <c r="BU19" s="3784"/>
      <c r="BV19" s="3784"/>
      <c r="BW19" s="3784"/>
      <c r="BX19" s="3784"/>
      <c r="BY19" s="3784"/>
      <c r="BZ19" s="3784"/>
      <c r="CA19" s="81"/>
      <c r="CD19" s="46"/>
      <c r="CE19" s="46"/>
      <c r="CG19" s="1539" t="str">
        <f>IF(AR7&lt;&gt;"",AR$1&amp;" "&amp;AX4&amp;" "&amp;AR7,"")</f>
        <v/>
      </c>
      <c r="CH19" s="1534" t="s">
        <v>525</v>
      </c>
      <c r="CI19" s="325"/>
      <c r="CJ19" s="325"/>
      <c r="CK19" s="1534" t="s">
        <v>525</v>
      </c>
      <c r="CL19" s="1539" t="str">
        <f>IF(AR13&lt;&gt;"",AR$1&amp;" "&amp;AX10&amp;" "&amp;AR13,"")</f>
        <v/>
      </c>
      <c r="CM19" s="1534" t="s">
        <v>525</v>
      </c>
      <c r="CN19" s="325"/>
      <c r="CO19" s="325"/>
      <c r="CP19" s="1534" t="s">
        <v>525</v>
      </c>
      <c r="CQ19" s="1539" t="str">
        <f>IF(AR19&lt;&gt;"",AR$1&amp;" "&amp;AX16&amp;" "&amp;AR19,"")</f>
        <v/>
      </c>
      <c r="CR19" s="1534" t="s">
        <v>525</v>
      </c>
      <c r="CS19" s="325"/>
      <c r="CT19" s="325"/>
      <c r="CU19" s="1534" t="s">
        <v>525</v>
      </c>
      <c r="CV19" s="1539" t="str">
        <f>IF(AR25&lt;&gt;"",AR$1&amp;" "&amp;AX22&amp;" "&amp;AR25,"")</f>
        <v/>
      </c>
      <c r="CW19" s="1534" t="s">
        <v>525</v>
      </c>
      <c r="CX19" s="325"/>
      <c r="CY19" s="325"/>
      <c r="CZ19" s="1534" t="s">
        <v>525</v>
      </c>
      <c r="DA19" s="1539" t="str">
        <f>IF(AR31&lt;&gt;"",AR$1&amp;" "&amp;AX28&amp;" "&amp;AR31,"")</f>
        <v/>
      </c>
      <c r="DB19" s="1534" t="s">
        <v>525</v>
      </c>
      <c r="DC19" s="325"/>
      <c r="DD19" s="325"/>
      <c r="DE19" s="1534" t="s">
        <v>525</v>
      </c>
      <c r="DF19" s="1539" t="str">
        <f>IF(AR37&lt;&gt;"",AR$1&amp;" "&amp;AX34&amp;" "&amp;AR37,"")</f>
        <v/>
      </c>
      <c r="DG19" s="1534" t="s">
        <v>525</v>
      </c>
      <c r="DH19" s="325"/>
      <c r="DI19" s="325"/>
      <c r="DJ19" s="1534" t="s">
        <v>525</v>
      </c>
    </row>
    <row r="20" spans="1:114" ht="17.100000000000001" customHeight="1" x14ac:dyDescent="0.15">
      <c r="A20" s="81"/>
      <c r="C20" s="3799"/>
      <c r="D20" s="3799"/>
      <c r="E20" s="3799"/>
      <c r="F20" s="3800"/>
      <c r="G20" s="3800"/>
      <c r="H20" s="3800"/>
      <c r="I20" s="3800"/>
      <c r="J20" s="3800"/>
      <c r="K20" s="3800"/>
      <c r="L20" s="3801"/>
      <c r="M20" s="3801"/>
      <c r="N20" s="3801"/>
      <c r="P20" s="92"/>
      <c r="Q20" s="3777"/>
      <c r="R20" s="3777"/>
      <c r="S20" s="3777"/>
      <c r="T20" s="3777"/>
      <c r="U20" s="3777"/>
      <c r="V20" s="3777"/>
      <c r="W20" s="3777"/>
      <c r="X20" s="3777"/>
      <c r="Y20" s="105"/>
      <c r="Z20" s="3777"/>
      <c r="AA20" s="3777"/>
      <c r="AB20" s="3777"/>
      <c r="AC20" s="3777"/>
      <c r="AD20" s="3777"/>
      <c r="AE20" s="3777"/>
      <c r="AF20" s="3777"/>
      <c r="AG20" s="3777"/>
      <c r="AH20" s="105"/>
      <c r="AI20" s="3777"/>
      <c r="AJ20" s="3777"/>
      <c r="AK20" s="3777"/>
      <c r="AL20" s="3777"/>
      <c r="AM20" s="3777"/>
      <c r="AN20" s="3777"/>
      <c r="AO20" s="3777"/>
      <c r="AP20" s="3777"/>
      <c r="AQ20" s="105"/>
      <c r="AR20" s="3777"/>
      <c r="AS20" s="3777"/>
      <c r="AT20" s="3777"/>
      <c r="AU20" s="3777"/>
      <c r="AV20" s="3777"/>
      <c r="AW20" s="3777"/>
      <c r="AX20" s="3777"/>
      <c r="AY20" s="3777"/>
      <c r="AZ20" s="105"/>
      <c r="BA20" s="3777"/>
      <c r="BB20" s="3777"/>
      <c r="BC20" s="3777"/>
      <c r="BD20" s="3777"/>
      <c r="BE20" s="3777"/>
      <c r="BF20" s="3777"/>
      <c r="BG20" s="3777"/>
      <c r="BH20" s="3777"/>
      <c r="BI20" s="105"/>
      <c r="BJ20" s="3784"/>
      <c r="BK20" s="3784"/>
      <c r="BL20" s="3784"/>
      <c r="BM20" s="3784"/>
      <c r="BN20" s="3784"/>
      <c r="BO20" s="3784"/>
      <c r="BP20" s="3784"/>
      <c r="BQ20" s="3784"/>
      <c r="BR20" s="105"/>
      <c r="BS20" s="3784"/>
      <c r="BT20" s="3784"/>
      <c r="BU20" s="3784"/>
      <c r="BV20" s="3784"/>
      <c r="BW20" s="3784"/>
      <c r="BX20" s="3784"/>
      <c r="BY20" s="3784"/>
      <c r="BZ20" s="3784"/>
      <c r="CA20" s="81"/>
      <c r="CD20" s="46"/>
      <c r="CE20" s="46"/>
      <c r="CG20" s="1540" t="str">
        <f>IF(AR8&lt;&gt;"",AR$1&amp;" "&amp;AX4&amp;" "&amp;AR8,"")</f>
        <v/>
      </c>
      <c r="CH20" s="1534" t="s">
        <v>525</v>
      </c>
      <c r="CI20" s="325"/>
      <c r="CJ20" s="325"/>
      <c r="CK20" s="1534" t="s">
        <v>525</v>
      </c>
      <c r="CL20" s="1540" t="str">
        <f>IF(AR14&lt;&gt;"",AR$1&amp;" "&amp;AX10&amp;" "&amp;AR14,"")</f>
        <v/>
      </c>
      <c r="CM20" s="1534" t="s">
        <v>525</v>
      </c>
      <c r="CN20" s="325"/>
      <c r="CO20" s="325"/>
      <c r="CP20" s="1534" t="s">
        <v>525</v>
      </c>
      <c r="CQ20" s="1540" t="str">
        <f>IF(AR20&lt;&gt;"",AR$1&amp;" "&amp;AX16&amp;" "&amp;AR20,"")</f>
        <v/>
      </c>
      <c r="CR20" s="1534" t="s">
        <v>525</v>
      </c>
      <c r="CS20" s="325"/>
      <c r="CT20" s="325"/>
      <c r="CU20" s="1534" t="s">
        <v>525</v>
      </c>
      <c r="CV20" s="1540" t="str">
        <f>IF(AR26&lt;&gt;"",AR$1&amp;" "&amp;AX22&amp;" "&amp;AR26,"")</f>
        <v/>
      </c>
      <c r="CW20" s="1534" t="s">
        <v>525</v>
      </c>
      <c r="CX20" s="325"/>
      <c r="CY20" s="325"/>
      <c r="CZ20" s="1534" t="s">
        <v>525</v>
      </c>
      <c r="DA20" s="1540" t="str">
        <f>IF(AR32&lt;&gt;"",AR$1&amp;" "&amp;AX28&amp;" "&amp;AR32,"")</f>
        <v/>
      </c>
      <c r="DB20" s="1534" t="s">
        <v>525</v>
      </c>
      <c r="DC20" s="325"/>
      <c r="DD20" s="325"/>
      <c r="DE20" s="1534" t="s">
        <v>525</v>
      </c>
      <c r="DF20" s="1540" t="str">
        <f>IF(AR38&lt;&gt;"",AR$1&amp;" "&amp;AX34&amp;" "&amp;AR38,"")</f>
        <v/>
      </c>
      <c r="DG20" s="1534" t="s">
        <v>525</v>
      </c>
      <c r="DH20" s="325"/>
      <c r="DI20" s="325"/>
      <c r="DJ20" s="1534" t="s">
        <v>525</v>
      </c>
    </row>
    <row r="21" spans="1:114" ht="14.1" customHeight="1" x14ac:dyDescent="0.15">
      <c r="A21" s="17"/>
      <c r="C21" s="3799"/>
      <c r="D21" s="3799"/>
      <c r="E21" s="3799"/>
      <c r="F21" s="3800"/>
      <c r="G21" s="3800"/>
      <c r="H21" s="3800"/>
      <c r="I21" s="3800"/>
      <c r="J21" s="3800"/>
      <c r="K21" s="3800"/>
      <c r="L21" s="3801"/>
      <c r="M21" s="3801"/>
      <c r="N21" s="3801"/>
      <c r="P21" s="92"/>
      <c r="Q21" s="103"/>
      <c r="R21" s="103"/>
      <c r="S21" s="103"/>
      <c r="T21" s="103"/>
      <c r="U21" s="103"/>
      <c r="V21" s="103"/>
      <c r="W21" s="103"/>
      <c r="X21" s="104">
        <v>2</v>
      </c>
      <c r="Y21" s="97"/>
      <c r="Z21" s="103"/>
      <c r="AA21" s="103"/>
      <c r="AB21" s="103"/>
      <c r="AC21" s="103"/>
      <c r="AD21" s="103"/>
      <c r="AE21" s="103"/>
      <c r="AF21" s="103"/>
      <c r="AG21" s="104"/>
      <c r="AH21" s="97"/>
      <c r="AI21" s="103"/>
      <c r="AJ21" s="103"/>
      <c r="AK21" s="103"/>
      <c r="AL21" s="103"/>
      <c r="AM21" s="103"/>
      <c r="AN21" s="103"/>
      <c r="AO21" s="103"/>
      <c r="AP21" s="104"/>
      <c r="AQ21" s="97"/>
      <c r="AR21" s="103"/>
      <c r="AS21" s="103"/>
      <c r="AT21" s="103"/>
      <c r="AU21" s="103"/>
      <c r="AV21" s="103"/>
      <c r="AW21" s="103"/>
      <c r="AX21" s="103"/>
      <c r="AY21" s="104"/>
      <c r="AZ21" s="97"/>
      <c r="BA21" s="103"/>
      <c r="BB21" s="103"/>
      <c r="BC21" s="103"/>
      <c r="BD21" s="103"/>
      <c r="BE21" s="103"/>
      <c r="BF21" s="103"/>
      <c r="BG21" s="103"/>
      <c r="BH21" s="104"/>
      <c r="BI21" s="97"/>
      <c r="BJ21" s="103"/>
      <c r="BK21" s="103"/>
      <c r="BL21" s="103"/>
      <c r="BM21" s="103"/>
      <c r="BN21" s="103"/>
      <c r="BO21" s="103"/>
      <c r="BP21" s="103"/>
      <c r="BQ21" s="104"/>
      <c r="BR21" s="97"/>
      <c r="BS21" s="103"/>
      <c r="BT21" s="103"/>
      <c r="BU21" s="103"/>
      <c r="BV21" s="103"/>
      <c r="BW21" s="103"/>
      <c r="BX21" s="103"/>
      <c r="BY21" s="103"/>
      <c r="BZ21" s="104"/>
      <c r="CA21" s="81"/>
      <c r="CD21" s="46"/>
      <c r="CE21" s="46"/>
      <c r="CG21" s="1538" t="str">
        <f>IF(BA5&lt;&gt;"",BA$1&amp;" "&amp;BG4&amp;" "&amp;BA5,"")</f>
        <v/>
      </c>
      <c r="CH21" s="1534" t="s">
        <v>525</v>
      </c>
      <c r="CI21" s="325"/>
      <c r="CJ21" s="325"/>
      <c r="CK21" s="1534" t="s">
        <v>525</v>
      </c>
      <c r="CL21" s="1538" t="str">
        <f>IF(BA11&lt;&gt;"",BA$1&amp;" "&amp;BG10&amp;" "&amp;BA11,"")</f>
        <v/>
      </c>
      <c r="CM21" s="1534" t="s">
        <v>525</v>
      </c>
      <c r="CN21" s="325"/>
      <c r="CO21" s="325"/>
      <c r="CP21" s="1534" t="s">
        <v>525</v>
      </c>
      <c r="CQ21" s="1538" t="str">
        <f>IF(BA17&lt;&gt;"",BA$1&amp;" "&amp;BG16&amp;" "&amp;BA17,"")</f>
        <v/>
      </c>
      <c r="CR21" s="1534" t="s">
        <v>525</v>
      </c>
      <c r="CS21" s="325"/>
      <c r="CT21" s="325"/>
      <c r="CU21" s="1534" t="s">
        <v>525</v>
      </c>
      <c r="CV21" s="1538" t="str">
        <f>IF(BA23&lt;&gt;"",BA$1&amp;" "&amp;BG22&amp;" "&amp;BA23,"")</f>
        <v/>
      </c>
      <c r="CW21" s="1534" t="s">
        <v>525</v>
      </c>
      <c r="CX21" s="325"/>
      <c r="CY21" s="325"/>
      <c r="CZ21" s="1534" t="s">
        <v>525</v>
      </c>
      <c r="DA21" s="1538" t="str">
        <f>IF(BA29&lt;&gt;"",BA$1&amp;" "&amp;BG28&amp;" "&amp;BA29,"")</f>
        <v/>
      </c>
      <c r="DB21" s="1534" t="s">
        <v>525</v>
      </c>
      <c r="DC21" s="325"/>
      <c r="DD21" s="325"/>
      <c r="DE21" s="1534" t="s">
        <v>525</v>
      </c>
      <c r="DF21" s="1538" t="str">
        <f>IF(BA35&lt;&gt;"",BA$1&amp;" "&amp;BG34&amp;" "&amp;BA35,"")</f>
        <v/>
      </c>
      <c r="DG21" s="1534" t="s">
        <v>525</v>
      </c>
      <c r="DH21" s="325"/>
      <c r="DI21" s="325"/>
      <c r="DJ21" s="1534" t="s">
        <v>525</v>
      </c>
    </row>
    <row r="22" spans="1:114" ht="17.100000000000001" customHeight="1" x14ac:dyDescent="0.25">
      <c r="A22" s="81"/>
      <c r="C22" s="3799"/>
      <c r="D22" s="3799"/>
      <c r="E22" s="3799"/>
      <c r="F22" s="3800"/>
      <c r="G22" s="3800"/>
      <c r="H22" s="3800"/>
      <c r="I22" s="3800"/>
      <c r="J22" s="3800"/>
      <c r="K22" s="3800"/>
      <c r="L22" s="3801"/>
      <c r="M22" s="3801"/>
      <c r="N22" s="3801"/>
      <c r="P22" s="92"/>
      <c r="Q22" s="3791"/>
      <c r="R22" s="3791"/>
      <c r="S22" s="3791"/>
      <c r="T22" s="3791"/>
      <c r="U22" s="3791"/>
      <c r="V22" s="3791"/>
      <c r="W22" s="3792" t="e">
        <f>BY16+1</f>
        <v>#VALUE!</v>
      </c>
      <c r="X22" s="3792"/>
      <c r="Y22" s="98"/>
      <c r="Z22" s="3791"/>
      <c r="AA22" s="3791"/>
      <c r="AB22" s="3791"/>
      <c r="AC22" s="3791"/>
      <c r="AD22" s="3791"/>
      <c r="AE22" s="3791"/>
      <c r="AF22" s="3792" t="e">
        <f>W22+1</f>
        <v>#VALUE!</v>
      </c>
      <c r="AG22" s="3792"/>
      <c r="AH22" s="98"/>
      <c r="AI22" s="3791"/>
      <c r="AJ22" s="3791"/>
      <c r="AK22" s="3791"/>
      <c r="AL22" s="3791"/>
      <c r="AM22" s="3791"/>
      <c r="AN22" s="3791"/>
      <c r="AO22" s="3792" t="e">
        <f>AF22+1</f>
        <v>#VALUE!</v>
      </c>
      <c r="AP22" s="3792"/>
      <c r="AQ22" s="98"/>
      <c r="AR22" s="3791"/>
      <c r="AS22" s="3791"/>
      <c r="AT22" s="3791"/>
      <c r="AU22" s="3791"/>
      <c r="AV22" s="3791"/>
      <c r="AW22" s="3791"/>
      <c r="AX22" s="3792" t="e">
        <f>AO22+1</f>
        <v>#VALUE!</v>
      </c>
      <c r="AY22" s="3792"/>
      <c r="AZ22" s="98"/>
      <c r="BA22" s="3791"/>
      <c r="BB22" s="3791"/>
      <c r="BC22" s="3791"/>
      <c r="BD22" s="3791"/>
      <c r="BE22" s="3791"/>
      <c r="BF22" s="3791"/>
      <c r="BG22" s="3792" t="e">
        <f>AX22+1</f>
        <v>#VALUE!</v>
      </c>
      <c r="BH22" s="3792"/>
      <c r="BI22" s="98"/>
      <c r="BJ22" s="3788"/>
      <c r="BK22" s="3788"/>
      <c r="BL22" s="3788"/>
      <c r="BM22" s="3788"/>
      <c r="BN22" s="3788"/>
      <c r="BO22" s="3788"/>
      <c r="BP22" s="3789" t="str">
        <f>IFERROR(BG22+1,"")</f>
        <v/>
      </c>
      <c r="BQ22" s="3789"/>
      <c r="BR22" s="98"/>
      <c r="BS22" s="3788"/>
      <c r="BT22" s="3788"/>
      <c r="BU22" s="3788"/>
      <c r="BV22" s="3788"/>
      <c r="BW22" s="3788"/>
      <c r="BX22" s="3788"/>
      <c r="BY22" s="3789" t="str">
        <f>IFERROR(BP22+1,"")</f>
        <v/>
      </c>
      <c r="BZ22" s="3789"/>
      <c r="CA22" s="81"/>
      <c r="CD22" s="99" t="s">
        <v>323</v>
      </c>
      <c r="CE22" s="100" t="e">
        <f>MAX(W22:BZ22)</f>
        <v>#VALUE!</v>
      </c>
      <c r="CG22" s="1539" t="str">
        <f>IF(BA6&lt;&gt;"",BA$1&amp;" "&amp;BG4&amp;" "&amp;BA6,"")</f>
        <v/>
      </c>
      <c r="CH22" s="1534" t="s">
        <v>525</v>
      </c>
      <c r="CI22" s="325"/>
      <c r="CJ22" s="325"/>
      <c r="CK22" s="1534" t="s">
        <v>525</v>
      </c>
      <c r="CL22" s="1539" t="str">
        <f>IF(BA12&lt;&gt;"",BA$1&amp;" "&amp;BG10&amp;" "&amp;BA12,"")</f>
        <v/>
      </c>
      <c r="CM22" s="1534" t="s">
        <v>525</v>
      </c>
      <c r="CN22" s="325"/>
      <c r="CO22" s="325"/>
      <c r="CP22" s="1534" t="s">
        <v>525</v>
      </c>
      <c r="CQ22" s="1539" t="str">
        <f>IF(BA18&lt;&gt;"",BA$1&amp;" "&amp;BG16&amp;" "&amp;BA18,"")</f>
        <v/>
      </c>
      <c r="CR22" s="1534" t="s">
        <v>525</v>
      </c>
      <c r="CS22" s="325"/>
      <c r="CT22" s="325"/>
      <c r="CU22" s="1534" t="s">
        <v>525</v>
      </c>
      <c r="CV22" s="1539" t="str">
        <f>IF(BA24&lt;&gt;"",BA$1&amp;" "&amp;BG22&amp;" "&amp;BA24,"")</f>
        <v/>
      </c>
      <c r="CW22" s="1534" t="s">
        <v>525</v>
      </c>
      <c r="CX22" s="325"/>
      <c r="CY22" s="325"/>
      <c r="CZ22" s="1534" t="s">
        <v>525</v>
      </c>
      <c r="DA22" s="1539" t="str">
        <f>IF(BA30&lt;&gt;"",BA$1&amp;" "&amp;BG28&amp;" "&amp;BA30,"")</f>
        <v/>
      </c>
      <c r="DB22" s="1534" t="s">
        <v>525</v>
      </c>
      <c r="DC22" s="325"/>
      <c r="DD22" s="325"/>
      <c r="DE22" s="1534" t="s">
        <v>525</v>
      </c>
      <c r="DF22" s="1539" t="str">
        <f>IF(BA36&lt;&gt;"",BA$1&amp;" "&amp;BG34&amp;" "&amp;BA36,"")</f>
        <v/>
      </c>
      <c r="DG22" s="1534" t="s">
        <v>525</v>
      </c>
      <c r="DH22" s="325"/>
      <c r="DI22" s="325"/>
      <c r="DJ22" s="1534" t="s">
        <v>525</v>
      </c>
    </row>
    <row r="23" spans="1:114" ht="17.100000000000001" customHeight="1" x14ac:dyDescent="0.15">
      <c r="A23" s="17"/>
      <c r="C23" s="106"/>
      <c r="D23" s="106"/>
      <c r="E23" s="106"/>
      <c r="F23" s="3800"/>
      <c r="G23" s="3800"/>
      <c r="H23" s="3800"/>
      <c r="I23" s="107"/>
      <c r="J23" s="107"/>
      <c r="K23" s="107"/>
      <c r="L23" s="107"/>
      <c r="M23" s="107"/>
      <c r="N23" s="107"/>
      <c r="P23" s="92"/>
      <c r="Q23" s="3777"/>
      <c r="R23" s="3777"/>
      <c r="S23" s="3777"/>
      <c r="T23" s="3777"/>
      <c r="U23" s="3777"/>
      <c r="V23" s="3777"/>
      <c r="W23" s="3777"/>
      <c r="X23" s="3777"/>
      <c r="Y23" s="105"/>
      <c r="Z23" s="3777"/>
      <c r="AA23" s="3777"/>
      <c r="AB23" s="3777"/>
      <c r="AC23" s="3777"/>
      <c r="AD23" s="3777"/>
      <c r="AE23" s="3777"/>
      <c r="AF23" s="3777"/>
      <c r="AG23" s="3777"/>
      <c r="AH23" s="105"/>
      <c r="AI23" s="3777"/>
      <c r="AJ23" s="3777"/>
      <c r="AK23" s="3777"/>
      <c r="AL23" s="3777"/>
      <c r="AM23" s="3777"/>
      <c r="AN23" s="3777"/>
      <c r="AO23" s="3777"/>
      <c r="AP23" s="3777"/>
      <c r="AQ23" s="105"/>
      <c r="AR23" s="3777"/>
      <c r="AS23" s="3777"/>
      <c r="AT23" s="3777"/>
      <c r="AU23" s="3777"/>
      <c r="AV23" s="3777"/>
      <c r="AW23" s="3777"/>
      <c r="AX23" s="3777"/>
      <c r="AY23" s="3777"/>
      <c r="AZ23" s="105"/>
      <c r="BA23" s="3777"/>
      <c r="BB23" s="3777"/>
      <c r="BC23" s="3777"/>
      <c r="BD23" s="3777"/>
      <c r="BE23" s="3777"/>
      <c r="BF23" s="3777"/>
      <c r="BG23" s="3777"/>
      <c r="BH23" s="3777"/>
      <c r="BI23" s="105"/>
      <c r="BJ23" s="3793"/>
      <c r="BK23" s="3784"/>
      <c r="BL23" s="3784"/>
      <c r="BM23" s="3784"/>
      <c r="BN23" s="3784"/>
      <c r="BO23" s="3784"/>
      <c r="BP23" s="3784"/>
      <c r="BQ23" s="3784"/>
      <c r="BR23" s="105"/>
      <c r="BS23" s="3784"/>
      <c r="BT23" s="3784"/>
      <c r="BU23" s="3784"/>
      <c r="BV23" s="3784"/>
      <c r="BW23" s="3784"/>
      <c r="BX23" s="3784"/>
      <c r="BY23" s="3784"/>
      <c r="BZ23" s="3784"/>
      <c r="CA23" s="81"/>
      <c r="CD23" s="46"/>
      <c r="CE23" s="46"/>
      <c r="CG23" s="1539" t="str">
        <f>IF(BA7&lt;&gt;"",BA$1&amp;" "&amp;BG4&amp;" "&amp;BA7,"")</f>
        <v/>
      </c>
      <c r="CH23" s="1534" t="s">
        <v>525</v>
      </c>
      <c r="CI23" s="325"/>
      <c r="CJ23" s="325"/>
      <c r="CK23" s="1534" t="s">
        <v>525</v>
      </c>
      <c r="CL23" s="1539" t="str">
        <f>IF(BA13&lt;&gt;"",BA$1&amp;" "&amp;BG10&amp;" "&amp;BA13,"")</f>
        <v/>
      </c>
      <c r="CM23" s="1534" t="s">
        <v>525</v>
      </c>
      <c r="CN23" s="325"/>
      <c r="CO23" s="325"/>
      <c r="CP23" s="1534" t="s">
        <v>525</v>
      </c>
      <c r="CQ23" s="1539" t="str">
        <f>IF(BA19&lt;&gt;"",BA$1&amp;" "&amp;BG16&amp;" "&amp;BA19,"")</f>
        <v/>
      </c>
      <c r="CR23" s="1534" t="s">
        <v>525</v>
      </c>
      <c r="CS23" s="325"/>
      <c r="CT23" s="325"/>
      <c r="CU23" s="1534" t="s">
        <v>525</v>
      </c>
      <c r="CV23" s="1539" t="str">
        <f>IF(BA25&lt;&gt;"",BA$1&amp;" "&amp;BG22&amp;" "&amp;BA25,"")</f>
        <v/>
      </c>
      <c r="CW23" s="1534" t="s">
        <v>525</v>
      </c>
      <c r="CX23" s="325"/>
      <c r="CY23" s="325"/>
      <c r="CZ23" s="1534" t="s">
        <v>525</v>
      </c>
      <c r="DA23" s="1539" t="str">
        <f>IF(BA31&lt;&gt;"",BA$1&amp;" "&amp;BG28&amp;" "&amp;BA31,"")</f>
        <v/>
      </c>
      <c r="DB23" s="1534" t="s">
        <v>525</v>
      </c>
      <c r="DC23" s="325"/>
      <c r="DD23" s="325"/>
      <c r="DE23" s="1534" t="s">
        <v>525</v>
      </c>
      <c r="DF23" s="1539" t="str">
        <f>IF(BA37&lt;&gt;"",BA$1&amp;" "&amp;BG34&amp;" "&amp;BA37,"")</f>
        <v/>
      </c>
      <c r="DG23" s="1534" t="s">
        <v>525</v>
      </c>
      <c r="DH23" s="325"/>
      <c r="DI23" s="325"/>
      <c r="DJ23" s="1534" t="s">
        <v>525</v>
      </c>
    </row>
    <row r="24" spans="1:114" ht="17.100000000000001" customHeight="1" x14ac:dyDescent="0.15">
      <c r="A24" s="81"/>
      <c r="C24" s="106"/>
      <c r="D24" s="106"/>
      <c r="E24" s="106"/>
      <c r="F24" s="3800"/>
      <c r="G24" s="3800"/>
      <c r="H24" s="3800"/>
      <c r="I24" s="108" t="s">
        <v>17</v>
      </c>
      <c r="J24" s="109"/>
      <c r="K24" s="109"/>
      <c r="L24" s="109"/>
      <c r="M24" s="109"/>
      <c r="N24" s="109"/>
      <c r="P24" s="92"/>
      <c r="Q24" s="3777"/>
      <c r="R24" s="3777"/>
      <c r="S24" s="3777"/>
      <c r="T24" s="3777"/>
      <c r="U24" s="3777"/>
      <c r="V24" s="3777"/>
      <c r="W24" s="3777"/>
      <c r="X24" s="3777"/>
      <c r="Y24" s="105"/>
      <c r="Z24" s="3777"/>
      <c r="AA24" s="3777"/>
      <c r="AB24" s="3777"/>
      <c r="AC24" s="3777"/>
      <c r="AD24" s="3777"/>
      <c r="AE24" s="3777"/>
      <c r="AF24" s="3777"/>
      <c r="AG24" s="3777"/>
      <c r="AH24" s="105"/>
      <c r="AI24" s="3777"/>
      <c r="AJ24" s="3777"/>
      <c r="AK24" s="3777"/>
      <c r="AL24" s="3777"/>
      <c r="AM24" s="3777"/>
      <c r="AN24" s="3777"/>
      <c r="AO24" s="3777"/>
      <c r="AP24" s="3777"/>
      <c r="AQ24" s="105"/>
      <c r="AR24" s="3777"/>
      <c r="AS24" s="3777"/>
      <c r="AT24" s="3777"/>
      <c r="AU24" s="3777"/>
      <c r="AV24" s="3777"/>
      <c r="AW24" s="3777"/>
      <c r="AX24" s="3777"/>
      <c r="AY24" s="3777"/>
      <c r="AZ24" s="105"/>
      <c r="BA24" s="3777"/>
      <c r="BB24" s="3777"/>
      <c r="BC24" s="3777"/>
      <c r="BD24" s="3777"/>
      <c r="BE24" s="3777"/>
      <c r="BF24" s="3777"/>
      <c r="BG24" s="3777"/>
      <c r="BH24" s="3777"/>
      <c r="BI24" s="105"/>
      <c r="BJ24" s="3784"/>
      <c r="BK24" s="3784"/>
      <c r="BL24" s="3784"/>
      <c r="BM24" s="3784"/>
      <c r="BN24" s="3784"/>
      <c r="BO24" s="3784"/>
      <c r="BP24" s="3784"/>
      <c r="BQ24" s="3784"/>
      <c r="BR24" s="105"/>
      <c r="BS24" s="3784"/>
      <c r="BT24" s="3784"/>
      <c r="BU24" s="3784"/>
      <c r="BV24" s="3784"/>
      <c r="BW24" s="3784"/>
      <c r="BX24" s="3784"/>
      <c r="BY24" s="3784"/>
      <c r="BZ24" s="3784"/>
      <c r="CA24" s="81"/>
      <c r="CD24" s="46"/>
      <c r="CE24" s="46"/>
      <c r="CG24" s="1540" t="str">
        <f>IF(BA8&lt;&gt;"",BA$1&amp;" "&amp;BG4&amp;" "&amp;BA8,"")</f>
        <v/>
      </c>
      <c r="CH24" s="1534" t="s">
        <v>525</v>
      </c>
      <c r="CI24" s="325"/>
      <c r="CJ24" s="325"/>
      <c r="CK24" s="1534" t="s">
        <v>525</v>
      </c>
      <c r="CL24" s="1540" t="str">
        <f>IF(BA14&lt;&gt;"",BA$1&amp;" "&amp;BG10&amp;" "&amp;BA14,"")</f>
        <v/>
      </c>
      <c r="CM24" s="1534" t="s">
        <v>525</v>
      </c>
      <c r="CN24" s="325"/>
      <c r="CO24" s="325"/>
      <c r="CP24" s="1534" t="s">
        <v>525</v>
      </c>
      <c r="CQ24" s="1540" t="str">
        <f>IF(BA20&lt;&gt;"",BA$1&amp;" "&amp;BG16&amp;" "&amp;BA20,"")</f>
        <v/>
      </c>
      <c r="CR24" s="1534" t="s">
        <v>525</v>
      </c>
      <c r="CS24" s="325"/>
      <c r="CT24" s="325"/>
      <c r="CU24" s="1534" t="s">
        <v>525</v>
      </c>
      <c r="CV24" s="1540" t="str">
        <f>IF(BA26&lt;&gt;"",BA$1&amp;" "&amp;BG22&amp;" "&amp;BA26,"")</f>
        <v/>
      </c>
      <c r="CW24" s="1534" t="s">
        <v>525</v>
      </c>
      <c r="CX24" s="325"/>
      <c r="CY24" s="325"/>
      <c r="CZ24" s="1534" t="s">
        <v>525</v>
      </c>
      <c r="DA24" s="1540" t="str">
        <f>IF(BA32&lt;&gt;"",BA$1&amp;" "&amp;BG28&amp;" "&amp;BA32,"")</f>
        <v/>
      </c>
      <c r="DB24" s="1534" t="s">
        <v>525</v>
      </c>
      <c r="DC24" s="325"/>
      <c r="DD24" s="325"/>
      <c r="DE24" s="1534" t="s">
        <v>525</v>
      </c>
      <c r="DF24" s="1540" t="str">
        <f>IF(BA38&lt;&gt;"",BA$1&amp;" "&amp;BG34&amp;" "&amp;BA38,"")</f>
        <v/>
      </c>
      <c r="DG24" s="1534" t="s">
        <v>525</v>
      </c>
      <c r="DH24" s="325"/>
      <c r="DI24" s="325"/>
      <c r="DJ24" s="1534" t="s">
        <v>525</v>
      </c>
    </row>
    <row r="25" spans="1:114" ht="17.100000000000001" customHeight="1" x14ac:dyDescent="0.25">
      <c r="A25" s="17"/>
      <c r="C25" s="106"/>
      <c r="D25" s="106"/>
      <c r="E25" s="106"/>
      <c r="F25" s="3800"/>
      <c r="G25" s="3800"/>
      <c r="H25" s="3800"/>
      <c r="I25" s="109"/>
      <c r="J25" s="110"/>
      <c r="O25" s="111"/>
      <c r="P25" s="92"/>
      <c r="Q25" s="3777"/>
      <c r="R25" s="3777"/>
      <c r="S25" s="3777"/>
      <c r="T25" s="3777"/>
      <c r="U25" s="3777"/>
      <c r="V25" s="3777"/>
      <c r="W25" s="3777"/>
      <c r="X25" s="3777"/>
      <c r="Y25" s="105"/>
      <c r="Z25" s="3777"/>
      <c r="AA25" s="3777"/>
      <c r="AB25" s="3777"/>
      <c r="AC25" s="3777"/>
      <c r="AD25" s="3777"/>
      <c r="AE25" s="3777"/>
      <c r="AF25" s="3777"/>
      <c r="AG25" s="3777"/>
      <c r="AH25" s="105"/>
      <c r="AI25" s="3777"/>
      <c r="AJ25" s="3777"/>
      <c r="AK25" s="3777"/>
      <c r="AL25" s="3777"/>
      <c r="AM25" s="3777"/>
      <c r="AN25" s="3777"/>
      <c r="AO25" s="3777"/>
      <c r="AP25" s="3777"/>
      <c r="AQ25" s="105"/>
      <c r="AR25" s="3777"/>
      <c r="AS25" s="3777"/>
      <c r="AT25" s="3777"/>
      <c r="AU25" s="3777"/>
      <c r="AV25" s="3777"/>
      <c r="AW25" s="3777"/>
      <c r="AX25" s="3777"/>
      <c r="AY25" s="3777"/>
      <c r="AZ25" s="105"/>
      <c r="BA25" s="3777"/>
      <c r="BB25" s="3777"/>
      <c r="BC25" s="3777"/>
      <c r="BD25" s="3777"/>
      <c r="BE25" s="3777"/>
      <c r="BF25" s="3777"/>
      <c r="BG25" s="3777"/>
      <c r="BH25" s="3777"/>
      <c r="BI25" s="105"/>
      <c r="BJ25" s="3784"/>
      <c r="BK25" s="3784"/>
      <c r="BL25" s="3784"/>
      <c r="BM25" s="3784"/>
      <c r="BN25" s="3784"/>
      <c r="BO25" s="3784"/>
      <c r="BP25" s="3784"/>
      <c r="BQ25" s="3784"/>
      <c r="BR25" s="105"/>
      <c r="BS25" s="3784"/>
      <c r="BT25" s="3784"/>
      <c r="BU25" s="3784"/>
      <c r="BV25" s="3784"/>
      <c r="BW25" s="3784"/>
      <c r="BX25" s="3784"/>
      <c r="BY25" s="3784"/>
      <c r="BZ25" s="3784"/>
      <c r="CA25" s="81"/>
      <c r="CD25" s="46"/>
      <c r="CE25" s="46"/>
      <c r="CG25" s="1538" t="str">
        <f>IF(BJ5&lt;&gt;"",BJ$1&amp;" "&amp;BP4&amp;" "&amp;BJ5,"")</f>
        <v/>
      </c>
      <c r="CH25" s="1534" t="s">
        <v>525</v>
      </c>
      <c r="CI25" s="325"/>
      <c r="CJ25" s="325"/>
      <c r="CK25" s="1534" t="s">
        <v>525</v>
      </c>
      <c r="CL25" s="1538" t="str">
        <f>IF(BJ11&lt;&gt;"",BJ$1&amp;" "&amp;BP10&amp;" "&amp;BJ11,"")</f>
        <v/>
      </c>
      <c r="CM25" s="1534" t="s">
        <v>525</v>
      </c>
      <c r="CN25" s="325"/>
      <c r="CO25" s="325"/>
      <c r="CP25" s="1534" t="s">
        <v>525</v>
      </c>
      <c r="CQ25" s="1538" t="str">
        <f>IF(BJ17&lt;&gt;"",BJ$1&amp;" "&amp;BP16&amp;" "&amp;BJ17,"")</f>
        <v/>
      </c>
      <c r="CR25" s="1534" t="s">
        <v>525</v>
      </c>
      <c r="CS25" s="325"/>
      <c r="CT25" s="325"/>
      <c r="CU25" s="1534" t="s">
        <v>525</v>
      </c>
      <c r="CV25" s="1538" t="str">
        <f>IF(BJ23&lt;&gt;"",BJ$1&amp;" "&amp;BP22&amp;" "&amp;BJ23,"")</f>
        <v/>
      </c>
      <c r="CW25" s="1534" t="s">
        <v>525</v>
      </c>
      <c r="CX25" s="325"/>
      <c r="CY25" s="325"/>
      <c r="CZ25" s="1534" t="s">
        <v>525</v>
      </c>
      <c r="DA25" s="1538" t="str">
        <f>IF(BJ29&lt;&gt;"",BJ$1&amp;" "&amp;BP28&amp;" "&amp;BJ29,"")</f>
        <v/>
      </c>
      <c r="DB25" s="1534" t="s">
        <v>525</v>
      </c>
      <c r="DC25" s="325"/>
      <c r="DD25" s="325"/>
      <c r="DE25" s="1534" t="s">
        <v>525</v>
      </c>
      <c r="DF25" s="1538" t="str">
        <f>IF(BJ35&lt;&gt;"",BJ$1&amp;" "&amp;BP34&amp;" "&amp;BJ35,"")</f>
        <v/>
      </c>
      <c r="DG25" s="1534" t="s">
        <v>525</v>
      </c>
      <c r="DH25" s="325"/>
      <c r="DI25" s="325"/>
      <c r="DJ25" s="1534" t="s">
        <v>525</v>
      </c>
    </row>
    <row r="26" spans="1:114" ht="17.100000000000001" customHeight="1" x14ac:dyDescent="0.25">
      <c r="A26" s="81"/>
      <c r="C26" s="106"/>
      <c r="D26" s="106"/>
      <c r="E26" s="106"/>
      <c r="F26" s="3800"/>
      <c r="G26" s="3800"/>
      <c r="H26" s="3800"/>
      <c r="I26" s="109"/>
      <c r="J26" s="110"/>
      <c r="O26" s="111"/>
      <c r="P26" s="92"/>
      <c r="Q26" s="3777"/>
      <c r="R26" s="3777"/>
      <c r="S26" s="3777"/>
      <c r="T26" s="3777"/>
      <c r="U26" s="3777"/>
      <c r="V26" s="3777"/>
      <c r="W26" s="3777"/>
      <c r="X26" s="3777"/>
      <c r="Y26" s="105"/>
      <c r="Z26" s="3777"/>
      <c r="AA26" s="3777"/>
      <c r="AB26" s="3777"/>
      <c r="AC26" s="3777"/>
      <c r="AD26" s="3777"/>
      <c r="AE26" s="3777"/>
      <c r="AF26" s="3777"/>
      <c r="AG26" s="3777"/>
      <c r="AH26" s="105"/>
      <c r="AI26" s="3777"/>
      <c r="AJ26" s="3777"/>
      <c r="AK26" s="3777"/>
      <c r="AL26" s="3777"/>
      <c r="AM26" s="3777"/>
      <c r="AN26" s="3777"/>
      <c r="AO26" s="3777"/>
      <c r="AP26" s="3777"/>
      <c r="AQ26" s="105"/>
      <c r="AR26" s="3777"/>
      <c r="AS26" s="3777"/>
      <c r="AT26" s="3777"/>
      <c r="AU26" s="3777"/>
      <c r="AV26" s="3777"/>
      <c r="AW26" s="3777"/>
      <c r="AX26" s="3777"/>
      <c r="AY26" s="3777"/>
      <c r="AZ26" s="105"/>
      <c r="BA26" s="3777"/>
      <c r="BB26" s="3777"/>
      <c r="BC26" s="3777"/>
      <c r="BD26" s="3777"/>
      <c r="BE26" s="3777"/>
      <c r="BF26" s="3777"/>
      <c r="BG26" s="3777"/>
      <c r="BH26" s="3777"/>
      <c r="BI26" s="105"/>
      <c r="BJ26" s="3784"/>
      <c r="BK26" s="3784"/>
      <c r="BL26" s="3784"/>
      <c r="BM26" s="3784"/>
      <c r="BN26" s="3784"/>
      <c r="BO26" s="3784"/>
      <c r="BP26" s="3784"/>
      <c r="BQ26" s="3784"/>
      <c r="BR26" s="105"/>
      <c r="BS26" s="3784"/>
      <c r="BT26" s="3784"/>
      <c r="BU26" s="3784"/>
      <c r="BV26" s="3784"/>
      <c r="BW26" s="3784"/>
      <c r="BX26" s="3784"/>
      <c r="BY26" s="3784"/>
      <c r="BZ26" s="3784"/>
      <c r="CA26" s="81"/>
      <c r="CD26" s="46"/>
      <c r="CE26" s="46"/>
      <c r="CG26" s="1539" t="str">
        <f>IF(BJ6&lt;&gt;"",BJ$1&amp;" "&amp;BP4&amp;" "&amp;BJ6,"")</f>
        <v/>
      </c>
      <c r="CH26" s="1534" t="s">
        <v>525</v>
      </c>
      <c r="CI26" s="325"/>
      <c r="CJ26" s="325"/>
      <c r="CK26" s="1534" t="s">
        <v>525</v>
      </c>
      <c r="CL26" s="1539" t="str">
        <f>IF(BJ12&lt;&gt;"",BJ$1&amp;" "&amp;BP10&amp;" "&amp;BJ12,"")</f>
        <v/>
      </c>
      <c r="CM26" s="1534" t="s">
        <v>525</v>
      </c>
      <c r="CN26" s="325"/>
      <c r="CO26" s="325"/>
      <c r="CP26" s="1534" t="s">
        <v>525</v>
      </c>
      <c r="CQ26" s="1539" t="str">
        <f>IF(BJ18&lt;&gt;"",BJ$1&amp;" "&amp;BP16&amp;" "&amp;BJ18,"")</f>
        <v/>
      </c>
      <c r="CR26" s="1534" t="s">
        <v>525</v>
      </c>
      <c r="CS26" s="325"/>
      <c r="CT26" s="325"/>
      <c r="CU26" s="1534" t="s">
        <v>525</v>
      </c>
      <c r="CV26" s="1539" t="str">
        <f>IF(BJ24&lt;&gt;"",BJ$1&amp;" "&amp;BP22&amp;" "&amp;BJ24,"")</f>
        <v/>
      </c>
      <c r="CW26" s="1534" t="s">
        <v>525</v>
      </c>
      <c r="CX26" s="325"/>
      <c r="CY26" s="325"/>
      <c r="CZ26" s="1534" t="s">
        <v>525</v>
      </c>
      <c r="DA26" s="1539" t="str">
        <f>IF(BJ30&lt;&gt;"",BJ$1&amp;" "&amp;BP28&amp;" "&amp;BJ30,"")</f>
        <v/>
      </c>
      <c r="DB26" s="1534" t="s">
        <v>525</v>
      </c>
      <c r="DC26" s="325"/>
      <c r="DD26" s="325"/>
      <c r="DE26" s="1534" t="s">
        <v>525</v>
      </c>
      <c r="DF26" s="1539" t="str">
        <f>IF(BJ36&lt;&gt;"",BJ$1&amp;" "&amp;BP34&amp;" "&amp;BJ36,"")</f>
        <v/>
      </c>
      <c r="DG26" s="1534" t="s">
        <v>525</v>
      </c>
      <c r="DH26" s="325"/>
      <c r="DI26" s="325"/>
      <c r="DJ26" s="1534" t="s">
        <v>525</v>
      </c>
    </row>
    <row r="27" spans="1:114" ht="14.1" customHeight="1" x14ac:dyDescent="0.25">
      <c r="A27" s="17"/>
      <c r="C27" s="106"/>
      <c r="D27" s="106"/>
      <c r="E27" s="106"/>
      <c r="F27" s="3800"/>
      <c r="G27" s="3800"/>
      <c r="H27" s="3800"/>
      <c r="I27" s="109"/>
      <c r="J27" s="110"/>
      <c r="O27" s="111"/>
      <c r="P27" s="92"/>
      <c r="Q27" s="103"/>
      <c r="R27" s="103"/>
      <c r="S27" s="103"/>
      <c r="T27" s="103"/>
      <c r="U27" s="103"/>
      <c r="V27" s="103"/>
      <c r="W27" s="103"/>
      <c r="X27" s="104" t="e">
        <f>IF(W28&lt;15,1,0)</f>
        <v>#VALUE!</v>
      </c>
      <c r="Y27" s="97"/>
      <c r="Z27" s="103"/>
      <c r="AA27" s="103"/>
      <c r="AB27" s="103"/>
      <c r="AC27" s="103"/>
      <c r="AD27" s="103"/>
      <c r="AE27" s="103"/>
      <c r="AF27" s="103"/>
      <c r="AG27" s="104" t="e">
        <f>IF(AF28&lt;15,1,0)</f>
        <v>#VALUE!</v>
      </c>
      <c r="AH27" s="97"/>
      <c r="AI27" s="103"/>
      <c r="AJ27" s="103"/>
      <c r="AK27" s="103"/>
      <c r="AL27" s="103"/>
      <c r="AM27" s="103"/>
      <c r="AN27" s="103"/>
      <c r="AO27" s="103"/>
      <c r="AP27" s="104" t="e">
        <f>IF(AO28&lt;15,1,0)</f>
        <v>#VALUE!</v>
      </c>
      <c r="AQ27" s="97"/>
      <c r="AR27" s="103"/>
      <c r="AS27" s="103"/>
      <c r="AT27" s="103"/>
      <c r="AU27" s="103"/>
      <c r="AV27" s="103"/>
      <c r="AW27" s="103"/>
      <c r="AX27" s="103"/>
      <c r="AY27" s="104" t="e">
        <f>IF(AX28&lt;15,1,0)</f>
        <v>#VALUE!</v>
      </c>
      <c r="AZ27" s="97"/>
      <c r="BA27" s="103"/>
      <c r="BB27" s="103"/>
      <c r="BC27" s="103"/>
      <c r="BD27" s="103"/>
      <c r="BE27" s="103"/>
      <c r="BF27" s="103"/>
      <c r="BG27" s="103"/>
      <c r="BH27" s="104" t="e">
        <f>IF(BG28&lt;15,1,0)</f>
        <v>#VALUE!</v>
      </c>
      <c r="BI27" s="97"/>
      <c r="BJ27" s="103"/>
      <c r="BK27" s="103"/>
      <c r="BL27" s="103"/>
      <c r="BM27" s="103"/>
      <c r="BN27" s="103"/>
      <c r="BO27" s="103"/>
      <c r="BP27" s="103"/>
      <c r="BQ27" s="104">
        <f>IF(BP28&lt;15,1,0)</f>
        <v>0</v>
      </c>
      <c r="BR27" s="97"/>
      <c r="BS27" s="103"/>
      <c r="BT27" s="103"/>
      <c r="BU27" s="103"/>
      <c r="BV27" s="103"/>
      <c r="BW27" s="103"/>
      <c r="BX27" s="103"/>
      <c r="BY27" s="103"/>
      <c r="BZ27" s="104">
        <f>IF(BY28&lt;15,1,0)</f>
        <v>0</v>
      </c>
      <c r="CA27" s="81"/>
      <c r="CD27" s="46"/>
      <c r="CE27" s="46"/>
      <c r="CG27" s="1539" t="str">
        <f>IF(BJ7&lt;&gt;"",BJ$1&amp;" "&amp;BP4&amp;" "&amp;BJ7,"")</f>
        <v/>
      </c>
      <c r="CH27" s="1534" t="s">
        <v>525</v>
      </c>
      <c r="CI27" s="325"/>
      <c r="CJ27" s="325"/>
      <c r="CK27" s="1534" t="s">
        <v>525</v>
      </c>
      <c r="CL27" s="1539" t="str">
        <f>IF(BJ13&lt;&gt;"",BJ$1&amp;" "&amp;BP10&amp;" "&amp;BJ13,"")</f>
        <v/>
      </c>
      <c r="CM27" s="1534" t="s">
        <v>525</v>
      </c>
      <c r="CN27" s="325"/>
      <c r="CO27" s="325"/>
      <c r="CP27" s="1534" t="s">
        <v>525</v>
      </c>
      <c r="CQ27" s="1539" t="str">
        <f>IF(BJ19&lt;&gt;"",BJ$1&amp;" "&amp;BP16&amp;" "&amp;BJ19,"")</f>
        <v/>
      </c>
      <c r="CR27" s="1534" t="s">
        <v>525</v>
      </c>
      <c r="CS27" s="325"/>
      <c r="CT27" s="325"/>
      <c r="CU27" s="1534" t="s">
        <v>525</v>
      </c>
      <c r="CV27" s="1539" t="str">
        <f>IF(BJ25&lt;&gt;"",BJ$1&amp;" "&amp;BP22&amp;" "&amp;BJ25,"")</f>
        <v/>
      </c>
      <c r="CW27" s="1534" t="s">
        <v>525</v>
      </c>
      <c r="CX27" s="325"/>
      <c r="CY27" s="325"/>
      <c r="CZ27" s="1534" t="s">
        <v>525</v>
      </c>
      <c r="DA27" s="1539" t="str">
        <f>IF(BJ31&lt;&gt;"",BJ$1&amp;" "&amp;BP28&amp;" "&amp;BJ31,"")</f>
        <v/>
      </c>
      <c r="DB27" s="1534" t="s">
        <v>525</v>
      </c>
      <c r="DC27" s="325"/>
      <c r="DD27" s="325"/>
      <c r="DE27" s="1534" t="s">
        <v>525</v>
      </c>
      <c r="DF27" s="1539" t="str">
        <f>IF(BJ37&lt;&gt;"",BJ$1&amp;" "&amp;BP34&amp;" "&amp;BJ37,"")</f>
        <v/>
      </c>
      <c r="DG27" s="1534" t="s">
        <v>525</v>
      </c>
      <c r="DH27" s="325"/>
      <c r="DI27" s="325"/>
      <c r="DJ27" s="1534" t="s">
        <v>525</v>
      </c>
    </row>
    <row r="28" spans="1:114" ht="17.100000000000001" customHeight="1" x14ac:dyDescent="0.25">
      <c r="A28" s="81"/>
      <c r="C28" s="106"/>
      <c r="D28" s="106"/>
      <c r="E28" s="106"/>
      <c r="F28" s="3800"/>
      <c r="G28" s="3800"/>
      <c r="H28" s="3800"/>
      <c r="I28" s="107"/>
      <c r="J28" s="112"/>
      <c r="O28" s="113"/>
      <c r="P28" s="92"/>
      <c r="Q28" s="3791"/>
      <c r="R28" s="3791"/>
      <c r="S28" s="3791"/>
      <c r="T28" s="3791"/>
      <c r="U28" s="3791"/>
      <c r="V28" s="3791"/>
      <c r="W28" s="3792" t="e">
        <f>_xlfn.IFS(
AND(OR($C$1=1,$C$1=3,$C$1=5,$C$1=7,$C$1=8,$C$1=10,$C$1=12),BY22=31),1,
AND(OR($C$1=4,$C$1=6,$C$1=9,$C$1=11),BY22=30),1,
AND($C$1=2,OR(AND($CD$57=0,BY22=28),AND($CD$57=1,BY22=29))),1,
TRUE,BY22+1
)</f>
        <v>#VALUE!</v>
      </c>
      <c r="X28" s="3792"/>
      <c r="Y28" s="98"/>
      <c r="Z28" s="3791"/>
      <c r="AA28" s="3791"/>
      <c r="AB28" s="3791"/>
      <c r="AC28" s="3791"/>
      <c r="AD28" s="3791"/>
      <c r="AE28" s="3791"/>
      <c r="AF28" s="3792" t="e">
        <f>_xlfn.IFS(
AND(OR($C$1=1,$C$1=3,$C$1=5,$C$1=7,$C$1=8,$C$1=10,$C$1=12),W28=31),1,
AND(OR($C$1=4,$C$1=6,$C$1=9,$C$1=11),W28=30),1,
AND($C$1=2,OR(AND($CD$57=0,W28=28),AND($CD$57=1,W28=29))),1,
TRUE,W28+1
)</f>
        <v>#VALUE!</v>
      </c>
      <c r="AG28" s="3792"/>
      <c r="AH28" s="98"/>
      <c r="AI28" s="3791"/>
      <c r="AJ28" s="3791"/>
      <c r="AK28" s="3791"/>
      <c r="AL28" s="3791"/>
      <c r="AM28" s="3791"/>
      <c r="AN28" s="3791"/>
      <c r="AO28" s="3792" t="e">
        <f>_xlfn.IFS(
AND(OR($C$1=1,$C$1=3,$C$1=5,$C$1=7,$C$1=8,$C$1=10,$C$1=12),AF28=31),1,
AND(OR($C$1=4,$C$1=6,$C$1=9,$C$1=11),AF28=30),1,
AND($C$1=2,OR(AND($CD$57=0,AF28=28),AND($CD$57=1,AF28=29))),1,
TRUE,AF28+1
)</f>
        <v>#VALUE!</v>
      </c>
      <c r="AP28" s="3792"/>
      <c r="AQ28" s="98"/>
      <c r="AR28" s="3791"/>
      <c r="AS28" s="3791"/>
      <c r="AT28" s="3791"/>
      <c r="AU28" s="3791"/>
      <c r="AV28" s="3791"/>
      <c r="AW28" s="3791"/>
      <c r="AX28" s="3792" t="e">
        <f>_xlfn.IFS(
AND(OR($C$1=1,$C$1=3,$C$1=5,$C$1=7,$C$1=8,$C$1=10,$C$1=12),AO28=31),1,
AND(OR($C$1=4,$C$1=6,$C$1=9,$C$1=11),AO28=30),1,
AND($C$1=2,OR(AND($CD$57=0,AO28=28),AND($CD$57=1,AO28=29))),1,
TRUE,AO28+1
)</f>
        <v>#VALUE!</v>
      </c>
      <c r="AY28" s="3792"/>
      <c r="AZ28" s="98"/>
      <c r="BA28" s="3791"/>
      <c r="BB28" s="3791"/>
      <c r="BC28" s="3791"/>
      <c r="BD28" s="3791"/>
      <c r="BE28" s="3791"/>
      <c r="BF28" s="3791"/>
      <c r="BG28" s="3792" t="e">
        <f>_xlfn.IFS(
AND(OR($C$1=1,$C$1=3,$C$1=5,$C$1=7,$C$1=8,$C$1=10,$C$1=12),AX28=31),1,
AND(OR($C$1=4,$C$1=6,$C$1=9,$C$1=11),AX28=30),1,
AND($C$1=2,OR(AND($CD$57=0,AX28=28),AND($CD$57=1,AX28=29))),1,
TRUE,AX28+1
)</f>
        <v>#VALUE!</v>
      </c>
      <c r="BH28" s="3792"/>
      <c r="BI28" s="98"/>
      <c r="BJ28" s="3788"/>
      <c r="BK28" s="3788"/>
      <c r="BL28" s="3788"/>
      <c r="BM28" s="3788"/>
      <c r="BN28" s="3788"/>
      <c r="BO28" s="3788"/>
      <c r="BP28" s="3789" t="str" cm="1">
        <f t="array" ref="BP28">IFERROR(_xlfn.IFS(
AND(OR($C$1=1,$C$1=3,$C$1=5,$C$1=7,$C$1=8,$C$1=10,$C$1=12),BG28=31),1,
AND(OR($C$1=4,$C$1=6,$C$1=9,$C$1=11),BG28=30),1,
AND($C$1=2,OR(AND($CD$57=0,BG28=28),AND($CD$57=1,BG28=29))),1,
TRUE,BG28+1
),"")</f>
        <v/>
      </c>
      <c r="BQ28" s="3789"/>
      <c r="BR28" s="98"/>
      <c r="BS28" s="3788"/>
      <c r="BT28" s="3788"/>
      <c r="BU28" s="3788"/>
      <c r="BV28" s="3788"/>
      <c r="BW28" s="3788"/>
      <c r="BX28" s="3788"/>
      <c r="BY28" s="3789" t="str" cm="1">
        <f t="array" ref="BY28">IFERROR(_xlfn.IFS(
AND(OR($C$1=1,$C$1=3,$C$1=5,$C$1=7,$C$1=8,$C$1=10,$C$1=12),BP28=31),1,
AND(OR($C$1=4,$C$1=6,$C$1=9,$C$1=11),BP28=30),1,
AND($C$1=2,OR(AND($CD$57=0,BP28=28),AND($CD$57=1,BP28=29))),1,
TRUE,BP28+1
),"")</f>
        <v/>
      </c>
      <c r="BZ28" s="3789"/>
      <c r="CA28" s="81"/>
      <c r="CD28" s="99" t="s">
        <v>324</v>
      </c>
      <c r="CE28" s="100" t="e">
        <f>MAX(W28:BZ28)</f>
        <v>#VALUE!</v>
      </c>
      <c r="CG28" s="1540" t="str">
        <f>IF(BJ8&lt;&gt;"",BJ$1&amp;" "&amp;BP4&amp;" "&amp;BJ8,"")</f>
        <v/>
      </c>
      <c r="CH28" s="1534" t="s">
        <v>525</v>
      </c>
      <c r="CI28" s="325"/>
      <c r="CJ28" s="325"/>
      <c r="CK28" s="1534" t="s">
        <v>525</v>
      </c>
      <c r="CL28" s="1540" t="str">
        <f>IF(BJ14&lt;&gt;"",BJ$1&amp;" "&amp;BP10&amp;" "&amp;BJ14,"")</f>
        <v/>
      </c>
      <c r="CM28" s="1534" t="s">
        <v>525</v>
      </c>
      <c r="CN28" s="325"/>
      <c r="CO28" s="325"/>
      <c r="CP28" s="1534" t="s">
        <v>525</v>
      </c>
      <c r="CQ28" s="1540" t="str">
        <f>IF(BJ20&lt;&gt;"",BJ$1&amp;" "&amp;BP16&amp;" "&amp;BJ20,"")</f>
        <v/>
      </c>
      <c r="CR28" s="1534" t="s">
        <v>525</v>
      </c>
      <c r="CS28" s="325"/>
      <c r="CT28" s="325"/>
      <c r="CU28" s="1534" t="s">
        <v>525</v>
      </c>
      <c r="CV28" s="1540" t="str">
        <f>IF(BJ26&lt;&gt;"",BJ$1&amp;" "&amp;BP22&amp;" "&amp;BJ26,"")</f>
        <v/>
      </c>
      <c r="CW28" s="1534" t="s">
        <v>525</v>
      </c>
      <c r="CX28" s="325"/>
      <c r="CY28" s="325"/>
      <c r="CZ28" s="1534" t="s">
        <v>525</v>
      </c>
      <c r="DA28" s="1540" t="str">
        <f>IF(BJ32&lt;&gt;"",BJ$1&amp;" "&amp;BP28&amp;" "&amp;BJ32,"")</f>
        <v/>
      </c>
      <c r="DB28" s="1534" t="s">
        <v>525</v>
      </c>
      <c r="DC28" s="325"/>
      <c r="DD28" s="325"/>
      <c r="DE28" s="1534" t="s">
        <v>525</v>
      </c>
      <c r="DF28" s="1540" t="str">
        <f>IF(BJ38&lt;&gt;"",BJ$1&amp;" "&amp;BP34&amp;" "&amp;BJ38,"")</f>
        <v/>
      </c>
      <c r="DG28" s="1534" t="s">
        <v>525</v>
      </c>
      <c r="DH28" s="325"/>
      <c r="DI28" s="325"/>
      <c r="DJ28" s="1534" t="s">
        <v>525</v>
      </c>
    </row>
    <row r="29" spans="1:114" ht="17.100000000000001" customHeight="1" x14ac:dyDescent="0.25">
      <c r="A29" s="17"/>
      <c r="C29" s="106"/>
      <c r="D29" s="106"/>
      <c r="E29" s="106"/>
      <c r="F29" s="3800"/>
      <c r="G29" s="3800"/>
      <c r="H29" s="3800"/>
      <c r="I29" s="107"/>
      <c r="J29" s="112"/>
      <c r="O29" s="113"/>
      <c r="P29" s="92"/>
      <c r="Q29" s="3777"/>
      <c r="R29" s="3777"/>
      <c r="S29" s="3777"/>
      <c r="T29" s="3777"/>
      <c r="U29" s="3777"/>
      <c r="V29" s="3777"/>
      <c r="W29" s="3777"/>
      <c r="X29" s="3777"/>
      <c r="Y29" s="105"/>
      <c r="Z29" s="3777"/>
      <c r="AA29" s="3777"/>
      <c r="AB29" s="3777"/>
      <c r="AC29" s="3777"/>
      <c r="AD29" s="3777"/>
      <c r="AE29" s="3777"/>
      <c r="AF29" s="3777"/>
      <c r="AG29" s="3777"/>
      <c r="AH29" s="105"/>
      <c r="AI29" s="3777"/>
      <c r="AJ29" s="3777"/>
      <c r="AK29" s="3777"/>
      <c r="AL29" s="3777"/>
      <c r="AM29" s="3777"/>
      <c r="AN29" s="3777"/>
      <c r="AO29" s="3777"/>
      <c r="AP29" s="3777"/>
      <c r="AQ29" s="105"/>
      <c r="AR29" s="3777"/>
      <c r="AS29" s="3777"/>
      <c r="AT29" s="3777"/>
      <c r="AU29" s="3777"/>
      <c r="AV29" s="3777"/>
      <c r="AW29" s="3777"/>
      <c r="AX29" s="3777"/>
      <c r="AY29" s="3777"/>
      <c r="AZ29" s="105"/>
      <c r="BA29" s="3777"/>
      <c r="BB29" s="3777"/>
      <c r="BC29" s="3777"/>
      <c r="BD29" s="3777"/>
      <c r="BE29" s="3777"/>
      <c r="BF29" s="3777"/>
      <c r="BG29" s="3777"/>
      <c r="BH29" s="3777"/>
      <c r="BI29" s="105"/>
      <c r="BJ29" s="3784"/>
      <c r="BK29" s="3784"/>
      <c r="BL29" s="3784"/>
      <c r="BM29" s="3784"/>
      <c r="BN29" s="3784"/>
      <c r="BO29" s="3784"/>
      <c r="BP29" s="3784"/>
      <c r="BQ29" s="3784"/>
      <c r="BR29" s="105"/>
      <c r="BS29" s="3784"/>
      <c r="BT29" s="3784"/>
      <c r="BU29" s="3784"/>
      <c r="BV29" s="3784"/>
      <c r="BW29" s="3784"/>
      <c r="BX29" s="3784"/>
      <c r="BY29" s="3784"/>
      <c r="BZ29" s="3784"/>
      <c r="CA29" s="81"/>
      <c r="CD29" s="46"/>
      <c r="CE29" s="46"/>
      <c r="CG29" s="1538" t="str">
        <f>IF(BS5&lt;&gt;"",BS$1&amp;" "&amp;BY4&amp;" "&amp;BS5,"")</f>
        <v/>
      </c>
      <c r="CH29" s="1534" t="s">
        <v>525</v>
      </c>
      <c r="CI29" s="325"/>
      <c r="CJ29" s="325"/>
      <c r="CK29" s="1534" t="s">
        <v>525</v>
      </c>
      <c r="CL29" s="1538" t="str">
        <f>IF(BS11&lt;&gt;"",BS$1&amp;" "&amp;BY10&amp;" "&amp;BS11,"")</f>
        <v/>
      </c>
      <c r="CM29" s="1534" t="s">
        <v>525</v>
      </c>
      <c r="CN29" s="325"/>
      <c r="CO29" s="325"/>
      <c r="CP29" s="1534" t="s">
        <v>525</v>
      </c>
      <c r="CQ29" s="1538" t="str">
        <f>IF(BS17&lt;&gt;"",BS$1&amp;" "&amp;BY16&amp;" "&amp;BS17,"")</f>
        <v/>
      </c>
      <c r="CR29" s="1534" t="s">
        <v>525</v>
      </c>
      <c r="CS29" s="325"/>
      <c r="CT29" s="325"/>
      <c r="CU29" s="1534" t="s">
        <v>525</v>
      </c>
      <c r="CV29" s="1538" t="str">
        <f>IF(BS23&lt;&gt;"",BS$1&amp;" "&amp;BY22&amp;" "&amp;BS23,"")</f>
        <v/>
      </c>
      <c r="CW29" s="1534" t="s">
        <v>525</v>
      </c>
      <c r="CX29" s="325"/>
      <c r="CY29" s="325"/>
      <c r="CZ29" s="1534" t="s">
        <v>525</v>
      </c>
      <c r="DA29" s="1538" t="str">
        <f>IF(BS29&lt;&gt;"",BS$1&amp;" "&amp;BY28&amp;" "&amp;BS29,"")</f>
        <v/>
      </c>
      <c r="DB29" s="1534" t="s">
        <v>525</v>
      </c>
      <c r="DC29" s="325"/>
      <c r="DD29" s="325"/>
      <c r="DE29" s="1534" t="s">
        <v>525</v>
      </c>
      <c r="DF29" s="44"/>
      <c r="DG29" s="1534" t="s">
        <v>525</v>
      </c>
      <c r="DH29" s="325"/>
      <c r="DI29" s="325"/>
      <c r="DJ29" s="1534" t="s">
        <v>525</v>
      </c>
    </row>
    <row r="30" spans="1:114" ht="17.100000000000001" customHeight="1" x14ac:dyDescent="0.25">
      <c r="A30" s="81"/>
      <c r="C30" s="106"/>
      <c r="D30" s="106"/>
      <c r="E30" s="106"/>
      <c r="F30" s="3800"/>
      <c r="G30" s="3800"/>
      <c r="H30" s="3800"/>
      <c r="I30" s="107"/>
      <c r="J30" s="112"/>
      <c r="O30" s="113"/>
      <c r="P30" s="92"/>
      <c r="Q30" s="3777"/>
      <c r="R30" s="3777"/>
      <c r="S30" s="3777"/>
      <c r="T30" s="3777"/>
      <c r="U30" s="3777"/>
      <c r="V30" s="3777"/>
      <c r="W30" s="3777"/>
      <c r="X30" s="3777"/>
      <c r="Y30" s="105"/>
      <c r="Z30" s="3777"/>
      <c r="AA30" s="3777"/>
      <c r="AB30" s="3777"/>
      <c r="AC30" s="3777"/>
      <c r="AD30" s="3777"/>
      <c r="AE30" s="3777"/>
      <c r="AF30" s="3777"/>
      <c r="AG30" s="3777"/>
      <c r="AH30" s="105"/>
      <c r="AI30" s="3777"/>
      <c r="AJ30" s="3777"/>
      <c r="AK30" s="3777"/>
      <c r="AL30" s="3777"/>
      <c r="AM30" s="3777"/>
      <c r="AN30" s="3777"/>
      <c r="AO30" s="3777"/>
      <c r="AP30" s="3777"/>
      <c r="AQ30" s="105"/>
      <c r="AR30" s="3777"/>
      <c r="AS30" s="3777"/>
      <c r="AT30" s="3777"/>
      <c r="AU30" s="3777"/>
      <c r="AV30" s="3777"/>
      <c r="AW30" s="3777"/>
      <c r="AX30" s="3777"/>
      <c r="AY30" s="3777"/>
      <c r="AZ30" s="105"/>
      <c r="BA30" s="3777"/>
      <c r="BB30" s="3777"/>
      <c r="BC30" s="3777"/>
      <c r="BD30" s="3777"/>
      <c r="BE30" s="3777"/>
      <c r="BF30" s="3777"/>
      <c r="BG30" s="3777"/>
      <c r="BH30" s="3777"/>
      <c r="BI30" s="105"/>
      <c r="BJ30" s="3784"/>
      <c r="BK30" s="3784"/>
      <c r="BL30" s="3784"/>
      <c r="BM30" s="3784"/>
      <c r="BN30" s="3784"/>
      <c r="BO30" s="3784"/>
      <c r="BP30" s="3784"/>
      <c r="BQ30" s="3784"/>
      <c r="BR30" s="105"/>
      <c r="BS30" s="3784"/>
      <c r="BT30" s="3784"/>
      <c r="BU30" s="3784"/>
      <c r="BV30" s="3784"/>
      <c r="BW30" s="3784"/>
      <c r="BX30" s="3784"/>
      <c r="BY30" s="3784"/>
      <c r="BZ30" s="3784"/>
      <c r="CA30" s="81"/>
      <c r="CD30" s="46"/>
      <c r="CE30" s="46"/>
      <c r="CG30" s="1539" t="str">
        <f>IF(BS6&lt;&gt;"",BS$1&amp;" "&amp;BY4&amp;" "&amp;BS6,"")</f>
        <v/>
      </c>
      <c r="CH30" s="1534" t="s">
        <v>525</v>
      </c>
      <c r="CI30" s="325"/>
      <c r="CJ30" s="325"/>
      <c r="CK30" s="1534" t="s">
        <v>525</v>
      </c>
      <c r="CL30" s="1539" t="str">
        <f>IF(BS12&lt;&gt;"",BS$1&amp;" "&amp;BY10&amp;" "&amp;BS12,"")</f>
        <v/>
      </c>
      <c r="CM30" s="1534" t="s">
        <v>525</v>
      </c>
      <c r="CN30" s="325"/>
      <c r="CO30" s="325"/>
      <c r="CP30" s="1534" t="s">
        <v>525</v>
      </c>
      <c r="CQ30" s="1539" t="str">
        <f>IF(BS18&lt;&gt;"",BS$1&amp;" "&amp;BY16&amp;" "&amp;BS18,"")</f>
        <v/>
      </c>
      <c r="CR30" s="1534" t="s">
        <v>525</v>
      </c>
      <c r="CS30" s="325"/>
      <c r="CT30" s="325"/>
      <c r="CU30" s="1534" t="s">
        <v>525</v>
      </c>
      <c r="CV30" s="1539" t="str">
        <f>IF(BS24&lt;&gt;"",BS$1&amp;" "&amp;BY22&amp;" "&amp;BS24,"")</f>
        <v/>
      </c>
      <c r="CW30" s="1534" t="s">
        <v>525</v>
      </c>
      <c r="CX30" s="325"/>
      <c r="CY30" s="325"/>
      <c r="CZ30" s="1534" t="s">
        <v>525</v>
      </c>
      <c r="DA30" s="1539" t="str">
        <f>IF(BS30&lt;&gt;"",BS$1&amp;" "&amp;BY28&amp;" "&amp;BS30,"")</f>
        <v/>
      </c>
      <c r="DB30" s="1534" t="s">
        <v>525</v>
      </c>
      <c r="DC30" s="325"/>
      <c r="DD30" s="325"/>
      <c r="DE30" s="1534" t="s">
        <v>525</v>
      </c>
      <c r="DF30" s="44"/>
      <c r="DG30" s="1534" t="s">
        <v>525</v>
      </c>
      <c r="DH30" s="325"/>
      <c r="DI30" s="325"/>
      <c r="DJ30" s="1534" t="s">
        <v>525</v>
      </c>
    </row>
    <row r="31" spans="1:114" ht="17.100000000000001" customHeight="1" x14ac:dyDescent="0.25">
      <c r="A31" s="17"/>
      <c r="C31" s="106"/>
      <c r="D31" s="106"/>
      <c r="E31" s="106"/>
      <c r="F31" s="3800"/>
      <c r="G31" s="3800"/>
      <c r="H31" s="3800"/>
      <c r="I31" s="107"/>
      <c r="J31" s="114"/>
      <c r="O31" s="115"/>
      <c r="P31" s="92"/>
      <c r="Q31" s="3777"/>
      <c r="R31" s="3777"/>
      <c r="S31" s="3777"/>
      <c r="T31" s="3777"/>
      <c r="U31" s="3777"/>
      <c r="V31" s="3777"/>
      <c r="W31" s="3777"/>
      <c r="X31" s="3777"/>
      <c r="Y31" s="105"/>
      <c r="Z31" s="3777"/>
      <c r="AA31" s="3777"/>
      <c r="AB31" s="3777"/>
      <c r="AC31" s="3777"/>
      <c r="AD31" s="3777"/>
      <c r="AE31" s="3777"/>
      <c r="AF31" s="3777"/>
      <c r="AG31" s="3777"/>
      <c r="AH31" s="105"/>
      <c r="AI31" s="3777"/>
      <c r="AJ31" s="3777"/>
      <c r="AK31" s="3777"/>
      <c r="AL31" s="3777"/>
      <c r="AM31" s="3777"/>
      <c r="AN31" s="3777"/>
      <c r="AO31" s="3777"/>
      <c r="AP31" s="3777"/>
      <c r="AQ31" s="105"/>
      <c r="AR31" s="3777"/>
      <c r="AS31" s="3777"/>
      <c r="AT31" s="3777"/>
      <c r="AU31" s="3777"/>
      <c r="AV31" s="3777"/>
      <c r="AW31" s="3777"/>
      <c r="AX31" s="3777"/>
      <c r="AY31" s="3777"/>
      <c r="AZ31" s="105"/>
      <c r="BA31" s="3777"/>
      <c r="BB31" s="3777"/>
      <c r="BC31" s="3777"/>
      <c r="BD31" s="3777"/>
      <c r="BE31" s="3777"/>
      <c r="BF31" s="3777"/>
      <c r="BG31" s="3777"/>
      <c r="BH31" s="3777"/>
      <c r="BI31" s="105"/>
      <c r="BJ31" s="3784"/>
      <c r="BK31" s="3784"/>
      <c r="BL31" s="3784"/>
      <c r="BM31" s="3784"/>
      <c r="BN31" s="3784"/>
      <c r="BO31" s="3784"/>
      <c r="BP31" s="3784"/>
      <c r="BQ31" s="3784"/>
      <c r="BR31" s="105"/>
      <c r="BS31" s="3784"/>
      <c r="BT31" s="3784"/>
      <c r="BU31" s="3784"/>
      <c r="BV31" s="3784"/>
      <c r="BW31" s="3784"/>
      <c r="BX31" s="3784"/>
      <c r="BY31" s="3784"/>
      <c r="BZ31" s="3784"/>
      <c r="CA31" s="81"/>
      <c r="CD31" s="46"/>
      <c r="CE31" s="46"/>
      <c r="CG31" s="1539" t="str">
        <f>IF(BS7&lt;&gt;"",BS$1&amp;" "&amp;BY4&amp;" "&amp;BS7,"")</f>
        <v/>
      </c>
      <c r="CH31" s="1534" t="s">
        <v>525</v>
      </c>
      <c r="CI31" s="325"/>
      <c r="CJ31" s="325"/>
      <c r="CK31" s="1534" t="s">
        <v>525</v>
      </c>
      <c r="CL31" s="1539" t="str">
        <f>IF(BS13&lt;&gt;"",BS$1&amp;" "&amp;BY10&amp;" "&amp;BS13,"")</f>
        <v/>
      </c>
      <c r="CM31" s="1534" t="s">
        <v>525</v>
      </c>
      <c r="CN31" s="325"/>
      <c r="CO31" s="325"/>
      <c r="CP31" s="1534" t="s">
        <v>525</v>
      </c>
      <c r="CQ31" s="1539" t="str">
        <f>IF(BS19&lt;&gt;"",BS$1&amp;" "&amp;BY16&amp;" "&amp;BS19,"")</f>
        <v/>
      </c>
      <c r="CR31" s="1534" t="s">
        <v>525</v>
      </c>
      <c r="CS31" s="325"/>
      <c r="CT31" s="325"/>
      <c r="CU31" s="1534" t="s">
        <v>525</v>
      </c>
      <c r="CV31" s="1539" t="str">
        <f>IF(BS25&lt;&gt;"",BS$1&amp;" "&amp;BY22&amp;" "&amp;BS25,"")</f>
        <v/>
      </c>
      <c r="CW31" s="1534" t="s">
        <v>525</v>
      </c>
      <c r="CX31" s="325"/>
      <c r="CY31" s="325"/>
      <c r="CZ31" s="1534" t="s">
        <v>525</v>
      </c>
      <c r="DA31" s="1539" t="str">
        <f>IF(BS31&lt;&gt;"",BS$1&amp;" "&amp;BY28&amp;" "&amp;BS31,"")</f>
        <v/>
      </c>
      <c r="DB31" s="1534" t="s">
        <v>525</v>
      </c>
      <c r="DC31" s="325"/>
      <c r="DD31" s="325"/>
      <c r="DE31" s="1534" t="s">
        <v>525</v>
      </c>
      <c r="DF31" s="44"/>
      <c r="DG31" s="1534" t="s">
        <v>525</v>
      </c>
      <c r="DH31" s="325"/>
      <c r="DI31" s="325"/>
      <c r="DJ31" s="1534" t="s">
        <v>525</v>
      </c>
    </row>
    <row r="32" spans="1:114" ht="17.100000000000001" customHeight="1" x14ac:dyDescent="0.25">
      <c r="A32" s="81"/>
      <c r="C32" s="116"/>
      <c r="D32" s="117"/>
      <c r="E32" s="117"/>
      <c r="F32" s="3800"/>
      <c r="G32" s="3800"/>
      <c r="H32" s="3800"/>
      <c r="I32" s="107"/>
      <c r="J32" s="114"/>
      <c r="O32" s="115"/>
      <c r="P32" s="92"/>
      <c r="Q32" s="3777"/>
      <c r="R32" s="3777"/>
      <c r="S32" s="3777"/>
      <c r="T32" s="3777"/>
      <c r="U32" s="3777"/>
      <c r="V32" s="3777"/>
      <c r="W32" s="3777"/>
      <c r="X32" s="3777"/>
      <c r="Y32" s="105"/>
      <c r="Z32" s="3777"/>
      <c r="AA32" s="3777"/>
      <c r="AB32" s="3777"/>
      <c r="AC32" s="3777"/>
      <c r="AD32" s="3777"/>
      <c r="AE32" s="3777"/>
      <c r="AF32" s="3777"/>
      <c r="AG32" s="3777"/>
      <c r="AH32" s="105"/>
      <c r="AI32" s="3777"/>
      <c r="AJ32" s="3777"/>
      <c r="AK32" s="3777"/>
      <c r="AL32" s="3777"/>
      <c r="AM32" s="3777"/>
      <c r="AN32" s="3777"/>
      <c r="AO32" s="3777"/>
      <c r="AP32" s="3777"/>
      <c r="AQ32" s="105"/>
      <c r="AR32" s="3777"/>
      <c r="AS32" s="3777"/>
      <c r="AT32" s="3777"/>
      <c r="AU32" s="3777"/>
      <c r="AV32" s="3777"/>
      <c r="AW32" s="3777"/>
      <c r="AX32" s="3777"/>
      <c r="AY32" s="3777"/>
      <c r="AZ32" s="105"/>
      <c r="BA32" s="3777"/>
      <c r="BB32" s="3777"/>
      <c r="BC32" s="3777"/>
      <c r="BD32" s="3777"/>
      <c r="BE32" s="3777"/>
      <c r="BF32" s="3777"/>
      <c r="BG32" s="3777"/>
      <c r="BH32" s="3777"/>
      <c r="BI32" s="105"/>
      <c r="BJ32" s="3784"/>
      <c r="BK32" s="3784"/>
      <c r="BL32" s="3784"/>
      <c r="BM32" s="3784"/>
      <c r="BN32" s="3784"/>
      <c r="BO32" s="3784"/>
      <c r="BP32" s="3784"/>
      <c r="BQ32" s="3784"/>
      <c r="BR32" s="105"/>
      <c r="BS32" s="3784"/>
      <c r="BT32" s="3784"/>
      <c r="BU32" s="3784"/>
      <c r="BV32" s="3784"/>
      <c r="BW32" s="3784"/>
      <c r="BX32" s="3784"/>
      <c r="BY32" s="3784"/>
      <c r="BZ32" s="3784"/>
      <c r="CA32" s="81"/>
      <c r="CD32" s="46"/>
      <c r="CE32" s="46"/>
      <c r="CG32" s="1540" t="str">
        <f>IF(BS8&lt;&gt;"",BS$1&amp;" "&amp;BY4&amp;" "&amp;BS8,"")</f>
        <v/>
      </c>
      <c r="CH32" s="1534" t="s">
        <v>525</v>
      </c>
      <c r="CI32" s="325"/>
      <c r="CJ32" s="325"/>
      <c r="CK32" s="1534" t="s">
        <v>525</v>
      </c>
      <c r="CL32" s="1540" t="str">
        <f>IF(BS14&lt;&gt;"",BS$1&amp;" "&amp;BY10&amp;" "&amp;BS14,"")</f>
        <v/>
      </c>
      <c r="CM32" s="1534" t="s">
        <v>525</v>
      </c>
      <c r="CN32" s="325"/>
      <c r="CO32" s="325"/>
      <c r="CP32" s="1534" t="s">
        <v>525</v>
      </c>
      <c r="CQ32" s="1540" t="str">
        <f>IF(BS20&lt;&gt;"",BS$1&amp;" "&amp;BY16&amp;" "&amp;BS20,"")</f>
        <v/>
      </c>
      <c r="CR32" s="1534" t="s">
        <v>525</v>
      </c>
      <c r="CS32" s="325"/>
      <c r="CT32" s="325"/>
      <c r="CU32" s="1534" t="s">
        <v>525</v>
      </c>
      <c r="CV32" s="1540" t="str">
        <f>IF(BS26&lt;&gt;"",BS$1&amp;" "&amp;BY22&amp;" "&amp;BS26,"")</f>
        <v/>
      </c>
      <c r="CW32" s="1534" t="s">
        <v>525</v>
      </c>
      <c r="CX32" s="325"/>
      <c r="CY32" s="325"/>
      <c r="CZ32" s="1534" t="s">
        <v>525</v>
      </c>
      <c r="DA32" s="1540" t="str">
        <f>IF(BS32&lt;&gt;"",BS$1&amp;" "&amp;BY28&amp;" "&amp;BS32,"")</f>
        <v/>
      </c>
      <c r="DB32" s="1534" t="s">
        <v>525</v>
      </c>
      <c r="DC32" s="325"/>
      <c r="DD32" s="325"/>
      <c r="DE32" s="1534" t="s">
        <v>525</v>
      </c>
      <c r="DF32" s="44"/>
      <c r="DG32" s="1534" t="s">
        <v>525</v>
      </c>
      <c r="DH32" s="325"/>
      <c r="DI32" s="325"/>
      <c r="DJ32" s="1534" t="s">
        <v>525</v>
      </c>
    </row>
    <row r="33" spans="1:113" ht="14.1" customHeight="1" x14ac:dyDescent="0.25">
      <c r="A33" s="17"/>
      <c r="F33" s="3800"/>
      <c r="G33" s="3800"/>
      <c r="H33" s="3800"/>
      <c r="I33" s="107"/>
      <c r="J33" s="114"/>
      <c r="O33" s="115"/>
      <c r="P33" s="92"/>
      <c r="Q33" s="103"/>
      <c r="R33" s="103"/>
      <c r="S33" s="103"/>
      <c r="T33" s="103"/>
      <c r="U33" s="103"/>
      <c r="V33" s="103"/>
      <c r="W33" s="103"/>
      <c r="X33" s="104" t="e">
        <f>IF(W34&lt;15,1,0)</f>
        <v>#VALUE!</v>
      </c>
      <c r="Y33" s="118"/>
      <c r="Z33" s="103"/>
      <c r="AA33" s="103"/>
      <c r="AB33" s="103"/>
      <c r="AC33" s="103"/>
      <c r="AD33" s="103"/>
      <c r="AE33" s="103"/>
      <c r="AF33" s="103"/>
      <c r="AG33" s="104" t="e">
        <f>IF(AF34&lt;15,1,0)</f>
        <v>#VALUE!</v>
      </c>
      <c r="AH33" s="97"/>
      <c r="AI33" s="103"/>
      <c r="AJ33" s="103"/>
      <c r="AK33" s="103"/>
      <c r="AL33" s="103"/>
      <c r="AM33" s="103"/>
      <c r="AN33" s="103"/>
      <c r="AO33" s="103"/>
      <c r="AP33" s="104" t="e">
        <f>IF(AO34&lt;15,1,0)</f>
        <v>#VALUE!</v>
      </c>
      <c r="AQ33" s="97"/>
      <c r="AR33" s="103"/>
      <c r="AS33" s="103"/>
      <c r="AT33" s="103"/>
      <c r="AU33" s="103"/>
      <c r="AV33" s="103"/>
      <c r="AW33" s="103"/>
      <c r="AX33" s="103"/>
      <c r="AY33" s="104" t="e">
        <f>IF(AX34&lt;15,1,0)</f>
        <v>#VALUE!</v>
      </c>
      <c r="AZ33" s="97"/>
      <c r="BA33" s="103"/>
      <c r="BB33" s="103"/>
      <c r="BC33" s="103"/>
      <c r="BD33" s="103"/>
      <c r="BE33" s="103"/>
      <c r="BF33" s="103"/>
      <c r="BG33" s="103"/>
      <c r="BH33" s="104" t="e">
        <f>IF(BG34&lt;15,1,0)</f>
        <v>#VALUE!</v>
      </c>
      <c r="BI33" s="119"/>
      <c r="BJ33" s="103"/>
      <c r="BK33" s="103"/>
      <c r="BL33" s="103"/>
      <c r="BM33" s="103"/>
      <c r="BN33" s="103"/>
      <c r="BO33" s="103"/>
      <c r="BP33" s="103"/>
      <c r="BQ33" s="104">
        <f>IF(BP34&lt;15,1,0)</f>
        <v>0</v>
      </c>
      <c r="BR33" s="97"/>
      <c r="BS33" s="103"/>
      <c r="BT33" s="103"/>
      <c r="BU33" s="103"/>
      <c r="BV33" s="103"/>
      <c r="BW33" s="103"/>
      <c r="BX33" s="103"/>
      <c r="BY33" s="103"/>
      <c r="BZ33" s="104">
        <f>IF(BY34&lt;15,1,0)</f>
        <v>0</v>
      </c>
      <c r="CA33" s="81"/>
      <c r="CD33" s="46"/>
      <c r="CE33" s="46"/>
      <c r="CG33" s="35">
        <f>COUNTA(CG5:CG32)-COUNTIF(CG5:CG32,"")</f>
        <v>0</v>
      </c>
      <c r="CL33" s="35">
        <f>COUNTA(CL5:CL32)-COUNTIF(CL5:CL32,"")</f>
        <v>0</v>
      </c>
      <c r="CQ33" s="35">
        <f>COUNTA(CQ5:CQ32)-COUNTIF(CQ5:CQ32,"")</f>
        <v>0</v>
      </c>
      <c r="CV33" s="35">
        <f>COUNTA(CV5:CV32)-COUNTIF(CV5:CV32,"")</f>
        <v>0</v>
      </c>
      <c r="DA33" s="35">
        <f>COUNTA(DA5:DA32)-COUNTIF(DA5:DA32,"")</f>
        <v>0</v>
      </c>
      <c r="DF33" s="35">
        <f>COUNTA(DF5:DF28)-COUNTIF(DF5:DF28,"")</f>
        <v>0</v>
      </c>
    </row>
    <row r="34" spans="1:113" ht="17.100000000000001" customHeight="1" x14ac:dyDescent="0.25">
      <c r="A34" s="81"/>
      <c r="F34" s="3800"/>
      <c r="G34" s="3800"/>
      <c r="H34" s="3800"/>
      <c r="I34" s="107"/>
      <c r="J34" s="114"/>
      <c r="O34" s="115"/>
      <c r="P34" s="92"/>
      <c r="Q34" s="3791"/>
      <c r="R34" s="3791"/>
      <c r="S34" s="3791"/>
      <c r="T34" s="3791"/>
      <c r="U34" s="3791"/>
      <c r="V34" s="3791"/>
      <c r="W34" s="3792" t="e">
        <f>_xlfn.IFS(
AND(OR($C$1=1,$C$1=3,$C$1=5,$C$1=7,$C$1=8,$C$1=10,$C$1=12),BY28=31),1,
AND(OR($C$1=4,$C$1=6,$C$1=9,$C$1=11),BY28=30),1,
AND($C$1=2,OR(AND($CD$57=0,BY28=28),AND($CD$57=1,BY28=29))),1,
TRUE,BY28+1
)</f>
        <v>#VALUE!</v>
      </c>
      <c r="X34" s="3792"/>
      <c r="Y34" s="97"/>
      <c r="Z34" s="3791"/>
      <c r="AA34" s="3791"/>
      <c r="AB34" s="3791"/>
      <c r="AC34" s="3791"/>
      <c r="AD34" s="3791"/>
      <c r="AE34" s="3791"/>
      <c r="AF34" s="3792" t="e">
        <f>_xlfn.IFS(
AND(OR($C$1=1,$C$1=3,$C$1=5,$C$1=7,$C$1=8,$C$1=10,$C$1=12),W34=31),1,
AND(OR($C$1=4,$C$1=6,$C$1=9,$C$1=11),W34=30),1,
AND($C$1=2,OR(AND($CD$57=0,W34=28),AND($CD$57=1,W34=29))),1,
TRUE,W34+1
)</f>
        <v>#VALUE!</v>
      </c>
      <c r="AG34" s="3792"/>
      <c r="AH34" s="97"/>
      <c r="AI34" s="3791"/>
      <c r="AJ34" s="3791"/>
      <c r="AK34" s="3791"/>
      <c r="AL34" s="3791"/>
      <c r="AM34" s="3791"/>
      <c r="AN34" s="3791"/>
      <c r="AO34" s="3792" t="e">
        <f>_xlfn.IFS(
AND(OR($C$1=1,$C$1=3,$C$1=5,$C$1=7,$C$1=8,$C$1=10,$C$1=12),AF34=31),1,
AND(OR($C$1=4,$C$1=6,$C$1=9,$C$1=11),AF34=30),1,
AND($C$1=2,OR(AND($CD$57=0,AF34=28),AND($CD$57=1,AF34=29))),1,
TRUE,AF34+1
)</f>
        <v>#VALUE!</v>
      </c>
      <c r="AP34" s="3792"/>
      <c r="AQ34" s="97"/>
      <c r="AR34" s="3791"/>
      <c r="AS34" s="3791"/>
      <c r="AT34" s="3791"/>
      <c r="AU34" s="3791"/>
      <c r="AV34" s="3791"/>
      <c r="AW34" s="3791"/>
      <c r="AX34" s="3792" t="e">
        <f>_xlfn.IFS(
AND(OR($C$1=1,$C$1=3,$C$1=5,$C$1=7,$C$1=8,$C$1=10,$C$1=12),AO34=31),1,
AND(OR($C$1=4,$C$1=6,$C$1=9,$C$1=11),AO34=30),1,
AND($C$1=2,OR(AND($CD$57=0,AO34=28),AND($CD$57=1,AO34=29))),1,
TRUE,AO34+1
)</f>
        <v>#VALUE!</v>
      </c>
      <c r="AY34" s="3792"/>
      <c r="AZ34" s="97"/>
      <c r="BA34" s="3791"/>
      <c r="BB34" s="3791"/>
      <c r="BC34" s="3791"/>
      <c r="BD34" s="3791"/>
      <c r="BE34" s="3791"/>
      <c r="BF34" s="3791"/>
      <c r="BG34" s="3792" t="e">
        <f>_xlfn.IFS(
AND(OR($C$1=1,$C$1=3,$C$1=5,$C$1=7,$C$1=8,$C$1=10,$C$1=12),AX34=31),1,
AND(OR($C$1=4,$C$1=6,$C$1=9,$C$1=11),AX34=30),1,
AND($C$1=2,OR(AND($CD$57=0,AX34=28),AND($CD$57=1,AX34=29))),1,
TRUE,AX34+1
)</f>
        <v>#VALUE!</v>
      </c>
      <c r="BH34" s="3792"/>
      <c r="BI34" s="97"/>
      <c r="BJ34" s="3788"/>
      <c r="BK34" s="3788"/>
      <c r="BL34" s="3788"/>
      <c r="BM34" s="3788"/>
      <c r="BN34" s="3788"/>
      <c r="BO34" s="3788"/>
      <c r="BP34" s="3789" t="str" cm="1">
        <f t="array" ref="BP34">IFERROR(_xlfn.IFS(
AND(OR($C$1=1,$C$1=3,$C$1=5,$C$1=7,$C$1=8,$C$1=10,$C$1=12),BG34=31),1,
AND(OR($C$1=4,$C$1=6,$C$1=9,$C$1=11),BG34=30),1,
AND($C$1=2,OR(AND($CD$57=0,BG34=28),AND($CD$57=1,BG34=29))),1,
TRUE,BG34+1
),"")</f>
        <v/>
      </c>
      <c r="BQ34" s="3789"/>
      <c r="BR34" s="97"/>
      <c r="BS34" s="3790" t="s">
        <v>171</v>
      </c>
      <c r="BT34" s="3790"/>
      <c r="BU34" s="3790"/>
      <c r="BV34" s="3790"/>
      <c r="BW34" s="3790"/>
      <c r="BX34" s="3790"/>
      <c r="BY34" s="3789" t="str" cm="1">
        <f t="array" ref="BY34">IFERROR(_xlfn.IFS(
AND(OR($C$1=1,$C$1=3,$C$1=5,$C$1=7,$C$1=8,$C$1=10,$C$1=12),BP34=31),1,
AND(OR($C$1=4,$C$1=6,$C$1=9,$C$1=11),BP34=30),1,
AND($C$1=2,OR(AND($CD$57=0,BP34=28),AND($CD$57=1,BP34=29))),1,
TRUE,BP34+1
),"")</f>
        <v/>
      </c>
      <c r="BZ34" s="3789"/>
      <c r="CA34" s="81"/>
      <c r="CD34" s="99" t="s">
        <v>325</v>
      </c>
      <c r="CE34" s="100">
        <f>_xlfn.MAXIFS(W34:BZ34,W34:BZ34,"&gt;29")</f>
        <v>0</v>
      </c>
    </row>
    <row r="35" spans="1:113" ht="17.100000000000001" customHeight="1" x14ac:dyDescent="0.25">
      <c r="A35" s="17"/>
      <c r="F35" s="3800"/>
      <c r="G35" s="3800"/>
      <c r="H35" s="3800"/>
      <c r="I35" s="107"/>
      <c r="J35" s="114"/>
      <c r="O35" s="115"/>
      <c r="P35" s="92"/>
      <c r="Q35" s="3777"/>
      <c r="R35" s="3777"/>
      <c r="S35" s="3777"/>
      <c r="T35" s="3777"/>
      <c r="U35" s="3777"/>
      <c r="V35" s="3777"/>
      <c r="W35" s="3777"/>
      <c r="X35" s="3777"/>
      <c r="Y35" s="105"/>
      <c r="Z35" s="3777"/>
      <c r="AA35" s="3777"/>
      <c r="AB35" s="3777"/>
      <c r="AC35" s="3777"/>
      <c r="AD35" s="3777"/>
      <c r="AE35" s="3777"/>
      <c r="AF35" s="3777"/>
      <c r="AG35" s="3777"/>
      <c r="AH35" s="105"/>
      <c r="AI35" s="3777"/>
      <c r="AJ35" s="3777"/>
      <c r="AK35" s="3777"/>
      <c r="AL35" s="3777"/>
      <c r="AM35" s="3777"/>
      <c r="AN35" s="3777"/>
      <c r="AO35" s="3777"/>
      <c r="AP35" s="3777"/>
      <c r="AQ35" s="105"/>
      <c r="AR35" s="3777"/>
      <c r="AS35" s="3777"/>
      <c r="AT35" s="3777"/>
      <c r="AU35" s="3777"/>
      <c r="AV35" s="3777"/>
      <c r="AW35" s="3777"/>
      <c r="AX35" s="3777"/>
      <c r="AY35" s="3777"/>
      <c r="AZ35" s="105"/>
      <c r="BA35" s="3777"/>
      <c r="BB35" s="3777"/>
      <c r="BC35" s="3777"/>
      <c r="BD35" s="3777"/>
      <c r="BE35" s="3777"/>
      <c r="BF35" s="3777"/>
      <c r="BG35" s="3777"/>
      <c r="BH35" s="3777"/>
      <c r="BI35" s="105"/>
      <c r="BJ35" s="3784"/>
      <c r="BK35" s="3784"/>
      <c r="BL35" s="3784"/>
      <c r="BM35" s="3784"/>
      <c r="BN35" s="3784"/>
      <c r="BO35" s="3784"/>
      <c r="BP35" s="3784"/>
      <c r="BQ35" s="3784"/>
      <c r="BR35" s="105"/>
      <c r="BS35" s="3783" t="s">
        <v>1398</v>
      </c>
      <c r="BT35" s="3783"/>
      <c r="BU35" s="3783"/>
      <c r="BV35" s="3783"/>
      <c r="BW35" s="3783"/>
      <c r="BX35" s="3783"/>
      <c r="BY35" s="3783"/>
      <c r="BZ35" s="3783"/>
      <c r="CA35" s="81"/>
      <c r="CQ35" s="28"/>
      <c r="CR35" s="28"/>
      <c r="CS35" s="28"/>
      <c r="CT35" s="28"/>
      <c r="CU35" s="28"/>
      <c r="CV35" s="28"/>
      <c r="CW35" s="28"/>
      <c r="CX35" s="28"/>
      <c r="CY35" s="28"/>
      <c r="CZ35" s="28"/>
      <c r="DA35" s="28"/>
      <c r="DB35" s="28"/>
      <c r="DC35" s="28"/>
      <c r="DD35" s="28"/>
      <c r="DE35" s="28"/>
      <c r="DF35" s="28"/>
      <c r="DG35" s="28"/>
      <c r="DH35" s="28"/>
      <c r="DI35" s="28"/>
    </row>
    <row r="36" spans="1:113" ht="17.100000000000001" customHeight="1" x14ac:dyDescent="0.25">
      <c r="A36" s="81"/>
      <c r="F36" s="3800"/>
      <c r="G36" s="3800"/>
      <c r="H36" s="3800"/>
      <c r="I36" s="107"/>
      <c r="J36" s="114"/>
      <c r="K36" s="3798"/>
      <c r="L36" s="3798"/>
      <c r="M36" s="3798"/>
      <c r="N36" s="3798"/>
      <c r="O36" s="115"/>
      <c r="P36" s="84"/>
      <c r="Q36" s="3777"/>
      <c r="R36" s="3777"/>
      <c r="S36" s="3777"/>
      <c r="T36" s="3777"/>
      <c r="U36" s="3777"/>
      <c r="V36" s="3777"/>
      <c r="W36" s="3777"/>
      <c r="X36" s="3777"/>
      <c r="Y36" s="105"/>
      <c r="Z36" s="3777"/>
      <c r="AA36" s="3777"/>
      <c r="AB36" s="3777"/>
      <c r="AC36" s="3777"/>
      <c r="AD36" s="3777"/>
      <c r="AE36" s="3777"/>
      <c r="AF36" s="3777"/>
      <c r="AG36" s="3777"/>
      <c r="AH36" s="105"/>
      <c r="AI36" s="3777"/>
      <c r="AJ36" s="3777"/>
      <c r="AK36" s="3777"/>
      <c r="AL36" s="3777"/>
      <c r="AM36" s="3777"/>
      <c r="AN36" s="3777"/>
      <c r="AO36" s="3777"/>
      <c r="AP36" s="3777"/>
      <c r="AQ36" s="105"/>
      <c r="AR36" s="3777"/>
      <c r="AS36" s="3777"/>
      <c r="AT36" s="3777"/>
      <c r="AU36" s="3777"/>
      <c r="AV36" s="3777"/>
      <c r="AW36" s="3777"/>
      <c r="AX36" s="3777"/>
      <c r="AY36" s="3777"/>
      <c r="AZ36" s="105"/>
      <c r="BA36" s="3777"/>
      <c r="BB36" s="3777"/>
      <c r="BC36" s="3777"/>
      <c r="BD36" s="3777"/>
      <c r="BE36" s="3777"/>
      <c r="BF36" s="3777"/>
      <c r="BG36" s="3777"/>
      <c r="BH36" s="3777"/>
      <c r="BI36" s="105"/>
      <c r="BJ36" s="3784"/>
      <c r="BK36" s="3784"/>
      <c r="BL36" s="3784"/>
      <c r="BM36" s="3784"/>
      <c r="BN36" s="3784"/>
      <c r="BO36" s="3784"/>
      <c r="BP36" s="3784"/>
      <c r="BQ36" s="3784"/>
      <c r="BR36" s="105"/>
      <c r="BS36" s="3783" t="s">
        <v>1399</v>
      </c>
      <c r="BT36" s="3783"/>
      <c r="BU36" s="3783"/>
      <c r="BV36" s="3783"/>
      <c r="BW36" s="3783"/>
      <c r="BX36" s="3783"/>
      <c r="BY36" s="3783"/>
      <c r="BZ36" s="3783"/>
      <c r="CA36" s="120"/>
      <c r="CQ36" s="28"/>
      <c r="CR36" s="28"/>
      <c r="CS36" s="28"/>
      <c r="CT36" s="28"/>
      <c r="CU36" s="28"/>
      <c r="CV36" s="28"/>
      <c r="CW36" s="28"/>
      <c r="CX36" s="28"/>
      <c r="CY36" s="28"/>
      <c r="CZ36" s="28"/>
      <c r="DA36" s="28"/>
      <c r="DB36" s="28"/>
      <c r="DC36" s="28"/>
      <c r="DD36" s="28"/>
      <c r="DE36" s="28"/>
      <c r="DF36" s="28"/>
      <c r="DG36" s="28"/>
      <c r="DH36" s="28"/>
      <c r="DI36" s="28"/>
    </row>
    <row r="37" spans="1:113" ht="17.100000000000001" customHeight="1" x14ac:dyDescent="0.15">
      <c r="A37" s="81"/>
      <c r="P37" s="84"/>
      <c r="Q37" s="3777"/>
      <c r="R37" s="3777"/>
      <c r="S37" s="3777"/>
      <c r="T37" s="3777"/>
      <c r="U37" s="3777"/>
      <c r="V37" s="3777"/>
      <c r="W37" s="3777"/>
      <c r="X37" s="3777"/>
      <c r="Y37" s="105"/>
      <c r="Z37" s="3777"/>
      <c r="AA37" s="3777"/>
      <c r="AB37" s="3777"/>
      <c r="AC37" s="3777"/>
      <c r="AD37" s="3777"/>
      <c r="AE37" s="3777"/>
      <c r="AF37" s="3777"/>
      <c r="AG37" s="3777"/>
      <c r="AH37" s="105"/>
      <c r="AI37" s="3777"/>
      <c r="AJ37" s="3777"/>
      <c r="AK37" s="3777"/>
      <c r="AL37" s="3777"/>
      <c r="AM37" s="3777"/>
      <c r="AN37" s="3777"/>
      <c r="AO37" s="3777"/>
      <c r="AP37" s="3777"/>
      <c r="AQ37" s="105"/>
      <c r="AR37" s="3777"/>
      <c r="AS37" s="3777"/>
      <c r="AT37" s="3777"/>
      <c r="AU37" s="3777"/>
      <c r="AV37" s="3777"/>
      <c r="AW37" s="3777"/>
      <c r="AX37" s="3777"/>
      <c r="AY37" s="3777"/>
      <c r="AZ37" s="105"/>
      <c r="BA37" s="3777"/>
      <c r="BB37" s="3777"/>
      <c r="BC37" s="3777"/>
      <c r="BD37" s="3777"/>
      <c r="BE37" s="3777"/>
      <c r="BF37" s="3777"/>
      <c r="BG37" s="3777"/>
      <c r="BH37" s="3777"/>
      <c r="BI37" s="105"/>
      <c r="BJ37" s="3784"/>
      <c r="BK37" s="3784"/>
      <c r="BL37" s="3784"/>
      <c r="BM37" s="3784"/>
      <c r="BN37" s="3784"/>
      <c r="BO37" s="3784"/>
      <c r="BP37" s="3784"/>
      <c r="BQ37" s="3784"/>
      <c r="BR37" s="105"/>
      <c r="BS37" s="3783" t="s">
        <v>1400</v>
      </c>
      <c r="BT37" s="3783"/>
      <c r="BU37" s="3783"/>
      <c r="BV37" s="3783"/>
      <c r="BW37" s="3783"/>
      <c r="BX37" s="3783"/>
      <c r="BY37" s="3783"/>
      <c r="BZ37" s="3783"/>
      <c r="CA37" s="120"/>
      <c r="CQ37" s="28"/>
      <c r="CR37" s="28"/>
      <c r="CS37" s="28"/>
      <c r="CT37" s="28"/>
      <c r="CU37" s="28"/>
      <c r="CV37" s="28"/>
      <c r="CW37" s="28"/>
      <c r="CX37" s="28"/>
      <c r="CY37" s="28"/>
      <c r="CZ37" s="28"/>
      <c r="DA37" s="28"/>
      <c r="DB37" s="28"/>
      <c r="DC37" s="28"/>
      <c r="DD37" s="28"/>
      <c r="DE37" s="28"/>
      <c r="DF37" s="28"/>
      <c r="DG37" s="28"/>
      <c r="DH37" s="28"/>
      <c r="DI37" s="28"/>
    </row>
    <row r="38" spans="1:113" ht="17.100000000000001" customHeight="1" x14ac:dyDescent="0.15">
      <c r="A38" s="81"/>
      <c r="P38" s="84"/>
      <c r="Q38" s="3777"/>
      <c r="R38" s="3777"/>
      <c r="S38" s="3777"/>
      <c r="T38" s="3777"/>
      <c r="U38" s="3777"/>
      <c r="V38" s="3777"/>
      <c r="W38" s="3777"/>
      <c r="X38" s="3777"/>
      <c r="Y38" s="105"/>
      <c r="Z38" s="3777"/>
      <c r="AA38" s="3777"/>
      <c r="AB38" s="3777"/>
      <c r="AC38" s="3777"/>
      <c r="AD38" s="3777"/>
      <c r="AE38" s="3777"/>
      <c r="AF38" s="3777"/>
      <c r="AG38" s="3777"/>
      <c r="AH38" s="105"/>
      <c r="AI38" s="3777"/>
      <c r="AJ38" s="3777"/>
      <c r="AK38" s="3777"/>
      <c r="AL38" s="3777"/>
      <c r="AM38" s="3777"/>
      <c r="AN38" s="3777"/>
      <c r="AO38" s="3777"/>
      <c r="AP38" s="3777"/>
      <c r="AQ38" s="105"/>
      <c r="AR38" s="3777"/>
      <c r="AS38" s="3777"/>
      <c r="AT38" s="3777"/>
      <c r="AU38" s="3777"/>
      <c r="AV38" s="3777"/>
      <c r="AW38" s="3777"/>
      <c r="AX38" s="3777"/>
      <c r="AY38" s="3777"/>
      <c r="AZ38" s="105"/>
      <c r="BA38" s="3777"/>
      <c r="BB38" s="3777"/>
      <c r="BC38" s="3777"/>
      <c r="BD38" s="3777"/>
      <c r="BE38" s="3777"/>
      <c r="BF38" s="3777"/>
      <c r="BG38" s="3777"/>
      <c r="BH38" s="3777"/>
      <c r="BI38" s="105"/>
      <c r="BJ38" s="3784"/>
      <c r="BK38" s="3784"/>
      <c r="BL38" s="3784"/>
      <c r="BM38" s="3784"/>
      <c r="BN38" s="3784"/>
      <c r="BO38" s="3784"/>
      <c r="BP38" s="3784"/>
      <c r="BQ38" s="3784"/>
      <c r="BR38" s="105"/>
      <c r="BS38" s="3783" t="s">
        <v>1401</v>
      </c>
      <c r="BT38" s="3783"/>
      <c r="BU38" s="3783"/>
      <c r="BV38" s="3783"/>
      <c r="BW38" s="3783"/>
      <c r="BX38" s="3783"/>
      <c r="BY38" s="3783"/>
      <c r="BZ38" s="3783"/>
      <c r="CA38" s="120"/>
      <c r="CD38" s="44"/>
      <c r="CQ38" s="28"/>
      <c r="CR38" s="28"/>
      <c r="CS38" s="28"/>
      <c r="CT38" s="28"/>
      <c r="CU38" s="28"/>
      <c r="CV38" s="28"/>
      <c r="CW38" s="28"/>
      <c r="CX38" s="28"/>
      <c r="CY38" s="28"/>
      <c r="CZ38" s="28"/>
      <c r="DA38" s="28"/>
      <c r="DB38" s="28"/>
      <c r="DC38" s="28"/>
      <c r="DD38" s="28"/>
      <c r="DE38" s="28"/>
      <c r="DF38" s="28"/>
      <c r="DG38" s="28"/>
      <c r="DH38" s="28"/>
      <c r="DI38" s="28"/>
    </row>
    <row r="39" spans="1:113" ht="17.100000000000001" customHeight="1" x14ac:dyDescent="0.15">
      <c r="A39" s="81"/>
      <c r="B39" s="82"/>
      <c r="C39" s="31"/>
      <c r="D39" s="31"/>
      <c r="E39" s="82"/>
      <c r="F39" s="82"/>
      <c r="G39" s="31" t="s">
        <v>1</v>
      </c>
      <c r="H39" s="83"/>
      <c r="I39" s="32"/>
      <c r="J39" s="82"/>
      <c r="K39" s="82"/>
      <c r="L39" s="82"/>
      <c r="M39" s="82"/>
      <c r="N39" s="32"/>
      <c r="O39" s="82"/>
      <c r="P39" s="84"/>
      <c r="Q39" s="121"/>
      <c r="R39" s="121"/>
      <c r="S39" s="121"/>
      <c r="T39" s="121"/>
      <c r="U39" s="121"/>
      <c r="V39" s="121"/>
      <c r="W39" s="121"/>
      <c r="X39" s="121"/>
      <c r="Y39" s="105"/>
      <c r="Z39" s="121"/>
      <c r="AA39" s="121"/>
      <c r="AB39" s="121"/>
      <c r="AC39" s="121"/>
      <c r="AD39" s="121"/>
      <c r="AE39" s="121"/>
      <c r="AF39" s="121"/>
      <c r="AG39" s="121"/>
      <c r="AH39" s="105"/>
      <c r="AI39" s="121"/>
      <c r="AJ39" s="121"/>
      <c r="AK39" s="121"/>
      <c r="AL39" s="121"/>
      <c r="AM39" s="121"/>
      <c r="AN39" s="121"/>
      <c r="AO39" s="121"/>
      <c r="AP39" s="121"/>
      <c r="AQ39" s="105"/>
      <c r="AR39" s="121"/>
      <c r="AS39" s="121"/>
      <c r="AT39" s="121"/>
      <c r="AU39" s="121"/>
      <c r="AV39" s="121"/>
      <c r="AW39" s="121"/>
      <c r="AX39" s="121"/>
      <c r="AY39" s="121"/>
      <c r="AZ39" s="105"/>
      <c r="BA39" s="121"/>
      <c r="BB39" s="121"/>
      <c r="BC39" s="121"/>
      <c r="BD39" s="121"/>
      <c r="BE39" s="121"/>
      <c r="BF39" s="121"/>
      <c r="BG39" s="121"/>
      <c r="BH39" s="121"/>
      <c r="BI39" s="105"/>
      <c r="BJ39" s="121"/>
      <c r="BK39" s="121"/>
      <c r="BL39" s="121"/>
      <c r="BM39" s="121"/>
      <c r="BN39" s="121"/>
      <c r="BO39" s="121"/>
      <c r="BP39" s="121"/>
      <c r="BQ39" s="121"/>
      <c r="BR39" s="105"/>
      <c r="BS39" s="121"/>
      <c r="BT39" s="121"/>
      <c r="BU39" s="121"/>
      <c r="BV39" s="121"/>
      <c r="BW39" s="121"/>
      <c r="BX39" s="31" t="s">
        <v>1</v>
      </c>
      <c r="BY39" s="32"/>
      <c r="BZ39" s="121"/>
      <c r="CA39" s="120"/>
      <c r="CD39" s="262"/>
      <c r="CQ39" s="28"/>
      <c r="CR39" s="28"/>
      <c r="CS39" s="28"/>
      <c r="CT39" s="28"/>
      <c r="CU39" s="28"/>
      <c r="CV39" s="28"/>
      <c r="CW39" s="28"/>
      <c r="CX39" s="28"/>
      <c r="CY39" s="28"/>
      <c r="CZ39" s="28"/>
      <c r="DA39" s="28"/>
      <c r="DB39" s="28"/>
      <c r="DC39" s="28"/>
      <c r="DD39" s="28"/>
      <c r="DE39" s="28"/>
      <c r="DF39" s="28"/>
      <c r="DG39" s="28"/>
      <c r="DH39" s="28"/>
      <c r="DI39" s="28"/>
    </row>
    <row r="40" spans="1:113" ht="17.100000000000001" customHeight="1" x14ac:dyDescent="0.15">
      <c r="C40" s="33"/>
      <c r="D40" s="33"/>
      <c r="G40" s="33" t="s">
        <v>1</v>
      </c>
      <c r="BX40" s="33" t="s">
        <v>1</v>
      </c>
      <c r="BY40" s="34"/>
      <c r="CD40" s="262"/>
    </row>
    <row r="41" spans="1:113" ht="17.100000000000001" customHeight="1" x14ac:dyDescent="0.25">
      <c r="A41" s="28"/>
      <c r="C41" s="33"/>
      <c r="D41" s="33"/>
      <c r="G41" s="33" t="s">
        <v>1</v>
      </c>
      <c r="BF41" s="122"/>
      <c r="BX41" s="33" t="s">
        <v>1</v>
      </c>
      <c r="BY41" s="34"/>
      <c r="CD41" s="262"/>
    </row>
    <row r="42" spans="1:113" ht="17.100000000000001" customHeight="1" x14ac:dyDescent="0.25">
      <c r="B42" s="17"/>
      <c r="C42" s="17"/>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E42" s="127"/>
      <c r="BF42" s="127"/>
      <c r="BG42" s="127"/>
      <c r="BH42" s="127"/>
      <c r="BI42" s="127"/>
      <c r="BJ42" s="128"/>
      <c r="BK42" s="128"/>
      <c r="BL42" s="128"/>
      <c r="BM42" s="128"/>
      <c r="BN42" s="128"/>
      <c r="BO42" s="128"/>
      <c r="BP42" s="123"/>
      <c r="BQ42" s="123"/>
      <c r="BR42" s="123"/>
      <c r="BS42" s="123"/>
      <c r="BT42" s="123"/>
      <c r="BU42" s="123"/>
      <c r="BV42" s="124"/>
      <c r="BW42" s="124"/>
      <c r="BX42" s="124"/>
      <c r="BY42" s="124"/>
      <c r="BZ42" s="3271"/>
      <c r="CD42" s="262"/>
      <c r="CH42" s="3804" t="s">
        <v>1066</v>
      </c>
      <c r="CI42" s="3804"/>
      <c r="CJ42" s="3804"/>
      <c r="CK42" s="3804"/>
      <c r="CL42" s="3803" t="s">
        <v>1069</v>
      </c>
      <c r="CM42" s="3803"/>
      <c r="CN42" s="3803"/>
      <c r="CO42" s="3803"/>
      <c r="CP42" s="3803" t="s">
        <v>1068</v>
      </c>
      <c r="CQ42" s="3803"/>
      <c r="CR42" s="3803"/>
      <c r="CS42" s="3803"/>
      <c r="CT42" s="3803" t="s">
        <v>1067</v>
      </c>
      <c r="CU42" s="3803"/>
      <c r="CV42" s="3803"/>
      <c r="CW42" s="3803"/>
    </row>
    <row r="43" spans="1:113" ht="17.100000000000001" customHeight="1" x14ac:dyDescent="0.25">
      <c r="A43" s="28"/>
      <c r="B43" s="125"/>
      <c r="C43" s="125"/>
      <c r="D43" s="17"/>
      <c r="E43" s="17"/>
      <c r="F43" s="17"/>
      <c r="G43" s="17"/>
      <c r="H43" s="17"/>
      <c r="I43" s="17"/>
      <c r="J43" s="17"/>
      <c r="K43" s="17"/>
      <c r="L43" s="17"/>
      <c r="M43" s="17"/>
      <c r="N43" s="17"/>
      <c r="O43" s="17"/>
      <c r="P43" s="126"/>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26"/>
      <c r="AP43" s="17"/>
      <c r="AQ43" s="17"/>
      <c r="AR43" s="17"/>
      <c r="AS43" s="17"/>
      <c r="AT43" s="17"/>
      <c r="AU43" s="17"/>
      <c r="AV43" s="17"/>
      <c r="AW43" s="17"/>
      <c r="AX43" s="17"/>
      <c r="AY43" s="17"/>
      <c r="AZ43" s="17"/>
      <c r="BA43" s="17"/>
      <c r="BB43" s="17"/>
      <c r="BC43" s="17"/>
      <c r="BE43" s="127"/>
      <c r="BF43" s="3802" t="s">
        <v>18</v>
      </c>
      <c r="BG43" s="3802"/>
      <c r="BH43" s="3802"/>
      <c r="BI43" s="127"/>
      <c r="BJ43" s="128"/>
      <c r="BK43" s="128"/>
      <c r="BL43" s="128"/>
      <c r="BM43" s="128"/>
      <c r="BN43" s="128"/>
      <c r="BO43" s="128"/>
      <c r="BP43" s="129"/>
      <c r="BQ43" s="21"/>
      <c r="BR43" s="21"/>
      <c r="BS43" s="21"/>
      <c r="BT43" s="129"/>
      <c r="BU43" s="129"/>
      <c r="BV43" s="130"/>
      <c r="BW43" s="3787" t="s">
        <v>19</v>
      </c>
      <c r="BX43" s="3787"/>
      <c r="BY43" s="3787"/>
      <c r="BZ43" s="3272"/>
      <c r="CD43" s="262"/>
      <c r="CH43" s="3804" t="str">
        <f>"1"&amp;"/"&amp;'^'!$BK$52&amp;"/"&amp;'^'!$BK$55</f>
        <v>1/MM/YYYY</v>
      </c>
      <c r="CI43" s="3804"/>
      <c r="CJ43" s="3804"/>
      <c r="CK43" s="3804"/>
      <c r="CL43" s="3804" t="e">
        <f>WEEKDAY(CH43,2)</f>
        <v>#VALUE!</v>
      </c>
      <c r="CM43" s="3804"/>
      <c r="CN43" s="3804"/>
      <c r="CO43" s="3804"/>
      <c r="CP43" s="3805" t="e">
        <f>CH43-(CL43-1)</f>
        <v>#VALUE!</v>
      </c>
      <c r="CQ43" s="3805"/>
      <c r="CR43" s="3805"/>
      <c r="CS43" s="3805"/>
      <c r="CT43" s="3806" t="e">
        <f>DAY(CP43)</f>
        <v>#VALUE!</v>
      </c>
      <c r="CU43" s="3806"/>
      <c r="CV43" s="3806"/>
      <c r="CW43" s="3806"/>
    </row>
    <row r="44" spans="1:113" ht="17.100000000000001" customHeight="1" x14ac:dyDescent="0.15">
      <c r="B44" s="125"/>
      <c r="C44" s="125"/>
      <c r="D44" s="131"/>
      <c r="E44" s="132"/>
      <c r="F44" s="132"/>
      <c r="G44" s="132"/>
      <c r="H44" s="132"/>
      <c r="I44" s="132"/>
      <c r="J44" s="132"/>
      <c r="K44" s="132"/>
      <c r="L44" s="132"/>
      <c r="M44" s="132"/>
      <c r="N44" s="132"/>
      <c r="O44" s="132"/>
      <c r="P44" s="132"/>
      <c r="Q44" s="132"/>
      <c r="R44" s="132"/>
      <c r="S44" s="132"/>
      <c r="T44" s="132"/>
      <c r="U44" s="132"/>
      <c r="V44" s="132"/>
      <c r="W44" s="132"/>
      <c r="X44" s="132"/>
      <c r="Y44" s="132"/>
      <c r="Z44" s="132"/>
      <c r="AA44" s="132"/>
      <c r="AB44" s="133"/>
      <c r="AC44" s="131"/>
      <c r="AD44" s="132"/>
      <c r="AE44" s="132"/>
      <c r="AF44" s="132"/>
      <c r="AG44" s="132"/>
      <c r="AH44" s="132"/>
      <c r="AI44" s="132"/>
      <c r="AJ44" s="132"/>
      <c r="AK44" s="132"/>
      <c r="AL44" s="132"/>
      <c r="AM44" s="132"/>
      <c r="AN44" s="132"/>
      <c r="AO44" s="132"/>
      <c r="AP44" s="132"/>
      <c r="AQ44" s="132"/>
      <c r="AR44" s="132"/>
      <c r="AS44" s="132"/>
      <c r="AT44" s="132"/>
      <c r="AU44" s="132"/>
      <c r="AV44" s="132"/>
      <c r="AW44" s="132"/>
      <c r="AX44" s="132"/>
      <c r="AY44" s="132"/>
      <c r="AZ44" s="132"/>
      <c r="BA44" s="133"/>
      <c r="BB44" s="125"/>
      <c r="BC44" s="125"/>
      <c r="BE44" s="128"/>
      <c r="BF44" s="128"/>
      <c r="BG44" s="128"/>
      <c r="BH44" s="128"/>
      <c r="BI44" s="128"/>
      <c r="BJ44" s="128"/>
      <c r="BK44" s="128"/>
      <c r="BL44" s="3367"/>
      <c r="BM44" s="3367"/>
      <c r="BN44" s="3367"/>
      <c r="BO44" s="128"/>
      <c r="BP44" s="129"/>
      <c r="BQ44" s="129"/>
      <c r="BR44" s="129"/>
      <c r="BS44" s="129"/>
      <c r="BT44" s="129"/>
      <c r="BU44" s="129"/>
      <c r="BV44" s="129"/>
      <c r="BW44" s="129"/>
      <c r="BX44" s="129"/>
      <c r="BY44" s="129"/>
      <c r="BZ44" s="134"/>
      <c r="CD44" s="262"/>
    </row>
    <row r="45" spans="1:113" ht="17.100000000000001" customHeight="1" x14ac:dyDescent="0.15">
      <c r="A45" s="28"/>
      <c r="B45" s="125"/>
      <c r="C45" s="125"/>
      <c r="D45" s="135">
        <v>1</v>
      </c>
      <c r="E45" s="3774" t="s">
        <v>28</v>
      </c>
      <c r="F45" s="3774"/>
      <c r="G45" s="3774"/>
      <c r="H45" s="3774"/>
      <c r="I45" s="3774"/>
      <c r="J45" s="3774">
        <v>1</v>
      </c>
      <c r="K45" s="3774"/>
      <c r="L45" s="136">
        <v>2</v>
      </c>
      <c r="M45" s="3774" t="s">
        <v>26</v>
      </c>
      <c r="N45" s="3774" t="s">
        <v>180</v>
      </c>
      <c r="O45" s="3774"/>
      <c r="P45" s="3774"/>
      <c r="Q45" s="3774"/>
      <c r="R45" s="3774">
        <v>2</v>
      </c>
      <c r="S45" s="3774"/>
      <c r="T45" s="136">
        <v>3</v>
      </c>
      <c r="U45" s="3774" t="s">
        <v>24</v>
      </c>
      <c r="V45" s="3774"/>
      <c r="W45" s="3774"/>
      <c r="X45" s="3774"/>
      <c r="Y45" s="3774"/>
      <c r="Z45" s="3774">
        <v>3</v>
      </c>
      <c r="AA45" s="3774"/>
      <c r="AB45" s="137"/>
      <c r="AC45" s="135">
        <v>4</v>
      </c>
      <c r="AD45" s="3774" t="s">
        <v>22</v>
      </c>
      <c r="AE45" s="3774"/>
      <c r="AF45" s="3774"/>
      <c r="AG45" s="3774"/>
      <c r="AH45" s="3774"/>
      <c r="AI45" s="3774"/>
      <c r="AJ45" s="3774"/>
      <c r="AK45" s="136">
        <v>5</v>
      </c>
      <c r="AL45" s="3774" t="s">
        <v>20</v>
      </c>
      <c r="AM45" s="3774"/>
      <c r="AN45" s="3774"/>
      <c r="AO45" s="3774"/>
      <c r="AP45" s="3774"/>
      <c r="AQ45" s="3774"/>
      <c r="AR45" s="3774"/>
      <c r="AS45" s="136">
        <v>6</v>
      </c>
      <c r="AT45" s="3774" t="s">
        <v>21</v>
      </c>
      <c r="AU45" s="3774"/>
      <c r="AV45" s="3774"/>
      <c r="AW45" s="3774"/>
      <c r="AX45" s="3774"/>
      <c r="AY45" s="3774"/>
      <c r="AZ45" s="3774"/>
      <c r="BA45" s="137"/>
      <c r="BB45" s="125"/>
      <c r="BC45" s="125"/>
      <c r="BE45" s="128"/>
      <c r="BF45" s="128"/>
      <c r="BG45" s="128"/>
      <c r="BH45" s="128"/>
      <c r="BI45" s="128"/>
      <c r="BJ45" s="128"/>
      <c r="BK45" s="128"/>
      <c r="BL45" s="3778" t="s">
        <v>20</v>
      </c>
      <c r="BM45" s="3778"/>
      <c r="BN45" s="3778"/>
      <c r="BO45" s="128"/>
      <c r="BP45" s="129"/>
      <c r="BQ45" s="3807" t="s">
        <v>21</v>
      </c>
      <c r="BR45" s="3807"/>
      <c r="BS45" s="3807"/>
      <c r="BT45" s="129"/>
      <c r="BU45" s="129"/>
      <c r="BV45" s="129"/>
      <c r="BW45" s="129"/>
      <c r="BX45" s="129"/>
      <c r="BY45" s="129"/>
      <c r="BZ45" s="134"/>
      <c r="CD45" s="262"/>
    </row>
    <row r="46" spans="1:113" ht="17.100000000000001" customHeight="1" x14ac:dyDescent="0.15">
      <c r="B46" s="125"/>
      <c r="C46" s="125"/>
      <c r="D46" s="138"/>
      <c r="E46" s="3770"/>
      <c r="F46" s="3770"/>
      <c r="G46" s="3770"/>
      <c r="H46" s="3770"/>
      <c r="I46" s="3770"/>
      <c r="J46" s="3770"/>
      <c r="K46" s="3770"/>
      <c r="L46" s="125"/>
      <c r="M46" s="3770"/>
      <c r="N46" s="3770"/>
      <c r="O46" s="3770"/>
      <c r="P46" s="3770"/>
      <c r="Q46" s="3770"/>
      <c r="R46" s="3770"/>
      <c r="S46" s="3770"/>
      <c r="T46" s="125"/>
      <c r="U46" s="3770"/>
      <c r="V46" s="3770"/>
      <c r="W46" s="3770"/>
      <c r="X46" s="3770"/>
      <c r="Y46" s="3770"/>
      <c r="Z46" s="3770"/>
      <c r="AA46" s="3770"/>
      <c r="AB46" s="137"/>
      <c r="AC46" s="138"/>
      <c r="AD46" s="3770"/>
      <c r="AE46" s="3770"/>
      <c r="AF46" s="3770"/>
      <c r="AG46" s="3770"/>
      <c r="AH46" s="3770"/>
      <c r="AI46" s="3770"/>
      <c r="AJ46" s="3770"/>
      <c r="AK46" s="125"/>
      <c r="AL46" s="3770"/>
      <c r="AM46" s="3770"/>
      <c r="AN46" s="3770"/>
      <c r="AO46" s="3770"/>
      <c r="AP46" s="3770"/>
      <c r="AQ46" s="3770"/>
      <c r="AR46" s="3770"/>
      <c r="AS46" s="125"/>
      <c r="AT46" s="3770"/>
      <c r="AU46" s="3770"/>
      <c r="AV46" s="3770"/>
      <c r="AW46" s="3770"/>
      <c r="AX46" s="3770"/>
      <c r="AY46" s="3770"/>
      <c r="AZ46" s="3770"/>
      <c r="BA46" s="137"/>
      <c r="BB46" s="125"/>
      <c r="BC46" s="125"/>
      <c r="BE46" s="128"/>
      <c r="BF46" s="128"/>
      <c r="BG46" s="128"/>
      <c r="BH46" s="128"/>
      <c r="BI46" s="128"/>
      <c r="BJ46" s="128"/>
      <c r="BK46" s="128"/>
      <c r="BL46" s="128"/>
      <c r="BM46" s="128"/>
      <c r="BN46" s="128"/>
      <c r="BO46" s="128"/>
      <c r="BP46" s="129"/>
      <c r="BQ46" s="129"/>
      <c r="BR46" s="129"/>
      <c r="BS46" s="129"/>
      <c r="BT46" s="21"/>
      <c r="BU46" s="21"/>
      <c r="BV46" s="21"/>
      <c r="BW46" s="129"/>
      <c r="BX46" s="129"/>
      <c r="BY46" s="129"/>
      <c r="BZ46" s="134"/>
      <c r="CD46" s="262"/>
      <c r="CH46" s="3808" t="s">
        <v>428</v>
      </c>
      <c r="CI46" s="3808"/>
    </row>
    <row r="47" spans="1:113" ht="17.100000000000001" customHeight="1" x14ac:dyDescent="0.15">
      <c r="A47" s="28"/>
      <c r="B47" s="125"/>
      <c r="C47" s="125"/>
      <c r="D47" s="138"/>
      <c r="E47" s="3770"/>
      <c r="F47" s="3770"/>
      <c r="G47" s="3770"/>
      <c r="H47" s="3770"/>
      <c r="I47" s="3770"/>
      <c r="J47" s="3770"/>
      <c r="K47" s="3770"/>
      <c r="L47" s="125"/>
      <c r="M47" s="3770"/>
      <c r="N47" s="3770"/>
      <c r="O47" s="3770"/>
      <c r="P47" s="3770"/>
      <c r="Q47" s="3770"/>
      <c r="R47" s="3770"/>
      <c r="S47" s="3770"/>
      <c r="T47" s="125"/>
      <c r="U47" s="3770"/>
      <c r="V47" s="3770"/>
      <c r="W47" s="3770"/>
      <c r="X47" s="3770"/>
      <c r="Y47" s="3770"/>
      <c r="Z47" s="3770"/>
      <c r="AA47" s="3770"/>
      <c r="AB47" s="137"/>
      <c r="AC47" s="138"/>
      <c r="AD47" s="3770"/>
      <c r="AE47" s="3770"/>
      <c r="AF47" s="3770"/>
      <c r="AG47" s="3770"/>
      <c r="AH47" s="3770"/>
      <c r="AI47" s="3770"/>
      <c r="AJ47" s="3770"/>
      <c r="AK47" s="125"/>
      <c r="AL47" s="3770"/>
      <c r="AM47" s="3770"/>
      <c r="AN47" s="3770"/>
      <c r="AO47" s="3770"/>
      <c r="AP47" s="3770"/>
      <c r="AQ47" s="3770"/>
      <c r="AR47" s="3770"/>
      <c r="AS47" s="125"/>
      <c r="AT47" s="3770"/>
      <c r="AU47" s="3770"/>
      <c r="AV47" s="3770"/>
      <c r="AW47" s="3770"/>
      <c r="AX47" s="3770"/>
      <c r="AY47" s="3770"/>
      <c r="AZ47" s="3770"/>
      <c r="BA47" s="137"/>
      <c r="BB47" s="125"/>
      <c r="BC47" s="125"/>
      <c r="BE47" s="128"/>
      <c r="BF47" s="128"/>
      <c r="BG47" s="128"/>
      <c r="BH47" s="128"/>
      <c r="BI47" s="3367"/>
      <c r="BJ47" s="3367"/>
      <c r="BK47" s="3367"/>
      <c r="BL47" s="128"/>
      <c r="BM47" s="128"/>
      <c r="BN47" s="128"/>
      <c r="BO47" s="128"/>
      <c r="BP47" s="129"/>
      <c r="BQ47" s="129"/>
      <c r="BR47" s="129"/>
      <c r="BS47" s="129"/>
      <c r="BT47" s="129"/>
      <c r="BU47" s="129"/>
      <c r="BV47" s="129"/>
      <c r="BW47" s="129"/>
      <c r="BX47" s="129"/>
      <c r="BY47" s="129"/>
      <c r="BZ47" s="134"/>
      <c r="CD47" s="262"/>
      <c r="CH47" s="3809"/>
      <c r="CI47" s="3809"/>
    </row>
    <row r="48" spans="1:113" ht="17.100000000000001" customHeight="1" x14ac:dyDescent="0.15">
      <c r="B48" s="125"/>
      <c r="C48" s="125"/>
      <c r="D48" s="138"/>
      <c r="E48" s="3770"/>
      <c r="F48" s="3770"/>
      <c r="G48" s="3770"/>
      <c r="H48" s="3770"/>
      <c r="I48" s="3770"/>
      <c r="J48" s="3770"/>
      <c r="K48" s="3770"/>
      <c r="L48" s="125"/>
      <c r="M48" s="3770"/>
      <c r="N48" s="3770"/>
      <c r="O48" s="3770"/>
      <c r="P48" s="3770"/>
      <c r="Q48" s="3770"/>
      <c r="R48" s="3770"/>
      <c r="S48" s="3770"/>
      <c r="T48" s="125"/>
      <c r="U48" s="3770"/>
      <c r="V48" s="3770"/>
      <c r="W48" s="3770"/>
      <c r="X48" s="3770"/>
      <c r="Y48" s="3770"/>
      <c r="Z48" s="3770"/>
      <c r="AA48" s="3770"/>
      <c r="AB48" s="137"/>
      <c r="AC48" s="138"/>
      <c r="AD48" s="3770"/>
      <c r="AE48" s="3770"/>
      <c r="AF48" s="3770"/>
      <c r="AG48" s="3770"/>
      <c r="AH48" s="3770"/>
      <c r="AI48" s="3770"/>
      <c r="AJ48" s="3770"/>
      <c r="AK48" s="125"/>
      <c r="AL48" s="3770"/>
      <c r="AM48" s="3770"/>
      <c r="AN48" s="3770"/>
      <c r="AO48" s="3770"/>
      <c r="AP48" s="3770"/>
      <c r="AQ48" s="3770"/>
      <c r="AR48" s="3770"/>
      <c r="AS48" s="125"/>
      <c r="AT48" s="3770"/>
      <c r="AU48" s="3770"/>
      <c r="AV48" s="3770"/>
      <c r="AW48" s="3770"/>
      <c r="AX48" s="3770"/>
      <c r="AY48" s="3770"/>
      <c r="AZ48" s="3770"/>
      <c r="BA48" s="137"/>
      <c r="BB48" s="125"/>
      <c r="BC48" s="125"/>
      <c r="BE48" s="128"/>
      <c r="BF48" s="128"/>
      <c r="BG48" s="128"/>
      <c r="BH48" s="128"/>
      <c r="BI48" s="3813" t="s">
        <v>22</v>
      </c>
      <c r="BJ48" s="3813"/>
      <c r="BK48" s="3813"/>
      <c r="BL48" s="128"/>
      <c r="BM48" s="128"/>
      <c r="BN48" s="128"/>
      <c r="BO48" s="139"/>
      <c r="BP48" s="140"/>
      <c r="BQ48" s="129"/>
      <c r="BR48" s="129"/>
      <c r="BS48" s="129"/>
      <c r="BT48" s="3782" t="s">
        <v>23</v>
      </c>
      <c r="BU48" s="3782"/>
      <c r="BV48" s="3782"/>
      <c r="BW48" s="129"/>
      <c r="BX48" s="129"/>
      <c r="BY48" s="129"/>
      <c r="BZ48" s="134"/>
      <c r="CD48" s="262"/>
      <c r="CH48" s="3744">
        <v>2024</v>
      </c>
      <c r="CI48" s="3744"/>
    </row>
    <row r="49" spans="1:88" ht="17.100000000000001" customHeight="1" x14ac:dyDescent="0.15">
      <c r="A49" s="28"/>
      <c r="B49" s="125"/>
      <c r="C49" s="125"/>
      <c r="D49" s="138"/>
      <c r="E49" s="3770"/>
      <c r="F49" s="3770"/>
      <c r="G49" s="3770"/>
      <c r="H49" s="3770"/>
      <c r="I49" s="3770"/>
      <c r="J49" s="3770"/>
      <c r="K49" s="3770"/>
      <c r="L49" s="125"/>
      <c r="M49" s="3770"/>
      <c r="N49" s="3770"/>
      <c r="O49" s="3770"/>
      <c r="P49" s="3770"/>
      <c r="Q49" s="3770"/>
      <c r="R49" s="3770"/>
      <c r="S49" s="3770"/>
      <c r="T49" s="125"/>
      <c r="U49" s="3770"/>
      <c r="V49" s="3770"/>
      <c r="W49" s="3770"/>
      <c r="X49" s="3770"/>
      <c r="Y49" s="3770"/>
      <c r="Z49" s="3770"/>
      <c r="AA49" s="3770"/>
      <c r="AB49" s="137"/>
      <c r="AC49" s="138"/>
      <c r="AD49" s="3770"/>
      <c r="AE49" s="3770"/>
      <c r="AF49" s="3770"/>
      <c r="AG49" s="3770"/>
      <c r="AH49" s="3770"/>
      <c r="AI49" s="3770"/>
      <c r="AJ49" s="3770"/>
      <c r="AK49" s="125"/>
      <c r="AL49" s="3770"/>
      <c r="AM49" s="3770"/>
      <c r="AN49" s="3770"/>
      <c r="AO49" s="3770"/>
      <c r="AP49" s="3770"/>
      <c r="AQ49" s="3770"/>
      <c r="AR49" s="3770"/>
      <c r="AS49" s="125"/>
      <c r="AT49" s="3770"/>
      <c r="AU49" s="3770"/>
      <c r="AV49" s="3770"/>
      <c r="AW49" s="3770"/>
      <c r="AX49" s="3770"/>
      <c r="AY49" s="3770"/>
      <c r="AZ49" s="3770"/>
      <c r="BA49" s="137"/>
      <c r="BB49" s="125"/>
      <c r="BC49" s="125"/>
      <c r="BE49" s="128"/>
      <c r="BF49" s="128"/>
      <c r="BG49" s="128"/>
      <c r="BH49" s="128"/>
      <c r="BI49" s="128"/>
      <c r="BJ49" s="128"/>
      <c r="BK49" s="128"/>
      <c r="BL49" s="128"/>
      <c r="BM49" s="128"/>
      <c r="BN49" s="128"/>
      <c r="BO49" s="139"/>
      <c r="BP49" s="140"/>
      <c r="BQ49" s="129"/>
      <c r="BR49" s="129"/>
      <c r="BS49" s="129"/>
      <c r="BT49" s="129"/>
      <c r="BU49" s="129"/>
      <c r="BV49" s="129"/>
      <c r="BW49" s="21"/>
      <c r="BX49" s="21"/>
      <c r="BY49" s="21"/>
      <c r="BZ49" s="134"/>
      <c r="CH49" s="3744">
        <v>2028</v>
      </c>
      <c r="CI49" s="3744"/>
    </row>
    <row r="50" spans="1:88" ht="17.100000000000001" customHeight="1" x14ac:dyDescent="0.15">
      <c r="B50" s="125"/>
      <c r="C50" s="125"/>
      <c r="D50" s="138"/>
      <c r="E50" s="125"/>
      <c r="F50" s="125"/>
      <c r="G50" s="125"/>
      <c r="H50" s="125"/>
      <c r="I50" s="125"/>
      <c r="J50" s="125"/>
      <c r="K50" s="125"/>
      <c r="L50" s="125"/>
      <c r="M50" s="125"/>
      <c r="N50" s="125"/>
      <c r="O50" s="125"/>
      <c r="P50" s="141"/>
      <c r="Q50" s="125"/>
      <c r="R50" s="125"/>
      <c r="S50" s="125"/>
      <c r="T50" s="125"/>
      <c r="U50" s="125"/>
      <c r="V50" s="125"/>
      <c r="W50" s="125"/>
      <c r="X50" s="125"/>
      <c r="Y50" s="125"/>
      <c r="Z50" s="125"/>
      <c r="AA50" s="125"/>
      <c r="AB50" s="137"/>
      <c r="AC50" s="138"/>
      <c r="AD50" s="125"/>
      <c r="AE50" s="125"/>
      <c r="AF50" s="125"/>
      <c r="AG50" s="125"/>
      <c r="AH50" s="125"/>
      <c r="AI50" s="125"/>
      <c r="AJ50" s="125"/>
      <c r="AK50" s="125"/>
      <c r="AL50" s="125"/>
      <c r="AM50" s="125"/>
      <c r="AN50" s="125"/>
      <c r="AO50" s="141"/>
      <c r="AP50" s="125"/>
      <c r="AQ50" s="125"/>
      <c r="AR50" s="125"/>
      <c r="AS50" s="125"/>
      <c r="AT50" s="125"/>
      <c r="AU50" s="125"/>
      <c r="AV50" s="125"/>
      <c r="AW50" s="125"/>
      <c r="AX50" s="125"/>
      <c r="AY50" s="125"/>
      <c r="AZ50" s="125"/>
      <c r="BA50" s="137"/>
      <c r="BB50" s="125"/>
      <c r="BC50" s="125"/>
      <c r="BE50" s="128"/>
      <c r="BF50" s="3367"/>
      <c r="BG50" s="3367"/>
      <c r="BH50" s="3367"/>
      <c r="BI50" s="128"/>
      <c r="BJ50" s="128"/>
      <c r="BK50" s="128"/>
      <c r="BL50" s="128"/>
      <c r="BM50" s="128"/>
      <c r="BN50" s="128"/>
      <c r="BO50" s="142"/>
      <c r="BP50" s="143"/>
      <c r="BQ50" s="129"/>
      <c r="BR50" s="129"/>
      <c r="BS50" s="129"/>
      <c r="BT50" s="129"/>
      <c r="BU50" s="129"/>
      <c r="BV50" s="129"/>
      <c r="BW50" s="129"/>
      <c r="BX50" s="129"/>
      <c r="BY50" s="129"/>
      <c r="BZ50" s="134"/>
      <c r="CH50" s="3744">
        <v>2032</v>
      </c>
      <c r="CI50" s="3744"/>
    </row>
    <row r="51" spans="1:88" ht="17.100000000000001" customHeight="1" x14ac:dyDescent="0.15">
      <c r="A51" s="28"/>
      <c r="B51" s="125"/>
      <c r="C51" s="125"/>
      <c r="D51" s="138"/>
      <c r="E51" s="3772"/>
      <c r="F51" s="3772"/>
      <c r="G51" s="3772"/>
      <c r="H51" s="3772"/>
      <c r="I51" s="3772"/>
      <c r="J51" s="3772"/>
      <c r="K51" s="3772"/>
      <c r="L51" s="3772"/>
      <c r="M51" s="3772"/>
      <c r="N51" s="3772"/>
      <c r="O51" s="3773" t="s">
        <v>424</v>
      </c>
      <c r="P51" s="3773"/>
      <c r="Q51" s="3773"/>
      <c r="R51" s="3770"/>
      <c r="S51" s="3770"/>
      <c r="T51" s="3770"/>
      <c r="U51" s="3770"/>
      <c r="V51" s="3770"/>
      <c r="W51" s="3770"/>
      <c r="X51" s="3770"/>
      <c r="Y51" s="3770"/>
      <c r="Z51" s="3770"/>
      <c r="AA51" s="3770"/>
      <c r="AB51" s="137"/>
      <c r="AC51" s="138"/>
      <c r="AD51" s="3772"/>
      <c r="AE51" s="3772"/>
      <c r="AF51" s="3772"/>
      <c r="AG51" s="3772"/>
      <c r="AH51" s="3772"/>
      <c r="AI51" s="3772"/>
      <c r="AJ51" s="3772"/>
      <c r="AK51" s="3772"/>
      <c r="AL51" s="3772"/>
      <c r="AM51" s="3772"/>
      <c r="AN51" s="3773" t="s">
        <v>425</v>
      </c>
      <c r="AO51" s="3773"/>
      <c r="AP51" s="3773"/>
      <c r="AQ51" s="3770"/>
      <c r="AR51" s="3770"/>
      <c r="AS51" s="3770"/>
      <c r="AT51" s="3770"/>
      <c r="AU51" s="3770"/>
      <c r="AV51" s="3770"/>
      <c r="AW51" s="3770"/>
      <c r="AX51" s="3770"/>
      <c r="AY51" s="3770"/>
      <c r="AZ51" s="3770"/>
      <c r="BA51" s="137"/>
      <c r="BB51" s="125"/>
      <c r="BC51" s="125"/>
      <c r="BE51" s="128"/>
      <c r="BF51" s="3779" t="s">
        <v>24</v>
      </c>
      <c r="BG51" s="3779"/>
      <c r="BH51" s="3779"/>
      <c r="BI51" s="128"/>
      <c r="BJ51" s="128"/>
      <c r="BK51" s="128"/>
      <c r="BL51" s="3781" t="s">
        <v>327</v>
      </c>
      <c r="BM51" s="3781"/>
      <c r="BN51" s="3781"/>
      <c r="BO51" s="3781"/>
      <c r="BP51" s="3780" t="str">
        <f>MID('^'!$BK$55,3,1)&amp;" "&amp;MID('^'!$BK$55,4,1)</f>
        <v>Y Y</v>
      </c>
      <c r="BQ51" s="3780"/>
      <c r="BR51" s="3780"/>
      <c r="BS51" s="3780"/>
      <c r="BT51" s="129"/>
      <c r="BU51" s="129"/>
      <c r="BV51" s="129"/>
      <c r="BW51" s="3776" t="s">
        <v>25</v>
      </c>
      <c r="BX51" s="3776"/>
      <c r="BY51" s="3776"/>
      <c r="BZ51" s="134"/>
      <c r="CH51" s="3744">
        <v>2036</v>
      </c>
      <c r="CI51" s="3744"/>
    </row>
    <row r="52" spans="1:88" ht="17.100000000000001" customHeight="1" x14ac:dyDescent="0.15">
      <c r="B52" s="125"/>
      <c r="C52" s="125"/>
      <c r="D52" s="138"/>
      <c r="E52" s="3772"/>
      <c r="F52" s="3772"/>
      <c r="G52" s="3772"/>
      <c r="H52" s="3772"/>
      <c r="I52" s="3772"/>
      <c r="J52" s="3772"/>
      <c r="K52" s="3772"/>
      <c r="L52" s="3772"/>
      <c r="M52" s="3772"/>
      <c r="N52" s="3772"/>
      <c r="O52" s="3773"/>
      <c r="P52" s="3773"/>
      <c r="Q52" s="3773"/>
      <c r="R52" s="3770"/>
      <c r="S52" s="3770"/>
      <c r="T52" s="3770"/>
      <c r="U52" s="3770"/>
      <c r="V52" s="3770"/>
      <c r="W52" s="3770"/>
      <c r="X52" s="3770"/>
      <c r="Y52" s="3770"/>
      <c r="Z52" s="3770"/>
      <c r="AA52" s="3770"/>
      <c r="AB52" s="137"/>
      <c r="AC52" s="138"/>
      <c r="AD52" s="3772"/>
      <c r="AE52" s="3772"/>
      <c r="AF52" s="3772"/>
      <c r="AG52" s="3772"/>
      <c r="AH52" s="3772"/>
      <c r="AI52" s="3772"/>
      <c r="AJ52" s="3772"/>
      <c r="AK52" s="3772"/>
      <c r="AL52" s="3772"/>
      <c r="AM52" s="3772"/>
      <c r="AN52" s="3773"/>
      <c r="AO52" s="3773"/>
      <c r="AP52" s="3773"/>
      <c r="AQ52" s="3770"/>
      <c r="AR52" s="3770"/>
      <c r="AS52" s="3770"/>
      <c r="AT52" s="3770"/>
      <c r="AU52" s="3770"/>
      <c r="AV52" s="3770"/>
      <c r="AW52" s="3770"/>
      <c r="AX52" s="3770"/>
      <c r="AY52" s="3770"/>
      <c r="AZ52" s="3770"/>
      <c r="BA52" s="137"/>
      <c r="BB52" s="125"/>
      <c r="BC52" s="125"/>
      <c r="BE52" s="128"/>
      <c r="BF52" s="128"/>
      <c r="BG52" s="128"/>
      <c r="BH52" s="128"/>
      <c r="BI52" s="128"/>
      <c r="BJ52" s="128"/>
      <c r="BK52" s="128"/>
      <c r="BL52" s="3763" t="s">
        <v>328</v>
      </c>
      <c r="BM52" s="3763"/>
      <c r="BN52" s="3763"/>
      <c r="BO52" s="3763"/>
      <c r="BP52" s="3764" t="s">
        <v>329</v>
      </c>
      <c r="BQ52" s="3764"/>
      <c r="BR52" s="3764"/>
      <c r="BS52" s="3764"/>
      <c r="BT52" s="129"/>
      <c r="BU52" s="129"/>
      <c r="BV52" s="129"/>
      <c r="BW52" s="129"/>
      <c r="BX52" s="129"/>
      <c r="BY52" s="129"/>
      <c r="BZ52" s="134"/>
      <c r="CH52" s="3744">
        <v>2040</v>
      </c>
      <c r="CI52" s="3744"/>
    </row>
    <row r="53" spans="1:88" ht="17.100000000000001" customHeight="1" x14ac:dyDescent="0.15">
      <c r="A53" s="28"/>
      <c r="B53" s="125"/>
      <c r="C53" s="125"/>
      <c r="D53" s="144"/>
      <c r="E53" s="145"/>
      <c r="F53" s="145"/>
      <c r="G53" s="145"/>
      <c r="H53" s="145"/>
      <c r="I53" s="145"/>
      <c r="J53" s="145"/>
      <c r="K53" s="145"/>
      <c r="L53" s="145"/>
      <c r="M53" s="145"/>
      <c r="N53" s="145"/>
      <c r="O53" s="145"/>
      <c r="P53" s="146"/>
      <c r="Q53" s="145"/>
      <c r="R53" s="145"/>
      <c r="S53" s="145"/>
      <c r="T53" s="145"/>
      <c r="U53" s="145"/>
      <c r="V53" s="145"/>
      <c r="W53" s="145"/>
      <c r="X53" s="145"/>
      <c r="Y53" s="145"/>
      <c r="Z53" s="145"/>
      <c r="AA53" s="145"/>
      <c r="AB53" s="147"/>
      <c r="AC53" s="144"/>
      <c r="AD53" s="145"/>
      <c r="AE53" s="145"/>
      <c r="AF53" s="145"/>
      <c r="AG53" s="145"/>
      <c r="AH53" s="145"/>
      <c r="AI53" s="145"/>
      <c r="AJ53" s="145"/>
      <c r="AK53" s="145"/>
      <c r="AL53" s="145"/>
      <c r="AM53" s="145"/>
      <c r="AN53" s="145"/>
      <c r="AO53" s="146"/>
      <c r="AP53" s="145"/>
      <c r="AQ53" s="145"/>
      <c r="AR53" s="145"/>
      <c r="AS53" s="145"/>
      <c r="AT53" s="145"/>
      <c r="AU53" s="145"/>
      <c r="AV53" s="145"/>
      <c r="AW53" s="145"/>
      <c r="AX53" s="145"/>
      <c r="AY53" s="145"/>
      <c r="AZ53" s="145"/>
      <c r="BA53" s="147"/>
      <c r="BB53" s="125"/>
      <c r="BC53" s="125"/>
      <c r="BE53" s="148"/>
      <c r="BF53" s="148"/>
      <c r="BG53" s="148"/>
      <c r="BH53" s="148"/>
      <c r="BI53" s="148"/>
      <c r="BJ53" s="148"/>
      <c r="BK53" s="148"/>
      <c r="BL53" s="3757" t="str">
        <f ca="1">IFERROR(IF($CC$53=1,$CC$53&amp;" day",$CC$53&amp;" days"),"")</f>
        <v/>
      </c>
      <c r="BM53" s="3757"/>
      <c r="BN53" s="3757"/>
      <c r="BO53" s="3757"/>
      <c r="BP53" s="3761" t="str">
        <f ca="1">IFERROR(IF($CE$53=1,$CE$53&amp;" day",$CE$53&amp;" days"),"")</f>
        <v/>
      </c>
      <c r="BQ53" s="3761"/>
      <c r="BR53" s="3761"/>
      <c r="BS53" s="3761"/>
      <c r="BT53" s="3368"/>
      <c r="BU53" s="3368"/>
      <c r="BV53" s="3368"/>
      <c r="BW53" s="3368"/>
      <c r="BX53" s="3368"/>
      <c r="BY53" s="3368"/>
      <c r="BZ53" s="3368"/>
      <c r="CC53" s="3810" t="e">
        <f ca="1">IF('^'!$BK$45="A C T I V E",_xlfn.DAYS(TODAY(),"01/01/"&amp;'^'!$BK$55),_xlfn.DAYS('^'!$CC$58+1,"01/01/"&amp;'^'!$BK$55))</f>
        <v>#VALUE!</v>
      </c>
      <c r="CD53" s="3810"/>
      <c r="CE53" s="3811" t="e">
        <f ca="1">365-$CC$53</f>
        <v>#VALUE!</v>
      </c>
      <c r="CF53" s="3811"/>
      <c r="CH53" s="3744">
        <v>2044</v>
      </c>
      <c r="CI53" s="3744"/>
    </row>
    <row r="54" spans="1:88" ht="17.100000000000001" customHeight="1" x14ac:dyDescent="0.15">
      <c r="B54" s="125"/>
      <c r="C54" s="125"/>
      <c r="D54" s="131"/>
      <c r="E54" s="132"/>
      <c r="F54" s="132"/>
      <c r="G54" s="132"/>
      <c r="H54" s="132"/>
      <c r="I54" s="132"/>
      <c r="J54" s="132"/>
      <c r="K54" s="132"/>
      <c r="L54" s="132"/>
      <c r="M54" s="132"/>
      <c r="N54" s="132"/>
      <c r="O54" s="132"/>
      <c r="P54" s="132"/>
      <c r="Q54" s="132"/>
      <c r="R54" s="132"/>
      <c r="S54" s="132"/>
      <c r="T54" s="132"/>
      <c r="U54" s="132"/>
      <c r="V54" s="132"/>
      <c r="W54" s="132"/>
      <c r="X54" s="132"/>
      <c r="Y54" s="132"/>
      <c r="Z54" s="132"/>
      <c r="AA54" s="132"/>
      <c r="AB54" s="133"/>
      <c r="AC54" s="131"/>
      <c r="AD54" s="132"/>
      <c r="AE54" s="132"/>
      <c r="AF54" s="132"/>
      <c r="AG54" s="132"/>
      <c r="AH54" s="132"/>
      <c r="AI54" s="132"/>
      <c r="AJ54" s="132"/>
      <c r="AK54" s="132"/>
      <c r="AL54" s="132"/>
      <c r="AM54" s="132"/>
      <c r="AN54" s="132"/>
      <c r="AO54" s="132"/>
      <c r="AP54" s="132"/>
      <c r="AQ54" s="132"/>
      <c r="AR54" s="132"/>
      <c r="AS54" s="132"/>
      <c r="AT54" s="132"/>
      <c r="AU54" s="132"/>
      <c r="AV54" s="132"/>
      <c r="AW54" s="132"/>
      <c r="AX54" s="132"/>
      <c r="AY54" s="132"/>
      <c r="AZ54" s="132"/>
      <c r="BA54" s="133"/>
      <c r="BB54" s="125"/>
      <c r="BC54" s="125"/>
      <c r="BE54" s="148"/>
      <c r="BF54" s="3758" t="s">
        <v>26</v>
      </c>
      <c r="BG54" s="3758"/>
      <c r="BH54" s="3758"/>
      <c r="BI54" s="148"/>
      <c r="BJ54" s="148"/>
      <c r="BK54" s="148"/>
      <c r="BL54" s="3759" t="str">
        <f ca="1">IFERROR($CC$53/365,"")</f>
        <v/>
      </c>
      <c r="BM54" s="3759"/>
      <c r="BN54" s="3759"/>
      <c r="BO54" s="3759"/>
      <c r="BP54" s="3760" t="str">
        <f ca="1">IFERROR($CE$53/365,"")</f>
        <v/>
      </c>
      <c r="BQ54" s="3761"/>
      <c r="BR54" s="3761"/>
      <c r="BS54" s="3761"/>
      <c r="BT54" s="3368"/>
      <c r="BU54" s="3374"/>
      <c r="BV54" s="3374"/>
      <c r="BW54" s="3765" t="s">
        <v>27</v>
      </c>
      <c r="BX54" s="3765"/>
      <c r="BY54" s="3765"/>
      <c r="BZ54" s="3368"/>
      <c r="CH54" s="3744">
        <v>2048</v>
      </c>
      <c r="CI54" s="3744"/>
    </row>
    <row r="55" spans="1:88" ht="17.100000000000001" customHeight="1" x14ac:dyDescent="0.15">
      <c r="A55" s="28"/>
      <c r="B55" s="125"/>
      <c r="C55" s="125"/>
      <c r="D55" s="135">
        <v>7</v>
      </c>
      <c r="E55" s="3774" t="s">
        <v>23</v>
      </c>
      <c r="F55" s="3774"/>
      <c r="G55" s="3774"/>
      <c r="H55" s="3774"/>
      <c r="I55" s="3774"/>
      <c r="J55" s="3774"/>
      <c r="K55" s="3774"/>
      <c r="L55" s="136">
        <v>8</v>
      </c>
      <c r="M55" s="3774" t="s">
        <v>25</v>
      </c>
      <c r="N55" s="3774"/>
      <c r="O55" s="3774"/>
      <c r="P55" s="3774"/>
      <c r="Q55" s="3774"/>
      <c r="R55" s="3774"/>
      <c r="S55" s="3774"/>
      <c r="T55" s="136">
        <v>9</v>
      </c>
      <c r="U55" s="3774" t="s">
        <v>27</v>
      </c>
      <c r="V55" s="3774"/>
      <c r="W55" s="3774"/>
      <c r="X55" s="3774"/>
      <c r="Y55" s="3774"/>
      <c r="Z55" s="3774"/>
      <c r="AA55" s="3774"/>
      <c r="AB55" s="137"/>
      <c r="AC55" s="135">
        <v>10</v>
      </c>
      <c r="AD55" s="3774" t="s">
        <v>29</v>
      </c>
      <c r="AE55" s="3774"/>
      <c r="AF55" s="3774"/>
      <c r="AG55" s="3774"/>
      <c r="AH55" s="3774"/>
      <c r="AI55" s="3774"/>
      <c r="AJ55" s="3774"/>
      <c r="AK55" s="136">
        <v>11</v>
      </c>
      <c r="AL55" s="3774" t="s">
        <v>8</v>
      </c>
      <c r="AM55" s="3774"/>
      <c r="AN55" s="3774"/>
      <c r="AO55" s="3774"/>
      <c r="AP55" s="3774"/>
      <c r="AQ55" s="3774"/>
      <c r="AR55" s="3774"/>
      <c r="AS55" s="136">
        <v>12</v>
      </c>
      <c r="AT55" s="3774" t="s">
        <v>30</v>
      </c>
      <c r="AU55" s="3774"/>
      <c r="AV55" s="3774"/>
      <c r="AW55" s="3774"/>
      <c r="AX55" s="3774"/>
      <c r="AY55" s="3774"/>
      <c r="AZ55" s="3774"/>
      <c r="BA55" s="137"/>
      <c r="BB55" s="125"/>
      <c r="BC55" s="125"/>
      <c r="BE55" s="148"/>
      <c r="BF55" s="148"/>
      <c r="BG55" s="148"/>
      <c r="BH55" s="148"/>
      <c r="BI55" s="148"/>
      <c r="BJ55" s="148"/>
      <c r="BK55" s="148"/>
      <c r="BL55" s="149"/>
      <c r="BM55" s="149"/>
      <c r="BN55" s="3376"/>
      <c r="BO55" s="3366" t="str">
        <f>IF($CD$57=1,"L E A P ","")</f>
        <v/>
      </c>
      <c r="BP55" s="3375" t="str">
        <f>IF($CD$57=1," Y E A R","")</f>
        <v/>
      </c>
      <c r="BQ55" s="3365"/>
      <c r="BR55" s="3371"/>
      <c r="BS55" s="3372"/>
      <c r="BT55" s="3372"/>
      <c r="BU55" s="3368"/>
      <c r="BV55" s="3368"/>
      <c r="BW55" s="631"/>
      <c r="BX55" s="631"/>
      <c r="BY55" s="631"/>
      <c r="BZ55" s="3368"/>
      <c r="CD55" s="3808" t="s">
        <v>429</v>
      </c>
      <c r="CE55" s="3808"/>
      <c r="CH55" s="3744">
        <v>2052</v>
      </c>
      <c r="CI55" s="3744"/>
    </row>
    <row r="56" spans="1:88" ht="17.100000000000001" customHeight="1" x14ac:dyDescent="0.15">
      <c r="B56" s="125"/>
      <c r="C56" s="125"/>
      <c r="D56" s="138"/>
      <c r="E56" s="3770"/>
      <c r="F56" s="3770"/>
      <c r="G56" s="3770"/>
      <c r="H56" s="3770"/>
      <c r="I56" s="3770"/>
      <c r="J56" s="3770"/>
      <c r="K56" s="3770"/>
      <c r="L56" s="125"/>
      <c r="M56" s="3770"/>
      <c r="N56" s="3770"/>
      <c r="O56" s="3770"/>
      <c r="P56" s="3770"/>
      <c r="Q56" s="3770"/>
      <c r="R56" s="3770"/>
      <c r="S56" s="3770"/>
      <c r="T56" s="125"/>
      <c r="U56" s="3770"/>
      <c r="V56" s="3770"/>
      <c r="W56" s="3770"/>
      <c r="X56" s="3770"/>
      <c r="Y56" s="3770"/>
      <c r="Z56" s="3770"/>
      <c r="AA56" s="3770"/>
      <c r="AB56" s="137"/>
      <c r="AC56" s="138"/>
      <c r="AD56" s="3770"/>
      <c r="AE56" s="3770"/>
      <c r="AF56" s="3770"/>
      <c r="AG56" s="3770"/>
      <c r="AH56" s="3770"/>
      <c r="AI56" s="3770"/>
      <c r="AJ56" s="3770"/>
      <c r="AK56" s="125"/>
      <c r="AL56" s="3770"/>
      <c r="AM56" s="3770"/>
      <c r="AN56" s="3770"/>
      <c r="AO56" s="3770"/>
      <c r="AP56" s="3770"/>
      <c r="AQ56" s="3770"/>
      <c r="AR56" s="3770"/>
      <c r="AS56" s="125"/>
      <c r="AT56" s="3770"/>
      <c r="AU56" s="3770"/>
      <c r="AV56" s="3770"/>
      <c r="AW56" s="3770"/>
      <c r="AX56" s="3770"/>
      <c r="AY56" s="3770"/>
      <c r="AZ56" s="3770"/>
      <c r="BA56" s="137"/>
      <c r="BB56" s="125"/>
      <c r="BC56" s="125"/>
      <c r="BE56" s="148"/>
      <c r="BF56" s="148"/>
      <c r="BG56" s="148"/>
      <c r="BH56" s="148"/>
      <c r="BI56" s="148"/>
      <c r="BJ56" s="148"/>
      <c r="BK56" s="148"/>
      <c r="BL56" s="148"/>
      <c r="BM56" s="148"/>
      <c r="BN56" s="148"/>
      <c r="BO56" s="150"/>
      <c r="BP56" s="3373"/>
      <c r="BQ56" s="3368"/>
      <c r="BR56" s="3368"/>
      <c r="BS56" s="3372"/>
      <c r="BT56" s="3372"/>
      <c r="BU56" s="3368"/>
      <c r="BV56" s="3368"/>
      <c r="BW56" s="3368"/>
      <c r="BX56" s="3368"/>
      <c r="BY56" s="3368"/>
      <c r="BZ56" s="3368"/>
      <c r="CD56" s="3809"/>
      <c r="CE56" s="3809"/>
      <c r="CH56" s="3744">
        <v>2056</v>
      </c>
      <c r="CI56" s="3744"/>
    </row>
    <row r="57" spans="1:88" ht="17.100000000000001" customHeight="1" x14ac:dyDescent="0.15">
      <c r="A57" s="28"/>
      <c r="B57" s="125"/>
      <c r="C57" s="125"/>
      <c r="D57" s="138"/>
      <c r="E57" s="3770"/>
      <c r="F57" s="3770"/>
      <c r="G57" s="3770"/>
      <c r="H57" s="3770"/>
      <c r="I57" s="3770"/>
      <c r="J57" s="3770"/>
      <c r="K57" s="3770"/>
      <c r="L57" s="125"/>
      <c r="M57" s="3770"/>
      <c r="N57" s="3770"/>
      <c r="O57" s="3770"/>
      <c r="P57" s="3770"/>
      <c r="Q57" s="3770"/>
      <c r="R57" s="3770"/>
      <c r="S57" s="3770"/>
      <c r="T57" s="125"/>
      <c r="U57" s="3770"/>
      <c r="V57" s="3770"/>
      <c r="W57" s="3770"/>
      <c r="X57" s="3770"/>
      <c r="Y57" s="3770"/>
      <c r="Z57" s="3770"/>
      <c r="AA57" s="3770"/>
      <c r="AB57" s="137"/>
      <c r="AC57" s="138"/>
      <c r="AD57" s="3770"/>
      <c r="AE57" s="3770"/>
      <c r="AF57" s="3770"/>
      <c r="AG57" s="3770"/>
      <c r="AH57" s="3770"/>
      <c r="AI57" s="3770"/>
      <c r="AJ57" s="3770"/>
      <c r="AK57" s="125"/>
      <c r="AL57" s="3770"/>
      <c r="AM57" s="3770"/>
      <c r="AN57" s="3770"/>
      <c r="AO57" s="3770"/>
      <c r="AP57" s="3770"/>
      <c r="AQ57" s="3770"/>
      <c r="AR57" s="3770"/>
      <c r="AS57" s="125"/>
      <c r="AT57" s="3770"/>
      <c r="AU57" s="3770"/>
      <c r="AV57" s="3770"/>
      <c r="AW57" s="3770"/>
      <c r="AX57" s="3770"/>
      <c r="AY57" s="3770"/>
      <c r="AZ57" s="3770"/>
      <c r="BA57" s="137"/>
      <c r="BB57" s="125"/>
      <c r="BC57" s="125"/>
      <c r="BE57" s="148"/>
      <c r="BF57" s="148"/>
      <c r="BG57" s="148"/>
      <c r="BH57" s="148"/>
      <c r="BI57" s="3769" t="s">
        <v>28</v>
      </c>
      <c r="BJ57" s="3769"/>
      <c r="BK57" s="3769"/>
      <c r="BL57" s="148"/>
      <c r="BM57" s="148"/>
      <c r="BN57" s="148"/>
      <c r="BO57" s="148"/>
      <c r="BP57" s="3368"/>
      <c r="BQ57" s="3370"/>
      <c r="BR57" s="3368"/>
      <c r="BS57" s="3368"/>
      <c r="BT57" s="3766" t="s">
        <v>29</v>
      </c>
      <c r="BU57" s="3766"/>
      <c r="BV57" s="3766"/>
      <c r="BW57" s="3368"/>
      <c r="BX57" s="3368"/>
      <c r="BY57" s="3368"/>
      <c r="BZ57" s="3368"/>
      <c r="CD57" s="3744">
        <f>COUNTIF(PLANS!$CH$48:$CI$62,'^'!$BK$55)</f>
        <v>0</v>
      </c>
      <c r="CE57" s="3744"/>
      <c r="CH57" s="3744">
        <v>2060</v>
      </c>
      <c r="CI57" s="3744"/>
    </row>
    <row r="58" spans="1:88" ht="17.100000000000001" customHeight="1" x14ac:dyDescent="0.15">
      <c r="B58" s="125"/>
      <c r="C58" s="125"/>
      <c r="D58" s="138"/>
      <c r="E58" s="3770"/>
      <c r="F58" s="3770"/>
      <c r="G58" s="3770"/>
      <c r="H58" s="3770"/>
      <c r="I58" s="3770"/>
      <c r="J58" s="3770"/>
      <c r="K58" s="3770"/>
      <c r="L58" s="125"/>
      <c r="M58" s="3770"/>
      <c r="N58" s="3770"/>
      <c r="O58" s="3770"/>
      <c r="P58" s="3770"/>
      <c r="Q58" s="3770"/>
      <c r="R58" s="3770"/>
      <c r="S58" s="3770"/>
      <c r="T58" s="125"/>
      <c r="U58" s="3770"/>
      <c r="V58" s="3770"/>
      <c r="W58" s="3770"/>
      <c r="X58" s="3770"/>
      <c r="Y58" s="3770"/>
      <c r="Z58" s="3770"/>
      <c r="AA58" s="3770"/>
      <c r="AB58" s="137"/>
      <c r="AC58" s="138"/>
      <c r="AD58" s="3770"/>
      <c r="AE58" s="3770"/>
      <c r="AF58" s="3770"/>
      <c r="AG58" s="3770"/>
      <c r="AH58" s="3770"/>
      <c r="AI58" s="3770"/>
      <c r="AJ58" s="3770"/>
      <c r="AK58" s="125"/>
      <c r="AL58" s="3770"/>
      <c r="AM58" s="3770"/>
      <c r="AN58" s="3770"/>
      <c r="AO58" s="3770"/>
      <c r="AP58" s="3770"/>
      <c r="AQ58" s="3770"/>
      <c r="AR58" s="3770"/>
      <c r="AS58" s="125"/>
      <c r="AT58" s="3770"/>
      <c r="AU58" s="3770"/>
      <c r="AV58" s="3770"/>
      <c r="AW58" s="3770"/>
      <c r="AX58" s="3770"/>
      <c r="AY58" s="3770"/>
      <c r="AZ58" s="3770"/>
      <c r="BA58" s="137"/>
      <c r="BB58" s="125"/>
      <c r="BC58" s="125"/>
      <c r="BE58" s="148"/>
      <c r="BF58" s="148"/>
      <c r="BG58" s="148"/>
      <c r="BH58" s="148"/>
      <c r="BI58" s="148"/>
      <c r="BJ58" s="148"/>
      <c r="BK58" s="148"/>
      <c r="BL58" s="148"/>
      <c r="BM58" s="148"/>
      <c r="BN58" s="148"/>
      <c r="BO58" s="148"/>
      <c r="BP58" s="3368"/>
      <c r="BQ58" s="3370"/>
      <c r="BR58" s="3368"/>
      <c r="BS58" s="3368"/>
      <c r="BT58" s="631"/>
      <c r="BU58" s="631"/>
      <c r="BV58" s="631"/>
      <c r="BW58" s="3368"/>
      <c r="BX58" s="3368"/>
      <c r="BY58" s="3368"/>
      <c r="BZ58" s="3368"/>
      <c r="CD58" s="3751"/>
      <c r="CE58" s="3751"/>
      <c r="CH58" s="3744">
        <v>2064</v>
      </c>
      <c r="CI58" s="3744"/>
    </row>
    <row r="59" spans="1:88" ht="17.100000000000001" customHeight="1" x14ac:dyDescent="0.15">
      <c r="A59" s="28"/>
      <c r="B59" s="17"/>
      <c r="C59" s="125"/>
      <c r="D59" s="138"/>
      <c r="E59" s="3770"/>
      <c r="F59" s="3770"/>
      <c r="G59" s="3770"/>
      <c r="H59" s="3770"/>
      <c r="I59" s="3770"/>
      <c r="J59" s="3770"/>
      <c r="K59" s="3770"/>
      <c r="L59" s="125"/>
      <c r="M59" s="3770"/>
      <c r="N59" s="3770"/>
      <c r="O59" s="3770"/>
      <c r="P59" s="3770"/>
      <c r="Q59" s="3770"/>
      <c r="R59" s="3770"/>
      <c r="S59" s="3770"/>
      <c r="T59" s="125"/>
      <c r="U59" s="3770"/>
      <c r="V59" s="3770"/>
      <c r="W59" s="3770"/>
      <c r="X59" s="3770"/>
      <c r="Y59" s="3770"/>
      <c r="Z59" s="3770"/>
      <c r="AA59" s="3770"/>
      <c r="AB59" s="137"/>
      <c r="AC59" s="138"/>
      <c r="AD59" s="3770"/>
      <c r="AE59" s="3770"/>
      <c r="AF59" s="3770"/>
      <c r="AG59" s="3770"/>
      <c r="AH59" s="3770"/>
      <c r="AI59" s="3770"/>
      <c r="AJ59" s="3770"/>
      <c r="AK59" s="125"/>
      <c r="AL59" s="3770"/>
      <c r="AM59" s="3770"/>
      <c r="AN59" s="3770"/>
      <c r="AO59" s="3770"/>
      <c r="AP59" s="3770"/>
      <c r="AQ59" s="3770"/>
      <c r="AR59" s="3770"/>
      <c r="AS59" s="125"/>
      <c r="AT59" s="3770"/>
      <c r="AU59" s="3770"/>
      <c r="AV59" s="3770"/>
      <c r="AW59" s="3770"/>
      <c r="AX59" s="3770"/>
      <c r="AY59" s="3770"/>
      <c r="AZ59" s="3770"/>
      <c r="BA59" s="137"/>
      <c r="BB59" s="125"/>
      <c r="BC59" s="17"/>
      <c r="BE59" s="148"/>
      <c r="BF59" s="148"/>
      <c r="BG59" s="148"/>
      <c r="BH59" s="148"/>
      <c r="BI59" s="148"/>
      <c r="BJ59" s="148"/>
      <c r="BK59" s="148"/>
      <c r="BL59" s="148"/>
      <c r="BM59" s="148"/>
      <c r="BN59" s="148"/>
      <c r="BO59" s="148"/>
      <c r="BP59" s="3368"/>
      <c r="BQ59" s="3370"/>
      <c r="BR59" s="3368"/>
      <c r="BS59" s="3368"/>
      <c r="BT59" s="3368"/>
      <c r="BU59" s="3368"/>
      <c r="BV59" s="3368"/>
      <c r="BW59" s="3368"/>
      <c r="BX59" s="3368"/>
      <c r="BY59" s="3368"/>
      <c r="BZ59" s="3368"/>
      <c r="CH59" s="3744">
        <v>2068</v>
      </c>
      <c r="CI59" s="3744"/>
    </row>
    <row r="60" spans="1:88" ht="17.100000000000001" customHeight="1" x14ac:dyDescent="0.15">
      <c r="B60" s="17"/>
      <c r="C60" s="125"/>
      <c r="D60" s="138"/>
      <c r="E60" s="125"/>
      <c r="F60" s="125"/>
      <c r="G60" s="125"/>
      <c r="H60" s="125"/>
      <c r="I60" s="125"/>
      <c r="J60" s="125"/>
      <c r="K60" s="125"/>
      <c r="L60" s="125"/>
      <c r="M60" s="125"/>
      <c r="N60" s="125"/>
      <c r="O60" s="125"/>
      <c r="P60" s="141"/>
      <c r="Q60" s="125"/>
      <c r="R60" s="125"/>
      <c r="S60" s="125"/>
      <c r="T60" s="125"/>
      <c r="U60" s="125"/>
      <c r="V60" s="125"/>
      <c r="W60" s="125"/>
      <c r="X60" s="125"/>
      <c r="Y60" s="125"/>
      <c r="Z60" s="125"/>
      <c r="AA60" s="125"/>
      <c r="AB60" s="137"/>
      <c r="AC60" s="138"/>
      <c r="AD60" s="125"/>
      <c r="AE60" s="125"/>
      <c r="AF60" s="125"/>
      <c r="AG60" s="125"/>
      <c r="AH60" s="125"/>
      <c r="AI60" s="125"/>
      <c r="AJ60" s="125"/>
      <c r="AK60" s="125"/>
      <c r="AL60" s="125"/>
      <c r="AM60" s="125"/>
      <c r="AN60" s="125"/>
      <c r="AO60" s="141"/>
      <c r="AP60" s="125"/>
      <c r="AQ60" s="125"/>
      <c r="AR60" s="125"/>
      <c r="AS60" s="125"/>
      <c r="AT60" s="125"/>
      <c r="AU60" s="125"/>
      <c r="AV60" s="125"/>
      <c r="AW60" s="125"/>
      <c r="AX60" s="125"/>
      <c r="AY60" s="125"/>
      <c r="AZ60" s="125"/>
      <c r="BA60" s="137"/>
      <c r="BB60" s="125"/>
      <c r="BC60" s="17"/>
      <c r="BE60" s="148"/>
      <c r="BF60" s="148"/>
      <c r="BG60" s="148"/>
      <c r="BH60" s="148"/>
      <c r="BI60" s="148"/>
      <c r="BJ60" s="148"/>
      <c r="BK60" s="148"/>
      <c r="BL60" s="3767" t="s">
        <v>30</v>
      </c>
      <c r="BM60" s="3767"/>
      <c r="BN60" s="3767"/>
      <c r="BO60" s="148"/>
      <c r="BP60" s="3368"/>
      <c r="BQ60" s="3768" t="s">
        <v>8</v>
      </c>
      <c r="BR60" s="3768"/>
      <c r="BS60" s="3768"/>
      <c r="BT60" s="3368"/>
      <c r="BU60" s="3368"/>
      <c r="BV60" s="3368"/>
      <c r="BW60" s="3368"/>
      <c r="BX60" s="3368"/>
      <c r="BY60" s="3368"/>
      <c r="BZ60" s="3368"/>
      <c r="CH60" s="3744">
        <v>2072</v>
      </c>
      <c r="CI60" s="3744"/>
    </row>
    <row r="61" spans="1:88" ht="17.100000000000001" customHeight="1" x14ac:dyDescent="0.15">
      <c r="A61" s="28"/>
      <c r="B61" s="125"/>
      <c r="C61" s="125"/>
      <c r="D61" s="138"/>
      <c r="E61" s="3772"/>
      <c r="F61" s="3772"/>
      <c r="G61" s="3772"/>
      <c r="H61" s="3772"/>
      <c r="I61" s="3772"/>
      <c r="J61" s="3772"/>
      <c r="K61" s="3772"/>
      <c r="L61" s="3772"/>
      <c r="M61" s="3772"/>
      <c r="N61" s="3772"/>
      <c r="O61" s="3773" t="s">
        <v>426</v>
      </c>
      <c r="P61" s="3773"/>
      <c r="Q61" s="3773"/>
      <c r="R61" s="3770"/>
      <c r="S61" s="3770"/>
      <c r="T61" s="3770"/>
      <c r="U61" s="3770"/>
      <c r="V61" s="3770"/>
      <c r="W61" s="3770"/>
      <c r="X61" s="3770"/>
      <c r="Y61" s="3770"/>
      <c r="Z61" s="3770"/>
      <c r="AA61" s="3770"/>
      <c r="AB61" s="137"/>
      <c r="AC61" s="138"/>
      <c r="AD61" s="3772"/>
      <c r="AE61" s="3772"/>
      <c r="AF61" s="3772"/>
      <c r="AG61" s="3772"/>
      <c r="AH61" s="3772"/>
      <c r="AI61" s="3772"/>
      <c r="AJ61" s="3772"/>
      <c r="AK61" s="3772"/>
      <c r="AL61" s="3772"/>
      <c r="AM61" s="3772"/>
      <c r="AN61" s="3773" t="s">
        <v>427</v>
      </c>
      <c r="AO61" s="3773"/>
      <c r="AP61" s="3773"/>
      <c r="AQ61" s="3770"/>
      <c r="AR61" s="3770"/>
      <c r="AS61" s="3770"/>
      <c r="AT61" s="3770"/>
      <c r="AU61" s="3770"/>
      <c r="AV61" s="3770"/>
      <c r="AW61" s="3770"/>
      <c r="AX61" s="3770"/>
      <c r="AY61" s="3770"/>
      <c r="AZ61" s="3770"/>
      <c r="BA61" s="137"/>
      <c r="BB61" s="125"/>
      <c r="BC61" s="125"/>
      <c r="BE61" s="148"/>
      <c r="BF61" s="148"/>
      <c r="BG61" s="148"/>
      <c r="BH61" s="148"/>
      <c r="BI61" s="148"/>
      <c r="BJ61" s="148"/>
      <c r="BK61" s="148"/>
      <c r="BL61" s="148"/>
      <c r="BM61" s="148"/>
      <c r="BN61" s="148"/>
      <c r="BO61" s="148"/>
      <c r="BP61" s="3368"/>
      <c r="BQ61" s="631"/>
      <c r="BR61" s="631"/>
      <c r="BS61" s="631"/>
      <c r="BT61" s="3368"/>
      <c r="BU61" s="3368"/>
      <c r="BV61" s="3368"/>
      <c r="BW61" s="3368"/>
      <c r="BX61" s="3368"/>
      <c r="BY61" s="3368"/>
      <c r="BZ61" s="3368"/>
      <c r="CH61" s="3744">
        <v>2076</v>
      </c>
      <c r="CI61" s="3744"/>
    </row>
    <row r="62" spans="1:88" ht="17.100000000000001" customHeight="1" x14ac:dyDescent="0.15">
      <c r="B62" s="125"/>
      <c r="C62" s="125"/>
      <c r="D62" s="138"/>
      <c r="E62" s="3772"/>
      <c r="F62" s="3772"/>
      <c r="G62" s="3772"/>
      <c r="H62" s="3772"/>
      <c r="I62" s="3772"/>
      <c r="J62" s="3772"/>
      <c r="K62" s="3772"/>
      <c r="L62" s="3772"/>
      <c r="M62" s="3772"/>
      <c r="N62" s="3772"/>
      <c r="O62" s="3773"/>
      <c r="P62" s="3773"/>
      <c r="Q62" s="3773"/>
      <c r="R62" s="3770"/>
      <c r="S62" s="3770"/>
      <c r="T62" s="3770"/>
      <c r="U62" s="3770"/>
      <c r="V62" s="3770"/>
      <c r="W62" s="3770"/>
      <c r="X62" s="3770"/>
      <c r="Y62" s="3770"/>
      <c r="Z62" s="3770"/>
      <c r="AA62" s="3770"/>
      <c r="AB62" s="137"/>
      <c r="AC62" s="138"/>
      <c r="AD62" s="3772"/>
      <c r="AE62" s="3772"/>
      <c r="AF62" s="3772"/>
      <c r="AG62" s="3772"/>
      <c r="AH62" s="3772"/>
      <c r="AI62" s="3772"/>
      <c r="AJ62" s="3772"/>
      <c r="AK62" s="3772"/>
      <c r="AL62" s="3772"/>
      <c r="AM62" s="3772"/>
      <c r="AN62" s="3773"/>
      <c r="AO62" s="3773"/>
      <c r="AP62" s="3773"/>
      <c r="AQ62" s="3770"/>
      <c r="AR62" s="3770"/>
      <c r="AS62" s="3770"/>
      <c r="AT62" s="3770"/>
      <c r="AU62" s="3770"/>
      <c r="AV62" s="3770"/>
      <c r="AW62" s="3770"/>
      <c r="AX62" s="3770"/>
      <c r="AY62" s="3770"/>
      <c r="AZ62" s="3770"/>
      <c r="BA62" s="137"/>
      <c r="BB62" s="125"/>
      <c r="BC62" s="125"/>
      <c r="BE62" s="151"/>
      <c r="BF62" s="3785" t="s">
        <v>31</v>
      </c>
      <c r="BG62" s="3785"/>
      <c r="BH62" s="3785"/>
      <c r="BI62" s="151"/>
      <c r="BJ62" s="148"/>
      <c r="BK62" s="148"/>
      <c r="BL62" s="791"/>
      <c r="BM62" s="791"/>
      <c r="BN62" s="791"/>
      <c r="BO62" s="148"/>
      <c r="BP62" s="3368"/>
      <c r="BQ62" s="3368"/>
      <c r="BR62" s="3368"/>
      <c r="BS62" s="3368"/>
      <c r="BT62" s="3368"/>
      <c r="BU62" s="3368"/>
      <c r="BV62" s="3369"/>
      <c r="BW62" s="3786" t="s">
        <v>32</v>
      </c>
      <c r="BX62" s="3786"/>
      <c r="BY62" s="3786"/>
      <c r="BZ62" s="3369"/>
      <c r="CH62" s="3744">
        <v>2080</v>
      </c>
      <c r="CI62" s="3744"/>
      <c r="CJ62" s="440"/>
    </row>
    <row r="63" spans="1:88" ht="17.100000000000001" customHeight="1" x14ac:dyDescent="0.15">
      <c r="A63" s="28"/>
      <c r="B63" s="125"/>
      <c r="C63" s="17"/>
      <c r="D63" s="144"/>
      <c r="E63" s="145"/>
      <c r="F63" s="145"/>
      <c r="G63" s="145"/>
      <c r="H63" s="145"/>
      <c r="I63" s="145"/>
      <c r="J63" s="145"/>
      <c r="K63" s="145"/>
      <c r="L63" s="145"/>
      <c r="M63" s="145"/>
      <c r="N63" s="145"/>
      <c r="O63" s="145"/>
      <c r="P63" s="146"/>
      <c r="Q63" s="145"/>
      <c r="R63" s="145"/>
      <c r="S63" s="145"/>
      <c r="T63" s="145"/>
      <c r="U63" s="145"/>
      <c r="V63" s="145"/>
      <c r="W63" s="145"/>
      <c r="X63" s="145"/>
      <c r="Y63" s="145"/>
      <c r="Z63" s="145"/>
      <c r="AA63" s="145"/>
      <c r="AB63" s="147"/>
      <c r="AC63" s="144"/>
      <c r="AD63" s="145"/>
      <c r="AE63" s="145"/>
      <c r="AF63" s="145"/>
      <c r="AG63" s="145"/>
      <c r="AH63" s="145"/>
      <c r="AI63" s="145"/>
      <c r="AJ63" s="145"/>
      <c r="AK63" s="145"/>
      <c r="AL63" s="145"/>
      <c r="AM63" s="145"/>
      <c r="AN63" s="145"/>
      <c r="AO63" s="146"/>
      <c r="AP63" s="145"/>
      <c r="AQ63" s="145"/>
      <c r="AR63" s="145"/>
      <c r="AS63" s="145"/>
      <c r="AT63" s="145"/>
      <c r="AU63" s="145"/>
      <c r="AV63" s="145"/>
      <c r="AW63" s="145"/>
      <c r="AX63" s="145"/>
      <c r="AY63" s="145"/>
      <c r="AZ63" s="145"/>
      <c r="BA63" s="147"/>
      <c r="BB63" s="17"/>
      <c r="BC63" s="125"/>
      <c r="BE63" s="151"/>
      <c r="BF63" s="151"/>
      <c r="BG63" s="151"/>
      <c r="BH63" s="151"/>
      <c r="BI63" s="151"/>
      <c r="BJ63" s="148"/>
      <c r="BK63" s="148"/>
      <c r="BL63" s="148"/>
      <c r="BM63" s="148"/>
      <c r="BN63" s="148"/>
      <c r="BO63" s="148"/>
      <c r="BP63" s="3368"/>
      <c r="BQ63" s="3368"/>
      <c r="BR63" s="3368"/>
      <c r="BS63" s="3368"/>
      <c r="BT63" s="3368"/>
      <c r="BU63" s="3368"/>
      <c r="BV63" s="3369"/>
      <c r="BW63" s="3369"/>
      <c r="BX63" s="3369"/>
      <c r="BY63" s="3369"/>
      <c r="BZ63" s="3369"/>
    </row>
    <row r="64" spans="1:88" ht="17.100000000000001" customHeight="1" x14ac:dyDescent="0.25">
      <c r="B64" s="125"/>
      <c r="C64" s="17"/>
      <c r="D64" s="17"/>
      <c r="E64" s="17"/>
      <c r="F64" s="17"/>
      <c r="G64" s="17"/>
      <c r="H64" s="17"/>
      <c r="I64" s="152"/>
      <c r="J64" s="152"/>
      <c r="K64" s="152"/>
      <c r="L64" s="152"/>
      <c r="M64" s="152"/>
      <c r="N64" s="152"/>
      <c r="O64" s="125"/>
      <c r="P64" s="153"/>
      <c r="Q64" s="17"/>
      <c r="R64" s="17"/>
      <c r="S64" s="17"/>
      <c r="T64" s="17"/>
      <c r="U64" s="17"/>
      <c r="V64" s="152"/>
      <c r="W64" s="152"/>
      <c r="X64" s="152"/>
      <c r="Y64" s="152"/>
      <c r="Z64" s="152"/>
      <c r="AA64" s="152"/>
      <c r="AB64" s="154"/>
      <c r="AC64" s="154"/>
      <c r="AD64" s="17"/>
      <c r="AE64" s="17"/>
      <c r="AF64" s="17"/>
      <c r="AG64" s="17"/>
      <c r="AH64" s="17"/>
      <c r="AI64" s="152"/>
      <c r="AJ64" s="152"/>
      <c r="AK64" s="152"/>
      <c r="AL64" s="152"/>
      <c r="AM64" s="152"/>
      <c r="AN64" s="152"/>
      <c r="AO64" s="153"/>
      <c r="AP64" s="17"/>
      <c r="AQ64" s="17"/>
      <c r="AR64" s="17"/>
      <c r="AS64" s="17"/>
      <c r="AT64" s="17"/>
      <c r="AU64" s="17"/>
      <c r="AV64" s="152"/>
      <c r="AW64" s="152"/>
      <c r="AX64" s="152"/>
      <c r="AY64" s="152"/>
      <c r="AZ64" s="152"/>
      <c r="BA64" s="152"/>
      <c r="BB64" s="17"/>
      <c r="BC64" s="125"/>
      <c r="BE64" s="155"/>
      <c r="BF64" s="155"/>
      <c r="BG64" s="155"/>
      <c r="BH64" s="155"/>
      <c r="BI64" s="156"/>
      <c r="BJ64" s="156"/>
      <c r="BK64" s="156"/>
      <c r="BL64" s="156"/>
      <c r="BM64" s="156"/>
      <c r="BN64" s="157"/>
      <c r="BO64" s="156"/>
      <c r="BP64" s="156"/>
      <c r="BQ64" s="156"/>
      <c r="BR64" s="156"/>
      <c r="BS64" s="158"/>
      <c r="BT64" s="158"/>
      <c r="BU64" s="158"/>
      <c r="BV64" s="156"/>
      <c r="BW64" s="156"/>
      <c r="BX64" s="156"/>
      <c r="BY64" s="156"/>
      <c r="BZ64" s="156"/>
    </row>
    <row r="65" spans="1:115" ht="17.100000000000001" customHeight="1" x14ac:dyDescent="0.25">
      <c r="A65" s="28"/>
      <c r="B65" s="125"/>
      <c r="C65" s="125"/>
      <c r="D65" s="125"/>
      <c r="E65" s="125"/>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25"/>
      <c r="AH65" s="125"/>
      <c r="AI65" s="125"/>
      <c r="AJ65" s="125"/>
      <c r="AK65" s="125"/>
      <c r="AL65" s="125"/>
      <c r="AM65" s="125"/>
      <c r="AN65" s="125"/>
      <c r="AO65" s="125"/>
      <c r="AP65" s="125"/>
      <c r="AQ65" s="125"/>
      <c r="AR65" s="125"/>
      <c r="AS65" s="125"/>
      <c r="AT65" s="125"/>
      <c r="AU65" s="125"/>
      <c r="AV65" s="125"/>
      <c r="AW65" s="125"/>
      <c r="AX65" s="125"/>
      <c r="AY65" s="125"/>
      <c r="AZ65" s="125"/>
      <c r="BA65" s="125"/>
      <c r="BB65" s="125"/>
      <c r="BC65" s="125"/>
      <c r="BE65" s="155"/>
      <c r="BF65" s="155"/>
      <c r="BG65" s="155"/>
      <c r="BH65" s="155"/>
      <c r="BI65" s="156"/>
      <c r="BJ65" s="156"/>
      <c r="BK65" s="156"/>
      <c r="BL65" s="156"/>
      <c r="BM65" s="156"/>
      <c r="BN65" s="156"/>
      <c r="BO65" s="156"/>
      <c r="BP65" s="156"/>
      <c r="BQ65" s="156"/>
      <c r="BR65" s="156"/>
      <c r="BS65" s="156"/>
      <c r="BT65" s="156"/>
      <c r="BU65" s="156"/>
      <c r="BV65" s="156"/>
      <c r="BW65" s="156"/>
      <c r="BX65" s="156"/>
      <c r="BY65" s="156"/>
      <c r="BZ65" s="156"/>
    </row>
    <row r="66" spans="1:115" ht="17.100000000000001" customHeight="1" x14ac:dyDescent="0.15">
      <c r="B66" s="125"/>
      <c r="C66" s="125"/>
      <c r="D66" s="131"/>
      <c r="E66" s="132"/>
      <c r="F66" s="132"/>
      <c r="G66" s="132"/>
      <c r="H66" s="132"/>
      <c r="I66" s="132"/>
      <c r="J66" s="132"/>
      <c r="K66" s="132"/>
      <c r="L66" s="132"/>
      <c r="M66" s="132"/>
      <c r="N66" s="132"/>
      <c r="O66" s="132"/>
      <c r="P66" s="132"/>
      <c r="Q66" s="132"/>
      <c r="R66" s="132"/>
      <c r="S66" s="132"/>
      <c r="T66" s="132"/>
      <c r="U66" s="132"/>
      <c r="V66" s="132"/>
      <c r="W66" s="132"/>
      <c r="X66" s="132"/>
      <c r="Y66" s="132"/>
      <c r="Z66" s="132"/>
      <c r="AA66" s="132"/>
      <c r="AB66" s="132"/>
      <c r="AC66" s="132"/>
      <c r="AD66" s="132"/>
      <c r="AE66" s="132"/>
      <c r="AF66" s="132"/>
      <c r="AG66" s="132"/>
      <c r="AH66" s="132"/>
      <c r="AI66" s="132"/>
      <c r="AJ66" s="132"/>
      <c r="AK66" s="132"/>
      <c r="AL66" s="132"/>
      <c r="AM66" s="132"/>
      <c r="AN66" s="132"/>
      <c r="AO66" s="132"/>
      <c r="AP66" s="132"/>
      <c r="AQ66" s="132"/>
      <c r="AR66" s="132"/>
      <c r="AS66" s="132"/>
      <c r="AT66" s="132"/>
      <c r="AU66" s="132"/>
      <c r="AV66" s="132"/>
      <c r="AW66" s="132"/>
      <c r="AX66" s="132"/>
      <c r="AY66" s="132"/>
      <c r="AZ66" s="132"/>
      <c r="BA66" s="133"/>
      <c r="BB66" s="125"/>
      <c r="BC66" s="125"/>
      <c r="BE66" s="159"/>
      <c r="BF66" s="160"/>
      <c r="BG66" s="160"/>
      <c r="BH66" s="160"/>
      <c r="BI66" s="160"/>
      <c r="BJ66" s="160"/>
      <c r="BK66" s="160"/>
      <c r="BL66" s="160"/>
      <c r="BM66" s="160"/>
      <c r="BN66" s="160"/>
      <c r="BO66" s="160"/>
      <c r="BP66" s="160"/>
      <c r="BQ66" s="160"/>
      <c r="BR66" s="160"/>
      <c r="BS66" s="160"/>
      <c r="BT66" s="160"/>
      <c r="BU66" s="160"/>
      <c r="BV66" s="160"/>
      <c r="BW66" s="160"/>
      <c r="BX66" s="160"/>
      <c r="BY66" s="160"/>
      <c r="BZ66" s="161"/>
      <c r="CD66" s="37"/>
    </row>
    <row r="67" spans="1:115" ht="17.100000000000001" customHeight="1" x14ac:dyDescent="0.25">
      <c r="B67" s="125"/>
      <c r="C67" s="125"/>
      <c r="D67" s="138"/>
      <c r="E67" s="3771" t="str">
        <f>20&amp;MID('^'!$BK$55,3,1)&amp;0</f>
        <v>20Y0</v>
      </c>
      <c r="F67" s="3771"/>
      <c r="G67" s="3771"/>
      <c r="H67" s="3771"/>
      <c r="I67" s="3771"/>
      <c r="J67" s="3771"/>
      <c r="K67" s="3771"/>
      <c r="L67" s="3771"/>
      <c r="M67" s="125"/>
      <c r="N67" s="125"/>
      <c r="O67" s="3771" t="str">
        <f>20&amp;MID('^'!$BK$55,3,1)&amp;1</f>
        <v>20Y1</v>
      </c>
      <c r="P67" s="3771">
        <v>2021</v>
      </c>
      <c r="Q67" s="3771"/>
      <c r="R67" s="3771"/>
      <c r="S67" s="3771"/>
      <c r="T67" s="3771"/>
      <c r="U67" s="3771"/>
      <c r="V67" s="3771"/>
      <c r="W67" s="125"/>
      <c r="X67" s="125"/>
      <c r="Y67" s="3771" t="str">
        <f>20&amp;MID('^'!$BK$55,3,1)&amp;2</f>
        <v>20Y2</v>
      </c>
      <c r="Z67" s="3771">
        <v>2022</v>
      </c>
      <c r="AA67" s="3771"/>
      <c r="AB67" s="3771"/>
      <c r="AC67" s="3771"/>
      <c r="AD67" s="3771"/>
      <c r="AE67" s="3771"/>
      <c r="AF67" s="3771"/>
      <c r="AG67" s="125"/>
      <c r="AH67" s="125"/>
      <c r="AI67" s="3771" t="str">
        <f>20&amp;MID('^'!$BK$55,3,1)&amp;3</f>
        <v>20Y3</v>
      </c>
      <c r="AJ67" s="3771">
        <v>2023</v>
      </c>
      <c r="AK67" s="3771"/>
      <c r="AL67" s="3771"/>
      <c r="AM67" s="3771"/>
      <c r="AN67" s="3771"/>
      <c r="AO67" s="3771"/>
      <c r="AP67" s="3771"/>
      <c r="AQ67" s="125"/>
      <c r="AR67" s="125"/>
      <c r="AS67" s="3771" t="str">
        <f>20&amp;MID('^'!$BK$55,3,1)&amp;4</f>
        <v>20Y4</v>
      </c>
      <c r="AT67" s="3771">
        <v>2024</v>
      </c>
      <c r="AU67" s="3771"/>
      <c r="AV67" s="3771"/>
      <c r="AW67" s="3771"/>
      <c r="AX67" s="3771"/>
      <c r="AY67" s="3771"/>
      <c r="AZ67" s="3771"/>
      <c r="BA67" s="137"/>
      <c r="BB67" s="125"/>
      <c r="BC67" s="125"/>
      <c r="BE67" s="162"/>
      <c r="BF67" s="3762" t="s">
        <v>1122</v>
      </c>
      <c r="BG67" s="3762"/>
      <c r="BH67" s="3762"/>
      <c r="BI67" s="3762"/>
      <c r="BJ67" s="3762"/>
      <c r="BK67" s="3762"/>
      <c r="BL67" s="3762"/>
      <c r="BM67" s="3762"/>
      <c r="BN67" s="3762"/>
      <c r="BO67" s="3762"/>
      <c r="BP67" s="3762"/>
      <c r="BQ67" s="3762"/>
      <c r="BR67" s="3762"/>
      <c r="BS67" s="3762"/>
      <c r="BT67" s="3762"/>
      <c r="BU67" s="3762"/>
      <c r="BV67" s="3762"/>
      <c r="BW67" s="3762"/>
      <c r="BX67" s="3762"/>
      <c r="BY67" s="3762"/>
      <c r="BZ67" s="163"/>
      <c r="CD67" s="37" t="s">
        <v>1103</v>
      </c>
    </row>
    <row r="68" spans="1:115" ht="17.100000000000001" customHeight="1" x14ac:dyDescent="0.15">
      <c r="B68" s="125"/>
      <c r="C68" s="125"/>
      <c r="D68" s="138"/>
      <c r="E68" s="3770"/>
      <c r="F68" s="3770"/>
      <c r="G68" s="3770"/>
      <c r="H68" s="3770"/>
      <c r="I68" s="3770"/>
      <c r="J68" s="3770"/>
      <c r="K68" s="3770"/>
      <c r="L68" s="3770"/>
      <c r="M68" s="125"/>
      <c r="N68" s="125"/>
      <c r="O68" s="3770"/>
      <c r="P68" s="3770"/>
      <c r="Q68" s="3770"/>
      <c r="R68" s="3770"/>
      <c r="S68" s="3770"/>
      <c r="T68" s="3770"/>
      <c r="U68" s="3770"/>
      <c r="V68" s="3770"/>
      <c r="W68" s="125"/>
      <c r="X68" s="125"/>
      <c r="Y68" s="3770"/>
      <c r="Z68" s="3770"/>
      <c r="AA68" s="3770"/>
      <c r="AB68" s="3770"/>
      <c r="AC68" s="3770"/>
      <c r="AD68" s="3770"/>
      <c r="AE68" s="3770"/>
      <c r="AF68" s="3770"/>
      <c r="AG68" s="125"/>
      <c r="AH68" s="125"/>
      <c r="AI68" s="3770"/>
      <c r="AJ68" s="3770"/>
      <c r="AK68" s="3770"/>
      <c r="AL68" s="3770"/>
      <c r="AM68" s="3770"/>
      <c r="AN68" s="3770"/>
      <c r="AO68" s="3770"/>
      <c r="AP68" s="3770"/>
      <c r="AQ68" s="125"/>
      <c r="AR68" s="125"/>
      <c r="AS68" s="3770"/>
      <c r="AT68" s="3770"/>
      <c r="AU68" s="3770"/>
      <c r="AV68" s="3770"/>
      <c r="AW68" s="3770"/>
      <c r="AX68" s="3770"/>
      <c r="AY68" s="3770"/>
      <c r="AZ68" s="3770"/>
      <c r="BA68" s="137"/>
      <c r="BB68" s="125"/>
      <c r="BC68" s="125"/>
      <c r="BE68" s="162"/>
      <c r="BZ68" s="163"/>
    </row>
    <row r="69" spans="1:115" ht="17.100000000000001" customHeight="1" x14ac:dyDescent="0.25">
      <c r="B69" s="125"/>
      <c r="C69" s="125"/>
      <c r="D69" s="138"/>
      <c r="E69" s="3770"/>
      <c r="F69" s="3770"/>
      <c r="G69" s="3770"/>
      <c r="H69" s="3770"/>
      <c r="I69" s="3770"/>
      <c r="J69" s="3770"/>
      <c r="K69" s="3770"/>
      <c r="L69" s="3770"/>
      <c r="M69" s="125"/>
      <c r="N69" s="125"/>
      <c r="O69" s="3770"/>
      <c r="P69" s="3770"/>
      <c r="Q69" s="3770"/>
      <c r="R69" s="3770"/>
      <c r="S69" s="3770"/>
      <c r="T69" s="3770"/>
      <c r="U69" s="3770"/>
      <c r="V69" s="3770"/>
      <c r="W69" s="125"/>
      <c r="X69" s="125"/>
      <c r="Y69" s="3770"/>
      <c r="Z69" s="3770"/>
      <c r="AA69" s="3770"/>
      <c r="AB69" s="3770"/>
      <c r="AC69" s="3770"/>
      <c r="AD69" s="3770"/>
      <c r="AE69" s="3770"/>
      <c r="AF69" s="3770"/>
      <c r="AG69" s="125"/>
      <c r="AH69" s="125"/>
      <c r="AI69" s="3770"/>
      <c r="AJ69" s="3770"/>
      <c r="AK69" s="3770"/>
      <c r="AL69" s="3770"/>
      <c r="AM69" s="3770"/>
      <c r="AN69" s="3770"/>
      <c r="AO69" s="3770"/>
      <c r="AP69" s="3770"/>
      <c r="AQ69" s="125"/>
      <c r="AR69" s="125"/>
      <c r="AS69" s="3770"/>
      <c r="AT69" s="3770"/>
      <c r="AU69" s="3770"/>
      <c r="AV69" s="3770"/>
      <c r="AW69" s="3770"/>
      <c r="AX69" s="3770"/>
      <c r="AY69" s="3770"/>
      <c r="AZ69" s="3770"/>
      <c r="BA69" s="137"/>
      <c r="BB69" s="125"/>
      <c r="BC69" s="125"/>
      <c r="BE69" s="162"/>
      <c r="BF69" s="3756"/>
      <c r="BG69" s="3756"/>
      <c r="BH69" s="3756"/>
      <c r="BI69" s="3752"/>
      <c r="BJ69" s="3752"/>
      <c r="BK69" s="3752"/>
      <c r="BL69" s="3752"/>
      <c r="BM69" s="3752"/>
      <c r="BN69" s="3752"/>
      <c r="BO69" s="3752"/>
      <c r="BP69" s="3756"/>
      <c r="BQ69" s="3756"/>
      <c r="BR69" s="3756"/>
      <c r="BS69" s="3752"/>
      <c r="BT69" s="3752"/>
      <c r="BU69" s="3752"/>
      <c r="BV69" s="3752"/>
      <c r="BW69" s="3752"/>
      <c r="BX69" s="3752"/>
      <c r="BY69" s="3752"/>
      <c r="BZ69" s="163"/>
      <c r="CD69" s="509" t="str">
        <f t="shared" ref="CD69:CD72" si="0">IF(BF69="","",MONTH(BF69))</f>
        <v/>
      </c>
      <c r="CE69" s="441">
        <f t="shared" ref="CE69:CE76" si="1">IF(CD69=$C$1,1-CF69,0)</f>
        <v>0</v>
      </c>
      <c r="CF69" s="1553">
        <f>COUNTIF(BF82:BZ91,BF69)</f>
        <v>0</v>
      </c>
      <c r="CG69" s="1553"/>
      <c r="CJ69" s="28"/>
      <c r="CK69" s="28"/>
      <c r="CN69" s="509" t="str">
        <f t="shared" ref="CN69:CN72" si="2">IF(BP69="","",MONTH(BP69))</f>
        <v/>
      </c>
      <c r="CO69" s="441">
        <f t="shared" ref="CO69:CO76" si="3">IF(CN69=$C$1,1-CP69,0)</f>
        <v>0</v>
      </c>
      <c r="CP69" s="1553">
        <f>COUNTIF(BF82:BZ91,BP69)</f>
        <v>0</v>
      </c>
      <c r="CQ69" s="510"/>
    </row>
    <row r="70" spans="1:115" ht="17.100000000000001" customHeight="1" x14ac:dyDescent="0.25">
      <c r="B70" s="125"/>
      <c r="C70" s="125"/>
      <c r="D70" s="138"/>
      <c r="E70" s="3770"/>
      <c r="F70" s="3770"/>
      <c r="G70" s="3770"/>
      <c r="H70" s="3770"/>
      <c r="I70" s="3770"/>
      <c r="J70" s="3770"/>
      <c r="K70" s="3770"/>
      <c r="L70" s="3770"/>
      <c r="M70" s="125"/>
      <c r="N70" s="125"/>
      <c r="O70" s="3770"/>
      <c r="P70" s="3770"/>
      <c r="Q70" s="3770"/>
      <c r="R70" s="3770"/>
      <c r="S70" s="3770"/>
      <c r="T70" s="3770"/>
      <c r="U70" s="3770"/>
      <c r="V70" s="3770"/>
      <c r="W70" s="125"/>
      <c r="X70" s="125"/>
      <c r="Y70" s="3770"/>
      <c r="Z70" s="3770"/>
      <c r="AA70" s="3770"/>
      <c r="AB70" s="3770"/>
      <c r="AC70" s="3770"/>
      <c r="AD70" s="3770"/>
      <c r="AE70" s="3770"/>
      <c r="AF70" s="3770"/>
      <c r="AG70" s="125"/>
      <c r="AH70" s="125"/>
      <c r="AI70" s="3770"/>
      <c r="AJ70" s="3770"/>
      <c r="AK70" s="3770"/>
      <c r="AL70" s="3770"/>
      <c r="AM70" s="3770"/>
      <c r="AN70" s="3770"/>
      <c r="AO70" s="3770"/>
      <c r="AP70" s="3770"/>
      <c r="AQ70" s="125"/>
      <c r="AR70" s="125"/>
      <c r="AS70" s="3770"/>
      <c r="AT70" s="3770"/>
      <c r="AU70" s="3770"/>
      <c r="AV70" s="3770"/>
      <c r="AW70" s="3770"/>
      <c r="AX70" s="3770"/>
      <c r="AY70" s="3770"/>
      <c r="AZ70" s="3770"/>
      <c r="BA70" s="137"/>
      <c r="BB70" s="125"/>
      <c r="BC70" s="125"/>
      <c r="BE70" s="162"/>
      <c r="BF70" s="3756"/>
      <c r="BG70" s="3756"/>
      <c r="BH70" s="3756"/>
      <c r="BI70" s="3752"/>
      <c r="BJ70" s="3752"/>
      <c r="BK70" s="3752"/>
      <c r="BL70" s="3752"/>
      <c r="BM70" s="3752"/>
      <c r="BN70" s="3752"/>
      <c r="BO70" s="3752"/>
      <c r="BP70" s="3756"/>
      <c r="BQ70" s="3756"/>
      <c r="BR70" s="3756"/>
      <c r="BS70" s="3752"/>
      <c r="BT70" s="3752"/>
      <c r="BU70" s="3752"/>
      <c r="BV70" s="3752"/>
      <c r="BW70" s="3752"/>
      <c r="BX70" s="3752"/>
      <c r="BY70" s="3752"/>
      <c r="BZ70" s="163"/>
      <c r="CD70" s="509" t="str">
        <f t="shared" si="0"/>
        <v/>
      </c>
      <c r="CE70" s="441">
        <f t="shared" si="1"/>
        <v>0</v>
      </c>
      <c r="CF70" s="1553">
        <f t="shared" ref="CF70:CF73" si="4">COUNTIF(BF83:BZ92,BF70)</f>
        <v>0</v>
      </c>
      <c r="CG70" s="1555" t="s">
        <v>1100</v>
      </c>
      <c r="CJ70" s="28"/>
      <c r="CK70" s="28"/>
      <c r="CN70" s="509" t="str">
        <f t="shared" si="2"/>
        <v/>
      </c>
      <c r="CO70" s="441">
        <f t="shared" si="3"/>
        <v>0</v>
      </c>
      <c r="CP70" s="1553">
        <f t="shared" ref="CP70:CP73" si="5">COUNTIF(BF83:BZ92,BP70)</f>
        <v>0</v>
      </c>
      <c r="CQ70" s="1555" t="s">
        <v>1100</v>
      </c>
    </row>
    <row r="71" spans="1:115" ht="17.100000000000001" customHeight="1" x14ac:dyDescent="0.25">
      <c r="B71" s="125"/>
      <c r="C71" s="125"/>
      <c r="D71" s="138"/>
      <c r="E71" s="3770"/>
      <c r="F71" s="3770"/>
      <c r="G71" s="3770"/>
      <c r="H71" s="3770"/>
      <c r="I71" s="3770"/>
      <c r="J71" s="3770"/>
      <c r="K71" s="3770"/>
      <c r="L71" s="3770"/>
      <c r="M71" s="125"/>
      <c r="N71" s="125"/>
      <c r="O71" s="3770"/>
      <c r="P71" s="3770"/>
      <c r="Q71" s="3770"/>
      <c r="R71" s="3770"/>
      <c r="S71" s="3770"/>
      <c r="T71" s="3770"/>
      <c r="U71" s="3770"/>
      <c r="V71" s="3770"/>
      <c r="W71" s="125"/>
      <c r="X71" s="125"/>
      <c r="Y71" s="3770"/>
      <c r="Z71" s="3770"/>
      <c r="AA71" s="3770"/>
      <c r="AB71" s="3770"/>
      <c r="AC71" s="3770"/>
      <c r="AD71" s="3770"/>
      <c r="AE71" s="3770"/>
      <c r="AF71" s="3770"/>
      <c r="AG71" s="125"/>
      <c r="AH71" s="125"/>
      <c r="AI71" s="3770"/>
      <c r="AJ71" s="3770"/>
      <c r="AK71" s="3770"/>
      <c r="AL71" s="3770"/>
      <c r="AM71" s="3770"/>
      <c r="AN71" s="3770"/>
      <c r="AO71" s="3770"/>
      <c r="AP71" s="3770"/>
      <c r="AQ71" s="125"/>
      <c r="AR71" s="125"/>
      <c r="AS71" s="3770"/>
      <c r="AT71" s="3770"/>
      <c r="AU71" s="3770"/>
      <c r="AV71" s="3770"/>
      <c r="AW71" s="3770"/>
      <c r="AX71" s="3770"/>
      <c r="AY71" s="3770"/>
      <c r="AZ71" s="3770"/>
      <c r="BA71" s="137"/>
      <c r="BB71" s="125"/>
      <c r="BC71" s="125"/>
      <c r="BE71" s="162"/>
      <c r="BF71" s="3756"/>
      <c r="BG71" s="3756"/>
      <c r="BH71" s="3756"/>
      <c r="BI71" s="3752"/>
      <c r="BJ71" s="3752"/>
      <c r="BK71" s="3752"/>
      <c r="BL71" s="3752"/>
      <c r="BM71" s="3752"/>
      <c r="BN71" s="3752"/>
      <c r="BO71" s="3752"/>
      <c r="BP71" s="3756"/>
      <c r="BQ71" s="3756"/>
      <c r="BR71" s="3756"/>
      <c r="BS71" s="3752"/>
      <c r="BT71" s="3752"/>
      <c r="BU71" s="3752"/>
      <c r="BV71" s="3752"/>
      <c r="BW71" s="3752"/>
      <c r="BX71" s="3752"/>
      <c r="BY71" s="3752"/>
      <c r="BZ71" s="163"/>
      <c r="CD71" s="509" t="str">
        <f t="shared" si="0"/>
        <v/>
      </c>
      <c r="CE71" s="441">
        <f t="shared" si="1"/>
        <v>0</v>
      </c>
      <c r="CF71" s="1553">
        <f t="shared" si="4"/>
        <v>0</v>
      </c>
      <c r="CG71" s="1554" t="s">
        <v>1102</v>
      </c>
      <c r="CJ71" s="28"/>
      <c r="CK71" s="28"/>
      <c r="CN71" s="509" t="str">
        <f t="shared" si="2"/>
        <v/>
      </c>
      <c r="CO71" s="441">
        <f t="shared" si="3"/>
        <v>0</v>
      </c>
      <c r="CP71" s="1553">
        <f t="shared" si="5"/>
        <v>0</v>
      </c>
      <c r="CQ71" s="1554" t="s">
        <v>1102</v>
      </c>
      <c r="DI71" s="326" t="s">
        <v>1111</v>
      </c>
    </row>
    <row r="72" spans="1:115" ht="17.100000000000001" customHeight="1" x14ac:dyDescent="0.25">
      <c r="B72" s="125"/>
      <c r="C72" s="125"/>
      <c r="D72" s="138"/>
      <c r="E72" s="125"/>
      <c r="F72" s="125"/>
      <c r="G72" s="125"/>
      <c r="H72" s="125"/>
      <c r="I72" s="125"/>
      <c r="J72" s="125"/>
      <c r="K72" s="125"/>
      <c r="L72" s="125"/>
      <c r="M72" s="125"/>
      <c r="N72" s="125"/>
      <c r="O72" s="125"/>
      <c r="P72" s="125"/>
      <c r="Q72" s="125"/>
      <c r="R72" s="125"/>
      <c r="S72" s="125"/>
      <c r="T72" s="125"/>
      <c r="U72" s="125"/>
      <c r="V72" s="125"/>
      <c r="W72" s="125"/>
      <c r="X72" s="125"/>
      <c r="Y72" s="125"/>
      <c r="Z72" s="125"/>
      <c r="AA72" s="125"/>
      <c r="AB72" s="125"/>
      <c r="AC72" s="125"/>
      <c r="AD72" s="125"/>
      <c r="AE72" s="125"/>
      <c r="AF72" s="125"/>
      <c r="AG72" s="125"/>
      <c r="AH72" s="125"/>
      <c r="AI72" s="125"/>
      <c r="AJ72" s="125"/>
      <c r="AK72" s="125"/>
      <c r="AL72" s="125"/>
      <c r="AM72" s="125"/>
      <c r="AN72" s="125"/>
      <c r="AO72" s="125"/>
      <c r="AP72" s="125"/>
      <c r="AQ72" s="125"/>
      <c r="AR72" s="125"/>
      <c r="AS72" s="125"/>
      <c r="AT72" s="125"/>
      <c r="AU72" s="125"/>
      <c r="AV72" s="125"/>
      <c r="AW72" s="125"/>
      <c r="AX72" s="125"/>
      <c r="AY72" s="125"/>
      <c r="AZ72" s="125"/>
      <c r="BA72" s="137"/>
      <c r="BB72" s="125"/>
      <c r="BC72" s="125"/>
      <c r="BE72" s="162"/>
      <c r="BF72" s="3756"/>
      <c r="BG72" s="3756"/>
      <c r="BH72" s="3756"/>
      <c r="BI72" s="3752"/>
      <c r="BJ72" s="3752"/>
      <c r="BK72" s="3752"/>
      <c r="BL72" s="3752"/>
      <c r="BM72" s="3752"/>
      <c r="BN72" s="3752"/>
      <c r="BO72" s="3752"/>
      <c r="BP72" s="3756"/>
      <c r="BQ72" s="3756"/>
      <c r="BR72" s="3756"/>
      <c r="BS72" s="3752"/>
      <c r="BT72" s="3752"/>
      <c r="BU72" s="3752"/>
      <c r="BV72" s="3752"/>
      <c r="BW72" s="3752"/>
      <c r="BX72" s="3752"/>
      <c r="BY72" s="3752"/>
      <c r="BZ72" s="163"/>
      <c r="CD72" s="509" t="str">
        <f t="shared" si="0"/>
        <v/>
      </c>
      <c r="CE72" s="441">
        <f t="shared" si="1"/>
        <v>0</v>
      </c>
      <c r="CF72" s="1553">
        <f t="shared" si="4"/>
        <v>0</v>
      </c>
      <c r="CG72" s="1556" t="s">
        <v>1101</v>
      </c>
      <c r="CJ72" s="28"/>
      <c r="CK72" s="28"/>
      <c r="CN72" s="509" t="str">
        <f t="shared" si="2"/>
        <v/>
      </c>
      <c r="CO72" s="441">
        <f t="shared" si="3"/>
        <v>0</v>
      </c>
      <c r="CP72" s="1553">
        <f t="shared" si="5"/>
        <v>0</v>
      </c>
      <c r="CQ72" s="1556" t="s">
        <v>1101</v>
      </c>
      <c r="CY72" s="415" t="s">
        <v>1501</v>
      </c>
      <c r="CZ72" s="3753" t="e">
        <f>DATE('^'!$BK$55,1,1)</f>
        <v>#VALUE!</v>
      </c>
      <c r="DA72" s="3754"/>
      <c r="DB72" s="3755"/>
      <c r="DI72" s="3748" t="e">
        <f ca="1">IF('^'!$BK$45="A C T I V E",TODAY(),'^'!$CC$58)</f>
        <v>#VALUE!</v>
      </c>
      <c r="DJ72" s="3749"/>
      <c r="DK72" s="3750"/>
    </row>
    <row r="73" spans="1:115" ht="17.100000000000001" customHeight="1" x14ac:dyDescent="0.25">
      <c r="B73" s="125"/>
      <c r="C73" s="125"/>
      <c r="D73" s="131"/>
      <c r="E73" s="132"/>
      <c r="F73" s="132"/>
      <c r="G73" s="132"/>
      <c r="H73" s="132"/>
      <c r="I73" s="132"/>
      <c r="J73" s="132"/>
      <c r="K73" s="132"/>
      <c r="L73" s="132"/>
      <c r="M73" s="132"/>
      <c r="N73" s="132"/>
      <c r="O73" s="132"/>
      <c r="P73" s="132"/>
      <c r="Q73" s="132"/>
      <c r="R73" s="132"/>
      <c r="S73" s="132"/>
      <c r="T73" s="132"/>
      <c r="U73" s="132"/>
      <c r="V73" s="132"/>
      <c r="W73" s="132"/>
      <c r="X73" s="132"/>
      <c r="Y73" s="132"/>
      <c r="Z73" s="132"/>
      <c r="AA73" s="132"/>
      <c r="AB73" s="132"/>
      <c r="AC73" s="132"/>
      <c r="AD73" s="132"/>
      <c r="AE73" s="132"/>
      <c r="AF73" s="132"/>
      <c r="AG73" s="132"/>
      <c r="AH73" s="132"/>
      <c r="AI73" s="132"/>
      <c r="AJ73" s="132"/>
      <c r="AK73" s="132"/>
      <c r="AL73" s="132"/>
      <c r="AM73" s="132"/>
      <c r="AN73" s="132"/>
      <c r="AO73" s="132"/>
      <c r="AP73" s="132"/>
      <c r="AQ73" s="132"/>
      <c r="AR73" s="132"/>
      <c r="AS73" s="132"/>
      <c r="AT73" s="132"/>
      <c r="AU73" s="132"/>
      <c r="AV73" s="132"/>
      <c r="AW73" s="132"/>
      <c r="AX73" s="132"/>
      <c r="AY73" s="132"/>
      <c r="AZ73" s="132"/>
      <c r="BA73" s="133"/>
      <c r="BB73" s="125"/>
      <c r="BC73" s="125"/>
      <c r="BE73" s="164"/>
      <c r="BF73" s="3756"/>
      <c r="BG73" s="3756"/>
      <c r="BH73" s="3756"/>
      <c r="BI73" s="3752"/>
      <c r="BJ73" s="3752"/>
      <c r="BK73" s="3752"/>
      <c r="BL73" s="3752"/>
      <c r="BM73" s="3752"/>
      <c r="BN73" s="3752"/>
      <c r="BO73" s="3752"/>
      <c r="BP73" s="3756"/>
      <c r="BQ73" s="3756"/>
      <c r="BR73" s="3756"/>
      <c r="BS73" s="3752"/>
      <c r="BT73" s="3752"/>
      <c r="BU73" s="3752"/>
      <c r="BV73" s="3752"/>
      <c r="BW73" s="3752"/>
      <c r="BX73" s="3752"/>
      <c r="BY73" s="3752"/>
      <c r="BZ73" s="163"/>
      <c r="CD73" s="509" t="str">
        <f>IF(BF73="","",MONTH(BF73))</f>
        <v/>
      </c>
      <c r="CE73" s="441">
        <f t="shared" si="1"/>
        <v>0</v>
      </c>
      <c r="CF73" s="1553">
        <f t="shared" si="4"/>
        <v>0</v>
      </c>
      <c r="CG73" s="1553"/>
      <c r="CJ73" s="28"/>
      <c r="CK73" s="28"/>
      <c r="CN73" s="509" t="str">
        <f>IF(BP73="","",MONTH(BP73))</f>
        <v/>
      </c>
      <c r="CO73" s="441">
        <f t="shared" si="3"/>
        <v>0</v>
      </c>
      <c r="CP73" s="1553">
        <f t="shared" si="5"/>
        <v>0</v>
      </c>
      <c r="CQ73" s="510"/>
      <c r="CY73" s="415" t="s">
        <v>2339</v>
      </c>
      <c r="CZ73" s="3753" t="e">
        <f>DATE('^'!$BK$55,12,31)</f>
        <v>#VALUE!</v>
      </c>
      <c r="DA73" s="3754"/>
      <c r="DB73" s="3755"/>
      <c r="DI73" s="37" t="s">
        <v>1174</v>
      </c>
      <c r="DJ73" s="46"/>
      <c r="DK73" s="46"/>
    </row>
    <row r="74" spans="1:115" ht="17.100000000000001" customHeight="1" x14ac:dyDescent="0.25">
      <c r="B74" s="125"/>
      <c r="C74" s="125"/>
      <c r="D74" s="138"/>
      <c r="E74" s="3771" t="str">
        <f>20&amp;MID('^'!$BK$55,3,1)&amp;5</f>
        <v>20Y5</v>
      </c>
      <c r="F74" s="3771">
        <v>2025</v>
      </c>
      <c r="G74" s="3771"/>
      <c r="H74" s="3771"/>
      <c r="I74" s="3771"/>
      <c r="J74" s="3771"/>
      <c r="K74" s="3771"/>
      <c r="L74" s="3771"/>
      <c r="M74" s="125"/>
      <c r="N74" s="125"/>
      <c r="O74" s="3771" t="str">
        <f>20&amp;MID('^'!$BK$55,3,1)&amp;6</f>
        <v>20Y6</v>
      </c>
      <c r="P74" s="3771">
        <v>2021</v>
      </c>
      <c r="Q74" s="3771"/>
      <c r="R74" s="3771"/>
      <c r="S74" s="3771"/>
      <c r="T74" s="3771"/>
      <c r="U74" s="3771"/>
      <c r="V74" s="3771"/>
      <c r="W74" s="125"/>
      <c r="X74" s="125"/>
      <c r="Y74" s="3771" t="str">
        <f>20&amp;MID('^'!$BK$55,3,1)&amp;7</f>
        <v>20Y7</v>
      </c>
      <c r="Z74" s="3771">
        <v>2022</v>
      </c>
      <c r="AA74" s="3771"/>
      <c r="AB74" s="3771"/>
      <c r="AC74" s="3771"/>
      <c r="AD74" s="3771"/>
      <c r="AE74" s="3771"/>
      <c r="AF74" s="3771"/>
      <c r="AG74" s="125"/>
      <c r="AH74" s="125"/>
      <c r="AI74" s="3771" t="str">
        <f>20&amp;MID('^'!$BK$55,3,1)&amp;8</f>
        <v>20Y8</v>
      </c>
      <c r="AJ74" s="3771">
        <v>2023</v>
      </c>
      <c r="AK74" s="3771"/>
      <c r="AL74" s="3771"/>
      <c r="AM74" s="3771"/>
      <c r="AN74" s="3771"/>
      <c r="AO74" s="3771"/>
      <c r="AP74" s="3771"/>
      <c r="AQ74" s="125"/>
      <c r="AR74" s="125"/>
      <c r="AS74" s="3771" t="str">
        <f>20&amp;MID('^'!$BK$55,3,1)&amp;9</f>
        <v>20Y9</v>
      </c>
      <c r="AT74" s="3771">
        <v>2024</v>
      </c>
      <c r="AU74" s="3771"/>
      <c r="AV74" s="3771"/>
      <c r="AW74" s="3771"/>
      <c r="AX74" s="3771"/>
      <c r="AY74" s="3771"/>
      <c r="AZ74" s="3771"/>
      <c r="BA74" s="137"/>
      <c r="BB74" s="125"/>
      <c r="BC74" s="125"/>
      <c r="BE74" s="164"/>
      <c r="BF74" s="3756"/>
      <c r="BG74" s="3756"/>
      <c r="BH74" s="3756"/>
      <c r="BI74" s="3752"/>
      <c r="BJ74" s="3752"/>
      <c r="BK74" s="3752"/>
      <c r="BL74" s="3752"/>
      <c r="BM74" s="3752"/>
      <c r="BN74" s="3752"/>
      <c r="BO74" s="3752"/>
      <c r="BP74" s="3756"/>
      <c r="BQ74" s="3756"/>
      <c r="BR74" s="3756"/>
      <c r="BS74" s="3752"/>
      <c r="BT74" s="3752"/>
      <c r="BU74" s="3752"/>
      <c r="BV74" s="3752"/>
      <c r="BW74" s="3752"/>
      <c r="BX74" s="3752"/>
      <c r="BY74" s="3752"/>
      <c r="BZ74" s="163"/>
      <c r="CD74" s="509" t="str">
        <f t="shared" ref="CD74:CD76" si="6">IF(BF74="","",MONTH(BF74))</f>
        <v/>
      </c>
      <c r="CE74" s="441">
        <f t="shared" si="1"/>
        <v>0</v>
      </c>
      <c r="CF74" s="1553">
        <f t="shared" ref="CF74:CF76" si="7">COUNTIF(BF87:BZ96,BF74)</f>
        <v>0</v>
      </c>
      <c r="CG74" s="1553"/>
      <c r="CJ74" s="28"/>
      <c r="CK74" s="28"/>
      <c r="CN74" s="509" t="str">
        <f t="shared" ref="CN74:CN76" si="8">IF(BP74="","",MONTH(BP74))</f>
        <v/>
      </c>
      <c r="CO74" s="441">
        <f t="shared" si="3"/>
        <v>0</v>
      </c>
      <c r="CP74" s="1553">
        <f t="shared" ref="CP74:CP76" si="9">COUNTIF(BF87:BZ96,BP74)</f>
        <v>0</v>
      </c>
      <c r="DI74" s="3745" t="e">
        <f ca="1">WEEKDAY(DI72,2)</f>
        <v>#VALUE!</v>
      </c>
      <c r="DJ74" s="3746"/>
      <c r="DK74" s="3747"/>
    </row>
    <row r="75" spans="1:115" ht="17.100000000000001" customHeight="1" x14ac:dyDescent="0.25">
      <c r="B75" s="125"/>
      <c r="C75" s="125"/>
      <c r="D75" s="138"/>
      <c r="E75" s="3770"/>
      <c r="F75" s="3770"/>
      <c r="G75" s="3770"/>
      <c r="H75" s="3770"/>
      <c r="I75" s="3770"/>
      <c r="J75" s="3770"/>
      <c r="K75" s="3770"/>
      <c r="L75" s="3770"/>
      <c r="M75" s="125"/>
      <c r="N75" s="125"/>
      <c r="O75" s="3770"/>
      <c r="P75" s="3770"/>
      <c r="Q75" s="3770"/>
      <c r="R75" s="3770"/>
      <c r="S75" s="3770"/>
      <c r="T75" s="3770"/>
      <c r="U75" s="3770"/>
      <c r="V75" s="3770"/>
      <c r="W75" s="125"/>
      <c r="X75" s="125"/>
      <c r="Y75" s="3770"/>
      <c r="Z75" s="3770"/>
      <c r="AA75" s="3770"/>
      <c r="AB75" s="3770"/>
      <c r="AC75" s="3770"/>
      <c r="AD75" s="3770"/>
      <c r="AE75" s="3770"/>
      <c r="AF75" s="3770"/>
      <c r="AG75" s="125"/>
      <c r="AH75" s="125"/>
      <c r="AI75" s="3770"/>
      <c r="AJ75" s="3770"/>
      <c r="AK75" s="3770"/>
      <c r="AL75" s="3770"/>
      <c r="AM75" s="3770"/>
      <c r="AN75" s="3770"/>
      <c r="AO75" s="3770"/>
      <c r="AP75" s="3770"/>
      <c r="AQ75" s="125"/>
      <c r="AR75" s="125"/>
      <c r="AS75" s="3770"/>
      <c r="AT75" s="3770"/>
      <c r="AU75" s="3770"/>
      <c r="AV75" s="3770"/>
      <c r="AW75" s="3770"/>
      <c r="AX75" s="3770"/>
      <c r="AY75" s="3770"/>
      <c r="AZ75" s="3770"/>
      <c r="BA75" s="137"/>
      <c r="BB75" s="125"/>
      <c r="BC75" s="125"/>
      <c r="BE75" s="164"/>
      <c r="BF75" s="3756"/>
      <c r="BG75" s="3756"/>
      <c r="BH75" s="3756"/>
      <c r="BI75" s="3752"/>
      <c r="BJ75" s="3752"/>
      <c r="BK75" s="3752"/>
      <c r="BL75" s="3752"/>
      <c r="BM75" s="3752"/>
      <c r="BN75" s="3752"/>
      <c r="BO75" s="3752"/>
      <c r="BP75" s="3756"/>
      <c r="BQ75" s="3756"/>
      <c r="BR75" s="3756"/>
      <c r="BS75" s="3752"/>
      <c r="BT75" s="3752"/>
      <c r="BU75" s="3752"/>
      <c r="BV75" s="3752"/>
      <c r="BW75" s="3752"/>
      <c r="BX75" s="3752"/>
      <c r="BY75" s="3752"/>
      <c r="BZ75" s="163"/>
      <c r="CD75" s="509" t="str">
        <f t="shared" si="6"/>
        <v/>
      </c>
      <c r="CE75" s="441">
        <f t="shared" si="1"/>
        <v>0</v>
      </c>
      <c r="CF75" s="1553">
        <f t="shared" si="7"/>
        <v>0</v>
      </c>
      <c r="CG75" s="1553"/>
      <c r="CJ75" s="28"/>
      <c r="CK75" s="28"/>
      <c r="CN75" s="509" t="str">
        <f t="shared" si="8"/>
        <v/>
      </c>
      <c r="CO75" s="441">
        <f t="shared" si="3"/>
        <v>0</v>
      </c>
      <c r="CP75" s="1553">
        <f t="shared" si="9"/>
        <v>0</v>
      </c>
    </row>
    <row r="76" spans="1:115" ht="17.100000000000001" customHeight="1" x14ac:dyDescent="0.25">
      <c r="B76" s="125"/>
      <c r="C76" s="125"/>
      <c r="D76" s="138"/>
      <c r="E76" s="3770"/>
      <c r="F76" s="3770"/>
      <c r="G76" s="3770"/>
      <c r="H76" s="3770"/>
      <c r="I76" s="3770"/>
      <c r="J76" s="3770"/>
      <c r="K76" s="3770"/>
      <c r="L76" s="3770"/>
      <c r="M76" s="125"/>
      <c r="N76" s="125"/>
      <c r="O76" s="3770"/>
      <c r="P76" s="3770"/>
      <c r="Q76" s="3770"/>
      <c r="R76" s="3770"/>
      <c r="S76" s="3770"/>
      <c r="T76" s="3770"/>
      <c r="U76" s="3770"/>
      <c r="V76" s="3770"/>
      <c r="W76" s="125"/>
      <c r="X76" s="125"/>
      <c r="Y76" s="3770"/>
      <c r="Z76" s="3770"/>
      <c r="AA76" s="3770"/>
      <c r="AB76" s="3770"/>
      <c r="AC76" s="3770"/>
      <c r="AD76" s="3770"/>
      <c r="AE76" s="3770"/>
      <c r="AF76" s="3770"/>
      <c r="AG76" s="125"/>
      <c r="AH76" s="125"/>
      <c r="AI76" s="3770"/>
      <c r="AJ76" s="3770"/>
      <c r="AK76" s="3770"/>
      <c r="AL76" s="3770"/>
      <c r="AM76" s="3770"/>
      <c r="AN76" s="3770"/>
      <c r="AO76" s="3770"/>
      <c r="AP76" s="3770"/>
      <c r="AQ76" s="125"/>
      <c r="AR76" s="125"/>
      <c r="AS76" s="3770"/>
      <c r="AT76" s="3770"/>
      <c r="AU76" s="3770"/>
      <c r="AV76" s="3770"/>
      <c r="AW76" s="3770"/>
      <c r="AX76" s="3770"/>
      <c r="AY76" s="3770"/>
      <c r="AZ76" s="3770"/>
      <c r="BA76" s="137"/>
      <c r="BB76" s="125"/>
      <c r="BC76" s="125"/>
      <c r="BE76" s="164"/>
      <c r="BF76" s="3756"/>
      <c r="BG76" s="3756"/>
      <c r="BH76" s="3756"/>
      <c r="BI76" s="3752"/>
      <c r="BJ76" s="3752"/>
      <c r="BK76" s="3752"/>
      <c r="BL76" s="3752"/>
      <c r="BM76" s="3752"/>
      <c r="BN76" s="3752"/>
      <c r="BO76" s="3752"/>
      <c r="BP76" s="3756"/>
      <c r="BQ76" s="3756"/>
      <c r="BR76" s="3756"/>
      <c r="BS76" s="3752"/>
      <c r="BT76" s="3752"/>
      <c r="BU76" s="3752"/>
      <c r="BV76" s="3752"/>
      <c r="BW76" s="3752"/>
      <c r="BX76" s="3752"/>
      <c r="BY76" s="3752"/>
      <c r="BZ76" s="163"/>
      <c r="CD76" s="509" t="str">
        <f t="shared" si="6"/>
        <v/>
      </c>
      <c r="CE76" s="441">
        <f t="shared" si="1"/>
        <v>0</v>
      </c>
      <c r="CF76" s="1553">
        <f t="shared" si="7"/>
        <v>0</v>
      </c>
      <c r="CG76" s="1553"/>
      <c r="CJ76" s="28"/>
      <c r="CK76" s="28"/>
      <c r="CN76" s="509" t="str">
        <f t="shared" si="8"/>
        <v/>
      </c>
      <c r="CO76" s="441">
        <f t="shared" si="3"/>
        <v>0</v>
      </c>
      <c r="CP76" s="1553">
        <f t="shared" si="9"/>
        <v>0</v>
      </c>
    </row>
    <row r="77" spans="1:115" ht="17.100000000000001" customHeight="1" x14ac:dyDescent="0.15">
      <c r="B77" s="125"/>
      <c r="C77" s="125"/>
      <c r="D77" s="138"/>
      <c r="E77" s="3770"/>
      <c r="F77" s="3770"/>
      <c r="G77" s="3770"/>
      <c r="H77" s="3770"/>
      <c r="I77" s="3770"/>
      <c r="J77" s="3770"/>
      <c r="K77" s="3770"/>
      <c r="L77" s="3770"/>
      <c r="M77" s="125"/>
      <c r="N77" s="125"/>
      <c r="O77" s="3770"/>
      <c r="P77" s="3770"/>
      <c r="Q77" s="3770"/>
      <c r="R77" s="3770"/>
      <c r="S77" s="3770"/>
      <c r="T77" s="3770"/>
      <c r="U77" s="3770"/>
      <c r="V77" s="3770"/>
      <c r="W77" s="125"/>
      <c r="X77" s="125"/>
      <c r="Y77" s="3770"/>
      <c r="Z77" s="3770"/>
      <c r="AA77" s="3770"/>
      <c r="AB77" s="3770"/>
      <c r="AC77" s="3770"/>
      <c r="AD77" s="3770"/>
      <c r="AE77" s="3770"/>
      <c r="AF77" s="3770"/>
      <c r="AG77" s="125"/>
      <c r="AH77" s="125"/>
      <c r="AI77" s="3770"/>
      <c r="AJ77" s="3770"/>
      <c r="AK77" s="3770"/>
      <c r="AL77" s="3770"/>
      <c r="AM77" s="3770"/>
      <c r="AN77" s="3770"/>
      <c r="AO77" s="3770"/>
      <c r="AP77" s="3770"/>
      <c r="AQ77" s="125"/>
      <c r="AR77" s="125"/>
      <c r="AS77" s="3770"/>
      <c r="AT77" s="3770"/>
      <c r="AU77" s="3770"/>
      <c r="AV77" s="3770"/>
      <c r="AW77" s="3770"/>
      <c r="AX77" s="3770"/>
      <c r="AY77" s="3770"/>
      <c r="AZ77" s="3770"/>
      <c r="BA77" s="137"/>
      <c r="BB77" s="125"/>
      <c r="BC77" s="125"/>
      <c r="BE77" s="165"/>
      <c r="BF77" s="166"/>
      <c r="BG77" s="166"/>
      <c r="BH77" s="167"/>
      <c r="BI77" s="166"/>
      <c r="BJ77" s="166"/>
      <c r="BK77" s="167"/>
      <c r="BL77" s="166"/>
      <c r="BM77" s="166"/>
      <c r="BN77" s="167"/>
      <c r="BO77" s="166"/>
      <c r="BP77" s="166"/>
      <c r="BQ77" s="167"/>
      <c r="BR77" s="166"/>
      <c r="BS77" s="166"/>
      <c r="BT77" s="167"/>
      <c r="BU77" s="166"/>
      <c r="BV77" s="166"/>
      <c r="BW77" s="167"/>
      <c r="BX77" s="166"/>
      <c r="BY77" s="166"/>
      <c r="BZ77" s="168"/>
      <c r="CF77" s="37"/>
      <c r="CP77" s="37"/>
      <c r="CZ77" s="1552" t="s">
        <v>1099</v>
      </c>
      <c r="DI77" s="1552" t="s">
        <v>1110</v>
      </c>
    </row>
    <row r="78" spans="1:115" ht="17.100000000000001" customHeight="1" x14ac:dyDescent="0.15">
      <c r="B78" s="125"/>
      <c r="C78" s="125"/>
      <c r="D78" s="138"/>
      <c r="E78" s="3770"/>
      <c r="F78" s="3770"/>
      <c r="G78" s="3770"/>
      <c r="H78" s="3770"/>
      <c r="I78" s="3770"/>
      <c r="J78" s="3770"/>
      <c r="K78" s="3770"/>
      <c r="L78" s="3770"/>
      <c r="M78" s="125"/>
      <c r="N78" s="125"/>
      <c r="O78" s="3770"/>
      <c r="P78" s="3770"/>
      <c r="Q78" s="3770"/>
      <c r="R78" s="3770"/>
      <c r="S78" s="3770"/>
      <c r="T78" s="3770"/>
      <c r="U78" s="3770"/>
      <c r="V78" s="3770"/>
      <c r="W78" s="125"/>
      <c r="X78" s="125"/>
      <c r="Y78" s="3770"/>
      <c r="Z78" s="3770"/>
      <c r="AA78" s="3770"/>
      <c r="AB78" s="3770"/>
      <c r="AC78" s="3770"/>
      <c r="AD78" s="3770"/>
      <c r="AE78" s="3770"/>
      <c r="AF78" s="3770"/>
      <c r="AG78" s="125"/>
      <c r="AH78" s="125"/>
      <c r="AI78" s="3770"/>
      <c r="AJ78" s="3770"/>
      <c r="AK78" s="3770"/>
      <c r="AL78" s="3770"/>
      <c r="AM78" s="3770"/>
      <c r="AN78" s="3770"/>
      <c r="AO78" s="3770"/>
      <c r="AP78" s="3770"/>
      <c r="AQ78" s="125"/>
      <c r="AR78" s="125"/>
      <c r="AS78" s="3770"/>
      <c r="AT78" s="3770"/>
      <c r="AU78" s="3770"/>
      <c r="AV78" s="3770"/>
      <c r="AW78" s="3770"/>
      <c r="AX78" s="3770"/>
      <c r="AY78" s="3770"/>
      <c r="AZ78" s="3770"/>
      <c r="BA78" s="137"/>
      <c r="BB78" s="125"/>
      <c r="BC78" s="125"/>
      <c r="BE78" s="159"/>
      <c r="BF78" s="3775"/>
      <c r="BG78" s="3775"/>
      <c r="BH78" s="3775"/>
      <c r="BI78" s="3815"/>
      <c r="BJ78" s="3815"/>
      <c r="BK78" s="3815"/>
      <c r="BL78" s="3815"/>
      <c r="BM78" s="3815"/>
      <c r="BN78" s="3815"/>
      <c r="BO78" s="3815"/>
      <c r="BP78" s="3775"/>
      <c r="BQ78" s="3775"/>
      <c r="BR78" s="3775"/>
      <c r="BS78" s="3814"/>
      <c r="BT78" s="3814"/>
      <c r="BU78" s="3814"/>
      <c r="BV78" s="3814"/>
      <c r="BW78" s="3814"/>
      <c r="BX78" s="3814"/>
      <c r="BY78" s="3814"/>
      <c r="BZ78" s="1564"/>
      <c r="CZ78" s="383">
        <f>SUM(CE69:CE76,CO69:CO76,CE82:CE91,CH82:CH91,CK82:CK91,CN82:CN91,CQ82:CQ91,CT82:CT91,CW82:CW91)</f>
        <v>0</v>
      </c>
      <c r="DI78" s="383">
        <f ca="1">COUNTIF(BE66:BZ92,$DI$72)</f>
        <v>0</v>
      </c>
    </row>
    <row r="79" spans="1:115" ht="17.100000000000001" customHeight="1" x14ac:dyDescent="0.15">
      <c r="B79" s="125"/>
      <c r="C79" s="125"/>
      <c r="D79" s="144"/>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145"/>
      <c r="AC79" s="145"/>
      <c r="AD79" s="145"/>
      <c r="AE79" s="145"/>
      <c r="AF79" s="145"/>
      <c r="AG79" s="145"/>
      <c r="AH79" s="145"/>
      <c r="AI79" s="145"/>
      <c r="AJ79" s="145"/>
      <c r="AK79" s="145"/>
      <c r="AL79" s="145"/>
      <c r="AM79" s="145"/>
      <c r="AN79" s="145"/>
      <c r="AO79" s="145"/>
      <c r="AP79" s="145"/>
      <c r="AQ79" s="145"/>
      <c r="AR79" s="145"/>
      <c r="AS79" s="145"/>
      <c r="AT79" s="145"/>
      <c r="AU79" s="145"/>
      <c r="AV79" s="145"/>
      <c r="AW79" s="145"/>
      <c r="AX79" s="145"/>
      <c r="AY79" s="145"/>
      <c r="AZ79" s="145"/>
      <c r="BA79" s="147"/>
      <c r="BB79" s="125"/>
      <c r="BC79" s="125"/>
      <c r="BE79" s="162"/>
      <c r="BF79" s="3762" t="s">
        <v>1123</v>
      </c>
      <c r="BG79" s="3762"/>
      <c r="BH79" s="3762"/>
      <c r="BI79" s="3762"/>
      <c r="BJ79" s="3762"/>
      <c r="BK79" s="3762"/>
      <c r="BL79" s="3762"/>
      <c r="BM79" s="3762"/>
      <c r="BN79" s="3762"/>
      <c r="BO79" s="3762"/>
      <c r="BP79" s="3762"/>
      <c r="BQ79" s="3762"/>
      <c r="BR79" s="3762"/>
      <c r="BS79" s="3762"/>
      <c r="BT79" s="3762"/>
      <c r="BU79" s="3762"/>
      <c r="BV79" s="3762"/>
      <c r="BW79" s="3762"/>
      <c r="BX79" s="3762"/>
      <c r="BY79" s="3762"/>
      <c r="BZ79" s="163"/>
      <c r="CB79" s="28"/>
      <c r="CC79" s="28"/>
      <c r="CG79" s="28"/>
      <c r="CH79" s="28"/>
      <c r="CM79" s="28"/>
      <c r="CN79" s="28"/>
      <c r="CO79" s="28"/>
      <c r="CP79" s="28"/>
      <c r="CQ79" s="28"/>
      <c r="CR79" s="28"/>
      <c r="CS79" s="28"/>
    </row>
    <row r="80" spans="1:115" ht="17.100000000000001" customHeight="1" x14ac:dyDescent="0.15">
      <c r="B80" s="125"/>
      <c r="C80" s="125"/>
      <c r="D80" s="125"/>
      <c r="E80" s="125"/>
      <c r="F80" s="125"/>
      <c r="G80" s="125"/>
      <c r="H80" s="125"/>
      <c r="I80" s="125"/>
      <c r="J80" s="125"/>
      <c r="K80" s="125"/>
      <c r="L80" s="125"/>
      <c r="M80" s="125"/>
      <c r="N80" s="125"/>
      <c r="O80" s="125"/>
      <c r="P80" s="125"/>
      <c r="Q80" s="125"/>
      <c r="R80" s="125"/>
      <c r="S80" s="125"/>
      <c r="T80" s="125"/>
      <c r="U80" s="125"/>
      <c r="V80" s="125"/>
      <c r="W80" s="125"/>
      <c r="X80" s="125"/>
      <c r="Y80" s="125"/>
      <c r="Z80" s="125"/>
      <c r="AA80" s="125"/>
      <c r="AB80" s="125"/>
      <c r="AC80" s="125"/>
      <c r="AD80" s="125"/>
      <c r="AE80" s="125"/>
      <c r="AF80" s="125"/>
      <c r="AG80" s="125"/>
      <c r="AH80" s="125"/>
      <c r="AI80" s="125"/>
      <c r="AJ80" s="125"/>
      <c r="AK80" s="125"/>
      <c r="AL80" s="125"/>
      <c r="AM80" s="125"/>
      <c r="AN80" s="125"/>
      <c r="AO80" s="125"/>
      <c r="AP80" s="125"/>
      <c r="AQ80" s="125"/>
      <c r="AR80" s="125"/>
      <c r="AS80" s="125"/>
      <c r="AT80" s="125"/>
      <c r="AU80" s="125"/>
      <c r="AV80" s="125"/>
      <c r="AW80" s="125"/>
      <c r="AX80" s="125"/>
      <c r="AY80" s="125"/>
      <c r="AZ80" s="125"/>
      <c r="BA80" s="125"/>
      <c r="BB80" s="125"/>
      <c r="BC80" s="125"/>
      <c r="BE80" s="164"/>
      <c r="BF80" s="1561"/>
      <c r="BG80" s="1561"/>
      <c r="BH80" s="1561"/>
      <c r="BI80" s="1561"/>
      <c r="BJ80" s="1561"/>
      <c r="BK80" s="1561"/>
      <c r="BL80" s="1561"/>
      <c r="BM80" s="1561"/>
      <c r="BN80" s="1561"/>
      <c r="BO80" s="1561"/>
      <c r="BP80" s="1561"/>
      <c r="BQ80" s="1561"/>
      <c r="BR80" s="1561"/>
      <c r="BS80" s="1561"/>
      <c r="BT80" s="1561"/>
      <c r="BU80" s="1563"/>
      <c r="BV80" s="1563"/>
      <c r="BW80" s="1563"/>
      <c r="BX80" s="1563"/>
      <c r="BY80" s="1563"/>
      <c r="BZ80" s="163"/>
      <c r="CA80" s="169"/>
      <c r="CB80" s="28"/>
      <c r="CC80" s="28"/>
      <c r="CD80" s="37" t="s">
        <v>1104</v>
      </c>
      <c r="CG80" s="28"/>
      <c r="CH80" s="28"/>
      <c r="CM80" s="28"/>
      <c r="CN80" s="28"/>
      <c r="CO80" s="28"/>
      <c r="CP80" s="28"/>
      <c r="CQ80" s="28"/>
      <c r="CR80" s="28"/>
      <c r="CS80" s="28"/>
      <c r="CZ80" s="37" t="s">
        <v>1105</v>
      </c>
      <c r="DI80" s="37" t="s">
        <v>1109</v>
      </c>
    </row>
    <row r="81" spans="2:113" ht="17.100000000000001" customHeight="1" x14ac:dyDescent="0.15">
      <c r="B81" s="125"/>
      <c r="C81" s="125"/>
      <c r="D81" s="125"/>
      <c r="E81" s="125"/>
      <c r="F81" s="125"/>
      <c r="G81" s="125"/>
      <c r="H81" s="125"/>
      <c r="I81" s="125"/>
      <c r="J81" s="125"/>
      <c r="K81" s="125"/>
      <c r="L81" s="125"/>
      <c r="M81" s="125"/>
      <c r="N81" s="125"/>
      <c r="O81" s="125"/>
      <c r="P81" s="125"/>
      <c r="Q81" s="125"/>
      <c r="R81" s="125"/>
      <c r="S81" s="125"/>
      <c r="T81" s="125"/>
      <c r="U81" s="125"/>
      <c r="V81" s="125"/>
      <c r="W81" s="125"/>
      <c r="X81" s="125"/>
      <c r="Y81" s="125"/>
      <c r="Z81" s="125"/>
      <c r="AA81" s="125"/>
      <c r="AB81" s="125"/>
      <c r="AC81" s="125"/>
      <c r="AD81" s="125"/>
      <c r="AE81" s="125"/>
      <c r="AF81" s="125"/>
      <c r="AG81" s="125"/>
      <c r="AH81" s="125"/>
      <c r="AI81" s="125"/>
      <c r="AJ81" s="125"/>
      <c r="AK81" s="125"/>
      <c r="AL81" s="125"/>
      <c r="AM81" s="125"/>
      <c r="AN81" s="125"/>
      <c r="AO81" s="125"/>
      <c r="AP81" s="125"/>
      <c r="AQ81" s="125"/>
      <c r="AR81" s="125"/>
      <c r="AS81" s="125"/>
      <c r="AT81" s="125"/>
      <c r="AU81" s="125"/>
      <c r="AV81" s="125"/>
      <c r="AW81" s="125"/>
      <c r="AX81" s="125"/>
      <c r="AY81" s="125"/>
      <c r="AZ81" s="125"/>
      <c r="BA81" s="125"/>
      <c r="BB81" s="125"/>
      <c r="BC81" s="125"/>
      <c r="BE81" s="1559" t="s">
        <v>1115</v>
      </c>
      <c r="BF81" s="1561"/>
      <c r="BG81" s="1562" t="s">
        <v>48</v>
      </c>
      <c r="BH81" s="1561"/>
      <c r="BI81" s="1561"/>
      <c r="BJ81" s="1562" t="s">
        <v>49</v>
      </c>
      <c r="BK81" s="1561"/>
      <c r="BL81" s="1561"/>
      <c r="BM81" s="1562" t="s">
        <v>50</v>
      </c>
      <c r="BN81" s="1561"/>
      <c r="BO81" s="1561"/>
      <c r="BP81" s="1562" t="s">
        <v>51</v>
      </c>
      <c r="BQ81" s="1561"/>
      <c r="BR81" s="1561"/>
      <c r="BS81" s="1562" t="s">
        <v>52</v>
      </c>
      <c r="BT81" s="1561"/>
      <c r="BV81" s="1562" t="s">
        <v>53</v>
      </c>
      <c r="BW81" s="1563"/>
      <c r="BY81" s="1562" t="s">
        <v>54</v>
      </c>
      <c r="BZ81" s="163"/>
      <c r="CA81" s="169"/>
      <c r="CB81" s="28"/>
      <c r="CC81" s="28"/>
      <c r="CE81" s="28"/>
      <c r="CF81" s="28"/>
      <c r="CG81" s="28"/>
      <c r="CH81" s="28"/>
      <c r="CI81" s="28"/>
      <c r="CJ81" s="28"/>
      <c r="CK81" s="28"/>
      <c r="CL81" s="28"/>
      <c r="CM81" s="28"/>
      <c r="CN81" s="28"/>
      <c r="CO81" s="28"/>
      <c r="CP81" s="28"/>
      <c r="CQ81" s="28"/>
      <c r="CR81" s="28"/>
      <c r="CS81" s="28"/>
      <c r="CZ81" s="383">
        <f>SUM(CZ82:CZ91)</f>
        <v>0</v>
      </c>
      <c r="DI81" s="383" t="e">
        <f ca="1">SUM(DI82:DI91)</f>
        <v>#VALUE!</v>
      </c>
    </row>
    <row r="82" spans="2:113" ht="17.100000000000001" customHeight="1" x14ac:dyDescent="0.25">
      <c r="B82" s="125"/>
      <c r="C82" s="125"/>
      <c r="D82" s="131"/>
      <c r="E82" s="132"/>
      <c r="F82" s="132"/>
      <c r="G82" s="132"/>
      <c r="H82" s="132"/>
      <c r="I82" s="132"/>
      <c r="J82" s="132"/>
      <c r="K82" s="132"/>
      <c r="L82" s="132"/>
      <c r="M82" s="132"/>
      <c r="N82" s="132"/>
      <c r="O82" s="132"/>
      <c r="P82" s="132"/>
      <c r="Q82" s="132"/>
      <c r="R82" s="132"/>
      <c r="S82" s="132"/>
      <c r="T82" s="132"/>
      <c r="U82" s="132"/>
      <c r="V82" s="132"/>
      <c r="W82" s="132"/>
      <c r="X82" s="132"/>
      <c r="Y82" s="132"/>
      <c r="Z82" s="132"/>
      <c r="AA82" s="132"/>
      <c r="AB82" s="132"/>
      <c r="AC82" s="132"/>
      <c r="AD82" s="132"/>
      <c r="AE82" s="132"/>
      <c r="AF82" s="132"/>
      <c r="AG82" s="132"/>
      <c r="AH82" s="132"/>
      <c r="AI82" s="132"/>
      <c r="AJ82" s="132"/>
      <c r="AK82" s="132"/>
      <c r="AL82" s="132"/>
      <c r="AM82" s="132"/>
      <c r="AN82" s="132"/>
      <c r="AO82" s="132"/>
      <c r="AP82" s="132"/>
      <c r="AQ82" s="132"/>
      <c r="AR82" s="132"/>
      <c r="AS82" s="132"/>
      <c r="AT82" s="132"/>
      <c r="AU82" s="132"/>
      <c r="AV82" s="132"/>
      <c r="AW82" s="132"/>
      <c r="AX82" s="132"/>
      <c r="AY82" s="132"/>
      <c r="AZ82" s="132"/>
      <c r="BA82" s="133"/>
      <c r="BB82" s="125"/>
      <c r="BC82" s="125"/>
      <c r="BE82" s="1560">
        <v>1</v>
      </c>
      <c r="BF82" s="3756"/>
      <c r="BG82" s="3756"/>
      <c r="BH82" s="3756"/>
      <c r="BI82" s="3756"/>
      <c r="BJ82" s="3756"/>
      <c r="BK82" s="3756"/>
      <c r="BL82" s="3756"/>
      <c r="BM82" s="3756"/>
      <c r="BN82" s="3756"/>
      <c r="BO82" s="3756"/>
      <c r="BP82" s="3756"/>
      <c r="BQ82" s="3756"/>
      <c r="BR82" s="3756"/>
      <c r="BS82" s="3756"/>
      <c r="BT82" s="3756"/>
      <c r="BU82" s="3756"/>
      <c r="BV82" s="3756"/>
      <c r="BW82" s="3756"/>
      <c r="BX82" s="3756"/>
      <c r="BY82" s="3756"/>
      <c r="BZ82" s="3812"/>
      <c r="CA82" s="169"/>
      <c r="CB82" s="28"/>
      <c r="CC82" s="28"/>
      <c r="CD82" s="509" t="str">
        <f t="shared" ref="CD82" si="10">IF(BF82="","",MONTH(BF82))</f>
        <v/>
      </c>
      <c r="CE82" s="441">
        <f t="shared" ref="CE82:CE91" si="11">IF(CD82=$C$1,1,0)</f>
        <v>0</v>
      </c>
      <c r="CF82" s="28"/>
      <c r="CG82" s="509" t="str">
        <f t="shared" ref="CG82" si="12">IF(BI82="","",MONTH(BI82))</f>
        <v/>
      </c>
      <c r="CH82" s="441">
        <f t="shared" ref="CH82:CH91" si="13">IF(CG82=$C$1,1,0)</f>
        <v>0</v>
      </c>
      <c r="CI82" s="28"/>
      <c r="CJ82" s="509" t="str">
        <f t="shared" ref="CJ82" si="14">IF(BL82="","",MONTH(BL82))</f>
        <v/>
      </c>
      <c r="CK82" s="441">
        <f t="shared" ref="CK82:CK91" si="15">IF(CJ82=$C$1,1,0)</f>
        <v>0</v>
      </c>
      <c r="CL82" s="28"/>
      <c r="CM82" s="509" t="str">
        <f t="shared" ref="CM82" si="16">IF(BO82="","",MONTH(BO82))</f>
        <v/>
      </c>
      <c r="CN82" s="441">
        <f t="shared" ref="CN82:CN91" si="17">IF(CM82=$C$1,1,0)</f>
        <v>0</v>
      </c>
      <c r="CO82" s="28"/>
      <c r="CP82" s="509" t="str">
        <f t="shared" ref="CP82" si="18">IF(BR82="","",MONTH(BR82))</f>
        <v/>
      </c>
      <c r="CQ82" s="441">
        <f t="shared" ref="CQ82:CQ91" si="19">IF(CP82=$C$1,1,0)</f>
        <v>0</v>
      </c>
      <c r="CR82" s="28"/>
      <c r="CS82" s="509" t="str">
        <f t="shared" ref="CS82" si="20">IF(BU82="","",MONTH(BU82))</f>
        <v/>
      </c>
      <c r="CT82" s="441">
        <f t="shared" ref="CT82:CT91" si="21">IF(CS82=$C$1,1,0)</f>
        <v>0</v>
      </c>
      <c r="CV82" s="509" t="str">
        <f t="shared" ref="CV82" si="22">IF(BX82="","",MONTH(BX82))</f>
        <v/>
      </c>
      <c r="CW82" s="441">
        <f t="shared" ref="CW82:CW91" si="23">IF(CV82=$C$1,1,0)</f>
        <v>0</v>
      </c>
      <c r="CZ82" s="441">
        <f>IF(SUM(CE82,CH82,CK82,CN82,CQ82,CT82,CW82)&gt;=5,1,0)</f>
        <v>0</v>
      </c>
      <c r="DA82" s="510"/>
      <c r="DG82" s="1553">
        <f>IF(COUNT(BF82:BZ82)&gt;=5,1,0)</f>
        <v>0</v>
      </c>
      <c r="DH82" s="1553" t="e" cm="1">
        <f t="array" aca="1" ref="DH82" ca="1">_xlfn.IFS(
AND($DI$74=1,OR(COUNTIF(BF82:BZ82,$DI$72+1)=1,COUNTIF(BF82:BZ82,$DI$72+2)=1)),1,
AND($DI$74=2,OR(COUNTIF(BF82:BZ82,$DI$72-1)=1,COUNTIF(BF82:BZ82,$DI$72+1)=1)),1,
AND($DI$74=3,OR(COUNTIF(BF82:BZ82,$DI$72-1)=1,COUNTIF(BF82:BZ82,$DI$72+1)=1)),1,
AND($DI$74=4,OR(COUNTIF(BF82:BZ82,$DI$72-1)=1,COUNTIF(BF82:BZ82,$DI$72+1)=1)),1,
AND($DI$74=5,OR(COUNTIF(BF82:BZ82,$DI$72-1)=1,COUNTIF(BF82:BZ82,$DI$72+1)=1)),1,
AND($DI$74=6,OR(COUNTIF(BF82:BZ82,$DI$72-1)=1,COUNTIF(BF82:BZ82,$DI$72+1)=1)),1,
AND($DI$74=7,OR(COUNTIF(BF82:BZ82,$DI$72-1)=1,COUNTIF(BF82:BZ82,$DI$72-2)=1)),1,
TRUE,0)</f>
        <v>#VALUE!</v>
      </c>
      <c r="DI82" s="441" t="e">
        <f t="shared" ref="DI82:DI90" ca="1" si="24">IF(AND(DG82=1,DH82=1),1,0)</f>
        <v>#VALUE!</v>
      </c>
    </row>
    <row r="83" spans="2:113" ht="17.100000000000001" customHeight="1" x14ac:dyDescent="0.25">
      <c r="B83" s="125"/>
      <c r="C83" s="125"/>
      <c r="D83" s="138"/>
      <c r="E83" s="2545" cm="1">
        <f t="array" ref="E83">_xlfn.IFS(AND('^'!$BK$55&gt;=PLANS!G83,'^'!$BK$55&lt;=PLANS!J83),1,'^'!$BK$55&gt;PLANS!J83,0,TRUE,2)</f>
        <v>0</v>
      </c>
      <c r="F83" s="2546"/>
      <c r="G83" s="2547">
        <v>2000</v>
      </c>
      <c r="H83" s="2546"/>
      <c r="I83" s="2546"/>
      <c r="J83" s="2547">
        <v>2009</v>
      </c>
      <c r="K83" s="2546"/>
      <c r="L83" s="2546"/>
      <c r="M83" s="2548"/>
      <c r="N83" s="2548"/>
      <c r="O83" s="2545" cm="1">
        <f t="array" ref="O83">_xlfn.IFS(AND('^'!$BK$55&gt;=PLANS!Q83,'^'!$BK$55&lt;=PLANS!T83),1,'^'!$BK$55&gt;PLANS!T83,0,TRUE,2)</f>
        <v>0</v>
      </c>
      <c r="P83" s="2546"/>
      <c r="Q83" s="2547">
        <v>2010</v>
      </c>
      <c r="R83" s="2546"/>
      <c r="S83" s="2546"/>
      <c r="T83" s="2547">
        <v>2019</v>
      </c>
      <c r="U83" s="2546"/>
      <c r="V83" s="2546"/>
      <c r="W83" s="2548"/>
      <c r="X83" s="2548"/>
      <c r="Y83" s="2545" cm="1">
        <f t="array" ref="Y83">_xlfn.IFS(AND('^'!$BK$55&gt;=PLANS!AA83,'^'!$BK$55&lt;=PLANS!AD83),1,'^'!$BK$55&gt;PLANS!AD83,0,TRUE,2)</f>
        <v>0</v>
      </c>
      <c r="Z83" s="2546"/>
      <c r="AA83" s="2547">
        <v>2020</v>
      </c>
      <c r="AB83" s="2546"/>
      <c r="AC83" s="2546"/>
      <c r="AD83" s="2547">
        <v>2029</v>
      </c>
      <c r="AE83" s="2546"/>
      <c r="AF83" s="2546"/>
      <c r="AG83" s="2548"/>
      <c r="AH83" s="2548"/>
      <c r="AI83" s="2545" cm="1">
        <f t="array" ref="AI83">_xlfn.IFS(AND('^'!$BK$55&gt;=PLANS!AK83,'^'!$BK$55&lt;=PLANS!AN83),1,'^'!$BK$55&gt;PLANS!AN83,0,TRUE,2)</f>
        <v>0</v>
      </c>
      <c r="AJ83" s="2546"/>
      <c r="AK83" s="2547">
        <v>2030</v>
      </c>
      <c r="AL83" s="2546"/>
      <c r="AM83" s="2546"/>
      <c r="AN83" s="2547">
        <v>2039</v>
      </c>
      <c r="AO83" s="2546"/>
      <c r="AP83" s="2546"/>
      <c r="AQ83" s="2548"/>
      <c r="AR83" s="2548"/>
      <c r="AS83" s="2545" cm="1">
        <f t="array" ref="AS83">_xlfn.IFS(AND('^'!$BK$55&gt;=PLANS!AU83,'^'!$BK$55&lt;=PLANS!AX83),1,'^'!$BK$55&gt;PLANS!AX83,0,TRUE,2)</f>
        <v>0</v>
      </c>
      <c r="AT83" s="2546"/>
      <c r="AU83" s="2547">
        <v>2040</v>
      </c>
      <c r="AV83" s="2546"/>
      <c r="AW83" s="2546"/>
      <c r="AX83" s="2547">
        <v>2049</v>
      </c>
      <c r="AY83" s="2546"/>
      <c r="AZ83" s="2546"/>
      <c r="BA83" s="137"/>
      <c r="BB83" s="125"/>
      <c r="BC83" s="125"/>
      <c r="BE83" s="1560">
        <v>2</v>
      </c>
      <c r="BF83" s="3756"/>
      <c r="BG83" s="3756"/>
      <c r="BH83" s="3756"/>
      <c r="BI83" s="3756"/>
      <c r="BJ83" s="3756"/>
      <c r="BK83" s="3756"/>
      <c r="BL83" s="3756"/>
      <c r="BM83" s="3756"/>
      <c r="BN83" s="3756"/>
      <c r="BO83" s="3756"/>
      <c r="BP83" s="3756"/>
      <c r="BQ83" s="3756"/>
      <c r="BR83" s="3756"/>
      <c r="BS83" s="3756"/>
      <c r="BT83" s="3756"/>
      <c r="BU83" s="3756"/>
      <c r="BV83" s="3756"/>
      <c r="BW83" s="3756"/>
      <c r="BX83" s="3756"/>
      <c r="BY83" s="3756"/>
      <c r="BZ83" s="3812"/>
      <c r="CB83" s="28"/>
      <c r="CC83" s="28"/>
      <c r="CD83" s="509" t="str">
        <f t="shared" ref="CD83:CD89" si="25">IF(BF83="","",MONTH(BF83))</f>
        <v/>
      </c>
      <c r="CE83" s="441">
        <f t="shared" si="11"/>
        <v>0</v>
      </c>
      <c r="CF83" s="28"/>
      <c r="CG83" s="509" t="str">
        <f t="shared" ref="CG83:CG89" si="26">IF(BI83="","",MONTH(BI83))</f>
        <v/>
      </c>
      <c r="CH83" s="441">
        <f t="shared" si="13"/>
        <v>0</v>
      </c>
      <c r="CI83" s="28"/>
      <c r="CJ83" s="509" t="str">
        <f t="shared" ref="CJ83:CJ89" si="27">IF(BL83="","",MONTH(BL83))</f>
        <v/>
      </c>
      <c r="CK83" s="441">
        <f t="shared" si="15"/>
        <v>0</v>
      </c>
      <c r="CL83" s="28"/>
      <c r="CM83" s="509" t="str">
        <f t="shared" ref="CM83:CM89" si="28">IF(BO83="","",MONTH(BO83))</f>
        <v/>
      </c>
      <c r="CN83" s="441">
        <f t="shared" si="17"/>
        <v>0</v>
      </c>
      <c r="CO83" s="28"/>
      <c r="CP83" s="509" t="str">
        <f t="shared" ref="CP83:CP89" si="29">IF(BR83="","",MONTH(BR83))</f>
        <v/>
      </c>
      <c r="CQ83" s="441">
        <f t="shared" si="19"/>
        <v>0</v>
      </c>
      <c r="CR83" s="28"/>
      <c r="CS83" s="509" t="str">
        <f t="shared" ref="CS83:CS89" si="30">IF(BU83="","",MONTH(BU83))</f>
        <v/>
      </c>
      <c r="CT83" s="441">
        <f t="shared" si="21"/>
        <v>0</v>
      </c>
      <c r="CV83" s="509" t="str">
        <f t="shared" ref="CV83:CV89" si="31">IF(BX83="","",MONTH(BX83))</f>
        <v/>
      </c>
      <c r="CW83" s="441">
        <f t="shared" si="23"/>
        <v>0</v>
      </c>
      <c r="CZ83" s="441">
        <f t="shared" ref="CZ83:CZ91" si="32">IF(SUM(CE83,CH83,CK83,CN83,CQ83,CT83,CW83)&gt;=5,1,0)</f>
        <v>0</v>
      </c>
      <c r="DA83" s="510"/>
      <c r="DG83" s="1553">
        <f t="shared" ref="DG83:DG91" si="33">IF(COUNT(BF83:BZ83)&gt;=5,1,0)</f>
        <v>0</v>
      </c>
      <c r="DH83" s="1553" t="e" cm="1">
        <f t="array" aca="1" ref="DH83" ca="1">_xlfn.IFS(
AND($DI$74=1,OR(COUNTIF(BF83:BZ83,$DI$72+1)=1,COUNTIF(BF83:BZ83,$DI$72+2)=1)),1,
AND($DI$74=2,OR(COUNTIF(BF83:BZ83,$DI$72-1)=1,COUNTIF(BF83:BZ83,$DI$72+1)=1)),1,
AND($DI$74=3,OR(COUNTIF(BF83:BZ83,$DI$72-1)=1,COUNTIF(BF83:BZ83,$DI$72+1)=1)),1,
AND($DI$74=4,OR(COUNTIF(BF83:BZ83,$DI$72-1)=1,COUNTIF(BF83:BZ83,$DI$72+1)=1)),1,
AND($DI$74=5,OR(COUNTIF(BF83:BZ83,$DI$72-1)=1,COUNTIF(BF83:BZ83,$DI$72+1)=1)),1,
AND($DI$74=6,OR(COUNTIF(BF83:BZ83,$DI$72-1)=1,COUNTIF(BF83:BZ83,$DI$72+1)=1)),1,
AND($DI$74=7,OR(COUNTIF(BF83:BZ83,$DI$72-1)=1,COUNTIF(BF83:BZ83,$DI$72-2)=1)),1,
TRUE,0)</f>
        <v>#VALUE!</v>
      </c>
      <c r="DI83" s="441" t="e">
        <f t="shared" ca="1" si="24"/>
        <v>#VALUE!</v>
      </c>
    </row>
    <row r="84" spans="2:113" ht="17.100000000000001" customHeight="1" x14ac:dyDescent="0.25">
      <c r="B84" s="125"/>
      <c r="C84" s="125"/>
      <c r="D84" s="138"/>
      <c r="E84" s="3771" t="s">
        <v>1634</v>
      </c>
      <c r="F84" s="3771"/>
      <c r="G84" s="3771"/>
      <c r="H84" s="3771"/>
      <c r="I84" s="3771"/>
      <c r="J84" s="3771"/>
      <c r="K84" s="3771"/>
      <c r="L84" s="3771"/>
      <c r="M84" s="125"/>
      <c r="N84" s="125"/>
      <c r="O84" s="3771" t="s">
        <v>1635</v>
      </c>
      <c r="P84" s="3771"/>
      <c r="Q84" s="3771"/>
      <c r="R84" s="3771"/>
      <c r="S84" s="3771"/>
      <c r="T84" s="3771"/>
      <c r="U84" s="3771"/>
      <c r="V84" s="3771"/>
      <c r="W84" s="125"/>
      <c r="X84" s="125"/>
      <c r="Y84" s="3771" t="s">
        <v>1636</v>
      </c>
      <c r="Z84" s="3771"/>
      <c r="AA84" s="3771"/>
      <c r="AB84" s="3771"/>
      <c r="AC84" s="3771"/>
      <c r="AD84" s="3771"/>
      <c r="AE84" s="3771"/>
      <c r="AF84" s="3771"/>
      <c r="AG84" s="125"/>
      <c r="AH84" s="125"/>
      <c r="AI84" s="3771" t="s">
        <v>1637</v>
      </c>
      <c r="AJ84" s="3771"/>
      <c r="AK84" s="3771"/>
      <c r="AL84" s="3771"/>
      <c r="AM84" s="3771"/>
      <c r="AN84" s="3771"/>
      <c r="AO84" s="3771"/>
      <c r="AP84" s="3771"/>
      <c r="AQ84" s="125"/>
      <c r="AR84" s="125"/>
      <c r="AS84" s="3771" t="s">
        <v>1638</v>
      </c>
      <c r="AT84" s="3771"/>
      <c r="AU84" s="3771"/>
      <c r="AV84" s="3771"/>
      <c r="AW84" s="3771"/>
      <c r="AX84" s="3771"/>
      <c r="AY84" s="3771"/>
      <c r="AZ84" s="3771"/>
      <c r="BA84" s="137"/>
      <c r="BB84" s="125"/>
      <c r="BC84" s="125"/>
      <c r="BE84" s="1560">
        <v>3</v>
      </c>
      <c r="BF84" s="3756"/>
      <c r="BG84" s="3756"/>
      <c r="BH84" s="3756"/>
      <c r="BI84" s="3756"/>
      <c r="BJ84" s="3756"/>
      <c r="BK84" s="3756"/>
      <c r="BL84" s="3756"/>
      <c r="BM84" s="3756"/>
      <c r="BN84" s="3756"/>
      <c r="BO84" s="3756"/>
      <c r="BP84" s="3756"/>
      <c r="BQ84" s="3756"/>
      <c r="BR84" s="3756"/>
      <c r="BS84" s="3756"/>
      <c r="BT84" s="3756"/>
      <c r="BU84" s="3756"/>
      <c r="BV84" s="3756"/>
      <c r="BW84" s="3756"/>
      <c r="BX84" s="3756"/>
      <c r="BY84" s="3756"/>
      <c r="BZ84" s="3812"/>
      <c r="CA84" s="169"/>
      <c r="CB84" s="28"/>
      <c r="CC84" s="28"/>
      <c r="CD84" s="509" t="str">
        <f t="shared" si="25"/>
        <v/>
      </c>
      <c r="CE84" s="441">
        <f t="shared" si="11"/>
        <v>0</v>
      </c>
      <c r="CF84" s="28"/>
      <c r="CG84" s="509" t="str">
        <f t="shared" si="26"/>
        <v/>
      </c>
      <c r="CH84" s="441">
        <f t="shared" si="13"/>
        <v>0</v>
      </c>
      <c r="CI84" s="28"/>
      <c r="CJ84" s="509" t="str">
        <f t="shared" si="27"/>
        <v/>
      </c>
      <c r="CK84" s="441">
        <f t="shared" si="15"/>
        <v>0</v>
      </c>
      <c r="CL84" s="28"/>
      <c r="CM84" s="509" t="str">
        <f t="shared" si="28"/>
        <v/>
      </c>
      <c r="CN84" s="441">
        <f t="shared" si="17"/>
        <v>0</v>
      </c>
      <c r="CO84" s="28"/>
      <c r="CP84" s="509" t="str">
        <f t="shared" si="29"/>
        <v/>
      </c>
      <c r="CQ84" s="441">
        <f t="shared" si="19"/>
        <v>0</v>
      </c>
      <c r="CR84" s="28"/>
      <c r="CS84" s="509" t="str">
        <f t="shared" si="30"/>
        <v/>
      </c>
      <c r="CT84" s="441">
        <f t="shared" si="21"/>
        <v>0</v>
      </c>
      <c r="CV84" s="509" t="str">
        <f t="shared" si="31"/>
        <v/>
      </c>
      <c r="CW84" s="441">
        <f t="shared" si="23"/>
        <v>0</v>
      </c>
      <c r="CZ84" s="441">
        <f t="shared" si="32"/>
        <v>0</v>
      </c>
      <c r="DA84" s="1555" t="s">
        <v>1107</v>
      </c>
      <c r="DG84" s="1553">
        <f t="shared" si="33"/>
        <v>0</v>
      </c>
      <c r="DH84" s="1553" t="e" cm="1">
        <f t="array" aca="1" ref="DH84" ca="1">_xlfn.IFS(
AND($DI$74=1,OR(COUNTIF(BF84:BZ84,$DI$72+1)=1,COUNTIF(BF84:BZ84,$DI$72+2)=1)),1,
AND($DI$74=2,OR(COUNTIF(BF84:BZ84,$DI$72-1)=1,COUNTIF(BF84:BZ84,$DI$72+1)=1)),1,
AND($DI$74=3,OR(COUNTIF(BF84:BZ84,$DI$72-1)=1,COUNTIF(BF84:BZ84,$DI$72+1)=1)),1,
AND($DI$74=4,OR(COUNTIF(BF84:BZ84,$DI$72-1)=1,COUNTIF(BF84:BZ84,$DI$72+1)=1)),1,
AND($DI$74=5,OR(COUNTIF(BF84:BZ84,$DI$72-1)=1,COUNTIF(BF84:BZ84,$DI$72+1)=1)),1,
AND($DI$74=6,OR(COUNTIF(BF84:BZ84,$DI$72-1)=1,COUNTIF(BF84:BZ84,$DI$72+1)=1)),1,
AND($DI$74=7,OR(COUNTIF(BF84:BZ84,$DI$72-1)=1,COUNTIF(BF84:BZ84,$DI$72-2)=1)),1,
TRUE,0)</f>
        <v>#VALUE!</v>
      </c>
      <c r="DI84" s="441" t="e">
        <f t="shared" ca="1" si="24"/>
        <v>#VALUE!</v>
      </c>
    </row>
    <row r="85" spans="2:113" ht="17.100000000000001" customHeight="1" x14ac:dyDescent="0.25">
      <c r="B85" s="125"/>
      <c r="C85" s="125"/>
      <c r="D85" s="138"/>
      <c r="E85" s="3770"/>
      <c r="F85" s="3770"/>
      <c r="G85" s="3770"/>
      <c r="H85" s="3770"/>
      <c r="I85" s="3770"/>
      <c r="J85" s="3770"/>
      <c r="K85" s="3770"/>
      <c r="L85" s="3770"/>
      <c r="M85" s="125"/>
      <c r="N85" s="125"/>
      <c r="O85" s="3770"/>
      <c r="P85" s="3770"/>
      <c r="Q85" s="3770"/>
      <c r="R85" s="3770"/>
      <c r="S85" s="3770"/>
      <c r="T85" s="3770"/>
      <c r="U85" s="3770"/>
      <c r="V85" s="3770"/>
      <c r="W85" s="125"/>
      <c r="X85" s="125"/>
      <c r="Y85" s="3770"/>
      <c r="Z85" s="3770"/>
      <c r="AA85" s="3770"/>
      <c r="AB85" s="3770"/>
      <c r="AC85" s="3770"/>
      <c r="AD85" s="3770"/>
      <c r="AE85" s="3770"/>
      <c r="AF85" s="3770"/>
      <c r="AG85" s="125"/>
      <c r="AH85" s="125"/>
      <c r="AI85" s="3770"/>
      <c r="AJ85" s="3770"/>
      <c r="AK85" s="3770"/>
      <c r="AL85" s="3770"/>
      <c r="AM85" s="3770"/>
      <c r="AN85" s="3770"/>
      <c r="AO85" s="3770"/>
      <c r="AP85" s="3770"/>
      <c r="AQ85" s="125"/>
      <c r="AR85" s="125"/>
      <c r="AS85" s="3770"/>
      <c r="AT85" s="3770"/>
      <c r="AU85" s="3770"/>
      <c r="AV85" s="3770"/>
      <c r="AW85" s="3770"/>
      <c r="AX85" s="3770"/>
      <c r="AY85" s="3770"/>
      <c r="AZ85" s="3770"/>
      <c r="BA85" s="137"/>
      <c r="BB85" s="125"/>
      <c r="BC85" s="125"/>
      <c r="BE85" s="1560">
        <v>4</v>
      </c>
      <c r="BF85" s="3756"/>
      <c r="BG85" s="3756"/>
      <c r="BH85" s="3756"/>
      <c r="BI85" s="3756"/>
      <c r="BJ85" s="3756"/>
      <c r="BK85" s="3756"/>
      <c r="BL85" s="3756"/>
      <c r="BM85" s="3756"/>
      <c r="BN85" s="3756"/>
      <c r="BO85" s="3756"/>
      <c r="BP85" s="3756"/>
      <c r="BQ85" s="3756"/>
      <c r="BR85" s="3756"/>
      <c r="BS85" s="3756"/>
      <c r="BT85" s="3756"/>
      <c r="BU85" s="3756"/>
      <c r="BV85" s="3756"/>
      <c r="BW85" s="3756"/>
      <c r="BX85" s="3756"/>
      <c r="BY85" s="3756"/>
      <c r="BZ85" s="3812"/>
      <c r="CA85" s="169"/>
      <c r="CB85" s="28"/>
      <c r="CC85" s="28"/>
      <c r="CD85" s="509" t="str">
        <f t="shared" si="25"/>
        <v/>
      </c>
      <c r="CE85" s="441">
        <f t="shared" si="11"/>
        <v>0</v>
      </c>
      <c r="CF85" s="28"/>
      <c r="CG85" s="509" t="str">
        <f t="shared" si="26"/>
        <v/>
      </c>
      <c r="CH85" s="441">
        <f t="shared" si="13"/>
        <v>0</v>
      </c>
      <c r="CI85" s="28"/>
      <c r="CJ85" s="509" t="str">
        <f t="shared" si="27"/>
        <v/>
      </c>
      <c r="CK85" s="441">
        <f t="shared" si="15"/>
        <v>0</v>
      </c>
      <c r="CL85" s="28"/>
      <c r="CM85" s="509" t="str">
        <f t="shared" si="28"/>
        <v/>
      </c>
      <c r="CN85" s="441">
        <f t="shared" si="17"/>
        <v>0</v>
      </c>
      <c r="CO85" s="28"/>
      <c r="CP85" s="509" t="str">
        <f t="shared" si="29"/>
        <v/>
      </c>
      <c r="CQ85" s="441">
        <f t="shared" si="19"/>
        <v>0</v>
      </c>
      <c r="CR85" s="28"/>
      <c r="CS85" s="509" t="str">
        <f t="shared" si="30"/>
        <v/>
      </c>
      <c r="CT85" s="441">
        <f t="shared" si="21"/>
        <v>0</v>
      </c>
      <c r="CV85" s="509" t="str">
        <f t="shared" si="31"/>
        <v/>
      </c>
      <c r="CW85" s="441">
        <f t="shared" si="23"/>
        <v>0</v>
      </c>
      <c r="CZ85" s="441">
        <f t="shared" si="32"/>
        <v>0</v>
      </c>
      <c r="DA85" s="1554" t="s">
        <v>1108</v>
      </c>
      <c r="DG85" s="1553">
        <f t="shared" si="33"/>
        <v>0</v>
      </c>
      <c r="DH85" s="1553" t="e" cm="1">
        <f t="array" aca="1" ref="DH85" ca="1">_xlfn.IFS(
AND($DI$74=1,OR(COUNTIF(BF85:BZ85,$DI$72+1)=1,COUNTIF(BF85:BZ85,$DI$72+2)=1)),1,
AND($DI$74=2,OR(COUNTIF(BF85:BZ85,$DI$72-1)=1,COUNTIF(BF85:BZ85,$DI$72+1)=1)),1,
AND($DI$74=3,OR(COUNTIF(BF85:BZ85,$DI$72-1)=1,COUNTIF(BF85:BZ85,$DI$72+1)=1)),1,
AND($DI$74=4,OR(COUNTIF(BF85:BZ85,$DI$72-1)=1,COUNTIF(BF85:BZ85,$DI$72+1)=1)),1,
AND($DI$74=5,OR(COUNTIF(BF85:BZ85,$DI$72-1)=1,COUNTIF(BF85:BZ85,$DI$72+1)=1)),1,
AND($DI$74=6,OR(COUNTIF(BF85:BZ85,$DI$72-1)=1,COUNTIF(BF85:BZ85,$DI$72+1)=1)),1,
AND($DI$74=7,OR(COUNTIF(BF85:BZ85,$DI$72-1)=1,COUNTIF(BF85:BZ85,$DI$72-2)=1)),1,
TRUE,0)</f>
        <v>#VALUE!</v>
      </c>
      <c r="DI85" s="441" t="e">
        <f t="shared" ca="1" si="24"/>
        <v>#VALUE!</v>
      </c>
    </row>
    <row r="86" spans="2:113" ht="17.100000000000001" customHeight="1" x14ac:dyDescent="0.25">
      <c r="B86" s="125"/>
      <c r="C86" s="125"/>
      <c r="D86" s="138"/>
      <c r="E86" s="3770"/>
      <c r="F86" s="3770"/>
      <c r="G86" s="3770"/>
      <c r="H86" s="3770"/>
      <c r="I86" s="3770"/>
      <c r="J86" s="3770"/>
      <c r="K86" s="3770"/>
      <c r="L86" s="3770"/>
      <c r="M86" s="125"/>
      <c r="N86" s="125"/>
      <c r="O86" s="3770"/>
      <c r="P86" s="3770"/>
      <c r="Q86" s="3770"/>
      <c r="R86" s="3770"/>
      <c r="S86" s="3770"/>
      <c r="T86" s="3770"/>
      <c r="U86" s="3770"/>
      <c r="V86" s="3770"/>
      <c r="W86" s="125"/>
      <c r="X86" s="125"/>
      <c r="Y86" s="3770"/>
      <c r="Z86" s="3770"/>
      <c r="AA86" s="3770"/>
      <c r="AB86" s="3770"/>
      <c r="AC86" s="3770"/>
      <c r="AD86" s="3770"/>
      <c r="AE86" s="3770"/>
      <c r="AF86" s="3770"/>
      <c r="AG86" s="125"/>
      <c r="AH86" s="125"/>
      <c r="AI86" s="3770"/>
      <c r="AJ86" s="3770"/>
      <c r="AK86" s="3770"/>
      <c r="AL86" s="3770"/>
      <c r="AM86" s="3770"/>
      <c r="AN86" s="3770"/>
      <c r="AO86" s="3770"/>
      <c r="AP86" s="3770"/>
      <c r="AQ86" s="125"/>
      <c r="AR86" s="125"/>
      <c r="AS86" s="3770"/>
      <c r="AT86" s="3770"/>
      <c r="AU86" s="3770"/>
      <c r="AV86" s="3770"/>
      <c r="AW86" s="3770"/>
      <c r="AX86" s="3770"/>
      <c r="AY86" s="3770"/>
      <c r="AZ86" s="3770"/>
      <c r="BA86" s="137"/>
      <c r="BB86" s="125"/>
      <c r="BC86" s="125"/>
      <c r="BE86" s="1560">
        <v>5</v>
      </c>
      <c r="BF86" s="3756"/>
      <c r="BG86" s="3756"/>
      <c r="BH86" s="3756"/>
      <c r="BI86" s="3756"/>
      <c r="BJ86" s="3756"/>
      <c r="BK86" s="3756"/>
      <c r="BL86" s="3756"/>
      <c r="BM86" s="3756"/>
      <c r="BN86" s="3756"/>
      <c r="BO86" s="3756"/>
      <c r="BP86" s="3756"/>
      <c r="BQ86" s="3756"/>
      <c r="BR86" s="3756"/>
      <c r="BS86" s="3756"/>
      <c r="BT86" s="3756"/>
      <c r="BU86" s="3756"/>
      <c r="BV86" s="3756"/>
      <c r="BW86" s="3756"/>
      <c r="BX86" s="3756"/>
      <c r="BY86" s="3756"/>
      <c r="BZ86" s="3812"/>
      <c r="CA86" s="169"/>
      <c r="CB86" s="28"/>
      <c r="CC86" s="28"/>
      <c r="CD86" s="509" t="str">
        <f t="shared" si="25"/>
        <v/>
      </c>
      <c r="CE86" s="441">
        <f t="shared" si="11"/>
        <v>0</v>
      </c>
      <c r="CF86" s="28"/>
      <c r="CG86" s="509" t="str">
        <f t="shared" si="26"/>
        <v/>
      </c>
      <c r="CH86" s="441">
        <f t="shared" si="13"/>
        <v>0</v>
      </c>
      <c r="CI86" s="28"/>
      <c r="CJ86" s="509" t="str">
        <f t="shared" si="27"/>
        <v/>
      </c>
      <c r="CK86" s="441">
        <f t="shared" si="15"/>
        <v>0</v>
      </c>
      <c r="CL86" s="28"/>
      <c r="CM86" s="509" t="str">
        <f t="shared" si="28"/>
        <v/>
      </c>
      <c r="CN86" s="441">
        <f t="shared" si="17"/>
        <v>0</v>
      </c>
      <c r="CO86" s="28"/>
      <c r="CP86" s="509" t="str">
        <f t="shared" si="29"/>
        <v/>
      </c>
      <c r="CQ86" s="441">
        <f t="shared" si="19"/>
        <v>0</v>
      </c>
      <c r="CR86" s="28"/>
      <c r="CS86" s="509" t="str">
        <f t="shared" si="30"/>
        <v/>
      </c>
      <c r="CT86" s="441">
        <f t="shared" si="21"/>
        <v>0</v>
      </c>
      <c r="CV86" s="509" t="str">
        <f t="shared" si="31"/>
        <v/>
      </c>
      <c r="CW86" s="441">
        <f t="shared" si="23"/>
        <v>0</v>
      </c>
      <c r="CZ86" s="441">
        <f t="shared" si="32"/>
        <v>0</v>
      </c>
      <c r="DA86" s="1556" t="s">
        <v>1106</v>
      </c>
      <c r="DG86" s="1553">
        <f t="shared" si="33"/>
        <v>0</v>
      </c>
      <c r="DH86" s="1553" t="e" cm="1">
        <f t="array" aca="1" ref="DH86" ca="1">_xlfn.IFS(
AND($DI$74=1,OR(COUNTIF(BF86:BZ86,$DI$72+1)=1,COUNTIF(BF86:BZ86,$DI$72+2)=1)),1,
AND($DI$74=2,OR(COUNTIF(BF86:BZ86,$DI$72-1)=1,COUNTIF(BF86:BZ86,$DI$72+1)=1)),1,
AND($DI$74=3,OR(COUNTIF(BF86:BZ86,$DI$72-1)=1,COUNTIF(BF86:BZ86,$DI$72+1)=1)),1,
AND($DI$74=4,OR(COUNTIF(BF86:BZ86,$DI$72-1)=1,COUNTIF(BF86:BZ86,$DI$72+1)=1)),1,
AND($DI$74=5,OR(COUNTIF(BF86:BZ86,$DI$72-1)=1,COUNTIF(BF86:BZ86,$DI$72+1)=1)),1,
AND($DI$74=6,OR(COUNTIF(BF86:BZ86,$DI$72-1)=1,COUNTIF(BF86:BZ86,$DI$72+1)=1)),1,
AND($DI$74=7,OR(COUNTIF(BF86:BZ86,$DI$72-1)=1,COUNTIF(BF86:BZ86,$DI$72-2)=1)),1,
TRUE,0)</f>
        <v>#VALUE!</v>
      </c>
      <c r="DI86" s="441" t="e">
        <f t="shared" ca="1" si="24"/>
        <v>#VALUE!</v>
      </c>
    </row>
    <row r="87" spans="2:113" ht="17.100000000000001" customHeight="1" x14ac:dyDescent="0.25">
      <c r="B87" s="125"/>
      <c r="C87" s="125"/>
      <c r="D87" s="138"/>
      <c r="E87" s="3770"/>
      <c r="F87" s="3770"/>
      <c r="G87" s="3770"/>
      <c r="H87" s="3770"/>
      <c r="I87" s="3770"/>
      <c r="J87" s="3770"/>
      <c r="K87" s="3770"/>
      <c r="L87" s="3770"/>
      <c r="M87" s="125"/>
      <c r="N87" s="125"/>
      <c r="O87" s="3770"/>
      <c r="P87" s="3770"/>
      <c r="Q87" s="3770"/>
      <c r="R87" s="3770"/>
      <c r="S87" s="3770"/>
      <c r="T87" s="3770"/>
      <c r="U87" s="3770"/>
      <c r="V87" s="3770"/>
      <c r="W87" s="125"/>
      <c r="X87" s="125"/>
      <c r="Y87" s="3770"/>
      <c r="Z87" s="3770"/>
      <c r="AA87" s="3770"/>
      <c r="AB87" s="3770"/>
      <c r="AC87" s="3770"/>
      <c r="AD87" s="3770"/>
      <c r="AE87" s="3770"/>
      <c r="AF87" s="3770"/>
      <c r="AG87" s="125"/>
      <c r="AH87" s="125"/>
      <c r="AI87" s="3770"/>
      <c r="AJ87" s="3770"/>
      <c r="AK87" s="3770"/>
      <c r="AL87" s="3770"/>
      <c r="AM87" s="3770"/>
      <c r="AN87" s="3770"/>
      <c r="AO87" s="3770"/>
      <c r="AP87" s="3770"/>
      <c r="AQ87" s="125"/>
      <c r="AR87" s="125"/>
      <c r="AS87" s="3770"/>
      <c r="AT87" s="3770"/>
      <c r="AU87" s="3770"/>
      <c r="AV87" s="3770"/>
      <c r="AW87" s="3770"/>
      <c r="AX87" s="3770"/>
      <c r="AY87" s="3770"/>
      <c r="AZ87" s="3770"/>
      <c r="BA87" s="137"/>
      <c r="BB87" s="125"/>
      <c r="BC87" s="125"/>
      <c r="BE87" s="1560">
        <v>6</v>
      </c>
      <c r="BF87" s="3756"/>
      <c r="BG87" s="3756"/>
      <c r="BH87" s="3756"/>
      <c r="BI87" s="3756"/>
      <c r="BJ87" s="3756"/>
      <c r="BK87" s="3756"/>
      <c r="BL87" s="3756"/>
      <c r="BM87" s="3756"/>
      <c r="BN87" s="3756"/>
      <c r="BO87" s="3756"/>
      <c r="BP87" s="3756"/>
      <c r="BQ87" s="3756"/>
      <c r="BR87" s="3756"/>
      <c r="BS87" s="3756"/>
      <c r="BT87" s="3756"/>
      <c r="BU87" s="3756"/>
      <c r="BV87" s="3756"/>
      <c r="BW87" s="3756"/>
      <c r="BX87" s="3756"/>
      <c r="BY87" s="3756"/>
      <c r="BZ87" s="3812"/>
      <c r="CA87" s="169"/>
      <c r="CB87" s="28"/>
      <c r="CC87" s="28"/>
      <c r="CD87" s="509" t="str">
        <f t="shared" si="25"/>
        <v/>
      </c>
      <c r="CE87" s="441">
        <f t="shared" si="11"/>
        <v>0</v>
      </c>
      <c r="CF87" s="28"/>
      <c r="CG87" s="509" t="str">
        <f t="shared" si="26"/>
        <v/>
      </c>
      <c r="CH87" s="441">
        <f t="shared" si="13"/>
        <v>0</v>
      </c>
      <c r="CI87" s="28"/>
      <c r="CJ87" s="509" t="str">
        <f t="shared" si="27"/>
        <v/>
      </c>
      <c r="CK87" s="441">
        <f t="shared" si="15"/>
        <v>0</v>
      </c>
      <c r="CL87" s="28"/>
      <c r="CM87" s="509" t="str">
        <f t="shared" si="28"/>
        <v/>
      </c>
      <c r="CN87" s="441">
        <f t="shared" si="17"/>
        <v>0</v>
      </c>
      <c r="CO87" s="28"/>
      <c r="CP87" s="509" t="str">
        <f t="shared" si="29"/>
        <v/>
      </c>
      <c r="CQ87" s="441">
        <f t="shared" si="19"/>
        <v>0</v>
      </c>
      <c r="CR87" s="28"/>
      <c r="CS87" s="509" t="str">
        <f t="shared" si="30"/>
        <v/>
      </c>
      <c r="CT87" s="441">
        <f t="shared" si="21"/>
        <v>0</v>
      </c>
      <c r="CV87" s="509" t="str">
        <f t="shared" si="31"/>
        <v/>
      </c>
      <c r="CW87" s="441">
        <f t="shared" si="23"/>
        <v>0</v>
      </c>
      <c r="CZ87" s="441">
        <f t="shared" si="32"/>
        <v>0</v>
      </c>
      <c r="DA87" s="510"/>
      <c r="DG87" s="1553">
        <f t="shared" si="33"/>
        <v>0</v>
      </c>
      <c r="DH87" s="1553" t="e" cm="1">
        <f t="array" aca="1" ref="DH87" ca="1">_xlfn.IFS(
AND($DI$74=1,OR(COUNTIF(BF87:BZ87,$DI$72+1)=1,COUNTIF(BF87:BZ87,$DI$72+2)=1)),1,
AND($DI$74=2,OR(COUNTIF(BF87:BZ87,$DI$72-1)=1,COUNTIF(BF87:BZ87,$DI$72+1)=1)),1,
AND($DI$74=3,OR(COUNTIF(BF87:BZ87,$DI$72-1)=1,COUNTIF(BF87:BZ87,$DI$72+1)=1)),1,
AND($DI$74=4,OR(COUNTIF(BF87:BZ87,$DI$72-1)=1,COUNTIF(BF87:BZ87,$DI$72+1)=1)),1,
AND($DI$74=5,OR(COUNTIF(BF87:BZ87,$DI$72-1)=1,COUNTIF(BF87:BZ87,$DI$72+1)=1)),1,
AND($DI$74=6,OR(COUNTIF(BF87:BZ87,$DI$72-1)=1,COUNTIF(BF87:BZ87,$DI$72+1)=1)),1,
AND($DI$74=7,OR(COUNTIF(BF87:BZ87,$DI$72-1)=1,COUNTIF(BF87:BZ87,$DI$72-2)=1)),1,
TRUE,0)</f>
        <v>#VALUE!</v>
      </c>
      <c r="DI87" s="441" t="e">
        <f t="shared" ca="1" si="24"/>
        <v>#VALUE!</v>
      </c>
    </row>
    <row r="88" spans="2:113" ht="17.100000000000001" customHeight="1" x14ac:dyDescent="0.25">
      <c r="B88" s="125"/>
      <c r="C88" s="125"/>
      <c r="D88" s="138"/>
      <c r="E88" s="3770"/>
      <c r="F88" s="3770"/>
      <c r="G88" s="3770"/>
      <c r="H88" s="3770"/>
      <c r="I88" s="3770"/>
      <c r="J88" s="3770"/>
      <c r="K88" s="3770"/>
      <c r="L88" s="3770"/>
      <c r="M88" s="125"/>
      <c r="N88" s="125"/>
      <c r="O88" s="3770"/>
      <c r="P88" s="3770"/>
      <c r="Q88" s="3770"/>
      <c r="R88" s="3770"/>
      <c r="S88" s="3770"/>
      <c r="T88" s="3770"/>
      <c r="U88" s="3770"/>
      <c r="V88" s="3770"/>
      <c r="W88" s="125"/>
      <c r="X88" s="125"/>
      <c r="Y88" s="3770"/>
      <c r="Z88" s="3770"/>
      <c r="AA88" s="3770"/>
      <c r="AB88" s="3770"/>
      <c r="AC88" s="3770"/>
      <c r="AD88" s="3770"/>
      <c r="AE88" s="3770"/>
      <c r="AF88" s="3770"/>
      <c r="AG88" s="125"/>
      <c r="AH88" s="125"/>
      <c r="AI88" s="3770"/>
      <c r="AJ88" s="3770"/>
      <c r="AK88" s="3770"/>
      <c r="AL88" s="3770"/>
      <c r="AM88" s="3770"/>
      <c r="AN88" s="3770"/>
      <c r="AO88" s="3770"/>
      <c r="AP88" s="3770"/>
      <c r="AQ88" s="125"/>
      <c r="AR88" s="125"/>
      <c r="AS88" s="3770"/>
      <c r="AT88" s="3770"/>
      <c r="AU88" s="3770"/>
      <c r="AV88" s="3770"/>
      <c r="AW88" s="3770"/>
      <c r="AX88" s="3770"/>
      <c r="AY88" s="3770"/>
      <c r="AZ88" s="3770"/>
      <c r="BA88" s="137"/>
      <c r="BB88" s="125"/>
      <c r="BC88" s="125"/>
      <c r="BE88" s="1560">
        <v>7</v>
      </c>
      <c r="BF88" s="3756"/>
      <c r="BG88" s="3756"/>
      <c r="BH88" s="3756"/>
      <c r="BI88" s="3756"/>
      <c r="BJ88" s="3756"/>
      <c r="BK88" s="3756"/>
      <c r="BL88" s="3756"/>
      <c r="BM88" s="3756"/>
      <c r="BN88" s="3756"/>
      <c r="BO88" s="3756"/>
      <c r="BP88" s="3756"/>
      <c r="BQ88" s="3756"/>
      <c r="BR88" s="3756"/>
      <c r="BS88" s="3756"/>
      <c r="BT88" s="3756"/>
      <c r="BU88" s="3756"/>
      <c r="BV88" s="3756"/>
      <c r="BW88" s="3756"/>
      <c r="BX88" s="3756"/>
      <c r="BY88" s="3756"/>
      <c r="BZ88" s="3812"/>
      <c r="CA88" s="169"/>
      <c r="CB88" s="28"/>
      <c r="CC88" s="28"/>
      <c r="CD88" s="509" t="str">
        <f t="shared" si="25"/>
        <v/>
      </c>
      <c r="CE88" s="441">
        <f t="shared" si="11"/>
        <v>0</v>
      </c>
      <c r="CF88" s="28"/>
      <c r="CG88" s="509" t="str">
        <f t="shared" si="26"/>
        <v/>
      </c>
      <c r="CH88" s="441">
        <f t="shared" si="13"/>
        <v>0</v>
      </c>
      <c r="CI88" s="28"/>
      <c r="CJ88" s="509" t="str">
        <f t="shared" si="27"/>
        <v/>
      </c>
      <c r="CK88" s="441">
        <f t="shared" si="15"/>
        <v>0</v>
      </c>
      <c r="CL88" s="28"/>
      <c r="CM88" s="509" t="str">
        <f t="shared" si="28"/>
        <v/>
      </c>
      <c r="CN88" s="441">
        <f t="shared" si="17"/>
        <v>0</v>
      </c>
      <c r="CO88" s="28"/>
      <c r="CP88" s="509" t="str">
        <f t="shared" si="29"/>
        <v/>
      </c>
      <c r="CQ88" s="441">
        <f t="shared" si="19"/>
        <v>0</v>
      </c>
      <c r="CR88" s="28"/>
      <c r="CS88" s="509" t="str">
        <f t="shared" si="30"/>
        <v/>
      </c>
      <c r="CT88" s="441">
        <f t="shared" si="21"/>
        <v>0</v>
      </c>
      <c r="CV88" s="509" t="str">
        <f t="shared" si="31"/>
        <v/>
      </c>
      <c r="CW88" s="441">
        <f t="shared" si="23"/>
        <v>0</v>
      </c>
      <c r="CZ88" s="441">
        <f t="shared" si="32"/>
        <v>0</v>
      </c>
      <c r="DA88" s="510"/>
      <c r="DG88" s="1553">
        <f t="shared" si="33"/>
        <v>0</v>
      </c>
      <c r="DH88" s="1553" t="e" cm="1">
        <f t="array" aca="1" ref="DH88" ca="1">_xlfn.IFS(
AND($DI$74=1,OR(COUNTIF(BF88:BZ88,$DI$72+1)=1,COUNTIF(BF88:BZ88,$DI$72+2)=1)),1,
AND($DI$74=2,OR(COUNTIF(BF88:BZ88,$DI$72-1)=1,COUNTIF(BF88:BZ88,$DI$72+1)=1)),1,
AND($DI$74=3,OR(COUNTIF(BF88:BZ88,$DI$72-1)=1,COUNTIF(BF88:BZ88,$DI$72+1)=1)),1,
AND($DI$74=4,OR(COUNTIF(BF88:BZ88,$DI$72-1)=1,COUNTIF(BF88:BZ88,$DI$72+1)=1)),1,
AND($DI$74=5,OR(COUNTIF(BF88:BZ88,$DI$72-1)=1,COUNTIF(BF88:BZ88,$DI$72+1)=1)),1,
AND($DI$74=6,OR(COUNTIF(BF88:BZ88,$DI$72-1)=1,COUNTIF(BF88:BZ88,$DI$72+1)=1)),1,
AND($DI$74=7,OR(COUNTIF(BF88:BZ88,$DI$72-1)=1,COUNTIF(BF88:BZ88,$DI$72-2)=1)),1,
TRUE,0)</f>
        <v>#VALUE!</v>
      </c>
      <c r="DI88" s="441" t="e">
        <f t="shared" ca="1" si="24"/>
        <v>#VALUE!</v>
      </c>
    </row>
    <row r="89" spans="2:113" ht="17.100000000000001" customHeight="1" x14ac:dyDescent="0.25">
      <c r="B89" s="125"/>
      <c r="C89" s="125"/>
      <c r="D89" s="138"/>
      <c r="E89" s="125"/>
      <c r="F89" s="125"/>
      <c r="G89" s="125"/>
      <c r="H89" s="125"/>
      <c r="I89" s="125"/>
      <c r="J89" s="125"/>
      <c r="K89" s="125"/>
      <c r="L89" s="125"/>
      <c r="M89" s="125"/>
      <c r="N89" s="125"/>
      <c r="O89" s="125"/>
      <c r="P89" s="125"/>
      <c r="Q89" s="125"/>
      <c r="R89" s="125"/>
      <c r="S89" s="125"/>
      <c r="T89" s="125"/>
      <c r="U89" s="125"/>
      <c r="V89" s="125"/>
      <c r="W89" s="125"/>
      <c r="X89" s="125"/>
      <c r="Y89" s="125"/>
      <c r="Z89" s="125"/>
      <c r="AA89" s="125"/>
      <c r="AB89" s="125"/>
      <c r="AC89" s="125"/>
      <c r="AD89" s="125"/>
      <c r="AE89" s="125"/>
      <c r="AF89" s="125"/>
      <c r="AG89" s="125"/>
      <c r="AH89" s="125"/>
      <c r="AI89" s="125"/>
      <c r="AJ89" s="125"/>
      <c r="AK89" s="125"/>
      <c r="AL89" s="125"/>
      <c r="AM89" s="125"/>
      <c r="AN89" s="125"/>
      <c r="AO89" s="125"/>
      <c r="AP89" s="125"/>
      <c r="AQ89" s="125"/>
      <c r="AR89" s="125"/>
      <c r="AS89" s="125"/>
      <c r="AT89" s="125"/>
      <c r="AU89" s="125"/>
      <c r="AV89" s="125"/>
      <c r="AW89" s="125"/>
      <c r="AX89" s="125"/>
      <c r="AY89" s="125"/>
      <c r="AZ89" s="125"/>
      <c r="BA89" s="137"/>
      <c r="BB89" s="125"/>
      <c r="BC89" s="125"/>
      <c r="BE89" s="1560">
        <v>8</v>
      </c>
      <c r="BF89" s="3756"/>
      <c r="BG89" s="3756"/>
      <c r="BH89" s="3756"/>
      <c r="BI89" s="3756"/>
      <c r="BJ89" s="3756"/>
      <c r="BK89" s="3756"/>
      <c r="BL89" s="3756"/>
      <c r="BM89" s="3756"/>
      <c r="BN89" s="3756"/>
      <c r="BO89" s="3756"/>
      <c r="BP89" s="3756"/>
      <c r="BQ89" s="3756"/>
      <c r="BR89" s="3756"/>
      <c r="BS89" s="3756"/>
      <c r="BT89" s="3756"/>
      <c r="BU89" s="3756"/>
      <c r="BV89" s="3756"/>
      <c r="BW89" s="3756"/>
      <c r="BX89" s="3756"/>
      <c r="BY89" s="3756"/>
      <c r="BZ89" s="3812"/>
      <c r="CA89" s="169"/>
      <c r="CB89" s="28"/>
      <c r="CC89" s="28"/>
      <c r="CD89" s="509" t="str">
        <f t="shared" si="25"/>
        <v/>
      </c>
      <c r="CE89" s="441">
        <f t="shared" si="11"/>
        <v>0</v>
      </c>
      <c r="CF89" s="28"/>
      <c r="CG89" s="509" t="str">
        <f t="shared" si="26"/>
        <v/>
      </c>
      <c r="CH89" s="441">
        <f t="shared" si="13"/>
        <v>0</v>
      </c>
      <c r="CI89" s="28"/>
      <c r="CJ89" s="509" t="str">
        <f t="shared" si="27"/>
        <v/>
      </c>
      <c r="CK89" s="441">
        <f t="shared" si="15"/>
        <v>0</v>
      </c>
      <c r="CL89" s="28"/>
      <c r="CM89" s="509" t="str">
        <f t="shared" si="28"/>
        <v/>
      </c>
      <c r="CN89" s="441">
        <f t="shared" si="17"/>
        <v>0</v>
      </c>
      <c r="CO89" s="28"/>
      <c r="CP89" s="509" t="str">
        <f t="shared" si="29"/>
        <v/>
      </c>
      <c r="CQ89" s="441">
        <f t="shared" si="19"/>
        <v>0</v>
      </c>
      <c r="CR89" s="28"/>
      <c r="CS89" s="509" t="str">
        <f t="shared" si="30"/>
        <v/>
      </c>
      <c r="CT89" s="441">
        <f t="shared" si="21"/>
        <v>0</v>
      </c>
      <c r="CV89" s="509" t="str">
        <f t="shared" si="31"/>
        <v/>
      </c>
      <c r="CW89" s="441">
        <f t="shared" si="23"/>
        <v>0</v>
      </c>
      <c r="CZ89" s="441">
        <f t="shared" si="32"/>
        <v>0</v>
      </c>
      <c r="DA89" s="510"/>
      <c r="DG89" s="1553">
        <f t="shared" si="33"/>
        <v>0</v>
      </c>
      <c r="DH89" s="1553" t="e" cm="1">
        <f t="array" aca="1" ref="DH89" ca="1">_xlfn.IFS(
AND($DI$74=1,OR(COUNTIF(BF89:BZ89,$DI$72+1)=1,COUNTIF(BF89:BZ89,$DI$72+2)=1)),1,
AND($DI$74=2,OR(COUNTIF(BF89:BZ89,$DI$72-1)=1,COUNTIF(BF89:BZ89,$DI$72+1)=1)),1,
AND($DI$74=3,OR(COUNTIF(BF89:BZ89,$DI$72-1)=1,COUNTIF(BF89:BZ89,$DI$72+1)=1)),1,
AND($DI$74=4,OR(COUNTIF(BF89:BZ89,$DI$72-1)=1,COUNTIF(BF89:BZ89,$DI$72+1)=1)),1,
AND($DI$74=5,OR(COUNTIF(BF89:BZ89,$DI$72-1)=1,COUNTIF(BF89:BZ89,$DI$72+1)=1)),1,
AND($DI$74=6,OR(COUNTIF(BF89:BZ89,$DI$72-1)=1,COUNTIF(BF89:BZ89,$DI$72+1)=1)),1,
AND($DI$74=7,OR(COUNTIF(BF89:BZ89,$DI$72-1)=1,COUNTIF(BF89:BZ89,$DI$72-2)=1)),1,
TRUE,0)</f>
        <v>#VALUE!</v>
      </c>
      <c r="DI89" s="441" t="e">
        <f t="shared" ca="1" si="24"/>
        <v>#VALUE!</v>
      </c>
    </row>
    <row r="90" spans="2:113" ht="17.100000000000001" customHeight="1" x14ac:dyDescent="0.25">
      <c r="B90" s="125"/>
      <c r="C90" s="125"/>
      <c r="D90" s="144"/>
      <c r="E90" s="145"/>
      <c r="F90" s="145"/>
      <c r="G90" s="145"/>
      <c r="H90" s="145"/>
      <c r="I90" s="145"/>
      <c r="J90" s="145"/>
      <c r="K90" s="145"/>
      <c r="L90" s="145"/>
      <c r="M90" s="145"/>
      <c r="N90" s="145"/>
      <c r="O90" s="145"/>
      <c r="P90" s="145"/>
      <c r="Q90" s="145"/>
      <c r="R90" s="145"/>
      <c r="S90" s="145"/>
      <c r="T90" s="145"/>
      <c r="U90" s="145"/>
      <c r="V90" s="145"/>
      <c r="W90" s="145"/>
      <c r="X90" s="145"/>
      <c r="Y90" s="145"/>
      <c r="Z90" s="145"/>
      <c r="AA90" s="145"/>
      <c r="AB90" s="145"/>
      <c r="AC90" s="145"/>
      <c r="AD90" s="145"/>
      <c r="AE90" s="145"/>
      <c r="AF90" s="145"/>
      <c r="AG90" s="145"/>
      <c r="AH90" s="145"/>
      <c r="AI90" s="145"/>
      <c r="AJ90" s="145"/>
      <c r="AK90" s="145"/>
      <c r="AL90" s="145"/>
      <c r="AM90" s="145"/>
      <c r="AN90" s="145"/>
      <c r="AO90" s="145"/>
      <c r="AP90" s="145"/>
      <c r="AQ90" s="145"/>
      <c r="AR90" s="145"/>
      <c r="AS90" s="145"/>
      <c r="AT90" s="145"/>
      <c r="AU90" s="145"/>
      <c r="AV90" s="145"/>
      <c r="AW90" s="145"/>
      <c r="AX90" s="145"/>
      <c r="AY90" s="145"/>
      <c r="AZ90" s="145"/>
      <c r="BA90" s="147"/>
      <c r="BB90" s="125"/>
      <c r="BC90" s="125"/>
      <c r="BE90" s="1560">
        <v>9</v>
      </c>
      <c r="BF90" s="3756"/>
      <c r="BG90" s="3756"/>
      <c r="BH90" s="3756"/>
      <c r="BI90" s="3756"/>
      <c r="BJ90" s="3756"/>
      <c r="BK90" s="3756"/>
      <c r="BL90" s="3756"/>
      <c r="BM90" s="3756"/>
      <c r="BN90" s="3756"/>
      <c r="BO90" s="3756"/>
      <c r="BP90" s="3756"/>
      <c r="BQ90" s="3756"/>
      <c r="BR90" s="3756"/>
      <c r="BS90" s="3756"/>
      <c r="BT90" s="3756"/>
      <c r="BU90" s="3756"/>
      <c r="BV90" s="3756"/>
      <c r="BW90" s="3756"/>
      <c r="BX90" s="3756"/>
      <c r="BY90" s="3756"/>
      <c r="BZ90" s="3812"/>
      <c r="CA90" s="169"/>
      <c r="CB90" s="28"/>
      <c r="CC90" s="28"/>
      <c r="CD90" s="509" t="str">
        <f t="shared" ref="CD90:CD91" si="34">IF(BF90="","",MONTH(BF90))</f>
        <v/>
      </c>
      <c r="CE90" s="441">
        <f t="shared" si="11"/>
        <v>0</v>
      </c>
      <c r="CF90" s="28"/>
      <c r="CG90" s="509" t="str">
        <f t="shared" ref="CG90:CG91" si="35">IF(BI90="","",MONTH(BI90))</f>
        <v/>
      </c>
      <c r="CH90" s="441">
        <f t="shared" si="13"/>
        <v>0</v>
      </c>
      <c r="CI90" s="28"/>
      <c r="CJ90" s="509" t="str">
        <f t="shared" ref="CJ90:CJ91" si="36">IF(BL90="","",MONTH(BL90))</f>
        <v/>
      </c>
      <c r="CK90" s="441">
        <f t="shared" si="15"/>
        <v>0</v>
      </c>
      <c r="CL90" s="28"/>
      <c r="CM90" s="509" t="str">
        <f t="shared" ref="CM90:CM91" si="37">IF(BO90="","",MONTH(BO90))</f>
        <v/>
      </c>
      <c r="CN90" s="441">
        <f t="shared" si="17"/>
        <v>0</v>
      </c>
      <c r="CO90" s="28"/>
      <c r="CP90" s="509" t="str">
        <f t="shared" ref="CP90:CP91" si="38">IF(BR90="","",MONTH(BR90))</f>
        <v/>
      </c>
      <c r="CQ90" s="441">
        <f t="shared" si="19"/>
        <v>0</v>
      </c>
      <c r="CR90" s="28"/>
      <c r="CS90" s="509" t="str">
        <f t="shared" ref="CS90:CS91" si="39">IF(BU90="","",MONTH(BU90))</f>
        <v/>
      </c>
      <c r="CT90" s="441">
        <f t="shared" si="21"/>
        <v>0</v>
      </c>
      <c r="CV90" s="509" t="str">
        <f t="shared" ref="CV90:CV91" si="40">IF(BX90="","",MONTH(BX90))</f>
        <v/>
      </c>
      <c r="CW90" s="441">
        <f t="shared" si="23"/>
        <v>0</v>
      </c>
      <c r="CZ90" s="441">
        <f t="shared" si="32"/>
        <v>0</v>
      </c>
      <c r="DA90" s="510"/>
      <c r="DG90" s="1553">
        <f t="shared" si="33"/>
        <v>0</v>
      </c>
      <c r="DH90" s="1553" t="e" cm="1">
        <f t="array" aca="1" ref="DH90" ca="1">_xlfn.IFS(
AND($DI$74=1,OR(COUNTIF(BF90:BZ90,$DI$72+1)=1,COUNTIF(BF90:BZ90,$DI$72+2)=1)),1,
AND($DI$74=2,OR(COUNTIF(BF90:BZ90,$DI$72-1)=1,COUNTIF(BF90:BZ90,$DI$72+1)=1)),1,
AND($DI$74=3,OR(COUNTIF(BF90:BZ90,$DI$72-1)=1,COUNTIF(BF90:BZ90,$DI$72+1)=1)),1,
AND($DI$74=4,OR(COUNTIF(BF90:BZ90,$DI$72-1)=1,COUNTIF(BF90:BZ90,$DI$72+1)=1)),1,
AND($DI$74=5,OR(COUNTIF(BF90:BZ90,$DI$72-1)=1,COUNTIF(BF90:BZ90,$DI$72+1)=1)),1,
AND($DI$74=6,OR(COUNTIF(BF90:BZ90,$DI$72-1)=1,COUNTIF(BF90:BZ90,$DI$72+1)=1)),1,
AND($DI$74=7,OR(COUNTIF(BF90:BZ90,$DI$72-1)=1,COUNTIF(BF90:BZ90,$DI$72-2)=1)),1,
TRUE,0)</f>
        <v>#VALUE!</v>
      </c>
      <c r="DI90" s="441" t="e">
        <f t="shared" ca="1" si="24"/>
        <v>#VALUE!</v>
      </c>
    </row>
    <row r="91" spans="2:113" ht="17.100000000000001" customHeight="1" x14ac:dyDescent="0.25">
      <c r="B91" s="125"/>
      <c r="C91" s="125"/>
      <c r="D91" s="125"/>
      <c r="E91" s="125"/>
      <c r="F91" s="125"/>
      <c r="G91" s="125"/>
      <c r="H91" s="125"/>
      <c r="I91" s="125"/>
      <c r="J91" s="125"/>
      <c r="K91" s="125"/>
      <c r="L91" s="125"/>
      <c r="M91" s="125"/>
      <c r="N91" s="125"/>
      <c r="O91" s="125"/>
      <c r="P91" s="125"/>
      <c r="Q91" s="125"/>
      <c r="R91" s="125"/>
      <c r="S91" s="125"/>
      <c r="T91" s="125"/>
      <c r="U91" s="125"/>
      <c r="V91" s="125"/>
      <c r="W91" s="125"/>
      <c r="X91" s="125"/>
      <c r="Y91" s="125"/>
      <c r="Z91" s="125"/>
      <c r="AA91" s="125"/>
      <c r="AB91" s="125"/>
      <c r="AC91" s="125"/>
      <c r="AD91" s="125"/>
      <c r="AE91" s="125"/>
      <c r="AF91" s="125"/>
      <c r="AG91" s="125"/>
      <c r="AH91" s="125"/>
      <c r="AI91" s="125"/>
      <c r="AJ91" s="125"/>
      <c r="AK91" s="125"/>
      <c r="AL91" s="125"/>
      <c r="AM91" s="125"/>
      <c r="AN91" s="125"/>
      <c r="AO91" s="125"/>
      <c r="AP91" s="125"/>
      <c r="AQ91" s="125"/>
      <c r="AR91" s="125"/>
      <c r="AS91" s="125"/>
      <c r="AT91" s="125"/>
      <c r="AU91" s="125"/>
      <c r="AV91" s="125"/>
      <c r="AW91" s="125"/>
      <c r="AX91" s="125"/>
      <c r="AY91" s="125"/>
      <c r="AZ91" s="125"/>
      <c r="BA91" s="125"/>
      <c r="BB91" s="125"/>
      <c r="BC91" s="125"/>
      <c r="BE91" s="1560">
        <v>10</v>
      </c>
      <c r="BF91" s="3756"/>
      <c r="BG91" s="3756"/>
      <c r="BH91" s="3756"/>
      <c r="BI91" s="3756"/>
      <c r="BJ91" s="3756"/>
      <c r="BK91" s="3756"/>
      <c r="BL91" s="3756"/>
      <c r="BM91" s="3756"/>
      <c r="BN91" s="3756"/>
      <c r="BO91" s="3756"/>
      <c r="BP91" s="3756"/>
      <c r="BQ91" s="3756"/>
      <c r="BR91" s="3756"/>
      <c r="BS91" s="3756"/>
      <c r="BT91" s="3756"/>
      <c r="BU91" s="3756"/>
      <c r="BV91" s="3756"/>
      <c r="BW91" s="3756"/>
      <c r="BX91" s="3756"/>
      <c r="BY91" s="3756"/>
      <c r="BZ91" s="3812"/>
      <c r="CA91" s="169"/>
      <c r="CB91" s="28"/>
      <c r="CC91" s="28"/>
      <c r="CD91" s="509" t="str">
        <f t="shared" si="34"/>
        <v/>
      </c>
      <c r="CE91" s="441">
        <f t="shared" si="11"/>
        <v>0</v>
      </c>
      <c r="CF91" s="28"/>
      <c r="CG91" s="509" t="str">
        <f t="shared" si="35"/>
        <v/>
      </c>
      <c r="CH91" s="441">
        <f t="shared" si="13"/>
        <v>0</v>
      </c>
      <c r="CI91" s="28"/>
      <c r="CJ91" s="509" t="str">
        <f t="shared" si="36"/>
        <v/>
      </c>
      <c r="CK91" s="441">
        <f t="shared" si="15"/>
        <v>0</v>
      </c>
      <c r="CL91" s="28"/>
      <c r="CM91" s="509" t="str">
        <f t="shared" si="37"/>
        <v/>
      </c>
      <c r="CN91" s="441">
        <f t="shared" si="17"/>
        <v>0</v>
      </c>
      <c r="CO91" s="28"/>
      <c r="CP91" s="509" t="str">
        <f t="shared" si="38"/>
        <v/>
      </c>
      <c r="CQ91" s="441">
        <f t="shared" si="19"/>
        <v>0</v>
      </c>
      <c r="CR91" s="28"/>
      <c r="CS91" s="509" t="str">
        <f t="shared" si="39"/>
        <v/>
      </c>
      <c r="CT91" s="441">
        <f t="shared" si="21"/>
        <v>0</v>
      </c>
      <c r="CV91" s="509" t="str">
        <f t="shared" si="40"/>
        <v/>
      </c>
      <c r="CW91" s="441">
        <f t="shared" si="23"/>
        <v>0</v>
      </c>
      <c r="CZ91" s="441">
        <f t="shared" si="32"/>
        <v>0</v>
      </c>
      <c r="DA91" s="510"/>
      <c r="DG91" s="1553">
        <f t="shared" si="33"/>
        <v>0</v>
      </c>
      <c r="DH91" s="1553" t="e" cm="1">
        <f t="array" aca="1" ref="DH91" ca="1">_xlfn.IFS(
AND($DI$74=1,OR(COUNTIF(BF91:BZ91,$DI$72+1)=1,COUNTIF(BF91:BZ91,$DI$72+2)=1)),1,
AND($DI$74=2,OR(COUNTIF(BF91:BZ91,$DI$72-1)=1,COUNTIF(BF91:BZ91,$DI$72+1)=1)),1,
AND($DI$74=3,OR(COUNTIF(BF91:BZ91,$DI$72-1)=1,COUNTIF(BF91:BZ91,$DI$72+1)=1)),1,
AND($DI$74=4,OR(COUNTIF(BF91:BZ91,$DI$72-1)=1,COUNTIF(BF91:BZ91,$DI$72+1)=1)),1,
AND($DI$74=5,OR(COUNTIF(BF91:BZ91,$DI$72-1)=1,COUNTIF(BF91:BZ91,$DI$72+1)=1)),1,
AND($DI$74=6,OR(COUNTIF(BF91:BZ91,$DI$72-1)=1,COUNTIF(BF91:BZ91,$DI$72+1)=1)),1,
AND($DI$74=7,OR(COUNTIF(BF91:BZ91,$DI$72-1)=1,COUNTIF(BF91:BZ91,$DI$72-2)=1)),1,
TRUE,0)</f>
        <v>#VALUE!</v>
      </c>
      <c r="DI91" s="441" t="e">
        <f ca="1">IF(AND(DG91=1,DH91=1),1,0)</f>
        <v>#VALUE!</v>
      </c>
    </row>
    <row r="92" spans="2:113" ht="17.100000000000001" customHeight="1" x14ac:dyDescent="0.15">
      <c r="B92" s="125"/>
      <c r="C92" s="125"/>
      <c r="D92" s="125"/>
      <c r="E92" s="125"/>
      <c r="F92" s="125"/>
      <c r="G92" s="125"/>
      <c r="H92" s="125"/>
      <c r="I92" s="125"/>
      <c r="J92" s="125"/>
      <c r="K92" s="125"/>
      <c r="L92" s="125"/>
      <c r="M92" s="125"/>
      <c r="N92" s="125"/>
      <c r="O92" s="125"/>
      <c r="P92" s="125"/>
      <c r="Q92" s="125"/>
      <c r="R92" s="125"/>
      <c r="S92" s="125"/>
      <c r="T92" s="125"/>
      <c r="U92" s="125"/>
      <c r="V92" s="125"/>
      <c r="W92" s="125"/>
      <c r="X92" s="125"/>
      <c r="Y92" s="125"/>
      <c r="Z92" s="125"/>
      <c r="AA92" s="125"/>
      <c r="AB92" s="125"/>
      <c r="AC92" s="125"/>
      <c r="AD92" s="125"/>
      <c r="AE92" s="125"/>
      <c r="AF92" s="125"/>
      <c r="AG92" s="125"/>
      <c r="AH92" s="125"/>
      <c r="AI92" s="125"/>
      <c r="AJ92" s="125"/>
      <c r="AK92" s="125"/>
      <c r="AL92" s="125"/>
      <c r="AM92" s="125"/>
      <c r="AN92" s="125"/>
      <c r="AO92" s="125"/>
      <c r="AP92" s="125"/>
      <c r="AQ92" s="125"/>
      <c r="AR92" s="125"/>
      <c r="AS92" s="125"/>
      <c r="AT92" s="125"/>
      <c r="AU92" s="125"/>
      <c r="AV92" s="125"/>
      <c r="AW92" s="125"/>
      <c r="AX92" s="125"/>
      <c r="AY92" s="125"/>
      <c r="AZ92" s="125"/>
      <c r="BA92" s="125"/>
      <c r="BB92" s="125"/>
      <c r="BC92" s="125"/>
      <c r="BE92" s="165"/>
      <c r="BF92" s="166"/>
      <c r="BG92" s="166"/>
      <c r="BH92" s="167"/>
      <c r="BI92" s="166"/>
      <c r="BJ92" s="166"/>
      <c r="BK92" s="167"/>
      <c r="BL92" s="166"/>
      <c r="BM92" s="166"/>
      <c r="BN92" s="167"/>
      <c r="BO92" s="166"/>
      <c r="BP92" s="166"/>
      <c r="BQ92" s="167"/>
      <c r="BR92" s="166"/>
      <c r="BS92" s="166"/>
      <c r="BT92" s="167"/>
      <c r="BU92" s="166"/>
      <c r="BV92" s="166"/>
      <c r="BW92" s="167"/>
      <c r="BX92" s="166"/>
      <c r="BY92" s="166"/>
      <c r="BZ92" s="168"/>
    </row>
    <row r="93" spans="2:113" ht="17.100000000000001" customHeight="1" x14ac:dyDescent="0.15">
      <c r="CD93" s="37" t="s">
        <v>1116</v>
      </c>
    </row>
    <row r="94" spans="2:113" ht="17.100000000000001" customHeight="1" x14ac:dyDescent="0.15">
      <c r="B94" s="1177"/>
      <c r="C94" s="1177"/>
      <c r="D94" s="1177"/>
      <c r="E94" s="1177"/>
      <c r="F94" s="1177"/>
      <c r="G94" s="1177"/>
      <c r="H94" s="1177"/>
      <c r="I94" s="1177"/>
      <c r="J94" s="1177"/>
      <c r="K94" s="1177"/>
      <c r="L94" s="1177"/>
      <c r="M94" s="1177"/>
      <c r="N94" s="1177"/>
      <c r="O94" s="1177"/>
      <c r="P94" s="1177"/>
      <c r="Q94" s="1177"/>
      <c r="R94" s="1177"/>
      <c r="S94" s="1177"/>
      <c r="T94" s="1177"/>
      <c r="U94" s="1177"/>
      <c r="V94" s="1177"/>
      <c r="W94" s="1177"/>
      <c r="X94" s="1177"/>
      <c r="Y94" s="1177"/>
      <c r="Z94" s="1177"/>
      <c r="AA94" s="1177"/>
      <c r="AB94" s="1177"/>
      <c r="AC94" s="1177"/>
      <c r="AD94" s="1177"/>
      <c r="AE94" s="1177"/>
      <c r="AF94" s="1177"/>
      <c r="AG94" s="1177"/>
      <c r="AH94" s="1177"/>
      <c r="AI94" s="1177"/>
      <c r="AJ94" s="1177"/>
      <c r="AK94" s="1177"/>
      <c r="AL94" s="1177"/>
      <c r="AM94" s="1177"/>
      <c r="AN94" s="1177"/>
      <c r="AO94" s="1177"/>
      <c r="AP94" s="1177"/>
      <c r="AQ94" s="1177"/>
      <c r="AR94" s="1177"/>
      <c r="AS94" s="1177"/>
      <c r="AT94" s="1177"/>
      <c r="AU94" s="1177"/>
      <c r="AV94" s="1177"/>
      <c r="AW94" s="1177"/>
      <c r="AX94" s="1177"/>
      <c r="AY94" s="1177"/>
      <c r="AZ94" s="1177"/>
      <c r="BA94" s="1177"/>
      <c r="BB94" s="1177"/>
      <c r="BC94" s="1177"/>
      <c r="CD94" s="262" t="s">
        <v>46</v>
      </c>
      <c r="CG94" s="262" t="s">
        <v>365</v>
      </c>
      <c r="CJ94" s="262" t="s">
        <v>45</v>
      </c>
      <c r="CM94" s="262" t="s">
        <v>365</v>
      </c>
      <c r="CP94" s="262" t="s">
        <v>413</v>
      </c>
      <c r="CS94" s="262" t="s">
        <v>366</v>
      </c>
      <c r="CV94" s="262" t="s">
        <v>366</v>
      </c>
    </row>
    <row r="95" spans="2:113" ht="17.100000000000001" customHeight="1" x14ac:dyDescent="0.15">
      <c r="B95" s="1177"/>
      <c r="C95" s="1177"/>
      <c r="D95" s="1177"/>
      <c r="E95" s="1177"/>
      <c r="F95" s="1177"/>
      <c r="G95" s="1177"/>
      <c r="H95" s="1177"/>
      <c r="I95" s="1177"/>
      <c r="J95" s="1177"/>
      <c r="K95" s="1177"/>
      <c r="L95" s="1177"/>
      <c r="M95" s="1177"/>
      <c r="N95" s="1177"/>
      <c r="O95" s="1177"/>
      <c r="P95" s="1177"/>
      <c r="Q95" s="1177"/>
      <c r="R95" s="1177"/>
      <c r="S95" s="1177"/>
      <c r="T95" s="1177"/>
      <c r="U95" s="1177"/>
      <c r="V95" s="1177"/>
      <c r="W95" s="1177"/>
      <c r="X95" s="1177"/>
      <c r="Y95" s="1177"/>
      <c r="Z95" s="1177"/>
      <c r="AA95" s="1177"/>
      <c r="AB95" s="1177"/>
      <c r="AC95" s="1177"/>
      <c r="AD95" s="1177"/>
      <c r="AE95" s="1177"/>
      <c r="AF95" s="1177"/>
      <c r="AG95" s="1177"/>
      <c r="AH95" s="1177"/>
      <c r="AI95" s="1177"/>
      <c r="AJ95" s="1177"/>
      <c r="AK95" s="1177"/>
      <c r="AL95" s="1177"/>
      <c r="AM95" s="1177"/>
      <c r="AN95" s="1177"/>
      <c r="AO95" s="1177"/>
      <c r="AP95" s="1177"/>
      <c r="AQ95" s="1177"/>
      <c r="AR95" s="1177"/>
      <c r="AS95" s="1177"/>
      <c r="AT95" s="1177"/>
      <c r="AU95" s="1177"/>
      <c r="AV95" s="1177"/>
      <c r="AW95" s="1177"/>
      <c r="AX95" s="1177"/>
      <c r="AY95" s="1177"/>
      <c r="AZ95" s="1177"/>
      <c r="BA95" s="1177"/>
      <c r="BB95" s="1177"/>
      <c r="BC95" s="1177"/>
      <c r="CD95" s="509">
        <f>SUM(CE82:CE91)</f>
        <v>0</v>
      </c>
      <c r="CG95" s="509">
        <f>SUM(CH82:CH91)</f>
        <v>0</v>
      </c>
      <c r="CJ95" s="509">
        <f>SUM(CK82:CK91)</f>
        <v>0</v>
      </c>
      <c r="CM95" s="509">
        <f>SUM(CN82:CN91)</f>
        <v>0</v>
      </c>
      <c r="CP95" s="509">
        <f>SUM(CQ82:CQ91)</f>
        <v>0</v>
      </c>
      <c r="CS95" s="509">
        <f>SUM(CT82:CT91)</f>
        <v>0</v>
      </c>
      <c r="CV95" s="509">
        <f>SUM(CW82:CW91)</f>
        <v>0</v>
      </c>
    </row>
    <row r="96" spans="2:113" ht="17.100000000000001" customHeight="1" x14ac:dyDescent="0.15">
      <c r="B96" s="1177"/>
      <c r="C96" s="1177"/>
      <c r="D96" s="1177"/>
      <c r="E96" s="1177"/>
      <c r="F96" s="1177"/>
      <c r="G96" s="1177"/>
      <c r="H96" s="1177"/>
      <c r="I96" s="1177"/>
      <c r="J96" s="1177"/>
      <c r="K96" s="1177"/>
      <c r="L96" s="1177"/>
      <c r="M96" s="1177"/>
      <c r="N96" s="1177"/>
      <c r="O96" s="1177"/>
      <c r="P96" s="1177"/>
      <c r="Q96" s="1177"/>
      <c r="R96" s="1177"/>
      <c r="S96" s="1177"/>
      <c r="T96" s="1177"/>
      <c r="U96" s="1177"/>
      <c r="V96" s="1177"/>
      <c r="W96" s="1177"/>
      <c r="X96" s="1177"/>
      <c r="Y96" s="1177"/>
      <c r="Z96" s="1177"/>
      <c r="AA96" s="1177"/>
      <c r="AB96" s="1177"/>
      <c r="AC96" s="1177"/>
      <c r="AD96" s="1177"/>
      <c r="AE96" s="1177"/>
      <c r="AF96" s="1177"/>
      <c r="AG96" s="1177"/>
      <c r="AH96" s="1177"/>
      <c r="AI96" s="1177"/>
      <c r="AJ96" s="1177"/>
      <c r="AK96" s="1177"/>
      <c r="AL96" s="1177"/>
      <c r="AM96" s="1177"/>
      <c r="AN96" s="1177"/>
      <c r="AO96" s="1177"/>
      <c r="AP96" s="1177"/>
      <c r="AQ96" s="1177"/>
      <c r="AR96" s="1177"/>
      <c r="AS96" s="1177"/>
      <c r="AT96" s="1177"/>
      <c r="AU96" s="1177"/>
      <c r="AV96" s="1177"/>
      <c r="AW96" s="1177"/>
      <c r="AX96" s="1177"/>
      <c r="AY96" s="1177"/>
      <c r="AZ96" s="1177"/>
      <c r="BA96" s="1177"/>
      <c r="BB96" s="1177"/>
      <c r="BC96" s="1177"/>
    </row>
    <row r="97" spans="1:56" ht="17.100000000000001" customHeight="1" x14ac:dyDescent="0.15">
      <c r="B97" s="1177"/>
      <c r="C97" s="1177"/>
      <c r="D97" s="1177"/>
      <c r="E97" s="1177"/>
      <c r="F97" s="1177"/>
      <c r="G97" s="1177"/>
      <c r="H97" s="1177"/>
      <c r="I97" s="1177"/>
      <c r="J97" s="1177"/>
      <c r="K97" s="1177"/>
      <c r="L97" s="1177"/>
      <c r="M97" s="1177"/>
      <c r="N97" s="1177"/>
      <c r="O97" s="1177"/>
      <c r="P97" s="1177"/>
      <c r="Q97" s="1177"/>
      <c r="R97" s="1177"/>
      <c r="S97" s="1177"/>
      <c r="T97" s="1177"/>
      <c r="U97" s="1177"/>
      <c r="V97" s="1177"/>
      <c r="W97" s="1177"/>
      <c r="X97" s="1177"/>
      <c r="Y97" s="1177"/>
      <c r="Z97" s="1177"/>
      <c r="AA97" s="1177"/>
      <c r="AB97" s="1177"/>
      <c r="AC97" s="1177"/>
      <c r="AD97" s="1177"/>
      <c r="AE97" s="1177"/>
      <c r="AF97" s="1177"/>
      <c r="AG97" s="1177"/>
      <c r="AH97" s="1177"/>
      <c r="AI97" s="1177"/>
      <c r="AJ97" s="1177"/>
      <c r="AK97" s="1177"/>
      <c r="AL97" s="1177"/>
      <c r="AM97" s="1177"/>
      <c r="AN97" s="1177"/>
      <c r="AO97" s="1177"/>
      <c r="AP97" s="1177"/>
      <c r="AQ97" s="1177"/>
      <c r="AR97" s="1177"/>
      <c r="AS97" s="1177"/>
      <c r="AT97" s="1177"/>
      <c r="AU97" s="1177"/>
      <c r="AV97" s="1177"/>
      <c r="AW97" s="1177"/>
      <c r="AX97" s="1177"/>
      <c r="AY97" s="1177"/>
      <c r="AZ97" s="1177"/>
      <c r="BA97" s="1177"/>
      <c r="BB97" s="1177"/>
      <c r="BC97" s="1177"/>
    </row>
    <row r="98" spans="1:56" ht="17.100000000000001" customHeight="1" x14ac:dyDescent="0.15">
      <c r="B98" s="1177"/>
      <c r="C98" s="1177"/>
      <c r="D98" s="1177"/>
      <c r="E98" s="1177"/>
      <c r="F98" s="1177"/>
      <c r="G98" s="1177"/>
      <c r="H98" s="1177"/>
      <c r="I98" s="1177"/>
      <c r="J98" s="1177"/>
      <c r="K98" s="1177"/>
      <c r="L98" s="1177"/>
      <c r="M98" s="1177"/>
      <c r="N98" s="1177"/>
      <c r="O98" s="1177"/>
      <c r="P98" s="1177"/>
      <c r="Q98" s="1177"/>
      <c r="R98" s="1177"/>
      <c r="S98" s="1177"/>
      <c r="T98" s="1177"/>
      <c r="U98" s="1177"/>
      <c r="V98" s="1177"/>
      <c r="W98" s="1177"/>
      <c r="X98" s="1177"/>
      <c r="Y98" s="1177"/>
      <c r="Z98" s="1177"/>
      <c r="AA98" s="1177"/>
      <c r="AB98" s="1177"/>
      <c r="AC98" s="1177"/>
      <c r="AD98" s="1177"/>
      <c r="AE98" s="1177"/>
      <c r="AF98" s="1177"/>
      <c r="AG98" s="1177"/>
      <c r="AH98" s="1177"/>
      <c r="AI98" s="1177"/>
      <c r="AJ98" s="1177"/>
      <c r="AK98" s="1177"/>
      <c r="AL98" s="1177"/>
      <c r="AM98" s="1177"/>
      <c r="AN98" s="1177"/>
      <c r="AO98" s="1177"/>
      <c r="AP98" s="1177"/>
      <c r="AQ98" s="1177"/>
      <c r="AR98" s="1177"/>
      <c r="AS98" s="1177"/>
      <c r="AT98" s="1177"/>
      <c r="AU98" s="1177"/>
      <c r="AV98" s="1177"/>
      <c r="AW98" s="1177"/>
      <c r="AX98" s="1177"/>
      <c r="AY98" s="1177"/>
      <c r="AZ98" s="1177"/>
      <c r="BA98" s="1177"/>
      <c r="BB98" s="1177"/>
      <c r="BC98" s="1177"/>
    </row>
    <row r="99" spans="1:56" ht="17.100000000000001" customHeight="1" x14ac:dyDescent="0.15">
      <c r="B99" s="1177"/>
      <c r="C99" s="1177"/>
      <c r="D99" s="1177"/>
      <c r="E99" s="1177"/>
      <c r="F99" s="1177"/>
      <c r="G99" s="1177"/>
      <c r="H99" s="1177"/>
      <c r="I99" s="1177"/>
      <c r="J99" s="1177"/>
      <c r="K99" s="1177"/>
      <c r="L99" s="1177"/>
      <c r="M99" s="1177"/>
      <c r="N99" s="1177"/>
      <c r="O99" s="1177"/>
      <c r="P99" s="1177"/>
      <c r="Q99" s="1177"/>
      <c r="R99" s="1177"/>
      <c r="S99" s="1177"/>
      <c r="T99" s="1177"/>
      <c r="U99" s="1177"/>
      <c r="V99" s="1177"/>
      <c r="W99" s="1177"/>
      <c r="X99" s="1177"/>
      <c r="Y99" s="1177"/>
      <c r="Z99" s="1177"/>
      <c r="AA99" s="1177"/>
      <c r="AB99" s="1177"/>
      <c r="AC99" s="1177"/>
      <c r="AD99" s="1177"/>
      <c r="AE99" s="1177"/>
      <c r="AF99" s="1177"/>
      <c r="AG99" s="1177"/>
      <c r="AH99" s="1177"/>
      <c r="AI99" s="1177"/>
      <c r="AJ99" s="1177"/>
      <c r="AK99" s="1177"/>
      <c r="AL99" s="1177"/>
      <c r="AM99" s="1177"/>
      <c r="AN99" s="1177"/>
      <c r="AO99" s="1177"/>
      <c r="AP99" s="1177"/>
      <c r="AQ99" s="1177"/>
      <c r="AR99" s="1177"/>
      <c r="AS99" s="1177"/>
      <c r="AT99" s="1177"/>
      <c r="AU99" s="1177"/>
      <c r="AV99" s="1177"/>
      <c r="AW99" s="1177"/>
      <c r="AX99" s="1177"/>
      <c r="AY99" s="1177"/>
      <c r="AZ99" s="1177"/>
      <c r="BA99" s="1177"/>
      <c r="BB99" s="1177"/>
      <c r="BC99" s="1177"/>
    </row>
    <row r="100" spans="1:56" ht="17.100000000000001" customHeight="1" x14ac:dyDescent="0.15">
      <c r="B100" s="1177"/>
      <c r="C100" s="1177"/>
      <c r="D100" s="1177"/>
      <c r="E100" s="1177"/>
      <c r="F100" s="1177"/>
      <c r="G100" s="1177"/>
      <c r="H100" s="1177"/>
      <c r="I100" s="1177"/>
      <c r="J100" s="1177"/>
      <c r="K100" s="1177"/>
      <c r="L100" s="1177"/>
      <c r="M100" s="1177"/>
      <c r="N100" s="1177"/>
      <c r="O100" s="1177"/>
      <c r="P100" s="1177"/>
      <c r="Q100" s="1177"/>
      <c r="R100" s="1177"/>
      <c r="S100" s="1177"/>
      <c r="T100" s="1177"/>
      <c r="U100" s="1177"/>
      <c r="V100" s="1177"/>
      <c r="W100" s="1177"/>
      <c r="X100" s="1177"/>
      <c r="Y100" s="1177"/>
      <c r="Z100" s="1177"/>
      <c r="AA100" s="1177"/>
      <c r="AB100" s="1177"/>
      <c r="AC100" s="1177"/>
      <c r="AD100" s="1177"/>
      <c r="AE100" s="1177"/>
      <c r="AF100" s="1177"/>
      <c r="AG100" s="1177"/>
      <c r="AH100" s="1177"/>
      <c r="AI100" s="1177"/>
      <c r="AJ100" s="1177"/>
      <c r="AK100" s="1177"/>
      <c r="AL100" s="1177"/>
      <c r="AM100" s="1177"/>
      <c r="AN100" s="1177"/>
      <c r="AO100" s="1177"/>
      <c r="AP100" s="1177"/>
      <c r="AQ100" s="1177"/>
      <c r="AR100" s="1177"/>
      <c r="AS100" s="1177"/>
      <c r="AT100" s="1177"/>
      <c r="AU100" s="1177"/>
      <c r="AV100" s="1177"/>
      <c r="AW100" s="1177"/>
      <c r="AX100" s="1177"/>
      <c r="AY100" s="1177"/>
      <c r="AZ100" s="1177"/>
      <c r="BA100" s="1177"/>
      <c r="BB100" s="1177"/>
      <c r="BC100" s="1177"/>
    </row>
    <row r="101" spans="1:56" ht="17.100000000000001" customHeight="1" x14ac:dyDescent="0.15">
      <c r="B101" s="1177"/>
      <c r="C101" s="1177"/>
      <c r="D101" s="1177"/>
      <c r="E101" s="1177"/>
      <c r="F101" s="1177"/>
      <c r="G101" s="1177"/>
      <c r="H101" s="1177"/>
      <c r="I101" s="1177"/>
      <c r="J101" s="1177"/>
      <c r="K101" s="1177"/>
      <c r="L101" s="1177"/>
      <c r="M101" s="1177"/>
      <c r="N101" s="1177"/>
      <c r="O101" s="1177"/>
      <c r="P101" s="1177"/>
      <c r="Q101" s="1177"/>
      <c r="R101" s="1177"/>
      <c r="S101" s="1177"/>
      <c r="T101" s="1177"/>
      <c r="U101" s="1177"/>
      <c r="V101" s="1177"/>
      <c r="W101" s="1177"/>
      <c r="X101" s="1177"/>
      <c r="Y101" s="1177"/>
      <c r="Z101" s="1177"/>
      <c r="AA101" s="1177"/>
      <c r="AB101" s="1177"/>
      <c r="AC101" s="1177"/>
      <c r="AD101" s="1177"/>
      <c r="AE101" s="1177"/>
      <c r="AF101" s="1177"/>
      <c r="AG101" s="1177"/>
      <c r="AH101" s="1177"/>
      <c r="AI101" s="1177"/>
      <c r="AJ101" s="1177"/>
      <c r="AK101" s="1177"/>
      <c r="AL101" s="1177"/>
      <c r="AM101" s="1177"/>
      <c r="AN101" s="1177"/>
      <c r="AO101" s="1177"/>
      <c r="AP101" s="1177"/>
      <c r="AQ101" s="1177"/>
      <c r="AR101" s="1177"/>
      <c r="AS101" s="1177"/>
      <c r="AT101" s="1177"/>
      <c r="AU101" s="1177"/>
      <c r="AV101" s="1177"/>
      <c r="AW101" s="1177"/>
      <c r="AX101" s="1177"/>
      <c r="AY101" s="1177"/>
      <c r="AZ101" s="1177"/>
      <c r="BA101" s="1177"/>
      <c r="BB101" s="1177"/>
      <c r="BC101" s="1177"/>
    </row>
    <row r="102" spans="1:56" ht="17.100000000000001" customHeight="1" x14ac:dyDescent="0.15">
      <c r="B102" s="1177"/>
      <c r="C102" s="1177"/>
      <c r="D102" s="1177"/>
      <c r="E102" s="1177"/>
      <c r="F102" s="1177"/>
      <c r="G102" s="1177"/>
      <c r="H102" s="1177"/>
      <c r="I102" s="1177"/>
      <c r="J102" s="1177"/>
      <c r="K102" s="1177"/>
      <c r="L102" s="1177"/>
      <c r="M102" s="1177"/>
      <c r="N102" s="1177"/>
      <c r="O102" s="1177"/>
      <c r="P102" s="1177"/>
      <c r="Q102" s="1177"/>
      <c r="R102" s="1177"/>
      <c r="S102" s="1177"/>
      <c r="T102" s="1177"/>
      <c r="U102" s="1177"/>
      <c r="V102" s="1177"/>
      <c r="W102" s="1177"/>
      <c r="X102" s="1177"/>
      <c r="Y102" s="1177"/>
      <c r="Z102" s="1177"/>
      <c r="AA102" s="1177"/>
      <c r="AB102" s="1177"/>
      <c r="AC102" s="1177"/>
      <c r="AD102" s="1177"/>
      <c r="AE102" s="1177"/>
      <c r="AF102" s="1177"/>
      <c r="AG102" s="1177"/>
      <c r="AH102" s="1177"/>
      <c r="AI102" s="1177"/>
      <c r="AJ102" s="1177"/>
      <c r="AK102" s="1177"/>
      <c r="AL102" s="1177"/>
      <c r="AM102" s="1177"/>
      <c r="AN102" s="1177"/>
      <c r="AO102" s="1177"/>
      <c r="AP102" s="1177"/>
      <c r="AQ102" s="1177"/>
      <c r="AR102" s="1177"/>
      <c r="AS102" s="1177"/>
      <c r="AT102" s="1177"/>
      <c r="AU102" s="1177"/>
      <c r="AV102" s="1177"/>
      <c r="AW102" s="1177"/>
      <c r="AX102" s="1177"/>
      <c r="AY102" s="1177"/>
      <c r="AZ102" s="1177"/>
      <c r="BA102" s="1177"/>
      <c r="BB102" s="1177"/>
      <c r="BC102" s="1177"/>
      <c r="BD102" s="1571"/>
    </row>
    <row r="103" spans="1:56" ht="17.100000000000001" customHeight="1" x14ac:dyDescent="0.15">
      <c r="A103" s="28"/>
      <c r="B103" s="1177"/>
      <c r="C103" s="1177"/>
      <c r="D103" s="1177"/>
      <c r="E103" s="1177"/>
      <c r="F103" s="1177"/>
      <c r="G103" s="1177"/>
      <c r="H103" s="1177"/>
      <c r="I103" s="1177"/>
      <c r="J103" s="1177"/>
      <c r="K103" s="1177"/>
      <c r="L103" s="1177"/>
      <c r="M103" s="1177"/>
      <c r="N103" s="1177"/>
      <c r="O103" s="1177"/>
      <c r="P103" s="1177"/>
      <c r="Q103" s="1177"/>
      <c r="R103" s="1177"/>
      <c r="S103" s="1177"/>
      <c r="T103" s="1177"/>
      <c r="U103" s="1177"/>
      <c r="V103" s="1177"/>
      <c r="W103" s="1177"/>
      <c r="X103" s="1177"/>
      <c r="Y103" s="1177"/>
      <c r="Z103" s="1177"/>
      <c r="AA103" s="1177"/>
      <c r="AB103" s="1177"/>
      <c r="AC103" s="1177"/>
      <c r="AD103" s="1177"/>
      <c r="AE103" s="1177"/>
      <c r="AF103" s="1177"/>
      <c r="AG103" s="1177"/>
      <c r="AH103" s="1177"/>
      <c r="AI103" s="1177"/>
      <c r="AJ103" s="1177"/>
      <c r="AK103" s="1177"/>
      <c r="AL103" s="1177"/>
      <c r="AM103" s="1177"/>
      <c r="AN103" s="1177"/>
      <c r="AO103" s="1177"/>
      <c r="AP103" s="1177"/>
      <c r="AQ103" s="1177"/>
      <c r="AR103" s="1177"/>
      <c r="AS103" s="1177"/>
      <c r="AT103" s="1177"/>
      <c r="AU103" s="1177"/>
      <c r="AV103" s="1177"/>
      <c r="AW103" s="1177"/>
      <c r="AX103" s="1177"/>
      <c r="AY103" s="1177"/>
      <c r="AZ103" s="1177"/>
      <c r="BA103" s="1177"/>
      <c r="BB103" s="1177"/>
      <c r="BC103" s="1177"/>
    </row>
    <row r="104" spans="1:56" ht="17.100000000000001" customHeight="1" x14ac:dyDescent="0.15">
      <c r="B104" s="1177"/>
      <c r="C104" s="1177"/>
      <c r="D104" s="1177"/>
      <c r="E104" s="1177"/>
      <c r="F104" s="1177"/>
      <c r="G104" s="1177"/>
      <c r="H104" s="1177"/>
      <c r="I104" s="1177"/>
      <c r="J104" s="1177"/>
      <c r="K104" s="1177"/>
      <c r="L104" s="1177"/>
      <c r="M104" s="1177"/>
      <c r="N104" s="1177"/>
      <c r="O104" s="1177"/>
      <c r="P104" s="1177"/>
      <c r="Q104" s="1177"/>
      <c r="R104" s="1177"/>
      <c r="S104" s="1177"/>
      <c r="T104" s="1177"/>
      <c r="U104" s="1177"/>
      <c r="V104" s="1177"/>
      <c r="W104" s="1177"/>
      <c r="X104" s="1177"/>
      <c r="Y104" s="1177"/>
      <c r="Z104" s="1177"/>
      <c r="AA104" s="1177"/>
      <c r="AB104" s="1177"/>
      <c r="AC104" s="1177"/>
      <c r="AD104" s="1177"/>
      <c r="AE104" s="1177"/>
      <c r="AF104" s="1177"/>
      <c r="AG104" s="1177"/>
      <c r="AH104" s="1177"/>
      <c r="AI104" s="1177"/>
      <c r="AJ104" s="1177"/>
      <c r="AK104" s="1177"/>
      <c r="AL104" s="1177"/>
      <c r="AM104" s="1177"/>
      <c r="AN104" s="1177"/>
      <c r="AO104" s="1177"/>
      <c r="AP104" s="1177"/>
      <c r="AQ104" s="1177"/>
      <c r="AR104" s="1177"/>
      <c r="AS104" s="1177"/>
      <c r="AT104" s="1177"/>
      <c r="AU104" s="1177"/>
      <c r="AV104" s="1177"/>
      <c r="AW104" s="1177"/>
      <c r="AX104" s="1177"/>
      <c r="AY104" s="1177"/>
      <c r="AZ104" s="1177"/>
      <c r="BA104" s="1177"/>
      <c r="BB104" s="1177"/>
      <c r="BC104" s="1177"/>
    </row>
    <row r="105" spans="1:56" ht="17.100000000000001" customHeight="1" x14ac:dyDescent="0.15">
      <c r="A105" s="28"/>
      <c r="B105" s="1177"/>
      <c r="C105" s="1177"/>
      <c r="D105" s="1177"/>
      <c r="E105" s="1177"/>
      <c r="F105" s="1177"/>
      <c r="G105" s="1177"/>
      <c r="H105" s="1177"/>
      <c r="I105" s="1177"/>
      <c r="J105" s="1177"/>
      <c r="K105" s="1177"/>
      <c r="L105" s="1177"/>
      <c r="M105" s="1177"/>
      <c r="N105" s="1177"/>
      <c r="O105" s="1177"/>
      <c r="P105" s="1177"/>
      <c r="Q105" s="1177"/>
      <c r="R105" s="1177"/>
      <c r="S105" s="1177"/>
      <c r="T105" s="1177"/>
      <c r="U105" s="1177"/>
      <c r="V105" s="1177"/>
      <c r="W105" s="1177"/>
      <c r="X105" s="1177"/>
      <c r="Y105" s="1177"/>
      <c r="Z105" s="1177"/>
      <c r="AA105" s="1177"/>
      <c r="AB105" s="1177"/>
      <c r="AC105" s="1177"/>
      <c r="AD105" s="1177"/>
      <c r="AE105" s="1177"/>
      <c r="AF105" s="1177"/>
      <c r="AG105" s="1177"/>
      <c r="AH105" s="1177"/>
      <c r="AI105" s="1177"/>
      <c r="AJ105" s="1177"/>
      <c r="AK105" s="1177"/>
      <c r="AL105" s="1177"/>
      <c r="AM105" s="1177"/>
      <c r="AN105" s="1177"/>
      <c r="AO105" s="1177"/>
      <c r="AP105" s="1177"/>
      <c r="AQ105" s="1177"/>
      <c r="AR105" s="1177"/>
      <c r="AS105" s="1177"/>
      <c r="AT105" s="1177"/>
      <c r="AU105" s="1177"/>
      <c r="AV105" s="1177"/>
      <c r="AW105" s="1177"/>
      <c r="AX105" s="1177"/>
      <c r="AY105" s="1177"/>
      <c r="AZ105" s="1177"/>
      <c r="BA105" s="1177"/>
      <c r="BB105" s="1177"/>
      <c r="BC105" s="1177"/>
    </row>
    <row r="106" spans="1:56" ht="17.100000000000001" customHeight="1" x14ac:dyDescent="0.15">
      <c r="B106" s="1177"/>
      <c r="C106" s="1177"/>
      <c r="D106" s="1177"/>
      <c r="E106" s="1177"/>
      <c r="F106" s="1177"/>
      <c r="G106" s="1177"/>
      <c r="H106" s="1177"/>
      <c r="I106" s="1177"/>
      <c r="J106" s="1177"/>
      <c r="K106" s="1177"/>
      <c r="L106" s="1177"/>
      <c r="M106" s="1177"/>
      <c r="N106" s="1177"/>
      <c r="O106" s="1177"/>
      <c r="P106" s="1177"/>
      <c r="Q106" s="1177"/>
      <c r="R106" s="1177"/>
      <c r="S106" s="1177"/>
      <c r="T106" s="1177"/>
      <c r="U106" s="1177"/>
      <c r="V106" s="1177"/>
      <c r="W106" s="1177"/>
      <c r="X106" s="1177"/>
      <c r="Y106" s="1177"/>
      <c r="Z106" s="1177"/>
      <c r="AA106" s="1177"/>
      <c r="AB106" s="1177"/>
      <c r="AC106" s="1177"/>
      <c r="AD106" s="1177"/>
      <c r="AE106" s="1177"/>
      <c r="AF106" s="1177"/>
      <c r="AG106" s="1177"/>
      <c r="AH106" s="1177"/>
      <c r="AI106" s="1177"/>
      <c r="AJ106" s="1177"/>
      <c r="AK106" s="1177"/>
      <c r="AL106" s="1177"/>
      <c r="AM106" s="1177"/>
      <c r="AN106" s="1177"/>
      <c r="AO106" s="1177"/>
      <c r="AP106" s="1177"/>
      <c r="AQ106" s="1177"/>
      <c r="AR106" s="1177"/>
      <c r="AS106" s="1177"/>
      <c r="AT106" s="1177"/>
      <c r="AU106" s="1177"/>
      <c r="AV106" s="1177"/>
      <c r="AW106" s="1177"/>
      <c r="AX106" s="1177"/>
      <c r="AY106" s="1177"/>
      <c r="AZ106" s="1177"/>
      <c r="BA106" s="1177"/>
      <c r="BB106" s="1177"/>
      <c r="BC106" s="1177"/>
    </row>
    <row r="107" spans="1:56" ht="17.100000000000001" customHeight="1" x14ac:dyDescent="0.15">
      <c r="A107" s="28"/>
      <c r="B107" s="1177"/>
      <c r="C107" s="1177"/>
      <c r="D107" s="1177"/>
      <c r="E107" s="1177"/>
      <c r="F107" s="1177"/>
      <c r="G107" s="1177"/>
      <c r="H107" s="1177"/>
      <c r="I107" s="1177"/>
      <c r="J107" s="1177"/>
      <c r="K107" s="1177"/>
      <c r="L107" s="1177"/>
      <c r="M107" s="1177"/>
      <c r="N107" s="1177"/>
      <c r="O107" s="1177"/>
      <c r="P107" s="1177"/>
      <c r="Q107" s="1177"/>
      <c r="R107" s="1177"/>
      <c r="S107" s="1177"/>
      <c r="T107" s="1177"/>
      <c r="U107" s="1177"/>
      <c r="V107" s="1177"/>
      <c r="W107" s="1177"/>
      <c r="X107" s="1177"/>
      <c r="Y107" s="1177"/>
      <c r="Z107" s="1177"/>
      <c r="AA107" s="1177"/>
      <c r="AB107" s="1177"/>
      <c r="AC107" s="1177"/>
      <c r="AD107" s="1177"/>
      <c r="AE107" s="1177"/>
      <c r="AF107" s="1177"/>
      <c r="AG107" s="1177"/>
      <c r="AH107" s="1177"/>
      <c r="AI107" s="1177"/>
      <c r="AJ107" s="1177"/>
      <c r="AK107" s="1177"/>
      <c r="AL107" s="1177"/>
      <c r="AM107" s="1177"/>
      <c r="AN107" s="1177"/>
      <c r="AO107" s="1177"/>
      <c r="AP107" s="1177"/>
      <c r="AQ107" s="1177"/>
      <c r="AR107" s="1177"/>
      <c r="AS107" s="1177"/>
      <c r="AT107" s="1177"/>
      <c r="AU107" s="1177"/>
      <c r="AV107" s="1177"/>
      <c r="AW107" s="1177"/>
      <c r="AX107" s="1177"/>
      <c r="AY107" s="1177"/>
      <c r="AZ107" s="1177"/>
      <c r="BA107" s="1177"/>
      <c r="BB107" s="1177"/>
      <c r="BC107" s="1177"/>
    </row>
    <row r="108" spans="1:56" ht="17.100000000000001" customHeight="1" x14ac:dyDescent="0.15">
      <c r="B108" s="1177"/>
      <c r="C108" s="1177"/>
      <c r="D108" s="1177"/>
      <c r="E108" s="1177"/>
      <c r="F108" s="1177"/>
      <c r="G108" s="1177"/>
      <c r="H108" s="1177"/>
      <c r="I108" s="1177"/>
      <c r="J108" s="1177"/>
      <c r="K108" s="1177"/>
      <c r="L108" s="1177"/>
      <c r="M108" s="1177"/>
      <c r="N108" s="1177"/>
      <c r="O108" s="1177"/>
      <c r="P108" s="1177"/>
      <c r="Q108" s="1177"/>
      <c r="R108" s="1177"/>
      <c r="S108" s="1177"/>
      <c r="T108" s="1177"/>
      <c r="U108" s="1177"/>
      <c r="V108" s="1177"/>
      <c r="W108" s="1177"/>
      <c r="X108" s="1177"/>
      <c r="Y108" s="1177"/>
      <c r="Z108" s="1177"/>
      <c r="AA108" s="1177"/>
      <c r="AB108" s="1177"/>
      <c r="AC108" s="1177"/>
      <c r="AD108" s="1177"/>
      <c r="AE108" s="1177"/>
      <c r="AF108" s="1177"/>
      <c r="AG108" s="1177"/>
      <c r="AH108" s="1177"/>
      <c r="AI108" s="1177"/>
      <c r="AJ108" s="1177"/>
      <c r="AK108" s="1177"/>
      <c r="AL108" s="1177"/>
      <c r="AM108" s="1177"/>
      <c r="AN108" s="1177"/>
      <c r="AO108" s="1177"/>
      <c r="AP108" s="1177"/>
      <c r="AQ108" s="1177"/>
      <c r="AR108" s="1177"/>
      <c r="AS108" s="1177"/>
      <c r="AT108" s="1177"/>
      <c r="AU108" s="1177"/>
      <c r="AV108" s="1177"/>
      <c r="AW108" s="1177"/>
      <c r="AX108" s="1177"/>
      <c r="AY108" s="1177"/>
      <c r="AZ108" s="1177"/>
      <c r="BA108" s="1177"/>
      <c r="BB108" s="1177"/>
      <c r="BC108" s="1177"/>
    </row>
    <row r="109" spans="1:56" ht="17.100000000000001" customHeight="1" x14ac:dyDescent="0.15">
      <c r="A109" s="28"/>
      <c r="B109" s="1177"/>
      <c r="C109" s="1177"/>
      <c r="D109" s="1177"/>
      <c r="E109" s="1177"/>
      <c r="F109" s="1177"/>
      <c r="G109" s="1177"/>
      <c r="H109" s="1177"/>
      <c r="I109" s="1177"/>
      <c r="J109" s="1177"/>
      <c r="K109" s="1177"/>
      <c r="L109" s="1177"/>
      <c r="M109" s="1177"/>
      <c r="N109" s="1177"/>
      <c r="O109" s="1177"/>
      <c r="P109" s="1177"/>
      <c r="Q109" s="1177"/>
      <c r="R109" s="1177"/>
      <c r="S109" s="1177"/>
      <c r="T109" s="1177"/>
      <c r="U109" s="1177"/>
      <c r="V109" s="1177"/>
      <c r="W109" s="1177"/>
      <c r="X109" s="1177"/>
      <c r="Y109" s="1177"/>
      <c r="Z109" s="1177"/>
      <c r="AA109" s="1177"/>
      <c r="AB109" s="1177"/>
      <c r="AC109" s="1177"/>
      <c r="AD109" s="1177"/>
      <c r="AE109" s="1177"/>
      <c r="AF109" s="1177"/>
      <c r="AG109" s="1177"/>
      <c r="AH109" s="1177"/>
      <c r="AI109" s="1177"/>
      <c r="AJ109" s="1177"/>
      <c r="AK109" s="1177"/>
      <c r="AL109" s="1177"/>
      <c r="AM109" s="1177"/>
      <c r="AN109" s="1177"/>
      <c r="AO109" s="1177"/>
      <c r="AP109" s="1177"/>
      <c r="AQ109" s="1177"/>
      <c r="AR109" s="1177"/>
      <c r="AS109" s="1177"/>
      <c r="AT109" s="1177"/>
      <c r="AU109" s="1177"/>
      <c r="AV109" s="1177"/>
      <c r="AW109" s="1177"/>
      <c r="AX109" s="1177"/>
      <c r="AY109" s="1177"/>
      <c r="AZ109" s="1177"/>
      <c r="BA109" s="1177"/>
      <c r="BB109" s="1177"/>
      <c r="BC109" s="1177"/>
    </row>
    <row r="110" spans="1:56" ht="17.100000000000001" customHeight="1" x14ac:dyDescent="0.15">
      <c r="B110" s="1177"/>
      <c r="C110" s="1177"/>
      <c r="D110" s="1177"/>
      <c r="E110" s="1177"/>
      <c r="F110" s="1177"/>
      <c r="G110" s="1177"/>
      <c r="H110" s="1177"/>
      <c r="I110" s="1177"/>
      <c r="J110" s="1177"/>
      <c r="K110" s="1177"/>
      <c r="L110" s="1177"/>
      <c r="M110" s="1177"/>
      <c r="N110" s="1177"/>
      <c r="O110" s="1177"/>
      <c r="P110" s="1177"/>
      <c r="Q110" s="1177"/>
      <c r="R110" s="1177"/>
      <c r="S110" s="1177"/>
      <c r="T110" s="1177"/>
      <c r="U110" s="1177"/>
      <c r="V110" s="1177"/>
      <c r="W110" s="1177"/>
      <c r="X110" s="1177"/>
      <c r="Y110" s="1177"/>
      <c r="Z110" s="1177"/>
      <c r="AA110" s="1177"/>
      <c r="AB110" s="1177"/>
      <c r="AC110" s="1177"/>
      <c r="AD110" s="1177"/>
      <c r="AE110" s="1177"/>
      <c r="AF110" s="1177"/>
      <c r="AG110" s="1177"/>
      <c r="AH110" s="1177"/>
      <c r="AI110" s="1177"/>
      <c r="AJ110" s="1177"/>
      <c r="AK110" s="1177"/>
      <c r="AL110" s="1177"/>
      <c r="AM110" s="1177"/>
      <c r="AN110" s="1177"/>
      <c r="AO110" s="1177"/>
      <c r="AP110" s="1177"/>
      <c r="AQ110" s="1177"/>
      <c r="AR110" s="1177"/>
      <c r="AS110" s="1177"/>
      <c r="AT110" s="1177"/>
      <c r="AU110" s="1177"/>
      <c r="AV110" s="1177"/>
      <c r="AW110" s="1177"/>
      <c r="AX110" s="1177"/>
      <c r="AY110" s="1177"/>
      <c r="AZ110" s="1177"/>
      <c r="BA110" s="1177"/>
      <c r="BB110" s="1177"/>
      <c r="BC110" s="1177"/>
    </row>
    <row r="111" spans="1:56" ht="17.100000000000001" customHeight="1" x14ac:dyDescent="0.15">
      <c r="B111" s="1177"/>
      <c r="C111" s="1177"/>
      <c r="D111" s="1177"/>
      <c r="E111" s="1177"/>
      <c r="F111" s="1177"/>
      <c r="G111" s="1177"/>
      <c r="H111" s="1177"/>
      <c r="I111" s="1177"/>
      <c r="J111" s="1177"/>
      <c r="K111" s="1177"/>
      <c r="L111" s="1177"/>
      <c r="M111" s="1177"/>
      <c r="N111" s="1177"/>
      <c r="O111" s="1177"/>
      <c r="P111" s="1177"/>
      <c r="Q111" s="1177"/>
      <c r="R111" s="1177"/>
      <c r="S111" s="1177"/>
      <c r="T111" s="1177"/>
      <c r="U111" s="1177"/>
      <c r="V111" s="1177"/>
      <c r="W111" s="1177"/>
      <c r="X111" s="1177"/>
      <c r="Y111" s="1177"/>
      <c r="Z111" s="1177"/>
      <c r="AA111" s="1177"/>
      <c r="AB111" s="1177"/>
      <c r="AC111" s="1177"/>
      <c r="AD111" s="1177"/>
      <c r="AE111" s="1177"/>
      <c r="AF111" s="1177"/>
      <c r="AG111" s="1177"/>
      <c r="AH111" s="1177"/>
      <c r="AI111" s="1177"/>
      <c r="AJ111" s="1177"/>
      <c r="AK111" s="1177"/>
      <c r="AL111" s="1177"/>
      <c r="AM111" s="1177"/>
      <c r="AN111" s="1177"/>
      <c r="AO111" s="1177"/>
      <c r="AP111" s="1177"/>
      <c r="AQ111" s="1177"/>
      <c r="AR111" s="1177"/>
      <c r="AS111" s="1177"/>
      <c r="AT111" s="1177"/>
      <c r="AU111" s="1177"/>
      <c r="AV111" s="1177"/>
      <c r="AW111" s="1177"/>
      <c r="AX111" s="1177"/>
      <c r="AY111" s="1177"/>
      <c r="AZ111" s="1177"/>
      <c r="BA111" s="1177"/>
      <c r="BB111" s="1177"/>
      <c r="BC111" s="1177"/>
    </row>
    <row r="112" spans="1:56" ht="17.100000000000001" customHeight="1" x14ac:dyDescent="0.15">
      <c r="B112" s="1177"/>
      <c r="C112" s="1177"/>
      <c r="D112" s="1177"/>
      <c r="E112" s="1177"/>
      <c r="F112" s="1177"/>
      <c r="G112" s="1177"/>
      <c r="H112" s="1177"/>
      <c r="I112" s="1177"/>
      <c r="J112" s="1177"/>
      <c r="K112" s="1177"/>
      <c r="L112" s="1177"/>
      <c r="M112" s="1177"/>
      <c r="N112" s="1177"/>
      <c r="O112" s="1177"/>
      <c r="P112" s="1177"/>
      <c r="Q112" s="1177"/>
      <c r="R112" s="1177"/>
      <c r="S112" s="1177"/>
      <c r="T112" s="1177"/>
      <c r="U112" s="1177"/>
      <c r="V112" s="1177"/>
      <c r="W112" s="1177"/>
      <c r="X112" s="1177"/>
      <c r="Y112" s="1177"/>
      <c r="Z112" s="1177"/>
      <c r="AA112" s="1177"/>
      <c r="AB112" s="1177"/>
      <c r="AC112" s="1177"/>
      <c r="AD112" s="1177"/>
      <c r="AE112" s="1177"/>
      <c r="AF112" s="1177"/>
      <c r="AG112" s="1177"/>
      <c r="AH112" s="1177"/>
      <c r="AI112" s="1177"/>
      <c r="AJ112" s="1177"/>
      <c r="AK112" s="1177"/>
      <c r="AL112" s="1177"/>
      <c r="AM112" s="1177"/>
      <c r="AN112" s="1177"/>
      <c r="AO112" s="1177"/>
      <c r="AP112" s="1177"/>
      <c r="AQ112" s="1177"/>
      <c r="AR112" s="1177"/>
      <c r="AS112" s="1177"/>
      <c r="AT112" s="1177"/>
      <c r="AU112" s="1177"/>
      <c r="AV112" s="1177"/>
      <c r="AW112" s="1177"/>
      <c r="AX112" s="1177"/>
      <c r="AY112" s="1177"/>
      <c r="AZ112" s="1177"/>
      <c r="BA112" s="1177"/>
      <c r="BB112" s="1177"/>
      <c r="BC112" s="1177"/>
    </row>
    <row r="113" spans="2:79" ht="17.100000000000001" customHeight="1" x14ac:dyDescent="0.15">
      <c r="B113" s="1177"/>
      <c r="C113" s="1177"/>
      <c r="D113" s="1177"/>
      <c r="E113" s="1177"/>
      <c r="F113" s="1177"/>
      <c r="G113" s="1177"/>
      <c r="H113" s="1177"/>
      <c r="I113" s="1177"/>
      <c r="J113" s="1177"/>
      <c r="K113" s="1177"/>
      <c r="L113" s="1177"/>
      <c r="M113" s="1177"/>
      <c r="N113" s="1177"/>
      <c r="O113" s="1177"/>
      <c r="P113" s="1177"/>
      <c r="Q113" s="1177"/>
      <c r="R113" s="1177"/>
      <c r="S113" s="1177"/>
      <c r="T113" s="1177"/>
      <c r="U113" s="1177"/>
      <c r="V113" s="1177"/>
      <c r="W113" s="1177"/>
      <c r="X113" s="1177"/>
      <c r="Y113" s="1177"/>
      <c r="Z113" s="1177"/>
      <c r="AA113" s="1177"/>
      <c r="AB113" s="1177"/>
      <c r="AC113" s="1177"/>
      <c r="AD113" s="1177"/>
      <c r="AE113" s="1177"/>
      <c r="AF113" s="1177"/>
      <c r="AG113" s="1177"/>
      <c r="AH113" s="1177"/>
      <c r="AI113" s="1177"/>
      <c r="AJ113" s="1177"/>
      <c r="AK113" s="1177"/>
      <c r="AL113" s="1177"/>
      <c r="AM113" s="1177"/>
      <c r="AN113" s="1177"/>
      <c r="AO113" s="1177"/>
      <c r="AP113" s="1177"/>
      <c r="AQ113" s="1177"/>
      <c r="AR113" s="1177"/>
      <c r="AS113" s="1177"/>
      <c r="AT113" s="1177"/>
      <c r="AU113" s="1177"/>
      <c r="AV113" s="1177"/>
      <c r="AW113" s="1177"/>
      <c r="AX113" s="1177"/>
      <c r="AY113" s="1177"/>
      <c r="AZ113" s="1177"/>
      <c r="BA113" s="1177"/>
      <c r="BB113" s="1177"/>
      <c r="BC113" s="1177"/>
    </row>
    <row r="116" spans="2:79" ht="17.100000000000001" customHeight="1" x14ac:dyDescent="0.15">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row>
    <row r="117" spans="2:79" ht="17.100000000000001" customHeight="1" x14ac:dyDescent="0.15">
      <c r="BD117" s="28"/>
      <c r="BE117" s="28"/>
      <c r="BF117" s="28"/>
      <c r="BG117" s="28"/>
      <c r="BH117" s="28"/>
      <c r="BI117" s="28"/>
      <c r="BJ117" s="28"/>
      <c r="BK117" s="28"/>
      <c r="BL117" s="28"/>
      <c r="BM117" s="28"/>
      <c r="BN117" s="28"/>
      <c r="BO117" s="28"/>
      <c r="BP117" s="28"/>
      <c r="BQ117" s="28"/>
      <c r="BR117" s="28"/>
      <c r="BS117" s="28"/>
      <c r="BT117" s="28"/>
      <c r="BU117" s="28"/>
      <c r="BV117" s="28"/>
      <c r="BW117" s="28"/>
      <c r="BX117" s="28"/>
      <c r="BY117" s="28"/>
      <c r="BZ117" s="28"/>
      <c r="CA117" s="28"/>
    </row>
    <row r="118" spans="2:79" ht="17.100000000000001" customHeight="1" x14ac:dyDescent="0.15">
      <c r="BD118" s="28"/>
      <c r="BE118" s="28"/>
      <c r="BF118" s="28"/>
      <c r="BG118" s="28"/>
      <c r="BH118" s="28"/>
      <c r="BI118" s="28"/>
      <c r="BJ118" s="28"/>
      <c r="BK118" s="28"/>
      <c r="BL118" s="28"/>
      <c r="BM118" s="28"/>
      <c r="BN118" s="28"/>
      <c r="BO118" s="28"/>
      <c r="BP118" s="28"/>
      <c r="BQ118" s="28"/>
      <c r="BR118" s="28"/>
      <c r="BS118" s="28"/>
      <c r="BT118" s="28"/>
      <c r="BU118" s="28"/>
      <c r="BV118" s="28"/>
      <c r="BW118" s="28"/>
      <c r="BX118" s="28"/>
      <c r="BY118" s="28"/>
      <c r="BZ118" s="28"/>
      <c r="CA118" s="28"/>
    </row>
    <row r="119" spans="2:79" ht="17.100000000000001" customHeight="1" x14ac:dyDescent="0.15">
      <c r="BD119" s="28"/>
      <c r="BE119" s="28"/>
      <c r="BF119" s="28"/>
      <c r="BG119" s="28"/>
      <c r="BH119" s="28"/>
      <c r="BI119" s="28"/>
      <c r="BJ119" s="28"/>
      <c r="BK119" s="28"/>
      <c r="BL119" s="28"/>
      <c r="BM119" s="28"/>
      <c r="BN119" s="28"/>
      <c r="BO119" s="28"/>
      <c r="BP119" s="28"/>
      <c r="BQ119" s="28"/>
      <c r="BR119" s="28"/>
      <c r="BS119" s="28"/>
      <c r="BT119" s="28"/>
      <c r="BU119" s="28"/>
      <c r="BV119" s="28"/>
      <c r="BW119" s="28"/>
      <c r="BX119" s="28"/>
      <c r="BY119" s="28"/>
      <c r="BZ119" s="28"/>
      <c r="CA119" s="28"/>
    </row>
    <row r="120" spans="2:79" ht="17.100000000000001" customHeight="1" x14ac:dyDescent="0.15">
      <c r="BD120" s="28"/>
      <c r="BE120" s="28"/>
      <c r="BF120" s="28"/>
      <c r="BG120" s="28"/>
      <c r="BH120" s="28"/>
      <c r="BI120" s="28"/>
      <c r="BJ120" s="28"/>
      <c r="BK120" s="28"/>
      <c r="BL120" s="28"/>
      <c r="BM120" s="28"/>
      <c r="BN120" s="28"/>
      <c r="BO120" s="28"/>
      <c r="BP120" s="28"/>
      <c r="BQ120" s="28"/>
      <c r="BR120" s="28"/>
      <c r="BS120" s="28"/>
      <c r="BT120" s="28"/>
      <c r="BU120" s="28"/>
      <c r="BV120" s="28"/>
      <c r="BW120" s="28"/>
      <c r="BX120" s="28"/>
      <c r="BY120" s="28"/>
      <c r="BZ120" s="28"/>
      <c r="CA120" s="28"/>
    </row>
    <row r="121" spans="2:79" ht="17.100000000000001" customHeight="1" x14ac:dyDescent="0.15">
      <c r="BD121" s="28"/>
      <c r="BE121" s="28"/>
      <c r="BF121" s="28"/>
      <c r="BG121" s="28"/>
      <c r="BH121" s="28"/>
      <c r="BI121" s="28"/>
      <c r="BJ121" s="28"/>
      <c r="BK121" s="28"/>
      <c r="BL121" s="28"/>
      <c r="BM121" s="28"/>
      <c r="BN121" s="28"/>
      <c r="BO121" s="28"/>
      <c r="BP121" s="28"/>
      <c r="BQ121" s="28"/>
      <c r="BR121" s="28"/>
      <c r="BS121" s="28"/>
      <c r="BT121" s="28"/>
      <c r="BU121" s="28"/>
      <c r="BV121" s="28"/>
      <c r="BW121" s="28"/>
      <c r="BX121" s="28"/>
      <c r="BY121" s="28"/>
      <c r="BZ121" s="28"/>
      <c r="CA121" s="28"/>
    </row>
    <row r="122" spans="2:79" ht="17.100000000000001" customHeight="1" x14ac:dyDescent="0.15">
      <c r="BD122" s="28"/>
      <c r="BE122" s="28"/>
      <c r="BF122" s="28"/>
      <c r="BG122" s="28"/>
      <c r="BH122" s="28"/>
      <c r="BI122" s="28"/>
      <c r="BJ122" s="28"/>
      <c r="BK122" s="28"/>
      <c r="BL122" s="28"/>
      <c r="BM122" s="28"/>
      <c r="BN122" s="28"/>
      <c r="BO122" s="28"/>
      <c r="BP122" s="28"/>
      <c r="BQ122" s="28"/>
      <c r="BR122" s="28"/>
      <c r="BS122" s="28"/>
      <c r="BT122" s="28"/>
      <c r="BU122" s="28"/>
      <c r="BV122" s="28"/>
      <c r="BW122" s="28"/>
      <c r="BX122" s="28"/>
      <c r="BY122" s="28"/>
      <c r="BZ122" s="28"/>
      <c r="CA122" s="28"/>
    </row>
    <row r="123" spans="2:79" ht="17.100000000000001" customHeight="1" x14ac:dyDescent="0.15">
      <c r="BD123" s="28"/>
      <c r="BE123" s="28"/>
      <c r="BF123" s="28"/>
      <c r="BG123" s="28"/>
      <c r="BH123" s="28"/>
      <c r="BI123" s="28"/>
      <c r="BJ123" s="28"/>
      <c r="BK123" s="28"/>
      <c r="BL123" s="28"/>
      <c r="BM123" s="28"/>
      <c r="BN123" s="28"/>
      <c r="BO123" s="28"/>
      <c r="BP123" s="28"/>
      <c r="BQ123" s="28"/>
      <c r="BR123" s="28"/>
      <c r="BS123" s="28"/>
      <c r="BT123" s="28"/>
      <c r="BU123" s="28"/>
      <c r="BV123" s="28"/>
      <c r="BW123" s="28"/>
      <c r="BX123" s="28"/>
      <c r="BY123" s="28"/>
      <c r="BZ123" s="28"/>
      <c r="CA123" s="28"/>
    </row>
    <row r="124" spans="2:79" ht="17.100000000000001" customHeight="1" x14ac:dyDescent="0.15">
      <c r="BD124" s="28"/>
      <c r="BE124" s="28"/>
      <c r="BF124" s="28"/>
      <c r="BG124" s="28"/>
      <c r="BH124" s="28"/>
      <c r="BI124" s="28"/>
      <c r="BJ124" s="28"/>
      <c r="BK124" s="28"/>
      <c r="BL124" s="28"/>
      <c r="BM124" s="28"/>
      <c r="BN124" s="28"/>
      <c r="BO124" s="28"/>
      <c r="BP124" s="28"/>
      <c r="BQ124" s="28"/>
      <c r="BR124" s="28"/>
      <c r="BS124" s="28"/>
      <c r="BT124" s="28"/>
      <c r="BU124" s="28"/>
      <c r="BV124" s="28"/>
      <c r="BW124" s="28"/>
      <c r="BX124" s="28"/>
      <c r="BY124" s="28"/>
      <c r="BZ124" s="28"/>
      <c r="CA124" s="28"/>
    </row>
    <row r="125" spans="2:79" ht="17.100000000000001" customHeight="1" x14ac:dyDescent="0.15">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row>
    <row r="126" spans="2:79" ht="17.100000000000001" customHeight="1" x14ac:dyDescent="0.15">
      <c r="BD126" s="28"/>
      <c r="BE126" s="28"/>
      <c r="BF126" s="28"/>
      <c r="BG126" s="28"/>
      <c r="BH126" s="28"/>
      <c r="BI126" s="28"/>
      <c r="BJ126" s="28"/>
      <c r="BK126" s="28"/>
      <c r="BL126" s="28"/>
      <c r="BM126" s="28"/>
      <c r="BN126" s="28"/>
      <c r="BO126" s="28"/>
      <c r="BP126" s="28"/>
      <c r="BQ126" s="28"/>
      <c r="BR126" s="28"/>
      <c r="BS126" s="28"/>
      <c r="BT126" s="28"/>
      <c r="BU126" s="28"/>
      <c r="BV126" s="28"/>
      <c r="BW126" s="28"/>
      <c r="BX126" s="28"/>
      <c r="BY126" s="28"/>
      <c r="BZ126" s="28"/>
      <c r="CA126" s="28"/>
    </row>
    <row r="127" spans="2:79" ht="17.100000000000001" customHeight="1" x14ac:dyDescent="0.15">
      <c r="BD127" s="28"/>
      <c r="BE127" s="28"/>
      <c r="BF127" s="28"/>
      <c r="BG127" s="28"/>
      <c r="BH127" s="28"/>
      <c r="BI127" s="28"/>
      <c r="BJ127" s="28"/>
      <c r="BK127" s="28"/>
      <c r="BL127" s="28"/>
      <c r="BM127" s="28"/>
      <c r="BN127" s="28"/>
      <c r="BO127" s="28"/>
      <c r="BP127" s="28"/>
      <c r="BQ127" s="28"/>
      <c r="BR127" s="28"/>
      <c r="BS127" s="28"/>
      <c r="BT127" s="28"/>
      <c r="BU127" s="28"/>
      <c r="BV127" s="28"/>
      <c r="BW127" s="28"/>
      <c r="BX127" s="28"/>
      <c r="BY127" s="28"/>
      <c r="BZ127" s="28"/>
      <c r="CA127" s="28"/>
    </row>
    <row r="128" spans="2:79" ht="17.100000000000001" customHeight="1" x14ac:dyDescent="0.15">
      <c r="BD128" s="28"/>
      <c r="BE128" s="28"/>
      <c r="BF128" s="28"/>
      <c r="BG128" s="28"/>
      <c r="BH128" s="28"/>
      <c r="BI128" s="28"/>
      <c r="BJ128" s="28"/>
      <c r="BK128" s="28"/>
      <c r="BL128" s="28"/>
      <c r="BM128" s="28"/>
      <c r="BN128" s="28"/>
      <c r="BO128" s="28"/>
      <c r="BP128" s="28"/>
      <c r="BQ128" s="28"/>
      <c r="BR128" s="28"/>
      <c r="BS128" s="28"/>
      <c r="BT128" s="28"/>
      <c r="BU128" s="28"/>
      <c r="BV128" s="28"/>
      <c r="BW128" s="28"/>
      <c r="BX128" s="28"/>
      <c r="BY128" s="28"/>
      <c r="BZ128" s="28"/>
      <c r="CA128" s="28"/>
    </row>
    <row r="129" spans="56:79" ht="17.100000000000001" customHeight="1" x14ac:dyDescent="0.15">
      <c r="BD129" s="28"/>
      <c r="BE129" s="28"/>
      <c r="BF129" s="28"/>
      <c r="BG129" s="28"/>
      <c r="BH129" s="28"/>
      <c r="BI129" s="28"/>
      <c r="BJ129" s="28"/>
      <c r="BK129" s="28"/>
      <c r="BL129" s="28"/>
      <c r="BM129" s="28"/>
      <c r="BN129" s="28"/>
      <c r="BO129" s="28"/>
      <c r="BP129" s="28"/>
      <c r="BQ129" s="28"/>
      <c r="BR129" s="28"/>
      <c r="BS129" s="28"/>
      <c r="BT129" s="28"/>
      <c r="BU129" s="28"/>
      <c r="BV129" s="28"/>
      <c r="BW129" s="28"/>
      <c r="BX129" s="28"/>
      <c r="BY129" s="28"/>
      <c r="BZ129" s="28"/>
      <c r="CA129" s="28"/>
    </row>
    <row r="130" spans="56:79" ht="17.100000000000001" customHeight="1" x14ac:dyDescent="0.15">
      <c r="BD130" s="28"/>
      <c r="BE130" s="28"/>
      <c r="BF130" s="28"/>
      <c r="BG130" s="28"/>
      <c r="BH130" s="28"/>
      <c r="BI130" s="28"/>
      <c r="BJ130" s="28"/>
      <c r="BK130" s="28"/>
      <c r="BL130" s="28"/>
      <c r="BM130" s="28"/>
      <c r="BN130" s="28"/>
      <c r="BO130" s="28"/>
      <c r="BP130" s="28"/>
      <c r="BQ130" s="28"/>
      <c r="BR130" s="28"/>
      <c r="BS130" s="28"/>
      <c r="BT130" s="28"/>
      <c r="BU130" s="28"/>
      <c r="BV130" s="28"/>
      <c r="BW130" s="28"/>
      <c r="BX130" s="28"/>
      <c r="BY130" s="28"/>
      <c r="BZ130" s="28"/>
      <c r="CA130" s="28"/>
    </row>
    <row r="131" spans="56:79" ht="17.100000000000001" customHeight="1" x14ac:dyDescent="0.15">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row>
    <row r="132" spans="56:79" ht="17.100000000000001" customHeight="1" x14ac:dyDescent="0.15">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row>
    <row r="133" spans="56:79" ht="17.100000000000001" customHeight="1" x14ac:dyDescent="0.15">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row>
    <row r="134" spans="56:79" ht="17.100000000000001" customHeight="1" x14ac:dyDescent="0.15">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row>
    <row r="135" spans="56:79" ht="17.100000000000001" customHeight="1" x14ac:dyDescent="0.15">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row>
    <row r="136" spans="56:79" ht="17.100000000000001" customHeight="1" x14ac:dyDescent="0.15">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row>
    <row r="137" spans="56:79" ht="17.100000000000001" customHeight="1" x14ac:dyDescent="0.15">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row>
    <row r="138" spans="56:79" ht="17.100000000000001" customHeight="1" x14ac:dyDescent="0.15">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row>
    <row r="139" spans="56:79" ht="17.100000000000001" customHeight="1" x14ac:dyDescent="0.15">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row>
    <row r="140" spans="56:79" ht="17.100000000000001" customHeight="1" x14ac:dyDescent="0.15">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row>
    <row r="141" spans="56:79" ht="17.100000000000001" customHeight="1" x14ac:dyDescent="0.15">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row>
    <row r="142" spans="56:79" ht="17.100000000000001" customHeight="1" x14ac:dyDescent="0.15">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row>
    <row r="143" spans="56:79" ht="17.100000000000001" customHeight="1" x14ac:dyDescent="0.15">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row>
    <row r="144" spans="56:79" ht="17.100000000000001" customHeight="1" x14ac:dyDescent="0.15">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row>
    <row r="145" spans="56:79" ht="17.100000000000001" customHeight="1" x14ac:dyDescent="0.15">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row>
  </sheetData>
  <sheetProtection sheet="1" objects="1" scenarios="1"/>
  <mergeCells count="584">
    <mergeCell ref="BF71:BH71"/>
    <mergeCell ref="BF72:BH72"/>
    <mergeCell ref="BP78:BR78"/>
    <mergeCell ref="BF85:BH85"/>
    <mergeCell ref="BF87:BH87"/>
    <mergeCell ref="BF83:BH83"/>
    <mergeCell ref="BF70:BH70"/>
    <mergeCell ref="BP70:BR70"/>
    <mergeCell ref="BS71:BY71"/>
    <mergeCell ref="BI75:BO75"/>
    <mergeCell ref="BF76:BH76"/>
    <mergeCell ref="BP72:BR72"/>
    <mergeCell ref="BF73:BH73"/>
    <mergeCell ref="BS78:BY78"/>
    <mergeCell ref="BI78:BO78"/>
    <mergeCell ref="BI72:BO72"/>
    <mergeCell ref="BI73:BO73"/>
    <mergeCell ref="BI74:BO74"/>
    <mergeCell ref="BP74:BR74"/>
    <mergeCell ref="BS74:BY74"/>
    <mergeCell ref="BP75:BR75"/>
    <mergeCell ref="BS75:BY75"/>
    <mergeCell ref="BP76:BR76"/>
    <mergeCell ref="BS76:BY76"/>
    <mergeCell ref="BL88:BN88"/>
    <mergeCell ref="BO88:BQ88"/>
    <mergeCell ref="BF88:BH88"/>
    <mergeCell ref="BX82:BZ82"/>
    <mergeCell ref="BU83:BW83"/>
    <mergeCell ref="BX83:BZ83"/>
    <mergeCell ref="AS84:AZ84"/>
    <mergeCell ref="AS85:AZ85"/>
    <mergeCell ref="AS86:AZ86"/>
    <mergeCell ref="AS87:AZ87"/>
    <mergeCell ref="AS88:AZ88"/>
    <mergeCell ref="BO82:BQ82"/>
    <mergeCell ref="BF82:BH82"/>
    <mergeCell ref="BI88:BK88"/>
    <mergeCell ref="BR88:BT88"/>
    <mergeCell ref="BR82:BT82"/>
    <mergeCell ref="BR83:BT83"/>
    <mergeCell ref="BU82:BW82"/>
    <mergeCell ref="BL85:BN85"/>
    <mergeCell ref="Y84:AF84"/>
    <mergeCell ref="Y85:AF85"/>
    <mergeCell ref="Y86:AF86"/>
    <mergeCell ref="Y87:AF87"/>
    <mergeCell ref="Y88:AF88"/>
    <mergeCell ref="AI84:AP84"/>
    <mergeCell ref="AI85:AP85"/>
    <mergeCell ref="AI86:AP86"/>
    <mergeCell ref="AI87:AP87"/>
    <mergeCell ref="AI88:AP88"/>
    <mergeCell ref="E84:L84"/>
    <mergeCell ref="E85:L85"/>
    <mergeCell ref="E86:L86"/>
    <mergeCell ref="E87:L87"/>
    <mergeCell ref="E88:L88"/>
    <mergeCell ref="O84:V84"/>
    <mergeCell ref="O85:V85"/>
    <mergeCell ref="O86:V86"/>
    <mergeCell ref="O87:V87"/>
    <mergeCell ref="O88:V88"/>
    <mergeCell ref="BF90:BH90"/>
    <mergeCell ref="BI90:BK90"/>
    <mergeCell ref="BL90:BN90"/>
    <mergeCell ref="BO90:BQ90"/>
    <mergeCell ref="BR90:BT90"/>
    <mergeCell ref="BU90:BW90"/>
    <mergeCell ref="BX90:BZ90"/>
    <mergeCell ref="BR86:BT86"/>
    <mergeCell ref="BO84:BQ84"/>
    <mergeCell ref="BR84:BT84"/>
    <mergeCell ref="BR85:BT85"/>
    <mergeCell ref="BO86:BQ86"/>
    <mergeCell ref="BI85:BK85"/>
    <mergeCell ref="BU86:BW86"/>
    <mergeCell ref="BX86:BZ86"/>
    <mergeCell ref="BU87:BW87"/>
    <mergeCell ref="BX87:BZ87"/>
    <mergeCell ref="BU88:BW88"/>
    <mergeCell ref="BX88:BZ88"/>
    <mergeCell ref="BU89:BW89"/>
    <mergeCell ref="BX89:BZ89"/>
    <mergeCell ref="BF89:BH89"/>
    <mergeCell ref="BI89:BK89"/>
    <mergeCell ref="BL89:BN89"/>
    <mergeCell ref="BF91:BH91"/>
    <mergeCell ref="BI91:BK91"/>
    <mergeCell ref="BL91:BN91"/>
    <mergeCell ref="BO91:BQ91"/>
    <mergeCell ref="BR91:BT91"/>
    <mergeCell ref="BU91:BW91"/>
    <mergeCell ref="BX91:BZ91"/>
    <mergeCell ref="BI83:BK83"/>
    <mergeCell ref="CH42:CK42"/>
    <mergeCell ref="BL83:BN83"/>
    <mergeCell ref="BI48:BK48"/>
    <mergeCell ref="BI82:BK82"/>
    <mergeCell ref="CD55:CE56"/>
    <mergeCell ref="CH61:CI61"/>
    <mergeCell ref="BF84:BH84"/>
    <mergeCell ref="BI84:BK84"/>
    <mergeCell ref="BL84:BN84"/>
    <mergeCell ref="BF86:BH86"/>
    <mergeCell ref="BI86:BK86"/>
    <mergeCell ref="BL86:BN86"/>
    <mergeCell ref="BR87:BT87"/>
    <mergeCell ref="BI87:BK87"/>
    <mergeCell ref="BL87:BN87"/>
    <mergeCell ref="BO87:BQ87"/>
    <mergeCell ref="BO89:BQ89"/>
    <mergeCell ref="BR89:BT89"/>
    <mergeCell ref="CL42:CO42"/>
    <mergeCell ref="CP42:CS42"/>
    <mergeCell ref="CT42:CW42"/>
    <mergeCell ref="CH43:CK43"/>
    <mergeCell ref="CL43:CO43"/>
    <mergeCell ref="CP43:CS43"/>
    <mergeCell ref="CT43:CW43"/>
    <mergeCell ref="BQ45:BS45"/>
    <mergeCell ref="BP53:BS53"/>
    <mergeCell ref="CH46:CI47"/>
    <mergeCell ref="CC53:CD53"/>
    <mergeCell ref="CE53:CF53"/>
    <mergeCell ref="CH48:CI48"/>
    <mergeCell ref="BU84:BW84"/>
    <mergeCell ref="BX84:BZ84"/>
    <mergeCell ref="BU85:BW85"/>
    <mergeCell ref="BX85:BZ85"/>
    <mergeCell ref="BP73:BR73"/>
    <mergeCell ref="BP71:BR71"/>
    <mergeCell ref="BO83:BQ83"/>
    <mergeCell ref="BO85:BQ85"/>
    <mergeCell ref="BF79:BY79"/>
    <mergeCell ref="AL49:AR49"/>
    <mergeCell ref="AT49:AZ49"/>
    <mergeCell ref="AD48:AJ48"/>
    <mergeCell ref="BG34:BH34"/>
    <mergeCell ref="AI35:AP35"/>
    <mergeCell ref="AL45:AR45"/>
    <mergeCell ref="AT45:AZ45"/>
    <mergeCell ref="AL48:AR48"/>
    <mergeCell ref="AD47:AJ47"/>
    <mergeCell ref="AL47:AR47"/>
    <mergeCell ref="AT47:AZ47"/>
    <mergeCell ref="AT46:AZ46"/>
    <mergeCell ref="BA38:BH38"/>
    <mergeCell ref="BA34:BF34"/>
    <mergeCell ref="AR36:AY36"/>
    <mergeCell ref="AD49:AJ49"/>
    <mergeCell ref="BF43:BH43"/>
    <mergeCell ref="Z34:AE34"/>
    <mergeCell ref="AF34:AG34"/>
    <mergeCell ref="BA37:BH37"/>
    <mergeCell ref="AO34:AP34"/>
    <mergeCell ref="Z35:AG35"/>
    <mergeCell ref="Q36:X36"/>
    <mergeCell ref="Z31:AG31"/>
    <mergeCell ref="AI31:AP31"/>
    <mergeCell ref="Q30:X30"/>
    <mergeCell ref="Q29:X29"/>
    <mergeCell ref="Q35:X35"/>
    <mergeCell ref="Q34:V34"/>
    <mergeCell ref="Q31:X31"/>
    <mergeCell ref="Z29:AG29"/>
    <mergeCell ref="Z36:AG36"/>
    <mergeCell ref="C3:E22"/>
    <mergeCell ref="F3:H36"/>
    <mergeCell ref="I3:K22"/>
    <mergeCell ref="L3:N22"/>
    <mergeCell ref="Z4:AE4"/>
    <mergeCell ref="AF4:AG4"/>
    <mergeCell ref="Q18:X18"/>
    <mergeCell ref="Z18:AG18"/>
    <mergeCell ref="AR24:AY24"/>
    <mergeCell ref="AR28:AW28"/>
    <mergeCell ref="AR32:AY32"/>
    <mergeCell ref="AR30:AY30"/>
    <mergeCell ref="AR31:AY31"/>
    <mergeCell ref="AR29:AY29"/>
    <mergeCell ref="Z32:AG32"/>
    <mergeCell ref="AR26:AY26"/>
    <mergeCell ref="AX28:AY28"/>
    <mergeCell ref="AR25:AY25"/>
    <mergeCell ref="AO28:AP28"/>
    <mergeCell ref="Q7:X7"/>
    <mergeCell ref="Q8:X8"/>
    <mergeCell ref="Z7:AG7"/>
    <mergeCell ref="Q24:X24"/>
    <mergeCell ref="Q20:X20"/>
    <mergeCell ref="E46:K46"/>
    <mergeCell ref="AI34:AN34"/>
    <mergeCell ref="AI36:AP36"/>
    <mergeCell ref="M46:S46"/>
    <mergeCell ref="U46:AA46"/>
    <mergeCell ref="AL46:AR46"/>
    <mergeCell ref="AD45:AJ45"/>
    <mergeCell ref="AD46:AJ46"/>
    <mergeCell ref="Q38:X38"/>
    <mergeCell ref="Z38:AG38"/>
    <mergeCell ref="AI38:AP38"/>
    <mergeCell ref="AR38:AY38"/>
    <mergeCell ref="M45:S45"/>
    <mergeCell ref="U45:AA45"/>
    <mergeCell ref="E45:K45"/>
    <mergeCell ref="Q37:X37"/>
    <mergeCell ref="Z37:AG37"/>
    <mergeCell ref="AI37:AP37"/>
    <mergeCell ref="AR37:AY37"/>
    <mergeCell ref="AR35:AY35"/>
    <mergeCell ref="AR34:AW34"/>
    <mergeCell ref="AX34:AY34"/>
    <mergeCell ref="K36:N36"/>
    <mergeCell ref="W34:X34"/>
    <mergeCell ref="AX4:AY4"/>
    <mergeCell ref="BA4:BF4"/>
    <mergeCell ref="BG4:BH4"/>
    <mergeCell ref="BJ4:BO4"/>
    <mergeCell ref="AI8:AP8"/>
    <mergeCell ref="BA6:BH6"/>
    <mergeCell ref="BS6:BZ6"/>
    <mergeCell ref="AI4:AN4"/>
    <mergeCell ref="BA5:BH5"/>
    <mergeCell ref="BJ5:BQ5"/>
    <mergeCell ref="BA7:BH7"/>
    <mergeCell ref="BS2:BZ2"/>
    <mergeCell ref="BJ6:BQ6"/>
    <mergeCell ref="Q4:V4"/>
    <mergeCell ref="W4:X4"/>
    <mergeCell ref="BS4:BX4"/>
    <mergeCell ref="BY4:BZ4"/>
    <mergeCell ref="AI5:AP5"/>
    <mergeCell ref="AR5:AY5"/>
    <mergeCell ref="Q6:X6"/>
    <mergeCell ref="Q2:X2"/>
    <mergeCell ref="Z2:AG2"/>
    <mergeCell ref="AI2:AP2"/>
    <mergeCell ref="AR2:AY2"/>
    <mergeCell ref="BA2:BH2"/>
    <mergeCell ref="BJ2:BQ2"/>
    <mergeCell ref="Z5:AG5"/>
    <mergeCell ref="Z6:AG6"/>
    <mergeCell ref="BP4:BQ4"/>
    <mergeCell ref="Q5:X5"/>
    <mergeCell ref="AI6:AP6"/>
    <mergeCell ref="AR6:AY6"/>
    <mergeCell ref="BS5:BZ5"/>
    <mergeCell ref="AO4:AP4"/>
    <mergeCell ref="AR4:AW4"/>
    <mergeCell ref="Z20:AG20"/>
    <mergeCell ref="AI20:AP20"/>
    <mergeCell ref="AI32:AP32"/>
    <mergeCell ref="Q25:X25"/>
    <mergeCell ref="Q28:V28"/>
    <mergeCell ref="W28:X28"/>
    <mergeCell ref="Q26:X26"/>
    <mergeCell ref="Z23:AG23"/>
    <mergeCell ref="Z24:AG24"/>
    <mergeCell ref="AI24:AP24"/>
    <mergeCell ref="AI29:AP29"/>
    <mergeCell ref="Z30:AG30"/>
    <mergeCell ref="AI30:AP30"/>
    <mergeCell ref="Z26:AG26"/>
    <mergeCell ref="AI26:AP26"/>
    <mergeCell ref="Q32:X32"/>
    <mergeCell ref="Z25:AG25"/>
    <mergeCell ref="AI25:AP25"/>
    <mergeCell ref="AI22:AN22"/>
    <mergeCell ref="AO22:AP22"/>
    <mergeCell ref="Z22:AE22"/>
    <mergeCell ref="Z28:AE28"/>
    <mergeCell ref="AF28:AG28"/>
    <mergeCell ref="AI28:AN28"/>
    <mergeCell ref="Q19:X19"/>
    <mergeCell ref="Z19:AG19"/>
    <mergeCell ref="AI19:AP19"/>
    <mergeCell ref="Q23:X23"/>
    <mergeCell ref="BP16:BQ16"/>
    <mergeCell ref="Q22:V22"/>
    <mergeCell ref="W22:X22"/>
    <mergeCell ref="AI18:AP18"/>
    <mergeCell ref="AF22:AG22"/>
    <mergeCell ref="AR17:AY17"/>
    <mergeCell ref="BJ23:BQ23"/>
    <mergeCell ref="AI23:AP23"/>
    <mergeCell ref="AR23:AY23"/>
    <mergeCell ref="AR22:AW22"/>
    <mergeCell ref="AX22:AY22"/>
    <mergeCell ref="BA22:BF22"/>
    <mergeCell ref="Q17:X17"/>
    <mergeCell ref="Z17:AG17"/>
    <mergeCell ref="AI17:AP17"/>
    <mergeCell ref="AR20:AY20"/>
    <mergeCell ref="BA20:BH20"/>
    <mergeCell ref="Q16:V16"/>
    <mergeCell ref="W16:X16"/>
    <mergeCell ref="BA19:BH19"/>
    <mergeCell ref="Q11:X11"/>
    <mergeCell ref="Z11:AG11"/>
    <mergeCell ref="AI11:AP11"/>
    <mergeCell ref="AR11:AY11"/>
    <mergeCell ref="Z16:AE16"/>
    <mergeCell ref="AF16:AG16"/>
    <mergeCell ref="AR18:AY18"/>
    <mergeCell ref="AR8:AY8"/>
    <mergeCell ref="BA8:BH8"/>
    <mergeCell ref="Q12:X12"/>
    <mergeCell ref="AI12:AP12"/>
    <mergeCell ref="AI10:AN10"/>
    <mergeCell ref="AO10:AP10"/>
    <mergeCell ref="Q10:V10"/>
    <mergeCell ref="W10:X10"/>
    <mergeCell ref="Z10:AE10"/>
    <mergeCell ref="AF10:AG10"/>
    <mergeCell ref="Z12:AG12"/>
    <mergeCell ref="BA11:BH11"/>
    <mergeCell ref="BA10:BF10"/>
    <mergeCell ref="AR10:AW10"/>
    <mergeCell ref="AX10:AY10"/>
    <mergeCell ref="Q14:X14"/>
    <mergeCell ref="Z14:AG14"/>
    <mergeCell ref="BS13:BZ13"/>
    <mergeCell ref="BS11:BZ11"/>
    <mergeCell ref="AR13:AY13"/>
    <mergeCell ref="BA13:BH13"/>
    <mergeCell ref="BJ13:BQ13"/>
    <mergeCell ref="Z8:AG8"/>
    <mergeCell ref="AI7:AP7"/>
    <mergeCell ref="AR7:AY7"/>
    <mergeCell ref="BJ7:BQ7"/>
    <mergeCell ref="BS7:BZ7"/>
    <mergeCell ref="BJ8:BQ8"/>
    <mergeCell ref="BS8:BZ8"/>
    <mergeCell ref="BS10:BX10"/>
    <mergeCell ref="BY10:BZ10"/>
    <mergeCell ref="BS12:BZ12"/>
    <mergeCell ref="BG10:BH10"/>
    <mergeCell ref="AR12:AY12"/>
    <mergeCell ref="BJ11:BQ11"/>
    <mergeCell ref="BJ10:BO10"/>
    <mergeCell ref="BP10:BQ10"/>
    <mergeCell ref="BA12:BH12"/>
    <mergeCell ref="BJ12:BQ12"/>
    <mergeCell ref="BS14:BZ14"/>
    <mergeCell ref="Q13:X13"/>
    <mergeCell ref="Z13:AG13"/>
    <mergeCell ref="AI13:AP13"/>
    <mergeCell ref="BS16:BX16"/>
    <mergeCell ref="BY16:BZ16"/>
    <mergeCell ref="BA18:BH18"/>
    <mergeCell ref="BJ18:BQ18"/>
    <mergeCell ref="AT48:AZ48"/>
    <mergeCell ref="AR19:AY19"/>
    <mergeCell ref="BJ22:BO22"/>
    <mergeCell ref="BP22:BQ22"/>
    <mergeCell ref="BJ30:BQ30"/>
    <mergeCell ref="BS30:BZ30"/>
    <mergeCell ref="BJ31:BQ31"/>
    <mergeCell ref="BS31:BZ31"/>
    <mergeCell ref="BJ32:BQ32"/>
    <mergeCell ref="BS32:BZ32"/>
    <mergeCell ref="BS38:BZ38"/>
    <mergeCell ref="BJ38:BQ38"/>
    <mergeCell ref="BJ20:BQ20"/>
    <mergeCell ref="BJ24:BQ24"/>
    <mergeCell ref="BA28:BF28"/>
    <mergeCell ref="BG28:BH28"/>
    <mergeCell ref="BJ19:BQ19"/>
    <mergeCell ref="BG22:BH22"/>
    <mergeCell ref="BS17:BZ17"/>
    <mergeCell ref="BS18:BZ18"/>
    <mergeCell ref="BS26:BZ26"/>
    <mergeCell ref="BJ28:BO28"/>
    <mergeCell ref="BA24:BH24"/>
    <mergeCell ref="BJ25:BQ25"/>
    <mergeCell ref="BJ26:BQ26"/>
    <mergeCell ref="BA17:BH17"/>
    <mergeCell ref="BJ17:BQ17"/>
    <mergeCell ref="BS19:BZ19"/>
    <mergeCell ref="BY22:BZ22"/>
    <mergeCell ref="BS22:BX22"/>
    <mergeCell ref="BS20:BZ20"/>
    <mergeCell ref="BA26:BH26"/>
    <mergeCell ref="BA25:BH25"/>
    <mergeCell ref="BS23:BZ23"/>
    <mergeCell ref="BS24:BZ24"/>
    <mergeCell ref="AI14:AP14"/>
    <mergeCell ref="AR14:AY14"/>
    <mergeCell ref="BA14:BH14"/>
    <mergeCell ref="BJ14:BQ14"/>
    <mergeCell ref="AI16:AN16"/>
    <mergeCell ref="AO16:AP16"/>
    <mergeCell ref="AR16:AW16"/>
    <mergeCell ref="AX16:AY16"/>
    <mergeCell ref="BA16:BF16"/>
    <mergeCell ref="BG16:BH16"/>
    <mergeCell ref="BJ16:BO16"/>
    <mergeCell ref="BA32:BH32"/>
    <mergeCell ref="BA23:BH23"/>
    <mergeCell ref="BJ29:BQ29"/>
    <mergeCell ref="BP34:BQ34"/>
    <mergeCell ref="BS25:BZ25"/>
    <mergeCell ref="BP28:BQ28"/>
    <mergeCell ref="BS28:BX28"/>
    <mergeCell ref="BY28:BZ28"/>
    <mergeCell ref="BS29:BZ29"/>
    <mergeCell ref="BF69:BH69"/>
    <mergeCell ref="BW51:BY51"/>
    <mergeCell ref="BA29:BH29"/>
    <mergeCell ref="BL45:BN45"/>
    <mergeCell ref="BF51:BH51"/>
    <mergeCell ref="BP51:BS51"/>
    <mergeCell ref="BL51:BO51"/>
    <mergeCell ref="BT48:BV48"/>
    <mergeCell ref="BS37:BZ37"/>
    <mergeCell ref="BA30:BH30"/>
    <mergeCell ref="BA31:BH31"/>
    <mergeCell ref="BJ37:BQ37"/>
    <mergeCell ref="BA36:BH36"/>
    <mergeCell ref="BJ36:BQ36"/>
    <mergeCell ref="BF62:BH62"/>
    <mergeCell ref="BW62:BY62"/>
    <mergeCell ref="BW43:BY43"/>
    <mergeCell ref="BS36:BZ36"/>
    <mergeCell ref="BJ35:BQ35"/>
    <mergeCell ref="BS35:BZ35"/>
    <mergeCell ref="BJ34:BO34"/>
    <mergeCell ref="BY34:BZ34"/>
    <mergeCell ref="BS34:BX34"/>
    <mergeCell ref="BA35:BH35"/>
    <mergeCell ref="BF78:BH78"/>
    <mergeCell ref="BS72:BY72"/>
    <mergeCell ref="BS73:BY73"/>
    <mergeCell ref="BF75:BH75"/>
    <mergeCell ref="BL82:BN82"/>
    <mergeCell ref="BI76:BO76"/>
    <mergeCell ref="BF74:BH74"/>
    <mergeCell ref="E56:K56"/>
    <mergeCell ref="M56:S56"/>
    <mergeCell ref="U56:AA56"/>
    <mergeCell ref="E57:K57"/>
    <mergeCell ref="M57:S57"/>
    <mergeCell ref="U57:AA57"/>
    <mergeCell ref="AD57:AJ57"/>
    <mergeCell ref="AL57:AR57"/>
    <mergeCell ref="AT57:AZ57"/>
    <mergeCell ref="E59:K59"/>
    <mergeCell ref="M59:S59"/>
    <mergeCell ref="U59:AA59"/>
    <mergeCell ref="AD59:AJ59"/>
    <mergeCell ref="E58:K58"/>
    <mergeCell ref="M58:S58"/>
    <mergeCell ref="U58:AA58"/>
    <mergeCell ref="AD58:AJ58"/>
    <mergeCell ref="AQ51:AZ51"/>
    <mergeCell ref="AD52:AM52"/>
    <mergeCell ref="AQ52:AZ52"/>
    <mergeCell ref="E55:K55"/>
    <mergeCell ref="M55:S55"/>
    <mergeCell ref="U55:AA55"/>
    <mergeCell ref="AD51:AM51"/>
    <mergeCell ref="AN51:AP52"/>
    <mergeCell ref="AD56:AJ56"/>
    <mergeCell ref="AL56:AR56"/>
    <mergeCell ref="E51:N51"/>
    <mergeCell ref="E52:N52"/>
    <mergeCell ref="R51:AA51"/>
    <mergeCell ref="R52:AA52"/>
    <mergeCell ref="O51:Q52"/>
    <mergeCell ref="AD55:AJ55"/>
    <mergeCell ref="AL55:AR55"/>
    <mergeCell ref="AT55:AZ55"/>
    <mergeCell ref="AT56:AZ56"/>
    <mergeCell ref="AL58:AR58"/>
    <mergeCell ref="E68:L68"/>
    <mergeCell ref="O68:V68"/>
    <mergeCell ref="Y68:AF68"/>
    <mergeCell ref="AI68:AP68"/>
    <mergeCell ref="AS68:AZ68"/>
    <mergeCell ref="E61:N61"/>
    <mergeCell ref="O61:Q62"/>
    <mergeCell ref="R61:AA61"/>
    <mergeCell ref="E62:N62"/>
    <mergeCell ref="R62:AA62"/>
    <mergeCell ref="AD61:AM61"/>
    <mergeCell ref="AN61:AP62"/>
    <mergeCell ref="AQ61:AZ61"/>
    <mergeCell ref="AD62:AM62"/>
    <mergeCell ref="AQ62:AZ62"/>
    <mergeCell ref="E67:L67"/>
    <mergeCell ref="O67:V67"/>
    <mergeCell ref="Y67:AF67"/>
    <mergeCell ref="AI67:AP67"/>
    <mergeCell ref="AS67:AZ67"/>
    <mergeCell ref="AL59:AR59"/>
    <mergeCell ref="AT59:AZ59"/>
    <mergeCell ref="AT58:AZ58"/>
    <mergeCell ref="E74:L74"/>
    <mergeCell ref="O74:V74"/>
    <mergeCell ref="Y74:AF74"/>
    <mergeCell ref="AI74:AP74"/>
    <mergeCell ref="AS74:AZ74"/>
    <mergeCell ref="E69:L69"/>
    <mergeCell ref="O69:V69"/>
    <mergeCell ref="Y69:AF69"/>
    <mergeCell ref="AI69:AP69"/>
    <mergeCell ref="AS69:AZ69"/>
    <mergeCell ref="E70:L70"/>
    <mergeCell ref="O70:V70"/>
    <mergeCell ref="Y70:AF70"/>
    <mergeCell ref="AI70:AP70"/>
    <mergeCell ref="AS70:AZ70"/>
    <mergeCell ref="E71:L71"/>
    <mergeCell ref="O71:V71"/>
    <mergeCell ref="Y71:AF71"/>
    <mergeCell ref="AI71:AP71"/>
    <mergeCell ref="AS71:AZ71"/>
    <mergeCell ref="E78:L78"/>
    <mergeCell ref="O78:V78"/>
    <mergeCell ref="Y78:AF78"/>
    <mergeCell ref="AI78:AP78"/>
    <mergeCell ref="AS78:AZ78"/>
    <mergeCell ref="E75:L75"/>
    <mergeCell ref="O75:V75"/>
    <mergeCell ref="Y75:AF75"/>
    <mergeCell ref="AI75:AP75"/>
    <mergeCell ref="AS75:AZ75"/>
    <mergeCell ref="E76:L76"/>
    <mergeCell ref="O76:V76"/>
    <mergeCell ref="Y76:AF76"/>
    <mergeCell ref="AI76:AP76"/>
    <mergeCell ref="AS76:AZ76"/>
    <mergeCell ref="E77:L77"/>
    <mergeCell ref="O77:V77"/>
    <mergeCell ref="Y77:AF77"/>
    <mergeCell ref="AI77:AP77"/>
    <mergeCell ref="AS77:AZ77"/>
    <mergeCell ref="E47:K47"/>
    <mergeCell ref="M47:S47"/>
    <mergeCell ref="U47:AA47"/>
    <mergeCell ref="E48:K48"/>
    <mergeCell ref="M48:S48"/>
    <mergeCell ref="U48:AA48"/>
    <mergeCell ref="E49:K49"/>
    <mergeCell ref="M49:S49"/>
    <mergeCell ref="U49:AA49"/>
    <mergeCell ref="BL53:BO53"/>
    <mergeCell ref="BF54:BH54"/>
    <mergeCell ref="BL54:BO54"/>
    <mergeCell ref="BP54:BS54"/>
    <mergeCell ref="BF67:BY67"/>
    <mergeCell ref="BL52:BO52"/>
    <mergeCell ref="BP52:BS52"/>
    <mergeCell ref="BW54:BY54"/>
    <mergeCell ref="BT57:BV57"/>
    <mergeCell ref="BL60:BN60"/>
    <mergeCell ref="BQ60:BS60"/>
    <mergeCell ref="BI57:BK57"/>
    <mergeCell ref="DI74:DK74"/>
    <mergeCell ref="DI72:DK72"/>
    <mergeCell ref="CD57:CE57"/>
    <mergeCell ref="CD58:CE58"/>
    <mergeCell ref="CH56:CI56"/>
    <mergeCell ref="CH57:CI57"/>
    <mergeCell ref="CH58:CI58"/>
    <mergeCell ref="BI70:BO70"/>
    <mergeCell ref="BI71:BO71"/>
    <mergeCell ref="CZ72:DB72"/>
    <mergeCell ref="CZ73:DB73"/>
    <mergeCell ref="BI69:BO69"/>
    <mergeCell ref="BP69:BR69"/>
    <mergeCell ref="BS69:BY69"/>
    <mergeCell ref="BS70:BY70"/>
    <mergeCell ref="CH49:CI49"/>
    <mergeCell ref="CH50:CI50"/>
    <mergeCell ref="CH51:CI51"/>
    <mergeCell ref="CH52:CI52"/>
    <mergeCell ref="CH53:CI53"/>
    <mergeCell ref="CH54:CI54"/>
    <mergeCell ref="CH55:CI55"/>
    <mergeCell ref="CH62:CI62"/>
    <mergeCell ref="CH60:CI60"/>
    <mergeCell ref="CH59:CI59"/>
  </mergeCells>
  <phoneticPr fontId="39" type="noConversion"/>
  <conditionalFormatting sqref="F3:H36">
    <cfRule type="expression" dxfId="5338" priority="8305">
      <formula>$F$3="JUNE"</formula>
    </cfRule>
    <cfRule type="expression" dxfId="5337" priority="8306">
      <formula>$F$3="MAY"</formula>
    </cfRule>
    <cfRule type="expression" dxfId="5336" priority="8307">
      <formula>$F$3="APRIL"</formula>
    </cfRule>
    <cfRule type="expression" dxfId="5335" priority="8308">
      <formula>$F$3="MARCH"</formula>
    </cfRule>
    <cfRule type="expression" dxfId="5334" priority="8309">
      <formula>$F$3="FEBRUARY"</formula>
    </cfRule>
    <cfRule type="expression" dxfId="5333" priority="8310">
      <formula>$F$3="JANUARY"</formula>
    </cfRule>
    <cfRule type="expression" dxfId="5332" priority="8311">
      <formula>$F$3="DECEMBER"</formula>
    </cfRule>
    <cfRule type="expression" dxfId="5331" priority="8312">
      <formula>$F$3="NOVEMBER"</formula>
    </cfRule>
    <cfRule type="expression" dxfId="5330" priority="8313">
      <formula>$F$3="OCTOBER"</formula>
    </cfRule>
    <cfRule type="expression" dxfId="5329" priority="8314">
      <formula>$F$3="SEPTEMBER"</formula>
    </cfRule>
    <cfRule type="expression" dxfId="5328" priority="8315">
      <formula>$F$3="AUGUST"</formula>
    </cfRule>
    <cfRule type="expression" dxfId="5327" priority="8316">
      <formula>$F$3="JULY"</formula>
    </cfRule>
  </conditionalFormatting>
  <conditionalFormatting sqref="J31:J33 O31:O33">
    <cfRule type="expression" dxfId="5326" priority="2347">
      <formula>$F$3="JUNE"</formula>
    </cfRule>
    <cfRule type="expression" dxfId="5325" priority="2348">
      <formula>$F$3="MAY"</formula>
    </cfRule>
    <cfRule type="expression" dxfId="5324" priority="2349">
      <formula>$F$3="APRIL"</formula>
    </cfRule>
    <cfRule type="expression" dxfId="5323" priority="2350">
      <formula>$F$3="MARCH"</formula>
    </cfRule>
    <cfRule type="expression" dxfId="5322" priority="2351">
      <formula>$F$3="FEBRUARY"</formula>
    </cfRule>
    <cfRule type="expression" dxfId="5321" priority="2352">
      <formula>$F$3="JANUARY"</formula>
    </cfRule>
    <cfRule type="expression" dxfId="5320" priority="2353">
      <formula>$F$3="DECEMBER"</formula>
    </cfRule>
    <cfRule type="expression" dxfId="5319" priority="2354">
      <formula>$F$3="NOVEMBER"</formula>
    </cfRule>
    <cfRule type="expression" dxfId="5318" priority="2355">
      <formula>$F$3="OCTOBER"</formula>
    </cfRule>
    <cfRule type="expression" dxfId="5317" priority="2356">
      <formula>$F$3="SEPTEMBER"</formula>
    </cfRule>
    <cfRule type="expression" dxfId="5316" priority="2357">
      <formula>$F$3="AUGUST"</formula>
    </cfRule>
    <cfRule type="expression" dxfId="5315" priority="2358">
      <formula>$F$3="JULY"</formula>
    </cfRule>
  </conditionalFormatting>
  <conditionalFormatting sqref="J34:J35 O34:O36 J36:K36">
    <cfRule type="expression" dxfId="5314" priority="2359">
      <formula>$F$3="JUNE"</formula>
    </cfRule>
    <cfRule type="expression" dxfId="5313" priority="2360">
      <formula>$F$3="MAY"</formula>
    </cfRule>
    <cfRule type="expression" dxfId="5312" priority="2361">
      <formula>$F$3="APRIL"</formula>
    </cfRule>
    <cfRule type="expression" dxfId="5311" priority="2362">
      <formula>$F$3="MARCH"</formula>
    </cfRule>
    <cfRule type="expression" dxfId="5310" priority="2363">
      <formula>$F$3="FEBRUARY"</formula>
    </cfRule>
    <cfRule type="expression" dxfId="5309" priority="2364">
      <formula>$F$3="JANUARY"</formula>
    </cfRule>
    <cfRule type="expression" dxfId="5308" priority="2365">
      <formula>$F$3="DECEMBER"</formula>
    </cfRule>
    <cfRule type="expression" dxfId="5307" priority="2366">
      <formula>$F$3="NOVEMBER"</formula>
    </cfRule>
    <cfRule type="expression" dxfId="5306" priority="2367">
      <formula>$F$3="OCTOBER"</formula>
    </cfRule>
    <cfRule type="expression" dxfId="5305" priority="2368">
      <formula>$F$3="SEPTEMBER"</formula>
    </cfRule>
    <cfRule type="expression" dxfId="5304" priority="2369">
      <formula>$F$3="AUGUST"</formula>
    </cfRule>
    <cfRule type="expression" dxfId="5303" priority="2370">
      <formula>$F$3="JULY"</formula>
    </cfRule>
  </conditionalFormatting>
  <conditionalFormatting sqref="Q4:V4 BA10:BF10 BA16:BF16 BA22:BF22 BA28:BF28 BA34:BF34">
    <cfRule type="expression" dxfId="5302" priority="8329">
      <formula>$F$3="JULY"</formula>
    </cfRule>
  </conditionalFormatting>
  <conditionalFormatting sqref="Q4:X4 BA10:BH10 BA16:BH16 BA22:BH22">
    <cfRule type="expression" dxfId="5301" priority="8320">
      <formula>$F$3="JUNE"</formula>
    </cfRule>
    <cfRule type="expression" dxfId="5300" priority="8321">
      <formula>$F$3="MAY"</formula>
    </cfRule>
    <cfRule type="expression" dxfId="5299" priority="8322">
      <formula>$F$3="APRIL"</formula>
    </cfRule>
    <cfRule type="expression" dxfId="5298" priority="8323">
      <formula>$F$3="MARCH"</formula>
    </cfRule>
    <cfRule type="expression" dxfId="5297" priority="8324">
      <formula>$F$3="FEBRUARY"</formula>
    </cfRule>
    <cfRule type="expression" dxfId="5296" priority="8325">
      <formula>$F$3="JANUARY"</formula>
    </cfRule>
    <cfRule type="expression" dxfId="5295" priority="8326">
      <formula>$F$3="DECEMBER"</formula>
    </cfRule>
    <cfRule type="expression" dxfId="5294" priority="8327">
      <formula>$F$3="NOVEMBER"</formula>
    </cfRule>
    <cfRule type="expression" dxfId="5293" priority="8328">
      <formula>$F$3="OCTOBER"</formula>
    </cfRule>
    <cfRule type="expression" dxfId="5292" priority="51079">
      <formula>$F$3="SEPTEMBER"</formula>
    </cfRule>
    <cfRule type="expression" dxfId="5291" priority="51080">
      <formula>$F$3="AUGUST"</formula>
    </cfRule>
  </conditionalFormatting>
  <conditionalFormatting sqref="BA10:BF10 BA16:BF16 BA22:BF22 BA28:BF28 BA34:BF34 Q4:V4">
    <cfRule type="expression" dxfId="5290" priority="1933">
      <formula>X3=1</formula>
    </cfRule>
  </conditionalFormatting>
  <conditionalFormatting sqref="BA28:BH28">
    <cfRule type="expression" dxfId="5289" priority="2126">
      <formula>$F$3="JUNE"</formula>
    </cfRule>
    <cfRule type="expression" dxfId="5288" priority="2127">
      <formula>$F$3="MAY"</formula>
    </cfRule>
    <cfRule type="expression" dxfId="5287" priority="2128">
      <formula>$F$3="APRIL"</formula>
    </cfRule>
    <cfRule type="expression" dxfId="5286" priority="2129">
      <formula>$F$3="MARCH"</formula>
    </cfRule>
    <cfRule type="expression" dxfId="5285" priority="2130">
      <formula>$F$3="FEBRUARY"</formula>
    </cfRule>
    <cfRule type="expression" dxfId="5284" priority="2131">
      <formula>$F$3="JANUARY"</formula>
    </cfRule>
    <cfRule type="expression" dxfId="5283" priority="2132">
      <formula>$F$3="DECEMBER"</formula>
    </cfRule>
    <cfRule type="expression" dxfId="5282" priority="2133">
      <formula>$F$3="NOVEMBER"</formula>
    </cfRule>
    <cfRule type="expression" dxfId="5281" priority="2134">
      <formula>$F$3="OCTOBER"</formula>
    </cfRule>
    <cfRule type="expression" dxfId="5280" priority="2135">
      <formula>$F$3="SEPTEMBER"</formula>
    </cfRule>
    <cfRule type="expression" dxfId="5279" priority="2136">
      <formula>$F$3="AUGUST"</formula>
    </cfRule>
  </conditionalFormatting>
  <conditionalFormatting sqref="BA34:BH34">
    <cfRule type="expression" dxfId="5278" priority="2044">
      <formula>$F$3="JUNE"</formula>
    </cfRule>
    <cfRule type="expression" dxfId="5277" priority="2045">
      <formula>$F$3="MAY"</formula>
    </cfRule>
    <cfRule type="expression" dxfId="5276" priority="2046">
      <formula>$F$3="APRIL"</formula>
    </cfRule>
    <cfRule type="expression" dxfId="5275" priority="2047">
      <formula>$F$3="MARCH"</formula>
    </cfRule>
    <cfRule type="expression" dxfId="5274" priority="2048">
      <formula>$F$3="FEBRUARY"</formula>
    </cfRule>
    <cfRule type="expression" dxfId="5273" priority="2049">
      <formula>$F$3="JANUARY"</formula>
    </cfRule>
    <cfRule type="expression" dxfId="5272" priority="2050">
      <formula>$F$3="DECEMBER"</formula>
    </cfRule>
    <cfRule type="expression" dxfId="5271" priority="2051">
      <formula>$F$3="NOVEMBER"</formula>
    </cfRule>
    <cfRule type="expression" dxfId="5270" priority="2052">
      <formula>$F$3="OCTOBER"</formula>
    </cfRule>
    <cfRule type="expression" dxfId="5269" priority="8318">
      <formula>$F$3="SEPTEMBER"</formula>
    </cfRule>
    <cfRule type="expression" dxfId="5268" priority="8319">
      <formula>$F$3="AUGUST"</formula>
    </cfRule>
  </conditionalFormatting>
  <conditionalFormatting sqref="BI80 BL80 BO80 BR80 BF80:BF81 BG81 BF82:BZ91">
    <cfRule type="expression" dxfId="5267" priority="130">
      <formula>MONTH(BF80)=2</formula>
    </cfRule>
  </conditionalFormatting>
  <conditionalFormatting sqref="BJ81">
    <cfRule type="expression" dxfId="5266" priority="108">
      <formula>MONTH(BJ81)=12</formula>
    </cfRule>
    <cfRule type="expression" dxfId="5265" priority="109">
      <formula>MONTH(BJ81)=11</formula>
    </cfRule>
    <cfRule type="expression" dxfId="5264" priority="110">
      <formula>MONTH(BJ81)=10</formula>
    </cfRule>
    <cfRule type="expression" dxfId="5263" priority="111">
      <formula>MONTH(BJ81)=9</formula>
    </cfRule>
    <cfRule type="expression" dxfId="5262" priority="112">
      <formula>MONTH(BJ81)=8</formula>
    </cfRule>
    <cfRule type="expression" dxfId="5261" priority="113">
      <formula>MONTH(BJ81)=7</formula>
    </cfRule>
    <cfRule type="expression" dxfId="5260" priority="114">
      <formula>MONTH(BJ81)=6</formula>
    </cfRule>
    <cfRule type="expression" dxfId="5259" priority="115">
      <formula>MONTH(BJ81)=5</formula>
    </cfRule>
    <cfRule type="expression" dxfId="5258" priority="116">
      <formula>MONTH(BJ81)=4</formula>
    </cfRule>
    <cfRule type="expression" dxfId="5257" priority="117">
      <formula>MONTH(BJ81)=3</formula>
    </cfRule>
    <cfRule type="expression" dxfId="5256" priority="118">
      <formula>MONTH(BJ81)=2</formula>
    </cfRule>
    <cfRule type="expression" dxfId="5255" priority="119">
      <formula>MONTH(BJ81)=1</formula>
    </cfRule>
  </conditionalFormatting>
  <conditionalFormatting sqref="BM81">
    <cfRule type="expression" dxfId="5254" priority="96">
      <formula>MONTH(BM81)=12</formula>
    </cfRule>
    <cfRule type="expression" dxfId="5253" priority="97">
      <formula>MONTH(BM81)=11</formula>
    </cfRule>
    <cfRule type="expression" dxfId="5252" priority="98">
      <formula>MONTH(BM81)=10</formula>
    </cfRule>
    <cfRule type="expression" dxfId="5251" priority="99">
      <formula>MONTH(BM81)=9</formula>
    </cfRule>
    <cfRule type="expression" dxfId="5250" priority="100">
      <formula>MONTH(BM81)=8</formula>
    </cfRule>
    <cfRule type="expression" dxfId="5249" priority="101">
      <formula>MONTH(BM81)=7</formula>
    </cfRule>
    <cfRule type="expression" dxfId="5248" priority="102">
      <formula>MONTH(BM81)=6</formula>
    </cfRule>
    <cfRule type="expression" dxfId="5247" priority="103">
      <formula>MONTH(BM81)=5</formula>
    </cfRule>
    <cfRule type="expression" dxfId="5246" priority="104">
      <formula>MONTH(BM81)=4</formula>
    </cfRule>
    <cfRule type="expression" dxfId="5245" priority="105">
      <formula>MONTH(BM81)=3</formula>
    </cfRule>
    <cfRule type="expression" dxfId="5244" priority="106">
      <formula>MONTH(BM81)=2</formula>
    </cfRule>
    <cfRule type="expression" dxfId="5243" priority="107">
      <formula>MONTH(BM81)=1</formula>
    </cfRule>
  </conditionalFormatting>
  <conditionalFormatting sqref="BP81">
    <cfRule type="expression" dxfId="5242" priority="84">
      <formula>MONTH(BP81)=12</formula>
    </cfRule>
    <cfRule type="expression" dxfId="5241" priority="85">
      <formula>MONTH(BP81)=11</formula>
    </cfRule>
    <cfRule type="expression" dxfId="5240" priority="86">
      <formula>MONTH(BP81)=10</formula>
    </cfRule>
    <cfRule type="expression" dxfId="5239" priority="87">
      <formula>MONTH(BP81)=9</formula>
    </cfRule>
    <cfRule type="expression" dxfId="5238" priority="88">
      <formula>MONTH(BP81)=8</formula>
    </cfRule>
    <cfRule type="expression" dxfId="5237" priority="89">
      <formula>MONTH(BP81)=7</formula>
    </cfRule>
    <cfRule type="expression" dxfId="5236" priority="90">
      <formula>MONTH(BP81)=6</formula>
    </cfRule>
    <cfRule type="expression" dxfId="5235" priority="91">
      <formula>MONTH(BP81)=5</formula>
    </cfRule>
    <cfRule type="expression" dxfId="5234" priority="92">
      <formula>MONTH(BP81)=4</formula>
    </cfRule>
    <cfRule type="expression" dxfId="5233" priority="93">
      <formula>MONTH(BP81)=3</formula>
    </cfRule>
    <cfRule type="expression" dxfId="5232" priority="94">
      <formula>MONTH(BP81)=2</formula>
    </cfRule>
    <cfRule type="expression" dxfId="5231" priority="95">
      <formula>MONTH(BP81)=1</formula>
    </cfRule>
  </conditionalFormatting>
  <conditionalFormatting sqref="BP10:BQ10 BY10:BZ10 BP16:BQ16 BY16:BZ16 BP22:BQ22 BY22:BZ22">
    <cfRule type="expression" dxfId="5230" priority="8340">
      <formula>$F$3="JUNE"</formula>
    </cfRule>
    <cfRule type="expression" dxfId="5229" priority="8341">
      <formula>$F$3="MAY"</formula>
    </cfRule>
    <cfRule type="expression" dxfId="5228" priority="8342">
      <formula>$F$3="APRIL"</formula>
    </cfRule>
    <cfRule type="expression" dxfId="5227" priority="8343">
      <formula>$F$3="MARCH"</formula>
    </cfRule>
    <cfRule type="expression" dxfId="5226" priority="8344">
      <formula>$F$3="FEBRUARY"</formula>
    </cfRule>
    <cfRule type="expression" dxfId="5225" priority="8345">
      <formula>$F$3="JANUARY"</formula>
    </cfRule>
    <cfRule type="expression" dxfId="5224" priority="8346">
      <formula>$F$3="DECEMBER"</formula>
    </cfRule>
    <cfRule type="expression" dxfId="5223" priority="8347">
      <formula>$F$3="NOVEMBER"</formula>
    </cfRule>
    <cfRule type="expression" dxfId="5222" priority="8348">
      <formula>$F$3="OCTOBER"</formula>
    </cfRule>
    <cfRule type="expression" dxfId="5221" priority="8349">
      <formula>$F$3="SEPTEMBER"</formula>
    </cfRule>
    <cfRule type="expression" dxfId="5220" priority="8350">
      <formula>$F$3="AUGUST"</formula>
    </cfRule>
  </conditionalFormatting>
  <conditionalFormatting sqref="BS81">
    <cfRule type="expression" dxfId="5219" priority="72">
      <formula>MONTH(BS81)=12</formula>
    </cfRule>
    <cfRule type="expression" dxfId="5218" priority="73">
      <formula>MONTH(BS81)=11</formula>
    </cfRule>
    <cfRule type="expression" dxfId="5217" priority="74">
      <formula>MONTH(BS81)=10</formula>
    </cfRule>
    <cfRule type="expression" dxfId="5216" priority="75">
      <formula>MONTH(BS81)=9</formula>
    </cfRule>
    <cfRule type="expression" dxfId="5215" priority="76">
      <formula>MONTH(BS81)=8</formula>
    </cfRule>
    <cfRule type="expression" dxfId="5214" priority="77">
      <formula>MONTH(BS81)=7</formula>
    </cfRule>
    <cfRule type="expression" dxfId="5213" priority="78">
      <formula>MONTH(BS81)=6</formula>
    </cfRule>
    <cfRule type="expression" dxfId="5212" priority="79">
      <formula>MONTH(BS81)=5</formula>
    </cfRule>
    <cfRule type="expression" dxfId="5211" priority="80">
      <formula>MONTH(BS81)=4</formula>
    </cfRule>
    <cfRule type="expression" dxfId="5210" priority="81">
      <formula>MONTH(BS81)=3</formula>
    </cfRule>
    <cfRule type="expression" dxfId="5209" priority="82">
      <formula>MONTH(BS81)=2</formula>
    </cfRule>
    <cfRule type="expression" dxfId="5208" priority="83">
      <formula>MONTH(BS81)=1</formula>
    </cfRule>
  </conditionalFormatting>
  <conditionalFormatting sqref="BV81">
    <cfRule type="expression" dxfId="5207" priority="60">
      <formula>MONTH(BV81)=12</formula>
    </cfRule>
    <cfRule type="expression" dxfId="5206" priority="61">
      <formula>MONTH(BV81)=11</formula>
    </cfRule>
    <cfRule type="expression" dxfId="5205" priority="62">
      <formula>MONTH(BV81)=10</formula>
    </cfRule>
    <cfRule type="expression" dxfId="5204" priority="63">
      <formula>MONTH(BV81)=9</formula>
    </cfRule>
    <cfRule type="expression" dxfId="5203" priority="64">
      <formula>MONTH(BV81)=8</formula>
    </cfRule>
    <cfRule type="expression" dxfId="5202" priority="65">
      <formula>MONTH(BV81)=7</formula>
    </cfRule>
    <cfRule type="expression" dxfId="5201" priority="66">
      <formula>MONTH(BV81)=6</formula>
    </cfRule>
    <cfRule type="expression" dxfId="5200" priority="67">
      <formula>MONTH(BV81)=5</formula>
    </cfRule>
    <cfRule type="expression" dxfId="5199" priority="68">
      <formula>MONTH(BV81)=4</formula>
    </cfRule>
    <cfRule type="expression" dxfId="5198" priority="69">
      <formula>MONTH(BV81)=3</formula>
    </cfRule>
    <cfRule type="expression" dxfId="5197" priority="70">
      <formula>MONTH(BV81)=2</formula>
    </cfRule>
    <cfRule type="expression" dxfId="5196" priority="71">
      <formula>MONTH(BV81)=1</formula>
    </cfRule>
  </conditionalFormatting>
  <conditionalFormatting sqref="BY81">
    <cfRule type="expression" dxfId="5195" priority="48">
      <formula>MONTH(BY81)=12</formula>
    </cfRule>
    <cfRule type="expression" dxfId="5194" priority="49">
      <formula>MONTH(BY81)=11</formula>
    </cfRule>
    <cfRule type="expression" dxfId="5193" priority="50">
      <formula>MONTH(BY81)=10</formula>
    </cfRule>
    <cfRule type="expression" dxfId="5192" priority="51">
      <formula>MONTH(BY81)=9</formula>
    </cfRule>
    <cfRule type="expression" dxfId="5191" priority="52">
      <formula>MONTH(BY81)=8</formula>
    </cfRule>
    <cfRule type="expression" dxfId="5190" priority="53">
      <formula>MONTH(BY81)=7</formula>
    </cfRule>
    <cfRule type="expression" dxfId="5189" priority="54">
      <formula>MONTH(BY81)=6</formula>
    </cfRule>
    <cfRule type="expression" dxfId="5188" priority="55">
      <formula>MONTH(BY81)=5</formula>
    </cfRule>
    <cfRule type="expression" dxfId="5187" priority="56">
      <formula>MONTH(BY81)=4</formula>
    </cfRule>
    <cfRule type="expression" dxfId="5186" priority="57">
      <formula>MONTH(BY81)=3</formula>
    </cfRule>
    <cfRule type="expression" dxfId="5185" priority="58">
      <formula>MONTH(BY81)=2</formula>
    </cfRule>
    <cfRule type="expression" dxfId="5184" priority="59">
      <formula>MONTH(BY81)=1</formula>
    </cfRule>
  </conditionalFormatting>
  <conditionalFormatting sqref="BZ5:BZ8 BZ11:BZ14 BZ17:BZ20 BZ23:BZ26 BZ29:BZ32 BZ35:BZ38">
    <cfRule type="expression" dxfId="5183" priority="35154">
      <formula>#REF!=1</formula>
    </cfRule>
  </conditionalFormatting>
  <conditionalFormatting sqref="E84:L88">
    <cfRule type="expression" dxfId="5182" priority="12">
      <formula>E$83=0</formula>
    </cfRule>
    <cfRule type="expression" dxfId="5181" priority="13">
      <formula>E$83=1</formula>
    </cfRule>
  </conditionalFormatting>
  <conditionalFormatting sqref="O84:V88">
    <cfRule type="expression" dxfId="5180" priority="10">
      <formula>O$83=0</formula>
    </cfRule>
    <cfRule type="expression" dxfId="5179" priority="11">
      <formula>O$83=1</formula>
    </cfRule>
  </conditionalFormatting>
  <conditionalFormatting sqref="Y84:AF88">
    <cfRule type="expression" dxfId="5178" priority="8">
      <formula>Y$83=0</formula>
    </cfRule>
    <cfRule type="expression" dxfId="5177" priority="9">
      <formula>Y$83=1</formula>
    </cfRule>
  </conditionalFormatting>
  <conditionalFormatting sqref="AI84:AP88">
    <cfRule type="expression" dxfId="5176" priority="6">
      <formula>AI$83=0</formula>
    </cfRule>
    <cfRule type="expression" dxfId="5175" priority="7">
      <formula>AI$83=1</formula>
    </cfRule>
  </conditionalFormatting>
  <conditionalFormatting sqref="AS84:AZ88">
    <cfRule type="expression" dxfId="5174" priority="4">
      <formula>AS$83=0</formula>
    </cfRule>
    <cfRule type="expression" dxfId="5173" priority="5">
      <formula>AS$83=1</formula>
    </cfRule>
  </conditionalFormatting>
  <conditionalFormatting sqref="E51 E61 AD51 AD61">
    <cfRule type="expression" dxfId="5172" priority="44359">
      <formula>T45&lt;$C$1</formula>
    </cfRule>
    <cfRule type="expression" dxfId="5171" priority="44360">
      <formula>OR(D45=$C$1,L45=$C$1,T45=$C$1)</formula>
    </cfRule>
  </conditionalFormatting>
  <conditionalFormatting sqref="E52 E62 AD52 AD62">
    <cfRule type="expression" dxfId="5170" priority="44361">
      <formula>T45&lt;$C$1</formula>
    </cfRule>
    <cfRule type="expression" dxfId="5169" priority="44362">
      <formula>OR(D45=$C$1,L45=$C$1,T45=$C$1)</formula>
    </cfRule>
  </conditionalFormatting>
  <conditionalFormatting sqref="E45:K45 M45:S45 U45:AA45 E55:K55 M55:S55 U55:AA55 AD45:AJ45 AL45:AR45 AT45:AZ45 AD55:AJ55 AL55:AR55 AT55:AZ55">
    <cfRule type="expression" dxfId="5168" priority="44367">
      <formula>D45=$C$1</formula>
    </cfRule>
    <cfRule type="expression" dxfId="5167" priority="44368">
      <formula>D45&lt;$C$1</formula>
    </cfRule>
  </conditionalFormatting>
  <conditionalFormatting sqref="E46:K46 M46:S46 U46:AA46 E56:K56 M56:S56 U56:AA56 AD46:AJ46 AL46:AR46 AT46:AZ46 AD56:AJ56 AL56:AR56 AT56:AZ56">
    <cfRule type="expression" dxfId="5166" priority="44373">
      <formula>D45=$C$1</formula>
    </cfRule>
    <cfRule type="expression" dxfId="5165" priority="44374">
      <formula>D45&lt;$C$1</formula>
    </cfRule>
  </conditionalFormatting>
  <conditionalFormatting sqref="E47:K47 M47:S47 U47:AA47 E57:K57 M57:S57 U57:AA57 AD47:AJ47 AL47:AR47 AT47:AZ47 AD57:AJ57 AL57:AR57 AT57:AZ57">
    <cfRule type="expression" dxfId="5164" priority="44379">
      <formula>D45=$C$1</formula>
    </cfRule>
    <cfRule type="expression" dxfId="5163" priority="44380">
      <formula>D45&lt;$C$1</formula>
    </cfRule>
  </conditionalFormatting>
  <conditionalFormatting sqref="E48:K48 M48:S48 U48:AA48 E58:K58 M58:S58 U58:AA58 AD48:AJ48 AL48:AR48 AT48:AZ48 AD58:AJ58 AL58:AR58 AT58:AZ58">
    <cfRule type="expression" dxfId="5162" priority="44385">
      <formula>D45=$C$1</formula>
    </cfRule>
    <cfRule type="expression" dxfId="5161" priority="44386">
      <formula>D45&lt;$C$1</formula>
    </cfRule>
  </conditionalFormatting>
  <conditionalFormatting sqref="E49:K49 M49:S49 U49:AA49 E59:K59 M59:S59 U59:AA59 AD49:AJ49 AL49:AR49 AT49:AZ49 AD59:AJ59 AL59:AR59 AT59:AZ59">
    <cfRule type="expression" dxfId="5160" priority="44391">
      <formula>D45=$C$1</formula>
    </cfRule>
    <cfRule type="expression" dxfId="5159" priority="44392">
      <formula>D45&lt;$C$1</formula>
    </cfRule>
  </conditionalFormatting>
  <conditionalFormatting sqref="O51:Q52 O61:Q62 AN51:AP52 AN61:AP62">
    <cfRule type="expression" dxfId="5158" priority="44427">
      <formula>T45&lt;$C$1</formula>
    </cfRule>
    <cfRule type="expression" dxfId="5157" priority="44428">
      <formula>OR(D45=$C$1,L45=$C$1,T45=$C$1)</formula>
    </cfRule>
  </conditionalFormatting>
  <conditionalFormatting sqref="P50 P53 P60 P63 AO50 AO53 AO60 AO63">
    <cfRule type="expression" dxfId="5156" priority="44431">
      <formula>OR(D45=$C$1,L45=$C$1,T45=$C$1)</formula>
    </cfRule>
    <cfRule type="expression" dxfId="5155" priority="44432">
      <formula>T45&lt;$C$1</formula>
    </cfRule>
  </conditionalFormatting>
  <conditionalFormatting sqref="R51 R61 AQ51 AQ61">
    <cfRule type="expression" dxfId="5154" priority="45713">
      <formula>T45&lt;$C$1</formula>
    </cfRule>
    <cfRule type="expression" dxfId="5153" priority="45714">
      <formula>OR(D45=$C$1,L45=$C$1,T45=$C$1)</formula>
    </cfRule>
  </conditionalFormatting>
  <conditionalFormatting sqref="R52 R62 AQ52 AQ62">
    <cfRule type="expression" dxfId="5152" priority="45715">
      <formula>T45&lt;$C$1</formula>
    </cfRule>
    <cfRule type="expression" dxfId="5151" priority="45716">
      <formula>OR(D45=$C$1,L45=$C$1,T45=$C$1)</formula>
    </cfRule>
  </conditionalFormatting>
  <conditionalFormatting sqref="Q4:V4 BA10:BF10 BA16:BF16 BA22:BF22 BA28:BF28 BA34:BF34">
    <cfRule type="expression" dxfId="5150" priority="48222">
      <formula>W4=$B$1</formula>
    </cfRule>
  </conditionalFormatting>
  <conditionalFormatting sqref="Q10:V10 Q16:V16 Q22:V22 Q28:V28 Q34:V34 Z4:AE4 Z10:AE10 Z16:AE16 Z22:AE22 Z28:AE28 Z34:AE34 AI4:AN4 AI10:AN10 AI16:AN16 AI22:AN22 AI28:AN28 AI34:AN34 AR4:AW4 AR10:AW10 AR16:AW16 AR22:AW22 AR28:AW28 AR34:AW34 BA4:BF4 BJ4:BO4 BJ10:BO10 BJ16:BO16 BJ22:BO22 BJ28:BO28 BJ34:BO34 BS4:BX4 BS10:BX10 BS16:BX16 BS22:BX22 BS28:BX28 BS34:BX34">
    <cfRule type="expression" dxfId="5149" priority="48223">
      <formula>X3=1</formula>
    </cfRule>
    <cfRule type="expression" dxfId="5148" priority="48224">
      <formula>W4=$B$1</formula>
    </cfRule>
    <cfRule type="expression" dxfId="5147" priority="48225">
      <formula>$F$3="JUNE"</formula>
    </cfRule>
    <cfRule type="expression" dxfId="5146" priority="48226">
      <formula>$F$3="MAY"</formula>
    </cfRule>
    <cfRule type="expression" dxfId="5145" priority="48227">
      <formula>$F$3="APRIL"</formula>
    </cfRule>
    <cfRule type="expression" dxfId="5144" priority="48228">
      <formula>$F$3="MARCH"</formula>
    </cfRule>
    <cfRule type="expression" dxfId="5143" priority="48229">
      <formula>$F$3="FEBRUARY"</formula>
    </cfRule>
    <cfRule type="expression" dxfId="5142" priority="48230">
      <formula>$F$3="JANUARY"</formula>
    </cfRule>
    <cfRule type="expression" dxfId="5141" priority="48231">
      <formula>$F$3="DECEMBER"</formula>
    </cfRule>
    <cfRule type="expression" dxfId="5140" priority="48232">
      <formula>$F$3="NOVEMBER"</formula>
    </cfRule>
    <cfRule type="expression" dxfId="5139" priority="48233">
      <formula>$F$3="OCTOBER"</formula>
    </cfRule>
    <cfRule type="expression" dxfId="5138" priority="48234">
      <formula>$F$3="SEPTEMBER"</formula>
    </cfRule>
    <cfRule type="expression" dxfId="5137" priority="48235">
      <formula>$F$3="AUGUST"</formula>
    </cfRule>
    <cfRule type="expression" dxfId="5136" priority="48236">
      <formula>$F$3="JULY"</formula>
    </cfRule>
  </conditionalFormatting>
  <conditionalFormatting sqref="Q5:X5 BS5:BY5 BA11:BH11 BJ11:BQ11 BS11:BY11 BA17:BH17 BJ17:BQ17 BS17:BY17 BA23:BH23 BJ23:BQ23 BS23:BY23 BA29:BH29 BJ29:BQ29 BS29:BY29 BA35:BH35 BJ35:BQ35 BS35:BY35 Q11:X11 Q17:X17 Q23:X23 Q29:X29 Q35:X35 Z5:AG5 Z11:AG11 Z17:AG17 Z23:AG23 Z29:AG29 Z35:AG35 AI5:AP5 AI11:AP11 AI17:AP17 AI23:AP23 AI29:AP29 AI35:AP35 AR5:AY5 AR11:AY11 AR17:AY17 AR23:AY23 AR29:AY29 AR35:AY35 BA5:BH5 BJ5:BQ5">
    <cfRule type="expression" dxfId="5135" priority="48727">
      <formula>X3=1</formula>
    </cfRule>
    <cfRule type="expression" dxfId="5134" priority="48728">
      <formula>AND($F$3="JUNE",W4&lt;$B$1)</formula>
    </cfRule>
    <cfRule type="expression" dxfId="5133" priority="48729">
      <formula>AND($F$3="MAY",W4&lt;$B$1)</formula>
    </cfRule>
    <cfRule type="expression" dxfId="5132" priority="48730">
      <formula>AND($F$3="APRIL",W4&lt;$B$1)</formula>
    </cfRule>
    <cfRule type="expression" dxfId="5131" priority="48731">
      <formula>AND($F$3="MARCH",W4&lt;$B$1)</formula>
    </cfRule>
    <cfRule type="expression" dxfId="5130" priority="48732">
      <formula>AND($F$3="FEBRUARY",W4&lt;$B$1)</formula>
    </cfRule>
    <cfRule type="expression" dxfId="5129" priority="48733">
      <formula>AND($F$3="JANUARY",W4&lt;$B$1)</formula>
    </cfRule>
    <cfRule type="expression" dxfId="5128" priority="48734">
      <formula>AND($F$3="DECEMBER",W4&lt;$B$1)</formula>
    </cfRule>
    <cfRule type="expression" dxfId="5127" priority="48735">
      <formula>AND($F$3="NOVEMBER",W4&lt;$B$1)</formula>
    </cfRule>
    <cfRule type="expression" dxfId="5126" priority="48736">
      <formula>AND($F$3="OCTOBER",W4&lt;$B$1)</formula>
    </cfRule>
    <cfRule type="expression" dxfId="5125" priority="48737">
      <formula>AND($F$3="SEPTEMBER",W4&lt;$B$1)</formula>
    </cfRule>
    <cfRule type="expression" dxfId="5124" priority="48738">
      <formula>AND($F$3="AUGUST",W4&lt;$B$1)</formula>
    </cfRule>
    <cfRule type="expression" dxfId="5123" priority="48739">
      <formula>W4=$B$1</formula>
    </cfRule>
    <cfRule type="expression" dxfId="5122" priority="48740">
      <formula>AND($F$3="JULY",W4&lt;$B$1)</formula>
    </cfRule>
  </conditionalFormatting>
  <conditionalFormatting sqref="Q6:X6 BS6:BY6 BA12:BH12 BJ12:BQ12 BS12:BY12 BA18:BH18 BJ18:BQ18 BS18:BY18 BA24:BH24 BJ24:BQ24 BS24:BY24 BA30:BH30 BJ30:BQ30 BS30:BY30 BA36:BH36 BJ36:BQ36 BS36:BY36 Q12:X12 Q18:X18 Q24:X24 Q30:X30 Q36:X36 Z6:AG6 Z12:AG12 Z18:AG18 Z24:AG24 Z30:AG30 Z36:AG36 AI6:AP6 AI12:AP12 AI18:AP18 AI24:AP24 AI30:AP30 AI36:AP36 AR6:AY6 AR12:AY12 AR18:AY18 AR24:AY24 AR30:AY30 AR36:AY36 BA6:BH6 BJ6:BQ6">
    <cfRule type="expression" dxfId="5121" priority="49315">
      <formula>X3=1</formula>
    </cfRule>
    <cfRule type="expression" dxfId="5120" priority="49316">
      <formula>AND($F$3="JUNE",W4&lt;$B$1)</formula>
    </cfRule>
    <cfRule type="expression" dxfId="5119" priority="49317">
      <formula>AND($F$3="MAY",W4&lt;$B$1)</formula>
    </cfRule>
    <cfRule type="expression" dxfId="5118" priority="49318">
      <formula>AND($F$3="APRIL",W4&lt;$B$1)</formula>
    </cfRule>
    <cfRule type="expression" dxfId="5117" priority="49319">
      <formula>AND($F$3="MARCH",W4&lt;$B$1)</formula>
    </cfRule>
    <cfRule type="expression" dxfId="5116" priority="49320">
      <formula>AND($F$3="FEBRUARY",W4&lt;$B$1)</formula>
    </cfRule>
    <cfRule type="expression" dxfId="5115" priority="49321">
      <formula>AND($F$3="JANUARY",W4&lt;$B$1)</formula>
    </cfRule>
    <cfRule type="expression" dxfId="5114" priority="49322">
      <formula>AND($F$3="DECEMBER",W4&lt;$B$1)</formula>
    </cfRule>
    <cfRule type="expression" dxfId="5113" priority="49323">
      <formula>AND($F$3="NOVEMBER",W4&lt;$B$1)</formula>
    </cfRule>
    <cfRule type="expression" dxfId="5112" priority="49324">
      <formula>AND($F$3="OCTOBER",W4&lt;$B$1)</formula>
    </cfRule>
    <cfRule type="expression" dxfId="5111" priority="49325">
      <formula>AND($F$3="SEPTEMBER",W4&lt;$B$1)</formula>
    </cfRule>
    <cfRule type="expression" dxfId="5110" priority="49326">
      <formula>AND($F$3="AUGUST",W4&lt;$B$1)</formula>
    </cfRule>
    <cfRule type="expression" dxfId="5109" priority="49327">
      <formula>AND($F$3="JULY",W4&lt;$B$1)</formula>
    </cfRule>
    <cfRule type="expression" dxfId="5108" priority="49328">
      <formula>W4=$B$1</formula>
    </cfRule>
  </conditionalFormatting>
  <conditionalFormatting sqref="Q7:X7 BS7:BY7 BA13:BH13 BJ13:BQ13 BS13:BY13 BA19:BH19 BJ19:BQ19 BS19:BY19 BA25:BH25 BJ25:BQ25 BS25:BY25 BA31:BH31 BJ31:BQ31 BS31:BY31 BA37:BH37 BJ37:BQ37 BS37:BY37 Q13:X13 Q19:X19 Q25:X25 Q31:X31 Q37:X37 Z7:AG7 Z13:AG13 Z19:AG19 Z25:AG25 Z31:AG31 Z37:AG37 AI7:AP7 AI13:AP13 AI19:AP19 AI25:AP25 AI31:AP31 AI37:AP37 AR7:AY7 AR13:AY13 AR19:AY19 AR25:AY25 AR31:AY31 AR37:AY37 BA7:BH7 BJ7:BQ7">
    <cfRule type="expression" dxfId="5107" priority="49903">
      <formula>X3=1</formula>
    </cfRule>
    <cfRule type="expression" dxfId="5106" priority="49904">
      <formula>AND($F$3="JUNE",W4&lt;$B$1)</formula>
    </cfRule>
    <cfRule type="expression" dxfId="5105" priority="49905">
      <formula>AND($F$3="MAY",W4&lt;$B$1)</formula>
    </cfRule>
    <cfRule type="expression" dxfId="5104" priority="49906">
      <formula>AND($F$3="APRIL",W4&lt;$B$1)</formula>
    </cfRule>
    <cfRule type="expression" dxfId="5103" priority="49907">
      <formula>AND($F$3="MARCH",W4&lt;$B$1)</formula>
    </cfRule>
    <cfRule type="expression" dxfId="5102" priority="49908">
      <formula>AND($F$3="FEBRUARY",W4&lt;$B$1)</formula>
    </cfRule>
    <cfRule type="expression" dxfId="5101" priority="49909">
      <formula>AND($F$3="JANUARY",W4&lt;$B$1)</formula>
    </cfRule>
    <cfRule type="expression" dxfId="5100" priority="49910">
      <formula>AND($F$3="DECEMBER",W4&lt;$B$1)</formula>
    </cfRule>
    <cfRule type="expression" dxfId="5099" priority="49911">
      <formula>AND($F$3="NOVEMBER",W4&lt;$B$1)</formula>
    </cfRule>
    <cfRule type="expression" dxfId="5098" priority="49912">
      <formula>AND($F$3="OCTOBER",W4&lt;$B$1)</formula>
    </cfRule>
    <cfRule type="expression" dxfId="5097" priority="49913">
      <formula>AND($F$3="SEPTEMBER",W4&lt;$B$1)</formula>
    </cfRule>
    <cfRule type="expression" dxfId="5096" priority="49914">
      <formula>AND($F$3="AUGUST",W4&lt;$B$1)</formula>
    </cfRule>
    <cfRule type="expression" dxfId="5095" priority="49915">
      <formula>AND($F$3="JULY",W4&lt;$B$1)</formula>
    </cfRule>
    <cfRule type="expression" dxfId="5094" priority="49916">
      <formula>W4=$B$1</formula>
    </cfRule>
  </conditionalFormatting>
  <conditionalFormatting sqref="Q8:X8 BS8:BY8 BA14:BH14 BJ14:BQ14 BS14:BY14 BA20:BH20 BJ20:BQ20 BS20:BY20 BA26:BH26 BJ26:BQ26 BS26:BY26 BA32:BH32 BJ32:BQ32 BS32:BY32 BS38:BY38 Q14:X14 Q20:X20 Q26:X26 Q32:X32 Q38:X38 Z8:AG8 Z14:AG14 Z20:AG20 Z26:AG26 Z32:AG32 Z38:AG38 AI8:AP8 AI14:AP14 AI20:AP20 AI26:AP26 AI32:AP32 AI38:AP38 AR8:AY8 AR14:AY14 AR20:AY20 AR26:AY26 AR32:AY32 AR38:AY38 BA8:BH8 BA38:BH38 BJ38:BQ38 BJ8:BQ8">
    <cfRule type="expression" dxfId="5093" priority="50491">
      <formula>X3=1</formula>
    </cfRule>
    <cfRule type="expression" dxfId="5092" priority="50492">
      <formula>AND($F$3="JUNE",W4&lt;$B$1)</formula>
    </cfRule>
    <cfRule type="expression" dxfId="5091" priority="50493">
      <formula>AND($F$3="MAY",W4&lt;$B$1)</formula>
    </cfRule>
    <cfRule type="expression" dxfId="5090" priority="50494">
      <formula>AND($F$3="APRIL",W4&lt;$B$1)</formula>
    </cfRule>
    <cfRule type="expression" dxfId="5089" priority="50495">
      <formula>AND($F$3="MARCH",W4&lt;$B$1)</formula>
    </cfRule>
    <cfRule type="expression" dxfId="5088" priority="50496">
      <formula>AND($F$3="FEBRUARY",W4&lt;$B$1)</formula>
    </cfRule>
    <cfRule type="expression" dxfId="5087" priority="50497">
      <formula>AND($F$3="JANUARY",W4&lt;$B$1)</formula>
    </cfRule>
    <cfRule type="expression" dxfId="5086" priority="50498">
      <formula>AND($F$3="DECEMBER",W4&lt;$B$1)</formula>
    </cfRule>
    <cfRule type="expression" dxfId="5085" priority="50499">
      <formula>AND($F$3="NOVEMBER",W4&lt;$B$1)</formula>
    </cfRule>
    <cfRule type="expression" dxfId="5084" priority="50500">
      <formula>AND($F$3="OCTOBER",W4&lt;$B$1)</formula>
    </cfRule>
    <cfRule type="expression" dxfId="5083" priority="50501">
      <formula>AND($F$3="SEPTEMBER",W4&lt;$B$1)</formula>
    </cfRule>
    <cfRule type="expression" dxfId="5082" priority="50502">
      <formula>AND($F$3="AUGUST",W4&lt;$B$1)</formula>
    </cfRule>
    <cfRule type="expression" dxfId="5081" priority="50503">
      <formula>AND($F$3="JULY",W4&lt;$B$1)</formula>
    </cfRule>
    <cfRule type="expression" dxfId="5080" priority="50504">
      <formula>W4=$B$1</formula>
    </cfRule>
  </conditionalFormatting>
  <conditionalFormatting sqref="W4:X4 BG10:BH10 BP10:BQ10 BY10:BZ10 BG16:BH16 BP16:BQ16 BY16:BZ16 BG22:BH22 BP22:BQ22 BY22:BZ22 BG28:BH28 BG34:BH34">
    <cfRule type="expression" dxfId="5079" priority="2042">
      <formula>X3=1</formula>
    </cfRule>
    <cfRule type="expression" dxfId="5078" priority="2043">
      <formula>W4=$B$1</formula>
    </cfRule>
    <cfRule type="expression" dxfId="5077" priority="51081">
      <formula>$F$3="JULY"</formula>
    </cfRule>
  </conditionalFormatting>
  <conditionalFormatting sqref="W10:X10 W16:X16 W22:X22 W28:X28 W34:X34 AF4:AG4 AF10:AG10 AF16:AG16 AF22:AG22 AF28:AG28 AF34:AG34 AO4:AP4 AO10:AP10 AO16:AP16 AO22:AP22 AO28:AP28 AO34:AP34 AX4:AY4 AX10:AY10 AX16:AY16 AX22:AY22 AX28:AY28 AX34:AY34 BG4:BH4 BP4:BQ4 BP28:BQ28 BP34:BQ34 BY4:BZ4 BY28:BZ28 BY34:BZ34">
    <cfRule type="expression" dxfId="5076" priority="51115">
      <formula>X3=1</formula>
    </cfRule>
    <cfRule type="expression" dxfId="5075" priority="51116">
      <formula>W4=$B$1</formula>
    </cfRule>
    <cfRule type="expression" dxfId="5074" priority="51117">
      <formula>$F$3="JULY"</formula>
    </cfRule>
    <cfRule type="expression" dxfId="5073" priority="51118">
      <formula>$F$3="JUNE"</formula>
    </cfRule>
    <cfRule type="expression" dxfId="5072" priority="51119">
      <formula>$F$3="MAY"</formula>
    </cfRule>
    <cfRule type="expression" dxfId="5071" priority="51120">
      <formula>$F$3="APRIL"</formula>
    </cfRule>
    <cfRule type="expression" dxfId="5070" priority="51121">
      <formula>$F$3="MARCH"</formula>
    </cfRule>
    <cfRule type="expression" dxfId="5069" priority="51122">
      <formula>$F$3="FEBRUARY"</formula>
    </cfRule>
    <cfRule type="expression" dxfId="5068" priority="51123">
      <formula>$F$3="JANUARY"</formula>
    </cfRule>
    <cfRule type="expression" dxfId="5067" priority="51124">
      <formula>$F$3="DECEMBER"</formula>
    </cfRule>
    <cfRule type="expression" dxfId="5066" priority="51125">
      <formula>$F$3="NOVEMBER"</formula>
    </cfRule>
    <cfRule type="expression" dxfId="5065" priority="51126">
      <formula>$F$3="OCTOBER"</formula>
    </cfRule>
    <cfRule type="expression" dxfId="5064" priority="51127">
      <formula>$F$3="SEPTEMBER"</formula>
    </cfRule>
    <cfRule type="expression" dxfId="5063" priority="51128">
      <formula>$F$3="AUGUST"</formula>
    </cfRule>
  </conditionalFormatting>
  <conditionalFormatting sqref="BZ5 BZ11 BZ17 BZ23 BZ29 BZ35">
    <cfRule type="expression" dxfId="5062" priority="51540">
      <formula>AND($F$3="JUNE",CF4&lt;$B$1)</formula>
    </cfRule>
    <cfRule type="expression" dxfId="5061" priority="51541">
      <formula>AND($F$3="MAY",CF4&lt;$B$1)</formula>
    </cfRule>
    <cfRule type="expression" dxfId="5060" priority="51542">
      <formula>AND($F$3="APRIL",CF4&lt;$B$1)</formula>
    </cfRule>
    <cfRule type="expression" dxfId="5059" priority="51543">
      <formula>AND($F$3="MARCH",CF4&lt;$B$1)</formula>
    </cfRule>
    <cfRule type="expression" dxfId="5058" priority="51544">
      <formula>AND($F$3="FEBRUARY",CF4&lt;$B$1)</formula>
    </cfRule>
    <cfRule type="expression" dxfId="5057" priority="51545">
      <formula>AND($F$3="JANUARY",CF4&lt;$B$1)</formula>
    </cfRule>
    <cfRule type="expression" dxfId="5056" priority="51546">
      <formula>AND($F$3="DECEMBER",CF4&lt;$B$1)</formula>
    </cfRule>
    <cfRule type="expression" dxfId="5055" priority="51547">
      <formula>AND($F$3="NOVEMBER",CF4&lt;$B$1)</formula>
    </cfRule>
    <cfRule type="expression" dxfId="5054" priority="51548">
      <formula>AND($F$3="OCTOBER",CF4&lt;$B$1)</formula>
    </cfRule>
    <cfRule type="expression" dxfId="5053" priority="51549">
      <formula>AND($F$3="SEPTEMBER",CF4&lt;$B$1)</formula>
    </cfRule>
    <cfRule type="expression" dxfId="5052" priority="51550">
      <formula>AND($F$3="AUGUST",CF4&lt;$B$1)</formula>
    </cfRule>
    <cfRule type="expression" dxfId="5051" priority="51551">
      <formula>CF4=$B$1</formula>
    </cfRule>
    <cfRule type="expression" dxfId="5050" priority="51552">
      <formula>AND($F$3="JULY",CF4&lt;$B$1)</formula>
    </cfRule>
  </conditionalFormatting>
  <conditionalFormatting sqref="BZ6 BZ12 BZ18 BZ24 BZ30 BZ36">
    <cfRule type="expression" dxfId="5049" priority="51618">
      <formula>AND($F$3="JUNE",CF4&lt;$B$1)</formula>
    </cfRule>
    <cfRule type="expression" dxfId="5048" priority="51619">
      <formula>AND($F$3="MAY",CF4&lt;$B$1)</formula>
    </cfRule>
    <cfRule type="expression" dxfId="5047" priority="51620">
      <formula>AND($F$3="APRIL",CF4&lt;$B$1)</formula>
    </cfRule>
    <cfRule type="expression" dxfId="5046" priority="51621">
      <formula>AND($F$3="MARCH",CF4&lt;$B$1)</formula>
    </cfRule>
    <cfRule type="expression" dxfId="5045" priority="51622">
      <formula>AND($F$3="FEBRUARY",CF4&lt;$B$1)</formula>
    </cfRule>
    <cfRule type="expression" dxfId="5044" priority="51623">
      <formula>AND($F$3="JANUARY",CF4&lt;$B$1)</formula>
    </cfRule>
    <cfRule type="expression" dxfId="5043" priority="51624">
      <formula>AND($F$3="DECEMBER",CF4&lt;$B$1)</formula>
    </cfRule>
    <cfRule type="expression" dxfId="5042" priority="51625">
      <formula>AND($F$3="NOVEMBER",CF4&lt;$B$1)</formula>
    </cfRule>
    <cfRule type="expression" dxfId="5041" priority="51626">
      <formula>AND($F$3="OCTOBER",CF4&lt;$B$1)</formula>
    </cfRule>
    <cfRule type="expression" dxfId="5040" priority="51627">
      <formula>AND($F$3="SEPTEMBER",CF4&lt;$B$1)</formula>
    </cfRule>
    <cfRule type="expression" dxfId="5039" priority="51628">
      <formula>AND($F$3="AUGUST",CF4&lt;$B$1)</formula>
    </cfRule>
    <cfRule type="expression" dxfId="5038" priority="51629">
      <formula>AND($F$3="JULY",CF4&lt;$B$1)</formula>
    </cfRule>
    <cfRule type="expression" dxfId="5037" priority="51630">
      <formula>CF4=$B$1</formula>
    </cfRule>
  </conditionalFormatting>
  <conditionalFormatting sqref="BZ7 BZ13 BZ19 BZ25 BZ31 BZ37">
    <cfRule type="expression" dxfId="5036" priority="51696">
      <formula>AND($F$3="JUNE",CF4&lt;$B$1)</formula>
    </cfRule>
    <cfRule type="expression" dxfId="5035" priority="51697">
      <formula>AND($F$3="MAY",CF4&lt;$B$1)</formula>
    </cfRule>
    <cfRule type="expression" dxfId="5034" priority="51698">
      <formula>AND($F$3="APRIL",CF4&lt;$B$1)</formula>
    </cfRule>
    <cfRule type="expression" dxfId="5033" priority="51699">
      <formula>AND($F$3="MARCH",CF4&lt;$B$1)</formula>
    </cfRule>
    <cfRule type="expression" dxfId="5032" priority="51700">
      <formula>AND($F$3="FEBRUARY",CF4&lt;$B$1)</formula>
    </cfRule>
    <cfRule type="expression" dxfId="5031" priority="51701">
      <formula>AND($F$3="JANUARY",CF4&lt;$B$1)</formula>
    </cfRule>
    <cfRule type="expression" dxfId="5030" priority="51702">
      <formula>AND($F$3="DECEMBER",CF4&lt;$B$1)</formula>
    </cfRule>
    <cfRule type="expression" dxfId="5029" priority="51703">
      <formula>AND($F$3="NOVEMBER",CF4&lt;$B$1)</formula>
    </cfRule>
    <cfRule type="expression" dxfId="5028" priority="51704">
      <formula>AND($F$3="OCTOBER",CF4&lt;$B$1)</formula>
    </cfRule>
    <cfRule type="expression" dxfId="5027" priority="51705">
      <formula>AND($F$3="SEPTEMBER",CF4&lt;$B$1)</formula>
    </cfRule>
    <cfRule type="expression" dxfId="5026" priority="51706">
      <formula>AND($F$3="AUGUST",CF4&lt;$B$1)</formula>
    </cfRule>
    <cfRule type="expression" dxfId="5025" priority="51707">
      <formula>AND($F$3="JULY",CF4&lt;$B$1)</formula>
    </cfRule>
    <cfRule type="expression" dxfId="5024" priority="51708">
      <formula>CF4=$B$1</formula>
    </cfRule>
  </conditionalFormatting>
  <conditionalFormatting sqref="BZ8 BZ14 BZ20 BZ26 BZ32 BZ38">
    <cfRule type="expression" dxfId="5023" priority="51774">
      <formula>AND($F$3="JUNE",CF4&lt;$B$1)</formula>
    </cfRule>
    <cfRule type="expression" dxfId="5022" priority="51775">
      <formula>AND($F$3="MAY",CF4&lt;$B$1)</formula>
    </cfRule>
    <cfRule type="expression" dxfId="5021" priority="51776">
      <formula>AND($F$3="APRIL",CF4&lt;$B$1)</formula>
    </cfRule>
    <cfRule type="expression" dxfId="5020" priority="51777">
      <formula>AND($F$3="MARCH",CF4&lt;$B$1)</formula>
    </cfRule>
    <cfRule type="expression" dxfId="5019" priority="51778">
      <formula>AND($F$3="FEBRUARY",CF4&lt;$B$1)</formula>
    </cfRule>
    <cfRule type="expression" dxfId="5018" priority="51779">
      <formula>AND($F$3="JANUARY",CF4&lt;$B$1)</formula>
    </cfRule>
    <cfRule type="expression" dxfId="5017" priority="51780">
      <formula>AND($F$3="DECEMBER",CF4&lt;$B$1)</formula>
    </cfRule>
    <cfRule type="expression" dxfId="5016" priority="51781">
      <formula>AND($F$3="NOVEMBER",CF4&lt;$B$1)</formula>
    </cfRule>
    <cfRule type="expression" dxfId="5015" priority="51782">
      <formula>AND($F$3="OCTOBER",CF4&lt;$B$1)</formula>
    </cfRule>
    <cfRule type="expression" dxfId="5014" priority="51783">
      <formula>AND($F$3="SEPTEMBER",CF4&lt;$B$1)</formula>
    </cfRule>
    <cfRule type="expression" dxfId="5013" priority="51784">
      <formula>AND($F$3="AUGUST",CF4&lt;$B$1)</formula>
    </cfRule>
    <cfRule type="expression" dxfId="5012" priority="51785">
      <formula>AND($F$3="JULY",CF4&lt;$B$1)</formula>
    </cfRule>
    <cfRule type="expression" dxfId="5011" priority="51786">
      <formula>CF4=$B$1</formula>
    </cfRule>
  </conditionalFormatting>
  <conditionalFormatting sqref="BF82:BZ91">
    <cfRule type="expression" dxfId="5010" priority="120">
      <formula>MONTH(BF82)=12</formula>
    </cfRule>
    <cfRule type="expression" dxfId="5009" priority="121">
      <formula>MONTH(BF82)=11</formula>
    </cfRule>
    <cfRule type="expression" dxfId="5008" priority="122">
      <formula>MONTH(BF82)=10</formula>
    </cfRule>
    <cfRule type="expression" dxfId="5007" priority="123">
      <formula>MONTH(BF82)=9</formula>
    </cfRule>
    <cfRule type="expression" dxfId="5006" priority="124">
      <formula>MONTH(BF82)=8</formula>
    </cfRule>
    <cfRule type="expression" dxfId="5005" priority="125">
      <formula>MONTH(BF82)=7</formula>
    </cfRule>
    <cfRule type="expression" dxfId="5004" priority="126">
      <formula>MONTH(BF82)=6</formula>
    </cfRule>
    <cfRule type="expression" dxfId="5003" priority="127">
      <formula>MONTH(BF82)=5</formula>
    </cfRule>
    <cfRule type="expression" dxfId="5002" priority="128">
      <formula>MONTH(BF82)=4</formula>
    </cfRule>
    <cfRule type="expression" dxfId="5001" priority="129">
      <formula>MONTH(BF82)=3</formula>
    </cfRule>
    <cfRule type="expression" dxfId="5000" priority="131">
      <formula>MONTH(BF82)=1</formula>
    </cfRule>
  </conditionalFormatting>
  <conditionalFormatting sqref="BF69:BH76 BP69:BR76">
    <cfRule type="expression" dxfId="4999" priority="24">
      <formula>MONTH(BF69)=12</formula>
    </cfRule>
    <cfRule type="expression" dxfId="4998" priority="25">
      <formula>MONTH(BF69)=11</formula>
    </cfRule>
    <cfRule type="expression" dxfId="4997" priority="26">
      <formula>MONTH(BF69)=10</formula>
    </cfRule>
    <cfRule type="expression" dxfId="4996" priority="27">
      <formula>MONTH(BF69)=9</formula>
    </cfRule>
    <cfRule type="expression" dxfId="4995" priority="28">
      <formula>MONTH(BF69)=8</formula>
    </cfRule>
    <cfRule type="expression" dxfId="4994" priority="29">
      <formula>MONTH(BF69)=7</formula>
    </cfRule>
    <cfRule type="expression" dxfId="4993" priority="30">
      <formula>MONTH(BF69)=6</formula>
    </cfRule>
    <cfRule type="expression" dxfId="4992" priority="31">
      <formula>MONTH(BF69)=5</formula>
    </cfRule>
    <cfRule type="expression" dxfId="4991" priority="32">
      <formula>MONTH(BF69)=4</formula>
    </cfRule>
    <cfRule type="expression" dxfId="4990" priority="33">
      <formula>MONTH(BF69)=3</formula>
    </cfRule>
    <cfRule type="expression" dxfId="4989" priority="34">
      <formula>MONTH(BF69)=2</formula>
    </cfRule>
    <cfRule type="expression" dxfId="4988" priority="35">
      <formula>MONTH(BF69)=1</formula>
    </cfRule>
  </conditionalFormatting>
  <conditionalFormatting sqref="BJ4:BQ8">
    <cfRule type="expression" dxfId="4987" priority="1">
      <formula>$BP$4=""</formula>
    </cfRule>
  </conditionalFormatting>
  <dataValidations count="9">
    <dataValidation type="date" allowBlank="1" showInputMessage="1" showErrorMessage="1" prompt="Enter national holiday day date._x000a_" sqref="BF69:BH76 BP69:BR76" xr:uid="{3DC9CD2F-6C51-46EC-B787-F19DBB1F1735}">
      <formula1>$CZ$72</formula1>
      <formula2>$CZ$73</formula2>
    </dataValidation>
    <dataValidation allowBlank="1" showInputMessage="1" showErrorMessage="1" prompt="Enter national holiday day name." sqref="BI69:BO76 BS69:BY76" xr:uid="{28107614-7419-47F2-B864-987E35C0D2FD}"/>
    <dataValidation type="date" allowBlank="1" showInputMessage="1" showErrorMessage="1" prompt="Enter date." sqref="BF82:BZ91" xr:uid="{F91EAF75-2B26-4F9D-AA09-4D5340FBA73D}">
      <formula1>$CZ$72</formula1>
      <formula2>$CZ$73</formula2>
    </dataValidation>
    <dataValidation allowBlank="1" showInputMessage="1" showErrorMessage="1" promptTitle="Day Name" prompt="Use this cell to input details of holiday days, special days, etc._x000a_" sqref="BS34:BX34" xr:uid="{0CBC4581-2F62-4B93-B704-0C1D176C9260}"/>
    <dataValidation allowBlank="1" showInputMessage="1" showErrorMessage="1" promptTitle="Events" prompt="Use these cells to input events and their times. " sqref="BS35:BZ38" xr:uid="{1CC07B89-176C-4F5E-8DA9-20D09F3C43F4}"/>
    <dataValidation allowBlank="1" showInputMessage="1" showErrorMessage="1" promptTitle="Chosen Holiday Days/Weeks" prompt="Input the chosen dates for the year." sqref="BF79:BY79" xr:uid="{6F87FEAF-DDD6-4098-A24F-D00ED091EF75}"/>
    <dataValidation allowBlank="1" showInputMessage="1" showErrorMessage="1" promptTitle="National Holidays" prompt="Input the official dates and day names for the year." sqref="BF67:BY67" xr:uid="{AF478328-564D-4A00-875B-C3B1B8673D8F}"/>
    <dataValidation allowBlank="1" showInputMessage="1" showErrorMessage="1" promptTitle=" PLANS" prompt="This is the calendar for planning._x000a_ _x000a_Here you can:_x000a_• input events and appointments_x000a_• complete an overview of the year/s_x000a_• input holiday days and weeks_x000a_ _x000a_Select individual cells for specific information and instructions._x000a_" sqref="CA1" xr:uid="{F82F2DE6-691D-404C-B419-E6F4DDADC4B7}"/>
    <dataValidation allowBlank="1" showInputMessage="1" showErrorMessage="1" promptTitle=" HUD = Overview" prompt=" LOGS = Journal          [PLANS = Calendar]_x000a_ NOTES = Ideas            TIMINGS = Schedule_x000a__x000a_ MISSIONS = Tasks_x000a_ ACTIONS = Input_x000a_ PROGRESS = Output_x000a_ JOURNEY = Status_x000a__x000a_ BOUNTY = Rewards   MONEY = Finance_x000a_ VICTORY = Success    RESPITE = Media_x000a_ GUIDE = History" sqref="A1" xr:uid="{4C4A6BAE-538C-4757-A293-73BA1BF555E8}"/>
  </dataValidations>
  <printOptions horizontalCentered="1" verticalCentered="1" gridLines="1"/>
  <pageMargins left="0.39370078740157483" right="0.39370078740157483" top="0.39370078740157483" bottom="0.39370078740157483" header="0" footer="0"/>
  <pageSetup paperSize="9" scale="50" fitToWidth="0"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5924" id="{352C932F-44E8-4C9F-8F19-C0D0AE8DF8D0}">
            <xm:f>MID(E67,4,1)=MID('^'!$BK$55,4,1)</xm:f>
            <x14:dxf>
              <font>
                <color theme="0"/>
              </font>
              <fill>
                <patternFill>
                  <bgColor theme="1"/>
                </patternFill>
              </fill>
            </x14:dxf>
          </x14:cfRule>
          <x14:cfRule type="expression" priority="55925" id="{CC9151D6-E267-440C-9455-E7D666A73C3E}">
            <xm:f>MID(E67,4,1)&lt;MID('^'!$BK$55,4,1)</xm:f>
            <x14:dxf>
              <font>
                <color theme="0" tint="-0.499984740745262"/>
              </font>
              <fill>
                <patternFill>
                  <bgColor theme="0" tint="-0.34998626667073579"/>
                </patternFill>
              </fill>
            </x14:dxf>
          </x14:cfRule>
          <xm:sqref>E67:L67 O67:V67 Y67:AF67 AI67:AP67 AS67:AZ67 E74:L74 O74:V74 Y74:AF74 AI74:AP74 AS74:AZ74</xm:sqref>
        </x14:conditionalFormatting>
        <x14:conditionalFormatting xmlns:xm="http://schemas.microsoft.com/office/excel/2006/main">
          <x14:cfRule type="expression" priority="55944" id="{11E14C90-C353-4015-866D-3AE65CC3F659}">
            <xm:f>MID(E67,4,1)=MID('^'!$BK$55,4,1)</xm:f>
            <x14:dxf>
              <font>
                <color theme="0"/>
              </font>
              <fill>
                <patternFill>
                  <bgColor theme="1"/>
                </patternFill>
              </fill>
            </x14:dxf>
          </x14:cfRule>
          <x14:cfRule type="expression" priority="55945" id="{8FF3A091-CE0D-418D-BC8B-0E3944AE905C}">
            <xm:f>MID(E67,4,1)&lt;MID('^'!$BK$55,4,1)</xm:f>
            <x14:dxf>
              <font>
                <color theme="0" tint="-0.499984740745262"/>
              </font>
              <fill>
                <patternFill>
                  <bgColor theme="0" tint="-0.34998626667073579"/>
                </patternFill>
              </fill>
            </x14:dxf>
          </x14:cfRule>
          <xm:sqref>E68:L68 O68:V68 Y68:AF68 AI68:AP68 AS68:AZ68 E75:L75 O75:V75 Y75:AF75 AI75:AP75 AS75:AZ75</xm:sqref>
        </x14:conditionalFormatting>
        <x14:conditionalFormatting xmlns:xm="http://schemas.microsoft.com/office/excel/2006/main">
          <x14:cfRule type="expression" priority="55964" id="{EBA7CC78-4DB7-41F0-8F02-A043CB064C12}">
            <xm:f>MID(E67,4,1)=MID('^'!$BK$55,4,1)</xm:f>
            <x14:dxf>
              <font>
                <color theme="0"/>
              </font>
              <fill>
                <patternFill>
                  <bgColor theme="1"/>
                </patternFill>
              </fill>
            </x14:dxf>
          </x14:cfRule>
          <x14:cfRule type="expression" priority="55965" id="{0B0CBFD8-12FC-41CC-95CC-0B2BB52E2D71}">
            <xm:f>MID(E67,4,1)&lt;MID('^'!$BK$55,4,1)</xm:f>
            <x14:dxf>
              <font>
                <color theme="0" tint="-0.499984740745262"/>
              </font>
              <fill>
                <patternFill>
                  <bgColor theme="0" tint="-0.34998626667073579"/>
                </patternFill>
              </fill>
            </x14:dxf>
          </x14:cfRule>
          <xm:sqref>E69:L69 O69:V69 Y69:AF69 AI69:AP69 AS69:AZ69 E76:L76 O76:V76 Y76:AF76 AI76:AP76 AS76:AZ76</xm:sqref>
        </x14:conditionalFormatting>
        <x14:conditionalFormatting xmlns:xm="http://schemas.microsoft.com/office/excel/2006/main">
          <x14:cfRule type="expression" priority="55984" id="{F29BC7C1-A8F7-4A2B-82DA-0ACE7328666A}">
            <xm:f>MID(E67,4,1)=MID('^'!$BK$55,4,1)</xm:f>
            <x14:dxf>
              <font>
                <color theme="0"/>
              </font>
              <fill>
                <patternFill>
                  <bgColor theme="1"/>
                </patternFill>
              </fill>
            </x14:dxf>
          </x14:cfRule>
          <x14:cfRule type="expression" priority="55985" id="{FBBB75B9-54FF-4221-AC32-D8ADC8CCB222}">
            <xm:f>MID(E67,4,1)&lt;MID('^'!$BK$55,4,1)</xm:f>
            <x14:dxf>
              <font>
                <color theme="0" tint="-0.499984740745262"/>
              </font>
              <fill>
                <patternFill>
                  <bgColor theme="0" tint="-0.34998626667073579"/>
                </patternFill>
              </fill>
            </x14:dxf>
          </x14:cfRule>
          <xm:sqref>E70:L70 O70:V70 Y70:AF70 AI70:AP70 AS70:AZ70 E77:L77 O77:V77 Y77:AF77 AI77:AP77 AS77:AZ77</xm:sqref>
        </x14:conditionalFormatting>
        <x14:conditionalFormatting xmlns:xm="http://schemas.microsoft.com/office/excel/2006/main">
          <x14:cfRule type="expression" priority="56004" id="{D284CB10-6C20-4E30-8B4E-4C8698DFD247}">
            <xm:f>MID(E67,4,1)=MID('^'!$BK$55,4,1)</xm:f>
            <x14:dxf>
              <font>
                <color theme="0"/>
              </font>
              <fill>
                <patternFill>
                  <bgColor theme="1"/>
                </patternFill>
              </fill>
            </x14:dxf>
          </x14:cfRule>
          <x14:cfRule type="expression" priority="56005" id="{B6BAC931-6FBC-425D-AD22-DC52ADEB9E73}">
            <xm:f>MID(E67,4,1)&lt;MID('^'!$BK$55,4,1)</xm:f>
            <x14:dxf>
              <font>
                <color theme="0" tint="-0.499984740745262"/>
              </font>
              <fill>
                <patternFill>
                  <bgColor theme="0" tint="-0.34998626667073579"/>
                </patternFill>
              </fill>
            </x14:dxf>
          </x14:cfRule>
          <xm:sqref>E71:L71 O71:V71 Y71:AF71 AI71:AP71 AS71:AZ71 E78:L78 O78:V78 Y78:AF78 AI78:AP78 AS78:AZ78</xm:sqref>
        </x14:conditionalFormatting>
        <x14:conditionalFormatting xmlns:xm="http://schemas.microsoft.com/office/excel/2006/main">
          <x14:cfRule type="expression" priority="3" id="{D4F0484A-582B-4DDE-A550-B02DBD7B4AF6}">
            <xm:f>OR(YEAR(BF82)&lt;'^'!$BK$55,YEAR(BF82)&gt;'^'!$BK$55)</xm:f>
            <x14:dxf>
              <font>
                <color theme="0" tint="-0.24994659260841701"/>
              </font>
            </x14:dxf>
          </x14:cfRule>
          <xm:sqref>BF82:BZ91</xm:sqref>
        </x14:conditionalFormatting>
        <x14:conditionalFormatting xmlns:xm="http://schemas.microsoft.com/office/excel/2006/main">
          <x14:cfRule type="expression" priority="2" id="{D0EB0BE3-0C51-474E-8622-AE1DA475302F}">
            <xm:f>OR(YEAR(BF69)&lt;'^'!$BK$55,YEAR(BF69)&gt;'^'!$BK$55)</xm:f>
            <x14:dxf>
              <font>
                <color theme="0" tint="-0.24994659260841701"/>
              </font>
            </x14:dxf>
          </x14:cfRule>
          <xm:sqref>BF69:BH76 BP69:BR76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22AD6A-4D3C-4460-99D0-83668AC66F9F}">
  <sheetPr codeName="Sheet7"/>
  <dimension ref="A1:CA260"/>
  <sheetViews>
    <sheetView showGridLines="0" showRowColHeaders="0" zoomScaleNormal="100" workbookViewId="0"/>
  </sheetViews>
  <sheetFormatPr defaultColWidth="3.42578125" defaultRowHeight="17.100000000000001" customHeight="1" x14ac:dyDescent="0.3"/>
  <cols>
    <col min="1" max="2" width="3.42578125" style="613"/>
    <col min="3" max="3" width="3.42578125" style="1434"/>
    <col min="4" max="17" width="3.42578125" style="613"/>
    <col min="18" max="34" width="3.42578125" style="28"/>
    <col min="35" max="35" width="3.42578125" style="28" customWidth="1"/>
    <col min="36" max="16384" width="3.42578125" style="28"/>
  </cols>
  <sheetData>
    <row r="1" spans="1:79" ht="17.100000000000001" customHeight="1" x14ac:dyDescent="0.3">
      <c r="A1" s="2694" t="s">
        <v>1706</v>
      </c>
      <c r="B1" s="796"/>
      <c r="C1" s="1428"/>
      <c r="D1" s="796"/>
      <c r="E1" s="796"/>
      <c r="F1" s="796"/>
      <c r="G1" s="796"/>
      <c r="H1" s="796"/>
      <c r="I1" s="796"/>
      <c r="J1" s="796"/>
      <c r="K1" s="796"/>
      <c r="L1" s="796"/>
      <c r="M1" s="796"/>
      <c r="N1" s="796"/>
      <c r="O1" s="796"/>
      <c r="P1" s="796"/>
      <c r="Q1" s="796"/>
      <c r="R1" s="120"/>
      <c r="S1" s="120"/>
      <c r="T1" s="120"/>
      <c r="U1" s="120"/>
      <c r="V1" s="120"/>
      <c r="W1" s="120"/>
      <c r="X1" s="120"/>
      <c r="Y1" s="120"/>
      <c r="Z1" s="120"/>
      <c r="AA1" s="120"/>
      <c r="AB1" s="120"/>
      <c r="AC1" s="120"/>
      <c r="AD1" s="120"/>
      <c r="AE1" s="120"/>
      <c r="AF1" s="120"/>
      <c r="AG1" s="120"/>
      <c r="AH1" s="120"/>
      <c r="AI1" s="120"/>
      <c r="AJ1" s="120"/>
      <c r="AK1" s="120"/>
      <c r="AL1" s="120"/>
      <c r="AM1" s="120"/>
      <c r="AN1" s="120"/>
      <c r="AO1" s="120"/>
      <c r="AP1" s="120"/>
      <c r="AQ1" s="120"/>
      <c r="AR1" s="120"/>
      <c r="AS1" s="120"/>
      <c r="AT1" s="120"/>
      <c r="AU1" s="120"/>
      <c r="AV1" s="120"/>
      <c r="AW1" s="120"/>
      <c r="AX1" s="120"/>
      <c r="AY1" s="120"/>
      <c r="AZ1" s="120"/>
      <c r="BA1" s="120"/>
      <c r="BB1" s="120"/>
      <c r="BC1" s="120"/>
      <c r="BD1" s="120"/>
      <c r="BE1" s="120"/>
      <c r="BF1" s="120"/>
      <c r="BG1" s="120"/>
      <c r="BH1" s="120"/>
      <c r="BI1" s="120"/>
      <c r="BJ1" s="120"/>
      <c r="BK1" s="120"/>
      <c r="BL1" s="120"/>
      <c r="BM1" s="120"/>
      <c r="BN1" s="120"/>
      <c r="BO1" s="120"/>
      <c r="BP1" s="120"/>
      <c r="BQ1" s="120"/>
      <c r="BR1" s="120"/>
      <c r="BS1" s="120"/>
      <c r="BT1" s="120"/>
      <c r="BU1" s="120"/>
      <c r="BV1" s="120"/>
      <c r="BW1" s="120"/>
      <c r="BX1" s="120"/>
      <c r="BY1" s="120"/>
      <c r="BZ1" s="120"/>
      <c r="CA1" s="18" t="s">
        <v>782</v>
      </c>
    </row>
    <row r="2" spans="1:79" ht="17.100000000000001" customHeight="1" x14ac:dyDescent="0.3">
      <c r="A2" s="796"/>
      <c r="B2" s="1429"/>
      <c r="C2" s="1430"/>
      <c r="D2" s="1429"/>
      <c r="E2" s="1431"/>
      <c r="F2" s="1431"/>
      <c r="G2" s="1431"/>
      <c r="H2" s="1431"/>
      <c r="I2" s="1431"/>
      <c r="J2" s="1431"/>
      <c r="K2" s="1431"/>
      <c r="L2" s="1431"/>
      <c r="M2" s="1431"/>
      <c r="N2" s="1431"/>
      <c r="O2" s="1431"/>
      <c r="P2" s="1431"/>
      <c r="Q2" s="1431"/>
      <c r="R2" s="1432"/>
      <c r="S2" s="1432"/>
      <c r="T2" s="1432"/>
      <c r="U2" s="1432"/>
      <c r="V2" s="1432"/>
      <c r="W2" s="1432"/>
      <c r="X2" s="1432"/>
      <c r="Y2" s="1432"/>
      <c r="Z2" s="1432"/>
      <c r="AA2" s="1432"/>
      <c r="AB2" s="1432"/>
      <c r="AC2" s="1432"/>
      <c r="AD2" s="1432"/>
      <c r="AE2" s="1432"/>
      <c r="AF2" s="1432"/>
      <c r="AG2" s="1432"/>
      <c r="AH2" s="1432"/>
      <c r="AI2" s="1432"/>
      <c r="AJ2" s="1432"/>
      <c r="AK2" s="1432"/>
      <c r="AL2" s="1432"/>
      <c r="AM2" s="1432"/>
      <c r="AN2" s="1432"/>
      <c r="AO2" s="1432"/>
      <c r="AP2" s="1432"/>
      <c r="AQ2" s="1432"/>
      <c r="AR2" s="1432"/>
      <c r="AS2" s="1432"/>
      <c r="AT2" s="1432"/>
      <c r="AU2" s="1432"/>
      <c r="AV2" s="1432"/>
      <c r="AW2" s="1432"/>
      <c r="AX2" s="1432"/>
      <c r="AY2" s="1432"/>
      <c r="AZ2" s="1432"/>
      <c r="BA2" s="1432"/>
      <c r="BB2" s="1432"/>
      <c r="BC2" s="1432"/>
      <c r="BD2" s="1432"/>
      <c r="BE2" s="1432"/>
      <c r="BF2" s="1432"/>
      <c r="BG2" s="1432"/>
      <c r="BH2" s="1432"/>
      <c r="BI2" s="1432"/>
      <c r="BJ2" s="1432"/>
      <c r="BK2" s="1432"/>
      <c r="BL2" s="1432"/>
      <c r="BM2" s="1432"/>
      <c r="BN2" s="1432"/>
      <c r="BO2" s="1432"/>
      <c r="BP2" s="1432"/>
      <c r="BQ2" s="1432"/>
      <c r="BR2" s="1432"/>
      <c r="BS2" s="1432"/>
      <c r="BT2" s="1432"/>
      <c r="BU2" s="1432"/>
      <c r="BV2" s="1432"/>
      <c r="BW2" s="1433"/>
      <c r="BX2" s="1432"/>
      <c r="BY2" s="1432"/>
      <c r="BZ2" s="1432"/>
      <c r="CA2" s="1076"/>
    </row>
    <row r="3" spans="1:79" ht="17.100000000000001" customHeight="1" x14ac:dyDescent="0.2">
      <c r="A3" s="796"/>
      <c r="B3" s="1429"/>
      <c r="C3" s="3816" t="s">
        <v>962</v>
      </c>
      <c r="D3" s="3817"/>
      <c r="E3" s="3818"/>
      <c r="F3" s="3107"/>
      <c r="G3" s="3107"/>
      <c r="H3" s="3107"/>
      <c r="I3" s="3107"/>
      <c r="J3" s="3107"/>
      <c r="K3" s="3107"/>
      <c r="L3" s="3107"/>
      <c r="M3" s="3107"/>
      <c r="N3" s="3107"/>
      <c r="O3" s="3107"/>
      <c r="P3" s="3107"/>
      <c r="Q3" s="3107"/>
      <c r="R3" s="3107"/>
      <c r="S3" s="3107"/>
      <c r="T3" s="3107"/>
      <c r="U3" s="3107"/>
      <c r="V3" s="3107"/>
      <c r="W3" s="3107"/>
      <c r="X3" s="3107"/>
      <c r="Y3" s="3107"/>
      <c r="Z3" s="3107"/>
      <c r="AA3" s="3107"/>
      <c r="AB3" s="3107"/>
      <c r="AC3" s="3107"/>
      <c r="AD3" s="3107"/>
      <c r="AE3" s="3107"/>
      <c r="AF3" s="3107"/>
      <c r="AG3" s="3107"/>
      <c r="AH3" s="3107"/>
      <c r="AI3" s="3107"/>
      <c r="AJ3" s="3107"/>
      <c r="AK3" s="3107"/>
      <c r="AL3" s="3107"/>
      <c r="AM3" s="3107"/>
      <c r="AN3" s="3107"/>
      <c r="AO3" s="3107"/>
      <c r="AP3" s="3107"/>
      <c r="AQ3" s="3107"/>
      <c r="AR3" s="3107"/>
      <c r="AS3" s="3107"/>
      <c r="AT3" s="3107"/>
      <c r="AU3" s="3107"/>
      <c r="AV3" s="3107"/>
      <c r="AW3" s="3107"/>
      <c r="AX3" s="3107"/>
      <c r="AY3" s="3107"/>
      <c r="AZ3" s="3107"/>
      <c r="BA3" s="3107"/>
      <c r="BB3" s="3107"/>
      <c r="BC3" s="3107"/>
      <c r="BD3" s="3107"/>
      <c r="BE3" s="3107"/>
      <c r="BF3" s="3107"/>
      <c r="BG3" s="3107"/>
      <c r="BH3" s="3107"/>
      <c r="BI3" s="3107"/>
      <c r="BJ3" s="3107"/>
      <c r="BK3" s="3107"/>
      <c r="BL3" s="3107"/>
      <c r="BM3" s="3107"/>
      <c r="BN3" s="3107"/>
      <c r="BO3" s="3107"/>
      <c r="BP3" s="3107"/>
      <c r="BQ3" s="3107"/>
      <c r="BR3" s="3107"/>
      <c r="BS3" s="3107"/>
      <c r="BT3" s="3107"/>
      <c r="BU3" s="3107"/>
      <c r="BV3" s="3107"/>
      <c r="BW3" s="1379"/>
      <c r="BX3" s="1380"/>
      <c r="BY3" s="1381"/>
      <c r="BZ3" s="1432"/>
      <c r="CA3" s="1076"/>
    </row>
    <row r="4" spans="1:79" ht="17.100000000000001" customHeight="1" x14ac:dyDescent="0.2">
      <c r="A4" s="796"/>
      <c r="B4" s="1429"/>
      <c r="C4" s="3819"/>
      <c r="D4" s="3820"/>
      <c r="E4" s="3821"/>
      <c r="F4" s="3107"/>
      <c r="G4" s="3107"/>
      <c r="H4" s="3107"/>
      <c r="I4" s="3107"/>
      <c r="J4" s="3107"/>
      <c r="K4" s="3107"/>
      <c r="L4" s="3107"/>
      <c r="M4" s="3107"/>
      <c r="N4" s="3107"/>
      <c r="O4" s="3107"/>
      <c r="P4" s="3107"/>
      <c r="Q4" s="3107"/>
      <c r="R4" s="3107"/>
      <c r="S4" s="3107"/>
      <c r="T4" s="3107"/>
      <c r="U4" s="3107"/>
      <c r="V4" s="3107"/>
      <c r="W4" s="3107"/>
      <c r="X4" s="3107"/>
      <c r="Y4" s="3107"/>
      <c r="Z4" s="3107"/>
      <c r="AA4" s="3107"/>
      <c r="AB4" s="3107"/>
      <c r="AC4" s="3107"/>
      <c r="AD4" s="3107"/>
      <c r="AE4" s="3107"/>
      <c r="AF4" s="3107"/>
      <c r="AG4" s="3107"/>
      <c r="AH4" s="3107"/>
      <c r="AI4" s="3107"/>
      <c r="AJ4" s="3107"/>
      <c r="AK4" s="3107"/>
      <c r="AL4" s="3107"/>
      <c r="AM4" s="3107"/>
      <c r="AN4" s="3107"/>
      <c r="AO4" s="3107"/>
      <c r="AP4" s="3107"/>
      <c r="AQ4" s="3107"/>
      <c r="AR4" s="3107"/>
      <c r="AS4" s="3107"/>
      <c r="AT4" s="3107"/>
      <c r="AU4" s="3107"/>
      <c r="AV4" s="3107"/>
      <c r="AW4" s="3107"/>
      <c r="AX4" s="3107"/>
      <c r="AY4" s="3107"/>
      <c r="AZ4" s="3107"/>
      <c r="BA4" s="3107"/>
      <c r="BB4" s="3107"/>
      <c r="BC4" s="3107"/>
      <c r="BD4" s="3107"/>
      <c r="BE4" s="3107"/>
      <c r="BF4" s="3107"/>
      <c r="BG4" s="3107"/>
      <c r="BH4" s="3107"/>
      <c r="BI4" s="3107"/>
      <c r="BJ4" s="3107"/>
      <c r="BK4" s="3107"/>
      <c r="BL4" s="3107"/>
      <c r="BM4" s="3107"/>
      <c r="BN4" s="3107"/>
      <c r="BO4" s="3107"/>
      <c r="BP4" s="3107"/>
      <c r="BQ4" s="3107"/>
      <c r="BR4" s="3107"/>
      <c r="BS4" s="3107"/>
      <c r="BT4" s="3107"/>
      <c r="BU4" s="3107"/>
      <c r="BV4" s="3107"/>
      <c r="BW4" s="1382"/>
      <c r="BX4" s="1383"/>
      <c r="BY4" s="1384"/>
      <c r="BZ4" s="1432"/>
      <c r="CA4" s="1076"/>
    </row>
    <row r="5" spans="1:79" ht="17.100000000000001" customHeight="1" x14ac:dyDescent="0.2">
      <c r="A5" s="796"/>
      <c r="B5" s="1429"/>
      <c r="C5" s="3819"/>
      <c r="D5" s="3820"/>
      <c r="E5" s="3821"/>
      <c r="F5" s="3107"/>
      <c r="G5" s="3107"/>
      <c r="H5" s="3107"/>
      <c r="I5" s="3107"/>
      <c r="J5" s="3107"/>
      <c r="K5" s="3107"/>
      <c r="L5" s="3107"/>
      <c r="M5" s="3107"/>
      <c r="N5" s="3107"/>
      <c r="O5" s="3107"/>
      <c r="P5" s="3107"/>
      <c r="Q5" s="3107"/>
      <c r="R5" s="3107"/>
      <c r="S5" s="3107"/>
      <c r="T5" s="3107"/>
      <c r="U5" s="3107"/>
      <c r="V5" s="3107"/>
      <c r="W5" s="3107"/>
      <c r="X5" s="3107"/>
      <c r="Y5" s="3107"/>
      <c r="Z5" s="3107"/>
      <c r="AA5" s="3107"/>
      <c r="AB5" s="3107"/>
      <c r="AC5" s="3107"/>
      <c r="AD5" s="3107"/>
      <c r="AE5" s="3107"/>
      <c r="AF5" s="3107"/>
      <c r="AG5" s="3107"/>
      <c r="AH5" s="3107"/>
      <c r="AI5" s="3107"/>
      <c r="AJ5" s="3107"/>
      <c r="AK5" s="3107"/>
      <c r="AL5" s="3107"/>
      <c r="AM5" s="3107"/>
      <c r="AN5" s="3107"/>
      <c r="AO5" s="3107"/>
      <c r="AP5" s="3107"/>
      <c r="AQ5" s="3107"/>
      <c r="AR5" s="3107"/>
      <c r="AS5" s="3107"/>
      <c r="AT5" s="3107"/>
      <c r="AU5" s="3107"/>
      <c r="AV5" s="3107"/>
      <c r="AW5" s="3107"/>
      <c r="AX5" s="3107"/>
      <c r="AY5" s="3107"/>
      <c r="AZ5" s="3107"/>
      <c r="BA5" s="3107"/>
      <c r="BB5" s="3107"/>
      <c r="BC5" s="3107"/>
      <c r="BD5" s="3107"/>
      <c r="BE5" s="3107"/>
      <c r="BF5" s="3107"/>
      <c r="BG5" s="3107"/>
      <c r="BH5" s="3107"/>
      <c r="BI5" s="3107"/>
      <c r="BJ5" s="3107"/>
      <c r="BK5" s="3107"/>
      <c r="BL5" s="3107"/>
      <c r="BM5" s="3107"/>
      <c r="BN5" s="3107"/>
      <c r="BO5" s="3107"/>
      <c r="BP5" s="3107"/>
      <c r="BQ5" s="3107"/>
      <c r="BR5" s="3107"/>
      <c r="BS5" s="3107"/>
      <c r="BT5" s="3107"/>
      <c r="BU5" s="3107"/>
      <c r="BV5" s="3107"/>
      <c r="BW5" s="1382"/>
      <c r="BX5" s="1383"/>
      <c r="BY5" s="1384"/>
      <c r="BZ5" s="1432"/>
      <c r="CA5" s="1076"/>
    </row>
    <row r="6" spans="1:79" ht="17.100000000000001" customHeight="1" x14ac:dyDescent="0.2">
      <c r="A6" s="796"/>
      <c r="B6" s="1429"/>
      <c r="C6" s="3819"/>
      <c r="D6" s="3820"/>
      <c r="E6" s="3821"/>
      <c r="F6" s="3107"/>
      <c r="G6" s="3107"/>
      <c r="H6" s="3107"/>
      <c r="I6" s="3107"/>
      <c r="J6" s="3107"/>
      <c r="K6" s="3107"/>
      <c r="L6" s="3107"/>
      <c r="M6" s="3107"/>
      <c r="N6" s="3107"/>
      <c r="O6" s="3107"/>
      <c r="P6" s="3107"/>
      <c r="Q6" s="3107"/>
      <c r="R6" s="3107"/>
      <c r="S6" s="3107"/>
      <c r="T6" s="3107"/>
      <c r="U6" s="3107"/>
      <c r="V6" s="3107"/>
      <c r="W6" s="3107"/>
      <c r="X6" s="3107"/>
      <c r="Y6" s="3107"/>
      <c r="Z6" s="3107"/>
      <c r="AA6" s="3107"/>
      <c r="AB6" s="3107"/>
      <c r="AC6" s="3107"/>
      <c r="AD6" s="3107"/>
      <c r="AE6" s="3107"/>
      <c r="AF6" s="3107"/>
      <c r="AG6" s="3107"/>
      <c r="AH6" s="3107"/>
      <c r="AI6" s="3107"/>
      <c r="AJ6" s="3107"/>
      <c r="AK6" s="3107"/>
      <c r="AL6" s="3107"/>
      <c r="AM6" s="3107"/>
      <c r="AN6" s="3107"/>
      <c r="AO6" s="3107"/>
      <c r="AP6" s="3107"/>
      <c r="AQ6" s="3107"/>
      <c r="AR6" s="3107"/>
      <c r="AS6" s="3107"/>
      <c r="AT6" s="3107"/>
      <c r="AU6" s="3107"/>
      <c r="AV6" s="3107"/>
      <c r="AW6" s="3107"/>
      <c r="AX6" s="3107"/>
      <c r="AY6" s="3107"/>
      <c r="AZ6" s="3107"/>
      <c r="BA6" s="3107"/>
      <c r="BB6" s="3107"/>
      <c r="BC6" s="3107"/>
      <c r="BD6" s="3107"/>
      <c r="BE6" s="3107"/>
      <c r="BF6" s="3107"/>
      <c r="BG6" s="3107"/>
      <c r="BH6" s="3107"/>
      <c r="BI6" s="3107"/>
      <c r="BJ6" s="3107"/>
      <c r="BK6" s="3107"/>
      <c r="BL6" s="3107"/>
      <c r="BM6" s="3107"/>
      <c r="BN6" s="3107"/>
      <c r="BO6" s="3107"/>
      <c r="BP6" s="3107"/>
      <c r="BQ6" s="3107"/>
      <c r="BR6" s="3107"/>
      <c r="BS6" s="3107"/>
      <c r="BT6" s="3107"/>
      <c r="BU6" s="3107"/>
      <c r="BV6" s="3107"/>
      <c r="BW6" s="1382"/>
      <c r="BX6" s="1383"/>
      <c r="BY6" s="1384"/>
      <c r="BZ6" s="1432"/>
      <c r="CA6" s="1076"/>
    </row>
    <row r="7" spans="1:79" ht="17.100000000000001" customHeight="1" x14ac:dyDescent="0.2">
      <c r="A7" s="796"/>
      <c r="B7" s="1429"/>
      <c r="C7" s="3819"/>
      <c r="D7" s="3820"/>
      <c r="E7" s="3821"/>
      <c r="F7" s="3107"/>
      <c r="G7" s="3107"/>
      <c r="H7" s="3107"/>
      <c r="I7" s="3107"/>
      <c r="J7" s="3107"/>
      <c r="K7" s="3107"/>
      <c r="L7" s="3107"/>
      <c r="M7" s="3107"/>
      <c r="N7" s="3107"/>
      <c r="O7" s="3107"/>
      <c r="P7" s="3107"/>
      <c r="Q7" s="3107"/>
      <c r="R7" s="3107"/>
      <c r="S7" s="3107"/>
      <c r="T7" s="3107"/>
      <c r="U7" s="3107"/>
      <c r="V7" s="3107"/>
      <c r="W7" s="3107"/>
      <c r="X7" s="3107"/>
      <c r="Y7" s="3107"/>
      <c r="Z7" s="3107"/>
      <c r="AA7" s="3107"/>
      <c r="AB7" s="3107"/>
      <c r="AC7" s="3107"/>
      <c r="AD7" s="3107"/>
      <c r="AE7" s="3107"/>
      <c r="AF7" s="3107"/>
      <c r="AG7" s="3107"/>
      <c r="AH7" s="3107"/>
      <c r="AI7" s="3107"/>
      <c r="AJ7" s="3107"/>
      <c r="AK7" s="3107"/>
      <c r="AL7" s="3107"/>
      <c r="AM7" s="3107"/>
      <c r="AN7" s="3107"/>
      <c r="AO7" s="3107"/>
      <c r="AP7" s="3107"/>
      <c r="AQ7" s="3107"/>
      <c r="AR7" s="3107"/>
      <c r="AS7" s="3107"/>
      <c r="AT7" s="3107"/>
      <c r="AU7" s="3107"/>
      <c r="AV7" s="3107"/>
      <c r="AW7" s="3107"/>
      <c r="AX7" s="3107"/>
      <c r="AY7" s="3107"/>
      <c r="AZ7" s="3107"/>
      <c r="BA7" s="3107"/>
      <c r="BB7" s="3107"/>
      <c r="BC7" s="3107"/>
      <c r="BD7" s="3107"/>
      <c r="BE7" s="3107"/>
      <c r="BF7" s="3107"/>
      <c r="BG7" s="3107"/>
      <c r="BH7" s="3107"/>
      <c r="BI7" s="3107"/>
      <c r="BJ7" s="3107"/>
      <c r="BK7" s="3107"/>
      <c r="BL7" s="3107"/>
      <c r="BM7" s="3107"/>
      <c r="BN7" s="3107"/>
      <c r="BO7" s="3107"/>
      <c r="BP7" s="3107"/>
      <c r="BQ7" s="3107"/>
      <c r="BR7" s="3107"/>
      <c r="BS7" s="3107"/>
      <c r="BT7" s="3107"/>
      <c r="BU7" s="3107"/>
      <c r="BV7" s="3107"/>
      <c r="BW7" s="1382"/>
      <c r="BX7" s="1383"/>
      <c r="BY7" s="1384"/>
      <c r="BZ7" s="1432"/>
      <c r="CA7" s="1076"/>
    </row>
    <row r="8" spans="1:79" ht="17.100000000000001" customHeight="1" x14ac:dyDescent="0.2">
      <c r="A8" s="796"/>
      <c r="B8" s="1429"/>
      <c r="C8" s="3819"/>
      <c r="D8" s="3820"/>
      <c r="E8" s="3821"/>
      <c r="F8" s="3107"/>
      <c r="G8" s="3107"/>
      <c r="H8" s="3107"/>
      <c r="I8" s="3107"/>
      <c r="J8" s="3107"/>
      <c r="K8" s="3107"/>
      <c r="L8" s="3107"/>
      <c r="M8" s="3107"/>
      <c r="N8" s="3107"/>
      <c r="O8" s="3107"/>
      <c r="P8" s="3107"/>
      <c r="Q8" s="3107"/>
      <c r="R8" s="3107"/>
      <c r="S8" s="3107"/>
      <c r="T8" s="3107"/>
      <c r="U8" s="3107"/>
      <c r="V8" s="3107"/>
      <c r="W8" s="3107"/>
      <c r="X8" s="3107"/>
      <c r="Y8" s="3107"/>
      <c r="Z8" s="3107"/>
      <c r="AA8" s="3107"/>
      <c r="AB8" s="3107"/>
      <c r="AC8" s="3107"/>
      <c r="AD8" s="3107"/>
      <c r="AE8" s="3107"/>
      <c r="AF8" s="3107"/>
      <c r="AG8" s="3107"/>
      <c r="AH8" s="3107"/>
      <c r="AI8" s="3107"/>
      <c r="AJ8" s="3107"/>
      <c r="AK8" s="3107"/>
      <c r="AL8" s="3107"/>
      <c r="AM8" s="3107"/>
      <c r="AN8" s="3107"/>
      <c r="AO8" s="3107"/>
      <c r="AP8" s="3107"/>
      <c r="AQ8" s="3107"/>
      <c r="AR8" s="3107"/>
      <c r="AS8" s="3107"/>
      <c r="AT8" s="3107"/>
      <c r="AU8" s="3107"/>
      <c r="AV8" s="3107"/>
      <c r="AW8" s="3107"/>
      <c r="AX8" s="3107"/>
      <c r="AY8" s="3107"/>
      <c r="AZ8" s="3107"/>
      <c r="BA8" s="3107"/>
      <c r="BB8" s="3107"/>
      <c r="BC8" s="3107"/>
      <c r="BD8" s="3107"/>
      <c r="BE8" s="3107"/>
      <c r="BF8" s="3107"/>
      <c r="BG8" s="3107"/>
      <c r="BH8" s="3107"/>
      <c r="BI8" s="3107"/>
      <c r="BJ8" s="3107"/>
      <c r="BK8" s="3107"/>
      <c r="BL8" s="3107"/>
      <c r="BM8" s="3107"/>
      <c r="BN8" s="3107"/>
      <c r="BO8" s="3107"/>
      <c r="BP8" s="3107"/>
      <c r="BQ8" s="3107"/>
      <c r="BR8" s="3107"/>
      <c r="BS8" s="3107"/>
      <c r="BT8" s="3107"/>
      <c r="BU8" s="3107"/>
      <c r="BV8" s="3107"/>
      <c r="BW8" s="1382"/>
      <c r="BX8" s="1383"/>
      <c r="BY8" s="1384"/>
      <c r="BZ8" s="1432"/>
      <c r="CA8" s="1076"/>
    </row>
    <row r="9" spans="1:79" ht="17.100000000000001" customHeight="1" x14ac:dyDescent="0.2">
      <c r="A9" s="796"/>
      <c r="B9" s="1429"/>
      <c r="C9" s="3819"/>
      <c r="D9" s="3820"/>
      <c r="E9" s="3821"/>
      <c r="F9" s="3107"/>
      <c r="G9" s="3107"/>
      <c r="H9" s="3107"/>
      <c r="I9" s="3107"/>
      <c r="J9" s="3107"/>
      <c r="K9" s="3107"/>
      <c r="L9" s="3107"/>
      <c r="M9" s="3107"/>
      <c r="N9" s="3107"/>
      <c r="O9" s="3107"/>
      <c r="P9" s="3107"/>
      <c r="Q9" s="3107"/>
      <c r="R9" s="3107"/>
      <c r="S9" s="3107"/>
      <c r="T9" s="3107"/>
      <c r="U9" s="3107"/>
      <c r="V9" s="3107"/>
      <c r="W9" s="3107"/>
      <c r="X9" s="3107"/>
      <c r="Y9" s="3107"/>
      <c r="Z9" s="3107"/>
      <c r="AA9" s="3107"/>
      <c r="AB9" s="3107"/>
      <c r="AC9" s="3107"/>
      <c r="AD9" s="3107"/>
      <c r="AE9" s="3107"/>
      <c r="AF9" s="3107"/>
      <c r="AG9" s="3107"/>
      <c r="AH9" s="3107"/>
      <c r="AI9" s="3107"/>
      <c r="AJ9" s="3107"/>
      <c r="AK9" s="3107"/>
      <c r="AL9" s="3107"/>
      <c r="AM9" s="3107"/>
      <c r="AN9" s="3107"/>
      <c r="AO9" s="3107"/>
      <c r="AP9" s="3107"/>
      <c r="AQ9" s="3107"/>
      <c r="AR9" s="3107"/>
      <c r="AS9" s="3107"/>
      <c r="AT9" s="3107"/>
      <c r="AU9" s="3107"/>
      <c r="AV9" s="3107"/>
      <c r="AW9" s="3107"/>
      <c r="AX9" s="3107"/>
      <c r="AY9" s="3107"/>
      <c r="AZ9" s="3107"/>
      <c r="BA9" s="3107"/>
      <c r="BB9" s="3107"/>
      <c r="BC9" s="3107"/>
      <c r="BD9" s="3107"/>
      <c r="BE9" s="3107"/>
      <c r="BF9" s="3107"/>
      <c r="BG9" s="3107"/>
      <c r="BH9" s="3107"/>
      <c r="BI9" s="3107"/>
      <c r="BJ9" s="3107"/>
      <c r="BK9" s="3107"/>
      <c r="BL9" s="3107"/>
      <c r="BM9" s="3107"/>
      <c r="BN9" s="3107"/>
      <c r="BO9" s="3107"/>
      <c r="BP9" s="3107"/>
      <c r="BQ9" s="3107"/>
      <c r="BR9" s="3107"/>
      <c r="BS9" s="3107"/>
      <c r="BT9" s="3107"/>
      <c r="BU9" s="3107"/>
      <c r="BV9" s="3107"/>
      <c r="BW9" s="1382"/>
      <c r="BX9" s="1383"/>
      <c r="BY9" s="1384"/>
      <c r="BZ9" s="1432"/>
      <c r="CA9" s="1076"/>
    </row>
    <row r="10" spans="1:79" ht="17.100000000000001" customHeight="1" x14ac:dyDescent="0.2">
      <c r="A10" s="796"/>
      <c r="B10" s="1429"/>
      <c r="C10" s="3819"/>
      <c r="D10" s="3820"/>
      <c r="E10" s="3821"/>
      <c r="F10" s="3107"/>
      <c r="G10" s="3107"/>
      <c r="H10" s="3107"/>
      <c r="I10" s="3107"/>
      <c r="J10" s="3107"/>
      <c r="K10" s="3107"/>
      <c r="L10" s="3107"/>
      <c r="M10" s="3107"/>
      <c r="N10" s="3107"/>
      <c r="O10" s="3107"/>
      <c r="P10" s="3107"/>
      <c r="Q10" s="3107"/>
      <c r="R10" s="3107"/>
      <c r="S10" s="3107"/>
      <c r="T10" s="3107"/>
      <c r="U10" s="3107"/>
      <c r="V10" s="3107"/>
      <c r="W10" s="3107"/>
      <c r="X10" s="3107"/>
      <c r="Y10" s="3107"/>
      <c r="Z10" s="3107"/>
      <c r="AA10" s="3107"/>
      <c r="AB10" s="3107"/>
      <c r="AC10" s="3107"/>
      <c r="AD10" s="3107"/>
      <c r="AE10" s="3107"/>
      <c r="AF10" s="3107"/>
      <c r="AG10" s="3107"/>
      <c r="AH10" s="3107"/>
      <c r="AI10" s="3107"/>
      <c r="AJ10" s="3107"/>
      <c r="AK10" s="3107"/>
      <c r="AL10" s="3107"/>
      <c r="AM10" s="3107"/>
      <c r="AN10" s="3107"/>
      <c r="AO10" s="3107"/>
      <c r="AP10" s="3107"/>
      <c r="AQ10" s="3107"/>
      <c r="AR10" s="3107"/>
      <c r="AS10" s="3107"/>
      <c r="AT10" s="3107"/>
      <c r="AU10" s="3107"/>
      <c r="AV10" s="3107"/>
      <c r="AW10" s="3107"/>
      <c r="AX10" s="3107"/>
      <c r="AY10" s="3107"/>
      <c r="AZ10" s="3107"/>
      <c r="BA10" s="3107"/>
      <c r="BB10" s="3107"/>
      <c r="BC10" s="3107"/>
      <c r="BD10" s="3107"/>
      <c r="BE10" s="3107"/>
      <c r="BF10" s="3107"/>
      <c r="BG10" s="3107"/>
      <c r="BH10" s="3107"/>
      <c r="BI10" s="3107"/>
      <c r="BJ10" s="3107"/>
      <c r="BK10" s="3107"/>
      <c r="BL10" s="3107"/>
      <c r="BM10" s="3107"/>
      <c r="BN10" s="3107"/>
      <c r="BO10" s="3107"/>
      <c r="BP10" s="3107"/>
      <c r="BQ10" s="3107"/>
      <c r="BR10" s="3107"/>
      <c r="BS10" s="3107"/>
      <c r="BT10" s="3107"/>
      <c r="BU10" s="3107"/>
      <c r="BV10" s="3107"/>
      <c r="BW10" s="1382"/>
      <c r="BX10" s="1383"/>
      <c r="BY10" s="1384"/>
      <c r="BZ10" s="1432"/>
      <c r="CA10" s="1076"/>
    </row>
    <row r="11" spans="1:79" ht="17.100000000000001" customHeight="1" x14ac:dyDescent="0.2">
      <c r="A11" s="796"/>
      <c r="B11" s="1429"/>
      <c r="C11" s="3819"/>
      <c r="D11" s="3820"/>
      <c r="E11" s="3821"/>
      <c r="F11" s="3107"/>
      <c r="G11" s="3107"/>
      <c r="H11" s="3107"/>
      <c r="I11" s="3107"/>
      <c r="J11" s="3107"/>
      <c r="K11" s="3107"/>
      <c r="L11" s="3107"/>
      <c r="M11" s="3107"/>
      <c r="N11" s="3107"/>
      <c r="O11" s="3107"/>
      <c r="P11" s="3107"/>
      <c r="Q11" s="3107"/>
      <c r="R11" s="3107"/>
      <c r="S11" s="3107"/>
      <c r="T11" s="3107"/>
      <c r="U11" s="3107"/>
      <c r="V11" s="3107"/>
      <c r="W11" s="3107"/>
      <c r="X11" s="3107"/>
      <c r="Y11" s="3107"/>
      <c r="Z11" s="3107"/>
      <c r="AA11" s="3107"/>
      <c r="AB11" s="3107"/>
      <c r="AC11" s="3107"/>
      <c r="AD11" s="3107"/>
      <c r="AE11" s="3107"/>
      <c r="AF11" s="3107"/>
      <c r="AG11" s="3107"/>
      <c r="AH11" s="3107"/>
      <c r="AI11" s="3107"/>
      <c r="AJ11" s="3107"/>
      <c r="AK11" s="3107"/>
      <c r="AL11" s="3107"/>
      <c r="AM11" s="3107"/>
      <c r="AN11" s="3107"/>
      <c r="AO11" s="3107"/>
      <c r="AP11" s="3107"/>
      <c r="AQ11" s="3107"/>
      <c r="AR11" s="3107"/>
      <c r="AS11" s="3107"/>
      <c r="AT11" s="3107"/>
      <c r="AU11" s="3107"/>
      <c r="AV11" s="3107"/>
      <c r="AW11" s="3107"/>
      <c r="AX11" s="3107"/>
      <c r="AY11" s="3107"/>
      <c r="AZ11" s="3107"/>
      <c r="BA11" s="3107"/>
      <c r="BB11" s="3107"/>
      <c r="BC11" s="3107"/>
      <c r="BD11" s="3107"/>
      <c r="BE11" s="3107"/>
      <c r="BF11" s="3107"/>
      <c r="BG11" s="3107"/>
      <c r="BH11" s="3107"/>
      <c r="BI11" s="3107"/>
      <c r="BJ11" s="3107"/>
      <c r="BK11" s="3107"/>
      <c r="BL11" s="3107"/>
      <c r="BM11" s="3107"/>
      <c r="BN11" s="3107"/>
      <c r="BO11" s="3107"/>
      <c r="BP11" s="3107"/>
      <c r="BQ11" s="3107"/>
      <c r="BR11" s="3107"/>
      <c r="BS11" s="3107"/>
      <c r="BT11" s="3107"/>
      <c r="BU11" s="3107"/>
      <c r="BV11" s="3107"/>
      <c r="BW11" s="1382"/>
      <c r="BX11" s="1383"/>
      <c r="BY11" s="1384"/>
      <c r="BZ11" s="1432"/>
      <c r="CA11" s="1076"/>
    </row>
    <row r="12" spans="1:79" ht="17.100000000000001" customHeight="1" x14ac:dyDescent="0.2">
      <c r="A12" s="796"/>
      <c r="B12" s="1429"/>
      <c r="C12" s="3819"/>
      <c r="D12" s="3820"/>
      <c r="E12" s="3821"/>
      <c r="F12" s="3107"/>
      <c r="G12" s="3107"/>
      <c r="H12" s="3107"/>
      <c r="I12" s="3107"/>
      <c r="J12" s="3107"/>
      <c r="K12" s="3107"/>
      <c r="L12" s="3107"/>
      <c r="M12" s="3107"/>
      <c r="N12" s="3107"/>
      <c r="O12" s="3107"/>
      <c r="P12" s="3107"/>
      <c r="Q12" s="3107"/>
      <c r="R12" s="3107"/>
      <c r="S12" s="3107"/>
      <c r="T12" s="3107"/>
      <c r="U12" s="3107"/>
      <c r="V12" s="3107"/>
      <c r="W12" s="3107"/>
      <c r="X12" s="3107"/>
      <c r="Y12" s="3107"/>
      <c r="Z12" s="3107"/>
      <c r="AA12" s="3107"/>
      <c r="AB12" s="3107"/>
      <c r="AC12" s="3107"/>
      <c r="AD12" s="3107"/>
      <c r="AE12" s="3107"/>
      <c r="AF12" s="3107"/>
      <c r="AG12" s="3107"/>
      <c r="AH12" s="3107"/>
      <c r="AI12" s="3107"/>
      <c r="AJ12" s="3107"/>
      <c r="AK12" s="3107"/>
      <c r="AL12" s="3107"/>
      <c r="AM12" s="3107"/>
      <c r="AN12" s="3107"/>
      <c r="AO12" s="3107"/>
      <c r="AP12" s="3107"/>
      <c r="AQ12" s="3107"/>
      <c r="AR12" s="3107"/>
      <c r="AS12" s="3107"/>
      <c r="AT12" s="3107"/>
      <c r="AU12" s="3107"/>
      <c r="AV12" s="3107"/>
      <c r="AW12" s="3107"/>
      <c r="AX12" s="3107"/>
      <c r="AY12" s="3107"/>
      <c r="AZ12" s="3107"/>
      <c r="BA12" s="3107"/>
      <c r="BB12" s="3107"/>
      <c r="BC12" s="3107"/>
      <c r="BD12" s="3107"/>
      <c r="BE12" s="3107"/>
      <c r="BF12" s="3107"/>
      <c r="BG12" s="3107"/>
      <c r="BH12" s="3107"/>
      <c r="BI12" s="3107"/>
      <c r="BJ12" s="3107"/>
      <c r="BK12" s="3107"/>
      <c r="BL12" s="3107"/>
      <c r="BM12" s="3107"/>
      <c r="BN12" s="3107"/>
      <c r="BO12" s="3107"/>
      <c r="BP12" s="3107"/>
      <c r="BQ12" s="3107"/>
      <c r="BR12" s="3107"/>
      <c r="BS12" s="3107"/>
      <c r="BT12" s="3107"/>
      <c r="BU12" s="3107"/>
      <c r="BV12" s="3107"/>
      <c r="BW12" s="1382"/>
      <c r="BX12" s="1383"/>
      <c r="BY12" s="1384"/>
      <c r="BZ12" s="1432"/>
      <c r="CA12" s="1076"/>
    </row>
    <row r="13" spans="1:79" ht="17.100000000000001" customHeight="1" x14ac:dyDescent="0.2">
      <c r="A13" s="796"/>
      <c r="B13" s="1429"/>
      <c r="C13" s="3819"/>
      <c r="D13" s="3820"/>
      <c r="E13" s="3821"/>
      <c r="F13" s="3107"/>
      <c r="G13" s="3107"/>
      <c r="H13" s="3107"/>
      <c r="I13" s="3107"/>
      <c r="J13" s="3107"/>
      <c r="K13" s="3107"/>
      <c r="L13" s="3107"/>
      <c r="M13" s="3107"/>
      <c r="N13" s="3107"/>
      <c r="O13" s="3107"/>
      <c r="P13" s="3107"/>
      <c r="Q13" s="3107"/>
      <c r="R13" s="3107"/>
      <c r="S13" s="3107"/>
      <c r="T13" s="3107"/>
      <c r="U13" s="3107"/>
      <c r="V13" s="3107"/>
      <c r="W13" s="3107"/>
      <c r="X13" s="3107"/>
      <c r="Y13" s="3107"/>
      <c r="Z13" s="3107"/>
      <c r="AA13" s="3107"/>
      <c r="AB13" s="3107"/>
      <c r="AC13" s="3107"/>
      <c r="AD13" s="3107"/>
      <c r="AE13" s="3107"/>
      <c r="AF13" s="3107"/>
      <c r="AG13" s="3107"/>
      <c r="AH13" s="3107"/>
      <c r="AI13" s="3107"/>
      <c r="AJ13" s="3107"/>
      <c r="AK13" s="3107"/>
      <c r="AL13" s="3107"/>
      <c r="AM13" s="3107"/>
      <c r="AN13" s="3107"/>
      <c r="AO13" s="3107"/>
      <c r="AP13" s="3107"/>
      <c r="AQ13" s="3107"/>
      <c r="AR13" s="3107"/>
      <c r="AS13" s="3107"/>
      <c r="AT13" s="3107"/>
      <c r="AU13" s="3107"/>
      <c r="AV13" s="3107"/>
      <c r="AW13" s="3107"/>
      <c r="AX13" s="3107"/>
      <c r="AY13" s="3107"/>
      <c r="AZ13" s="3107"/>
      <c r="BA13" s="3107"/>
      <c r="BB13" s="3107"/>
      <c r="BC13" s="3107"/>
      <c r="BD13" s="3107"/>
      <c r="BE13" s="3107"/>
      <c r="BF13" s="3107"/>
      <c r="BG13" s="3107"/>
      <c r="BH13" s="3107"/>
      <c r="BI13" s="3107"/>
      <c r="BJ13" s="3107"/>
      <c r="BK13" s="3107"/>
      <c r="BL13" s="3107"/>
      <c r="BM13" s="3107"/>
      <c r="BN13" s="3107"/>
      <c r="BO13" s="3107"/>
      <c r="BP13" s="3107"/>
      <c r="BQ13" s="3107"/>
      <c r="BR13" s="3107"/>
      <c r="BS13" s="3107"/>
      <c r="BT13" s="3107"/>
      <c r="BU13" s="3107"/>
      <c r="BV13" s="3107"/>
      <c r="BW13" s="1382"/>
      <c r="BX13" s="1383"/>
      <c r="BY13" s="1384"/>
      <c r="BZ13" s="1432"/>
      <c r="CA13" s="1076"/>
    </row>
    <row r="14" spans="1:79" ht="17.100000000000001" customHeight="1" x14ac:dyDescent="0.2">
      <c r="A14" s="796"/>
      <c r="B14" s="1429"/>
      <c r="C14" s="3819"/>
      <c r="D14" s="3820"/>
      <c r="E14" s="3821"/>
      <c r="F14" s="3107"/>
      <c r="G14" s="3107"/>
      <c r="H14" s="3107"/>
      <c r="I14" s="3107"/>
      <c r="J14" s="3107"/>
      <c r="K14" s="3107"/>
      <c r="L14" s="3107"/>
      <c r="M14" s="3107"/>
      <c r="N14" s="3107"/>
      <c r="O14" s="3107"/>
      <c r="P14" s="3107"/>
      <c r="Q14" s="3107"/>
      <c r="R14" s="3107"/>
      <c r="S14" s="3107"/>
      <c r="T14" s="3107"/>
      <c r="U14" s="3107"/>
      <c r="V14" s="3107"/>
      <c r="W14" s="3107"/>
      <c r="X14" s="3107"/>
      <c r="Y14" s="3107"/>
      <c r="Z14" s="3107"/>
      <c r="AA14" s="3107"/>
      <c r="AB14" s="3107"/>
      <c r="AC14" s="3107"/>
      <c r="AD14" s="3107"/>
      <c r="AE14" s="3107"/>
      <c r="AF14" s="3107"/>
      <c r="AG14" s="3107"/>
      <c r="AH14" s="3107"/>
      <c r="AI14" s="3107"/>
      <c r="AJ14" s="3107"/>
      <c r="AK14" s="3107"/>
      <c r="AL14" s="3107"/>
      <c r="AM14" s="3107"/>
      <c r="AN14" s="3107"/>
      <c r="AO14" s="3107"/>
      <c r="AP14" s="3107"/>
      <c r="AQ14" s="3107"/>
      <c r="AR14" s="3107"/>
      <c r="AS14" s="3107"/>
      <c r="AT14" s="3107"/>
      <c r="AU14" s="3107"/>
      <c r="AV14" s="3107"/>
      <c r="AW14" s="3107"/>
      <c r="AX14" s="3107"/>
      <c r="AY14" s="3107"/>
      <c r="AZ14" s="3107"/>
      <c r="BA14" s="3107"/>
      <c r="BB14" s="3107"/>
      <c r="BC14" s="3107"/>
      <c r="BD14" s="3107"/>
      <c r="BE14" s="3107"/>
      <c r="BF14" s="3107"/>
      <c r="BG14" s="3107"/>
      <c r="BH14" s="3107"/>
      <c r="BI14" s="3107"/>
      <c r="BJ14" s="3107"/>
      <c r="BK14" s="3107"/>
      <c r="BL14" s="3107"/>
      <c r="BM14" s="3107"/>
      <c r="BN14" s="3107"/>
      <c r="BO14" s="3107"/>
      <c r="BP14" s="3107"/>
      <c r="BQ14" s="3107"/>
      <c r="BR14" s="3107"/>
      <c r="BS14" s="3107"/>
      <c r="BT14" s="3107"/>
      <c r="BU14" s="3107"/>
      <c r="BV14" s="3107"/>
      <c r="BW14" s="1382"/>
      <c r="BX14" s="1383"/>
      <c r="BY14" s="1384"/>
      <c r="BZ14" s="1432"/>
      <c r="CA14" s="1076"/>
    </row>
    <row r="15" spans="1:79" ht="17.100000000000001" customHeight="1" x14ac:dyDescent="0.2">
      <c r="A15" s="796"/>
      <c r="B15" s="1429"/>
      <c r="C15" s="3819"/>
      <c r="D15" s="3820"/>
      <c r="E15" s="3821"/>
      <c r="F15" s="3107"/>
      <c r="G15" s="3107"/>
      <c r="H15" s="3107"/>
      <c r="I15" s="3107"/>
      <c r="J15" s="3107"/>
      <c r="K15" s="3107"/>
      <c r="L15" s="3107"/>
      <c r="M15" s="3107"/>
      <c r="N15" s="3107"/>
      <c r="O15" s="3107"/>
      <c r="P15" s="3107"/>
      <c r="Q15" s="3107"/>
      <c r="R15" s="3107"/>
      <c r="S15" s="3107"/>
      <c r="T15" s="3107"/>
      <c r="U15" s="3107"/>
      <c r="V15" s="3107"/>
      <c r="W15" s="3107"/>
      <c r="X15" s="3107"/>
      <c r="Y15" s="3107"/>
      <c r="Z15" s="3107"/>
      <c r="AA15" s="3107"/>
      <c r="AB15" s="3107"/>
      <c r="AC15" s="3107"/>
      <c r="AD15" s="3107"/>
      <c r="AE15" s="3107"/>
      <c r="AF15" s="3107"/>
      <c r="AG15" s="3107"/>
      <c r="AH15" s="3107"/>
      <c r="AI15" s="3107"/>
      <c r="AJ15" s="3107"/>
      <c r="AK15" s="3107"/>
      <c r="AL15" s="3107"/>
      <c r="AM15" s="3107"/>
      <c r="AN15" s="3107"/>
      <c r="AO15" s="3107"/>
      <c r="AP15" s="3107"/>
      <c r="AQ15" s="3107"/>
      <c r="AR15" s="3107"/>
      <c r="AS15" s="3107"/>
      <c r="AT15" s="3107"/>
      <c r="AU15" s="3107"/>
      <c r="AV15" s="3107"/>
      <c r="AW15" s="3107"/>
      <c r="AX15" s="3107"/>
      <c r="AY15" s="3107"/>
      <c r="AZ15" s="3107"/>
      <c r="BA15" s="3107"/>
      <c r="BB15" s="3107"/>
      <c r="BC15" s="3107"/>
      <c r="BD15" s="3107"/>
      <c r="BE15" s="3107"/>
      <c r="BF15" s="3107"/>
      <c r="BG15" s="3107"/>
      <c r="BH15" s="3107"/>
      <c r="BI15" s="3107"/>
      <c r="BJ15" s="3107"/>
      <c r="BK15" s="3107"/>
      <c r="BL15" s="3107"/>
      <c r="BM15" s="3107"/>
      <c r="BN15" s="3107"/>
      <c r="BO15" s="3107"/>
      <c r="BP15" s="3107"/>
      <c r="BQ15" s="3107"/>
      <c r="BR15" s="3107"/>
      <c r="BS15" s="3107"/>
      <c r="BT15" s="3107"/>
      <c r="BU15" s="3107"/>
      <c r="BV15" s="3107"/>
      <c r="BW15" s="1382"/>
      <c r="BX15" s="1383"/>
      <c r="BY15" s="1384"/>
      <c r="BZ15" s="1432"/>
      <c r="CA15" s="1076"/>
    </row>
    <row r="16" spans="1:79" ht="17.100000000000001" customHeight="1" x14ac:dyDescent="0.2">
      <c r="A16" s="796"/>
      <c r="B16" s="1429"/>
      <c r="C16" s="3819"/>
      <c r="D16" s="3820"/>
      <c r="E16" s="3821"/>
      <c r="F16" s="3107"/>
      <c r="G16" s="3107"/>
      <c r="H16" s="3107"/>
      <c r="I16" s="3107"/>
      <c r="J16" s="3107"/>
      <c r="K16" s="3107"/>
      <c r="L16" s="3107"/>
      <c r="M16" s="3107"/>
      <c r="N16" s="3107"/>
      <c r="O16" s="3107"/>
      <c r="P16" s="3107"/>
      <c r="Q16" s="3107"/>
      <c r="R16" s="3107"/>
      <c r="S16" s="3107"/>
      <c r="T16" s="3107"/>
      <c r="U16" s="3107"/>
      <c r="V16" s="3107"/>
      <c r="W16" s="3107"/>
      <c r="X16" s="3107"/>
      <c r="Y16" s="3107"/>
      <c r="Z16" s="3107"/>
      <c r="AA16" s="3107"/>
      <c r="AB16" s="3107"/>
      <c r="AC16" s="3107"/>
      <c r="AD16" s="3107"/>
      <c r="AE16" s="3107"/>
      <c r="AF16" s="3107"/>
      <c r="AG16" s="3107"/>
      <c r="AH16" s="3107"/>
      <c r="AI16" s="3107"/>
      <c r="AJ16" s="3107"/>
      <c r="AK16" s="3107"/>
      <c r="AL16" s="3107"/>
      <c r="AM16" s="3107"/>
      <c r="AN16" s="3107"/>
      <c r="AO16" s="3107"/>
      <c r="AP16" s="3107"/>
      <c r="AQ16" s="3107"/>
      <c r="AR16" s="3107"/>
      <c r="AS16" s="3107"/>
      <c r="AT16" s="3107"/>
      <c r="AU16" s="3107"/>
      <c r="AV16" s="3107"/>
      <c r="AW16" s="3107"/>
      <c r="AX16" s="3107"/>
      <c r="AY16" s="3107"/>
      <c r="AZ16" s="3107"/>
      <c r="BA16" s="3107"/>
      <c r="BB16" s="3107"/>
      <c r="BC16" s="3107"/>
      <c r="BD16" s="3107"/>
      <c r="BE16" s="3107"/>
      <c r="BF16" s="3107"/>
      <c r="BG16" s="3107"/>
      <c r="BH16" s="3107"/>
      <c r="BI16" s="3107"/>
      <c r="BJ16" s="3107"/>
      <c r="BK16" s="3107"/>
      <c r="BL16" s="3107"/>
      <c r="BM16" s="3107"/>
      <c r="BN16" s="3107"/>
      <c r="BO16" s="3107"/>
      <c r="BP16" s="3107"/>
      <c r="BQ16" s="3107"/>
      <c r="BR16" s="3107"/>
      <c r="BS16" s="3107"/>
      <c r="BT16" s="3107"/>
      <c r="BU16" s="3107"/>
      <c r="BV16" s="3107"/>
      <c r="BW16" s="1382"/>
      <c r="BX16" s="1383"/>
      <c r="BY16" s="1384"/>
      <c r="BZ16" s="1432"/>
      <c r="CA16" s="1076"/>
    </row>
    <row r="17" spans="1:79" ht="17.100000000000001" customHeight="1" x14ac:dyDescent="0.2">
      <c r="A17" s="796"/>
      <c r="B17" s="1429"/>
      <c r="C17" s="3819"/>
      <c r="D17" s="3820"/>
      <c r="E17" s="3821"/>
      <c r="F17" s="3107"/>
      <c r="G17" s="3107"/>
      <c r="H17" s="3107"/>
      <c r="I17" s="3107"/>
      <c r="J17" s="3107"/>
      <c r="K17" s="3107"/>
      <c r="L17" s="3107"/>
      <c r="M17" s="3107"/>
      <c r="N17" s="3107"/>
      <c r="O17" s="3107"/>
      <c r="P17" s="3107"/>
      <c r="Q17" s="3107"/>
      <c r="R17" s="3107"/>
      <c r="S17" s="3107"/>
      <c r="T17" s="3107"/>
      <c r="U17" s="3107"/>
      <c r="V17" s="3107"/>
      <c r="W17" s="3107"/>
      <c r="X17" s="3107"/>
      <c r="Y17" s="3107"/>
      <c r="Z17" s="3107"/>
      <c r="AA17" s="3107"/>
      <c r="AB17" s="3107"/>
      <c r="AC17" s="3107"/>
      <c r="AD17" s="3107"/>
      <c r="AE17" s="3107"/>
      <c r="AF17" s="3107"/>
      <c r="AG17" s="3107"/>
      <c r="AH17" s="3107"/>
      <c r="AI17" s="3107"/>
      <c r="AJ17" s="3107"/>
      <c r="AK17" s="3107"/>
      <c r="AL17" s="3107"/>
      <c r="AM17" s="3107"/>
      <c r="AN17" s="3107"/>
      <c r="AO17" s="3107"/>
      <c r="AP17" s="3107"/>
      <c r="AQ17" s="3107"/>
      <c r="AR17" s="3107"/>
      <c r="AS17" s="3107"/>
      <c r="AT17" s="3107"/>
      <c r="AU17" s="3107"/>
      <c r="AV17" s="3107"/>
      <c r="AW17" s="3107"/>
      <c r="AX17" s="3107"/>
      <c r="AY17" s="3107"/>
      <c r="AZ17" s="3107"/>
      <c r="BA17" s="3107"/>
      <c r="BB17" s="3107"/>
      <c r="BC17" s="3107"/>
      <c r="BD17" s="3107"/>
      <c r="BE17" s="3107"/>
      <c r="BF17" s="3107"/>
      <c r="BG17" s="3107"/>
      <c r="BH17" s="3107"/>
      <c r="BI17" s="3107"/>
      <c r="BJ17" s="3107"/>
      <c r="BK17" s="3107"/>
      <c r="BL17" s="3107"/>
      <c r="BM17" s="3107"/>
      <c r="BN17" s="3107"/>
      <c r="BO17" s="3107"/>
      <c r="BP17" s="3107"/>
      <c r="BQ17" s="3107"/>
      <c r="BR17" s="3107"/>
      <c r="BS17" s="3107"/>
      <c r="BT17" s="3107"/>
      <c r="BU17" s="3107"/>
      <c r="BV17" s="3107"/>
      <c r="BW17" s="1382"/>
      <c r="BX17" s="1383"/>
      <c r="BY17" s="1384"/>
      <c r="BZ17" s="1432"/>
      <c r="CA17" s="1076"/>
    </row>
    <row r="18" spans="1:79" ht="17.100000000000001" customHeight="1" x14ac:dyDescent="0.2">
      <c r="A18" s="796"/>
      <c r="B18" s="1429"/>
      <c r="C18" s="3819"/>
      <c r="D18" s="3820"/>
      <c r="E18" s="3821"/>
      <c r="F18" s="3108"/>
      <c r="G18" s="3108"/>
      <c r="H18" s="3108"/>
      <c r="I18" s="3108"/>
      <c r="J18" s="3108"/>
      <c r="K18" s="3108"/>
      <c r="L18" s="3108"/>
      <c r="M18" s="3108"/>
      <c r="N18" s="3108"/>
      <c r="O18" s="3108"/>
      <c r="P18" s="3108"/>
      <c r="Q18" s="3108"/>
      <c r="R18" s="3108"/>
      <c r="S18" s="3108"/>
      <c r="T18" s="3108"/>
      <c r="U18" s="3108"/>
      <c r="V18" s="3108"/>
      <c r="W18" s="3108"/>
      <c r="X18" s="3108"/>
      <c r="Y18" s="3108"/>
      <c r="Z18" s="3108"/>
      <c r="AA18" s="3108"/>
      <c r="AB18" s="3108"/>
      <c r="AC18" s="3108"/>
      <c r="AD18" s="3108"/>
      <c r="AE18" s="3108"/>
      <c r="AF18" s="3108"/>
      <c r="AG18" s="3108"/>
      <c r="AH18" s="3108"/>
      <c r="AI18" s="3108"/>
      <c r="AJ18" s="3108"/>
      <c r="AK18" s="3108"/>
      <c r="AL18" s="3108"/>
      <c r="AM18" s="3108"/>
      <c r="AN18" s="3108"/>
      <c r="AO18" s="3108"/>
      <c r="AP18" s="3108"/>
      <c r="AQ18" s="3108"/>
      <c r="AR18" s="3108"/>
      <c r="AS18" s="3108"/>
      <c r="AT18" s="3108"/>
      <c r="AU18" s="3108"/>
      <c r="AV18" s="3108"/>
      <c r="AW18" s="3108"/>
      <c r="AX18" s="3108"/>
      <c r="AY18" s="3108"/>
      <c r="AZ18" s="3108"/>
      <c r="BA18" s="3108"/>
      <c r="BB18" s="3108"/>
      <c r="BC18" s="3108"/>
      <c r="BD18" s="3108"/>
      <c r="BE18" s="3108"/>
      <c r="BF18" s="3108"/>
      <c r="BG18" s="3108"/>
      <c r="BH18" s="3108"/>
      <c r="BI18" s="3108"/>
      <c r="BJ18" s="3108"/>
      <c r="BK18" s="3108"/>
      <c r="BL18" s="3108"/>
      <c r="BM18" s="3108"/>
      <c r="BN18" s="3108"/>
      <c r="BO18" s="3108"/>
      <c r="BP18" s="3108"/>
      <c r="BQ18" s="3108"/>
      <c r="BR18" s="3108"/>
      <c r="BS18" s="3108"/>
      <c r="BT18" s="3108"/>
      <c r="BU18" s="3108"/>
      <c r="BV18" s="3108"/>
      <c r="BW18" s="1382"/>
      <c r="BX18" s="1383"/>
      <c r="BY18" s="1384"/>
      <c r="BZ18" s="1432"/>
      <c r="CA18" s="1076"/>
    </row>
    <row r="19" spans="1:79" ht="17.100000000000001" customHeight="1" x14ac:dyDescent="0.2">
      <c r="A19" s="796"/>
      <c r="B19" s="1429"/>
      <c r="C19" s="3819"/>
      <c r="D19" s="3820"/>
      <c r="E19" s="3821"/>
      <c r="F19" s="3108"/>
      <c r="G19" s="3108"/>
      <c r="H19" s="3108"/>
      <c r="I19" s="3108"/>
      <c r="J19" s="3108"/>
      <c r="K19" s="3108"/>
      <c r="L19" s="3108"/>
      <c r="M19" s="3108"/>
      <c r="N19" s="3108"/>
      <c r="O19" s="3108"/>
      <c r="P19" s="3108"/>
      <c r="Q19" s="3108"/>
      <c r="R19" s="3108"/>
      <c r="S19" s="3108"/>
      <c r="T19" s="3108"/>
      <c r="U19" s="3108"/>
      <c r="V19" s="3108"/>
      <c r="W19" s="3108"/>
      <c r="X19" s="3108"/>
      <c r="Y19" s="3108"/>
      <c r="Z19" s="3108"/>
      <c r="AA19" s="3108"/>
      <c r="AB19" s="3108"/>
      <c r="AC19" s="3108"/>
      <c r="AD19" s="3108"/>
      <c r="AE19" s="3108"/>
      <c r="AF19" s="3108"/>
      <c r="AG19" s="3108"/>
      <c r="AH19" s="3108"/>
      <c r="AI19" s="3108"/>
      <c r="AJ19" s="3108"/>
      <c r="AK19" s="3108"/>
      <c r="AL19" s="3108"/>
      <c r="AM19" s="3108"/>
      <c r="AN19" s="3108"/>
      <c r="AO19" s="3108"/>
      <c r="AP19" s="3108"/>
      <c r="AQ19" s="3108"/>
      <c r="AR19" s="3108"/>
      <c r="AS19" s="3108"/>
      <c r="AT19" s="3108"/>
      <c r="AU19" s="3108"/>
      <c r="AV19" s="3108"/>
      <c r="AW19" s="3108"/>
      <c r="AX19" s="3108"/>
      <c r="AY19" s="3108"/>
      <c r="AZ19" s="3108"/>
      <c r="BA19" s="3108"/>
      <c r="BB19" s="3108"/>
      <c r="BC19" s="3108"/>
      <c r="BD19" s="3108"/>
      <c r="BE19" s="3108"/>
      <c r="BF19" s="3108"/>
      <c r="BG19" s="3108"/>
      <c r="BH19" s="3108"/>
      <c r="BI19" s="3108"/>
      <c r="BJ19" s="3108"/>
      <c r="BK19" s="3108"/>
      <c r="BL19" s="3108"/>
      <c r="BM19" s="3108"/>
      <c r="BN19" s="3108"/>
      <c r="BO19" s="3108"/>
      <c r="BP19" s="3108"/>
      <c r="BQ19" s="3108"/>
      <c r="BR19" s="3108"/>
      <c r="BS19" s="3108"/>
      <c r="BT19" s="3108"/>
      <c r="BU19" s="3108"/>
      <c r="BV19" s="3108"/>
      <c r="BW19" s="1382"/>
      <c r="BX19" s="1383"/>
      <c r="BY19" s="1384"/>
      <c r="BZ19" s="1432"/>
      <c r="CA19" s="1076"/>
    </row>
    <row r="20" spans="1:79" ht="17.100000000000001" customHeight="1" x14ac:dyDescent="0.2">
      <c r="A20" s="796"/>
      <c r="B20" s="1429"/>
      <c r="C20" s="3819"/>
      <c r="D20" s="3820"/>
      <c r="E20" s="3821"/>
      <c r="F20" s="3108"/>
      <c r="G20" s="3108"/>
      <c r="H20" s="3108"/>
      <c r="I20" s="3108"/>
      <c r="J20" s="3108"/>
      <c r="K20" s="3108"/>
      <c r="L20" s="3108"/>
      <c r="M20" s="3108"/>
      <c r="N20" s="3108"/>
      <c r="O20" s="3108"/>
      <c r="P20" s="3108"/>
      <c r="Q20" s="3108"/>
      <c r="R20" s="3108"/>
      <c r="S20" s="3108"/>
      <c r="T20" s="3108"/>
      <c r="U20" s="3108"/>
      <c r="V20" s="3108"/>
      <c r="W20" s="3108"/>
      <c r="X20" s="3108"/>
      <c r="Y20" s="3108"/>
      <c r="Z20" s="3108"/>
      <c r="AA20" s="3108"/>
      <c r="AB20" s="3108"/>
      <c r="AC20" s="3108"/>
      <c r="AD20" s="3108"/>
      <c r="AE20" s="3108"/>
      <c r="AF20" s="3108"/>
      <c r="AG20" s="3108"/>
      <c r="AH20" s="3108"/>
      <c r="AI20" s="3108"/>
      <c r="AJ20" s="3108"/>
      <c r="AK20" s="3108"/>
      <c r="AL20" s="3108"/>
      <c r="AM20" s="3108"/>
      <c r="AN20" s="3108"/>
      <c r="AO20" s="3108"/>
      <c r="AP20" s="3108"/>
      <c r="AQ20" s="3108"/>
      <c r="AR20" s="3108"/>
      <c r="AS20" s="3108"/>
      <c r="AT20" s="3108"/>
      <c r="AU20" s="3108"/>
      <c r="AV20" s="3108"/>
      <c r="AW20" s="3108"/>
      <c r="AX20" s="3108"/>
      <c r="AY20" s="3108"/>
      <c r="AZ20" s="3108"/>
      <c r="BA20" s="3108"/>
      <c r="BB20" s="3108"/>
      <c r="BC20" s="3108"/>
      <c r="BD20" s="3108"/>
      <c r="BE20" s="3108"/>
      <c r="BF20" s="3108"/>
      <c r="BG20" s="3108"/>
      <c r="BH20" s="3108"/>
      <c r="BI20" s="3108"/>
      <c r="BJ20" s="3108"/>
      <c r="BK20" s="3108"/>
      <c r="BL20" s="3108"/>
      <c r="BM20" s="3108"/>
      <c r="BN20" s="3108"/>
      <c r="BO20" s="3108"/>
      <c r="BP20" s="3108"/>
      <c r="BQ20" s="3108"/>
      <c r="BR20" s="3108"/>
      <c r="BS20" s="3108"/>
      <c r="BT20" s="3108"/>
      <c r="BU20" s="3108"/>
      <c r="BV20" s="3108"/>
      <c r="BW20" s="1382"/>
      <c r="BX20" s="1383"/>
      <c r="BY20" s="1384"/>
      <c r="BZ20" s="1432"/>
      <c r="CA20" s="1076"/>
    </row>
    <row r="21" spans="1:79" ht="17.100000000000001" customHeight="1" x14ac:dyDescent="0.2">
      <c r="A21" s="796"/>
      <c r="B21" s="1429"/>
      <c r="C21" s="3819"/>
      <c r="D21" s="3820"/>
      <c r="E21" s="3821"/>
      <c r="F21" s="3108"/>
      <c r="G21" s="3108"/>
      <c r="H21" s="3108"/>
      <c r="I21" s="3108"/>
      <c r="J21" s="3108"/>
      <c r="K21" s="3108"/>
      <c r="L21" s="3108"/>
      <c r="M21" s="3108"/>
      <c r="N21" s="3108"/>
      <c r="O21" s="3108"/>
      <c r="P21" s="3108"/>
      <c r="Q21" s="3108"/>
      <c r="R21" s="3108"/>
      <c r="S21" s="3108"/>
      <c r="T21" s="3108"/>
      <c r="U21" s="3108"/>
      <c r="V21" s="3108"/>
      <c r="W21" s="3108"/>
      <c r="X21" s="3108"/>
      <c r="Y21" s="3108"/>
      <c r="Z21" s="3108"/>
      <c r="AA21" s="3108"/>
      <c r="AB21" s="3108"/>
      <c r="AC21" s="3108"/>
      <c r="AD21" s="3108"/>
      <c r="AE21" s="3108"/>
      <c r="AF21" s="3108"/>
      <c r="AG21" s="3108"/>
      <c r="AH21" s="3108"/>
      <c r="AI21" s="3108"/>
      <c r="AJ21" s="3108"/>
      <c r="AK21" s="3108"/>
      <c r="AL21" s="3108"/>
      <c r="AM21" s="3108"/>
      <c r="AN21" s="3108"/>
      <c r="AO21" s="3108"/>
      <c r="AP21" s="3108"/>
      <c r="AQ21" s="3108"/>
      <c r="AR21" s="3108"/>
      <c r="AS21" s="3108"/>
      <c r="AT21" s="3108"/>
      <c r="AU21" s="3108"/>
      <c r="AV21" s="3108"/>
      <c r="AW21" s="3108"/>
      <c r="AX21" s="3108"/>
      <c r="AY21" s="3108"/>
      <c r="AZ21" s="3108"/>
      <c r="BA21" s="3108"/>
      <c r="BB21" s="3108"/>
      <c r="BC21" s="3108"/>
      <c r="BD21" s="3108"/>
      <c r="BE21" s="3108"/>
      <c r="BF21" s="3108"/>
      <c r="BG21" s="3108"/>
      <c r="BH21" s="3108"/>
      <c r="BI21" s="3108"/>
      <c r="BJ21" s="3108"/>
      <c r="BK21" s="3108"/>
      <c r="BL21" s="3108"/>
      <c r="BM21" s="3108"/>
      <c r="BN21" s="3108"/>
      <c r="BO21" s="3108"/>
      <c r="BP21" s="3108"/>
      <c r="BQ21" s="3108"/>
      <c r="BR21" s="3108"/>
      <c r="BS21" s="3108"/>
      <c r="BT21" s="3108"/>
      <c r="BU21" s="3108"/>
      <c r="BV21" s="3108"/>
      <c r="BW21" s="1382"/>
      <c r="BX21" s="1383"/>
      <c r="BY21" s="1384"/>
      <c r="BZ21" s="1432"/>
      <c r="CA21" s="1076"/>
    </row>
    <row r="22" spans="1:79" ht="17.100000000000001" customHeight="1" x14ac:dyDescent="0.2">
      <c r="A22" s="796"/>
      <c r="B22" s="1429"/>
      <c r="C22" s="3819"/>
      <c r="D22" s="3820"/>
      <c r="E22" s="3821"/>
      <c r="F22" s="3108"/>
      <c r="G22" s="3108"/>
      <c r="H22" s="3108"/>
      <c r="I22" s="3108"/>
      <c r="J22" s="3108"/>
      <c r="K22" s="3108"/>
      <c r="L22" s="3108"/>
      <c r="M22" s="3108"/>
      <c r="N22" s="3108"/>
      <c r="O22" s="3108"/>
      <c r="P22" s="3108"/>
      <c r="Q22" s="3108"/>
      <c r="R22" s="3108"/>
      <c r="S22" s="3108"/>
      <c r="T22" s="3108"/>
      <c r="U22" s="3108"/>
      <c r="V22" s="3108"/>
      <c r="W22" s="3108"/>
      <c r="X22" s="3108"/>
      <c r="Y22" s="3108"/>
      <c r="Z22" s="3108"/>
      <c r="AA22" s="3108"/>
      <c r="AB22" s="3108"/>
      <c r="AC22" s="3108"/>
      <c r="AD22" s="3108"/>
      <c r="AE22" s="3108"/>
      <c r="AF22" s="3108"/>
      <c r="AG22" s="3108"/>
      <c r="AH22" s="3108"/>
      <c r="AI22" s="3108"/>
      <c r="AJ22" s="3108"/>
      <c r="AK22" s="3108"/>
      <c r="AL22" s="3108"/>
      <c r="AM22" s="3108"/>
      <c r="AN22" s="3108"/>
      <c r="AO22" s="3108"/>
      <c r="AP22" s="3108"/>
      <c r="AQ22" s="3108"/>
      <c r="AR22" s="3108"/>
      <c r="AS22" s="3108"/>
      <c r="AT22" s="3108"/>
      <c r="AU22" s="3108"/>
      <c r="AV22" s="3108"/>
      <c r="AW22" s="3108"/>
      <c r="AX22" s="3108"/>
      <c r="AY22" s="3108"/>
      <c r="AZ22" s="3108"/>
      <c r="BA22" s="3108"/>
      <c r="BB22" s="3108"/>
      <c r="BC22" s="3108"/>
      <c r="BD22" s="3108"/>
      <c r="BE22" s="3108"/>
      <c r="BF22" s="3108"/>
      <c r="BG22" s="3108"/>
      <c r="BH22" s="3108"/>
      <c r="BI22" s="3108"/>
      <c r="BJ22" s="3108"/>
      <c r="BK22" s="3108"/>
      <c r="BL22" s="3108"/>
      <c r="BM22" s="3108"/>
      <c r="BN22" s="3108"/>
      <c r="BO22" s="3108"/>
      <c r="BP22" s="3108"/>
      <c r="BQ22" s="3108"/>
      <c r="BR22" s="3108"/>
      <c r="BS22" s="3108"/>
      <c r="BT22" s="3108"/>
      <c r="BU22" s="3108"/>
      <c r="BV22" s="3108"/>
      <c r="BW22" s="1382"/>
      <c r="BX22" s="1383"/>
      <c r="BY22" s="1384"/>
      <c r="BZ22" s="1429"/>
      <c r="CA22" s="1076"/>
    </row>
    <row r="23" spans="1:79" ht="17.100000000000001" customHeight="1" x14ac:dyDescent="0.2">
      <c r="A23" s="796"/>
      <c r="B23" s="1429"/>
      <c r="C23" s="3819"/>
      <c r="D23" s="3820"/>
      <c r="E23" s="3821"/>
      <c r="F23" s="3108"/>
      <c r="G23" s="3108"/>
      <c r="H23" s="3108"/>
      <c r="I23" s="3108"/>
      <c r="J23" s="3108"/>
      <c r="K23" s="3108"/>
      <c r="L23" s="3108"/>
      <c r="M23" s="3108"/>
      <c r="N23" s="3108"/>
      <c r="O23" s="3108"/>
      <c r="P23" s="3108"/>
      <c r="Q23" s="3108"/>
      <c r="R23" s="3108"/>
      <c r="S23" s="3108"/>
      <c r="T23" s="3108"/>
      <c r="U23" s="3108"/>
      <c r="V23" s="3108"/>
      <c r="W23" s="3108"/>
      <c r="X23" s="3108"/>
      <c r="Y23" s="3108"/>
      <c r="Z23" s="3108"/>
      <c r="AA23" s="3108"/>
      <c r="AB23" s="3108"/>
      <c r="AC23" s="3108"/>
      <c r="AD23" s="3108"/>
      <c r="AE23" s="3108"/>
      <c r="AF23" s="3108"/>
      <c r="AG23" s="3108"/>
      <c r="AH23" s="3108"/>
      <c r="AI23" s="3108"/>
      <c r="AJ23" s="3108"/>
      <c r="AK23" s="3108"/>
      <c r="AL23" s="3108"/>
      <c r="AM23" s="3108"/>
      <c r="AN23" s="3108"/>
      <c r="AO23" s="3108"/>
      <c r="AP23" s="3108"/>
      <c r="AQ23" s="3108"/>
      <c r="AR23" s="3108"/>
      <c r="AS23" s="3108"/>
      <c r="AT23" s="3108"/>
      <c r="AU23" s="3108"/>
      <c r="AV23" s="3108"/>
      <c r="AW23" s="3108"/>
      <c r="AX23" s="3108"/>
      <c r="AY23" s="3108"/>
      <c r="AZ23" s="3108"/>
      <c r="BA23" s="3108"/>
      <c r="BB23" s="3108"/>
      <c r="BC23" s="3108"/>
      <c r="BD23" s="3108"/>
      <c r="BE23" s="3108"/>
      <c r="BF23" s="3108"/>
      <c r="BG23" s="3108"/>
      <c r="BH23" s="3108"/>
      <c r="BI23" s="3108"/>
      <c r="BJ23" s="3108"/>
      <c r="BK23" s="3108"/>
      <c r="BL23" s="3108"/>
      <c r="BM23" s="3108"/>
      <c r="BN23" s="3108"/>
      <c r="BO23" s="3108"/>
      <c r="BP23" s="3108"/>
      <c r="BQ23" s="3108"/>
      <c r="BR23" s="3108"/>
      <c r="BS23" s="3108"/>
      <c r="BT23" s="3108"/>
      <c r="BU23" s="3108"/>
      <c r="BV23" s="3108"/>
      <c r="BW23" s="1382"/>
      <c r="BX23" s="1383"/>
      <c r="BY23" s="1384"/>
      <c r="BZ23" s="1429"/>
      <c r="CA23" s="1076"/>
    </row>
    <row r="24" spans="1:79" ht="17.100000000000001" customHeight="1" x14ac:dyDescent="0.2">
      <c r="A24" s="796"/>
      <c r="B24" s="1429"/>
      <c r="C24" s="3819"/>
      <c r="D24" s="3820"/>
      <c r="E24" s="3821"/>
      <c r="F24" s="3108"/>
      <c r="G24" s="3108"/>
      <c r="H24" s="3108"/>
      <c r="I24" s="3108"/>
      <c r="J24" s="3108"/>
      <c r="K24" s="3108"/>
      <c r="L24" s="3108"/>
      <c r="M24" s="3108"/>
      <c r="N24" s="3108"/>
      <c r="O24" s="3108"/>
      <c r="P24" s="3108"/>
      <c r="Q24" s="3108"/>
      <c r="R24" s="3108"/>
      <c r="S24" s="3108"/>
      <c r="T24" s="3108"/>
      <c r="U24" s="3108"/>
      <c r="V24" s="3108"/>
      <c r="W24" s="3108"/>
      <c r="X24" s="3108"/>
      <c r="Y24" s="3108"/>
      <c r="Z24" s="3108"/>
      <c r="AA24" s="3108"/>
      <c r="AB24" s="3108"/>
      <c r="AC24" s="3108"/>
      <c r="AD24" s="3108"/>
      <c r="AE24" s="3108"/>
      <c r="AF24" s="3108"/>
      <c r="AG24" s="3108"/>
      <c r="AH24" s="3108"/>
      <c r="AI24" s="3108"/>
      <c r="AJ24" s="3108"/>
      <c r="AK24" s="3108"/>
      <c r="AL24" s="3108"/>
      <c r="AM24" s="3108"/>
      <c r="AN24" s="3108"/>
      <c r="AO24" s="3108"/>
      <c r="AP24" s="3108"/>
      <c r="AQ24" s="3108"/>
      <c r="AR24" s="3108"/>
      <c r="AS24" s="3108"/>
      <c r="AT24" s="3108"/>
      <c r="AU24" s="3108"/>
      <c r="AV24" s="3108"/>
      <c r="AW24" s="3108"/>
      <c r="AX24" s="3108"/>
      <c r="AY24" s="3108"/>
      <c r="AZ24" s="3108"/>
      <c r="BA24" s="3108"/>
      <c r="BB24" s="3108"/>
      <c r="BC24" s="3108"/>
      <c r="BD24" s="3108"/>
      <c r="BE24" s="3108"/>
      <c r="BF24" s="3108"/>
      <c r="BG24" s="3108"/>
      <c r="BH24" s="3108"/>
      <c r="BI24" s="3108"/>
      <c r="BJ24" s="3108"/>
      <c r="BK24" s="3108"/>
      <c r="BL24" s="3108"/>
      <c r="BM24" s="3108"/>
      <c r="BN24" s="3108"/>
      <c r="BO24" s="3108"/>
      <c r="BP24" s="3108"/>
      <c r="BQ24" s="3108"/>
      <c r="BR24" s="3108"/>
      <c r="BS24" s="3108"/>
      <c r="BT24" s="3108"/>
      <c r="BU24" s="3108"/>
      <c r="BV24" s="3108"/>
      <c r="BW24" s="1382"/>
      <c r="BX24" s="1383"/>
      <c r="BY24" s="1384"/>
      <c r="BZ24" s="1429"/>
      <c r="CA24" s="1076"/>
    </row>
    <row r="25" spans="1:79" ht="17.100000000000001" customHeight="1" x14ac:dyDescent="0.2">
      <c r="A25" s="796"/>
      <c r="B25" s="1429"/>
      <c r="C25" s="3819"/>
      <c r="D25" s="3820"/>
      <c r="E25" s="3821"/>
      <c r="F25" s="3108"/>
      <c r="G25" s="3108"/>
      <c r="H25" s="3108"/>
      <c r="I25" s="3108"/>
      <c r="J25" s="3108"/>
      <c r="K25" s="3108"/>
      <c r="L25" s="3108"/>
      <c r="M25" s="3108"/>
      <c r="N25" s="3108"/>
      <c r="O25" s="3108"/>
      <c r="P25" s="3108"/>
      <c r="Q25" s="3108"/>
      <c r="R25" s="3108"/>
      <c r="S25" s="3108"/>
      <c r="T25" s="3108"/>
      <c r="U25" s="3108"/>
      <c r="V25" s="3108"/>
      <c r="W25" s="3108"/>
      <c r="X25" s="3108"/>
      <c r="Y25" s="3108"/>
      <c r="Z25" s="3108"/>
      <c r="AA25" s="3108"/>
      <c r="AB25" s="3108"/>
      <c r="AC25" s="3108"/>
      <c r="AD25" s="3108"/>
      <c r="AE25" s="3108"/>
      <c r="AF25" s="3108"/>
      <c r="AG25" s="3108"/>
      <c r="AH25" s="3108"/>
      <c r="AI25" s="3108"/>
      <c r="AJ25" s="3108"/>
      <c r="AK25" s="3108"/>
      <c r="AL25" s="3108"/>
      <c r="AM25" s="3108"/>
      <c r="AN25" s="3108"/>
      <c r="AO25" s="3108"/>
      <c r="AP25" s="3108"/>
      <c r="AQ25" s="3108"/>
      <c r="AR25" s="3108"/>
      <c r="AS25" s="3108"/>
      <c r="AT25" s="3108"/>
      <c r="AU25" s="3108"/>
      <c r="AV25" s="3108"/>
      <c r="AW25" s="3108"/>
      <c r="AX25" s="3108"/>
      <c r="AY25" s="3108"/>
      <c r="AZ25" s="3108"/>
      <c r="BA25" s="3108"/>
      <c r="BB25" s="3108"/>
      <c r="BC25" s="3108"/>
      <c r="BD25" s="3108"/>
      <c r="BE25" s="3108"/>
      <c r="BF25" s="3108"/>
      <c r="BG25" s="3108"/>
      <c r="BH25" s="3108"/>
      <c r="BI25" s="3108"/>
      <c r="BJ25" s="3108"/>
      <c r="BK25" s="3108"/>
      <c r="BL25" s="3108"/>
      <c r="BM25" s="3108"/>
      <c r="BN25" s="3108"/>
      <c r="BO25" s="3108"/>
      <c r="BP25" s="3108"/>
      <c r="BQ25" s="3108"/>
      <c r="BR25" s="3108"/>
      <c r="BS25" s="3108"/>
      <c r="BT25" s="3108"/>
      <c r="BU25" s="3108"/>
      <c r="BV25" s="3108"/>
      <c r="BW25" s="1382"/>
      <c r="BX25" s="1383"/>
      <c r="BY25" s="1384"/>
      <c r="BZ25" s="1429"/>
      <c r="CA25" s="1076"/>
    </row>
    <row r="26" spans="1:79" ht="17.100000000000001" customHeight="1" x14ac:dyDescent="0.2">
      <c r="A26" s="796"/>
      <c r="B26" s="1429"/>
      <c r="C26" s="3819"/>
      <c r="D26" s="3820"/>
      <c r="E26" s="3821"/>
      <c r="F26" s="3108"/>
      <c r="G26" s="3108"/>
      <c r="H26" s="3108"/>
      <c r="I26" s="3108"/>
      <c r="J26" s="3108"/>
      <c r="K26" s="3108"/>
      <c r="L26" s="3108"/>
      <c r="M26" s="3108"/>
      <c r="N26" s="3108"/>
      <c r="O26" s="3108"/>
      <c r="P26" s="3108"/>
      <c r="Q26" s="3108"/>
      <c r="R26" s="3108"/>
      <c r="S26" s="3108"/>
      <c r="T26" s="3108"/>
      <c r="U26" s="3108"/>
      <c r="V26" s="3108"/>
      <c r="W26" s="3108"/>
      <c r="X26" s="3108"/>
      <c r="Y26" s="3108"/>
      <c r="Z26" s="3108"/>
      <c r="AA26" s="3108"/>
      <c r="AB26" s="3108"/>
      <c r="AC26" s="3108"/>
      <c r="AD26" s="3108"/>
      <c r="AE26" s="3108"/>
      <c r="AF26" s="3108"/>
      <c r="AG26" s="3108"/>
      <c r="AH26" s="3108"/>
      <c r="AI26" s="3108"/>
      <c r="AJ26" s="3108"/>
      <c r="AK26" s="3108"/>
      <c r="AL26" s="3108"/>
      <c r="AM26" s="3108"/>
      <c r="AN26" s="3108"/>
      <c r="AO26" s="3108"/>
      <c r="AP26" s="3108"/>
      <c r="AQ26" s="3108"/>
      <c r="AR26" s="3108"/>
      <c r="AS26" s="3108"/>
      <c r="AT26" s="3108"/>
      <c r="AU26" s="3108"/>
      <c r="AV26" s="3108"/>
      <c r="AW26" s="3108"/>
      <c r="AX26" s="3108"/>
      <c r="AY26" s="3108"/>
      <c r="AZ26" s="3108"/>
      <c r="BA26" s="3108"/>
      <c r="BB26" s="3108"/>
      <c r="BC26" s="3108"/>
      <c r="BD26" s="3108"/>
      <c r="BE26" s="3108"/>
      <c r="BF26" s="3108"/>
      <c r="BG26" s="3108"/>
      <c r="BH26" s="3108"/>
      <c r="BI26" s="3108"/>
      <c r="BJ26" s="3108"/>
      <c r="BK26" s="3108"/>
      <c r="BL26" s="3108"/>
      <c r="BM26" s="3108"/>
      <c r="BN26" s="3108"/>
      <c r="BO26" s="3108"/>
      <c r="BP26" s="3108"/>
      <c r="BQ26" s="3108"/>
      <c r="BR26" s="3108"/>
      <c r="BS26" s="3108"/>
      <c r="BT26" s="3108"/>
      <c r="BU26" s="3108"/>
      <c r="BV26" s="3108"/>
      <c r="BW26" s="1382"/>
      <c r="BX26" s="1383"/>
      <c r="BY26" s="1384"/>
      <c r="BZ26" s="1429"/>
      <c r="CA26" s="1076"/>
    </row>
    <row r="27" spans="1:79" ht="17.100000000000001" customHeight="1" x14ac:dyDescent="0.2">
      <c r="A27" s="796"/>
      <c r="B27" s="1429"/>
      <c r="C27" s="3819"/>
      <c r="D27" s="3820"/>
      <c r="E27" s="3821"/>
      <c r="F27" s="3108"/>
      <c r="G27" s="3108"/>
      <c r="H27" s="3108"/>
      <c r="I27" s="3108"/>
      <c r="J27" s="3108"/>
      <c r="K27" s="3108"/>
      <c r="L27" s="3108"/>
      <c r="M27" s="3108"/>
      <c r="N27" s="3108"/>
      <c r="O27" s="3108"/>
      <c r="P27" s="3108"/>
      <c r="Q27" s="3108"/>
      <c r="R27" s="3108"/>
      <c r="S27" s="3108"/>
      <c r="T27" s="3108"/>
      <c r="U27" s="3108"/>
      <c r="V27" s="3108"/>
      <c r="W27" s="3108"/>
      <c r="X27" s="3108"/>
      <c r="Y27" s="3108"/>
      <c r="Z27" s="3108"/>
      <c r="AA27" s="3108"/>
      <c r="AB27" s="3108"/>
      <c r="AC27" s="3108"/>
      <c r="AD27" s="3108"/>
      <c r="AE27" s="3108"/>
      <c r="AF27" s="3108"/>
      <c r="AG27" s="3108"/>
      <c r="AH27" s="3108"/>
      <c r="AI27" s="3108"/>
      <c r="AJ27" s="3108"/>
      <c r="AK27" s="3108"/>
      <c r="AL27" s="3108"/>
      <c r="AM27" s="3108"/>
      <c r="AN27" s="3108"/>
      <c r="AO27" s="3108"/>
      <c r="AP27" s="3108"/>
      <c r="AQ27" s="3108"/>
      <c r="AR27" s="3108"/>
      <c r="AS27" s="3108"/>
      <c r="AT27" s="3108"/>
      <c r="AU27" s="3108"/>
      <c r="AV27" s="3108"/>
      <c r="AW27" s="3108"/>
      <c r="AX27" s="3108"/>
      <c r="AY27" s="3108"/>
      <c r="AZ27" s="3108"/>
      <c r="BA27" s="3108"/>
      <c r="BB27" s="3108"/>
      <c r="BC27" s="3108"/>
      <c r="BD27" s="3108"/>
      <c r="BE27" s="3108"/>
      <c r="BF27" s="3108"/>
      <c r="BG27" s="3108"/>
      <c r="BH27" s="3108"/>
      <c r="BI27" s="3108"/>
      <c r="BJ27" s="3108"/>
      <c r="BK27" s="3108"/>
      <c r="BL27" s="3108"/>
      <c r="BM27" s="3108"/>
      <c r="BN27" s="3108"/>
      <c r="BO27" s="3108"/>
      <c r="BP27" s="3108"/>
      <c r="BQ27" s="3108"/>
      <c r="BR27" s="3108"/>
      <c r="BS27" s="3108"/>
      <c r="BT27" s="3108"/>
      <c r="BU27" s="3108"/>
      <c r="BV27" s="3108"/>
      <c r="BW27" s="1382"/>
      <c r="BX27" s="1383"/>
      <c r="BY27" s="1384"/>
      <c r="BZ27" s="1429"/>
      <c r="CA27" s="1076"/>
    </row>
    <row r="28" spans="1:79" ht="17.100000000000001" customHeight="1" x14ac:dyDescent="0.2">
      <c r="A28" s="796"/>
      <c r="B28" s="1429"/>
      <c r="C28" s="3819"/>
      <c r="D28" s="3820"/>
      <c r="E28" s="3821"/>
      <c r="F28" s="3108"/>
      <c r="G28" s="3108"/>
      <c r="H28" s="3108"/>
      <c r="I28" s="3108"/>
      <c r="J28" s="3108"/>
      <c r="K28" s="3108"/>
      <c r="L28" s="3108"/>
      <c r="M28" s="3108"/>
      <c r="N28" s="3108"/>
      <c r="O28" s="3108"/>
      <c r="P28" s="3108"/>
      <c r="Q28" s="3108"/>
      <c r="R28" s="3108"/>
      <c r="S28" s="3108"/>
      <c r="T28" s="3108"/>
      <c r="U28" s="3108"/>
      <c r="V28" s="3108"/>
      <c r="W28" s="3108"/>
      <c r="X28" s="3108"/>
      <c r="Y28" s="3108"/>
      <c r="Z28" s="3108"/>
      <c r="AA28" s="3108"/>
      <c r="AB28" s="3108"/>
      <c r="AC28" s="3108"/>
      <c r="AD28" s="3108"/>
      <c r="AE28" s="3108"/>
      <c r="AF28" s="3108"/>
      <c r="AG28" s="3108"/>
      <c r="AH28" s="3108"/>
      <c r="AI28" s="3108"/>
      <c r="AJ28" s="3108"/>
      <c r="AK28" s="3108"/>
      <c r="AL28" s="3108"/>
      <c r="AM28" s="3108"/>
      <c r="AN28" s="3108"/>
      <c r="AO28" s="3108"/>
      <c r="AP28" s="3108"/>
      <c r="AQ28" s="3108"/>
      <c r="AR28" s="3108"/>
      <c r="AS28" s="3108"/>
      <c r="AT28" s="3108"/>
      <c r="AU28" s="3108"/>
      <c r="AV28" s="3108"/>
      <c r="AW28" s="3108"/>
      <c r="AX28" s="3108"/>
      <c r="AY28" s="3108"/>
      <c r="AZ28" s="3108"/>
      <c r="BA28" s="3108"/>
      <c r="BB28" s="3108"/>
      <c r="BC28" s="3108"/>
      <c r="BD28" s="3108"/>
      <c r="BE28" s="3108"/>
      <c r="BF28" s="3108"/>
      <c r="BG28" s="3108"/>
      <c r="BH28" s="3108"/>
      <c r="BI28" s="3108"/>
      <c r="BJ28" s="3108"/>
      <c r="BK28" s="3108"/>
      <c r="BL28" s="3108"/>
      <c r="BM28" s="3108"/>
      <c r="BN28" s="3108"/>
      <c r="BO28" s="3108"/>
      <c r="BP28" s="3108"/>
      <c r="BQ28" s="3108"/>
      <c r="BR28" s="3108"/>
      <c r="BS28" s="3108"/>
      <c r="BT28" s="3108"/>
      <c r="BU28" s="3108"/>
      <c r="BV28" s="3108"/>
      <c r="BW28" s="1382"/>
      <c r="BX28" s="1383"/>
      <c r="BY28" s="1384"/>
      <c r="BZ28" s="1429"/>
      <c r="CA28" s="1076"/>
    </row>
    <row r="29" spans="1:79" ht="17.100000000000001" customHeight="1" x14ac:dyDescent="0.2">
      <c r="A29" s="796"/>
      <c r="B29" s="1429"/>
      <c r="C29" s="3819"/>
      <c r="D29" s="3820"/>
      <c r="E29" s="3821"/>
      <c r="F29" s="3108"/>
      <c r="G29" s="3108"/>
      <c r="H29" s="3108"/>
      <c r="I29" s="3108"/>
      <c r="J29" s="3108"/>
      <c r="K29" s="3108"/>
      <c r="L29" s="3108"/>
      <c r="M29" s="3108"/>
      <c r="N29" s="3108"/>
      <c r="O29" s="3108"/>
      <c r="P29" s="3108"/>
      <c r="Q29" s="3108"/>
      <c r="R29" s="3108"/>
      <c r="S29" s="3108"/>
      <c r="T29" s="3108"/>
      <c r="U29" s="3108"/>
      <c r="V29" s="3108"/>
      <c r="W29" s="3108"/>
      <c r="X29" s="3108"/>
      <c r="Y29" s="3108"/>
      <c r="Z29" s="3108"/>
      <c r="AA29" s="3108"/>
      <c r="AB29" s="3108"/>
      <c r="AC29" s="3108"/>
      <c r="AD29" s="3108"/>
      <c r="AE29" s="3108"/>
      <c r="AF29" s="3108"/>
      <c r="AG29" s="3108"/>
      <c r="AH29" s="3108"/>
      <c r="AI29" s="3108"/>
      <c r="AJ29" s="3108"/>
      <c r="AK29" s="3108"/>
      <c r="AL29" s="3108"/>
      <c r="AM29" s="3108"/>
      <c r="AN29" s="3108"/>
      <c r="AO29" s="3108"/>
      <c r="AP29" s="3108"/>
      <c r="AQ29" s="3108"/>
      <c r="AR29" s="3108"/>
      <c r="AS29" s="3108"/>
      <c r="AT29" s="3108"/>
      <c r="AU29" s="3108"/>
      <c r="AV29" s="3108"/>
      <c r="AW29" s="3108"/>
      <c r="AX29" s="3108"/>
      <c r="AY29" s="3108"/>
      <c r="AZ29" s="3108"/>
      <c r="BA29" s="3108"/>
      <c r="BB29" s="3108"/>
      <c r="BC29" s="3108"/>
      <c r="BD29" s="3108"/>
      <c r="BE29" s="3108"/>
      <c r="BF29" s="3108"/>
      <c r="BG29" s="3108"/>
      <c r="BH29" s="3108"/>
      <c r="BI29" s="3108"/>
      <c r="BJ29" s="3108"/>
      <c r="BK29" s="3108"/>
      <c r="BL29" s="3108"/>
      <c r="BM29" s="3108"/>
      <c r="BN29" s="3108"/>
      <c r="BO29" s="3108"/>
      <c r="BP29" s="3108"/>
      <c r="BQ29" s="3108"/>
      <c r="BR29" s="3108"/>
      <c r="BS29" s="3108"/>
      <c r="BT29" s="3108"/>
      <c r="BU29" s="3108"/>
      <c r="BV29" s="3108"/>
      <c r="BW29" s="1382"/>
      <c r="BX29" s="1383"/>
      <c r="BY29" s="1384"/>
      <c r="BZ29" s="1429"/>
      <c r="CA29" s="1076"/>
    </row>
    <row r="30" spans="1:79" ht="17.100000000000001" customHeight="1" x14ac:dyDescent="0.2">
      <c r="A30" s="796"/>
      <c r="B30" s="1429"/>
      <c r="C30" s="3819"/>
      <c r="D30" s="3820"/>
      <c r="E30" s="3821"/>
      <c r="F30" s="3108"/>
      <c r="G30" s="3108"/>
      <c r="H30" s="3108"/>
      <c r="I30" s="3108"/>
      <c r="J30" s="3108"/>
      <c r="K30" s="3108"/>
      <c r="L30" s="3108"/>
      <c r="M30" s="3108"/>
      <c r="N30" s="3108"/>
      <c r="O30" s="3108"/>
      <c r="P30" s="3108"/>
      <c r="Q30" s="3108"/>
      <c r="R30" s="3108"/>
      <c r="S30" s="3108"/>
      <c r="T30" s="3108"/>
      <c r="U30" s="3108"/>
      <c r="V30" s="3108"/>
      <c r="W30" s="3108"/>
      <c r="X30" s="3108"/>
      <c r="Y30" s="3108"/>
      <c r="Z30" s="3108"/>
      <c r="AA30" s="3108"/>
      <c r="AB30" s="3108"/>
      <c r="AC30" s="3108"/>
      <c r="AD30" s="3108"/>
      <c r="AE30" s="3108"/>
      <c r="AF30" s="3108"/>
      <c r="AG30" s="3108"/>
      <c r="AH30" s="3108"/>
      <c r="AI30" s="3108"/>
      <c r="AJ30" s="3108"/>
      <c r="AK30" s="3108"/>
      <c r="AL30" s="3108"/>
      <c r="AM30" s="3108"/>
      <c r="AN30" s="3108"/>
      <c r="AO30" s="3108"/>
      <c r="AP30" s="3108"/>
      <c r="AQ30" s="3108"/>
      <c r="AR30" s="3108"/>
      <c r="AS30" s="3108"/>
      <c r="AT30" s="3108"/>
      <c r="AU30" s="3108"/>
      <c r="AV30" s="3108"/>
      <c r="AW30" s="3108"/>
      <c r="AX30" s="3108"/>
      <c r="AY30" s="3108"/>
      <c r="AZ30" s="3108"/>
      <c r="BA30" s="3108"/>
      <c r="BB30" s="3108"/>
      <c r="BC30" s="3108"/>
      <c r="BD30" s="3108"/>
      <c r="BE30" s="3108"/>
      <c r="BF30" s="3108"/>
      <c r="BG30" s="3108"/>
      <c r="BH30" s="3108"/>
      <c r="BI30" s="3108"/>
      <c r="BJ30" s="3108"/>
      <c r="BK30" s="3108"/>
      <c r="BL30" s="3108"/>
      <c r="BM30" s="3108"/>
      <c r="BN30" s="3108"/>
      <c r="BO30" s="3108"/>
      <c r="BP30" s="3108"/>
      <c r="BQ30" s="3108"/>
      <c r="BR30" s="3108"/>
      <c r="BS30" s="3108"/>
      <c r="BT30" s="3108"/>
      <c r="BU30" s="3108"/>
      <c r="BV30" s="3108"/>
      <c r="BW30" s="1382"/>
      <c r="BX30" s="1383"/>
      <c r="BY30" s="1384"/>
      <c r="BZ30" s="1429"/>
      <c r="CA30" s="1076"/>
    </row>
    <row r="31" spans="1:79" ht="17.100000000000001" customHeight="1" x14ac:dyDescent="0.2">
      <c r="A31" s="796"/>
      <c r="B31" s="1429"/>
      <c r="C31" s="3819"/>
      <c r="D31" s="3820"/>
      <c r="E31" s="3821"/>
      <c r="F31" s="3108"/>
      <c r="G31" s="3108"/>
      <c r="H31" s="3108"/>
      <c r="I31" s="3108"/>
      <c r="J31" s="3108"/>
      <c r="K31" s="3108"/>
      <c r="L31" s="3108"/>
      <c r="M31" s="3108"/>
      <c r="N31" s="3108"/>
      <c r="O31" s="3108"/>
      <c r="P31" s="3108"/>
      <c r="Q31" s="3108"/>
      <c r="R31" s="3108"/>
      <c r="S31" s="3108"/>
      <c r="T31" s="3108"/>
      <c r="U31" s="3108"/>
      <c r="V31" s="3108"/>
      <c r="W31" s="3108"/>
      <c r="X31" s="3108"/>
      <c r="Y31" s="3108"/>
      <c r="Z31" s="3108"/>
      <c r="AA31" s="3108"/>
      <c r="AB31" s="3108"/>
      <c r="AC31" s="3108"/>
      <c r="AD31" s="3108"/>
      <c r="AE31" s="3108"/>
      <c r="AF31" s="3108"/>
      <c r="AG31" s="3108"/>
      <c r="AH31" s="3108"/>
      <c r="AI31" s="3108"/>
      <c r="AJ31" s="3108"/>
      <c r="AK31" s="3108"/>
      <c r="AL31" s="3108"/>
      <c r="AM31" s="3108"/>
      <c r="AN31" s="3108"/>
      <c r="AO31" s="3108"/>
      <c r="AP31" s="3108"/>
      <c r="AQ31" s="3108"/>
      <c r="AR31" s="3108"/>
      <c r="AS31" s="3108"/>
      <c r="AT31" s="3108"/>
      <c r="AU31" s="3108"/>
      <c r="AV31" s="3108"/>
      <c r="AW31" s="3108"/>
      <c r="AX31" s="3108"/>
      <c r="AY31" s="3108"/>
      <c r="AZ31" s="3108"/>
      <c r="BA31" s="3108"/>
      <c r="BB31" s="3108"/>
      <c r="BC31" s="3108"/>
      <c r="BD31" s="3108"/>
      <c r="BE31" s="3108"/>
      <c r="BF31" s="3108"/>
      <c r="BG31" s="3108"/>
      <c r="BH31" s="3108"/>
      <c r="BI31" s="3108"/>
      <c r="BJ31" s="3108"/>
      <c r="BK31" s="3108"/>
      <c r="BL31" s="3108"/>
      <c r="BM31" s="3108"/>
      <c r="BN31" s="3108"/>
      <c r="BO31" s="3108"/>
      <c r="BP31" s="3108"/>
      <c r="BQ31" s="3108"/>
      <c r="BR31" s="3108"/>
      <c r="BS31" s="3108"/>
      <c r="BT31" s="3108"/>
      <c r="BU31" s="3108"/>
      <c r="BV31" s="3108"/>
      <c r="BW31" s="1382"/>
      <c r="BX31" s="1383"/>
      <c r="BY31" s="1384"/>
      <c r="BZ31" s="1429"/>
      <c r="CA31" s="1076"/>
    </row>
    <row r="32" spans="1:79" ht="17.100000000000001" customHeight="1" x14ac:dyDescent="0.2">
      <c r="A32" s="796"/>
      <c r="B32" s="1429"/>
      <c r="C32" s="3819"/>
      <c r="D32" s="3820"/>
      <c r="E32" s="3821"/>
      <c r="F32" s="3108"/>
      <c r="G32" s="3108"/>
      <c r="H32" s="3108"/>
      <c r="I32" s="3108"/>
      <c r="J32" s="3108"/>
      <c r="K32" s="3108"/>
      <c r="L32" s="3108"/>
      <c r="M32" s="3108"/>
      <c r="N32" s="3108"/>
      <c r="O32" s="3108"/>
      <c r="P32" s="3108"/>
      <c r="Q32" s="3108"/>
      <c r="R32" s="3108"/>
      <c r="S32" s="3108"/>
      <c r="T32" s="3108"/>
      <c r="U32" s="3108"/>
      <c r="V32" s="3108"/>
      <c r="W32" s="3108"/>
      <c r="X32" s="3108"/>
      <c r="Y32" s="3108"/>
      <c r="Z32" s="3108"/>
      <c r="AA32" s="3108"/>
      <c r="AB32" s="3108"/>
      <c r="AC32" s="3108"/>
      <c r="AD32" s="3108"/>
      <c r="AE32" s="3108"/>
      <c r="AF32" s="3108"/>
      <c r="AG32" s="3108"/>
      <c r="AH32" s="3108"/>
      <c r="AI32" s="3108"/>
      <c r="AJ32" s="3108"/>
      <c r="AK32" s="3108"/>
      <c r="AL32" s="3108"/>
      <c r="AM32" s="3108"/>
      <c r="AN32" s="3108"/>
      <c r="AO32" s="3108"/>
      <c r="AP32" s="3108"/>
      <c r="AQ32" s="3108"/>
      <c r="AR32" s="3108"/>
      <c r="AS32" s="3108"/>
      <c r="AT32" s="3108"/>
      <c r="AU32" s="3108"/>
      <c r="AV32" s="3108"/>
      <c r="AW32" s="3108"/>
      <c r="AX32" s="3108"/>
      <c r="AY32" s="3108"/>
      <c r="AZ32" s="3108"/>
      <c r="BA32" s="3108"/>
      <c r="BB32" s="3108"/>
      <c r="BC32" s="3108"/>
      <c r="BD32" s="3108"/>
      <c r="BE32" s="3108"/>
      <c r="BF32" s="3108"/>
      <c r="BG32" s="3108"/>
      <c r="BH32" s="3108"/>
      <c r="BI32" s="3108"/>
      <c r="BJ32" s="3108"/>
      <c r="BK32" s="3108"/>
      <c r="BL32" s="3108"/>
      <c r="BM32" s="3108"/>
      <c r="BN32" s="3108"/>
      <c r="BO32" s="3108"/>
      <c r="BP32" s="3108"/>
      <c r="BQ32" s="3108"/>
      <c r="BR32" s="3108"/>
      <c r="BS32" s="3108"/>
      <c r="BT32" s="3108"/>
      <c r="BU32" s="3108"/>
      <c r="BV32" s="3108"/>
      <c r="BW32" s="1382"/>
      <c r="BX32" s="1383"/>
      <c r="BY32" s="1384"/>
      <c r="BZ32" s="1429"/>
      <c r="CA32" s="1076"/>
    </row>
    <row r="33" spans="1:79" ht="17.100000000000001" customHeight="1" x14ac:dyDescent="0.2">
      <c r="A33" s="796"/>
      <c r="B33" s="1429"/>
      <c r="C33" s="3819"/>
      <c r="D33" s="3820"/>
      <c r="E33" s="3821"/>
      <c r="F33" s="3108"/>
      <c r="G33" s="3108"/>
      <c r="H33" s="3108"/>
      <c r="I33" s="3108"/>
      <c r="J33" s="3108"/>
      <c r="K33" s="3108"/>
      <c r="L33" s="3108"/>
      <c r="M33" s="3108"/>
      <c r="N33" s="3108"/>
      <c r="O33" s="3108"/>
      <c r="P33" s="3108"/>
      <c r="Q33" s="3108"/>
      <c r="R33" s="3108"/>
      <c r="S33" s="3108"/>
      <c r="T33" s="3108"/>
      <c r="U33" s="3108"/>
      <c r="V33" s="3108"/>
      <c r="W33" s="3108"/>
      <c r="X33" s="3108"/>
      <c r="Y33" s="3108"/>
      <c r="Z33" s="3108"/>
      <c r="AA33" s="3108"/>
      <c r="AB33" s="3108"/>
      <c r="AC33" s="3108"/>
      <c r="AD33" s="3108"/>
      <c r="AE33" s="3108"/>
      <c r="AF33" s="3108"/>
      <c r="AG33" s="3108"/>
      <c r="AH33" s="3108"/>
      <c r="AI33" s="3108"/>
      <c r="AJ33" s="3108"/>
      <c r="AK33" s="3108"/>
      <c r="AL33" s="3108"/>
      <c r="AM33" s="3108"/>
      <c r="AN33" s="3108"/>
      <c r="AO33" s="3108"/>
      <c r="AP33" s="3108"/>
      <c r="AQ33" s="3108"/>
      <c r="AR33" s="3108"/>
      <c r="AS33" s="3108"/>
      <c r="AT33" s="3108"/>
      <c r="AU33" s="3108"/>
      <c r="AV33" s="3108"/>
      <c r="AW33" s="3108"/>
      <c r="AX33" s="3108"/>
      <c r="AY33" s="3108"/>
      <c r="AZ33" s="3108"/>
      <c r="BA33" s="3108"/>
      <c r="BB33" s="3108"/>
      <c r="BC33" s="3108"/>
      <c r="BD33" s="3108"/>
      <c r="BE33" s="3108"/>
      <c r="BF33" s="3108"/>
      <c r="BG33" s="3108"/>
      <c r="BH33" s="3108"/>
      <c r="BI33" s="3108"/>
      <c r="BJ33" s="3108"/>
      <c r="BK33" s="3108"/>
      <c r="BL33" s="3108"/>
      <c r="BM33" s="3108"/>
      <c r="BN33" s="3108"/>
      <c r="BO33" s="3108"/>
      <c r="BP33" s="3108"/>
      <c r="BQ33" s="3108"/>
      <c r="BR33" s="3108"/>
      <c r="BS33" s="3108"/>
      <c r="BT33" s="3108"/>
      <c r="BU33" s="3108"/>
      <c r="BV33" s="3108"/>
      <c r="BW33" s="1382"/>
      <c r="BX33" s="1383"/>
      <c r="BY33" s="1384"/>
      <c r="BZ33" s="1429"/>
      <c r="CA33" s="1076"/>
    </row>
    <row r="34" spans="1:79" ht="17.100000000000001" customHeight="1" x14ac:dyDescent="0.2">
      <c r="A34" s="796"/>
      <c r="B34" s="1429"/>
      <c r="C34" s="3819"/>
      <c r="D34" s="3820"/>
      <c r="E34" s="3821"/>
      <c r="F34" s="3108"/>
      <c r="G34" s="3108"/>
      <c r="H34" s="3108"/>
      <c r="I34" s="3108"/>
      <c r="J34" s="3108"/>
      <c r="K34" s="3108"/>
      <c r="L34" s="3108"/>
      <c r="M34" s="3108"/>
      <c r="N34" s="3108"/>
      <c r="O34" s="3108"/>
      <c r="P34" s="3108"/>
      <c r="Q34" s="3108"/>
      <c r="R34" s="3108"/>
      <c r="S34" s="3108"/>
      <c r="T34" s="3108"/>
      <c r="U34" s="3108"/>
      <c r="V34" s="3108"/>
      <c r="W34" s="3108"/>
      <c r="X34" s="3108"/>
      <c r="Y34" s="3108"/>
      <c r="Z34" s="3108"/>
      <c r="AA34" s="3108"/>
      <c r="AB34" s="3108"/>
      <c r="AC34" s="3108"/>
      <c r="AD34" s="3108"/>
      <c r="AE34" s="3108"/>
      <c r="AF34" s="3108"/>
      <c r="AG34" s="3108"/>
      <c r="AH34" s="3108"/>
      <c r="AI34" s="3108"/>
      <c r="AJ34" s="3108"/>
      <c r="AK34" s="3108"/>
      <c r="AL34" s="3108"/>
      <c r="AM34" s="3108"/>
      <c r="AN34" s="3108"/>
      <c r="AO34" s="3108"/>
      <c r="AP34" s="3108"/>
      <c r="AQ34" s="3108"/>
      <c r="AR34" s="3108"/>
      <c r="AS34" s="3108"/>
      <c r="AT34" s="3108"/>
      <c r="AU34" s="3108"/>
      <c r="AV34" s="3108"/>
      <c r="AW34" s="3108"/>
      <c r="AX34" s="3108"/>
      <c r="AY34" s="3108"/>
      <c r="AZ34" s="3108"/>
      <c r="BA34" s="3108"/>
      <c r="BB34" s="3108"/>
      <c r="BC34" s="3108"/>
      <c r="BD34" s="3108"/>
      <c r="BE34" s="3108"/>
      <c r="BF34" s="3108"/>
      <c r="BG34" s="3108"/>
      <c r="BH34" s="3108"/>
      <c r="BI34" s="3108"/>
      <c r="BJ34" s="3108"/>
      <c r="BK34" s="3108"/>
      <c r="BL34" s="3108"/>
      <c r="BM34" s="3108"/>
      <c r="BN34" s="3108"/>
      <c r="BO34" s="3108"/>
      <c r="BP34" s="3108"/>
      <c r="BQ34" s="3108"/>
      <c r="BR34" s="3108"/>
      <c r="BS34" s="3108"/>
      <c r="BT34" s="3108"/>
      <c r="BU34" s="3108"/>
      <c r="BV34" s="3108"/>
      <c r="BW34" s="1382"/>
      <c r="BX34" s="1383"/>
      <c r="BY34" s="1384"/>
      <c r="BZ34" s="1429"/>
      <c r="CA34" s="1076"/>
    </row>
    <row r="35" spans="1:79" ht="17.100000000000001" customHeight="1" x14ac:dyDescent="0.2">
      <c r="A35" s="796"/>
      <c r="B35" s="1429"/>
      <c r="C35" s="3819"/>
      <c r="D35" s="3820"/>
      <c r="E35" s="3821"/>
      <c r="F35" s="3108"/>
      <c r="G35" s="3108"/>
      <c r="H35" s="3108"/>
      <c r="I35" s="3108"/>
      <c r="J35" s="3108"/>
      <c r="K35" s="3108"/>
      <c r="L35" s="3108"/>
      <c r="M35" s="3108"/>
      <c r="N35" s="3108"/>
      <c r="O35" s="3108"/>
      <c r="P35" s="3108"/>
      <c r="Q35" s="3108"/>
      <c r="R35" s="3108"/>
      <c r="S35" s="3108"/>
      <c r="T35" s="3108"/>
      <c r="U35" s="3108"/>
      <c r="V35" s="3108"/>
      <c r="W35" s="3108"/>
      <c r="X35" s="3108"/>
      <c r="Y35" s="3108"/>
      <c r="Z35" s="3108"/>
      <c r="AA35" s="3108"/>
      <c r="AB35" s="3108"/>
      <c r="AC35" s="3108"/>
      <c r="AD35" s="3108"/>
      <c r="AE35" s="3108"/>
      <c r="AF35" s="3108"/>
      <c r="AG35" s="3108"/>
      <c r="AH35" s="3108"/>
      <c r="AI35" s="3108"/>
      <c r="AJ35" s="3108"/>
      <c r="AK35" s="3108"/>
      <c r="AL35" s="3108"/>
      <c r="AM35" s="3108"/>
      <c r="AN35" s="3108"/>
      <c r="AO35" s="3108"/>
      <c r="AP35" s="3108"/>
      <c r="AQ35" s="3108"/>
      <c r="AR35" s="3108"/>
      <c r="AS35" s="3108"/>
      <c r="AT35" s="3108"/>
      <c r="AU35" s="3108"/>
      <c r="AV35" s="3108"/>
      <c r="AW35" s="3108"/>
      <c r="AX35" s="3108"/>
      <c r="AY35" s="3108"/>
      <c r="AZ35" s="3108"/>
      <c r="BA35" s="3108"/>
      <c r="BB35" s="3108"/>
      <c r="BC35" s="3108"/>
      <c r="BD35" s="3108"/>
      <c r="BE35" s="3108"/>
      <c r="BF35" s="3108"/>
      <c r="BG35" s="3108"/>
      <c r="BH35" s="3108"/>
      <c r="BI35" s="3108"/>
      <c r="BJ35" s="3108"/>
      <c r="BK35" s="3108"/>
      <c r="BL35" s="3108"/>
      <c r="BM35" s="3108"/>
      <c r="BN35" s="3108"/>
      <c r="BO35" s="3108"/>
      <c r="BP35" s="3108"/>
      <c r="BQ35" s="3108"/>
      <c r="BR35" s="3108"/>
      <c r="BS35" s="3108"/>
      <c r="BT35" s="3108"/>
      <c r="BU35" s="3108"/>
      <c r="BV35" s="3108"/>
      <c r="BW35" s="1382"/>
      <c r="BX35" s="1383"/>
      <c r="BY35" s="1384"/>
      <c r="BZ35" s="1429"/>
      <c r="CA35" s="1076"/>
    </row>
    <row r="36" spans="1:79" ht="17.100000000000001" customHeight="1" x14ac:dyDescent="0.2">
      <c r="A36" s="796"/>
      <c r="B36" s="1429"/>
      <c r="C36" s="3822"/>
      <c r="D36" s="3823"/>
      <c r="E36" s="3824"/>
      <c r="F36" s="3109"/>
      <c r="G36" s="3109"/>
      <c r="H36" s="3109"/>
      <c r="I36" s="3109"/>
      <c r="J36" s="3109"/>
      <c r="K36" s="3109"/>
      <c r="L36" s="3109"/>
      <c r="M36" s="3109"/>
      <c r="N36" s="3109"/>
      <c r="O36" s="3109"/>
      <c r="P36" s="3109"/>
      <c r="Q36" s="3109"/>
      <c r="R36" s="3109"/>
      <c r="S36" s="3109"/>
      <c r="T36" s="3109"/>
      <c r="U36" s="3109"/>
      <c r="V36" s="3109"/>
      <c r="W36" s="3109"/>
      <c r="X36" s="3109"/>
      <c r="Y36" s="3109"/>
      <c r="Z36" s="3109"/>
      <c r="AA36" s="3109"/>
      <c r="AB36" s="3109"/>
      <c r="AC36" s="3109"/>
      <c r="AD36" s="3109"/>
      <c r="AE36" s="3109"/>
      <c r="AF36" s="3109"/>
      <c r="AG36" s="3109"/>
      <c r="AH36" s="3109"/>
      <c r="AI36" s="3109"/>
      <c r="AJ36" s="3109"/>
      <c r="AK36" s="3109"/>
      <c r="AL36" s="3109"/>
      <c r="AM36" s="3109"/>
      <c r="AN36" s="3109"/>
      <c r="AO36" s="3109"/>
      <c r="AP36" s="3109"/>
      <c r="AQ36" s="3109"/>
      <c r="AR36" s="3109"/>
      <c r="AS36" s="3109"/>
      <c r="AT36" s="3109"/>
      <c r="AU36" s="3109"/>
      <c r="AV36" s="3109"/>
      <c r="AW36" s="3109"/>
      <c r="AX36" s="3109"/>
      <c r="AY36" s="3109"/>
      <c r="AZ36" s="3109"/>
      <c r="BA36" s="3109"/>
      <c r="BB36" s="3109"/>
      <c r="BC36" s="3109"/>
      <c r="BD36" s="3109"/>
      <c r="BE36" s="3109"/>
      <c r="BF36" s="3109"/>
      <c r="BG36" s="3109"/>
      <c r="BH36" s="3109"/>
      <c r="BI36" s="3109"/>
      <c r="BJ36" s="3109"/>
      <c r="BK36" s="3109"/>
      <c r="BL36" s="3109"/>
      <c r="BM36" s="3109"/>
      <c r="BN36" s="3109"/>
      <c r="BO36" s="3109"/>
      <c r="BP36" s="3109"/>
      <c r="BQ36" s="3109"/>
      <c r="BR36" s="3109"/>
      <c r="BS36" s="3109"/>
      <c r="BT36" s="3109"/>
      <c r="BU36" s="3109"/>
      <c r="BV36" s="3109"/>
      <c r="BW36" s="1385"/>
      <c r="BX36" s="1386"/>
      <c r="BY36" s="1387"/>
      <c r="BZ36" s="1429"/>
      <c r="CA36" s="1076"/>
    </row>
    <row r="37" spans="1:79" ht="17.100000000000001" customHeight="1" x14ac:dyDescent="0.2">
      <c r="A37" s="796"/>
      <c r="B37" s="1429"/>
      <c r="C37" s="1429"/>
      <c r="D37" s="1429"/>
      <c r="E37" s="1429"/>
      <c r="F37" s="1429"/>
      <c r="G37" s="1429"/>
      <c r="H37" s="1429"/>
      <c r="I37" s="1429"/>
      <c r="J37" s="1429"/>
      <c r="K37" s="1429"/>
      <c r="L37" s="1429"/>
      <c r="M37" s="1429"/>
      <c r="N37" s="1429"/>
      <c r="O37" s="1429"/>
      <c r="P37" s="1429"/>
      <c r="Q37" s="1429"/>
      <c r="R37" s="1429"/>
      <c r="S37" s="1429"/>
      <c r="T37" s="1429"/>
      <c r="U37" s="1429"/>
      <c r="V37" s="1429"/>
      <c r="W37" s="1429"/>
      <c r="X37" s="1429"/>
      <c r="Y37" s="1429"/>
      <c r="Z37" s="1429"/>
      <c r="AA37" s="1429"/>
      <c r="AB37" s="1429"/>
      <c r="AC37" s="1429"/>
      <c r="AD37" s="1429"/>
      <c r="AE37" s="1429"/>
      <c r="AF37" s="1429"/>
      <c r="AG37" s="1429"/>
      <c r="AH37" s="1429"/>
      <c r="AI37" s="1429"/>
      <c r="AJ37" s="1429"/>
      <c r="AK37" s="1429"/>
      <c r="AL37" s="1429"/>
      <c r="AM37" s="1429"/>
      <c r="AN37" s="1429"/>
      <c r="AO37" s="1429"/>
      <c r="AP37" s="1429"/>
      <c r="AQ37" s="1429"/>
      <c r="AR37" s="1429"/>
      <c r="AS37" s="1429"/>
      <c r="AT37" s="1429"/>
      <c r="AU37" s="1429"/>
      <c r="AV37" s="1429"/>
      <c r="AW37" s="1429"/>
      <c r="AX37" s="1429"/>
      <c r="AY37" s="1429"/>
      <c r="AZ37" s="1429"/>
      <c r="BA37" s="1429"/>
      <c r="BB37" s="1429"/>
      <c r="BC37" s="1429"/>
      <c r="BD37" s="1429"/>
      <c r="BE37" s="1429"/>
      <c r="BF37" s="1429"/>
      <c r="BG37" s="1429"/>
      <c r="BH37" s="1429"/>
      <c r="BI37" s="1429"/>
      <c r="BJ37" s="1429"/>
      <c r="BK37" s="1429"/>
      <c r="BL37" s="1429"/>
      <c r="BM37" s="1429"/>
      <c r="BN37" s="1429"/>
      <c r="BO37" s="1429"/>
      <c r="BP37" s="1429"/>
      <c r="BQ37" s="1429"/>
      <c r="BR37" s="1429"/>
      <c r="BS37" s="1429"/>
      <c r="BT37" s="1429"/>
      <c r="BU37" s="1429"/>
      <c r="BV37" s="1429"/>
      <c r="BW37" s="1429"/>
      <c r="BX37" s="1429"/>
      <c r="BY37" s="1429"/>
      <c r="BZ37" s="1429"/>
      <c r="CA37" s="1076"/>
    </row>
    <row r="38" spans="1:79" ht="17.100000000000001" customHeight="1" x14ac:dyDescent="0.3">
      <c r="A38" s="796"/>
      <c r="B38" s="796"/>
      <c r="C38" s="1428"/>
      <c r="D38" s="31" t="s">
        <v>1</v>
      </c>
      <c r="E38" s="796"/>
      <c r="F38" s="796"/>
      <c r="G38" s="796"/>
      <c r="H38" s="796"/>
      <c r="I38" s="796"/>
      <c r="J38" s="796"/>
      <c r="K38" s="796"/>
      <c r="L38" s="796"/>
      <c r="M38" s="796"/>
      <c r="N38" s="796"/>
      <c r="O38" s="796"/>
      <c r="P38" s="796"/>
      <c r="Q38" s="796"/>
      <c r="R38" s="1076"/>
      <c r="S38" s="1076"/>
      <c r="T38" s="1076"/>
      <c r="U38" s="1076"/>
      <c r="V38" s="1076"/>
      <c r="W38" s="1076"/>
      <c r="X38" s="1076"/>
      <c r="Y38" s="1076"/>
      <c r="Z38" s="1076"/>
      <c r="AA38" s="1076"/>
      <c r="AB38" s="1076"/>
      <c r="AC38" s="1076"/>
      <c r="AD38" s="1076"/>
      <c r="AE38" s="1076"/>
      <c r="AF38" s="1076"/>
      <c r="AG38" s="1076"/>
      <c r="AH38" s="1076"/>
      <c r="AI38" s="1076"/>
      <c r="AJ38" s="1076"/>
      <c r="AK38" s="1076"/>
      <c r="AL38" s="1076"/>
      <c r="AM38" s="1076"/>
      <c r="AN38" s="1076"/>
      <c r="AO38" s="1076"/>
      <c r="AP38" s="1076"/>
      <c r="AQ38" s="1076"/>
      <c r="AR38" s="1076"/>
      <c r="AS38" s="1076"/>
      <c r="AT38" s="1076"/>
      <c r="AU38" s="1076"/>
      <c r="AV38" s="1076"/>
      <c r="AW38" s="1076"/>
      <c r="AX38" s="1076"/>
      <c r="AY38" s="1076"/>
      <c r="AZ38" s="1076"/>
      <c r="BA38" s="1076"/>
      <c r="BB38" s="1076"/>
      <c r="BC38" s="1076"/>
      <c r="BD38" s="1076"/>
      <c r="BE38" s="1076"/>
      <c r="BF38" s="1076"/>
      <c r="BG38" s="1076"/>
      <c r="BH38" s="1076"/>
      <c r="BI38" s="1076"/>
      <c r="BJ38" s="1076"/>
      <c r="BK38" s="1076"/>
      <c r="BL38" s="1076"/>
      <c r="BM38" s="1076"/>
      <c r="BN38" s="1076"/>
      <c r="BO38" s="1076"/>
      <c r="BP38" s="1076"/>
      <c r="BQ38" s="1076"/>
      <c r="BR38" s="1076"/>
      <c r="BS38" s="1076"/>
      <c r="BT38" s="1076"/>
      <c r="BU38" s="1076"/>
      <c r="BV38" s="1076"/>
      <c r="BW38" s="120"/>
      <c r="BX38" s="31" t="s">
        <v>1</v>
      </c>
      <c r="BY38" s="1076"/>
      <c r="BZ38" s="1076"/>
      <c r="CA38" s="1076"/>
    </row>
    <row r="39" spans="1:79" ht="17.100000000000001" customHeight="1" x14ac:dyDescent="0.3">
      <c r="D39" s="33" t="s">
        <v>1</v>
      </c>
      <c r="R39" s="822"/>
      <c r="S39" s="822"/>
      <c r="T39" s="822"/>
      <c r="U39" s="822"/>
      <c r="V39" s="822"/>
      <c r="W39" s="822"/>
      <c r="X39" s="822"/>
      <c r="Y39" s="822"/>
      <c r="Z39" s="822"/>
      <c r="AA39" s="822"/>
      <c r="AB39" s="822"/>
      <c r="AC39" s="822"/>
      <c r="AD39" s="822"/>
      <c r="AE39" s="822"/>
      <c r="AF39" s="822"/>
      <c r="AG39" s="822"/>
      <c r="AH39" s="822"/>
      <c r="AI39" s="822"/>
      <c r="AJ39" s="822"/>
      <c r="AK39" s="822"/>
      <c r="AL39" s="822"/>
      <c r="AM39" s="822"/>
      <c r="AN39" s="822"/>
      <c r="AO39" s="822"/>
      <c r="AP39" s="822"/>
      <c r="AQ39" s="822"/>
      <c r="AR39" s="822"/>
      <c r="AS39" s="822"/>
      <c r="AT39" s="822"/>
      <c r="AU39" s="822"/>
      <c r="AV39" s="822"/>
      <c r="AW39" s="822"/>
      <c r="AX39" s="822"/>
      <c r="AY39" s="822"/>
      <c r="AZ39" s="822"/>
      <c r="BA39" s="822"/>
      <c r="BB39" s="822"/>
      <c r="BC39" s="822"/>
      <c r="BD39" s="822"/>
      <c r="BE39" s="822"/>
      <c r="BF39" s="822"/>
      <c r="BG39" s="822"/>
      <c r="BH39" s="822"/>
      <c r="BI39" s="822"/>
      <c r="BJ39" s="822"/>
      <c r="BK39" s="822"/>
      <c r="BL39" s="822"/>
      <c r="BM39" s="822"/>
      <c r="BN39" s="822"/>
      <c r="BO39" s="822"/>
      <c r="BP39" s="822"/>
      <c r="BQ39" s="822"/>
      <c r="BR39" s="822"/>
      <c r="BS39" s="822"/>
      <c r="BT39" s="822"/>
      <c r="BU39" s="822"/>
      <c r="BV39" s="822"/>
      <c r="BX39" s="33" t="s">
        <v>1</v>
      </c>
      <c r="BY39" s="822"/>
      <c r="BZ39" s="822"/>
      <c r="CA39" s="822"/>
    </row>
    <row r="40" spans="1:79" ht="17.100000000000001" customHeight="1" x14ac:dyDescent="0.3">
      <c r="D40" s="33" t="s">
        <v>1</v>
      </c>
      <c r="R40" s="822"/>
      <c r="S40" s="822"/>
      <c r="T40" s="822"/>
      <c r="U40" s="822"/>
      <c r="V40" s="822"/>
      <c r="W40" s="822"/>
      <c r="X40" s="822"/>
      <c r="Y40" s="822"/>
      <c r="Z40" s="822"/>
      <c r="AA40" s="822"/>
      <c r="AB40" s="822"/>
      <c r="AC40" s="822"/>
      <c r="AD40" s="822"/>
      <c r="AE40" s="822"/>
      <c r="AF40" s="822"/>
      <c r="AG40" s="822"/>
      <c r="AH40" s="822"/>
      <c r="AI40" s="822"/>
      <c r="AJ40" s="822"/>
      <c r="AK40" s="822"/>
      <c r="AL40" s="822"/>
      <c r="AM40" s="822"/>
      <c r="AN40" s="822"/>
      <c r="AO40" s="822"/>
      <c r="AP40" s="822"/>
      <c r="AQ40" s="822"/>
      <c r="AR40" s="822"/>
      <c r="AS40" s="822"/>
      <c r="AT40" s="822"/>
      <c r="AU40" s="822"/>
      <c r="AV40" s="822"/>
      <c r="AW40" s="822"/>
      <c r="AX40" s="822"/>
      <c r="AY40" s="822"/>
      <c r="AZ40" s="822"/>
      <c r="BA40" s="822"/>
      <c r="BB40" s="822"/>
      <c r="BC40" s="822"/>
      <c r="BD40" s="822"/>
      <c r="BE40" s="822"/>
      <c r="BF40" s="822"/>
      <c r="BG40" s="822"/>
      <c r="BH40" s="822"/>
      <c r="BI40" s="822"/>
      <c r="BJ40" s="822"/>
      <c r="BK40" s="822"/>
      <c r="BL40" s="822"/>
      <c r="BM40" s="822"/>
      <c r="BN40" s="822"/>
      <c r="BO40" s="822"/>
      <c r="BP40" s="822"/>
      <c r="BQ40" s="822"/>
      <c r="BR40" s="822"/>
      <c r="BS40" s="822"/>
      <c r="BT40" s="822"/>
      <c r="BU40" s="822"/>
      <c r="BV40" s="822"/>
      <c r="BX40" s="33" t="s">
        <v>1</v>
      </c>
      <c r="BY40" s="822"/>
      <c r="BZ40" s="822"/>
      <c r="CA40" s="822"/>
    </row>
    <row r="41" spans="1:79" ht="17.100000000000001" customHeight="1" x14ac:dyDescent="0.2">
      <c r="C41" s="3825" t="s">
        <v>964</v>
      </c>
      <c r="D41" s="3826"/>
      <c r="E41" s="3827"/>
      <c r="F41" s="3110"/>
      <c r="G41" s="3111"/>
      <c r="H41" s="3111"/>
      <c r="I41" s="3111"/>
      <c r="J41" s="3111"/>
      <c r="K41" s="3111"/>
      <c r="L41" s="3111"/>
      <c r="M41" s="3111"/>
      <c r="N41" s="3111"/>
      <c r="O41" s="3111"/>
      <c r="P41" s="3111"/>
      <c r="Q41" s="3111"/>
      <c r="R41" s="3111"/>
      <c r="S41" s="3111"/>
      <c r="T41" s="3111"/>
      <c r="U41" s="3111"/>
      <c r="V41" s="3111"/>
      <c r="W41" s="3111"/>
      <c r="X41" s="3111"/>
      <c r="Y41" s="3111"/>
      <c r="Z41" s="3111"/>
      <c r="AA41" s="3111"/>
      <c r="AB41" s="3111"/>
      <c r="AC41" s="3111"/>
      <c r="AD41" s="3111"/>
      <c r="AE41" s="3111"/>
      <c r="AF41" s="3111"/>
      <c r="AG41" s="3111"/>
      <c r="AH41" s="3111"/>
      <c r="AI41" s="3111"/>
      <c r="AJ41" s="3111"/>
      <c r="AK41" s="3111"/>
      <c r="AL41" s="3111"/>
      <c r="AM41" s="3111"/>
      <c r="AN41" s="3111"/>
      <c r="AO41" s="3111"/>
      <c r="AP41" s="3111"/>
      <c r="AQ41" s="3111"/>
      <c r="AR41" s="3111"/>
      <c r="AS41" s="3111"/>
      <c r="AT41" s="3111"/>
      <c r="AU41" s="3111"/>
      <c r="AV41" s="3111"/>
      <c r="AW41" s="3111"/>
      <c r="AX41" s="3111"/>
      <c r="AY41" s="3111"/>
      <c r="AZ41" s="3111"/>
      <c r="BA41" s="3111"/>
      <c r="BB41" s="3111"/>
      <c r="BC41" s="3111"/>
      <c r="BD41" s="3111"/>
      <c r="BE41" s="3111"/>
      <c r="BF41" s="3111"/>
      <c r="BG41" s="3111"/>
      <c r="BH41" s="3111"/>
      <c r="BI41" s="3111"/>
      <c r="BJ41" s="3111"/>
      <c r="BK41" s="3111"/>
      <c r="BL41" s="3111"/>
      <c r="BM41" s="3111"/>
      <c r="BN41" s="3111"/>
      <c r="BO41" s="3111"/>
      <c r="BP41" s="3111"/>
      <c r="BQ41" s="3111"/>
      <c r="BR41" s="3111"/>
      <c r="BS41" s="3111"/>
      <c r="BT41" s="3111"/>
      <c r="BU41" s="3111"/>
      <c r="BV41" s="3111"/>
      <c r="BW41" s="1388"/>
      <c r="BX41" s="1389"/>
      <c r="BY41" s="1390"/>
      <c r="BZ41" s="822"/>
      <c r="CA41" s="822"/>
    </row>
    <row r="42" spans="1:79" ht="17.100000000000001" customHeight="1" x14ac:dyDescent="0.2">
      <c r="C42" s="3828"/>
      <c r="D42" s="3829"/>
      <c r="E42" s="3830"/>
      <c r="F42" s="3110"/>
      <c r="G42" s="3111"/>
      <c r="H42" s="3111"/>
      <c r="I42" s="3111"/>
      <c r="J42" s="3111"/>
      <c r="K42" s="3111"/>
      <c r="L42" s="3111"/>
      <c r="M42" s="3111"/>
      <c r="N42" s="3111"/>
      <c r="O42" s="3111"/>
      <c r="P42" s="3111"/>
      <c r="Q42" s="3111"/>
      <c r="R42" s="3111"/>
      <c r="S42" s="3111"/>
      <c r="T42" s="3111"/>
      <c r="U42" s="3111"/>
      <c r="V42" s="3111"/>
      <c r="W42" s="3111"/>
      <c r="X42" s="3111"/>
      <c r="Y42" s="3111"/>
      <c r="Z42" s="3111"/>
      <c r="AA42" s="3111"/>
      <c r="AB42" s="3111"/>
      <c r="AC42" s="3111"/>
      <c r="AD42" s="3111"/>
      <c r="AE42" s="3111"/>
      <c r="AF42" s="3111"/>
      <c r="AG42" s="3111"/>
      <c r="AH42" s="3111"/>
      <c r="AI42" s="3111"/>
      <c r="AJ42" s="3111"/>
      <c r="AK42" s="3111"/>
      <c r="AL42" s="3111"/>
      <c r="AM42" s="3111"/>
      <c r="AN42" s="3111"/>
      <c r="AO42" s="3111"/>
      <c r="AP42" s="3111"/>
      <c r="AQ42" s="3111"/>
      <c r="AR42" s="3111"/>
      <c r="AS42" s="3111"/>
      <c r="AT42" s="3111"/>
      <c r="AU42" s="3111"/>
      <c r="AV42" s="3111"/>
      <c r="AW42" s="3111"/>
      <c r="AX42" s="3111"/>
      <c r="AY42" s="3111"/>
      <c r="AZ42" s="3111"/>
      <c r="BA42" s="3111"/>
      <c r="BB42" s="3111"/>
      <c r="BC42" s="3111"/>
      <c r="BD42" s="3111"/>
      <c r="BE42" s="3111"/>
      <c r="BF42" s="3111"/>
      <c r="BG42" s="3111"/>
      <c r="BH42" s="3111"/>
      <c r="BI42" s="3111"/>
      <c r="BJ42" s="3111"/>
      <c r="BK42" s="3111"/>
      <c r="BL42" s="3111"/>
      <c r="BM42" s="3111"/>
      <c r="BN42" s="3111"/>
      <c r="BO42" s="3111"/>
      <c r="BP42" s="3111"/>
      <c r="BQ42" s="3111"/>
      <c r="BR42" s="3111"/>
      <c r="BS42" s="3111"/>
      <c r="BT42" s="3111"/>
      <c r="BU42" s="3111"/>
      <c r="BV42" s="3111"/>
      <c r="BW42" s="1391"/>
      <c r="BX42" s="1392"/>
      <c r="BY42" s="1393"/>
      <c r="BZ42" s="822"/>
      <c r="CA42" s="822"/>
    </row>
    <row r="43" spans="1:79" ht="17.100000000000001" customHeight="1" x14ac:dyDescent="0.2">
      <c r="C43" s="3828"/>
      <c r="D43" s="3829"/>
      <c r="E43" s="3830"/>
      <c r="F43" s="3110"/>
      <c r="G43" s="3111"/>
      <c r="H43" s="3111"/>
      <c r="I43" s="3111"/>
      <c r="J43" s="3111"/>
      <c r="K43" s="3111"/>
      <c r="L43" s="3111"/>
      <c r="M43" s="3111"/>
      <c r="N43" s="3111"/>
      <c r="O43" s="3111"/>
      <c r="P43" s="3111"/>
      <c r="Q43" s="3111"/>
      <c r="R43" s="3111"/>
      <c r="S43" s="3111"/>
      <c r="T43" s="3111"/>
      <c r="U43" s="3111"/>
      <c r="V43" s="3111"/>
      <c r="W43" s="3111"/>
      <c r="X43" s="3111"/>
      <c r="Y43" s="3111"/>
      <c r="Z43" s="3111"/>
      <c r="AA43" s="3111"/>
      <c r="AB43" s="3111"/>
      <c r="AC43" s="3111"/>
      <c r="AD43" s="3111"/>
      <c r="AE43" s="3111"/>
      <c r="AF43" s="3111"/>
      <c r="AG43" s="3111"/>
      <c r="AH43" s="3111"/>
      <c r="AI43" s="3111"/>
      <c r="AJ43" s="3111"/>
      <c r="AK43" s="3111"/>
      <c r="AL43" s="3111"/>
      <c r="AM43" s="3111"/>
      <c r="AN43" s="3111"/>
      <c r="AO43" s="3111"/>
      <c r="AP43" s="3111"/>
      <c r="AQ43" s="3111"/>
      <c r="AR43" s="3111"/>
      <c r="AS43" s="3111"/>
      <c r="AT43" s="3111"/>
      <c r="AU43" s="3111"/>
      <c r="AV43" s="3111"/>
      <c r="AW43" s="3111"/>
      <c r="AX43" s="3111"/>
      <c r="AY43" s="3111"/>
      <c r="AZ43" s="3111"/>
      <c r="BA43" s="3111"/>
      <c r="BB43" s="3111"/>
      <c r="BC43" s="3111"/>
      <c r="BD43" s="3111"/>
      <c r="BE43" s="3111"/>
      <c r="BF43" s="3111"/>
      <c r="BG43" s="3111"/>
      <c r="BH43" s="3111"/>
      <c r="BI43" s="3111"/>
      <c r="BJ43" s="3111"/>
      <c r="BK43" s="3111"/>
      <c r="BL43" s="3111"/>
      <c r="BM43" s="3111"/>
      <c r="BN43" s="3111"/>
      <c r="BO43" s="3111"/>
      <c r="BP43" s="3111"/>
      <c r="BQ43" s="3111"/>
      <c r="BR43" s="3111"/>
      <c r="BS43" s="3111"/>
      <c r="BT43" s="3111"/>
      <c r="BU43" s="3111"/>
      <c r="BV43" s="3111"/>
      <c r="BW43" s="1391"/>
      <c r="BX43" s="1392"/>
      <c r="BY43" s="1393"/>
    </row>
    <row r="44" spans="1:79" ht="17.100000000000001" customHeight="1" x14ac:dyDescent="0.2">
      <c r="C44" s="3828"/>
      <c r="D44" s="3829"/>
      <c r="E44" s="3830"/>
      <c r="F44" s="3110"/>
      <c r="G44" s="3111"/>
      <c r="H44" s="3111"/>
      <c r="I44" s="3111"/>
      <c r="J44" s="3111"/>
      <c r="K44" s="3111"/>
      <c r="L44" s="3111"/>
      <c r="M44" s="3111"/>
      <c r="N44" s="3111"/>
      <c r="O44" s="3111"/>
      <c r="P44" s="3111"/>
      <c r="Q44" s="3111"/>
      <c r="R44" s="3111"/>
      <c r="S44" s="3111"/>
      <c r="T44" s="3111"/>
      <c r="U44" s="3111"/>
      <c r="V44" s="3111"/>
      <c r="W44" s="3111"/>
      <c r="X44" s="3111"/>
      <c r="Y44" s="3111"/>
      <c r="Z44" s="3111"/>
      <c r="AA44" s="3111"/>
      <c r="AB44" s="3111"/>
      <c r="AC44" s="3111"/>
      <c r="AD44" s="3111"/>
      <c r="AE44" s="3111"/>
      <c r="AF44" s="3111"/>
      <c r="AG44" s="3111"/>
      <c r="AH44" s="3111"/>
      <c r="AI44" s="3111"/>
      <c r="AJ44" s="3111"/>
      <c r="AK44" s="3111"/>
      <c r="AL44" s="3111"/>
      <c r="AM44" s="3111"/>
      <c r="AN44" s="3111"/>
      <c r="AO44" s="3111"/>
      <c r="AP44" s="3111"/>
      <c r="AQ44" s="3111"/>
      <c r="AR44" s="3111"/>
      <c r="AS44" s="3111"/>
      <c r="AT44" s="3111"/>
      <c r="AU44" s="3111"/>
      <c r="AV44" s="3111"/>
      <c r="AW44" s="3111"/>
      <c r="AX44" s="3111"/>
      <c r="AY44" s="3111"/>
      <c r="AZ44" s="3111"/>
      <c r="BA44" s="3111"/>
      <c r="BB44" s="3111"/>
      <c r="BC44" s="3111"/>
      <c r="BD44" s="3111"/>
      <c r="BE44" s="3111"/>
      <c r="BF44" s="3111"/>
      <c r="BG44" s="3111"/>
      <c r="BH44" s="3111"/>
      <c r="BI44" s="3111"/>
      <c r="BJ44" s="3111"/>
      <c r="BK44" s="3111"/>
      <c r="BL44" s="3111"/>
      <c r="BM44" s="3111"/>
      <c r="BN44" s="3111"/>
      <c r="BO44" s="3111"/>
      <c r="BP44" s="3111"/>
      <c r="BQ44" s="3111"/>
      <c r="BR44" s="3111"/>
      <c r="BS44" s="3111"/>
      <c r="BT44" s="3111"/>
      <c r="BU44" s="3111"/>
      <c r="BV44" s="3111"/>
      <c r="BW44" s="1391"/>
      <c r="BX44" s="1392"/>
      <c r="BY44" s="1393"/>
      <c r="BZ44" s="822"/>
      <c r="CA44" s="822"/>
    </row>
    <row r="45" spans="1:79" ht="17.100000000000001" customHeight="1" x14ac:dyDescent="0.2">
      <c r="C45" s="3828"/>
      <c r="D45" s="3829"/>
      <c r="E45" s="3830"/>
      <c r="F45" s="3110"/>
      <c r="G45" s="3111"/>
      <c r="H45" s="3111"/>
      <c r="I45" s="3111"/>
      <c r="J45" s="3111"/>
      <c r="K45" s="3111"/>
      <c r="L45" s="3111"/>
      <c r="M45" s="3111"/>
      <c r="N45" s="3111"/>
      <c r="O45" s="3111"/>
      <c r="P45" s="3111"/>
      <c r="Q45" s="3111"/>
      <c r="R45" s="3111"/>
      <c r="S45" s="3111"/>
      <c r="T45" s="3111"/>
      <c r="U45" s="3111"/>
      <c r="V45" s="3111"/>
      <c r="W45" s="3111"/>
      <c r="X45" s="3111"/>
      <c r="Y45" s="3111"/>
      <c r="Z45" s="3111"/>
      <c r="AA45" s="3111"/>
      <c r="AB45" s="3111"/>
      <c r="AC45" s="3111"/>
      <c r="AD45" s="3111"/>
      <c r="AE45" s="3111"/>
      <c r="AF45" s="3111"/>
      <c r="AG45" s="3111"/>
      <c r="AH45" s="3111"/>
      <c r="AI45" s="3111"/>
      <c r="AJ45" s="3111"/>
      <c r="AK45" s="3111"/>
      <c r="AL45" s="3111"/>
      <c r="AM45" s="3111"/>
      <c r="AN45" s="3111"/>
      <c r="AO45" s="3111"/>
      <c r="AP45" s="3111"/>
      <c r="AQ45" s="3111"/>
      <c r="AR45" s="3111"/>
      <c r="AS45" s="3111"/>
      <c r="AT45" s="3111"/>
      <c r="AU45" s="3111"/>
      <c r="AV45" s="3111"/>
      <c r="AW45" s="3111"/>
      <c r="AX45" s="3111"/>
      <c r="AY45" s="3111"/>
      <c r="AZ45" s="3111"/>
      <c r="BA45" s="3111"/>
      <c r="BB45" s="3111"/>
      <c r="BC45" s="3111"/>
      <c r="BD45" s="3111"/>
      <c r="BE45" s="3111"/>
      <c r="BF45" s="3111"/>
      <c r="BG45" s="3111"/>
      <c r="BH45" s="3111"/>
      <c r="BI45" s="3111"/>
      <c r="BJ45" s="3111"/>
      <c r="BK45" s="3111"/>
      <c r="BL45" s="3111"/>
      <c r="BM45" s="3111"/>
      <c r="BN45" s="3111"/>
      <c r="BO45" s="3111"/>
      <c r="BP45" s="3111"/>
      <c r="BQ45" s="3111"/>
      <c r="BR45" s="3111"/>
      <c r="BS45" s="3111"/>
      <c r="BT45" s="3111"/>
      <c r="BU45" s="3111"/>
      <c r="BV45" s="3111"/>
      <c r="BW45" s="1391"/>
      <c r="BX45" s="1392"/>
      <c r="BY45" s="1393"/>
      <c r="BZ45" s="822"/>
      <c r="CA45" s="822"/>
    </row>
    <row r="46" spans="1:79" ht="17.100000000000001" customHeight="1" x14ac:dyDescent="0.2">
      <c r="C46" s="3828"/>
      <c r="D46" s="3829"/>
      <c r="E46" s="3830"/>
      <c r="F46" s="3110"/>
      <c r="G46" s="3111"/>
      <c r="H46" s="3111"/>
      <c r="I46" s="3111"/>
      <c r="J46" s="3111"/>
      <c r="K46" s="3111"/>
      <c r="L46" s="3111"/>
      <c r="M46" s="3111"/>
      <c r="N46" s="3111"/>
      <c r="O46" s="3111"/>
      <c r="P46" s="3111"/>
      <c r="Q46" s="3111"/>
      <c r="R46" s="3111"/>
      <c r="S46" s="3111"/>
      <c r="T46" s="3111"/>
      <c r="U46" s="3111"/>
      <c r="V46" s="3111"/>
      <c r="W46" s="3111"/>
      <c r="X46" s="3111"/>
      <c r="Y46" s="3111"/>
      <c r="Z46" s="3111"/>
      <c r="AA46" s="3111"/>
      <c r="AB46" s="3111"/>
      <c r="AC46" s="3111"/>
      <c r="AD46" s="3111"/>
      <c r="AE46" s="3111"/>
      <c r="AF46" s="3111"/>
      <c r="AG46" s="3111"/>
      <c r="AH46" s="3111"/>
      <c r="AI46" s="3111"/>
      <c r="AJ46" s="3111"/>
      <c r="AK46" s="3111"/>
      <c r="AL46" s="3111"/>
      <c r="AM46" s="3111"/>
      <c r="AN46" s="3111"/>
      <c r="AO46" s="3111"/>
      <c r="AP46" s="3111"/>
      <c r="AQ46" s="3111"/>
      <c r="AR46" s="3111"/>
      <c r="AS46" s="3111"/>
      <c r="AT46" s="3111"/>
      <c r="AU46" s="3111"/>
      <c r="AV46" s="3111"/>
      <c r="AW46" s="3111"/>
      <c r="AX46" s="3111"/>
      <c r="AY46" s="3111"/>
      <c r="AZ46" s="3111"/>
      <c r="BA46" s="3111"/>
      <c r="BB46" s="3111"/>
      <c r="BC46" s="3111"/>
      <c r="BD46" s="3111"/>
      <c r="BE46" s="3111"/>
      <c r="BF46" s="3111"/>
      <c r="BG46" s="3111"/>
      <c r="BH46" s="3111"/>
      <c r="BI46" s="3111"/>
      <c r="BJ46" s="3111"/>
      <c r="BK46" s="3111"/>
      <c r="BL46" s="3111"/>
      <c r="BM46" s="3111"/>
      <c r="BN46" s="3111"/>
      <c r="BO46" s="3111"/>
      <c r="BP46" s="3111"/>
      <c r="BQ46" s="3111"/>
      <c r="BR46" s="3111"/>
      <c r="BS46" s="3111"/>
      <c r="BT46" s="3111"/>
      <c r="BU46" s="3111"/>
      <c r="BV46" s="3111"/>
      <c r="BW46" s="1391"/>
      <c r="BX46" s="1392"/>
      <c r="BY46" s="1393"/>
      <c r="BZ46" s="822"/>
      <c r="CA46" s="822"/>
    </row>
    <row r="47" spans="1:79" ht="17.100000000000001" customHeight="1" x14ac:dyDescent="0.2">
      <c r="C47" s="3828"/>
      <c r="D47" s="3829"/>
      <c r="E47" s="3830"/>
      <c r="F47" s="3110"/>
      <c r="G47" s="3111"/>
      <c r="H47" s="3111"/>
      <c r="I47" s="3111"/>
      <c r="J47" s="3111"/>
      <c r="K47" s="3111"/>
      <c r="L47" s="3111"/>
      <c r="M47" s="3111"/>
      <c r="N47" s="3111"/>
      <c r="O47" s="3111"/>
      <c r="P47" s="3111"/>
      <c r="Q47" s="3111"/>
      <c r="R47" s="3111"/>
      <c r="S47" s="3111"/>
      <c r="T47" s="3111"/>
      <c r="U47" s="3111"/>
      <c r="V47" s="3111"/>
      <c r="W47" s="3111"/>
      <c r="X47" s="3111"/>
      <c r="Y47" s="3111"/>
      <c r="Z47" s="3111"/>
      <c r="AA47" s="3111"/>
      <c r="AB47" s="3111"/>
      <c r="AC47" s="3111"/>
      <c r="AD47" s="3111"/>
      <c r="AE47" s="3111"/>
      <c r="AF47" s="3111"/>
      <c r="AG47" s="3111"/>
      <c r="AH47" s="3111"/>
      <c r="AI47" s="3111"/>
      <c r="AJ47" s="3111"/>
      <c r="AK47" s="3111"/>
      <c r="AL47" s="3111"/>
      <c r="AM47" s="3111"/>
      <c r="AN47" s="3111"/>
      <c r="AO47" s="3111"/>
      <c r="AP47" s="3111"/>
      <c r="AQ47" s="3111"/>
      <c r="AR47" s="3111"/>
      <c r="AS47" s="3111"/>
      <c r="AT47" s="3111"/>
      <c r="AU47" s="3111"/>
      <c r="AV47" s="3111"/>
      <c r="AW47" s="3111"/>
      <c r="AX47" s="3111"/>
      <c r="AY47" s="3111"/>
      <c r="AZ47" s="3111"/>
      <c r="BA47" s="3111"/>
      <c r="BB47" s="3111"/>
      <c r="BC47" s="3111"/>
      <c r="BD47" s="3111"/>
      <c r="BE47" s="3111"/>
      <c r="BF47" s="3111"/>
      <c r="BG47" s="3111"/>
      <c r="BH47" s="3111"/>
      <c r="BI47" s="3111"/>
      <c r="BJ47" s="3111"/>
      <c r="BK47" s="3111"/>
      <c r="BL47" s="3111"/>
      <c r="BM47" s="3111"/>
      <c r="BN47" s="3111"/>
      <c r="BO47" s="3111"/>
      <c r="BP47" s="3111"/>
      <c r="BQ47" s="3111"/>
      <c r="BR47" s="3111"/>
      <c r="BS47" s="3111"/>
      <c r="BT47" s="3111"/>
      <c r="BU47" s="3111"/>
      <c r="BV47" s="3111"/>
      <c r="BW47" s="1391"/>
      <c r="BX47" s="1392"/>
      <c r="BY47" s="1393"/>
      <c r="BZ47" s="822"/>
      <c r="CA47" s="822"/>
    </row>
    <row r="48" spans="1:79" ht="17.100000000000001" customHeight="1" x14ac:dyDescent="0.2">
      <c r="C48" s="3828"/>
      <c r="D48" s="3829"/>
      <c r="E48" s="3830"/>
      <c r="F48" s="3110"/>
      <c r="G48" s="3111"/>
      <c r="H48" s="3111"/>
      <c r="I48" s="3111"/>
      <c r="J48" s="3111"/>
      <c r="K48" s="3111"/>
      <c r="L48" s="3111"/>
      <c r="M48" s="3111"/>
      <c r="N48" s="3111"/>
      <c r="O48" s="3111"/>
      <c r="P48" s="3111"/>
      <c r="Q48" s="3111"/>
      <c r="R48" s="3111"/>
      <c r="S48" s="3111"/>
      <c r="T48" s="3111"/>
      <c r="U48" s="3111"/>
      <c r="V48" s="3111"/>
      <c r="W48" s="3111"/>
      <c r="X48" s="3111"/>
      <c r="Y48" s="3111"/>
      <c r="Z48" s="3111"/>
      <c r="AA48" s="3111"/>
      <c r="AB48" s="3111"/>
      <c r="AC48" s="3111"/>
      <c r="AD48" s="3111"/>
      <c r="AE48" s="3111"/>
      <c r="AF48" s="3111"/>
      <c r="AG48" s="3111"/>
      <c r="AH48" s="3111"/>
      <c r="AI48" s="3111"/>
      <c r="AJ48" s="3111"/>
      <c r="AK48" s="3111"/>
      <c r="AL48" s="3111"/>
      <c r="AM48" s="3111"/>
      <c r="AN48" s="3111"/>
      <c r="AO48" s="3111"/>
      <c r="AP48" s="3111"/>
      <c r="AQ48" s="3111"/>
      <c r="AR48" s="3111"/>
      <c r="AS48" s="3111"/>
      <c r="AT48" s="3111"/>
      <c r="AU48" s="3111"/>
      <c r="AV48" s="3111"/>
      <c r="AW48" s="3111"/>
      <c r="AX48" s="3111"/>
      <c r="AY48" s="3111"/>
      <c r="AZ48" s="3111"/>
      <c r="BA48" s="3111"/>
      <c r="BB48" s="3111"/>
      <c r="BC48" s="3111"/>
      <c r="BD48" s="3111"/>
      <c r="BE48" s="3111"/>
      <c r="BF48" s="3111"/>
      <c r="BG48" s="3111"/>
      <c r="BH48" s="3111"/>
      <c r="BI48" s="3111"/>
      <c r="BJ48" s="3111"/>
      <c r="BK48" s="3111"/>
      <c r="BL48" s="3111"/>
      <c r="BM48" s="3111"/>
      <c r="BN48" s="3111"/>
      <c r="BO48" s="3111"/>
      <c r="BP48" s="3111"/>
      <c r="BQ48" s="3111"/>
      <c r="BR48" s="3111"/>
      <c r="BS48" s="3111"/>
      <c r="BT48" s="3111"/>
      <c r="BU48" s="3111"/>
      <c r="BV48" s="3111"/>
      <c r="BW48" s="1391"/>
      <c r="BX48" s="1392"/>
      <c r="BY48" s="1393"/>
      <c r="BZ48" s="822"/>
      <c r="CA48" s="822"/>
    </row>
    <row r="49" spans="3:79" ht="17.100000000000001" customHeight="1" x14ac:dyDescent="0.2">
      <c r="C49" s="3828"/>
      <c r="D49" s="3829"/>
      <c r="E49" s="3830"/>
      <c r="F49" s="3110"/>
      <c r="G49" s="3111"/>
      <c r="H49" s="3111"/>
      <c r="I49" s="3111"/>
      <c r="J49" s="3111"/>
      <c r="K49" s="3111"/>
      <c r="L49" s="3111"/>
      <c r="M49" s="3111"/>
      <c r="N49" s="3111"/>
      <c r="O49" s="3111"/>
      <c r="P49" s="3111"/>
      <c r="Q49" s="3111"/>
      <c r="R49" s="3111"/>
      <c r="S49" s="3111"/>
      <c r="T49" s="3111"/>
      <c r="U49" s="3111"/>
      <c r="V49" s="3111"/>
      <c r="W49" s="3111"/>
      <c r="X49" s="3111"/>
      <c r="Y49" s="3111"/>
      <c r="Z49" s="3111"/>
      <c r="AA49" s="3111"/>
      <c r="AB49" s="3111"/>
      <c r="AC49" s="3111"/>
      <c r="AD49" s="3111"/>
      <c r="AE49" s="3111"/>
      <c r="AF49" s="3111"/>
      <c r="AG49" s="3111"/>
      <c r="AH49" s="3111"/>
      <c r="AI49" s="3111"/>
      <c r="AJ49" s="3111"/>
      <c r="AK49" s="3111"/>
      <c r="AL49" s="3111"/>
      <c r="AM49" s="3111"/>
      <c r="AN49" s="3111"/>
      <c r="AO49" s="3111"/>
      <c r="AP49" s="3111"/>
      <c r="AQ49" s="3111"/>
      <c r="AR49" s="3111"/>
      <c r="AS49" s="3111"/>
      <c r="AT49" s="3111"/>
      <c r="AU49" s="3111"/>
      <c r="AV49" s="3111"/>
      <c r="AW49" s="3111"/>
      <c r="AX49" s="3111"/>
      <c r="AY49" s="3111"/>
      <c r="AZ49" s="3111"/>
      <c r="BA49" s="3111"/>
      <c r="BB49" s="3111"/>
      <c r="BC49" s="3111"/>
      <c r="BD49" s="3111"/>
      <c r="BE49" s="3111"/>
      <c r="BF49" s="3111"/>
      <c r="BG49" s="3111"/>
      <c r="BH49" s="3111"/>
      <c r="BI49" s="3111"/>
      <c r="BJ49" s="3111"/>
      <c r="BK49" s="3111"/>
      <c r="BL49" s="3111"/>
      <c r="BM49" s="3111"/>
      <c r="BN49" s="3111"/>
      <c r="BO49" s="3111"/>
      <c r="BP49" s="3111"/>
      <c r="BQ49" s="3111"/>
      <c r="BR49" s="3111"/>
      <c r="BS49" s="3111"/>
      <c r="BT49" s="3111"/>
      <c r="BU49" s="3111"/>
      <c r="BV49" s="3111"/>
      <c r="BW49" s="1391"/>
      <c r="BX49" s="1392"/>
      <c r="BY49" s="1393"/>
      <c r="BZ49" s="822"/>
      <c r="CA49" s="822"/>
    </row>
    <row r="50" spans="3:79" ht="17.100000000000001" customHeight="1" x14ac:dyDescent="0.2">
      <c r="C50" s="3828"/>
      <c r="D50" s="3829"/>
      <c r="E50" s="3830"/>
      <c r="F50" s="3110"/>
      <c r="G50" s="3111"/>
      <c r="H50" s="3111"/>
      <c r="I50" s="3111"/>
      <c r="J50" s="3111"/>
      <c r="K50" s="3111"/>
      <c r="L50" s="3111"/>
      <c r="M50" s="3111"/>
      <c r="N50" s="3111"/>
      <c r="O50" s="3111"/>
      <c r="P50" s="3111"/>
      <c r="Q50" s="3111"/>
      <c r="R50" s="3111"/>
      <c r="S50" s="3111"/>
      <c r="T50" s="3111"/>
      <c r="U50" s="3111"/>
      <c r="V50" s="3111"/>
      <c r="W50" s="3111"/>
      <c r="X50" s="3111"/>
      <c r="Y50" s="3111"/>
      <c r="Z50" s="3111"/>
      <c r="AA50" s="3111"/>
      <c r="AB50" s="3111"/>
      <c r="AC50" s="3111"/>
      <c r="AD50" s="3111"/>
      <c r="AE50" s="3111"/>
      <c r="AF50" s="3111"/>
      <c r="AG50" s="3111"/>
      <c r="AH50" s="3111"/>
      <c r="AI50" s="3111"/>
      <c r="AJ50" s="3111"/>
      <c r="AK50" s="3111"/>
      <c r="AL50" s="3111"/>
      <c r="AM50" s="3111"/>
      <c r="AN50" s="3111"/>
      <c r="AO50" s="3111"/>
      <c r="AP50" s="3111"/>
      <c r="AQ50" s="3111"/>
      <c r="AR50" s="3111"/>
      <c r="AS50" s="3111"/>
      <c r="AT50" s="3111"/>
      <c r="AU50" s="3111"/>
      <c r="AV50" s="3111"/>
      <c r="AW50" s="3111"/>
      <c r="AX50" s="3111"/>
      <c r="AY50" s="3111"/>
      <c r="AZ50" s="3111"/>
      <c r="BA50" s="3111"/>
      <c r="BB50" s="3111"/>
      <c r="BC50" s="3111"/>
      <c r="BD50" s="3111"/>
      <c r="BE50" s="3111"/>
      <c r="BF50" s="3111"/>
      <c r="BG50" s="3111"/>
      <c r="BH50" s="3111"/>
      <c r="BI50" s="3111"/>
      <c r="BJ50" s="3111"/>
      <c r="BK50" s="3111"/>
      <c r="BL50" s="3111"/>
      <c r="BM50" s="3111"/>
      <c r="BN50" s="3111"/>
      <c r="BO50" s="3111"/>
      <c r="BP50" s="3111"/>
      <c r="BQ50" s="3111"/>
      <c r="BR50" s="3111"/>
      <c r="BS50" s="3111"/>
      <c r="BT50" s="3111"/>
      <c r="BU50" s="3111"/>
      <c r="BV50" s="3111"/>
      <c r="BW50" s="1391"/>
      <c r="BX50" s="1392"/>
      <c r="BY50" s="1393"/>
      <c r="BZ50" s="822"/>
      <c r="CA50" s="822"/>
    </row>
    <row r="51" spans="3:79" ht="17.100000000000001" customHeight="1" x14ac:dyDescent="0.2">
      <c r="C51" s="3828"/>
      <c r="D51" s="3829"/>
      <c r="E51" s="3830"/>
      <c r="F51" s="3110"/>
      <c r="G51" s="3111"/>
      <c r="H51" s="3111"/>
      <c r="I51" s="3111"/>
      <c r="J51" s="3111"/>
      <c r="K51" s="3111"/>
      <c r="L51" s="3111"/>
      <c r="M51" s="3111"/>
      <c r="N51" s="3111"/>
      <c r="O51" s="3111"/>
      <c r="P51" s="3111"/>
      <c r="Q51" s="3111"/>
      <c r="R51" s="3111"/>
      <c r="S51" s="3111"/>
      <c r="T51" s="3111"/>
      <c r="U51" s="3111"/>
      <c r="V51" s="3111"/>
      <c r="W51" s="3111"/>
      <c r="X51" s="3111"/>
      <c r="Y51" s="3111"/>
      <c r="Z51" s="3111"/>
      <c r="AA51" s="3111"/>
      <c r="AB51" s="3111"/>
      <c r="AC51" s="3111"/>
      <c r="AD51" s="3111"/>
      <c r="AE51" s="3111"/>
      <c r="AF51" s="3111"/>
      <c r="AG51" s="3111"/>
      <c r="AH51" s="3111"/>
      <c r="AI51" s="3111"/>
      <c r="AJ51" s="3111"/>
      <c r="AK51" s="3111"/>
      <c r="AL51" s="3111"/>
      <c r="AM51" s="3111"/>
      <c r="AN51" s="3111"/>
      <c r="AO51" s="3111"/>
      <c r="AP51" s="3111"/>
      <c r="AQ51" s="3111"/>
      <c r="AR51" s="3111"/>
      <c r="AS51" s="3111"/>
      <c r="AT51" s="3111"/>
      <c r="AU51" s="3111"/>
      <c r="AV51" s="3111"/>
      <c r="AW51" s="3111"/>
      <c r="AX51" s="3111"/>
      <c r="AY51" s="3111"/>
      <c r="AZ51" s="3111"/>
      <c r="BA51" s="3111"/>
      <c r="BB51" s="3111"/>
      <c r="BC51" s="3111"/>
      <c r="BD51" s="3111"/>
      <c r="BE51" s="3111"/>
      <c r="BF51" s="3111"/>
      <c r="BG51" s="3111"/>
      <c r="BH51" s="3111"/>
      <c r="BI51" s="3111"/>
      <c r="BJ51" s="3111"/>
      <c r="BK51" s="3111"/>
      <c r="BL51" s="3111"/>
      <c r="BM51" s="3111"/>
      <c r="BN51" s="3111"/>
      <c r="BO51" s="3111"/>
      <c r="BP51" s="3111"/>
      <c r="BQ51" s="3111"/>
      <c r="BR51" s="3111"/>
      <c r="BS51" s="3111"/>
      <c r="BT51" s="3111"/>
      <c r="BU51" s="3111"/>
      <c r="BV51" s="3111"/>
      <c r="BW51" s="1391"/>
      <c r="BX51" s="1392"/>
      <c r="BY51" s="1393"/>
      <c r="BZ51" s="822"/>
      <c r="CA51" s="822"/>
    </row>
    <row r="52" spans="3:79" ht="17.100000000000001" customHeight="1" x14ac:dyDescent="0.2">
      <c r="C52" s="3828"/>
      <c r="D52" s="3829"/>
      <c r="E52" s="3830"/>
      <c r="F52" s="3110"/>
      <c r="G52" s="3111"/>
      <c r="H52" s="3111"/>
      <c r="I52" s="3111"/>
      <c r="J52" s="3111"/>
      <c r="K52" s="3111"/>
      <c r="L52" s="3111"/>
      <c r="M52" s="3111"/>
      <c r="N52" s="3111"/>
      <c r="O52" s="3111"/>
      <c r="P52" s="3111"/>
      <c r="Q52" s="3111"/>
      <c r="R52" s="3111"/>
      <c r="S52" s="3111"/>
      <c r="T52" s="3111"/>
      <c r="U52" s="3111"/>
      <c r="V52" s="3111"/>
      <c r="W52" s="3111"/>
      <c r="X52" s="3111"/>
      <c r="Y52" s="3111"/>
      <c r="Z52" s="3111"/>
      <c r="AA52" s="3111"/>
      <c r="AB52" s="3111"/>
      <c r="AC52" s="3111"/>
      <c r="AD52" s="3111"/>
      <c r="AE52" s="3111"/>
      <c r="AF52" s="3111"/>
      <c r="AG52" s="3111"/>
      <c r="AH52" s="3111"/>
      <c r="AI52" s="3111"/>
      <c r="AJ52" s="3111"/>
      <c r="AK52" s="3111"/>
      <c r="AL52" s="3111"/>
      <c r="AM52" s="3111"/>
      <c r="AN52" s="3111"/>
      <c r="AO52" s="3111"/>
      <c r="AP52" s="3111"/>
      <c r="AQ52" s="3111"/>
      <c r="AR52" s="3111"/>
      <c r="AS52" s="3111"/>
      <c r="AT52" s="3111"/>
      <c r="AU52" s="3111"/>
      <c r="AV52" s="3111"/>
      <c r="AW52" s="3111"/>
      <c r="AX52" s="3111"/>
      <c r="AY52" s="3111"/>
      <c r="AZ52" s="3111"/>
      <c r="BA52" s="3111"/>
      <c r="BB52" s="3111"/>
      <c r="BC52" s="3111"/>
      <c r="BD52" s="3111"/>
      <c r="BE52" s="3111"/>
      <c r="BF52" s="3111"/>
      <c r="BG52" s="3111"/>
      <c r="BH52" s="3111"/>
      <c r="BI52" s="3111"/>
      <c r="BJ52" s="3111"/>
      <c r="BK52" s="3111"/>
      <c r="BL52" s="3111"/>
      <c r="BM52" s="3111"/>
      <c r="BN52" s="3111"/>
      <c r="BO52" s="3111"/>
      <c r="BP52" s="3111"/>
      <c r="BQ52" s="3111"/>
      <c r="BR52" s="3111"/>
      <c r="BS52" s="3111"/>
      <c r="BT52" s="3111"/>
      <c r="BU52" s="3111"/>
      <c r="BV52" s="3111"/>
      <c r="BW52" s="1391"/>
      <c r="BX52" s="1392"/>
      <c r="BY52" s="1393"/>
      <c r="BZ52" s="822"/>
      <c r="CA52" s="822"/>
    </row>
    <row r="53" spans="3:79" ht="17.100000000000001" customHeight="1" x14ac:dyDescent="0.2">
      <c r="C53" s="3828"/>
      <c r="D53" s="3829"/>
      <c r="E53" s="3830"/>
      <c r="F53" s="3110"/>
      <c r="G53" s="3111"/>
      <c r="H53" s="3111"/>
      <c r="I53" s="3111"/>
      <c r="J53" s="3111"/>
      <c r="K53" s="3111"/>
      <c r="L53" s="3111"/>
      <c r="M53" s="3111"/>
      <c r="N53" s="3111"/>
      <c r="O53" s="3111"/>
      <c r="P53" s="3111"/>
      <c r="Q53" s="3111"/>
      <c r="R53" s="3111"/>
      <c r="S53" s="3111"/>
      <c r="T53" s="3111"/>
      <c r="U53" s="3111"/>
      <c r="V53" s="3111"/>
      <c r="W53" s="3111"/>
      <c r="X53" s="3111"/>
      <c r="Y53" s="3111"/>
      <c r="Z53" s="3111"/>
      <c r="AA53" s="3111"/>
      <c r="AB53" s="3111"/>
      <c r="AC53" s="3111"/>
      <c r="AD53" s="3111"/>
      <c r="AE53" s="3111"/>
      <c r="AF53" s="3111"/>
      <c r="AG53" s="3111"/>
      <c r="AH53" s="3111"/>
      <c r="AI53" s="3111"/>
      <c r="AJ53" s="3111"/>
      <c r="AK53" s="3111"/>
      <c r="AL53" s="3111"/>
      <c r="AM53" s="3111"/>
      <c r="AN53" s="3111"/>
      <c r="AO53" s="3111"/>
      <c r="AP53" s="3111"/>
      <c r="AQ53" s="3111"/>
      <c r="AR53" s="3111"/>
      <c r="AS53" s="3111"/>
      <c r="AT53" s="3111"/>
      <c r="AU53" s="3111"/>
      <c r="AV53" s="3111"/>
      <c r="AW53" s="3111"/>
      <c r="AX53" s="3111"/>
      <c r="AY53" s="3111"/>
      <c r="AZ53" s="3111"/>
      <c r="BA53" s="3111"/>
      <c r="BB53" s="3111"/>
      <c r="BC53" s="3111"/>
      <c r="BD53" s="3111"/>
      <c r="BE53" s="3111"/>
      <c r="BF53" s="3111"/>
      <c r="BG53" s="3111"/>
      <c r="BH53" s="3111"/>
      <c r="BI53" s="3111"/>
      <c r="BJ53" s="3111"/>
      <c r="BK53" s="3111"/>
      <c r="BL53" s="3111"/>
      <c r="BM53" s="3111"/>
      <c r="BN53" s="3111"/>
      <c r="BO53" s="3111"/>
      <c r="BP53" s="3111"/>
      <c r="BQ53" s="3111"/>
      <c r="BR53" s="3111"/>
      <c r="BS53" s="3111"/>
      <c r="BT53" s="3111"/>
      <c r="BU53" s="3111"/>
      <c r="BV53" s="3111"/>
      <c r="BW53" s="1391"/>
      <c r="BX53" s="1392"/>
      <c r="BY53" s="1393"/>
      <c r="BZ53" s="822"/>
      <c r="CA53" s="822"/>
    </row>
    <row r="54" spans="3:79" ht="17.100000000000001" customHeight="1" x14ac:dyDescent="0.2">
      <c r="C54" s="3828"/>
      <c r="D54" s="3829"/>
      <c r="E54" s="3830"/>
      <c r="F54" s="3110"/>
      <c r="G54" s="3111"/>
      <c r="H54" s="3111"/>
      <c r="I54" s="3111"/>
      <c r="J54" s="3111"/>
      <c r="K54" s="3111"/>
      <c r="L54" s="3111"/>
      <c r="M54" s="3111"/>
      <c r="N54" s="3111"/>
      <c r="O54" s="3111"/>
      <c r="P54" s="3111"/>
      <c r="Q54" s="3111"/>
      <c r="R54" s="3111"/>
      <c r="S54" s="3111"/>
      <c r="T54" s="3111"/>
      <c r="U54" s="3111"/>
      <c r="V54" s="3111"/>
      <c r="W54" s="3111"/>
      <c r="X54" s="3111"/>
      <c r="Y54" s="3111"/>
      <c r="Z54" s="3111"/>
      <c r="AA54" s="3111"/>
      <c r="AB54" s="3111"/>
      <c r="AC54" s="3111"/>
      <c r="AD54" s="3111"/>
      <c r="AE54" s="3111"/>
      <c r="AF54" s="3111"/>
      <c r="AG54" s="3111"/>
      <c r="AH54" s="3111"/>
      <c r="AI54" s="3111"/>
      <c r="AJ54" s="3111"/>
      <c r="AK54" s="3111"/>
      <c r="AL54" s="3111"/>
      <c r="AM54" s="3111"/>
      <c r="AN54" s="3111"/>
      <c r="AO54" s="3111"/>
      <c r="AP54" s="3111"/>
      <c r="AQ54" s="3111"/>
      <c r="AR54" s="3111"/>
      <c r="AS54" s="3111"/>
      <c r="AT54" s="3111"/>
      <c r="AU54" s="3111"/>
      <c r="AV54" s="3111"/>
      <c r="AW54" s="3111"/>
      <c r="AX54" s="3111"/>
      <c r="AY54" s="3111"/>
      <c r="AZ54" s="3111"/>
      <c r="BA54" s="3111"/>
      <c r="BB54" s="3111"/>
      <c r="BC54" s="3111"/>
      <c r="BD54" s="3111"/>
      <c r="BE54" s="3111"/>
      <c r="BF54" s="3111"/>
      <c r="BG54" s="3111"/>
      <c r="BH54" s="3111"/>
      <c r="BI54" s="3111"/>
      <c r="BJ54" s="3111"/>
      <c r="BK54" s="3111"/>
      <c r="BL54" s="3111"/>
      <c r="BM54" s="3111"/>
      <c r="BN54" s="3111"/>
      <c r="BO54" s="3111"/>
      <c r="BP54" s="3111"/>
      <c r="BQ54" s="3111"/>
      <c r="BR54" s="3111"/>
      <c r="BS54" s="3111"/>
      <c r="BT54" s="3111"/>
      <c r="BU54" s="3111"/>
      <c r="BV54" s="3111"/>
      <c r="BW54" s="1391"/>
      <c r="BX54" s="1392"/>
      <c r="BY54" s="1393"/>
      <c r="BZ54" s="822"/>
      <c r="CA54" s="822"/>
    </row>
    <row r="55" spans="3:79" ht="17.100000000000001" customHeight="1" x14ac:dyDescent="0.2">
      <c r="C55" s="3828"/>
      <c r="D55" s="3829"/>
      <c r="E55" s="3830"/>
      <c r="F55" s="3110"/>
      <c r="G55" s="3111"/>
      <c r="H55" s="3111"/>
      <c r="I55" s="3111"/>
      <c r="J55" s="3111"/>
      <c r="K55" s="3111"/>
      <c r="L55" s="3111"/>
      <c r="M55" s="3111"/>
      <c r="N55" s="3111"/>
      <c r="O55" s="3111"/>
      <c r="P55" s="3111"/>
      <c r="Q55" s="3111"/>
      <c r="R55" s="3111"/>
      <c r="S55" s="3111"/>
      <c r="T55" s="3111"/>
      <c r="U55" s="3111"/>
      <c r="V55" s="3111"/>
      <c r="W55" s="3111"/>
      <c r="X55" s="3111"/>
      <c r="Y55" s="3111"/>
      <c r="Z55" s="3111"/>
      <c r="AA55" s="3111"/>
      <c r="AB55" s="3111"/>
      <c r="AC55" s="3111"/>
      <c r="AD55" s="3111"/>
      <c r="AE55" s="3111"/>
      <c r="AF55" s="3111"/>
      <c r="AG55" s="3111"/>
      <c r="AH55" s="3111"/>
      <c r="AI55" s="3111"/>
      <c r="AJ55" s="3111"/>
      <c r="AK55" s="3111"/>
      <c r="AL55" s="3111"/>
      <c r="AM55" s="3111"/>
      <c r="AN55" s="3111"/>
      <c r="AO55" s="3111"/>
      <c r="AP55" s="3111"/>
      <c r="AQ55" s="3111"/>
      <c r="AR55" s="3111"/>
      <c r="AS55" s="3111"/>
      <c r="AT55" s="3111"/>
      <c r="AU55" s="3111"/>
      <c r="AV55" s="3111"/>
      <c r="AW55" s="3111"/>
      <c r="AX55" s="3111"/>
      <c r="AY55" s="3111"/>
      <c r="AZ55" s="3111"/>
      <c r="BA55" s="3111"/>
      <c r="BB55" s="3111"/>
      <c r="BC55" s="3111"/>
      <c r="BD55" s="3111"/>
      <c r="BE55" s="3111"/>
      <c r="BF55" s="3111"/>
      <c r="BG55" s="3111"/>
      <c r="BH55" s="3111"/>
      <c r="BI55" s="3111"/>
      <c r="BJ55" s="3111"/>
      <c r="BK55" s="3111"/>
      <c r="BL55" s="3111"/>
      <c r="BM55" s="3111"/>
      <c r="BN55" s="3111"/>
      <c r="BO55" s="3111"/>
      <c r="BP55" s="3111"/>
      <c r="BQ55" s="3111"/>
      <c r="BR55" s="3111"/>
      <c r="BS55" s="3111"/>
      <c r="BT55" s="3111"/>
      <c r="BU55" s="3111"/>
      <c r="BV55" s="3111"/>
      <c r="BW55" s="1391"/>
      <c r="BX55" s="1392"/>
      <c r="BY55" s="1393"/>
      <c r="BZ55" s="822"/>
      <c r="CA55" s="822"/>
    </row>
    <row r="56" spans="3:79" ht="17.100000000000001" customHeight="1" x14ac:dyDescent="0.2">
      <c r="C56" s="3828"/>
      <c r="D56" s="3829"/>
      <c r="E56" s="3830"/>
      <c r="F56" s="3110"/>
      <c r="G56" s="3111"/>
      <c r="H56" s="3111"/>
      <c r="I56" s="3111"/>
      <c r="J56" s="3111"/>
      <c r="K56" s="3111"/>
      <c r="L56" s="3111"/>
      <c r="M56" s="3111"/>
      <c r="N56" s="3111"/>
      <c r="O56" s="3111"/>
      <c r="P56" s="3111"/>
      <c r="Q56" s="3111"/>
      <c r="R56" s="3111"/>
      <c r="S56" s="3111"/>
      <c r="T56" s="3111"/>
      <c r="U56" s="3111"/>
      <c r="V56" s="3111"/>
      <c r="W56" s="3111"/>
      <c r="X56" s="3111"/>
      <c r="Y56" s="3111"/>
      <c r="Z56" s="3111"/>
      <c r="AA56" s="3111"/>
      <c r="AB56" s="3111"/>
      <c r="AC56" s="3111"/>
      <c r="AD56" s="3111"/>
      <c r="AE56" s="3111"/>
      <c r="AF56" s="3111"/>
      <c r="AG56" s="3111"/>
      <c r="AH56" s="3111"/>
      <c r="AI56" s="3111"/>
      <c r="AJ56" s="3111"/>
      <c r="AK56" s="3111"/>
      <c r="AL56" s="3111"/>
      <c r="AM56" s="3111"/>
      <c r="AN56" s="3111"/>
      <c r="AO56" s="3111"/>
      <c r="AP56" s="3111"/>
      <c r="AQ56" s="3111"/>
      <c r="AR56" s="3111"/>
      <c r="AS56" s="3111"/>
      <c r="AT56" s="3111"/>
      <c r="AU56" s="3111"/>
      <c r="AV56" s="3111"/>
      <c r="AW56" s="3111"/>
      <c r="AX56" s="3111"/>
      <c r="AY56" s="3111"/>
      <c r="AZ56" s="3111"/>
      <c r="BA56" s="3111"/>
      <c r="BB56" s="3111"/>
      <c r="BC56" s="3111"/>
      <c r="BD56" s="3111"/>
      <c r="BE56" s="3111"/>
      <c r="BF56" s="3111"/>
      <c r="BG56" s="3111"/>
      <c r="BH56" s="3111"/>
      <c r="BI56" s="3111"/>
      <c r="BJ56" s="3111"/>
      <c r="BK56" s="3111"/>
      <c r="BL56" s="3111"/>
      <c r="BM56" s="3111"/>
      <c r="BN56" s="3111"/>
      <c r="BO56" s="3111"/>
      <c r="BP56" s="3111"/>
      <c r="BQ56" s="3111"/>
      <c r="BR56" s="3111"/>
      <c r="BS56" s="3111"/>
      <c r="BT56" s="3111"/>
      <c r="BU56" s="3111"/>
      <c r="BV56" s="3111"/>
      <c r="BW56" s="1391"/>
      <c r="BX56" s="1392"/>
      <c r="BY56" s="1393"/>
      <c r="BZ56" s="822"/>
      <c r="CA56" s="822"/>
    </row>
    <row r="57" spans="3:79" ht="17.100000000000001" customHeight="1" x14ac:dyDescent="0.2">
      <c r="C57" s="3828"/>
      <c r="D57" s="3829"/>
      <c r="E57" s="3830"/>
      <c r="F57" s="3110"/>
      <c r="G57" s="3111"/>
      <c r="H57" s="3111"/>
      <c r="I57" s="3111"/>
      <c r="J57" s="3111"/>
      <c r="K57" s="3111"/>
      <c r="L57" s="3111"/>
      <c r="M57" s="3111"/>
      <c r="N57" s="3111"/>
      <c r="O57" s="3111"/>
      <c r="P57" s="3111"/>
      <c r="Q57" s="3111"/>
      <c r="R57" s="3111"/>
      <c r="S57" s="3111"/>
      <c r="T57" s="3111"/>
      <c r="U57" s="3111"/>
      <c r="V57" s="3111"/>
      <c r="W57" s="3111"/>
      <c r="X57" s="3111"/>
      <c r="Y57" s="3111"/>
      <c r="Z57" s="3111"/>
      <c r="AA57" s="3111"/>
      <c r="AB57" s="3111"/>
      <c r="AC57" s="3111"/>
      <c r="AD57" s="3111"/>
      <c r="AE57" s="3111"/>
      <c r="AF57" s="3111"/>
      <c r="AG57" s="3111"/>
      <c r="AH57" s="3111"/>
      <c r="AI57" s="3111"/>
      <c r="AJ57" s="3111"/>
      <c r="AK57" s="3111"/>
      <c r="AL57" s="3111"/>
      <c r="AM57" s="3111"/>
      <c r="AN57" s="3111"/>
      <c r="AO57" s="3111"/>
      <c r="AP57" s="3111"/>
      <c r="AQ57" s="3111"/>
      <c r="AR57" s="3111"/>
      <c r="AS57" s="3111"/>
      <c r="AT57" s="3111"/>
      <c r="AU57" s="3111"/>
      <c r="AV57" s="3111"/>
      <c r="AW57" s="3111"/>
      <c r="AX57" s="3111"/>
      <c r="AY57" s="3111"/>
      <c r="AZ57" s="3111"/>
      <c r="BA57" s="3111"/>
      <c r="BB57" s="3111"/>
      <c r="BC57" s="3111"/>
      <c r="BD57" s="3111"/>
      <c r="BE57" s="3111"/>
      <c r="BF57" s="3111"/>
      <c r="BG57" s="3111"/>
      <c r="BH57" s="3111"/>
      <c r="BI57" s="3111"/>
      <c r="BJ57" s="3111"/>
      <c r="BK57" s="3111"/>
      <c r="BL57" s="3111"/>
      <c r="BM57" s="3111"/>
      <c r="BN57" s="3111"/>
      <c r="BO57" s="3111"/>
      <c r="BP57" s="3111"/>
      <c r="BQ57" s="3111"/>
      <c r="BR57" s="3111"/>
      <c r="BS57" s="3111"/>
      <c r="BT57" s="3111"/>
      <c r="BU57" s="3111"/>
      <c r="BV57" s="3111"/>
      <c r="BW57" s="1391"/>
      <c r="BX57" s="1392"/>
      <c r="BY57" s="1393"/>
      <c r="BZ57" s="822"/>
      <c r="CA57" s="822"/>
    </row>
    <row r="58" spans="3:79" ht="17.100000000000001" customHeight="1" x14ac:dyDescent="0.2">
      <c r="C58" s="3828"/>
      <c r="D58" s="3829"/>
      <c r="E58" s="3830"/>
      <c r="F58" s="3110"/>
      <c r="G58" s="3111"/>
      <c r="H58" s="3111"/>
      <c r="I58" s="3111"/>
      <c r="J58" s="3111"/>
      <c r="K58" s="3111"/>
      <c r="L58" s="3111"/>
      <c r="M58" s="3111"/>
      <c r="N58" s="3111"/>
      <c r="O58" s="3111"/>
      <c r="P58" s="3111"/>
      <c r="Q58" s="3111"/>
      <c r="R58" s="3111"/>
      <c r="S58" s="3111"/>
      <c r="T58" s="3111"/>
      <c r="U58" s="3111"/>
      <c r="V58" s="3111"/>
      <c r="W58" s="3111"/>
      <c r="X58" s="3111"/>
      <c r="Y58" s="3111"/>
      <c r="Z58" s="3111"/>
      <c r="AA58" s="3111"/>
      <c r="AB58" s="3111"/>
      <c r="AC58" s="3111"/>
      <c r="AD58" s="3111"/>
      <c r="AE58" s="3111"/>
      <c r="AF58" s="3111"/>
      <c r="AG58" s="3111"/>
      <c r="AH58" s="3111"/>
      <c r="AI58" s="3111"/>
      <c r="AJ58" s="3111"/>
      <c r="AK58" s="3111"/>
      <c r="AL58" s="3111"/>
      <c r="AM58" s="3111"/>
      <c r="AN58" s="3111"/>
      <c r="AO58" s="3111"/>
      <c r="AP58" s="3111"/>
      <c r="AQ58" s="3111"/>
      <c r="AR58" s="3111"/>
      <c r="AS58" s="3111"/>
      <c r="AT58" s="3111"/>
      <c r="AU58" s="3111"/>
      <c r="AV58" s="3111"/>
      <c r="AW58" s="3111"/>
      <c r="AX58" s="3111"/>
      <c r="AY58" s="3111"/>
      <c r="AZ58" s="3111"/>
      <c r="BA58" s="3111"/>
      <c r="BB58" s="3111"/>
      <c r="BC58" s="3111"/>
      <c r="BD58" s="3111"/>
      <c r="BE58" s="3111"/>
      <c r="BF58" s="3111"/>
      <c r="BG58" s="3111"/>
      <c r="BH58" s="3111"/>
      <c r="BI58" s="3111"/>
      <c r="BJ58" s="3111"/>
      <c r="BK58" s="3111"/>
      <c r="BL58" s="3111"/>
      <c r="BM58" s="3111"/>
      <c r="BN58" s="3111"/>
      <c r="BO58" s="3111"/>
      <c r="BP58" s="3111"/>
      <c r="BQ58" s="3111"/>
      <c r="BR58" s="3111"/>
      <c r="BS58" s="3111"/>
      <c r="BT58" s="3111"/>
      <c r="BU58" s="3111"/>
      <c r="BV58" s="3111"/>
      <c r="BW58" s="1391"/>
      <c r="BX58" s="1392"/>
      <c r="BY58" s="1393"/>
      <c r="BZ58" s="822"/>
      <c r="CA58" s="822"/>
    </row>
    <row r="59" spans="3:79" ht="17.100000000000001" customHeight="1" x14ac:dyDescent="0.2">
      <c r="C59" s="3828"/>
      <c r="D59" s="3829"/>
      <c r="E59" s="3830"/>
      <c r="F59" s="3110"/>
      <c r="G59" s="3111"/>
      <c r="H59" s="3111"/>
      <c r="I59" s="3111"/>
      <c r="J59" s="3111"/>
      <c r="K59" s="3111"/>
      <c r="L59" s="3111"/>
      <c r="M59" s="3111"/>
      <c r="N59" s="3111"/>
      <c r="O59" s="3111"/>
      <c r="P59" s="3111"/>
      <c r="Q59" s="3111"/>
      <c r="R59" s="3111"/>
      <c r="S59" s="3111"/>
      <c r="T59" s="3111"/>
      <c r="U59" s="3111"/>
      <c r="V59" s="3111"/>
      <c r="W59" s="3111"/>
      <c r="X59" s="3111"/>
      <c r="Y59" s="3111"/>
      <c r="Z59" s="3111"/>
      <c r="AA59" s="3111"/>
      <c r="AB59" s="3111"/>
      <c r="AC59" s="3111"/>
      <c r="AD59" s="3111"/>
      <c r="AE59" s="3111"/>
      <c r="AF59" s="3111"/>
      <c r="AG59" s="3111"/>
      <c r="AH59" s="3111"/>
      <c r="AI59" s="3111"/>
      <c r="AJ59" s="3111"/>
      <c r="AK59" s="3111"/>
      <c r="AL59" s="3111"/>
      <c r="AM59" s="3111"/>
      <c r="AN59" s="3111"/>
      <c r="AO59" s="3111"/>
      <c r="AP59" s="3111"/>
      <c r="AQ59" s="3111"/>
      <c r="AR59" s="3111"/>
      <c r="AS59" s="3111"/>
      <c r="AT59" s="3111"/>
      <c r="AU59" s="3111"/>
      <c r="AV59" s="3111"/>
      <c r="AW59" s="3111"/>
      <c r="AX59" s="3111"/>
      <c r="AY59" s="3111"/>
      <c r="AZ59" s="3111"/>
      <c r="BA59" s="3111"/>
      <c r="BB59" s="3111"/>
      <c r="BC59" s="3111"/>
      <c r="BD59" s="3111"/>
      <c r="BE59" s="3111"/>
      <c r="BF59" s="3111"/>
      <c r="BG59" s="3111"/>
      <c r="BH59" s="3111"/>
      <c r="BI59" s="3111"/>
      <c r="BJ59" s="3111"/>
      <c r="BK59" s="3111"/>
      <c r="BL59" s="3111"/>
      <c r="BM59" s="3111"/>
      <c r="BN59" s="3111"/>
      <c r="BO59" s="3111"/>
      <c r="BP59" s="3111"/>
      <c r="BQ59" s="3111"/>
      <c r="BR59" s="3111"/>
      <c r="BS59" s="3111"/>
      <c r="BT59" s="3111"/>
      <c r="BU59" s="3111"/>
      <c r="BV59" s="3111"/>
      <c r="BW59" s="1391"/>
      <c r="BX59" s="1392"/>
      <c r="BY59" s="1393"/>
      <c r="BZ59" s="822"/>
      <c r="CA59" s="822"/>
    </row>
    <row r="60" spans="3:79" ht="17.100000000000001" customHeight="1" x14ac:dyDescent="0.2">
      <c r="C60" s="3828"/>
      <c r="D60" s="3829"/>
      <c r="E60" s="3830"/>
      <c r="F60" s="3110"/>
      <c r="G60" s="3111"/>
      <c r="H60" s="3111"/>
      <c r="I60" s="3111"/>
      <c r="J60" s="3111"/>
      <c r="K60" s="3111"/>
      <c r="L60" s="3111"/>
      <c r="M60" s="3111"/>
      <c r="N60" s="3111"/>
      <c r="O60" s="3111"/>
      <c r="P60" s="3111"/>
      <c r="Q60" s="3111"/>
      <c r="R60" s="3111"/>
      <c r="S60" s="3111"/>
      <c r="T60" s="3111"/>
      <c r="U60" s="3111"/>
      <c r="V60" s="3111"/>
      <c r="W60" s="3111"/>
      <c r="X60" s="3111"/>
      <c r="Y60" s="3111"/>
      <c r="Z60" s="3111"/>
      <c r="AA60" s="3111"/>
      <c r="AB60" s="3111"/>
      <c r="AC60" s="3111"/>
      <c r="AD60" s="3111"/>
      <c r="AE60" s="3111"/>
      <c r="AF60" s="3111"/>
      <c r="AG60" s="3111"/>
      <c r="AH60" s="3111"/>
      <c r="AI60" s="3111"/>
      <c r="AJ60" s="3111"/>
      <c r="AK60" s="3111"/>
      <c r="AL60" s="3111"/>
      <c r="AM60" s="3111"/>
      <c r="AN60" s="3111"/>
      <c r="AO60" s="3111"/>
      <c r="AP60" s="3111"/>
      <c r="AQ60" s="3111"/>
      <c r="AR60" s="3111"/>
      <c r="AS60" s="3111"/>
      <c r="AT60" s="3111"/>
      <c r="AU60" s="3111"/>
      <c r="AV60" s="3111"/>
      <c r="AW60" s="3111"/>
      <c r="AX60" s="3111"/>
      <c r="AY60" s="3111"/>
      <c r="AZ60" s="3111"/>
      <c r="BA60" s="3111"/>
      <c r="BB60" s="3111"/>
      <c r="BC60" s="3111"/>
      <c r="BD60" s="3111"/>
      <c r="BE60" s="3111"/>
      <c r="BF60" s="3111"/>
      <c r="BG60" s="3111"/>
      <c r="BH60" s="3111"/>
      <c r="BI60" s="3111"/>
      <c r="BJ60" s="3111"/>
      <c r="BK60" s="3111"/>
      <c r="BL60" s="3111"/>
      <c r="BM60" s="3111"/>
      <c r="BN60" s="3111"/>
      <c r="BO60" s="3111"/>
      <c r="BP60" s="3111"/>
      <c r="BQ60" s="3111"/>
      <c r="BR60" s="3111"/>
      <c r="BS60" s="3111"/>
      <c r="BT60" s="3111"/>
      <c r="BU60" s="3111"/>
      <c r="BV60" s="3111"/>
      <c r="BW60" s="1391"/>
      <c r="BX60" s="1392"/>
      <c r="BY60" s="1393"/>
      <c r="BZ60" s="822"/>
      <c r="CA60" s="822"/>
    </row>
    <row r="61" spans="3:79" ht="17.100000000000001" customHeight="1" x14ac:dyDescent="0.2">
      <c r="C61" s="3828"/>
      <c r="D61" s="3829"/>
      <c r="E61" s="3830"/>
      <c r="F61" s="3110"/>
      <c r="G61" s="3111"/>
      <c r="H61" s="3111"/>
      <c r="I61" s="3111"/>
      <c r="J61" s="3111"/>
      <c r="K61" s="3111"/>
      <c r="L61" s="3111"/>
      <c r="M61" s="3111"/>
      <c r="N61" s="3111"/>
      <c r="O61" s="3111"/>
      <c r="P61" s="3111"/>
      <c r="Q61" s="3111"/>
      <c r="R61" s="3111"/>
      <c r="S61" s="3111"/>
      <c r="T61" s="3111"/>
      <c r="U61" s="3111"/>
      <c r="V61" s="3111"/>
      <c r="W61" s="3111"/>
      <c r="X61" s="3111"/>
      <c r="Y61" s="3111"/>
      <c r="Z61" s="3111"/>
      <c r="AA61" s="3111"/>
      <c r="AB61" s="3111"/>
      <c r="AC61" s="3111"/>
      <c r="AD61" s="3111"/>
      <c r="AE61" s="3111"/>
      <c r="AF61" s="3111"/>
      <c r="AG61" s="3111"/>
      <c r="AH61" s="3111"/>
      <c r="AI61" s="3111"/>
      <c r="AJ61" s="3111"/>
      <c r="AK61" s="3111"/>
      <c r="AL61" s="3111"/>
      <c r="AM61" s="3111"/>
      <c r="AN61" s="3111"/>
      <c r="AO61" s="3111"/>
      <c r="AP61" s="3111"/>
      <c r="AQ61" s="3111"/>
      <c r="AR61" s="3111"/>
      <c r="AS61" s="3111"/>
      <c r="AT61" s="3111"/>
      <c r="AU61" s="3111"/>
      <c r="AV61" s="3111"/>
      <c r="AW61" s="3111"/>
      <c r="AX61" s="3111"/>
      <c r="AY61" s="3111"/>
      <c r="AZ61" s="3111"/>
      <c r="BA61" s="3111"/>
      <c r="BB61" s="3111"/>
      <c r="BC61" s="3111"/>
      <c r="BD61" s="3111"/>
      <c r="BE61" s="3111"/>
      <c r="BF61" s="3111"/>
      <c r="BG61" s="3111"/>
      <c r="BH61" s="3111"/>
      <c r="BI61" s="3111"/>
      <c r="BJ61" s="3111"/>
      <c r="BK61" s="3111"/>
      <c r="BL61" s="3111"/>
      <c r="BM61" s="3111"/>
      <c r="BN61" s="3111"/>
      <c r="BO61" s="3111"/>
      <c r="BP61" s="3111"/>
      <c r="BQ61" s="3111"/>
      <c r="BR61" s="3111"/>
      <c r="BS61" s="3111"/>
      <c r="BT61" s="3111"/>
      <c r="BU61" s="3111"/>
      <c r="BV61" s="3111"/>
      <c r="BW61" s="1391"/>
      <c r="BX61" s="1392"/>
      <c r="BY61" s="1393"/>
      <c r="BZ61" s="822"/>
      <c r="CA61" s="822"/>
    </row>
    <row r="62" spans="3:79" ht="17.100000000000001" customHeight="1" x14ac:dyDescent="0.2">
      <c r="C62" s="3828"/>
      <c r="D62" s="3829"/>
      <c r="E62" s="3830"/>
      <c r="F62" s="3110"/>
      <c r="G62" s="3111"/>
      <c r="H62" s="3111"/>
      <c r="I62" s="3111"/>
      <c r="J62" s="3111"/>
      <c r="K62" s="3111"/>
      <c r="L62" s="3111"/>
      <c r="M62" s="3111"/>
      <c r="N62" s="3111"/>
      <c r="O62" s="3111"/>
      <c r="P62" s="3111"/>
      <c r="Q62" s="3111"/>
      <c r="R62" s="3111"/>
      <c r="S62" s="3111"/>
      <c r="T62" s="3111"/>
      <c r="U62" s="3111"/>
      <c r="V62" s="3111"/>
      <c r="W62" s="3111"/>
      <c r="X62" s="3111"/>
      <c r="Y62" s="3111"/>
      <c r="Z62" s="3111"/>
      <c r="AA62" s="3111"/>
      <c r="AB62" s="3111"/>
      <c r="AC62" s="3111"/>
      <c r="AD62" s="3111"/>
      <c r="AE62" s="3111"/>
      <c r="AF62" s="3111"/>
      <c r="AG62" s="3111"/>
      <c r="AH62" s="3111"/>
      <c r="AI62" s="3111"/>
      <c r="AJ62" s="3111"/>
      <c r="AK62" s="3111"/>
      <c r="AL62" s="3111"/>
      <c r="AM62" s="3111"/>
      <c r="AN62" s="3111"/>
      <c r="AO62" s="3111"/>
      <c r="AP62" s="3111"/>
      <c r="AQ62" s="3111"/>
      <c r="AR62" s="3111"/>
      <c r="AS62" s="3111"/>
      <c r="AT62" s="3111"/>
      <c r="AU62" s="3111"/>
      <c r="AV62" s="3111"/>
      <c r="AW62" s="3111"/>
      <c r="AX62" s="3111"/>
      <c r="AY62" s="3111"/>
      <c r="AZ62" s="3111"/>
      <c r="BA62" s="3111"/>
      <c r="BB62" s="3111"/>
      <c r="BC62" s="3111"/>
      <c r="BD62" s="3111"/>
      <c r="BE62" s="3111"/>
      <c r="BF62" s="3111"/>
      <c r="BG62" s="3111"/>
      <c r="BH62" s="3111"/>
      <c r="BI62" s="3111"/>
      <c r="BJ62" s="3111"/>
      <c r="BK62" s="3111"/>
      <c r="BL62" s="3111"/>
      <c r="BM62" s="3111"/>
      <c r="BN62" s="3111"/>
      <c r="BO62" s="3111"/>
      <c r="BP62" s="3111"/>
      <c r="BQ62" s="3111"/>
      <c r="BR62" s="3111"/>
      <c r="BS62" s="3111"/>
      <c r="BT62" s="3111"/>
      <c r="BU62" s="3111"/>
      <c r="BV62" s="3111"/>
      <c r="BW62" s="1391"/>
      <c r="BX62" s="1392"/>
      <c r="BY62" s="1393"/>
      <c r="BZ62" s="822"/>
      <c r="CA62" s="822"/>
    </row>
    <row r="63" spans="3:79" ht="17.100000000000001" customHeight="1" x14ac:dyDescent="0.2">
      <c r="C63" s="3828"/>
      <c r="D63" s="3829"/>
      <c r="E63" s="3830"/>
      <c r="F63" s="3110"/>
      <c r="G63" s="3111"/>
      <c r="H63" s="3111"/>
      <c r="I63" s="3111"/>
      <c r="J63" s="3111"/>
      <c r="K63" s="3111"/>
      <c r="L63" s="3111"/>
      <c r="M63" s="3111"/>
      <c r="N63" s="3111"/>
      <c r="O63" s="3111"/>
      <c r="P63" s="3111"/>
      <c r="Q63" s="3111"/>
      <c r="R63" s="3111"/>
      <c r="S63" s="3111"/>
      <c r="T63" s="3111"/>
      <c r="U63" s="3111"/>
      <c r="V63" s="3111"/>
      <c r="W63" s="3111"/>
      <c r="X63" s="3111"/>
      <c r="Y63" s="3111"/>
      <c r="Z63" s="3111"/>
      <c r="AA63" s="3111"/>
      <c r="AB63" s="3111"/>
      <c r="AC63" s="3111"/>
      <c r="AD63" s="3111"/>
      <c r="AE63" s="3111"/>
      <c r="AF63" s="3111"/>
      <c r="AG63" s="3111"/>
      <c r="AH63" s="3111"/>
      <c r="AI63" s="3111"/>
      <c r="AJ63" s="3111"/>
      <c r="AK63" s="3111"/>
      <c r="AL63" s="3111"/>
      <c r="AM63" s="3111"/>
      <c r="AN63" s="3111"/>
      <c r="AO63" s="3111"/>
      <c r="AP63" s="3111"/>
      <c r="AQ63" s="3111"/>
      <c r="AR63" s="3111"/>
      <c r="AS63" s="3111"/>
      <c r="AT63" s="3111"/>
      <c r="AU63" s="3111"/>
      <c r="AV63" s="3111"/>
      <c r="AW63" s="3111"/>
      <c r="AX63" s="3111"/>
      <c r="AY63" s="3111"/>
      <c r="AZ63" s="3111"/>
      <c r="BA63" s="3111"/>
      <c r="BB63" s="3111"/>
      <c r="BC63" s="3111"/>
      <c r="BD63" s="3111"/>
      <c r="BE63" s="3111"/>
      <c r="BF63" s="3111"/>
      <c r="BG63" s="3111"/>
      <c r="BH63" s="3111"/>
      <c r="BI63" s="3111"/>
      <c r="BJ63" s="3111"/>
      <c r="BK63" s="3111"/>
      <c r="BL63" s="3111"/>
      <c r="BM63" s="3111"/>
      <c r="BN63" s="3111"/>
      <c r="BO63" s="3111"/>
      <c r="BP63" s="3111"/>
      <c r="BQ63" s="3111"/>
      <c r="BR63" s="3111"/>
      <c r="BS63" s="3111"/>
      <c r="BT63" s="3111"/>
      <c r="BU63" s="3111"/>
      <c r="BV63" s="3111"/>
      <c r="BW63" s="1391"/>
      <c r="BX63" s="1392"/>
      <c r="BY63" s="1393"/>
      <c r="BZ63" s="822"/>
      <c r="CA63" s="822"/>
    </row>
    <row r="64" spans="3:79" ht="17.100000000000001" customHeight="1" x14ac:dyDescent="0.2">
      <c r="C64" s="3828"/>
      <c r="D64" s="3829"/>
      <c r="E64" s="3830"/>
      <c r="F64" s="3110"/>
      <c r="G64" s="3111"/>
      <c r="H64" s="3111"/>
      <c r="I64" s="3111"/>
      <c r="J64" s="3111"/>
      <c r="K64" s="3111"/>
      <c r="L64" s="3111"/>
      <c r="M64" s="3111"/>
      <c r="N64" s="3111"/>
      <c r="O64" s="3111"/>
      <c r="P64" s="3111"/>
      <c r="Q64" s="3111"/>
      <c r="R64" s="3111"/>
      <c r="S64" s="3111"/>
      <c r="T64" s="3111"/>
      <c r="U64" s="3111"/>
      <c r="V64" s="3111"/>
      <c r="W64" s="3111"/>
      <c r="X64" s="3111"/>
      <c r="Y64" s="3111"/>
      <c r="Z64" s="3111"/>
      <c r="AA64" s="3111"/>
      <c r="AB64" s="3111"/>
      <c r="AC64" s="3111"/>
      <c r="AD64" s="3111"/>
      <c r="AE64" s="3111"/>
      <c r="AF64" s="3111"/>
      <c r="AG64" s="3111"/>
      <c r="AH64" s="3111"/>
      <c r="AI64" s="3111"/>
      <c r="AJ64" s="3111"/>
      <c r="AK64" s="3111"/>
      <c r="AL64" s="3111"/>
      <c r="AM64" s="3111"/>
      <c r="AN64" s="3111"/>
      <c r="AO64" s="3111"/>
      <c r="AP64" s="3111"/>
      <c r="AQ64" s="3111"/>
      <c r="AR64" s="3111"/>
      <c r="AS64" s="3111"/>
      <c r="AT64" s="3111"/>
      <c r="AU64" s="3111"/>
      <c r="AV64" s="3111"/>
      <c r="AW64" s="3111"/>
      <c r="AX64" s="3111"/>
      <c r="AY64" s="3111"/>
      <c r="AZ64" s="3111"/>
      <c r="BA64" s="3111"/>
      <c r="BB64" s="3111"/>
      <c r="BC64" s="3111"/>
      <c r="BD64" s="3111"/>
      <c r="BE64" s="3111"/>
      <c r="BF64" s="3111"/>
      <c r="BG64" s="3111"/>
      <c r="BH64" s="3111"/>
      <c r="BI64" s="3111"/>
      <c r="BJ64" s="3111"/>
      <c r="BK64" s="3111"/>
      <c r="BL64" s="3111"/>
      <c r="BM64" s="3111"/>
      <c r="BN64" s="3111"/>
      <c r="BO64" s="3111"/>
      <c r="BP64" s="3111"/>
      <c r="BQ64" s="3111"/>
      <c r="BR64" s="3111"/>
      <c r="BS64" s="3111"/>
      <c r="BT64" s="3111"/>
      <c r="BU64" s="3111"/>
      <c r="BV64" s="3111"/>
      <c r="BW64" s="1391"/>
      <c r="BX64" s="1392"/>
      <c r="BY64" s="1393"/>
      <c r="BZ64" s="822"/>
      <c r="CA64" s="822"/>
    </row>
    <row r="65" spans="3:79" ht="17.100000000000001" customHeight="1" x14ac:dyDescent="0.2">
      <c r="C65" s="3828"/>
      <c r="D65" s="3829"/>
      <c r="E65" s="3830"/>
      <c r="F65" s="3110"/>
      <c r="G65" s="3111"/>
      <c r="H65" s="3111"/>
      <c r="I65" s="3111"/>
      <c r="J65" s="3111"/>
      <c r="K65" s="3111"/>
      <c r="L65" s="3111"/>
      <c r="M65" s="3111"/>
      <c r="N65" s="3111"/>
      <c r="O65" s="3111"/>
      <c r="P65" s="3111"/>
      <c r="Q65" s="3111"/>
      <c r="R65" s="3111"/>
      <c r="S65" s="3111"/>
      <c r="T65" s="3111"/>
      <c r="U65" s="3111"/>
      <c r="V65" s="3111"/>
      <c r="W65" s="3111"/>
      <c r="X65" s="3111"/>
      <c r="Y65" s="3111"/>
      <c r="Z65" s="3111"/>
      <c r="AA65" s="3111"/>
      <c r="AB65" s="3111"/>
      <c r="AC65" s="3111"/>
      <c r="AD65" s="3111"/>
      <c r="AE65" s="3111"/>
      <c r="AF65" s="3111"/>
      <c r="AG65" s="3111"/>
      <c r="AH65" s="3111"/>
      <c r="AI65" s="3111"/>
      <c r="AJ65" s="3111"/>
      <c r="AK65" s="3111"/>
      <c r="AL65" s="3111"/>
      <c r="AM65" s="3111"/>
      <c r="AN65" s="3111"/>
      <c r="AO65" s="3111"/>
      <c r="AP65" s="3111"/>
      <c r="AQ65" s="3111"/>
      <c r="AR65" s="3111"/>
      <c r="AS65" s="3111"/>
      <c r="AT65" s="3111"/>
      <c r="AU65" s="3111"/>
      <c r="AV65" s="3111"/>
      <c r="AW65" s="3111"/>
      <c r="AX65" s="3111"/>
      <c r="AY65" s="3111"/>
      <c r="AZ65" s="3111"/>
      <c r="BA65" s="3111"/>
      <c r="BB65" s="3111"/>
      <c r="BC65" s="3111"/>
      <c r="BD65" s="3111"/>
      <c r="BE65" s="3111"/>
      <c r="BF65" s="3111"/>
      <c r="BG65" s="3111"/>
      <c r="BH65" s="3111"/>
      <c r="BI65" s="3111"/>
      <c r="BJ65" s="3111"/>
      <c r="BK65" s="3111"/>
      <c r="BL65" s="3111"/>
      <c r="BM65" s="3111"/>
      <c r="BN65" s="3111"/>
      <c r="BO65" s="3111"/>
      <c r="BP65" s="3111"/>
      <c r="BQ65" s="3111"/>
      <c r="BR65" s="3111"/>
      <c r="BS65" s="3111"/>
      <c r="BT65" s="3111"/>
      <c r="BU65" s="3111"/>
      <c r="BV65" s="3111"/>
      <c r="BW65" s="1391"/>
      <c r="BX65" s="1392"/>
      <c r="BY65" s="1393"/>
      <c r="BZ65" s="822"/>
      <c r="CA65" s="822"/>
    </row>
    <row r="66" spans="3:79" ht="17.100000000000001" customHeight="1" x14ac:dyDescent="0.2">
      <c r="C66" s="3828"/>
      <c r="D66" s="3829"/>
      <c r="E66" s="3830"/>
      <c r="F66" s="3110"/>
      <c r="G66" s="3111"/>
      <c r="H66" s="3111"/>
      <c r="I66" s="3111"/>
      <c r="J66" s="3111"/>
      <c r="K66" s="3111"/>
      <c r="L66" s="3111"/>
      <c r="M66" s="3111"/>
      <c r="N66" s="3111"/>
      <c r="O66" s="3111"/>
      <c r="P66" s="3111"/>
      <c r="Q66" s="3111"/>
      <c r="R66" s="3111"/>
      <c r="S66" s="3111"/>
      <c r="T66" s="3111"/>
      <c r="U66" s="3111"/>
      <c r="V66" s="3111"/>
      <c r="W66" s="3111"/>
      <c r="X66" s="3111"/>
      <c r="Y66" s="3111"/>
      <c r="Z66" s="3111"/>
      <c r="AA66" s="3111"/>
      <c r="AB66" s="3111"/>
      <c r="AC66" s="3111"/>
      <c r="AD66" s="3111"/>
      <c r="AE66" s="3111"/>
      <c r="AF66" s="3111"/>
      <c r="AG66" s="3111"/>
      <c r="AH66" s="3111"/>
      <c r="AI66" s="3111"/>
      <c r="AJ66" s="3111"/>
      <c r="AK66" s="3111"/>
      <c r="AL66" s="3111"/>
      <c r="AM66" s="3111"/>
      <c r="AN66" s="3111"/>
      <c r="AO66" s="3111"/>
      <c r="AP66" s="3111"/>
      <c r="AQ66" s="3111"/>
      <c r="AR66" s="3111"/>
      <c r="AS66" s="3111"/>
      <c r="AT66" s="3111"/>
      <c r="AU66" s="3111"/>
      <c r="AV66" s="3111"/>
      <c r="AW66" s="3111"/>
      <c r="AX66" s="3111"/>
      <c r="AY66" s="3111"/>
      <c r="AZ66" s="3111"/>
      <c r="BA66" s="3111"/>
      <c r="BB66" s="3111"/>
      <c r="BC66" s="3111"/>
      <c r="BD66" s="3111"/>
      <c r="BE66" s="3111"/>
      <c r="BF66" s="3111"/>
      <c r="BG66" s="3111"/>
      <c r="BH66" s="3111"/>
      <c r="BI66" s="3111"/>
      <c r="BJ66" s="3111"/>
      <c r="BK66" s="3111"/>
      <c r="BL66" s="3111"/>
      <c r="BM66" s="3111"/>
      <c r="BN66" s="3111"/>
      <c r="BO66" s="3111"/>
      <c r="BP66" s="3111"/>
      <c r="BQ66" s="3111"/>
      <c r="BR66" s="3111"/>
      <c r="BS66" s="3111"/>
      <c r="BT66" s="3111"/>
      <c r="BU66" s="3111"/>
      <c r="BV66" s="3111"/>
      <c r="BW66" s="1391"/>
      <c r="BX66" s="1392"/>
      <c r="BY66" s="1393"/>
      <c r="BZ66" s="822"/>
      <c r="CA66" s="822"/>
    </row>
    <row r="67" spans="3:79" ht="17.100000000000001" customHeight="1" x14ac:dyDescent="0.2">
      <c r="C67" s="3828"/>
      <c r="D67" s="3829"/>
      <c r="E67" s="3830"/>
      <c r="F67" s="3110"/>
      <c r="G67" s="3111"/>
      <c r="H67" s="3111"/>
      <c r="I67" s="3111"/>
      <c r="J67" s="3111"/>
      <c r="K67" s="3111"/>
      <c r="L67" s="3111"/>
      <c r="M67" s="3111"/>
      <c r="N67" s="3111"/>
      <c r="O67" s="3111"/>
      <c r="P67" s="3111"/>
      <c r="Q67" s="3111"/>
      <c r="R67" s="3111"/>
      <c r="S67" s="3111"/>
      <c r="T67" s="3111"/>
      <c r="U67" s="3111"/>
      <c r="V67" s="3111"/>
      <c r="W67" s="3111"/>
      <c r="X67" s="3111"/>
      <c r="Y67" s="3111"/>
      <c r="Z67" s="3111"/>
      <c r="AA67" s="3111"/>
      <c r="AB67" s="3111"/>
      <c r="AC67" s="3111"/>
      <c r="AD67" s="3111"/>
      <c r="AE67" s="3111"/>
      <c r="AF67" s="3111"/>
      <c r="AG67" s="3111"/>
      <c r="AH67" s="3111"/>
      <c r="AI67" s="3111"/>
      <c r="AJ67" s="3111"/>
      <c r="AK67" s="3111"/>
      <c r="AL67" s="3111"/>
      <c r="AM67" s="3111"/>
      <c r="AN67" s="3111"/>
      <c r="AO67" s="3111"/>
      <c r="AP67" s="3111"/>
      <c r="AQ67" s="3111"/>
      <c r="AR67" s="3111"/>
      <c r="AS67" s="3111"/>
      <c r="AT67" s="3111"/>
      <c r="AU67" s="3111"/>
      <c r="AV67" s="3111"/>
      <c r="AW67" s="3111"/>
      <c r="AX67" s="3111"/>
      <c r="AY67" s="3111"/>
      <c r="AZ67" s="3111"/>
      <c r="BA67" s="3111"/>
      <c r="BB67" s="3111"/>
      <c r="BC67" s="3111"/>
      <c r="BD67" s="3111"/>
      <c r="BE67" s="3111"/>
      <c r="BF67" s="3111"/>
      <c r="BG67" s="3111"/>
      <c r="BH67" s="3111"/>
      <c r="BI67" s="3111"/>
      <c r="BJ67" s="3111"/>
      <c r="BK67" s="3111"/>
      <c r="BL67" s="3111"/>
      <c r="BM67" s="3111"/>
      <c r="BN67" s="3111"/>
      <c r="BO67" s="3111"/>
      <c r="BP67" s="3111"/>
      <c r="BQ67" s="3111"/>
      <c r="BR67" s="3111"/>
      <c r="BS67" s="3111"/>
      <c r="BT67" s="3111"/>
      <c r="BU67" s="3111"/>
      <c r="BV67" s="3111"/>
      <c r="BW67" s="1391"/>
      <c r="BX67" s="1392"/>
      <c r="BY67" s="1393"/>
      <c r="BZ67" s="822"/>
      <c r="CA67" s="822"/>
    </row>
    <row r="68" spans="3:79" ht="17.100000000000001" customHeight="1" x14ac:dyDescent="0.2">
      <c r="C68" s="3828"/>
      <c r="D68" s="3829"/>
      <c r="E68" s="3830"/>
      <c r="F68" s="3110"/>
      <c r="G68" s="3111"/>
      <c r="H68" s="3111"/>
      <c r="I68" s="3111"/>
      <c r="J68" s="3111"/>
      <c r="K68" s="3111"/>
      <c r="L68" s="3111"/>
      <c r="M68" s="3111"/>
      <c r="N68" s="3111"/>
      <c r="O68" s="3111"/>
      <c r="P68" s="3111"/>
      <c r="Q68" s="3111"/>
      <c r="R68" s="3111"/>
      <c r="S68" s="3111"/>
      <c r="T68" s="3111"/>
      <c r="U68" s="3111"/>
      <c r="V68" s="3111"/>
      <c r="W68" s="3111"/>
      <c r="X68" s="3111"/>
      <c r="Y68" s="3111"/>
      <c r="Z68" s="3111"/>
      <c r="AA68" s="3111"/>
      <c r="AB68" s="3111"/>
      <c r="AC68" s="3111"/>
      <c r="AD68" s="3111"/>
      <c r="AE68" s="3111"/>
      <c r="AF68" s="3111"/>
      <c r="AG68" s="3111"/>
      <c r="AH68" s="3111"/>
      <c r="AI68" s="3111"/>
      <c r="AJ68" s="3111"/>
      <c r="AK68" s="3111"/>
      <c r="AL68" s="3111"/>
      <c r="AM68" s="3111"/>
      <c r="AN68" s="3111"/>
      <c r="AO68" s="3111"/>
      <c r="AP68" s="3111"/>
      <c r="AQ68" s="3111"/>
      <c r="AR68" s="3111"/>
      <c r="AS68" s="3111"/>
      <c r="AT68" s="3111"/>
      <c r="AU68" s="3111"/>
      <c r="AV68" s="3111"/>
      <c r="AW68" s="3111"/>
      <c r="AX68" s="3111"/>
      <c r="AY68" s="3111"/>
      <c r="AZ68" s="3111"/>
      <c r="BA68" s="3111"/>
      <c r="BB68" s="3111"/>
      <c r="BC68" s="3111"/>
      <c r="BD68" s="3111"/>
      <c r="BE68" s="3111"/>
      <c r="BF68" s="3111"/>
      <c r="BG68" s="3111"/>
      <c r="BH68" s="3111"/>
      <c r="BI68" s="3111"/>
      <c r="BJ68" s="3111"/>
      <c r="BK68" s="3111"/>
      <c r="BL68" s="3111"/>
      <c r="BM68" s="3111"/>
      <c r="BN68" s="3111"/>
      <c r="BO68" s="3111"/>
      <c r="BP68" s="3111"/>
      <c r="BQ68" s="3111"/>
      <c r="BR68" s="3111"/>
      <c r="BS68" s="3111"/>
      <c r="BT68" s="3111"/>
      <c r="BU68" s="3111"/>
      <c r="BV68" s="3111"/>
      <c r="BW68" s="1391"/>
      <c r="BX68" s="1392"/>
      <c r="BY68" s="1393"/>
      <c r="BZ68" s="822"/>
      <c r="CA68" s="822"/>
    </row>
    <row r="69" spans="3:79" ht="17.100000000000001" customHeight="1" x14ac:dyDescent="0.2">
      <c r="C69" s="3828"/>
      <c r="D69" s="3829"/>
      <c r="E69" s="3830"/>
      <c r="F69" s="3110"/>
      <c r="G69" s="3111"/>
      <c r="H69" s="3111"/>
      <c r="I69" s="3111"/>
      <c r="J69" s="3111"/>
      <c r="K69" s="3111"/>
      <c r="L69" s="3111"/>
      <c r="M69" s="3111"/>
      <c r="N69" s="3111"/>
      <c r="O69" s="3111"/>
      <c r="P69" s="3111"/>
      <c r="Q69" s="3111"/>
      <c r="R69" s="3111"/>
      <c r="S69" s="3111"/>
      <c r="T69" s="3111"/>
      <c r="U69" s="3111"/>
      <c r="V69" s="3111"/>
      <c r="W69" s="3111"/>
      <c r="X69" s="3111"/>
      <c r="Y69" s="3111"/>
      <c r="Z69" s="3111"/>
      <c r="AA69" s="3111"/>
      <c r="AB69" s="3111"/>
      <c r="AC69" s="3111"/>
      <c r="AD69" s="3111"/>
      <c r="AE69" s="3111"/>
      <c r="AF69" s="3111"/>
      <c r="AG69" s="3111"/>
      <c r="AH69" s="3111"/>
      <c r="AI69" s="3111"/>
      <c r="AJ69" s="3111"/>
      <c r="AK69" s="3111"/>
      <c r="AL69" s="3111"/>
      <c r="AM69" s="3111"/>
      <c r="AN69" s="3111"/>
      <c r="AO69" s="3111"/>
      <c r="AP69" s="3111"/>
      <c r="AQ69" s="3111"/>
      <c r="AR69" s="3111"/>
      <c r="AS69" s="3111"/>
      <c r="AT69" s="3111"/>
      <c r="AU69" s="3111"/>
      <c r="AV69" s="3111"/>
      <c r="AW69" s="3111"/>
      <c r="AX69" s="3111"/>
      <c r="AY69" s="3111"/>
      <c r="AZ69" s="3111"/>
      <c r="BA69" s="3111"/>
      <c r="BB69" s="3111"/>
      <c r="BC69" s="3111"/>
      <c r="BD69" s="3111"/>
      <c r="BE69" s="3111"/>
      <c r="BF69" s="3111"/>
      <c r="BG69" s="3111"/>
      <c r="BH69" s="3111"/>
      <c r="BI69" s="3111"/>
      <c r="BJ69" s="3111"/>
      <c r="BK69" s="3111"/>
      <c r="BL69" s="3111"/>
      <c r="BM69" s="3111"/>
      <c r="BN69" s="3111"/>
      <c r="BO69" s="3111"/>
      <c r="BP69" s="3111"/>
      <c r="BQ69" s="3111"/>
      <c r="BR69" s="3111"/>
      <c r="BS69" s="3111"/>
      <c r="BT69" s="3111"/>
      <c r="BU69" s="3111"/>
      <c r="BV69" s="3111"/>
      <c r="BW69" s="1391"/>
      <c r="BX69" s="1392"/>
      <c r="BY69" s="1393"/>
      <c r="BZ69" s="822"/>
      <c r="CA69" s="822"/>
    </row>
    <row r="70" spans="3:79" ht="17.100000000000001" customHeight="1" x14ac:dyDescent="0.2">
      <c r="C70" s="3828"/>
      <c r="D70" s="3829"/>
      <c r="E70" s="3830"/>
      <c r="F70" s="3110"/>
      <c r="G70" s="3111"/>
      <c r="H70" s="3111"/>
      <c r="I70" s="3111"/>
      <c r="J70" s="3111"/>
      <c r="K70" s="3111"/>
      <c r="L70" s="3111"/>
      <c r="M70" s="3111"/>
      <c r="N70" s="3111"/>
      <c r="O70" s="3111"/>
      <c r="P70" s="3111"/>
      <c r="Q70" s="3111"/>
      <c r="R70" s="3111"/>
      <c r="S70" s="3111"/>
      <c r="T70" s="3111"/>
      <c r="U70" s="3111"/>
      <c r="V70" s="3111"/>
      <c r="W70" s="3111"/>
      <c r="X70" s="3111"/>
      <c r="Y70" s="3111"/>
      <c r="Z70" s="3111"/>
      <c r="AA70" s="3111"/>
      <c r="AB70" s="3111"/>
      <c r="AC70" s="3111"/>
      <c r="AD70" s="3111"/>
      <c r="AE70" s="3111"/>
      <c r="AF70" s="3111"/>
      <c r="AG70" s="3111"/>
      <c r="AH70" s="3111"/>
      <c r="AI70" s="3111"/>
      <c r="AJ70" s="3111"/>
      <c r="AK70" s="3111"/>
      <c r="AL70" s="3111"/>
      <c r="AM70" s="3111"/>
      <c r="AN70" s="3111"/>
      <c r="AO70" s="3111"/>
      <c r="AP70" s="3111"/>
      <c r="AQ70" s="3111"/>
      <c r="AR70" s="3111"/>
      <c r="AS70" s="3111"/>
      <c r="AT70" s="3111"/>
      <c r="AU70" s="3111"/>
      <c r="AV70" s="3111"/>
      <c r="AW70" s="3111"/>
      <c r="AX70" s="3111"/>
      <c r="AY70" s="3111"/>
      <c r="AZ70" s="3111"/>
      <c r="BA70" s="3111"/>
      <c r="BB70" s="3111"/>
      <c r="BC70" s="3111"/>
      <c r="BD70" s="3111"/>
      <c r="BE70" s="3111"/>
      <c r="BF70" s="3111"/>
      <c r="BG70" s="3111"/>
      <c r="BH70" s="3111"/>
      <c r="BI70" s="3111"/>
      <c r="BJ70" s="3111"/>
      <c r="BK70" s="3111"/>
      <c r="BL70" s="3111"/>
      <c r="BM70" s="3111"/>
      <c r="BN70" s="3111"/>
      <c r="BO70" s="3111"/>
      <c r="BP70" s="3111"/>
      <c r="BQ70" s="3111"/>
      <c r="BR70" s="3111"/>
      <c r="BS70" s="3111"/>
      <c r="BT70" s="3111"/>
      <c r="BU70" s="3111"/>
      <c r="BV70" s="3111"/>
      <c r="BW70" s="1391"/>
      <c r="BX70" s="1392"/>
      <c r="BY70" s="1393"/>
      <c r="BZ70" s="822"/>
      <c r="CA70" s="822"/>
    </row>
    <row r="71" spans="3:79" ht="17.100000000000001" customHeight="1" x14ac:dyDescent="0.2">
      <c r="C71" s="3828"/>
      <c r="D71" s="3829"/>
      <c r="E71" s="3830"/>
      <c r="F71" s="3110"/>
      <c r="G71" s="3111"/>
      <c r="H71" s="3111"/>
      <c r="I71" s="3111"/>
      <c r="J71" s="3111"/>
      <c r="K71" s="3111"/>
      <c r="L71" s="3111"/>
      <c r="M71" s="3111"/>
      <c r="N71" s="3111"/>
      <c r="O71" s="3111"/>
      <c r="P71" s="3111"/>
      <c r="Q71" s="3111"/>
      <c r="R71" s="3111"/>
      <c r="S71" s="3111"/>
      <c r="T71" s="3111"/>
      <c r="U71" s="3111"/>
      <c r="V71" s="3111"/>
      <c r="W71" s="3111"/>
      <c r="X71" s="3111"/>
      <c r="Y71" s="3111"/>
      <c r="Z71" s="3111"/>
      <c r="AA71" s="3111"/>
      <c r="AB71" s="3111"/>
      <c r="AC71" s="3111"/>
      <c r="AD71" s="3111"/>
      <c r="AE71" s="3111"/>
      <c r="AF71" s="3111"/>
      <c r="AG71" s="3111"/>
      <c r="AH71" s="3111"/>
      <c r="AI71" s="3111"/>
      <c r="AJ71" s="3111"/>
      <c r="AK71" s="3111"/>
      <c r="AL71" s="3111"/>
      <c r="AM71" s="3111"/>
      <c r="AN71" s="3111"/>
      <c r="AO71" s="3111"/>
      <c r="AP71" s="3111"/>
      <c r="AQ71" s="3111"/>
      <c r="AR71" s="3111"/>
      <c r="AS71" s="3111"/>
      <c r="AT71" s="3111"/>
      <c r="AU71" s="3111"/>
      <c r="AV71" s="3111"/>
      <c r="AW71" s="3111"/>
      <c r="AX71" s="3111"/>
      <c r="AY71" s="3111"/>
      <c r="AZ71" s="3111"/>
      <c r="BA71" s="3111"/>
      <c r="BB71" s="3111"/>
      <c r="BC71" s="3111"/>
      <c r="BD71" s="3111"/>
      <c r="BE71" s="3111"/>
      <c r="BF71" s="3111"/>
      <c r="BG71" s="3111"/>
      <c r="BH71" s="3111"/>
      <c r="BI71" s="3111"/>
      <c r="BJ71" s="3111"/>
      <c r="BK71" s="3111"/>
      <c r="BL71" s="3111"/>
      <c r="BM71" s="3111"/>
      <c r="BN71" s="3111"/>
      <c r="BO71" s="3111"/>
      <c r="BP71" s="3111"/>
      <c r="BQ71" s="3111"/>
      <c r="BR71" s="3111"/>
      <c r="BS71" s="3111"/>
      <c r="BT71" s="3111"/>
      <c r="BU71" s="3111"/>
      <c r="BV71" s="3111"/>
      <c r="BW71" s="1391"/>
      <c r="BX71" s="1392"/>
      <c r="BY71" s="1393"/>
      <c r="BZ71" s="822"/>
      <c r="CA71" s="822"/>
    </row>
    <row r="72" spans="3:79" ht="17.100000000000001" customHeight="1" x14ac:dyDescent="0.2">
      <c r="C72" s="3828"/>
      <c r="D72" s="3829"/>
      <c r="E72" s="3830"/>
      <c r="F72" s="3110"/>
      <c r="G72" s="3111"/>
      <c r="H72" s="3111"/>
      <c r="I72" s="3111"/>
      <c r="J72" s="3111"/>
      <c r="K72" s="3111"/>
      <c r="L72" s="3111"/>
      <c r="M72" s="3111"/>
      <c r="N72" s="3111"/>
      <c r="O72" s="3111"/>
      <c r="P72" s="3111"/>
      <c r="Q72" s="3111"/>
      <c r="R72" s="3111"/>
      <c r="S72" s="3111"/>
      <c r="T72" s="3111"/>
      <c r="U72" s="3111"/>
      <c r="V72" s="3111"/>
      <c r="W72" s="3111"/>
      <c r="X72" s="3111"/>
      <c r="Y72" s="3111"/>
      <c r="Z72" s="3111"/>
      <c r="AA72" s="3111"/>
      <c r="AB72" s="3111"/>
      <c r="AC72" s="3111"/>
      <c r="AD72" s="3111"/>
      <c r="AE72" s="3111"/>
      <c r="AF72" s="3111"/>
      <c r="AG72" s="3111"/>
      <c r="AH72" s="3111"/>
      <c r="AI72" s="3111"/>
      <c r="AJ72" s="3111"/>
      <c r="AK72" s="3111"/>
      <c r="AL72" s="3111"/>
      <c r="AM72" s="3111"/>
      <c r="AN72" s="3111"/>
      <c r="AO72" s="3111"/>
      <c r="AP72" s="3111"/>
      <c r="AQ72" s="3111"/>
      <c r="AR72" s="3111"/>
      <c r="AS72" s="3111"/>
      <c r="AT72" s="3111"/>
      <c r="AU72" s="3111"/>
      <c r="AV72" s="3111"/>
      <c r="AW72" s="3111"/>
      <c r="AX72" s="3111"/>
      <c r="AY72" s="3111"/>
      <c r="AZ72" s="3111"/>
      <c r="BA72" s="3111"/>
      <c r="BB72" s="3111"/>
      <c r="BC72" s="3111"/>
      <c r="BD72" s="3111"/>
      <c r="BE72" s="3111"/>
      <c r="BF72" s="3111"/>
      <c r="BG72" s="3111"/>
      <c r="BH72" s="3111"/>
      <c r="BI72" s="3111"/>
      <c r="BJ72" s="3111"/>
      <c r="BK72" s="3111"/>
      <c r="BL72" s="3111"/>
      <c r="BM72" s="3111"/>
      <c r="BN72" s="3111"/>
      <c r="BO72" s="3111"/>
      <c r="BP72" s="3111"/>
      <c r="BQ72" s="3111"/>
      <c r="BR72" s="3111"/>
      <c r="BS72" s="3111"/>
      <c r="BT72" s="3111"/>
      <c r="BU72" s="3111"/>
      <c r="BV72" s="3111"/>
      <c r="BW72" s="1391"/>
      <c r="BX72" s="1392"/>
      <c r="BY72" s="1393"/>
      <c r="BZ72" s="822"/>
      <c r="CA72" s="822"/>
    </row>
    <row r="73" spans="3:79" ht="17.100000000000001" customHeight="1" x14ac:dyDescent="0.2">
      <c r="C73" s="3828"/>
      <c r="D73" s="3829"/>
      <c r="E73" s="3830"/>
      <c r="F73" s="3110"/>
      <c r="G73" s="3111"/>
      <c r="H73" s="3111"/>
      <c r="I73" s="3111"/>
      <c r="J73" s="3111"/>
      <c r="K73" s="3111"/>
      <c r="L73" s="3111"/>
      <c r="M73" s="3111"/>
      <c r="N73" s="3111"/>
      <c r="O73" s="3111"/>
      <c r="P73" s="3111"/>
      <c r="Q73" s="3111"/>
      <c r="R73" s="3111"/>
      <c r="S73" s="3111"/>
      <c r="T73" s="3111"/>
      <c r="U73" s="3111"/>
      <c r="V73" s="3111"/>
      <c r="W73" s="3111"/>
      <c r="X73" s="3111"/>
      <c r="Y73" s="3111"/>
      <c r="Z73" s="3111"/>
      <c r="AA73" s="3111"/>
      <c r="AB73" s="3111"/>
      <c r="AC73" s="3111"/>
      <c r="AD73" s="3111"/>
      <c r="AE73" s="3111"/>
      <c r="AF73" s="3111"/>
      <c r="AG73" s="3111"/>
      <c r="AH73" s="3111"/>
      <c r="AI73" s="3111"/>
      <c r="AJ73" s="3111"/>
      <c r="AK73" s="3111"/>
      <c r="AL73" s="3111"/>
      <c r="AM73" s="3111"/>
      <c r="AN73" s="3111"/>
      <c r="AO73" s="3111"/>
      <c r="AP73" s="3111"/>
      <c r="AQ73" s="3111"/>
      <c r="AR73" s="3111"/>
      <c r="AS73" s="3111"/>
      <c r="AT73" s="3111"/>
      <c r="AU73" s="3111"/>
      <c r="AV73" s="3111"/>
      <c r="AW73" s="3111"/>
      <c r="AX73" s="3111"/>
      <c r="AY73" s="3111"/>
      <c r="AZ73" s="3111"/>
      <c r="BA73" s="3111"/>
      <c r="BB73" s="3111"/>
      <c r="BC73" s="3111"/>
      <c r="BD73" s="3111"/>
      <c r="BE73" s="3111"/>
      <c r="BF73" s="3111"/>
      <c r="BG73" s="3111"/>
      <c r="BH73" s="3111"/>
      <c r="BI73" s="3111"/>
      <c r="BJ73" s="3111"/>
      <c r="BK73" s="3111"/>
      <c r="BL73" s="3111"/>
      <c r="BM73" s="3111"/>
      <c r="BN73" s="3111"/>
      <c r="BO73" s="3111"/>
      <c r="BP73" s="3111"/>
      <c r="BQ73" s="3111"/>
      <c r="BR73" s="3111"/>
      <c r="BS73" s="3111"/>
      <c r="BT73" s="3111"/>
      <c r="BU73" s="3111"/>
      <c r="BV73" s="3111"/>
      <c r="BW73" s="1391"/>
      <c r="BX73" s="1392"/>
      <c r="BY73" s="1393"/>
      <c r="BZ73" s="822"/>
      <c r="CA73" s="822"/>
    </row>
    <row r="74" spans="3:79" ht="17.100000000000001" customHeight="1" x14ac:dyDescent="0.2">
      <c r="C74" s="3831"/>
      <c r="D74" s="3832"/>
      <c r="E74" s="3833"/>
      <c r="F74" s="3110"/>
      <c r="G74" s="3111"/>
      <c r="H74" s="3111"/>
      <c r="I74" s="3111"/>
      <c r="J74" s="3111"/>
      <c r="K74" s="3111"/>
      <c r="L74" s="3111"/>
      <c r="M74" s="3111"/>
      <c r="N74" s="3111"/>
      <c r="O74" s="3111"/>
      <c r="P74" s="3111"/>
      <c r="Q74" s="3111"/>
      <c r="R74" s="3111"/>
      <c r="S74" s="3111"/>
      <c r="T74" s="3111"/>
      <c r="U74" s="3111"/>
      <c r="V74" s="3111"/>
      <c r="W74" s="3111"/>
      <c r="X74" s="3111"/>
      <c r="Y74" s="3111"/>
      <c r="Z74" s="3111"/>
      <c r="AA74" s="3111"/>
      <c r="AB74" s="3111"/>
      <c r="AC74" s="3111"/>
      <c r="AD74" s="3111"/>
      <c r="AE74" s="3111"/>
      <c r="AF74" s="3111"/>
      <c r="AG74" s="3111"/>
      <c r="AH74" s="3111"/>
      <c r="AI74" s="3111"/>
      <c r="AJ74" s="3111"/>
      <c r="AK74" s="3111"/>
      <c r="AL74" s="3111"/>
      <c r="AM74" s="3111"/>
      <c r="AN74" s="3111"/>
      <c r="AO74" s="3111"/>
      <c r="AP74" s="3111"/>
      <c r="AQ74" s="3111"/>
      <c r="AR74" s="3111"/>
      <c r="AS74" s="3111"/>
      <c r="AT74" s="3111"/>
      <c r="AU74" s="3111"/>
      <c r="AV74" s="3111"/>
      <c r="AW74" s="3111"/>
      <c r="AX74" s="3111"/>
      <c r="AY74" s="3111"/>
      <c r="AZ74" s="3111"/>
      <c r="BA74" s="3111"/>
      <c r="BB74" s="3111"/>
      <c r="BC74" s="3111"/>
      <c r="BD74" s="3111"/>
      <c r="BE74" s="3111"/>
      <c r="BF74" s="3111"/>
      <c r="BG74" s="3111"/>
      <c r="BH74" s="3111"/>
      <c r="BI74" s="3111"/>
      <c r="BJ74" s="3111"/>
      <c r="BK74" s="3111"/>
      <c r="BL74" s="3111"/>
      <c r="BM74" s="3111"/>
      <c r="BN74" s="3111"/>
      <c r="BO74" s="3111"/>
      <c r="BP74" s="3111"/>
      <c r="BQ74" s="3111"/>
      <c r="BR74" s="3111"/>
      <c r="BS74" s="3111"/>
      <c r="BT74" s="3111"/>
      <c r="BU74" s="3111"/>
      <c r="BV74" s="3111"/>
      <c r="BW74" s="1394"/>
      <c r="BX74" s="1395"/>
      <c r="BY74" s="1396"/>
      <c r="BZ74" s="822"/>
      <c r="CA74" s="822"/>
    </row>
    <row r="75" spans="3:79" ht="17.100000000000001" customHeight="1" x14ac:dyDescent="0.3">
      <c r="R75" s="822"/>
      <c r="S75" s="822"/>
      <c r="T75" s="822"/>
      <c r="U75" s="822"/>
      <c r="V75" s="822"/>
      <c r="W75" s="822"/>
      <c r="X75" s="822"/>
      <c r="Y75" s="822"/>
      <c r="Z75" s="822"/>
      <c r="AA75" s="822"/>
      <c r="AB75" s="822"/>
      <c r="AC75" s="822"/>
      <c r="AD75" s="822"/>
      <c r="AE75" s="822"/>
      <c r="AF75" s="822"/>
      <c r="AG75" s="822"/>
      <c r="AH75" s="822"/>
      <c r="AI75" s="822"/>
      <c r="AJ75" s="822"/>
      <c r="AK75" s="822"/>
      <c r="AL75" s="822"/>
      <c r="AM75" s="822"/>
      <c r="AN75" s="822"/>
      <c r="AO75" s="822"/>
      <c r="AP75" s="822"/>
      <c r="AQ75" s="822"/>
      <c r="AR75" s="822"/>
      <c r="AS75" s="822"/>
      <c r="AT75" s="822"/>
      <c r="AU75" s="822"/>
      <c r="AV75" s="822"/>
      <c r="AW75" s="822"/>
      <c r="AX75" s="822"/>
      <c r="AY75" s="822"/>
      <c r="AZ75" s="822"/>
      <c r="BA75" s="822"/>
      <c r="BB75" s="822"/>
      <c r="BC75" s="822"/>
      <c r="BD75" s="822"/>
      <c r="BE75" s="822"/>
      <c r="BF75" s="822"/>
      <c r="BG75" s="822"/>
      <c r="BH75" s="822"/>
      <c r="BI75" s="822"/>
      <c r="BJ75" s="822"/>
      <c r="BK75" s="822"/>
      <c r="BL75" s="822"/>
      <c r="BM75" s="822"/>
      <c r="BN75" s="822"/>
      <c r="BO75" s="822"/>
      <c r="BP75" s="822"/>
      <c r="BQ75" s="822"/>
      <c r="BR75" s="822"/>
      <c r="BS75" s="822"/>
      <c r="BT75" s="822"/>
      <c r="BU75" s="822"/>
      <c r="BV75" s="822"/>
      <c r="BX75" s="822"/>
      <c r="BY75" s="822"/>
      <c r="BZ75" s="822"/>
      <c r="CA75" s="822"/>
    </row>
    <row r="76" spans="3:79" ht="17.100000000000001" customHeight="1" x14ac:dyDescent="0.3">
      <c r="D76" s="34"/>
      <c r="R76" s="822"/>
      <c r="S76" s="822"/>
      <c r="T76" s="822"/>
      <c r="U76" s="822"/>
      <c r="V76" s="822"/>
      <c r="W76" s="822"/>
      <c r="X76" s="822"/>
      <c r="Y76" s="822"/>
      <c r="Z76" s="822"/>
      <c r="AA76" s="822"/>
      <c r="AB76" s="822"/>
      <c r="AC76" s="822"/>
      <c r="AD76" s="822"/>
      <c r="AE76" s="822"/>
      <c r="AF76" s="822"/>
      <c r="AG76" s="822"/>
      <c r="AH76" s="822"/>
      <c r="AI76" s="822"/>
      <c r="AJ76" s="822"/>
      <c r="AK76" s="822"/>
      <c r="AL76" s="822"/>
      <c r="AM76" s="822"/>
      <c r="AN76" s="34" t="s">
        <v>9</v>
      </c>
      <c r="AO76" s="822"/>
      <c r="AP76" s="822"/>
      <c r="AQ76" s="822"/>
      <c r="AR76" s="822"/>
      <c r="AS76" s="822"/>
      <c r="AT76" s="822"/>
      <c r="AU76" s="822"/>
      <c r="AV76" s="822"/>
      <c r="AW76" s="822"/>
      <c r="AX76" s="822"/>
      <c r="AY76" s="822"/>
      <c r="AZ76" s="822"/>
      <c r="BA76" s="822"/>
      <c r="BB76" s="822"/>
      <c r="BC76" s="822"/>
      <c r="BD76" s="822"/>
      <c r="BE76" s="822"/>
      <c r="BF76" s="822"/>
      <c r="BG76" s="822"/>
      <c r="BH76" s="822"/>
      <c r="BI76" s="822"/>
      <c r="BJ76" s="822"/>
      <c r="BK76" s="822"/>
      <c r="BL76" s="822"/>
      <c r="BM76" s="822"/>
      <c r="BN76" s="822"/>
      <c r="BO76" s="822"/>
      <c r="BP76" s="822"/>
      <c r="BQ76" s="822"/>
      <c r="BR76" s="822"/>
      <c r="BS76" s="822"/>
      <c r="BT76" s="822"/>
      <c r="BU76" s="822"/>
      <c r="BV76" s="822"/>
      <c r="BX76" s="34"/>
      <c r="BY76" s="822"/>
      <c r="BZ76" s="822"/>
      <c r="CA76" s="822"/>
    </row>
    <row r="77" spans="3:79" ht="17.100000000000001" customHeight="1" x14ac:dyDescent="0.3">
      <c r="D77" s="34"/>
      <c r="R77" s="822"/>
      <c r="S77" s="822"/>
      <c r="T77" s="822"/>
      <c r="U77" s="822"/>
      <c r="V77" s="822"/>
      <c r="W77" s="822"/>
      <c r="X77" s="822"/>
      <c r="Y77" s="822"/>
      <c r="Z77" s="822"/>
      <c r="AA77" s="822"/>
      <c r="AB77" s="822"/>
      <c r="AC77" s="822"/>
      <c r="AD77" s="822"/>
      <c r="AE77" s="822"/>
      <c r="AF77" s="822"/>
      <c r="AG77" s="822"/>
      <c r="AH77" s="822"/>
      <c r="AI77" s="822"/>
      <c r="AJ77" s="822"/>
      <c r="AK77" s="822"/>
      <c r="AL77" s="822"/>
      <c r="AM77" s="822"/>
      <c r="AN77" s="34" t="s">
        <v>9</v>
      </c>
      <c r="AO77" s="822"/>
      <c r="AP77" s="822"/>
      <c r="AQ77" s="822"/>
      <c r="AR77" s="822"/>
      <c r="AS77" s="822"/>
      <c r="AT77" s="822"/>
      <c r="AU77" s="822"/>
      <c r="AV77" s="822"/>
      <c r="AW77" s="822"/>
      <c r="AX77" s="822"/>
      <c r="AY77" s="822"/>
      <c r="AZ77" s="822"/>
      <c r="BA77" s="822"/>
      <c r="BB77" s="822"/>
      <c r="BC77" s="822"/>
      <c r="BD77" s="822"/>
      <c r="BE77" s="822"/>
      <c r="BF77" s="822"/>
      <c r="BG77" s="822"/>
      <c r="BH77" s="822"/>
      <c r="BI77" s="822"/>
      <c r="BJ77" s="822"/>
      <c r="BK77" s="822"/>
      <c r="BL77" s="822"/>
      <c r="BM77" s="822"/>
      <c r="BN77" s="822"/>
      <c r="BO77" s="822"/>
      <c r="BP77" s="822"/>
      <c r="BQ77" s="822"/>
      <c r="BR77" s="822"/>
      <c r="BS77" s="822"/>
      <c r="BT77" s="822"/>
      <c r="BU77" s="822"/>
      <c r="BV77" s="822"/>
      <c r="BX77" s="34"/>
      <c r="BY77" s="822"/>
      <c r="BZ77" s="822"/>
      <c r="CA77" s="822"/>
    </row>
    <row r="78" spans="3:79" ht="17.100000000000001" customHeight="1" x14ac:dyDescent="0.2">
      <c r="C78" s="3840" t="s">
        <v>2380</v>
      </c>
      <c r="D78" s="3841"/>
      <c r="E78" s="3842"/>
      <c r="F78" s="3334"/>
      <c r="G78" s="3335"/>
      <c r="H78" s="3335"/>
      <c r="I78" s="3335"/>
      <c r="J78" s="3335"/>
      <c r="K78" s="3335"/>
      <c r="L78" s="3335"/>
      <c r="M78" s="3335"/>
      <c r="N78" s="3335"/>
      <c r="O78" s="3335"/>
      <c r="P78" s="3335"/>
      <c r="Q78" s="3335"/>
      <c r="R78" s="3335"/>
      <c r="S78" s="3335"/>
      <c r="T78" s="3335"/>
      <c r="U78" s="3335"/>
      <c r="V78" s="3335"/>
      <c r="W78" s="3335"/>
      <c r="X78" s="3335"/>
      <c r="Y78" s="3335"/>
      <c r="Z78" s="3335"/>
      <c r="AA78" s="3335"/>
      <c r="AB78" s="3335"/>
      <c r="AC78" s="3335"/>
      <c r="AD78" s="3335"/>
      <c r="AE78" s="3335"/>
      <c r="AF78" s="3335"/>
      <c r="AG78" s="3335"/>
      <c r="AH78" s="3335"/>
      <c r="AI78" s="3335"/>
      <c r="AJ78" s="3335"/>
      <c r="AK78" s="3335"/>
      <c r="AL78" s="3335"/>
      <c r="AM78" s="3335"/>
      <c r="AN78" s="3335"/>
      <c r="AO78" s="3335"/>
      <c r="AP78" s="3335"/>
      <c r="AQ78" s="3335"/>
      <c r="AR78" s="3335"/>
      <c r="AS78" s="3335"/>
      <c r="AT78" s="3335"/>
      <c r="AU78" s="3335"/>
      <c r="AV78" s="3335"/>
      <c r="AW78" s="3335"/>
      <c r="AX78" s="3335"/>
      <c r="AY78" s="3335"/>
      <c r="AZ78" s="3335"/>
      <c r="BA78" s="3335"/>
      <c r="BB78" s="3335"/>
      <c r="BC78" s="3335"/>
      <c r="BD78" s="3335"/>
      <c r="BE78" s="3335"/>
      <c r="BF78" s="3335"/>
      <c r="BG78" s="3335"/>
      <c r="BH78" s="3335"/>
      <c r="BI78" s="3335"/>
      <c r="BJ78" s="3335"/>
      <c r="BK78" s="3335"/>
      <c r="BL78" s="3335"/>
      <c r="BM78" s="3335"/>
      <c r="BN78" s="3335"/>
      <c r="BO78" s="3335"/>
      <c r="BP78" s="3335"/>
      <c r="BQ78" s="3335"/>
      <c r="BR78" s="3335"/>
      <c r="BS78" s="3335"/>
      <c r="BT78" s="3335"/>
      <c r="BU78" s="3335"/>
      <c r="BV78" s="3335"/>
      <c r="BW78" s="3336"/>
      <c r="BX78" s="3337"/>
      <c r="BY78" s="3338"/>
      <c r="BZ78" s="822"/>
      <c r="CA78" s="822"/>
    </row>
    <row r="79" spans="3:79" ht="17.100000000000001" customHeight="1" x14ac:dyDescent="0.2">
      <c r="C79" s="3843"/>
      <c r="D79" s="3844"/>
      <c r="E79" s="3845"/>
      <c r="F79" s="3334"/>
      <c r="G79" s="3335"/>
      <c r="H79" s="3335"/>
      <c r="I79" s="3335"/>
      <c r="J79" s="3335"/>
      <c r="K79" s="3335"/>
      <c r="L79" s="3335"/>
      <c r="M79" s="3335"/>
      <c r="N79" s="3335"/>
      <c r="O79" s="3335"/>
      <c r="P79" s="3335"/>
      <c r="Q79" s="3335"/>
      <c r="R79" s="3335"/>
      <c r="S79" s="3335"/>
      <c r="T79" s="3335"/>
      <c r="U79" s="3335"/>
      <c r="V79" s="3335"/>
      <c r="W79" s="3335"/>
      <c r="X79" s="3335"/>
      <c r="Y79" s="3335"/>
      <c r="Z79" s="3335"/>
      <c r="AA79" s="3335"/>
      <c r="AB79" s="3335"/>
      <c r="AC79" s="3335"/>
      <c r="AD79" s="3335"/>
      <c r="AE79" s="3335"/>
      <c r="AF79" s="3335"/>
      <c r="AG79" s="3335"/>
      <c r="AH79" s="3335"/>
      <c r="AI79" s="3335"/>
      <c r="AJ79" s="3335"/>
      <c r="AK79" s="3335"/>
      <c r="AL79" s="3335"/>
      <c r="AM79" s="3335"/>
      <c r="AN79" s="3335"/>
      <c r="AO79" s="3335"/>
      <c r="AP79" s="3335"/>
      <c r="AQ79" s="3335"/>
      <c r="AR79" s="3335"/>
      <c r="AS79" s="3335"/>
      <c r="AT79" s="3335"/>
      <c r="AU79" s="3335"/>
      <c r="AV79" s="3335"/>
      <c r="AW79" s="3335"/>
      <c r="AX79" s="3335"/>
      <c r="AY79" s="3335"/>
      <c r="AZ79" s="3335"/>
      <c r="BA79" s="3335"/>
      <c r="BB79" s="3335"/>
      <c r="BC79" s="3335"/>
      <c r="BD79" s="3335"/>
      <c r="BE79" s="3335"/>
      <c r="BF79" s="3335"/>
      <c r="BG79" s="3335"/>
      <c r="BH79" s="3335"/>
      <c r="BI79" s="3335"/>
      <c r="BJ79" s="3335"/>
      <c r="BK79" s="3335"/>
      <c r="BL79" s="3335"/>
      <c r="BM79" s="3335"/>
      <c r="BN79" s="3335"/>
      <c r="BO79" s="3335"/>
      <c r="BP79" s="3335"/>
      <c r="BQ79" s="3335"/>
      <c r="BR79" s="3335"/>
      <c r="BS79" s="3335"/>
      <c r="BT79" s="3335"/>
      <c r="BU79" s="3335"/>
      <c r="BV79" s="3335"/>
      <c r="BW79" s="3339"/>
      <c r="BX79" s="2670"/>
      <c r="BY79" s="3340"/>
      <c r="BZ79" s="822"/>
      <c r="CA79" s="822"/>
    </row>
    <row r="80" spans="3:79" ht="17.100000000000001" customHeight="1" x14ac:dyDescent="0.2">
      <c r="C80" s="3843"/>
      <c r="D80" s="3844"/>
      <c r="E80" s="3845"/>
      <c r="F80" s="3334"/>
      <c r="G80" s="3335"/>
      <c r="H80" s="3335"/>
      <c r="I80" s="3335"/>
      <c r="J80" s="3335"/>
      <c r="K80" s="3335"/>
      <c r="L80" s="3335"/>
      <c r="M80" s="3335"/>
      <c r="N80" s="3335"/>
      <c r="O80" s="3335"/>
      <c r="P80" s="3335"/>
      <c r="Q80" s="3335"/>
      <c r="R80" s="3335"/>
      <c r="S80" s="3335"/>
      <c r="T80" s="3335"/>
      <c r="U80" s="3335"/>
      <c r="V80" s="3335"/>
      <c r="W80" s="3335"/>
      <c r="X80" s="3335"/>
      <c r="Y80" s="3335"/>
      <c r="Z80" s="3335"/>
      <c r="AA80" s="3335"/>
      <c r="AB80" s="3335"/>
      <c r="AC80" s="3335"/>
      <c r="AD80" s="3335"/>
      <c r="AE80" s="3335"/>
      <c r="AF80" s="3335"/>
      <c r="AG80" s="3335"/>
      <c r="AH80" s="3335"/>
      <c r="AI80" s="3335"/>
      <c r="AJ80" s="3335"/>
      <c r="AK80" s="3335"/>
      <c r="AL80" s="3335"/>
      <c r="AM80" s="3335"/>
      <c r="AN80" s="3335"/>
      <c r="AO80" s="3335"/>
      <c r="AP80" s="3335"/>
      <c r="AQ80" s="3335"/>
      <c r="AR80" s="3335"/>
      <c r="AS80" s="3335"/>
      <c r="AT80" s="3335"/>
      <c r="AU80" s="3335"/>
      <c r="AV80" s="3335"/>
      <c r="AW80" s="3335"/>
      <c r="AX80" s="3335"/>
      <c r="AY80" s="3335"/>
      <c r="AZ80" s="3335"/>
      <c r="BA80" s="3335"/>
      <c r="BB80" s="3335"/>
      <c r="BC80" s="3335"/>
      <c r="BD80" s="3335"/>
      <c r="BE80" s="3335"/>
      <c r="BF80" s="3335"/>
      <c r="BG80" s="3335"/>
      <c r="BH80" s="3335"/>
      <c r="BI80" s="3335"/>
      <c r="BJ80" s="3335"/>
      <c r="BK80" s="3335"/>
      <c r="BL80" s="3335"/>
      <c r="BM80" s="3335"/>
      <c r="BN80" s="3335"/>
      <c r="BO80" s="3335"/>
      <c r="BP80" s="3335"/>
      <c r="BQ80" s="3335"/>
      <c r="BR80" s="3335"/>
      <c r="BS80" s="3335"/>
      <c r="BT80" s="3335"/>
      <c r="BU80" s="3335"/>
      <c r="BV80" s="3335"/>
      <c r="BW80" s="3339"/>
      <c r="BX80" s="2670"/>
      <c r="BY80" s="3340"/>
      <c r="BZ80" s="822"/>
      <c r="CA80" s="822"/>
    </row>
    <row r="81" spans="3:79" ht="17.100000000000001" customHeight="1" x14ac:dyDescent="0.2">
      <c r="C81" s="3843"/>
      <c r="D81" s="3844"/>
      <c r="E81" s="3845"/>
      <c r="F81" s="3334"/>
      <c r="G81" s="3335"/>
      <c r="H81" s="3335"/>
      <c r="I81" s="3335"/>
      <c r="J81" s="3335"/>
      <c r="K81" s="3335"/>
      <c r="L81" s="3335"/>
      <c r="M81" s="3335"/>
      <c r="N81" s="3335"/>
      <c r="O81" s="3335"/>
      <c r="P81" s="3335"/>
      <c r="Q81" s="3335"/>
      <c r="R81" s="3335"/>
      <c r="S81" s="3335"/>
      <c r="T81" s="3335"/>
      <c r="U81" s="3335"/>
      <c r="V81" s="3335"/>
      <c r="W81" s="3335"/>
      <c r="X81" s="3335"/>
      <c r="Y81" s="3335"/>
      <c r="Z81" s="3335"/>
      <c r="AA81" s="3335"/>
      <c r="AB81" s="3335"/>
      <c r="AC81" s="3335"/>
      <c r="AD81" s="3335"/>
      <c r="AE81" s="3335"/>
      <c r="AF81" s="3335"/>
      <c r="AG81" s="3335"/>
      <c r="AH81" s="3335"/>
      <c r="AI81" s="3335"/>
      <c r="AJ81" s="3335"/>
      <c r="AK81" s="3335"/>
      <c r="AL81" s="3335"/>
      <c r="AM81" s="3335"/>
      <c r="AN81" s="3335"/>
      <c r="AO81" s="3335"/>
      <c r="AP81" s="3335"/>
      <c r="AQ81" s="3335"/>
      <c r="AR81" s="3335"/>
      <c r="AS81" s="3335"/>
      <c r="AT81" s="3335"/>
      <c r="AU81" s="3335"/>
      <c r="AV81" s="3335"/>
      <c r="AW81" s="3335"/>
      <c r="AX81" s="3335"/>
      <c r="AY81" s="3335"/>
      <c r="AZ81" s="3335"/>
      <c r="BA81" s="3335"/>
      <c r="BB81" s="3335"/>
      <c r="BC81" s="3335"/>
      <c r="BD81" s="3335"/>
      <c r="BE81" s="3335"/>
      <c r="BF81" s="3335"/>
      <c r="BG81" s="3335"/>
      <c r="BH81" s="3335"/>
      <c r="BI81" s="3335"/>
      <c r="BJ81" s="3335"/>
      <c r="BK81" s="3335"/>
      <c r="BL81" s="3335"/>
      <c r="BM81" s="3335"/>
      <c r="BN81" s="3335"/>
      <c r="BO81" s="3335"/>
      <c r="BP81" s="3335"/>
      <c r="BQ81" s="3335"/>
      <c r="BR81" s="3335"/>
      <c r="BS81" s="3335"/>
      <c r="BT81" s="3335"/>
      <c r="BU81" s="3335"/>
      <c r="BV81" s="3335"/>
      <c r="BW81" s="3339"/>
      <c r="BX81" s="2670"/>
      <c r="BY81" s="3340"/>
    </row>
    <row r="82" spans="3:79" ht="17.100000000000001" customHeight="1" x14ac:dyDescent="0.2">
      <c r="C82" s="3843"/>
      <c r="D82" s="3844"/>
      <c r="E82" s="3845"/>
      <c r="F82" s="3334"/>
      <c r="G82" s="3335"/>
      <c r="H82" s="3335"/>
      <c r="I82" s="3335"/>
      <c r="J82" s="3335"/>
      <c r="K82" s="3335"/>
      <c r="L82" s="3335"/>
      <c r="M82" s="3335"/>
      <c r="N82" s="3335"/>
      <c r="O82" s="3335"/>
      <c r="P82" s="3335"/>
      <c r="Q82" s="3335"/>
      <c r="R82" s="3335"/>
      <c r="S82" s="3335"/>
      <c r="T82" s="3335"/>
      <c r="U82" s="3335"/>
      <c r="V82" s="3335"/>
      <c r="W82" s="3335"/>
      <c r="X82" s="3335"/>
      <c r="Y82" s="3335"/>
      <c r="Z82" s="3335"/>
      <c r="AA82" s="3335"/>
      <c r="AB82" s="3335"/>
      <c r="AC82" s="3335"/>
      <c r="AD82" s="3335"/>
      <c r="AE82" s="3335"/>
      <c r="AF82" s="3335"/>
      <c r="AG82" s="3335"/>
      <c r="AH82" s="3335"/>
      <c r="AI82" s="3335"/>
      <c r="AJ82" s="3335"/>
      <c r="AK82" s="3335"/>
      <c r="AL82" s="3335"/>
      <c r="AM82" s="3335"/>
      <c r="AN82" s="3335"/>
      <c r="AO82" s="3335"/>
      <c r="AP82" s="3335"/>
      <c r="AQ82" s="3335"/>
      <c r="AR82" s="3335"/>
      <c r="AS82" s="3335"/>
      <c r="AT82" s="3335"/>
      <c r="AU82" s="3335"/>
      <c r="AV82" s="3335"/>
      <c r="AW82" s="3335"/>
      <c r="AX82" s="3335"/>
      <c r="AY82" s="3335"/>
      <c r="AZ82" s="3335"/>
      <c r="BA82" s="3335"/>
      <c r="BB82" s="3335"/>
      <c r="BC82" s="3335"/>
      <c r="BD82" s="3335"/>
      <c r="BE82" s="3335"/>
      <c r="BF82" s="3335"/>
      <c r="BG82" s="3335"/>
      <c r="BH82" s="3335"/>
      <c r="BI82" s="3335"/>
      <c r="BJ82" s="3335"/>
      <c r="BK82" s="3335"/>
      <c r="BL82" s="3335"/>
      <c r="BM82" s="3335"/>
      <c r="BN82" s="3335"/>
      <c r="BO82" s="3335"/>
      <c r="BP82" s="3335"/>
      <c r="BQ82" s="3335"/>
      <c r="BR82" s="3335"/>
      <c r="BS82" s="3335"/>
      <c r="BT82" s="3335"/>
      <c r="BU82" s="3335"/>
      <c r="BV82" s="3335"/>
      <c r="BW82" s="3339"/>
      <c r="BX82" s="2670"/>
      <c r="BY82" s="3340"/>
      <c r="BZ82" s="822"/>
      <c r="CA82" s="822"/>
    </row>
    <row r="83" spans="3:79" ht="17.100000000000001" customHeight="1" x14ac:dyDescent="0.2">
      <c r="C83" s="3843"/>
      <c r="D83" s="3844"/>
      <c r="E83" s="3845"/>
      <c r="F83" s="3334"/>
      <c r="G83" s="3335"/>
      <c r="H83" s="3335"/>
      <c r="I83" s="3335"/>
      <c r="J83" s="3335"/>
      <c r="K83" s="3335"/>
      <c r="L83" s="3335"/>
      <c r="M83" s="3335"/>
      <c r="N83" s="3335"/>
      <c r="O83" s="3335"/>
      <c r="P83" s="3335"/>
      <c r="Q83" s="3335"/>
      <c r="R83" s="3335"/>
      <c r="S83" s="3335"/>
      <c r="T83" s="3335"/>
      <c r="U83" s="3335"/>
      <c r="V83" s="3335"/>
      <c r="W83" s="3335"/>
      <c r="X83" s="3335"/>
      <c r="Y83" s="3335"/>
      <c r="Z83" s="3364"/>
      <c r="AA83" s="3335"/>
      <c r="AB83" s="3335"/>
      <c r="AC83" s="3335"/>
      <c r="AD83" s="3335"/>
      <c r="AE83" s="3335"/>
      <c r="AF83" s="3335"/>
      <c r="AG83" s="3335"/>
      <c r="AH83" s="3335"/>
      <c r="AI83" s="3335"/>
      <c r="AJ83" s="3335"/>
      <c r="AK83" s="3335"/>
      <c r="AL83" s="3335"/>
      <c r="AM83" s="3335"/>
      <c r="AN83" s="3335"/>
      <c r="AO83" s="3335"/>
      <c r="AP83" s="3335"/>
      <c r="AQ83" s="3335"/>
      <c r="AR83" s="3335"/>
      <c r="AS83" s="3335"/>
      <c r="AT83" s="3335"/>
      <c r="AU83" s="3335"/>
      <c r="AV83" s="3335"/>
      <c r="AW83" s="3335"/>
      <c r="AX83" s="3335"/>
      <c r="AY83" s="3335"/>
      <c r="AZ83" s="3335"/>
      <c r="BA83" s="3335"/>
      <c r="BB83" s="3335"/>
      <c r="BC83" s="3335"/>
      <c r="BD83" s="3335"/>
      <c r="BE83" s="3335"/>
      <c r="BF83" s="3335"/>
      <c r="BG83" s="3335"/>
      <c r="BH83" s="3335"/>
      <c r="BI83" s="3335"/>
      <c r="BJ83" s="3335"/>
      <c r="BK83" s="3335"/>
      <c r="BL83" s="3335"/>
      <c r="BM83" s="3335"/>
      <c r="BN83" s="3335"/>
      <c r="BO83" s="3335"/>
      <c r="BP83" s="3335"/>
      <c r="BQ83" s="3335"/>
      <c r="BR83" s="3335"/>
      <c r="BS83" s="3335"/>
      <c r="BT83" s="3335"/>
      <c r="BU83" s="3335"/>
      <c r="BV83" s="3335"/>
      <c r="BW83" s="3339"/>
      <c r="BX83" s="2670"/>
      <c r="BY83" s="3340"/>
      <c r="BZ83" s="822"/>
      <c r="CA83" s="822"/>
    </row>
    <row r="84" spans="3:79" ht="17.100000000000001" customHeight="1" x14ac:dyDescent="0.2">
      <c r="C84" s="3843"/>
      <c r="D84" s="3844"/>
      <c r="E84" s="3845"/>
      <c r="F84" s="3334"/>
      <c r="G84" s="3335"/>
      <c r="H84" s="3335"/>
      <c r="I84" s="3335"/>
      <c r="J84" s="3335"/>
      <c r="K84" s="3335"/>
      <c r="L84" s="3335"/>
      <c r="M84" s="3335"/>
      <c r="N84" s="3335"/>
      <c r="O84" s="3335"/>
      <c r="P84" s="3335"/>
      <c r="Q84" s="3335"/>
      <c r="R84" s="3335"/>
      <c r="S84" s="3335"/>
      <c r="T84" s="3335"/>
      <c r="U84" s="3335"/>
      <c r="V84" s="3335"/>
      <c r="W84" s="3335"/>
      <c r="X84" s="3335"/>
      <c r="Y84" s="3335"/>
      <c r="Z84" s="3335"/>
      <c r="AA84" s="3335"/>
      <c r="AB84" s="3335"/>
      <c r="AC84" s="3335"/>
      <c r="AD84" s="3335"/>
      <c r="AE84" s="3335"/>
      <c r="AF84" s="3335"/>
      <c r="AG84" s="3335"/>
      <c r="AH84" s="3335"/>
      <c r="AI84" s="3335"/>
      <c r="AJ84" s="3335"/>
      <c r="AK84" s="3335"/>
      <c r="AL84" s="3335"/>
      <c r="AM84" s="3335"/>
      <c r="AN84" s="3335"/>
      <c r="AO84" s="3335"/>
      <c r="AP84" s="3335"/>
      <c r="AQ84" s="3335"/>
      <c r="AR84" s="3335"/>
      <c r="AS84" s="3335"/>
      <c r="AT84" s="3335"/>
      <c r="AU84" s="3335"/>
      <c r="AV84" s="3335"/>
      <c r="AW84" s="3335"/>
      <c r="AX84" s="3335"/>
      <c r="AY84" s="3335"/>
      <c r="AZ84" s="3335"/>
      <c r="BA84" s="3335"/>
      <c r="BB84" s="3335"/>
      <c r="BC84" s="3335"/>
      <c r="BD84" s="3335"/>
      <c r="BE84" s="3335"/>
      <c r="BF84" s="3335"/>
      <c r="BG84" s="3335"/>
      <c r="BH84" s="3335"/>
      <c r="BI84" s="3335"/>
      <c r="BJ84" s="3335"/>
      <c r="BK84" s="3335"/>
      <c r="BL84" s="3335"/>
      <c r="BM84" s="3335"/>
      <c r="BN84" s="3335"/>
      <c r="BO84" s="3335"/>
      <c r="BP84" s="3335"/>
      <c r="BQ84" s="3335"/>
      <c r="BR84" s="3335"/>
      <c r="BS84" s="3335"/>
      <c r="BT84" s="3335"/>
      <c r="BU84" s="3335"/>
      <c r="BV84" s="3335"/>
      <c r="BW84" s="3339"/>
      <c r="BX84" s="2670"/>
      <c r="BY84" s="3340"/>
      <c r="BZ84" s="822"/>
      <c r="CA84" s="822"/>
    </row>
    <row r="85" spans="3:79" ht="17.100000000000001" customHeight="1" x14ac:dyDescent="0.2">
      <c r="C85" s="3843"/>
      <c r="D85" s="3844"/>
      <c r="E85" s="3845"/>
      <c r="F85" s="3334"/>
      <c r="G85" s="3335"/>
      <c r="H85" s="3335"/>
      <c r="I85" s="3335"/>
      <c r="J85" s="3335"/>
      <c r="K85" s="3335"/>
      <c r="L85" s="3335"/>
      <c r="M85" s="3335"/>
      <c r="N85" s="3335"/>
      <c r="O85" s="3335"/>
      <c r="P85" s="3335"/>
      <c r="Q85" s="3335"/>
      <c r="R85" s="3335"/>
      <c r="S85" s="3335"/>
      <c r="T85" s="3335"/>
      <c r="U85" s="3335"/>
      <c r="V85" s="3335"/>
      <c r="W85" s="3335"/>
      <c r="X85" s="3335"/>
      <c r="Y85" s="3335"/>
      <c r="Z85" s="3335"/>
      <c r="AA85" s="3335"/>
      <c r="AB85" s="3335"/>
      <c r="AC85" s="3335"/>
      <c r="AD85" s="3335"/>
      <c r="AE85" s="3335"/>
      <c r="AF85" s="3335"/>
      <c r="AG85" s="3335"/>
      <c r="AH85" s="3335"/>
      <c r="AI85" s="3335"/>
      <c r="AJ85" s="3335"/>
      <c r="AK85" s="3335"/>
      <c r="AL85" s="3335"/>
      <c r="AM85" s="3335"/>
      <c r="AN85" s="3335"/>
      <c r="AO85" s="3335"/>
      <c r="AP85" s="3335"/>
      <c r="AQ85" s="3335"/>
      <c r="AR85" s="3335"/>
      <c r="AS85" s="3335"/>
      <c r="AT85" s="3335"/>
      <c r="AU85" s="3335"/>
      <c r="AV85" s="3335"/>
      <c r="AW85" s="3335"/>
      <c r="AX85" s="3335"/>
      <c r="AY85" s="3335"/>
      <c r="AZ85" s="3335"/>
      <c r="BA85" s="3335"/>
      <c r="BB85" s="3335"/>
      <c r="BC85" s="3335"/>
      <c r="BD85" s="3335"/>
      <c r="BE85" s="3335"/>
      <c r="BF85" s="3335"/>
      <c r="BG85" s="3335"/>
      <c r="BH85" s="3335"/>
      <c r="BI85" s="3335"/>
      <c r="BJ85" s="3335"/>
      <c r="BK85" s="3335"/>
      <c r="BL85" s="3335"/>
      <c r="BM85" s="3335"/>
      <c r="BN85" s="3335"/>
      <c r="BO85" s="3335"/>
      <c r="BP85" s="3335"/>
      <c r="BQ85" s="3335"/>
      <c r="BR85" s="3335"/>
      <c r="BS85" s="3335"/>
      <c r="BT85" s="3335"/>
      <c r="BU85" s="3335"/>
      <c r="BV85" s="3335"/>
      <c r="BW85" s="3339"/>
      <c r="BX85" s="2670"/>
      <c r="BY85" s="3340"/>
      <c r="BZ85" s="822"/>
      <c r="CA85" s="822"/>
    </row>
    <row r="86" spans="3:79" ht="17.100000000000001" customHeight="1" x14ac:dyDescent="0.2">
      <c r="C86" s="3843"/>
      <c r="D86" s="3844"/>
      <c r="E86" s="3845"/>
      <c r="F86" s="3334"/>
      <c r="G86" s="3335"/>
      <c r="H86" s="3335"/>
      <c r="I86" s="3335"/>
      <c r="J86" s="3335"/>
      <c r="K86" s="3335"/>
      <c r="L86" s="3335"/>
      <c r="M86" s="3335"/>
      <c r="N86" s="3335"/>
      <c r="O86" s="3335"/>
      <c r="P86" s="3335"/>
      <c r="Q86" s="3335"/>
      <c r="R86" s="3335"/>
      <c r="S86" s="3335"/>
      <c r="T86" s="3335"/>
      <c r="U86" s="3335"/>
      <c r="V86" s="3335"/>
      <c r="W86" s="3335"/>
      <c r="X86" s="3335"/>
      <c r="Y86" s="3335"/>
      <c r="Z86" s="3335"/>
      <c r="AA86" s="3335"/>
      <c r="AB86" s="3335"/>
      <c r="AC86" s="3335"/>
      <c r="AD86" s="3335"/>
      <c r="AE86" s="3335"/>
      <c r="AF86" s="3335"/>
      <c r="AG86" s="3335"/>
      <c r="AH86" s="3335"/>
      <c r="AI86" s="3335"/>
      <c r="AJ86" s="3335"/>
      <c r="AK86" s="3335"/>
      <c r="AL86" s="3335"/>
      <c r="AM86" s="3335"/>
      <c r="AN86" s="3335"/>
      <c r="AO86" s="3335"/>
      <c r="AP86" s="3335"/>
      <c r="AQ86" s="3335"/>
      <c r="AR86" s="3335"/>
      <c r="AS86" s="3335"/>
      <c r="AT86" s="3335"/>
      <c r="AU86" s="3335"/>
      <c r="AV86" s="3335"/>
      <c r="AW86" s="3335"/>
      <c r="AX86" s="3335"/>
      <c r="AY86" s="3335"/>
      <c r="AZ86" s="3335"/>
      <c r="BA86" s="3335"/>
      <c r="BB86" s="3335"/>
      <c r="BC86" s="3335"/>
      <c r="BD86" s="3335"/>
      <c r="BE86" s="3335"/>
      <c r="BF86" s="3335"/>
      <c r="BG86" s="3335"/>
      <c r="BH86" s="3335"/>
      <c r="BI86" s="3335"/>
      <c r="BJ86" s="3335"/>
      <c r="BK86" s="3335"/>
      <c r="BL86" s="3335"/>
      <c r="BM86" s="3335"/>
      <c r="BN86" s="3335"/>
      <c r="BO86" s="3335"/>
      <c r="BP86" s="3335"/>
      <c r="BQ86" s="3335"/>
      <c r="BR86" s="3335"/>
      <c r="BS86" s="3335"/>
      <c r="BT86" s="3335"/>
      <c r="BU86" s="3335"/>
      <c r="BV86" s="3335"/>
      <c r="BW86" s="3339"/>
      <c r="BX86" s="2670"/>
      <c r="BY86" s="3340"/>
      <c r="BZ86" s="822"/>
      <c r="CA86" s="822"/>
    </row>
    <row r="87" spans="3:79" ht="17.100000000000001" customHeight="1" x14ac:dyDescent="0.2">
      <c r="C87" s="3843"/>
      <c r="D87" s="3844"/>
      <c r="E87" s="3845"/>
      <c r="F87" s="3334"/>
      <c r="G87" s="3335"/>
      <c r="H87" s="3335"/>
      <c r="I87" s="3335"/>
      <c r="J87" s="3335"/>
      <c r="K87" s="3335"/>
      <c r="L87" s="3335"/>
      <c r="M87" s="3335"/>
      <c r="N87" s="3335"/>
      <c r="O87" s="3335"/>
      <c r="P87" s="3335"/>
      <c r="Q87" s="3335"/>
      <c r="R87" s="3335"/>
      <c r="S87" s="3335"/>
      <c r="T87" s="3335"/>
      <c r="U87" s="3335"/>
      <c r="V87" s="3335"/>
      <c r="W87" s="3335"/>
      <c r="X87" s="3335"/>
      <c r="Y87" s="3335"/>
      <c r="Z87" s="3335"/>
      <c r="AA87" s="3335"/>
      <c r="AB87" s="3335"/>
      <c r="AC87" s="3335"/>
      <c r="AD87" s="3335"/>
      <c r="AE87" s="3335"/>
      <c r="AF87" s="3335"/>
      <c r="AG87" s="3335"/>
      <c r="AH87" s="3335"/>
      <c r="AI87" s="3335"/>
      <c r="AJ87" s="3335"/>
      <c r="AK87" s="3335"/>
      <c r="AL87" s="3335"/>
      <c r="AM87" s="3335"/>
      <c r="AN87" s="3335"/>
      <c r="AO87" s="3335"/>
      <c r="AP87" s="3335"/>
      <c r="AQ87" s="3335"/>
      <c r="AR87" s="3335"/>
      <c r="AS87" s="3335"/>
      <c r="AT87" s="3335"/>
      <c r="AU87" s="3335"/>
      <c r="AV87" s="3335"/>
      <c r="AW87" s="3335"/>
      <c r="AX87" s="3335"/>
      <c r="AY87" s="3335"/>
      <c r="AZ87" s="3335"/>
      <c r="BA87" s="3335"/>
      <c r="BB87" s="3335"/>
      <c r="BC87" s="3335"/>
      <c r="BD87" s="3335"/>
      <c r="BE87" s="3335"/>
      <c r="BF87" s="3335"/>
      <c r="BG87" s="3335"/>
      <c r="BH87" s="3335"/>
      <c r="BI87" s="3335"/>
      <c r="BJ87" s="3335"/>
      <c r="BK87" s="3335"/>
      <c r="BL87" s="3335"/>
      <c r="BM87" s="3335"/>
      <c r="BN87" s="3335"/>
      <c r="BO87" s="3335"/>
      <c r="BP87" s="3335"/>
      <c r="BQ87" s="3335"/>
      <c r="BR87" s="3335"/>
      <c r="BS87" s="3335"/>
      <c r="BT87" s="3335"/>
      <c r="BU87" s="3335"/>
      <c r="BV87" s="3335"/>
      <c r="BW87" s="3339"/>
      <c r="BX87" s="2670"/>
      <c r="BY87" s="3340"/>
      <c r="BZ87" s="822"/>
      <c r="CA87" s="822"/>
    </row>
    <row r="88" spans="3:79" ht="17.100000000000001" customHeight="1" x14ac:dyDescent="0.2">
      <c r="C88" s="3843"/>
      <c r="D88" s="3844"/>
      <c r="E88" s="3845"/>
      <c r="F88" s="3334"/>
      <c r="G88" s="3335"/>
      <c r="H88" s="3335"/>
      <c r="I88" s="3335"/>
      <c r="J88" s="3335"/>
      <c r="K88" s="3335"/>
      <c r="L88" s="3335"/>
      <c r="M88" s="3335"/>
      <c r="N88" s="3335"/>
      <c r="O88" s="3335"/>
      <c r="P88" s="3335"/>
      <c r="Q88" s="3335"/>
      <c r="R88" s="3335"/>
      <c r="S88" s="3335"/>
      <c r="T88" s="3335"/>
      <c r="U88" s="3335"/>
      <c r="V88" s="3335"/>
      <c r="W88" s="3335"/>
      <c r="X88" s="3335"/>
      <c r="Y88" s="3335"/>
      <c r="Z88" s="3335"/>
      <c r="AA88" s="3335"/>
      <c r="AB88" s="3335"/>
      <c r="AC88" s="3335"/>
      <c r="AD88" s="3335"/>
      <c r="AE88" s="3335"/>
      <c r="AF88" s="3335"/>
      <c r="AG88" s="3335"/>
      <c r="AH88" s="3335"/>
      <c r="AI88" s="3335"/>
      <c r="AJ88" s="3335"/>
      <c r="AK88" s="3335"/>
      <c r="AL88" s="3335"/>
      <c r="AM88" s="3335"/>
      <c r="AN88" s="3335"/>
      <c r="AO88" s="3335"/>
      <c r="AP88" s="3335"/>
      <c r="AQ88" s="3335"/>
      <c r="AR88" s="3335"/>
      <c r="AS88" s="3335"/>
      <c r="AT88" s="3335"/>
      <c r="AU88" s="3335"/>
      <c r="AV88" s="3335"/>
      <c r="AW88" s="3335"/>
      <c r="AX88" s="3335"/>
      <c r="AY88" s="3335"/>
      <c r="AZ88" s="3335"/>
      <c r="BA88" s="3335"/>
      <c r="BB88" s="3335"/>
      <c r="BC88" s="3335"/>
      <c r="BD88" s="3335"/>
      <c r="BE88" s="3335"/>
      <c r="BF88" s="3335"/>
      <c r="BG88" s="3335"/>
      <c r="BH88" s="3335"/>
      <c r="BI88" s="3335"/>
      <c r="BJ88" s="3335"/>
      <c r="BK88" s="3335"/>
      <c r="BL88" s="3335"/>
      <c r="BM88" s="3335"/>
      <c r="BN88" s="3335"/>
      <c r="BO88" s="3335"/>
      <c r="BP88" s="3335"/>
      <c r="BQ88" s="3335"/>
      <c r="BR88" s="3335"/>
      <c r="BS88" s="3335"/>
      <c r="BT88" s="3335"/>
      <c r="BU88" s="3335"/>
      <c r="BV88" s="3335"/>
      <c r="BW88" s="3339"/>
      <c r="BX88" s="2670"/>
      <c r="BY88" s="3340"/>
      <c r="BZ88" s="822"/>
      <c r="CA88" s="822"/>
    </row>
    <row r="89" spans="3:79" ht="17.100000000000001" customHeight="1" x14ac:dyDescent="0.2">
      <c r="C89" s="3843"/>
      <c r="D89" s="3844"/>
      <c r="E89" s="3845"/>
      <c r="F89" s="3334"/>
      <c r="G89" s="3335"/>
      <c r="H89" s="3335"/>
      <c r="I89" s="3335"/>
      <c r="J89" s="3335"/>
      <c r="K89" s="3335"/>
      <c r="L89" s="3335"/>
      <c r="M89" s="3335"/>
      <c r="N89" s="3335"/>
      <c r="O89" s="3335"/>
      <c r="P89" s="3335"/>
      <c r="Q89" s="3335"/>
      <c r="R89" s="3335"/>
      <c r="S89" s="3335"/>
      <c r="T89" s="3335"/>
      <c r="U89" s="3335"/>
      <c r="V89" s="3335"/>
      <c r="W89" s="3335"/>
      <c r="X89" s="3335"/>
      <c r="Y89" s="3335"/>
      <c r="Z89" s="3335"/>
      <c r="AA89" s="3335"/>
      <c r="AB89" s="3335"/>
      <c r="AC89" s="3335"/>
      <c r="AD89" s="3335"/>
      <c r="AE89" s="3335"/>
      <c r="AF89" s="3335"/>
      <c r="AG89" s="3335"/>
      <c r="AH89" s="3335"/>
      <c r="AI89" s="3335"/>
      <c r="AJ89" s="3335"/>
      <c r="AK89" s="3335"/>
      <c r="AL89" s="3335"/>
      <c r="AM89" s="3335"/>
      <c r="AN89" s="3335"/>
      <c r="AO89" s="3335"/>
      <c r="AP89" s="3335"/>
      <c r="AQ89" s="3335"/>
      <c r="AR89" s="3335"/>
      <c r="AS89" s="3335"/>
      <c r="AT89" s="3335"/>
      <c r="AU89" s="3335"/>
      <c r="AV89" s="3335"/>
      <c r="AW89" s="3335"/>
      <c r="AX89" s="3335"/>
      <c r="AY89" s="3335"/>
      <c r="AZ89" s="3335"/>
      <c r="BA89" s="3335"/>
      <c r="BB89" s="3335"/>
      <c r="BC89" s="3335"/>
      <c r="BD89" s="3335"/>
      <c r="BE89" s="3335"/>
      <c r="BF89" s="3335"/>
      <c r="BG89" s="3335"/>
      <c r="BH89" s="3335"/>
      <c r="BI89" s="3335"/>
      <c r="BJ89" s="3335"/>
      <c r="BK89" s="3335"/>
      <c r="BL89" s="3335"/>
      <c r="BM89" s="3335"/>
      <c r="BN89" s="3335"/>
      <c r="BO89" s="3335"/>
      <c r="BP89" s="3335"/>
      <c r="BQ89" s="3335"/>
      <c r="BR89" s="3335"/>
      <c r="BS89" s="3335"/>
      <c r="BT89" s="3335"/>
      <c r="BU89" s="3335"/>
      <c r="BV89" s="3335"/>
      <c r="BW89" s="3339"/>
      <c r="BX89" s="2670"/>
      <c r="BY89" s="3340"/>
      <c r="BZ89" s="822"/>
      <c r="CA89" s="822"/>
    </row>
    <row r="90" spans="3:79" ht="17.100000000000001" customHeight="1" x14ac:dyDescent="0.2">
      <c r="C90" s="3843"/>
      <c r="D90" s="3844"/>
      <c r="E90" s="3845"/>
      <c r="F90" s="3334"/>
      <c r="G90" s="3335"/>
      <c r="H90" s="3335"/>
      <c r="I90" s="3335"/>
      <c r="J90" s="3335"/>
      <c r="K90" s="3335"/>
      <c r="L90" s="3335"/>
      <c r="M90" s="3335"/>
      <c r="N90" s="3335"/>
      <c r="O90" s="3335"/>
      <c r="P90" s="3335"/>
      <c r="Q90" s="3335"/>
      <c r="R90" s="3335"/>
      <c r="S90" s="3335"/>
      <c r="T90" s="3335"/>
      <c r="U90" s="3335"/>
      <c r="V90" s="3335"/>
      <c r="W90" s="3335"/>
      <c r="X90" s="3335"/>
      <c r="Y90" s="3335"/>
      <c r="Z90" s="3335"/>
      <c r="AA90" s="3335"/>
      <c r="AB90" s="3335"/>
      <c r="AC90" s="3335"/>
      <c r="AD90" s="3335"/>
      <c r="AE90" s="3335"/>
      <c r="AF90" s="3335"/>
      <c r="AG90" s="3335"/>
      <c r="AH90" s="3335"/>
      <c r="AI90" s="3335"/>
      <c r="AJ90" s="3335"/>
      <c r="AK90" s="3335"/>
      <c r="AL90" s="3335"/>
      <c r="AM90" s="3335"/>
      <c r="AN90" s="3335"/>
      <c r="AO90" s="3335"/>
      <c r="AP90" s="3335"/>
      <c r="AQ90" s="3335"/>
      <c r="AR90" s="3335"/>
      <c r="AS90" s="3335"/>
      <c r="AT90" s="3335"/>
      <c r="AU90" s="3335"/>
      <c r="AV90" s="3335"/>
      <c r="AW90" s="3335"/>
      <c r="AX90" s="3335"/>
      <c r="AY90" s="3335"/>
      <c r="AZ90" s="3335"/>
      <c r="BA90" s="3335"/>
      <c r="BB90" s="3335"/>
      <c r="BC90" s="3335"/>
      <c r="BD90" s="3335"/>
      <c r="BE90" s="3335"/>
      <c r="BF90" s="3335"/>
      <c r="BG90" s="3335"/>
      <c r="BH90" s="3335"/>
      <c r="BI90" s="3335"/>
      <c r="BJ90" s="3335"/>
      <c r="BK90" s="3335"/>
      <c r="BL90" s="3335"/>
      <c r="BM90" s="3335"/>
      <c r="BN90" s="3335"/>
      <c r="BO90" s="3335"/>
      <c r="BP90" s="3335"/>
      <c r="BQ90" s="3335"/>
      <c r="BR90" s="3335"/>
      <c r="BS90" s="3335"/>
      <c r="BT90" s="3335"/>
      <c r="BU90" s="3335"/>
      <c r="BV90" s="3335"/>
      <c r="BW90" s="3339"/>
      <c r="BX90" s="2670"/>
      <c r="BY90" s="3340"/>
      <c r="BZ90" s="822"/>
      <c r="CA90" s="822"/>
    </row>
    <row r="91" spans="3:79" ht="17.100000000000001" customHeight="1" x14ac:dyDescent="0.2">
      <c r="C91" s="3843"/>
      <c r="D91" s="3844"/>
      <c r="E91" s="3845"/>
      <c r="F91" s="3334"/>
      <c r="G91" s="3335"/>
      <c r="H91" s="3335"/>
      <c r="I91" s="3335"/>
      <c r="J91" s="3335"/>
      <c r="K91" s="3335"/>
      <c r="L91" s="3335"/>
      <c r="M91" s="3335"/>
      <c r="N91" s="3335"/>
      <c r="O91" s="3335"/>
      <c r="P91" s="3335"/>
      <c r="Q91" s="3335"/>
      <c r="R91" s="3335"/>
      <c r="S91" s="3335"/>
      <c r="T91" s="3335"/>
      <c r="U91" s="3335"/>
      <c r="V91" s="3335"/>
      <c r="W91" s="3335"/>
      <c r="X91" s="3335"/>
      <c r="Y91" s="3335"/>
      <c r="Z91" s="3335"/>
      <c r="AA91" s="3335"/>
      <c r="AB91" s="3335"/>
      <c r="AC91" s="3335"/>
      <c r="AD91" s="3335"/>
      <c r="AE91" s="3335"/>
      <c r="AF91" s="3335"/>
      <c r="AG91" s="3335"/>
      <c r="AH91" s="3335"/>
      <c r="AI91" s="3335"/>
      <c r="AJ91" s="3335"/>
      <c r="AK91" s="3335"/>
      <c r="AL91" s="3335"/>
      <c r="AM91" s="3335"/>
      <c r="AN91" s="3335"/>
      <c r="AO91" s="3335"/>
      <c r="AP91" s="3335"/>
      <c r="AQ91" s="3335"/>
      <c r="AR91" s="3335"/>
      <c r="AS91" s="3335"/>
      <c r="AT91" s="3335"/>
      <c r="AU91" s="3335"/>
      <c r="AV91" s="3335"/>
      <c r="AW91" s="3335"/>
      <c r="AX91" s="3335"/>
      <c r="AY91" s="3335"/>
      <c r="AZ91" s="3335"/>
      <c r="BA91" s="3335"/>
      <c r="BB91" s="3335"/>
      <c r="BC91" s="3335"/>
      <c r="BD91" s="3335"/>
      <c r="BE91" s="3335"/>
      <c r="BF91" s="3335"/>
      <c r="BG91" s="3335"/>
      <c r="BH91" s="3335"/>
      <c r="BI91" s="3335"/>
      <c r="BJ91" s="3335"/>
      <c r="BK91" s="3335"/>
      <c r="BL91" s="3335"/>
      <c r="BM91" s="3335"/>
      <c r="BN91" s="3335"/>
      <c r="BO91" s="3335"/>
      <c r="BP91" s="3335"/>
      <c r="BQ91" s="3335"/>
      <c r="BR91" s="3335"/>
      <c r="BS91" s="3335"/>
      <c r="BT91" s="3335"/>
      <c r="BU91" s="3335"/>
      <c r="BV91" s="3335"/>
      <c r="BW91" s="3339"/>
      <c r="BX91" s="2670"/>
      <c r="BY91" s="3340"/>
      <c r="BZ91" s="822"/>
      <c r="CA91" s="822"/>
    </row>
    <row r="92" spans="3:79" ht="17.100000000000001" customHeight="1" x14ac:dyDescent="0.2">
      <c r="C92" s="3843"/>
      <c r="D92" s="3844"/>
      <c r="E92" s="3845"/>
      <c r="F92" s="3334"/>
      <c r="G92" s="3335"/>
      <c r="H92" s="3335"/>
      <c r="I92" s="3335"/>
      <c r="J92" s="3335"/>
      <c r="K92" s="3335"/>
      <c r="L92" s="3335"/>
      <c r="M92" s="3335"/>
      <c r="N92" s="3335"/>
      <c r="O92" s="3335"/>
      <c r="P92" s="3335"/>
      <c r="Q92" s="3335"/>
      <c r="R92" s="3335"/>
      <c r="S92" s="3335"/>
      <c r="T92" s="3335"/>
      <c r="U92" s="3335"/>
      <c r="V92" s="3335"/>
      <c r="W92" s="3335"/>
      <c r="X92" s="3335"/>
      <c r="Y92" s="3335"/>
      <c r="Z92" s="3335"/>
      <c r="AA92" s="3335"/>
      <c r="AB92" s="3335"/>
      <c r="AC92" s="3335"/>
      <c r="AD92" s="3335"/>
      <c r="AE92" s="3335"/>
      <c r="AF92" s="3335"/>
      <c r="AG92" s="3335"/>
      <c r="AH92" s="3335"/>
      <c r="AI92" s="3335"/>
      <c r="AJ92" s="3335"/>
      <c r="AK92" s="3335"/>
      <c r="AL92" s="3335"/>
      <c r="AM92" s="3335"/>
      <c r="AN92" s="3335"/>
      <c r="AO92" s="3335"/>
      <c r="AP92" s="3335"/>
      <c r="AQ92" s="3335"/>
      <c r="AR92" s="3335"/>
      <c r="AS92" s="3335"/>
      <c r="AT92" s="3335"/>
      <c r="AU92" s="3335"/>
      <c r="AV92" s="3335"/>
      <c r="AW92" s="3335"/>
      <c r="AX92" s="3335"/>
      <c r="AY92" s="3335"/>
      <c r="AZ92" s="3335"/>
      <c r="BA92" s="3335"/>
      <c r="BB92" s="3335"/>
      <c r="BC92" s="3335"/>
      <c r="BD92" s="3335"/>
      <c r="BE92" s="3335"/>
      <c r="BF92" s="3335"/>
      <c r="BG92" s="3335"/>
      <c r="BH92" s="3335"/>
      <c r="BI92" s="3335"/>
      <c r="BJ92" s="3335"/>
      <c r="BK92" s="3335"/>
      <c r="BL92" s="3335"/>
      <c r="BM92" s="3335"/>
      <c r="BN92" s="3335"/>
      <c r="BO92" s="3335"/>
      <c r="BP92" s="3335"/>
      <c r="BQ92" s="3335"/>
      <c r="BR92" s="3335"/>
      <c r="BS92" s="3335"/>
      <c r="BT92" s="3335"/>
      <c r="BU92" s="3335"/>
      <c r="BV92" s="3335"/>
      <c r="BW92" s="3339"/>
      <c r="BX92" s="2670"/>
      <c r="BY92" s="3340"/>
      <c r="BZ92" s="822"/>
      <c r="CA92" s="822"/>
    </row>
    <row r="93" spans="3:79" ht="17.100000000000001" customHeight="1" x14ac:dyDescent="0.2">
      <c r="C93" s="3843"/>
      <c r="D93" s="3844"/>
      <c r="E93" s="3845"/>
      <c r="F93" s="3334"/>
      <c r="G93" s="3335"/>
      <c r="H93" s="3335"/>
      <c r="I93" s="3335"/>
      <c r="J93" s="3335"/>
      <c r="K93" s="3335"/>
      <c r="L93" s="3335"/>
      <c r="M93" s="3335"/>
      <c r="N93" s="3335"/>
      <c r="O93" s="3335"/>
      <c r="P93" s="3335"/>
      <c r="Q93" s="3335"/>
      <c r="R93" s="3335"/>
      <c r="S93" s="3335"/>
      <c r="T93" s="3335"/>
      <c r="U93" s="3335"/>
      <c r="V93" s="3335"/>
      <c r="W93" s="3335"/>
      <c r="X93" s="3335"/>
      <c r="Y93" s="3335"/>
      <c r="Z93" s="3335"/>
      <c r="AA93" s="3335"/>
      <c r="AB93" s="3335"/>
      <c r="AC93" s="3335"/>
      <c r="AD93" s="3335"/>
      <c r="AE93" s="3335"/>
      <c r="AF93" s="3335"/>
      <c r="AG93" s="3335"/>
      <c r="AH93" s="3335"/>
      <c r="AI93" s="3335"/>
      <c r="AJ93" s="3335"/>
      <c r="AK93" s="3335"/>
      <c r="AL93" s="3335"/>
      <c r="AM93" s="3335"/>
      <c r="AN93" s="3335"/>
      <c r="AO93" s="3335"/>
      <c r="AP93" s="3335"/>
      <c r="AQ93" s="3335"/>
      <c r="AR93" s="3335"/>
      <c r="AS93" s="3335"/>
      <c r="AT93" s="3335"/>
      <c r="AU93" s="3335"/>
      <c r="AV93" s="3335"/>
      <c r="AW93" s="3335"/>
      <c r="AX93" s="3335"/>
      <c r="AY93" s="3335"/>
      <c r="AZ93" s="3335"/>
      <c r="BA93" s="3335"/>
      <c r="BB93" s="3335"/>
      <c r="BC93" s="3335"/>
      <c r="BD93" s="3335"/>
      <c r="BE93" s="3335"/>
      <c r="BF93" s="3335"/>
      <c r="BG93" s="3335"/>
      <c r="BH93" s="3335"/>
      <c r="BI93" s="3335"/>
      <c r="BJ93" s="3335"/>
      <c r="BK93" s="3335"/>
      <c r="BL93" s="3335"/>
      <c r="BM93" s="3335"/>
      <c r="BN93" s="3335"/>
      <c r="BO93" s="3335"/>
      <c r="BP93" s="3335"/>
      <c r="BQ93" s="3335"/>
      <c r="BR93" s="3335"/>
      <c r="BS93" s="3335"/>
      <c r="BT93" s="3335"/>
      <c r="BU93" s="3335"/>
      <c r="BV93" s="3335"/>
      <c r="BW93" s="3339"/>
      <c r="BX93" s="2670"/>
      <c r="BY93" s="3340"/>
      <c r="BZ93" s="822"/>
      <c r="CA93" s="822"/>
    </row>
    <row r="94" spans="3:79" ht="17.100000000000001" customHeight="1" x14ac:dyDescent="0.2">
      <c r="C94" s="3843"/>
      <c r="D94" s="3844"/>
      <c r="E94" s="3845"/>
      <c r="F94" s="3334"/>
      <c r="G94" s="3335"/>
      <c r="H94" s="3335"/>
      <c r="I94" s="3335"/>
      <c r="J94" s="3335"/>
      <c r="K94" s="3335"/>
      <c r="L94" s="3335"/>
      <c r="M94" s="3335"/>
      <c r="N94" s="3335"/>
      <c r="O94" s="3335"/>
      <c r="P94" s="3335"/>
      <c r="Q94" s="3335"/>
      <c r="R94" s="3335"/>
      <c r="S94" s="3335"/>
      <c r="T94" s="3335"/>
      <c r="U94" s="3335"/>
      <c r="V94" s="3335"/>
      <c r="W94" s="3335"/>
      <c r="X94" s="3335"/>
      <c r="Y94" s="3335"/>
      <c r="Z94" s="3335"/>
      <c r="AA94" s="3335"/>
      <c r="AB94" s="3335"/>
      <c r="AC94" s="3335"/>
      <c r="AD94" s="3335"/>
      <c r="AE94" s="3335"/>
      <c r="AF94" s="3335"/>
      <c r="AG94" s="3335"/>
      <c r="AH94" s="3335"/>
      <c r="AI94" s="3335"/>
      <c r="AJ94" s="3335"/>
      <c r="AK94" s="3335"/>
      <c r="AL94" s="3335"/>
      <c r="AM94" s="3335"/>
      <c r="AN94" s="3335"/>
      <c r="AO94" s="3335"/>
      <c r="AP94" s="3335"/>
      <c r="AQ94" s="3335"/>
      <c r="AR94" s="3335"/>
      <c r="AS94" s="3335"/>
      <c r="AT94" s="3335"/>
      <c r="AU94" s="3335"/>
      <c r="AV94" s="3335"/>
      <c r="AW94" s="3335"/>
      <c r="AX94" s="3335"/>
      <c r="AY94" s="3335"/>
      <c r="AZ94" s="3335"/>
      <c r="BA94" s="3335"/>
      <c r="BB94" s="3335"/>
      <c r="BC94" s="3335"/>
      <c r="BD94" s="3335"/>
      <c r="BE94" s="3335"/>
      <c r="BF94" s="3335"/>
      <c r="BG94" s="3335"/>
      <c r="BH94" s="3335"/>
      <c r="BI94" s="3335"/>
      <c r="BJ94" s="3335"/>
      <c r="BK94" s="3335"/>
      <c r="BL94" s="3335"/>
      <c r="BM94" s="3335"/>
      <c r="BN94" s="3335"/>
      <c r="BO94" s="3335"/>
      <c r="BP94" s="3335"/>
      <c r="BQ94" s="3335"/>
      <c r="BR94" s="3335"/>
      <c r="BS94" s="3335"/>
      <c r="BT94" s="3335"/>
      <c r="BU94" s="3335"/>
      <c r="BV94" s="3335"/>
      <c r="BW94" s="3339"/>
      <c r="BX94" s="2670"/>
      <c r="BY94" s="3340"/>
      <c r="BZ94" s="822"/>
      <c r="CA94" s="822"/>
    </row>
    <row r="95" spans="3:79" ht="17.100000000000001" customHeight="1" x14ac:dyDescent="0.2">
      <c r="C95" s="3843"/>
      <c r="D95" s="3844"/>
      <c r="E95" s="3845"/>
      <c r="F95" s="3334"/>
      <c r="G95" s="3335"/>
      <c r="H95" s="3335"/>
      <c r="I95" s="3335"/>
      <c r="J95" s="3335"/>
      <c r="K95" s="3335"/>
      <c r="L95" s="3335"/>
      <c r="M95" s="3335"/>
      <c r="N95" s="3335"/>
      <c r="O95" s="3335"/>
      <c r="P95" s="3335"/>
      <c r="Q95" s="3335"/>
      <c r="R95" s="3335"/>
      <c r="S95" s="3335"/>
      <c r="T95" s="3335"/>
      <c r="U95" s="3335"/>
      <c r="V95" s="3335"/>
      <c r="W95" s="3335"/>
      <c r="X95" s="3335"/>
      <c r="Y95" s="3335"/>
      <c r="Z95" s="3335"/>
      <c r="AA95" s="3335"/>
      <c r="AB95" s="3335"/>
      <c r="AC95" s="3335"/>
      <c r="AD95" s="3335"/>
      <c r="AE95" s="3335"/>
      <c r="AF95" s="3335"/>
      <c r="AG95" s="3335"/>
      <c r="AH95" s="3335"/>
      <c r="AI95" s="3335"/>
      <c r="AJ95" s="3335"/>
      <c r="AK95" s="3335"/>
      <c r="AL95" s="3335"/>
      <c r="AM95" s="3335"/>
      <c r="AN95" s="3335"/>
      <c r="AO95" s="3335"/>
      <c r="AP95" s="3335"/>
      <c r="AQ95" s="3335"/>
      <c r="AR95" s="3335"/>
      <c r="AS95" s="3335"/>
      <c r="AT95" s="3335"/>
      <c r="AU95" s="3335"/>
      <c r="AV95" s="3335"/>
      <c r="AW95" s="3335"/>
      <c r="AX95" s="3335"/>
      <c r="AY95" s="3335"/>
      <c r="AZ95" s="3335"/>
      <c r="BA95" s="3335"/>
      <c r="BB95" s="3335"/>
      <c r="BC95" s="3335"/>
      <c r="BD95" s="3335"/>
      <c r="BE95" s="3335"/>
      <c r="BF95" s="3335"/>
      <c r="BG95" s="3335"/>
      <c r="BH95" s="3335"/>
      <c r="BI95" s="3335"/>
      <c r="BJ95" s="3335"/>
      <c r="BK95" s="3335"/>
      <c r="BL95" s="3335"/>
      <c r="BM95" s="3335"/>
      <c r="BN95" s="3335"/>
      <c r="BO95" s="3335"/>
      <c r="BP95" s="3335"/>
      <c r="BQ95" s="3335"/>
      <c r="BR95" s="3335"/>
      <c r="BS95" s="3335"/>
      <c r="BT95" s="3335"/>
      <c r="BU95" s="3335"/>
      <c r="BV95" s="3335"/>
      <c r="BW95" s="3339"/>
      <c r="BX95" s="2670"/>
      <c r="BY95" s="3340"/>
      <c r="BZ95" s="822"/>
      <c r="CA95" s="822"/>
    </row>
    <row r="96" spans="3:79" ht="17.100000000000001" customHeight="1" x14ac:dyDescent="0.2">
      <c r="C96" s="3843"/>
      <c r="D96" s="3844"/>
      <c r="E96" s="3845"/>
      <c r="F96" s="3334"/>
      <c r="G96" s="3335"/>
      <c r="H96" s="3335"/>
      <c r="I96" s="3335"/>
      <c r="J96" s="3335"/>
      <c r="K96" s="3335"/>
      <c r="L96" s="3335"/>
      <c r="M96" s="3335"/>
      <c r="N96" s="3335"/>
      <c r="O96" s="3335"/>
      <c r="P96" s="3335"/>
      <c r="Q96" s="3335"/>
      <c r="R96" s="3335"/>
      <c r="S96" s="3335"/>
      <c r="T96" s="3335"/>
      <c r="U96" s="3335"/>
      <c r="V96" s="3335"/>
      <c r="W96" s="3335"/>
      <c r="X96" s="3335"/>
      <c r="Y96" s="3335"/>
      <c r="Z96" s="3335"/>
      <c r="AA96" s="3335"/>
      <c r="AB96" s="3335"/>
      <c r="AC96" s="3335"/>
      <c r="AD96" s="3335"/>
      <c r="AE96" s="3335"/>
      <c r="AF96" s="3335"/>
      <c r="AG96" s="3335"/>
      <c r="AH96" s="3335"/>
      <c r="AI96" s="3335"/>
      <c r="AJ96" s="3335"/>
      <c r="AK96" s="3335"/>
      <c r="AL96" s="3335"/>
      <c r="AM96" s="3335"/>
      <c r="AN96" s="3335"/>
      <c r="AO96" s="3335"/>
      <c r="AP96" s="3335"/>
      <c r="AQ96" s="3335"/>
      <c r="AR96" s="3335"/>
      <c r="AS96" s="3335"/>
      <c r="AT96" s="3335"/>
      <c r="AU96" s="3335"/>
      <c r="AV96" s="3335"/>
      <c r="AW96" s="3335"/>
      <c r="AX96" s="3335"/>
      <c r="AY96" s="3335"/>
      <c r="AZ96" s="3335"/>
      <c r="BA96" s="3335"/>
      <c r="BB96" s="3335"/>
      <c r="BC96" s="3335"/>
      <c r="BD96" s="3335"/>
      <c r="BE96" s="3335"/>
      <c r="BF96" s="3335"/>
      <c r="BG96" s="3335"/>
      <c r="BH96" s="3335"/>
      <c r="BI96" s="3335"/>
      <c r="BJ96" s="3335"/>
      <c r="BK96" s="3335"/>
      <c r="BL96" s="3335"/>
      <c r="BM96" s="3335"/>
      <c r="BN96" s="3335"/>
      <c r="BO96" s="3335"/>
      <c r="BP96" s="3335"/>
      <c r="BQ96" s="3335"/>
      <c r="BR96" s="3335"/>
      <c r="BS96" s="3335"/>
      <c r="BT96" s="3335"/>
      <c r="BU96" s="3335"/>
      <c r="BV96" s="3335"/>
      <c r="BW96" s="3339"/>
      <c r="BX96" s="2670"/>
      <c r="BY96" s="3340"/>
      <c r="BZ96" s="822"/>
      <c r="CA96" s="822"/>
    </row>
    <row r="97" spans="3:79" ht="17.100000000000001" customHeight="1" x14ac:dyDescent="0.2">
      <c r="C97" s="3843"/>
      <c r="D97" s="3844"/>
      <c r="E97" s="3845"/>
      <c r="F97" s="3334"/>
      <c r="G97" s="3335"/>
      <c r="H97" s="3335"/>
      <c r="I97" s="3335"/>
      <c r="J97" s="3335"/>
      <c r="K97" s="3335"/>
      <c r="L97" s="3335"/>
      <c r="M97" s="3335"/>
      <c r="N97" s="3335"/>
      <c r="O97" s="3335"/>
      <c r="P97" s="3335"/>
      <c r="Q97" s="3335"/>
      <c r="R97" s="3335"/>
      <c r="S97" s="3335"/>
      <c r="T97" s="3335"/>
      <c r="U97" s="3335"/>
      <c r="V97" s="3335"/>
      <c r="W97" s="3335"/>
      <c r="X97" s="3335"/>
      <c r="Y97" s="3335"/>
      <c r="Z97" s="3335"/>
      <c r="AA97" s="3335"/>
      <c r="AB97" s="3335"/>
      <c r="AC97" s="3335"/>
      <c r="AD97" s="3335"/>
      <c r="AE97" s="3335"/>
      <c r="AF97" s="3335"/>
      <c r="AG97" s="3335"/>
      <c r="AH97" s="3335"/>
      <c r="AI97" s="3335"/>
      <c r="AJ97" s="3335"/>
      <c r="AK97" s="3335"/>
      <c r="AL97" s="3335"/>
      <c r="AM97" s="3335"/>
      <c r="AN97" s="3335"/>
      <c r="AO97" s="3335"/>
      <c r="AP97" s="3335"/>
      <c r="AQ97" s="3335"/>
      <c r="AR97" s="3335"/>
      <c r="AS97" s="3335"/>
      <c r="AT97" s="3335"/>
      <c r="AU97" s="3335"/>
      <c r="AV97" s="3335"/>
      <c r="AW97" s="3335"/>
      <c r="AX97" s="3335"/>
      <c r="AY97" s="3335"/>
      <c r="AZ97" s="3335"/>
      <c r="BA97" s="3335"/>
      <c r="BB97" s="3335"/>
      <c r="BC97" s="3335"/>
      <c r="BD97" s="3335"/>
      <c r="BE97" s="3335"/>
      <c r="BF97" s="3335"/>
      <c r="BG97" s="3335"/>
      <c r="BH97" s="3335"/>
      <c r="BI97" s="3335"/>
      <c r="BJ97" s="3335"/>
      <c r="BK97" s="3335"/>
      <c r="BL97" s="3335"/>
      <c r="BM97" s="3335"/>
      <c r="BN97" s="3335"/>
      <c r="BO97" s="3335"/>
      <c r="BP97" s="3335"/>
      <c r="BQ97" s="3335"/>
      <c r="BR97" s="3335"/>
      <c r="BS97" s="3335"/>
      <c r="BT97" s="3335"/>
      <c r="BU97" s="3335"/>
      <c r="BV97" s="3335"/>
      <c r="BW97" s="3339"/>
      <c r="BX97" s="2670"/>
      <c r="BY97" s="3340"/>
      <c r="BZ97" s="822"/>
      <c r="CA97" s="822"/>
    </row>
    <row r="98" spans="3:79" ht="17.100000000000001" customHeight="1" x14ac:dyDescent="0.2">
      <c r="C98" s="3843"/>
      <c r="D98" s="3844"/>
      <c r="E98" s="3845"/>
      <c r="F98" s="3334"/>
      <c r="G98" s="3335"/>
      <c r="H98" s="3335"/>
      <c r="I98" s="3335"/>
      <c r="J98" s="3335"/>
      <c r="K98" s="3335"/>
      <c r="L98" s="3335"/>
      <c r="M98" s="3335"/>
      <c r="N98" s="3335"/>
      <c r="O98" s="3335"/>
      <c r="P98" s="3335"/>
      <c r="Q98" s="3335"/>
      <c r="R98" s="3335"/>
      <c r="S98" s="3335"/>
      <c r="T98" s="3335"/>
      <c r="U98" s="3335"/>
      <c r="V98" s="3335"/>
      <c r="W98" s="3335"/>
      <c r="X98" s="3335"/>
      <c r="Y98" s="3335"/>
      <c r="Z98" s="3335"/>
      <c r="AA98" s="3335"/>
      <c r="AB98" s="3335"/>
      <c r="AC98" s="3335"/>
      <c r="AD98" s="3335"/>
      <c r="AE98" s="3335"/>
      <c r="AF98" s="3335"/>
      <c r="AG98" s="3335"/>
      <c r="AH98" s="3335"/>
      <c r="AI98" s="3335"/>
      <c r="AJ98" s="3335"/>
      <c r="AK98" s="3335"/>
      <c r="AL98" s="3335"/>
      <c r="AM98" s="3335"/>
      <c r="AN98" s="3335"/>
      <c r="AO98" s="3335"/>
      <c r="AP98" s="3335"/>
      <c r="AQ98" s="3335"/>
      <c r="AR98" s="3335"/>
      <c r="AS98" s="3335"/>
      <c r="AT98" s="3335"/>
      <c r="AU98" s="3335"/>
      <c r="AV98" s="3335"/>
      <c r="AW98" s="3335"/>
      <c r="AX98" s="3335"/>
      <c r="AY98" s="3335"/>
      <c r="AZ98" s="3335"/>
      <c r="BA98" s="3335"/>
      <c r="BB98" s="3335"/>
      <c r="BC98" s="3335"/>
      <c r="BD98" s="3335"/>
      <c r="BE98" s="3335"/>
      <c r="BF98" s="3335"/>
      <c r="BG98" s="3335"/>
      <c r="BH98" s="3335"/>
      <c r="BI98" s="3335"/>
      <c r="BJ98" s="3335"/>
      <c r="BK98" s="3335"/>
      <c r="BL98" s="3335"/>
      <c r="BM98" s="3335"/>
      <c r="BN98" s="3335"/>
      <c r="BO98" s="3335"/>
      <c r="BP98" s="3335"/>
      <c r="BQ98" s="3335"/>
      <c r="BR98" s="3335"/>
      <c r="BS98" s="3335"/>
      <c r="BT98" s="3335"/>
      <c r="BU98" s="3335"/>
      <c r="BV98" s="3335"/>
      <c r="BW98" s="3339"/>
      <c r="BX98" s="2670"/>
      <c r="BY98" s="3340"/>
      <c r="BZ98" s="822"/>
      <c r="CA98" s="822"/>
    </row>
    <row r="99" spans="3:79" ht="17.100000000000001" customHeight="1" x14ac:dyDescent="0.2">
      <c r="C99" s="3843"/>
      <c r="D99" s="3844"/>
      <c r="E99" s="3845"/>
      <c r="F99" s="3334"/>
      <c r="G99" s="3335"/>
      <c r="H99" s="3335"/>
      <c r="I99" s="3335"/>
      <c r="J99" s="3335"/>
      <c r="K99" s="3335"/>
      <c r="L99" s="3335"/>
      <c r="M99" s="3335"/>
      <c r="N99" s="3335"/>
      <c r="O99" s="3335"/>
      <c r="P99" s="3335"/>
      <c r="Q99" s="3335"/>
      <c r="R99" s="3335"/>
      <c r="S99" s="3335"/>
      <c r="T99" s="3335"/>
      <c r="U99" s="3335"/>
      <c r="V99" s="3335"/>
      <c r="W99" s="3335"/>
      <c r="X99" s="3335"/>
      <c r="Y99" s="3335"/>
      <c r="Z99" s="3335"/>
      <c r="AA99" s="3335"/>
      <c r="AB99" s="3335"/>
      <c r="AC99" s="3335"/>
      <c r="AD99" s="3335"/>
      <c r="AE99" s="3335"/>
      <c r="AF99" s="3335"/>
      <c r="AG99" s="3335"/>
      <c r="AH99" s="3335"/>
      <c r="AI99" s="3335"/>
      <c r="AJ99" s="3335"/>
      <c r="AK99" s="3335"/>
      <c r="AL99" s="3335"/>
      <c r="AM99" s="3335"/>
      <c r="AN99" s="3335"/>
      <c r="AO99" s="3335"/>
      <c r="AP99" s="3335"/>
      <c r="AQ99" s="3335"/>
      <c r="AR99" s="3335"/>
      <c r="AS99" s="3335"/>
      <c r="AT99" s="3335"/>
      <c r="AU99" s="3335"/>
      <c r="AV99" s="3335"/>
      <c r="AW99" s="3335"/>
      <c r="AX99" s="3335"/>
      <c r="AY99" s="3335"/>
      <c r="AZ99" s="3335"/>
      <c r="BA99" s="3335"/>
      <c r="BB99" s="3335"/>
      <c r="BC99" s="3335"/>
      <c r="BD99" s="3335"/>
      <c r="BE99" s="3335"/>
      <c r="BF99" s="3335"/>
      <c r="BG99" s="3335"/>
      <c r="BH99" s="3335"/>
      <c r="BI99" s="3335"/>
      <c r="BJ99" s="3335"/>
      <c r="BK99" s="3335"/>
      <c r="BL99" s="3335"/>
      <c r="BM99" s="3335"/>
      <c r="BN99" s="3335"/>
      <c r="BO99" s="3335"/>
      <c r="BP99" s="3335"/>
      <c r="BQ99" s="3335"/>
      <c r="BR99" s="3335"/>
      <c r="BS99" s="3335"/>
      <c r="BT99" s="3335"/>
      <c r="BU99" s="3335"/>
      <c r="BV99" s="3335"/>
      <c r="BW99" s="3339"/>
      <c r="BX99" s="2670"/>
      <c r="BY99" s="3340"/>
      <c r="BZ99" s="822"/>
      <c r="CA99" s="822"/>
    </row>
    <row r="100" spans="3:79" ht="17.100000000000001" customHeight="1" x14ac:dyDescent="0.2">
      <c r="C100" s="3843"/>
      <c r="D100" s="3844"/>
      <c r="E100" s="3845"/>
      <c r="F100" s="3334"/>
      <c r="G100" s="3335"/>
      <c r="H100" s="3335"/>
      <c r="I100" s="3335"/>
      <c r="J100" s="3335"/>
      <c r="K100" s="3335"/>
      <c r="L100" s="3335"/>
      <c r="M100" s="3335"/>
      <c r="N100" s="3335"/>
      <c r="O100" s="3335"/>
      <c r="P100" s="3335"/>
      <c r="Q100" s="3335"/>
      <c r="R100" s="3335"/>
      <c r="S100" s="3335"/>
      <c r="T100" s="3335"/>
      <c r="U100" s="3335"/>
      <c r="V100" s="3335"/>
      <c r="W100" s="3335"/>
      <c r="X100" s="3335"/>
      <c r="Y100" s="3335"/>
      <c r="Z100" s="3335"/>
      <c r="AA100" s="3335"/>
      <c r="AB100" s="3335"/>
      <c r="AC100" s="3335"/>
      <c r="AD100" s="3335"/>
      <c r="AE100" s="3335"/>
      <c r="AF100" s="3335"/>
      <c r="AG100" s="3335"/>
      <c r="AH100" s="3335"/>
      <c r="AI100" s="3335"/>
      <c r="AJ100" s="3335"/>
      <c r="AK100" s="3335"/>
      <c r="AL100" s="3335"/>
      <c r="AM100" s="3335"/>
      <c r="AN100" s="3335"/>
      <c r="AO100" s="3335"/>
      <c r="AP100" s="3335"/>
      <c r="AQ100" s="3335"/>
      <c r="AR100" s="3335"/>
      <c r="AS100" s="3335"/>
      <c r="AT100" s="3335"/>
      <c r="AU100" s="3335"/>
      <c r="AV100" s="3335"/>
      <c r="AW100" s="3335"/>
      <c r="AX100" s="3335"/>
      <c r="AY100" s="3335"/>
      <c r="AZ100" s="3335"/>
      <c r="BA100" s="3335"/>
      <c r="BB100" s="3335"/>
      <c r="BC100" s="3335"/>
      <c r="BD100" s="3335"/>
      <c r="BE100" s="3335"/>
      <c r="BF100" s="3335"/>
      <c r="BG100" s="3335"/>
      <c r="BH100" s="3335"/>
      <c r="BI100" s="3335"/>
      <c r="BJ100" s="3335"/>
      <c r="BK100" s="3335"/>
      <c r="BL100" s="3335"/>
      <c r="BM100" s="3335"/>
      <c r="BN100" s="3335"/>
      <c r="BO100" s="3335"/>
      <c r="BP100" s="3335"/>
      <c r="BQ100" s="3335"/>
      <c r="BR100" s="3335"/>
      <c r="BS100" s="3335"/>
      <c r="BT100" s="3335"/>
      <c r="BU100" s="3335"/>
      <c r="BV100" s="3335"/>
      <c r="BW100" s="3339"/>
      <c r="BX100" s="2670"/>
      <c r="BY100" s="3340"/>
      <c r="BZ100" s="822"/>
      <c r="CA100" s="822"/>
    </row>
    <row r="101" spans="3:79" ht="17.100000000000001" customHeight="1" x14ac:dyDescent="0.2">
      <c r="C101" s="3843"/>
      <c r="D101" s="3844"/>
      <c r="E101" s="3845"/>
      <c r="F101" s="3334"/>
      <c r="G101" s="3335"/>
      <c r="H101" s="3335"/>
      <c r="I101" s="3335"/>
      <c r="J101" s="3335"/>
      <c r="K101" s="3335"/>
      <c r="L101" s="3335"/>
      <c r="M101" s="3335"/>
      <c r="N101" s="3335"/>
      <c r="O101" s="3335"/>
      <c r="P101" s="3335"/>
      <c r="Q101" s="3335"/>
      <c r="R101" s="3335"/>
      <c r="S101" s="3335"/>
      <c r="T101" s="3335"/>
      <c r="U101" s="3335"/>
      <c r="V101" s="3335"/>
      <c r="W101" s="3335"/>
      <c r="X101" s="3335"/>
      <c r="Y101" s="3335"/>
      <c r="Z101" s="3335"/>
      <c r="AA101" s="3335"/>
      <c r="AB101" s="3335"/>
      <c r="AC101" s="3335"/>
      <c r="AD101" s="3335"/>
      <c r="AE101" s="3335"/>
      <c r="AF101" s="3335"/>
      <c r="AG101" s="3335"/>
      <c r="AH101" s="3335"/>
      <c r="AI101" s="3335"/>
      <c r="AJ101" s="3335"/>
      <c r="AK101" s="3335"/>
      <c r="AL101" s="3335"/>
      <c r="AM101" s="3335"/>
      <c r="AN101" s="3335"/>
      <c r="AO101" s="3335"/>
      <c r="AP101" s="3335"/>
      <c r="AQ101" s="3335"/>
      <c r="AR101" s="3335"/>
      <c r="AS101" s="3335"/>
      <c r="AT101" s="3335"/>
      <c r="AU101" s="3335"/>
      <c r="AV101" s="3335"/>
      <c r="AW101" s="3335"/>
      <c r="AX101" s="3335"/>
      <c r="AY101" s="3335"/>
      <c r="AZ101" s="3335"/>
      <c r="BA101" s="3335"/>
      <c r="BB101" s="3335"/>
      <c r="BC101" s="3335"/>
      <c r="BD101" s="3335"/>
      <c r="BE101" s="3335"/>
      <c r="BF101" s="3335"/>
      <c r="BG101" s="3335"/>
      <c r="BH101" s="3335"/>
      <c r="BI101" s="3335"/>
      <c r="BJ101" s="3335"/>
      <c r="BK101" s="3335"/>
      <c r="BL101" s="3335"/>
      <c r="BM101" s="3335"/>
      <c r="BN101" s="3335"/>
      <c r="BO101" s="3335"/>
      <c r="BP101" s="3335"/>
      <c r="BQ101" s="3335"/>
      <c r="BR101" s="3335"/>
      <c r="BS101" s="3335"/>
      <c r="BT101" s="3335"/>
      <c r="BU101" s="3335"/>
      <c r="BV101" s="3335"/>
      <c r="BW101" s="3339"/>
      <c r="BX101" s="2670"/>
      <c r="BY101" s="3340"/>
      <c r="BZ101" s="822"/>
      <c r="CA101" s="822"/>
    </row>
    <row r="102" spans="3:79" ht="17.100000000000001" customHeight="1" x14ac:dyDescent="0.2">
      <c r="C102" s="3843"/>
      <c r="D102" s="3844"/>
      <c r="E102" s="3845"/>
      <c r="F102" s="3334"/>
      <c r="G102" s="3335"/>
      <c r="H102" s="3335"/>
      <c r="I102" s="3335"/>
      <c r="J102" s="3335"/>
      <c r="K102" s="3335"/>
      <c r="L102" s="3335"/>
      <c r="M102" s="3335"/>
      <c r="N102" s="3335"/>
      <c r="O102" s="3335"/>
      <c r="P102" s="3335"/>
      <c r="Q102" s="3335"/>
      <c r="R102" s="3335"/>
      <c r="S102" s="3335"/>
      <c r="T102" s="3335"/>
      <c r="U102" s="3335"/>
      <c r="V102" s="3335"/>
      <c r="W102" s="3335"/>
      <c r="X102" s="3335"/>
      <c r="Y102" s="3335"/>
      <c r="Z102" s="3335"/>
      <c r="AA102" s="3335"/>
      <c r="AB102" s="3335"/>
      <c r="AC102" s="3335"/>
      <c r="AD102" s="3335"/>
      <c r="AE102" s="3335"/>
      <c r="AF102" s="3335"/>
      <c r="AG102" s="3335"/>
      <c r="AH102" s="3335"/>
      <c r="AI102" s="3335"/>
      <c r="AJ102" s="3335"/>
      <c r="AK102" s="3335"/>
      <c r="AL102" s="3335"/>
      <c r="AM102" s="3335"/>
      <c r="AN102" s="3335"/>
      <c r="AO102" s="3335"/>
      <c r="AP102" s="3335"/>
      <c r="AQ102" s="3335"/>
      <c r="AR102" s="3335"/>
      <c r="AS102" s="3335"/>
      <c r="AT102" s="3335"/>
      <c r="AU102" s="3335"/>
      <c r="AV102" s="3335"/>
      <c r="AW102" s="3335"/>
      <c r="AX102" s="3335"/>
      <c r="AY102" s="3335"/>
      <c r="AZ102" s="3335"/>
      <c r="BA102" s="3335"/>
      <c r="BB102" s="3335"/>
      <c r="BC102" s="3335"/>
      <c r="BD102" s="3335"/>
      <c r="BE102" s="3335"/>
      <c r="BF102" s="3335"/>
      <c r="BG102" s="3335"/>
      <c r="BH102" s="3335"/>
      <c r="BI102" s="3335"/>
      <c r="BJ102" s="3335"/>
      <c r="BK102" s="3335"/>
      <c r="BL102" s="3335"/>
      <c r="BM102" s="3335"/>
      <c r="BN102" s="3335"/>
      <c r="BO102" s="3335"/>
      <c r="BP102" s="3335"/>
      <c r="BQ102" s="3335"/>
      <c r="BR102" s="3335"/>
      <c r="BS102" s="3335"/>
      <c r="BT102" s="3335"/>
      <c r="BU102" s="3335"/>
      <c r="BV102" s="3335"/>
      <c r="BW102" s="3339"/>
      <c r="BX102" s="2670"/>
      <c r="BY102" s="3340"/>
      <c r="BZ102" s="822"/>
      <c r="CA102" s="822"/>
    </row>
    <row r="103" spans="3:79" ht="17.100000000000001" customHeight="1" x14ac:dyDescent="0.2">
      <c r="C103" s="3843"/>
      <c r="D103" s="3844"/>
      <c r="E103" s="3845"/>
      <c r="F103" s="3334"/>
      <c r="G103" s="3335"/>
      <c r="H103" s="3335"/>
      <c r="I103" s="3335"/>
      <c r="J103" s="3335"/>
      <c r="K103" s="3335"/>
      <c r="L103" s="3335"/>
      <c r="M103" s="3335"/>
      <c r="N103" s="3335"/>
      <c r="O103" s="3335"/>
      <c r="P103" s="3335"/>
      <c r="Q103" s="3335"/>
      <c r="R103" s="3335"/>
      <c r="S103" s="3335"/>
      <c r="T103" s="3335"/>
      <c r="U103" s="3335"/>
      <c r="V103" s="3335"/>
      <c r="W103" s="3335"/>
      <c r="X103" s="3335"/>
      <c r="Y103" s="3335"/>
      <c r="Z103" s="3335"/>
      <c r="AA103" s="3335"/>
      <c r="AB103" s="3335"/>
      <c r="AC103" s="3335"/>
      <c r="AD103" s="3335"/>
      <c r="AE103" s="3335"/>
      <c r="AF103" s="3335"/>
      <c r="AG103" s="3335"/>
      <c r="AH103" s="3335"/>
      <c r="AI103" s="3335"/>
      <c r="AJ103" s="3335"/>
      <c r="AK103" s="3335"/>
      <c r="AL103" s="3335"/>
      <c r="AM103" s="3335"/>
      <c r="AN103" s="3335"/>
      <c r="AO103" s="3335"/>
      <c r="AP103" s="3335"/>
      <c r="AQ103" s="3335"/>
      <c r="AR103" s="3335"/>
      <c r="AS103" s="3335"/>
      <c r="AT103" s="3335"/>
      <c r="AU103" s="3335"/>
      <c r="AV103" s="3335"/>
      <c r="AW103" s="3335"/>
      <c r="AX103" s="3335"/>
      <c r="AY103" s="3335"/>
      <c r="AZ103" s="3335"/>
      <c r="BA103" s="3335"/>
      <c r="BB103" s="3335"/>
      <c r="BC103" s="3335"/>
      <c r="BD103" s="3335"/>
      <c r="BE103" s="3335"/>
      <c r="BF103" s="3335"/>
      <c r="BG103" s="3335"/>
      <c r="BH103" s="3335"/>
      <c r="BI103" s="3335"/>
      <c r="BJ103" s="3335"/>
      <c r="BK103" s="3335"/>
      <c r="BL103" s="3335"/>
      <c r="BM103" s="3335"/>
      <c r="BN103" s="3335"/>
      <c r="BO103" s="3335"/>
      <c r="BP103" s="3335"/>
      <c r="BQ103" s="3335"/>
      <c r="BR103" s="3335"/>
      <c r="BS103" s="3335"/>
      <c r="BT103" s="3335"/>
      <c r="BU103" s="3335"/>
      <c r="BV103" s="3335"/>
      <c r="BW103" s="3339"/>
      <c r="BX103" s="2670"/>
      <c r="BY103" s="3340"/>
      <c r="BZ103" s="822"/>
      <c r="CA103" s="822"/>
    </row>
    <row r="104" spans="3:79" ht="17.100000000000001" customHeight="1" x14ac:dyDescent="0.2">
      <c r="C104" s="3843"/>
      <c r="D104" s="3844"/>
      <c r="E104" s="3845"/>
      <c r="F104" s="3334"/>
      <c r="G104" s="3335"/>
      <c r="H104" s="3335"/>
      <c r="I104" s="3335"/>
      <c r="J104" s="3335"/>
      <c r="K104" s="3335"/>
      <c r="L104" s="3335"/>
      <c r="M104" s="3335"/>
      <c r="N104" s="3335"/>
      <c r="O104" s="3335"/>
      <c r="P104" s="3335"/>
      <c r="Q104" s="3335"/>
      <c r="R104" s="3335"/>
      <c r="S104" s="3335"/>
      <c r="T104" s="3335"/>
      <c r="U104" s="3335"/>
      <c r="V104" s="3335"/>
      <c r="W104" s="3335"/>
      <c r="X104" s="3335"/>
      <c r="Y104" s="3335"/>
      <c r="Z104" s="3335"/>
      <c r="AA104" s="3335"/>
      <c r="AB104" s="3335"/>
      <c r="AC104" s="3335"/>
      <c r="AD104" s="3335"/>
      <c r="AE104" s="3335"/>
      <c r="AF104" s="3335"/>
      <c r="AG104" s="3335"/>
      <c r="AH104" s="3335"/>
      <c r="AI104" s="3335"/>
      <c r="AJ104" s="3335"/>
      <c r="AK104" s="3335"/>
      <c r="AL104" s="3335"/>
      <c r="AM104" s="3335"/>
      <c r="AN104" s="3335"/>
      <c r="AO104" s="3335"/>
      <c r="AP104" s="3335"/>
      <c r="AQ104" s="3335"/>
      <c r="AR104" s="3335"/>
      <c r="AS104" s="3335"/>
      <c r="AT104" s="3335"/>
      <c r="AU104" s="3335"/>
      <c r="AV104" s="3335"/>
      <c r="AW104" s="3335"/>
      <c r="AX104" s="3335"/>
      <c r="AY104" s="3335"/>
      <c r="AZ104" s="3335"/>
      <c r="BA104" s="3335"/>
      <c r="BB104" s="3335"/>
      <c r="BC104" s="3335"/>
      <c r="BD104" s="3335"/>
      <c r="BE104" s="3335"/>
      <c r="BF104" s="3335"/>
      <c r="BG104" s="3335"/>
      <c r="BH104" s="3335"/>
      <c r="BI104" s="3335"/>
      <c r="BJ104" s="3335"/>
      <c r="BK104" s="3335"/>
      <c r="BL104" s="3335"/>
      <c r="BM104" s="3335"/>
      <c r="BN104" s="3335"/>
      <c r="BO104" s="3335"/>
      <c r="BP104" s="3335"/>
      <c r="BQ104" s="3335"/>
      <c r="BR104" s="3335"/>
      <c r="BS104" s="3335"/>
      <c r="BT104" s="3335"/>
      <c r="BU104" s="3335"/>
      <c r="BV104" s="3335"/>
      <c r="BW104" s="3339"/>
      <c r="BX104" s="2670"/>
      <c r="BY104" s="3340"/>
      <c r="BZ104" s="822"/>
      <c r="CA104" s="822"/>
    </row>
    <row r="105" spans="3:79" ht="17.100000000000001" customHeight="1" x14ac:dyDescent="0.2">
      <c r="C105" s="3843"/>
      <c r="D105" s="3844"/>
      <c r="E105" s="3845"/>
      <c r="F105" s="3334"/>
      <c r="G105" s="3335"/>
      <c r="H105" s="3335"/>
      <c r="I105" s="3335"/>
      <c r="J105" s="3335"/>
      <c r="K105" s="3335"/>
      <c r="L105" s="3335"/>
      <c r="M105" s="3335"/>
      <c r="N105" s="3335"/>
      <c r="O105" s="3335"/>
      <c r="P105" s="3335"/>
      <c r="Q105" s="3335"/>
      <c r="R105" s="3335"/>
      <c r="S105" s="3335"/>
      <c r="T105" s="3335"/>
      <c r="U105" s="3335"/>
      <c r="V105" s="3335"/>
      <c r="W105" s="3335"/>
      <c r="X105" s="3335"/>
      <c r="Y105" s="3335"/>
      <c r="Z105" s="3335"/>
      <c r="AA105" s="3335"/>
      <c r="AB105" s="3335"/>
      <c r="AC105" s="3335"/>
      <c r="AD105" s="3335"/>
      <c r="AE105" s="3335"/>
      <c r="AF105" s="3335"/>
      <c r="AG105" s="3335"/>
      <c r="AH105" s="3335"/>
      <c r="AI105" s="3335"/>
      <c r="AJ105" s="3335"/>
      <c r="AK105" s="3335"/>
      <c r="AL105" s="3335"/>
      <c r="AM105" s="3335"/>
      <c r="AN105" s="3335"/>
      <c r="AO105" s="3335"/>
      <c r="AP105" s="3335"/>
      <c r="AQ105" s="3335"/>
      <c r="AR105" s="3335"/>
      <c r="AS105" s="3335"/>
      <c r="AT105" s="3335"/>
      <c r="AU105" s="3335"/>
      <c r="AV105" s="3335"/>
      <c r="AW105" s="3335"/>
      <c r="AX105" s="3335"/>
      <c r="AY105" s="3335"/>
      <c r="AZ105" s="3335"/>
      <c r="BA105" s="3335"/>
      <c r="BB105" s="3335"/>
      <c r="BC105" s="3335"/>
      <c r="BD105" s="3335"/>
      <c r="BE105" s="3335"/>
      <c r="BF105" s="3335"/>
      <c r="BG105" s="3335"/>
      <c r="BH105" s="3335"/>
      <c r="BI105" s="3335"/>
      <c r="BJ105" s="3335"/>
      <c r="BK105" s="3335"/>
      <c r="BL105" s="3335"/>
      <c r="BM105" s="3335"/>
      <c r="BN105" s="3335"/>
      <c r="BO105" s="3335"/>
      <c r="BP105" s="3335"/>
      <c r="BQ105" s="3335"/>
      <c r="BR105" s="3335"/>
      <c r="BS105" s="3335"/>
      <c r="BT105" s="3335"/>
      <c r="BU105" s="3335"/>
      <c r="BV105" s="3335"/>
      <c r="BW105" s="3339"/>
      <c r="BX105" s="2670"/>
      <c r="BY105" s="3340"/>
      <c r="BZ105" s="822"/>
      <c r="CA105" s="822"/>
    </row>
    <row r="106" spans="3:79" ht="17.100000000000001" customHeight="1" x14ac:dyDescent="0.2">
      <c r="C106" s="3843"/>
      <c r="D106" s="3844"/>
      <c r="E106" s="3845"/>
      <c r="F106" s="3334"/>
      <c r="G106" s="3335"/>
      <c r="H106" s="3335"/>
      <c r="I106" s="3335"/>
      <c r="J106" s="3335"/>
      <c r="K106" s="3335"/>
      <c r="L106" s="3335"/>
      <c r="M106" s="3335"/>
      <c r="N106" s="3335"/>
      <c r="O106" s="3335"/>
      <c r="P106" s="3335"/>
      <c r="Q106" s="3335"/>
      <c r="R106" s="3335"/>
      <c r="S106" s="3335"/>
      <c r="T106" s="3335"/>
      <c r="U106" s="3335"/>
      <c r="V106" s="3335"/>
      <c r="W106" s="3335"/>
      <c r="X106" s="3335"/>
      <c r="Y106" s="3335"/>
      <c r="Z106" s="3335"/>
      <c r="AA106" s="3335"/>
      <c r="AB106" s="3335"/>
      <c r="AC106" s="3335"/>
      <c r="AD106" s="3335"/>
      <c r="AE106" s="3335"/>
      <c r="AF106" s="3335"/>
      <c r="AG106" s="3335"/>
      <c r="AH106" s="3335"/>
      <c r="AI106" s="3335"/>
      <c r="AJ106" s="3335"/>
      <c r="AK106" s="3335"/>
      <c r="AL106" s="3335"/>
      <c r="AM106" s="3335"/>
      <c r="AN106" s="3335"/>
      <c r="AO106" s="3335"/>
      <c r="AP106" s="3335"/>
      <c r="AQ106" s="3335"/>
      <c r="AR106" s="3335"/>
      <c r="AS106" s="3335"/>
      <c r="AT106" s="3335"/>
      <c r="AU106" s="3335"/>
      <c r="AV106" s="3335"/>
      <c r="AW106" s="3335"/>
      <c r="AX106" s="3335"/>
      <c r="AY106" s="3335"/>
      <c r="AZ106" s="3335"/>
      <c r="BA106" s="3335"/>
      <c r="BB106" s="3335"/>
      <c r="BC106" s="3335"/>
      <c r="BD106" s="3335"/>
      <c r="BE106" s="3335"/>
      <c r="BF106" s="3335"/>
      <c r="BG106" s="3335"/>
      <c r="BH106" s="3335"/>
      <c r="BI106" s="3335"/>
      <c r="BJ106" s="3335"/>
      <c r="BK106" s="3335"/>
      <c r="BL106" s="3335"/>
      <c r="BM106" s="3335"/>
      <c r="BN106" s="3335"/>
      <c r="BO106" s="3335"/>
      <c r="BP106" s="3335"/>
      <c r="BQ106" s="3335"/>
      <c r="BR106" s="3335"/>
      <c r="BS106" s="3335"/>
      <c r="BT106" s="3335"/>
      <c r="BU106" s="3335"/>
      <c r="BV106" s="3335"/>
      <c r="BW106" s="3339"/>
      <c r="BX106" s="2670"/>
      <c r="BY106" s="3340"/>
      <c r="BZ106" s="822"/>
      <c r="CA106" s="822"/>
    </row>
    <row r="107" spans="3:79" ht="17.100000000000001" customHeight="1" x14ac:dyDescent="0.2">
      <c r="C107" s="3843"/>
      <c r="D107" s="3844"/>
      <c r="E107" s="3845"/>
      <c r="F107" s="3334"/>
      <c r="G107" s="3335"/>
      <c r="H107" s="3335"/>
      <c r="I107" s="3335"/>
      <c r="J107" s="3335"/>
      <c r="K107" s="3335"/>
      <c r="L107" s="3335"/>
      <c r="M107" s="3335"/>
      <c r="N107" s="3335"/>
      <c r="O107" s="3335"/>
      <c r="P107" s="3335"/>
      <c r="Q107" s="3335"/>
      <c r="R107" s="3335"/>
      <c r="S107" s="3335"/>
      <c r="T107" s="3335"/>
      <c r="U107" s="3335"/>
      <c r="V107" s="3335"/>
      <c r="W107" s="3335"/>
      <c r="X107" s="3335"/>
      <c r="Y107" s="3335"/>
      <c r="Z107" s="3335"/>
      <c r="AA107" s="3335"/>
      <c r="AB107" s="3335"/>
      <c r="AC107" s="3335"/>
      <c r="AD107" s="3335"/>
      <c r="AE107" s="3335"/>
      <c r="AF107" s="3335"/>
      <c r="AG107" s="3335"/>
      <c r="AH107" s="3335"/>
      <c r="AI107" s="3335"/>
      <c r="AJ107" s="3335"/>
      <c r="AK107" s="3335"/>
      <c r="AL107" s="3335"/>
      <c r="AM107" s="3335"/>
      <c r="AN107" s="3335"/>
      <c r="AO107" s="3335"/>
      <c r="AP107" s="3335"/>
      <c r="AQ107" s="3335"/>
      <c r="AR107" s="3335"/>
      <c r="AS107" s="3335"/>
      <c r="AT107" s="3335"/>
      <c r="AU107" s="3335"/>
      <c r="AV107" s="3335"/>
      <c r="AW107" s="3335"/>
      <c r="AX107" s="3335"/>
      <c r="AY107" s="3335"/>
      <c r="AZ107" s="3335"/>
      <c r="BA107" s="3335"/>
      <c r="BB107" s="3335"/>
      <c r="BC107" s="3335"/>
      <c r="BD107" s="3335"/>
      <c r="BE107" s="3335"/>
      <c r="BF107" s="3335"/>
      <c r="BG107" s="3335"/>
      <c r="BH107" s="3335"/>
      <c r="BI107" s="3335"/>
      <c r="BJ107" s="3335"/>
      <c r="BK107" s="3335"/>
      <c r="BL107" s="3335"/>
      <c r="BM107" s="3335"/>
      <c r="BN107" s="3335"/>
      <c r="BO107" s="3335"/>
      <c r="BP107" s="3335"/>
      <c r="BQ107" s="3335"/>
      <c r="BR107" s="3335"/>
      <c r="BS107" s="3335"/>
      <c r="BT107" s="3335"/>
      <c r="BU107" s="3335"/>
      <c r="BV107" s="3335"/>
      <c r="BW107" s="3339"/>
      <c r="BX107" s="2670"/>
      <c r="BY107" s="3340"/>
      <c r="BZ107" s="822"/>
      <c r="CA107" s="822"/>
    </row>
    <row r="108" spans="3:79" ht="17.100000000000001" customHeight="1" x14ac:dyDescent="0.2">
      <c r="C108" s="3843"/>
      <c r="D108" s="3844"/>
      <c r="E108" s="3845"/>
      <c r="F108" s="3334"/>
      <c r="G108" s="3335"/>
      <c r="H108" s="3335"/>
      <c r="I108" s="3335"/>
      <c r="J108" s="3335"/>
      <c r="K108" s="3335"/>
      <c r="L108" s="3335"/>
      <c r="M108" s="3335"/>
      <c r="N108" s="3335"/>
      <c r="O108" s="3335"/>
      <c r="P108" s="3335"/>
      <c r="Q108" s="3335"/>
      <c r="R108" s="3335"/>
      <c r="S108" s="3335"/>
      <c r="T108" s="3335"/>
      <c r="U108" s="3335"/>
      <c r="V108" s="3335"/>
      <c r="W108" s="3335"/>
      <c r="X108" s="3335"/>
      <c r="Y108" s="3335"/>
      <c r="Z108" s="3335"/>
      <c r="AA108" s="3335"/>
      <c r="AB108" s="3335"/>
      <c r="AC108" s="3335"/>
      <c r="AD108" s="3335"/>
      <c r="AE108" s="3335"/>
      <c r="AF108" s="3335"/>
      <c r="AG108" s="3335"/>
      <c r="AH108" s="3335"/>
      <c r="AI108" s="3335"/>
      <c r="AJ108" s="3335"/>
      <c r="AK108" s="3335"/>
      <c r="AL108" s="3335"/>
      <c r="AM108" s="3335"/>
      <c r="AN108" s="3335"/>
      <c r="AO108" s="3335"/>
      <c r="AP108" s="3335"/>
      <c r="AQ108" s="3335"/>
      <c r="AR108" s="3335"/>
      <c r="AS108" s="3335"/>
      <c r="AT108" s="3335"/>
      <c r="AU108" s="3335"/>
      <c r="AV108" s="3335"/>
      <c r="AW108" s="3335"/>
      <c r="AX108" s="3335"/>
      <c r="AY108" s="3335"/>
      <c r="AZ108" s="3335"/>
      <c r="BA108" s="3335"/>
      <c r="BB108" s="3335"/>
      <c r="BC108" s="3335"/>
      <c r="BD108" s="3335"/>
      <c r="BE108" s="3335"/>
      <c r="BF108" s="3335"/>
      <c r="BG108" s="3335"/>
      <c r="BH108" s="3335"/>
      <c r="BI108" s="3335"/>
      <c r="BJ108" s="3335"/>
      <c r="BK108" s="3335"/>
      <c r="BL108" s="3335"/>
      <c r="BM108" s="3335"/>
      <c r="BN108" s="3335"/>
      <c r="BO108" s="3335"/>
      <c r="BP108" s="3335"/>
      <c r="BQ108" s="3335"/>
      <c r="BR108" s="3335"/>
      <c r="BS108" s="3335"/>
      <c r="BT108" s="3335"/>
      <c r="BU108" s="3335"/>
      <c r="BV108" s="3335"/>
      <c r="BW108" s="3339"/>
      <c r="BX108" s="2670"/>
      <c r="BY108" s="3340"/>
      <c r="BZ108" s="822"/>
      <c r="CA108" s="822"/>
    </row>
    <row r="109" spans="3:79" ht="17.100000000000001" customHeight="1" x14ac:dyDescent="0.2">
      <c r="C109" s="3843"/>
      <c r="D109" s="3844"/>
      <c r="E109" s="3845"/>
      <c r="F109" s="3334"/>
      <c r="G109" s="3335"/>
      <c r="H109" s="3335"/>
      <c r="I109" s="3335"/>
      <c r="J109" s="3335"/>
      <c r="K109" s="3335"/>
      <c r="L109" s="3335"/>
      <c r="M109" s="3335"/>
      <c r="N109" s="3335"/>
      <c r="O109" s="3335"/>
      <c r="P109" s="3335"/>
      <c r="Q109" s="3335"/>
      <c r="R109" s="3335"/>
      <c r="S109" s="3335"/>
      <c r="T109" s="3335"/>
      <c r="U109" s="3335"/>
      <c r="V109" s="3335"/>
      <c r="W109" s="3335"/>
      <c r="X109" s="3335"/>
      <c r="Y109" s="3335"/>
      <c r="Z109" s="3335"/>
      <c r="AA109" s="3335"/>
      <c r="AB109" s="3335"/>
      <c r="AC109" s="3335"/>
      <c r="AD109" s="3335"/>
      <c r="AE109" s="3335"/>
      <c r="AF109" s="3335"/>
      <c r="AG109" s="3335"/>
      <c r="AH109" s="3335"/>
      <c r="AI109" s="3335"/>
      <c r="AJ109" s="3335"/>
      <c r="AK109" s="3335"/>
      <c r="AL109" s="3335"/>
      <c r="AM109" s="3335"/>
      <c r="AN109" s="3335"/>
      <c r="AO109" s="3335"/>
      <c r="AP109" s="3335"/>
      <c r="AQ109" s="3335"/>
      <c r="AR109" s="3335"/>
      <c r="AS109" s="3335"/>
      <c r="AT109" s="3335"/>
      <c r="AU109" s="3335"/>
      <c r="AV109" s="3335"/>
      <c r="AW109" s="3335"/>
      <c r="AX109" s="3335"/>
      <c r="AY109" s="3335"/>
      <c r="AZ109" s="3335"/>
      <c r="BA109" s="3335"/>
      <c r="BB109" s="3335"/>
      <c r="BC109" s="3335"/>
      <c r="BD109" s="3335"/>
      <c r="BE109" s="3335"/>
      <c r="BF109" s="3335"/>
      <c r="BG109" s="3335"/>
      <c r="BH109" s="3335"/>
      <c r="BI109" s="3335"/>
      <c r="BJ109" s="3335"/>
      <c r="BK109" s="3335"/>
      <c r="BL109" s="3335"/>
      <c r="BM109" s="3335"/>
      <c r="BN109" s="3335"/>
      <c r="BO109" s="3335"/>
      <c r="BP109" s="3335"/>
      <c r="BQ109" s="3335"/>
      <c r="BR109" s="3335"/>
      <c r="BS109" s="3335"/>
      <c r="BT109" s="3335"/>
      <c r="BU109" s="3335"/>
      <c r="BV109" s="3335"/>
      <c r="BW109" s="3339"/>
      <c r="BX109" s="2670"/>
      <c r="BY109" s="3340"/>
      <c r="BZ109" s="822"/>
      <c r="CA109" s="822"/>
    </row>
    <row r="110" spans="3:79" ht="17.100000000000001" customHeight="1" x14ac:dyDescent="0.2">
      <c r="C110" s="3843"/>
      <c r="D110" s="3844"/>
      <c r="E110" s="3845"/>
      <c r="F110" s="3334"/>
      <c r="G110" s="3335"/>
      <c r="H110" s="3335"/>
      <c r="I110" s="3335"/>
      <c r="J110" s="3335"/>
      <c r="K110" s="3335"/>
      <c r="L110" s="3335"/>
      <c r="M110" s="3335"/>
      <c r="N110" s="3335"/>
      <c r="O110" s="3335"/>
      <c r="P110" s="3335"/>
      <c r="Q110" s="3335"/>
      <c r="R110" s="3335"/>
      <c r="S110" s="3335"/>
      <c r="T110" s="3335"/>
      <c r="U110" s="3335"/>
      <c r="V110" s="3335"/>
      <c r="W110" s="3335"/>
      <c r="X110" s="3335"/>
      <c r="Y110" s="3335"/>
      <c r="Z110" s="3335"/>
      <c r="AA110" s="3335"/>
      <c r="AB110" s="3335"/>
      <c r="AC110" s="3335"/>
      <c r="AD110" s="3335"/>
      <c r="AE110" s="3335"/>
      <c r="AF110" s="3335"/>
      <c r="AG110" s="3335"/>
      <c r="AH110" s="3335"/>
      <c r="AI110" s="3335"/>
      <c r="AJ110" s="3335"/>
      <c r="AK110" s="3335"/>
      <c r="AL110" s="3335"/>
      <c r="AM110" s="3335"/>
      <c r="AN110" s="3335"/>
      <c r="AO110" s="3335"/>
      <c r="AP110" s="3335"/>
      <c r="AQ110" s="3335"/>
      <c r="AR110" s="3335"/>
      <c r="AS110" s="3335"/>
      <c r="AT110" s="3335"/>
      <c r="AU110" s="3335"/>
      <c r="AV110" s="3335"/>
      <c r="AW110" s="3335"/>
      <c r="AX110" s="3335"/>
      <c r="AY110" s="3335"/>
      <c r="AZ110" s="3335"/>
      <c r="BA110" s="3335"/>
      <c r="BB110" s="3335"/>
      <c r="BC110" s="3335"/>
      <c r="BD110" s="3335"/>
      <c r="BE110" s="3335"/>
      <c r="BF110" s="3335"/>
      <c r="BG110" s="3335"/>
      <c r="BH110" s="3335"/>
      <c r="BI110" s="3335"/>
      <c r="BJ110" s="3335"/>
      <c r="BK110" s="3335"/>
      <c r="BL110" s="3335"/>
      <c r="BM110" s="3335"/>
      <c r="BN110" s="3335"/>
      <c r="BO110" s="3335"/>
      <c r="BP110" s="3335"/>
      <c r="BQ110" s="3335"/>
      <c r="BR110" s="3335"/>
      <c r="BS110" s="3335"/>
      <c r="BT110" s="3335"/>
      <c r="BU110" s="3335"/>
      <c r="BV110" s="3335"/>
      <c r="BW110" s="3339"/>
      <c r="BX110" s="2670"/>
      <c r="BY110" s="3340"/>
      <c r="BZ110" s="822"/>
      <c r="CA110" s="822"/>
    </row>
    <row r="111" spans="3:79" ht="17.100000000000001" customHeight="1" x14ac:dyDescent="0.2">
      <c r="C111" s="3846"/>
      <c r="D111" s="3847"/>
      <c r="E111" s="3848"/>
      <c r="F111" s="3334"/>
      <c r="G111" s="3335"/>
      <c r="H111" s="3335"/>
      <c r="I111" s="3335"/>
      <c r="J111" s="3335"/>
      <c r="K111" s="3335"/>
      <c r="L111" s="3335"/>
      <c r="M111" s="3335"/>
      <c r="N111" s="3335"/>
      <c r="O111" s="3335"/>
      <c r="P111" s="3335"/>
      <c r="Q111" s="3335"/>
      <c r="R111" s="3335"/>
      <c r="S111" s="3335"/>
      <c r="T111" s="3335"/>
      <c r="U111" s="3335"/>
      <c r="V111" s="3335"/>
      <c r="W111" s="3335"/>
      <c r="X111" s="3335"/>
      <c r="Y111" s="3335"/>
      <c r="Z111" s="3335"/>
      <c r="AA111" s="3335"/>
      <c r="AB111" s="3335"/>
      <c r="AC111" s="3335"/>
      <c r="AD111" s="3335"/>
      <c r="AE111" s="3335"/>
      <c r="AF111" s="3335"/>
      <c r="AG111" s="3335"/>
      <c r="AH111" s="3335"/>
      <c r="AI111" s="3335"/>
      <c r="AJ111" s="3335"/>
      <c r="AK111" s="3335"/>
      <c r="AL111" s="3335"/>
      <c r="AM111" s="3335"/>
      <c r="AN111" s="3335"/>
      <c r="AO111" s="3335"/>
      <c r="AP111" s="3335"/>
      <c r="AQ111" s="3335"/>
      <c r="AR111" s="3335"/>
      <c r="AS111" s="3335"/>
      <c r="AT111" s="3335"/>
      <c r="AU111" s="3335"/>
      <c r="AV111" s="3335"/>
      <c r="AW111" s="3335"/>
      <c r="AX111" s="3335"/>
      <c r="AY111" s="3335"/>
      <c r="AZ111" s="3335"/>
      <c r="BA111" s="3335"/>
      <c r="BB111" s="3335"/>
      <c r="BC111" s="3335"/>
      <c r="BD111" s="3335"/>
      <c r="BE111" s="3335"/>
      <c r="BF111" s="3335"/>
      <c r="BG111" s="3335"/>
      <c r="BH111" s="3335"/>
      <c r="BI111" s="3335"/>
      <c r="BJ111" s="3335"/>
      <c r="BK111" s="3335"/>
      <c r="BL111" s="3335"/>
      <c r="BM111" s="3335"/>
      <c r="BN111" s="3335"/>
      <c r="BO111" s="3335"/>
      <c r="BP111" s="3335"/>
      <c r="BQ111" s="3335"/>
      <c r="BR111" s="3335"/>
      <c r="BS111" s="3335"/>
      <c r="BT111" s="3335"/>
      <c r="BU111" s="3335"/>
      <c r="BV111" s="3335"/>
      <c r="BW111" s="3341"/>
      <c r="BX111" s="3342"/>
      <c r="BY111" s="3343"/>
      <c r="BZ111" s="822"/>
      <c r="CA111" s="822"/>
    </row>
    <row r="112" spans="3:79" ht="17.100000000000001" customHeight="1" x14ac:dyDescent="0.3">
      <c r="BZ112" s="822"/>
      <c r="CA112" s="822"/>
    </row>
    <row r="113" spans="3:79" ht="17.100000000000001" customHeight="1" x14ac:dyDescent="0.3">
      <c r="AN113" s="34" t="s">
        <v>9</v>
      </c>
      <c r="BZ113" s="822"/>
      <c r="CA113" s="822"/>
    </row>
    <row r="114" spans="3:79" ht="17.100000000000001" customHeight="1" x14ac:dyDescent="0.3">
      <c r="AN114" s="34" t="s">
        <v>9</v>
      </c>
      <c r="BZ114" s="822"/>
      <c r="CA114" s="822"/>
    </row>
    <row r="115" spans="3:79" ht="17.100000000000001" customHeight="1" x14ac:dyDescent="0.2">
      <c r="C115" s="3834" t="s">
        <v>963</v>
      </c>
      <c r="D115" s="3835"/>
      <c r="E115" s="3836"/>
      <c r="F115" s="1416"/>
      <c r="G115" s="1416"/>
      <c r="H115" s="1416"/>
      <c r="I115" s="1416"/>
      <c r="J115" s="1416"/>
      <c r="K115" s="1416"/>
      <c r="L115" s="2666" t="s">
        <v>1351</v>
      </c>
      <c r="M115" s="1416"/>
      <c r="N115" s="1416"/>
      <c r="O115" s="1416"/>
      <c r="P115" s="1416"/>
      <c r="Q115" s="1416"/>
      <c r="R115" s="1416"/>
      <c r="S115" s="1416"/>
      <c r="T115" s="1416"/>
      <c r="U115" s="1416"/>
      <c r="V115" s="1416"/>
      <c r="X115" s="1416"/>
      <c r="Y115" s="1416"/>
      <c r="Z115" s="1416"/>
      <c r="AA115" s="1416"/>
      <c r="AB115" s="1416"/>
      <c r="AC115" s="1416"/>
      <c r="AD115" s="1416"/>
      <c r="AE115" s="1416"/>
      <c r="AF115" s="1416"/>
      <c r="AG115" s="1416"/>
      <c r="AH115" s="1416"/>
      <c r="AI115" s="1416"/>
      <c r="AJ115" s="1416"/>
      <c r="AK115" s="1416"/>
      <c r="AL115" s="1416"/>
      <c r="AM115" s="1416"/>
      <c r="AN115" s="1419"/>
      <c r="AO115" s="1416"/>
      <c r="AP115" s="1416"/>
      <c r="AQ115" s="1416"/>
      <c r="AR115" s="1416"/>
      <c r="AS115" s="1416"/>
      <c r="AT115" s="1416"/>
      <c r="AU115" s="1416"/>
      <c r="AV115" s="1416"/>
      <c r="AW115" s="1416"/>
      <c r="AX115" s="1416"/>
      <c r="AY115" s="1416"/>
      <c r="AZ115" s="1416"/>
      <c r="BA115" s="1416"/>
      <c r="BB115" s="1416"/>
      <c r="BC115" s="1416"/>
      <c r="BD115" s="1416"/>
      <c r="BF115" s="1416"/>
      <c r="BG115" s="1416"/>
      <c r="BH115" s="1416"/>
      <c r="BI115" s="1416"/>
      <c r="BJ115" s="1416"/>
      <c r="BK115" s="1416"/>
      <c r="BL115" s="1416"/>
      <c r="BM115" s="1416"/>
      <c r="BN115" s="1416"/>
      <c r="BO115" s="1416"/>
      <c r="BP115" s="2666" t="s">
        <v>1350</v>
      </c>
      <c r="BQ115" s="1416"/>
      <c r="BR115" s="1416"/>
      <c r="BS115" s="1416"/>
      <c r="BT115" s="1416"/>
      <c r="BU115" s="1416"/>
      <c r="BV115" s="1416"/>
      <c r="BW115" s="2658"/>
      <c r="BX115" s="2659"/>
      <c r="BY115" s="2660"/>
      <c r="BZ115" s="822"/>
      <c r="CA115" s="822"/>
    </row>
    <row r="116" spans="3:79" ht="17.100000000000001" customHeight="1" x14ac:dyDescent="0.2">
      <c r="C116" s="3837"/>
      <c r="D116" s="3838"/>
      <c r="E116" s="3839"/>
      <c r="F116" s="1416"/>
      <c r="G116" s="1414"/>
      <c r="L116" s="2320" t="s">
        <v>1</v>
      </c>
      <c r="W116" s="1417"/>
      <c r="AN116" s="2668" t="s">
        <v>371</v>
      </c>
      <c r="BE116" s="1418"/>
      <c r="BP116" s="2320" t="s">
        <v>1</v>
      </c>
      <c r="BU116" s="1414"/>
      <c r="BV116" s="1416"/>
      <c r="BW116" s="2661"/>
      <c r="BX116" s="1392"/>
      <c r="BY116" s="2662"/>
      <c r="BZ116" s="822"/>
      <c r="CA116" s="822"/>
    </row>
    <row r="117" spans="3:79" ht="17.100000000000001" customHeight="1" x14ac:dyDescent="0.2">
      <c r="C117" s="3837"/>
      <c r="D117" s="3838"/>
      <c r="E117" s="3839"/>
      <c r="F117" s="1416"/>
      <c r="G117" s="1413"/>
      <c r="L117" s="2320" t="s">
        <v>1</v>
      </c>
      <c r="AN117" s="2668" t="s">
        <v>371</v>
      </c>
      <c r="BP117" s="2320" t="s">
        <v>1</v>
      </c>
      <c r="BU117" s="1414"/>
      <c r="BV117" s="1416"/>
      <c r="BW117" s="2661"/>
      <c r="BX117" s="1392"/>
      <c r="BY117" s="2662"/>
      <c r="BZ117" s="822"/>
      <c r="CA117" s="822"/>
    </row>
    <row r="118" spans="3:79" ht="17.100000000000001" customHeight="1" x14ac:dyDescent="0.2">
      <c r="C118" s="3837"/>
      <c r="D118" s="3838"/>
      <c r="E118" s="3839"/>
      <c r="F118" s="1416"/>
      <c r="G118" s="1413"/>
      <c r="H118" s="2645"/>
      <c r="I118" s="2645"/>
      <c r="J118" s="2645"/>
      <c r="K118" s="2645"/>
      <c r="L118" s="2646" t="s">
        <v>1</v>
      </c>
      <c r="M118" s="2645"/>
      <c r="N118" s="2645"/>
      <c r="O118" s="2645"/>
      <c r="P118" s="2645"/>
      <c r="Q118" s="1413"/>
      <c r="R118" s="1413"/>
      <c r="S118" s="2645"/>
      <c r="T118" s="2645"/>
      <c r="U118" s="2645"/>
      <c r="V118" s="2645"/>
      <c r="W118" s="2645"/>
      <c r="X118" s="2645"/>
      <c r="Y118" s="2645"/>
      <c r="Z118" s="2645"/>
      <c r="AA118" s="2645"/>
      <c r="AB118" s="1413"/>
      <c r="AC118" s="1413"/>
      <c r="AD118" s="2645"/>
      <c r="AE118" s="2645"/>
      <c r="AF118" s="2645"/>
      <c r="AG118" s="2645"/>
      <c r="AH118" s="2645"/>
      <c r="AI118" s="2645"/>
      <c r="AJ118" s="2645"/>
      <c r="AK118" s="2645"/>
      <c r="AL118" s="2645"/>
      <c r="AM118" s="1413"/>
      <c r="AN118" s="2668" t="s">
        <v>371</v>
      </c>
      <c r="AP118" s="2645"/>
      <c r="AQ118" s="2645"/>
      <c r="AR118" s="2645"/>
      <c r="AS118" s="2645"/>
      <c r="AT118" s="2645"/>
      <c r="AU118" s="2645"/>
      <c r="AV118" s="2645"/>
      <c r="AW118" s="2645"/>
      <c r="AX118" s="2645"/>
      <c r="AY118" s="1413"/>
      <c r="AZ118" s="1413"/>
      <c r="BA118" s="2645"/>
      <c r="BB118" s="2645"/>
      <c r="BC118" s="2645"/>
      <c r="BD118" s="2645"/>
      <c r="BE118" s="2645"/>
      <c r="BF118" s="2645"/>
      <c r="BG118" s="2645"/>
      <c r="BH118" s="2645"/>
      <c r="BI118" s="2645"/>
      <c r="BJ118" s="1413"/>
      <c r="BK118" s="1413"/>
      <c r="BL118" s="2645"/>
      <c r="BM118" s="2645"/>
      <c r="BN118" s="2645"/>
      <c r="BO118" s="2645"/>
      <c r="BP118" s="2646" t="s">
        <v>1</v>
      </c>
      <c r="BQ118" s="2645"/>
      <c r="BR118" s="2645"/>
      <c r="BS118" s="2645"/>
      <c r="BT118" s="2645"/>
      <c r="BU118" s="1414"/>
      <c r="BV118" s="1416"/>
      <c r="BW118" s="2661"/>
      <c r="BX118" s="1392"/>
      <c r="BY118" s="2662"/>
      <c r="BZ118" s="822"/>
      <c r="CA118" s="822"/>
    </row>
    <row r="119" spans="3:79" ht="17.100000000000001" customHeight="1" x14ac:dyDescent="0.2">
      <c r="C119" s="3837"/>
      <c r="D119" s="3838"/>
      <c r="E119" s="3839"/>
      <c r="F119" s="1416"/>
      <c r="G119" s="1413"/>
      <c r="H119" s="2645"/>
      <c r="I119" s="2645"/>
      <c r="J119" s="2645"/>
      <c r="K119" s="2645"/>
      <c r="L119" s="2646" t="s">
        <v>1</v>
      </c>
      <c r="M119" s="2645"/>
      <c r="N119" s="2645"/>
      <c r="O119" s="2645"/>
      <c r="P119" s="2645"/>
      <c r="Q119" s="1413"/>
      <c r="R119" s="1413"/>
      <c r="S119" s="2645"/>
      <c r="T119" s="2645"/>
      <c r="U119" s="2645"/>
      <c r="V119" s="2645"/>
      <c r="W119" s="2645"/>
      <c r="X119" s="2645"/>
      <c r="Y119" s="2645"/>
      <c r="Z119" s="2645"/>
      <c r="AA119" s="2645"/>
      <c r="AB119" s="1413"/>
      <c r="AC119" s="1413"/>
      <c r="AD119" s="2645"/>
      <c r="AE119" s="2645"/>
      <c r="AF119" s="2645"/>
      <c r="AG119" s="2645"/>
      <c r="AH119" s="2645"/>
      <c r="AI119" s="2645"/>
      <c r="AJ119" s="2645"/>
      <c r="AK119" s="2645"/>
      <c r="AL119" s="2645"/>
      <c r="AM119" s="1413"/>
      <c r="AN119" s="2668" t="s">
        <v>371</v>
      </c>
      <c r="AP119" s="2645"/>
      <c r="AQ119" s="2645"/>
      <c r="AR119" s="2645"/>
      <c r="AS119" s="2645"/>
      <c r="AT119" s="2645"/>
      <c r="AU119" s="2645"/>
      <c r="AV119" s="2645"/>
      <c r="AW119" s="2645"/>
      <c r="AX119" s="2645"/>
      <c r="AY119" s="1413"/>
      <c r="AZ119" s="1413"/>
      <c r="BA119" s="2645"/>
      <c r="BB119" s="2645"/>
      <c r="BC119" s="2645"/>
      <c r="BD119" s="2645"/>
      <c r="BE119" s="2645"/>
      <c r="BF119" s="2645"/>
      <c r="BG119" s="2645"/>
      <c r="BH119" s="2645"/>
      <c r="BI119" s="2645"/>
      <c r="BJ119" s="1413"/>
      <c r="BK119" s="1413"/>
      <c r="BL119" s="2645"/>
      <c r="BM119" s="2645"/>
      <c r="BN119" s="2645"/>
      <c r="BO119" s="2645"/>
      <c r="BP119" s="2646" t="s">
        <v>1</v>
      </c>
      <c r="BQ119" s="2645"/>
      <c r="BR119" s="2645"/>
      <c r="BS119" s="2645"/>
      <c r="BT119" s="2645"/>
      <c r="BU119" s="1414"/>
      <c r="BV119" s="1416"/>
      <c r="BW119" s="2661"/>
      <c r="BX119" s="1392"/>
      <c r="BY119" s="2662"/>
      <c r="BZ119" s="822"/>
      <c r="CA119" s="822"/>
    </row>
    <row r="120" spans="3:79" ht="17.100000000000001" customHeight="1" x14ac:dyDescent="0.2">
      <c r="C120" s="3837"/>
      <c r="D120" s="3838"/>
      <c r="E120" s="3839"/>
      <c r="F120" s="1416"/>
      <c r="G120" s="1413"/>
      <c r="H120" s="2645"/>
      <c r="I120" s="2645"/>
      <c r="J120" s="2645"/>
      <c r="K120" s="2645"/>
      <c r="L120" s="2646" t="s">
        <v>1</v>
      </c>
      <c r="M120" s="2645"/>
      <c r="N120" s="2645"/>
      <c r="O120" s="2645"/>
      <c r="P120" s="2645"/>
      <c r="Q120" s="1413"/>
      <c r="R120" s="1413"/>
      <c r="S120" s="2645"/>
      <c r="T120" s="2645"/>
      <c r="U120" s="2645"/>
      <c r="V120" s="2645"/>
      <c r="W120" s="2645"/>
      <c r="X120" s="2645"/>
      <c r="Y120" s="2645"/>
      <c r="Z120" s="2645"/>
      <c r="AA120" s="2645"/>
      <c r="AB120" s="1413"/>
      <c r="AC120" s="1413"/>
      <c r="AD120" s="2645"/>
      <c r="AE120" s="2645"/>
      <c r="AF120" s="2645"/>
      <c r="AG120" s="2645"/>
      <c r="AH120" s="2645"/>
      <c r="AI120" s="2645"/>
      <c r="AJ120" s="2645"/>
      <c r="AK120" s="2645"/>
      <c r="AL120" s="2645"/>
      <c r="AM120" s="1413"/>
      <c r="AN120" s="2668" t="s">
        <v>371</v>
      </c>
      <c r="AP120" s="2645"/>
      <c r="AQ120" s="2645"/>
      <c r="AR120" s="2645"/>
      <c r="AS120" s="2645"/>
      <c r="AT120" s="2645"/>
      <c r="AU120" s="2645"/>
      <c r="AV120" s="2645"/>
      <c r="AW120" s="2645"/>
      <c r="AX120" s="2645"/>
      <c r="AY120" s="1413"/>
      <c r="AZ120" s="1413"/>
      <c r="BA120" s="2645"/>
      <c r="BB120" s="2645"/>
      <c r="BC120" s="2645"/>
      <c r="BD120" s="2645"/>
      <c r="BE120" s="2645"/>
      <c r="BF120" s="2645"/>
      <c r="BG120" s="2645"/>
      <c r="BH120" s="2645"/>
      <c r="BI120" s="2645"/>
      <c r="BJ120" s="1413"/>
      <c r="BK120" s="1413"/>
      <c r="BL120" s="2645"/>
      <c r="BM120" s="2645"/>
      <c r="BN120" s="2645"/>
      <c r="BO120" s="2645"/>
      <c r="BP120" s="2646" t="s">
        <v>1</v>
      </c>
      <c r="BQ120" s="2645"/>
      <c r="BR120" s="2645"/>
      <c r="BS120" s="2645"/>
      <c r="BT120" s="2645"/>
      <c r="BU120" s="1414"/>
      <c r="BV120" s="1416"/>
      <c r="BW120" s="2661"/>
      <c r="BX120" s="1392"/>
      <c r="BY120" s="2662"/>
      <c r="BZ120" s="822"/>
      <c r="CA120" s="822"/>
    </row>
    <row r="121" spans="3:79" ht="17.100000000000001" customHeight="1" x14ac:dyDescent="0.2">
      <c r="C121" s="3837"/>
      <c r="D121" s="3838"/>
      <c r="E121" s="3839"/>
      <c r="F121" s="1416"/>
      <c r="G121" s="1413"/>
      <c r="H121" s="2645"/>
      <c r="I121" s="2645"/>
      <c r="J121" s="2645"/>
      <c r="K121" s="2645"/>
      <c r="L121" s="2646" t="s">
        <v>1</v>
      </c>
      <c r="M121" s="2645"/>
      <c r="N121" s="2645"/>
      <c r="O121" s="2645"/>
      <c r="P121" s="2645"/>
      <c r="Q121" s="1413"/>
      <c r="R121" s="1413"/>
      <c r="S121" s="2645"/>
      <c r="T121" s="2645"/>
      <c r="U121" s="2645"/>
      <c r="V121" s="2645"/>
      <c r="W121" s="2645"/>
      <c r="X121" s="2645"/>
      <c r="Y121" s="2645"/>
      <c r="Z121" s="2645"/>
      <c r="AA121" s="2645"/>
      <c r="AB121" s="1413"/>
      <c r="AC121" s="1413"/>
      <c r="AD121" s="2645"/>
      <c r="AE121" s="2645"/>
      <c r="AF121" s="2645"/>
      <c r="AG121" s="2645"/>
      <c r="AH121" s="2645"/>
      <c r="AI121" s="2645"/>
      <c r="AJ121" s="2645"/>
      <c r="AK121" s="2645"/>
      <c r="AL121" s="2645"/>
      <c r="AM121" s="1413"/>
      <c r="AN121" s="2668" t="s">
        <v>371</v>
      </c>
      <c r="AP121" s="2645"/>
      <c r="AQ121" s="2645"/>
      <c r="AR121" s="2645"/>
      <c r="AS121" s="2645"/>
      <c r="AT121" s="2645"/>
      <c r="AU121" s="2645"/>
      <c r="AV121" s="2645"/>
      <c r="AW121" s="2645"/>
      <c r="AX121" s="2645"/>
      <c r="AY121" s="1413"/>
      <c r="AZ121" s="1413"/>
      <c r="BA121" s="2645"/>
      <c r="BB121" s="2645"/>
      <c r="BC121" s="2645"/>
      <c r="BD121" s="2645"/>
      <c r="BE121" s="2645"/>
      <c r="BF121" s="2645"/>
      <c r="BG121" s="2645"/>
      <c r="BH121" s="2645"/>
      <c r="BI121" s="2645"/>
      <c r="BJ121" s="1413"/>
      <c r="BK121" s="1413"/>
      <c r="BL121" s="2645"/>
      <c r="BM121" s="2645"/>
      <c r="BN121" s="2645"/>
      <c r="BO121" s="2667"/>
      <c r="BP121" s="2646" t="s">
        <v>1</v>
      </c>
      <c r="BQ121" s="2645"/>
      <c r="BR121" s="2645"/>
      <c r="BS121" s="2645"/>
      <c r="BT121" s="2645"/>
      <c r="BU121" s="1414"/>
      <c r="BV121" s="1416"/>
      <c r="BW121" s="2661"/>
      <c r="BX121" s="1392"/>
      <c r="BY121" s="2662"/>
      <c r="BZ121" s="822"/>
      <c r="CA121" s="822"/>
    </row>
    <row r="122" spans="3:79" ht="17.100000000000001" customHeight="1" x14ac:dyDescent="0.2">
      <c r="C122" s="3837"/>
      <c r="D122" s="3838"/>
      <c r="E122" s="3839"/>
      <c r="F122" s="1416"/>
      <c r="G122" s="1413"/>
      <c r="H122" s="2645"/>
      <c r="I122" s="2645"/>
      <c r="J122" s="2645"/>
      <c r="K122" s="2645"/>
      <c r="L122" s="2647" t="s">
        <v>965</v>
      </c>
      <c r="M122" s="2646" t="s">
        <v>83</v>
      </c>
      <c r="N122" s="2646" t="s">
        <v>83</v>
      </c>
      <c r="O122" s="2646" t="s">
        <v>83</v>
      </c>
      <c r="P122" s="2646" t="s">
        <v>83</v>
      </c>
      <c r="Q122" s="2320" t="s">
        <v>83</v>
      </c>
      <c r="R122" s="2320" t="s">
        <v>83</v>
      </c>
      <c r="S122" s="2646" t="s">
        <v>83</v>
      </c>
      <c r="T122" s="2646" t="s">
        <v>83</v>
      </c>
      <c r="U122" s="2646" t="s">
        <v>83</v>
      </c>
      <c r="V122" s="2646" t="s">
        <v>83</v>
      </c>
      <c r="W122" s="2647" t="s">
        <v>965</v>
      </c>
      <c r="X122" s="2646" t="s">
        <v>83</v>
      </c>
      <c r="Y122" s="2646" t="s">
        <v>83</v>
      </c>
      <c r="Z122" s="2646" t="s">
        <v>83</v>
      </c>
      <c r="AA122" s="2646" t="s">
        <v>83</v>
      </c>
      <c r="AB122" s="2320" t="s">
        <v>83</v>
      </c>
      <c r="AC122" s="2320" t="s">
        <v>83</v>
      </c>
      <c r="AD122" s="2646" t="s">
        <v>83</v>
      </c>
      <c r="AE122" s="2646" t="s">
        <v>83</v>
      </c>
      <c r="AF122" s="2646" t="s">
        <v>83</v>
      </c>
      <c r="AG122" s="2646" t="s">
        <v>83</v>
      </c>
      <c r="AH122" s="2647" t="s">
        <v>965</v>
      </c>
      <c r="AI122" s="2645"/>
      <c r="AJ122" s="2645"/>
      <c r="AK122" s="2645"/>
      <c r="AL122" s="2645"/>
      <c r="AM122" s="1413"/>
      <c r="AN122" s="2668" t="s">
        <v>371</v>
      </c>
      <c r="AP122" s="2645"/>
      <c r="AQ122" s="2645"/>
      <c r="AR122" s="2645"/>
      <c r="AS122" s="2645"/>
      <c r="AT122" s="2647" t="s">
        <v>965</v>
      </c>
      <c r="AU122" s="2646" t="s">
        <v>82</v>
      </c>
      <c r="AV122" s="2646" t="s">
        <v>82</v>
      </c>
      <c r="AW122" s="2646" t="s">
        <v>82</v>
      </c>
      <c r="AX122" s="2646" t="s">
        <v>82</v>
      </c>
      <c r="AY122" s="2320" t="s">
        <v>82</v>
      </c>
      <c r="AZ122" s="2320" t="s">
        <v>82</v>
      </c>
      <c r="BA122" s="2646" t="s">
        <v>82</v>
      </c>
      <c r="BB122" s="2646" t="s">
        <v>82</v>
      </c>
      <c r="BC122" s="2646" t="s">
        <v>82</v>
      </c>
      <c r="BD122" s="2646" t="s">
        <v>82</v>
      </c>
      <c r="BE122" s="2647" t="s">
        <v>965</v>
      </c>
      <c r="BF122" s="2646" t="s">
        <v>82</v>
      </c>
      <c r="BG122" s="2646" t="s">
        <v>82</v>
      </c>
      <c r="BH122" s="2646" t="s">
        <v>82</v>
      </c>
      <c r="BI122" s="2646" t="s">
        <v>82</v>
      </c>
      <c r="BJ122" s="2320" t="s">
        <v>82</v>
      </c>
      <c r="BK122" s="2320" t="s">
        <v>82</v>
      </c>
      <c r="BL122" s="2646" t="s">
        <v>82</v>
      </c>
      <c r="BM122" s="2646" t="s">
        <v>82</v>
      </c>
      <c r="BN122" s="2646" t="s">
        <v>82</v>
      </c>
      <c r="BO122" s="2646" t="s">
        <v>82</v>
      </c>
      <c r="BP122" s="2647" t="s">
        <v>965</v>
      </c>
      <c r="BQ122" s="2645"/>
      <c r="BR122" s="2645"/>
      <c r="BS122" s="2645"/>
      <c r="BT122" s="2645"/>
      <c r="BU122" s="1414"/>
      <c r="BV122" s="1416"/>
      <c r="BW122" s="2661"/>
      <c r="BX122" s="1392"/>
      <c r="BY122" s="2662"/>
      <c r="BZ122" s="822"/>
      <c r="CA122" s="822"/>
    </row>
    <row r="123" spans="3:79" ht="17.100000000000001" customHeight="1" x14ac:dyDescent="0.2">
      <c r="C123" s="3837"/>
      <c r="D123" s="3838"/>
      <c r="E123" s="3839"/>
      <c r="F123" s="1416"/>
      <c r="G123" s="1413"/>
      <c r="H123" s="2645"/>
      <c r="I123" s="2645"/>
      <c r="J123" s="2645"/>
      <c r="K123" s="2645"/>
      <c r="L123" s="2645"/>
      <c r="M123" s="2645"/>
      <c r="N123" s="2645"/>
      <c r="O123" s="2645"/>
      <c r="P123" s="2645"/>
      <c r="Q123" s="1413"/>
      <c r="R123" s="1415"/>
      <c r="S123" s="2645"/>
      <c r="T123" s="2645"/>
      <c r="U123" s="2645"/>
      <c r="V123" s="2645"/>
      <c r="W123" s="2645"/>
      <c r="X123" s="2645"/>
      <c r="Y123" s="2645"/>
      <c r="Z123" s="2645"/>
      <c r="AA123" s="2645"/>
      <c r="AB123" s="1413"/>
      <c r="AC123" s="1413"/>
      <c r="AD123" s="2645"/>
      <c r="AE123" s="2645"/>
      <c r="AF123" s="2645"/>
      <c r="AG123" s="2645"/>
      <c r="AH123" s="2646" t="s">
        <v>1</v>
      </c>
      <c r="AI123" s="2645"/>
      <c r="AJ123" s="2645"/>
      <c r="AK123" s="2645"/>
      <c r="AL123" s="2645"/>
      <c r="AM123" s="1413"/>
      <c r="AN123" s="2668" t="s">
        <v>371</v>
      </c>
      <c r="AP123" s="2645"/>
      <c r="AQ123" s="2645"/>
      <c r="AR123" s="2645"/>
      <c r="AS123" s="2645"/>
      <c r="AT123" s="2646" t="s">
        <v>1</v>
      </c>
      <c r="AU123" s="2645"/>
      <c r="AV123" s="2645"/>
      <c r="AW123" s="2645"/>
      <c r="AX123" s="2645"/>
      <c r="AY123" s="1413"/>
      <c r="AZ123" s="1413"/>
      <c r="BA123" s="2645"/>
      <c r="BB123" s="2645"/>
      <c r="BC123" s="2645"/>
      <c r="BD123" s="2645"/>
      <c r="BE123" s="2645"/>
      <c r="BF123" s="2645"/>
      <c r="BG123" s="2645"/>
      <c r="BH123" s="2645"/>
      <c r="BI123" s="2645"/>
      <c r="BJ123" s="1413"/>
      <c r="BK123" s="1413"/>
      <c r="BL123" s="2645"/>
      <c r="BM123" s="2645"/>
      <c r="BN123" s="2645"/>
      <c r="BO123" s="2645"/>
      <c r="BP123" s="2645"/>
      <c r="BQ123" s="2645"/>
      <c r="BR123" s="2645"/>
      <c r="BS123" s="2645"/>
      <c r="BT123" s="2645"/>
      <c r="BU123" s="1414"/>
      <c r="BV123" s="1416"/>
      <c r="BW123" s="2661"/>
      <c r="BX123" s="1392"/>
      <c r="BY123" s="2662"/>
      <c r="BZ123" s="822"/>
      <c r="CA123" s="822"/>
    </row>
    <row r="124" spans="3:79" ht="17.100000000000001" customHeight="1" x14ac:dyDescent="0.2">
      <c r="C124" s="3837"/>
      <c r="D124" s="3838"/>
      <c r="E124" s="3839"/>
      <c r="F124" s="1416"/>
      <c r="G124" s="1413"/>
      <c r="H124" s="2645"/>
      <c r="I124" s="2645"/>
      <c r="J124" s="2645"/>
      <c r="K124" s="2645"/>
      <c r="L124" s="2645"/>
      <c r="M124" s="2645"/>
      <c r="N124" s="2645"/>
      <c r="O124" s="2645"/>
      <c r="P124" s="2645"/>
      <c r="Q124" s="1413"/>
      <c r="R124" s="1415"/>
      <c r="S124" s="2645"/>
      <c r="T124" s="2645"/>
      <c r="U124" s="2645"/>
      <c r="V124" s="2645"/>
      <c r="W124" s="2645"/>
      <c r="X124" s="2645"/>
      <c r="Y124" s="2645"/>
      <c r="Z124" s="2645"/>
      <c r="AA124" s="2645"/>
      <c r="AB124" s="1413"/>
      <c r="AC124" s="1413"/>
      <c r="AD124" s="2645"/>
      <c r="AE124" s="2645"/>
      <c r="AF124" s="2645"/>
      <c r="AG124" s="2645"/>
      <c r="AH124" s="2646" t="s">
        <v>1</v>
      </c>
      <c r="AI124" s="2645"/>
      <c r="AJ124" s="2645"/>
      <c r="AK124" s="2645"/>
      <c r="AL124" s="2645"/>
      <c r="AM124" s="1413"/>
      <c r="AN124" s="2668" t="s">
        <v>371</v>
      </c>
      <c r="AP124" s="2645"/>
      <c r="AQ124" s="2669"/>
      <c r="AR124" s="2645"/>
      <c r="AS124" s="2645"/>
      <c r="AT124" s="2646" t="s">
        <v>1</v>
      </c>
      <c r="AU124" s="2645"/>
      <c r="AV124" s="2645"/>
      <c r="AW124" s="2645"/>
      <c r="AX124" s="2645"/>
      <c r="AY124" s="1413"/>
      <c r="AZ124" s="1413"/>
      <c r="BA124" s="2645"/>
      <c r="BB124" s="2645"/>
      <c r="BC124" s="2645"/>
      <c r="BD124" s="2645"/>
      <c r="BE124" s="2645"/>
      <c r="BF124" s="2645"/>
      <c r="BG124" s="2645"/>
      <c r="BH124" s="2645"/>
      <c r="BI124" s="2645"/>
      <c r="BJ124" s="1413"/>
      <c r="BK124" s="1413"/>
      <c r="BL124" s="2645"/>
      <c r="BM124" s="2645"/>
      <c r="BN124" s="2645"/>
      <c r="BO124" s="2645"/>
      <c r="BP124" s="2645"/>
      <c r="BQ124" s="2645"/>
      <c r="BR124" s="2645"/>
      <c r="BS124" s="2645"/>
      <c r="BT124" s="2645"/>
      <c r="BU124" s="1414"/>
      <c r="BV124" s="1416"/>
      <c r="BW124" s="2661"/>
      <c r="BX124" s="1392"/>
      <c r="BY124" s="2662"/>
      <c r="BZ124" s="822"/>
      <c r="CA124" s="822"/>
    </row>
    <row r="125" spans="3:79" ht="17.100000000000001" customHeight="1" x14ac:dyDescent="0.2">
      <c r="C125" s="3837"/>
      <c r="D125" s="3838"/>
      <c r="E125" s="3839"/>
      <c r="F125" s="1416"/>
      <c r="G125" s="1413"/>
      <c r="H125" s="2645"/>
      <c r="I125" s="2645"/>
      <c r="J125" s="2645"/>
      <c r="K125" s="2645"/>
      <c r="L125" s="2645"/>
      <c r="M125" s="2645"/>
      <c r="N125" s="2645"/>
      <c r="O125" s="2645"/>
      <c r="P125" s="2645"/>
      <c r="Q125" s="1413"/>
      <c r="R125" s="1415"/>
      <c r="S125" s="2645"/>
      <c r="T125" s="2645"/>
      <c r="U125" s="2645"/>
      <c r="V125" s="2645"/>
      <c r="W125" s="2645"/>
      <c r="X125" s="2645"/>
      <c r="Y125" s="2645"/>
      <c r="Z125" s="2645"/>
      <c r="AA125" s="2645"/>
      <c r="AB125" s="1413"/>
      <c r="AC125" s="1413"/>
      <c r="AD125" s="2645"/>
      <c r="AE125" s="2645"/>
      <c r="AF125" s="2645"/>
      <c r="AG125" s="2645"/>
      <c r="AH125" s="2646" t="s">
        <v>1</v>
      </c>
      <c r="AI125" s="2645"/>
      <c r="AJ125" s="2645"/>
      <c r="AK125" s="2645"/>
      <c r="AL125" s="2645"/>
      <c r="AM125" s="1413"/>
      <c r="AN125" s="2668" t="s">
        <v>371</v>
      </c>
      <c r="AP125" s="2645"/>
      <c r="AQ125" s="2645"/>
      <c r="AR125" s="2645"/>
      <c r="AS125" s="2645"/>
      <c r="AT125" s="2646" t="s">
        <v>1</v>
      </c>
      <c r="AU125" s="2645"/>
      <c r="AV125" s="2645"/>
      <c r="AW125" s="2645"/>
      <c r="AX125" s="2645"/>
      <c r="AY125" s="1413"/>
      <c r="AZ125" s="1413"/>
      <c r="BA125" s="2645"/>
      <c r="BB125" s="2645"/>
      <c r="BC125" s="2645"/>
      <c r="BD125" s="2645"/>
      <c r="BE125" s="2645"/>
      <c r="BF125" s="2645"/>
      <c r="BG125" s="2645"/>
      <c r="BH125" s="2645"/>
      <c r="BI125" s="2645"/>
      <c r="BJ125" s="1413"/>
      <c r="BK125" s="1413"/>
      <c r="BL125" s="2645"/>
      <c r="BM125" s="2645"/>
      <c r="BN125" s="2645"/>
      <c r="BO125" s="2645"/>
      <c r="BP125" s="2645"/>
      <c r="BQ125" s="2645"/>
      <c r="BR125" s="2645"/>
      <c r="BS125" s="2645"/>
      <c r="BT125" s="2645"/>
      <c r="BU125" s="1414"/>
      <c r="BV125" s="1416"/>
      <c r="BW125" s="2661"/>
      <c r="BX125" s="1392"/>
      <c r="BY125" s="2662"/>
      <c r="BZ125" s="822"/>
      <c r="CA125" s="822"/>
    </row>
    <row r="126" spans="3:79" ht="17.100000000000001" customHeight="1" x14ac:dyDescent="0.2">
      <c r="C126" s="3837"/>
      <c r="D126" s="3838"/>
      <c r="E126" s="3839"/>
      <c r="F126" s="1416"/>
      <c r="G126" s="1414"/>
      <c r="H126" s="2645"/>
      <c r="I126" s="2645"/>
      <c r="J126" s="2645"/>
      <c r="K126" s="2645"/>
      <c r="L126" s="2645"/>
      <c r="M126" s="2645"/>
      <c r="N126" s="2645"/>
      <c r="O126" s="2645"/>
      <c r="P126" s="2645"/>
      <c r="Q126" s="1413"/>
      <c r="R126" s="1413"/>
      <c r="S126" s="2645"/>
      <c r="T126" s="2645"/>
      <c r="U126" s="2645"/>
      <c r="V126" s="2645"/>
      <c r="W126" s="2645"/>
      <c r="X126" s="2645"/>
      <c r="Y126" s="2645"/>
      <c r="Z126" s="2645"/>
      <c r="AA126" s="2645"/>
      <c r="AB126" s="1413"/>
      <c r="AC126" s="1413"/>
      <c r="AD126" s="2645"/>
      <c r="AE126" s="2645"/>
      <c r="AF126" s="2645"/>
      <c r="AG126" s="2645"/>
      <c r="AH126" s="2646" t="s">
        <v>1</v>
      </c>
      <c r="AI126" s="2645"/>
      <c r="AJ126" s="2645"/>
      <c r="AK126" s="2645"/>
      <c r="AL126" s="2645"/>
      <c r="AM126" s="1413"/>
      <c r="AN126" s="2668" t="s">
        <v>371</v>
      </c>
      <c r="AP126" s="2645"/>
      <c r="AQ126" s="2645"/>
      <c r="AR126" s="2645"/>
      <c r="AS126" s="2645"/>
      <c r="AT126" s="2646" t="s">
        <v>1</v>
      </c>
      <c r="AU126" s="2645"/>
      <c r="AV126" s="2645"/>
      <c r="AW126" s="2645"/>
      <c r="AX126" s="2645"/>
      <c r="AY126" s="1413"/>
      <c r="AZ126" s="1413"/>
      <c r="BA126" s="2645"/>
      <c r="BB126" s="2645"/>
      <c r="BC126" s="2645"/>
      <c r="BD126" s="2645"/>
      <c r="BE126" s="2645"/>
      <c r="BF126" s="2645"/>
      <c r="BG126" s="2645"/>
      <c r="BH126" s="2645"/>
      <c r="BI126" s="2645"/>
      <c r="BJ126" s="1413"/>
      <c r="BK126" s="1413"/>
      <c r="BL126" s="2645"/>
      <c r="BM126" s="2645"/>
      <c r="BN126" s="2645"/>
      <c r="BO126" s="2645"/>
      <c r="BP126" s="2645"/>
      <c r="BQ126" s="2645"/>
      <c r="BR126" s="2645"/>
      <c r="BS126" s="2645"/>
      <c r="BT126" s="2645"/>
      <c r="BU126" s="1413"/>
      <c r="BV126" s="1416"/>
      <c r="BW126" s="2661"/>
      <c r="BX126" s="1392"/>
      <c r="BY126" s="2662"/>
      <c r="BZ126" s="822"/>
      <c r="CA126" s="822"/>
    </row>
    <row r="127" spans="3:79" ht="17.100000000000001" customHeight="1" x14ac:dyDescent="0.2">
      <c r="C127" s="3837"/>
      <c r="D127" s="3838"/>
      <c r="E127" s="3839"/>
      <c r="F127" s="1416"/>
      <c r="G127" s="1413"/>
      <c r="H127" s="1413"/>
      <c r="I127" s="1413"/>
      <c r="J127" s="1413"/>
      <c r="K127" s="1413"/>
      <c r="L127" s="1413"/>
      <c r="M127" s="1413"/>
      <c r="N127" s="1413"/>
      <c r="O127" s="1413"/>
      <c r="P127" s="1413"/>
      <c r="Q127" s="1413"/>
      <c r="R127" s="1413"/>
      <c r="S127" s="1413"/>
      <c r="T127" s="1413"/>
      <c r="U127" s="1413"/>
      <c r="V127" s="1413"/>
      <c r="W127" s="1413"/>
      <c r="X127" s="1413"/>
      <c r="Y127" s="1413"/>
      <c r="Z127" s="1413"/>
      <c r="AA127" s="1413"/>
      <c r="AB127" s="1413"/>
      <c r="AC127" s="1413"/>
      <c r="AD127" s="1413"/>
      <c r="AE127" s="1413"/>
      <c r="AF127" s="1413"/>
      <c r="AG127" s="1413"/>
      <c r="AH127" s="2320" t="s">
        <v>1</v>
      </c>
      <c r="AI127" s="1413"/>
      <c r="AJ127" s="1413"/>
      <c r="AK127" s="1413"/>
      <c r="AL127" s="1413"/>
      <c r="AM127" s="1413"/>
      <c r="AN127" s="2668" t="s">
        <v>371</v>
      </c>
      <c r="AO127" s="1413"/>
      <c r="AP127" s="1413"/>
      <c r="AQ127" s="1413"/>
      <c r="AR127" s="1413"/>
      <c r="AS127" s="1413"/>
      <c r="AT127" s="2320" t="s">
        <v>1</v>
      </c>
      <c r="AU127" s="1413"/>
      <c r="AV127" s="1413"/>
      <c r="AW127" s="1413"/>
      <c r="AX127" s="1413"/>
      <c r="AY127" s="1413"/>
      <c r="AZ127" s="1413"/>
      <c r="BA127" s="1413"/>
      <c r="BB127" s="1413"/>
      <c r="BC127" s="1413"/>
      <c r="BD127" s="1413"/>
      <c r="BE127" s="1413"/>
      <c r="BF127" s="1413"/>
      <c r="BG127" s="1413"/>
      <c r="BH127" s="1413"/>
      <c r="BI127" s="1413"/>
      <c r="BJ127" s="1413"/>
      <c r="BK127" s="1413"/>
      <c r="BL127" s="1413"/>
      <c r="BM127" s="1413"/>
      <c r="BN127" s="1413"/>
      <c r="BO127" s="1413"/>
      <c r="BP127" s="1413"/>
      <c r="BQ127" s="1413"/>
      <c r="BR127" s="1413"/>
      <c r="BS127" s="1413"/>
      <c r="BT127" s="1413"/>
      <c r="BU127" s="1413"/>
      <c r="BV127" s="1416"/>
      <c r="BW127" s="2661"/>
      <c r="BX127" s="1392"/>
      <c r="BY127" s="2662"/>
      <c r="BZ127" s="822"/>
      <c r="CA127" s="822"/>
    </row>
    <row r="128" spans="3:79" ht="17.100000000000001" customHeight="1" x14ac:dyDescent="0.2">
      <c r="C128" s="3837"/>
      <c r="D128" s="3838"/>
      <c r="E128" s="3839"/>
      <c r="F128" s="1416"/>
      <c r="G128" s="1413"/>
      <c r="H128" s="1413"/>
      <c r="I128" s="1413"/>
      <c r="J128" s="1413"/>
      <c r="K128" s="1413"/>
      <c r="L128" s="1413"/>
      <c r="M128" s="1413"/>
      <c r="N128" s="1413"/>
      <c r="O128" s="1413"/>
      <c r="P128" s="1413"/>
      <c r="Q128" s="1413"/>
      <c r="R128" s="1413"/>
      <c r="S128" s="1413"/>
      <c r="T128" s="1413"/>
      <c r="U128" s="1413"/>
      <c r="V128" s="1413"/>
      <c r="W128" s="1413"/>
      <c r="X128" s="1413"/>
      <c r="Y128" s="1413"/>
      <c r="Z128" s="1413"/>
      <c r="AA128" s="1413"/>
      <c r="AB128" s="1413"/>
      <c r="AC128" s="1413"/>
      <c r="AD128" s="1413"/>
      <c r="AE128" s="1413"/>
      <c r="AF128" s="1413"/>
      <c r="AG128" s="1413"/>
      <c r="AH128" s="2320" t="s">
        <v>1</v>
      </c>
      <c r="AI128" s="1413"/>
      <c r="AJ128" s="1413"/>
      <c r="AK128" s="1413"/>
      <c r="AL128" s="1413"/>
      <c r="AM128" s="1413"/>
      <c r="AN128" s="2668" t="s">
        <v>371</v>
      </c>
      <c r="AO128" s="1413"/>
      <c r="AP128" s="1413"/>
      <c r="AQ128" s="1413"/>
      <c r="AR128" s="1413"/>
      <c r="AS128" s="1413"/>
      <c r="AT128" s="2320" t="s">
        <v>1</v>
      </c>
      <c r="AU128" s="1413"/>
      <c r="AV128" s="1413"/>
      <c r="AW128" s="1413"/>
      <c r="AX128" s="1413"/>
      <c r="AY128" s="1413"/>
      <c r="AZ128" s="1413"/>
      <c r="BA128" s="1413"/>
      <c r="BB128" s="1413"/>
      <c r="BC128" s="1413"/>
      <c r="BD128" s="1413"/>
      <c r="BE128" s="1413"/>
      <c r="BF128" s="1413"/>
      <c r="BG128" s="1413"/>
      <c r="BH128" s="1413"/>
      <c r="BI128" s="1413"/>
      <c r="BJ128" s="1413"/>
      <c r="BK128" s="1413"/>
      <c r="BL128" s="1413"/>
      <c r="BM128" s="1413"/>
      <c r="BN128" s="1413"/>
      <c r="BO128" s="1413"/>
      <c r="BP128" s="1413"/>
      <c r="BQ128" s="1413"/>
      <c r="BR128" s="1413"/>
      <c r="BS128" s="1413"/>
      <c r="BT128" s="1413"/>
      <c r="BU128" s="1413"/>
      <c r="BV128" s="1416"/>
      <c r="BW128" s="2661"/>
      <c r="BX128" s="1392"/>
      <c r="BY128" s="2662"/>
      <c r="BZ128" s="822"/>
      <c r="CA128" s="822"/>
    </row>
    <row r="129" spans="3:79" ht="17.100000000000001" customHeight="1" x14ac:dyDescent="0.2">
      <c r="C129" s="3837"/>
      <c r="D129" s="3838"/>
      <c r="E129" s="3839"/>
      <c r="F129" s="1416"/>
      <c r="G129" s="1413"/>
      <c r="H129" s="2645"/>
      <c r="I129" s="2645"/>
      <c r="J129" s="2645"/>
      <c r="K129" s="2645"/>
      <c r="L129" s="2645"/>
      <c r="M129" s="2645"/>
      <c r="N129" s="2645"/>
      <c r="O129" s="2645"/>
      <c r="P129" s="2645"/>
      <c r="Q129" s="1413"/>
      <c r="R129" s="1413"/>
      <c r="S129" s="2645"/>
      <c r="T129" s="2645"/>
      <c r="U129" s="2645"/>
      <c r="V129" s="2645"/>
      <c r="W129" s="2645"/>
      <c r="X129" s="2645"/>
      <c r="Y129" s="2645"/>
      <c r="Z129" s="2645"/>
      <c r="AA129" s="2645"/>
      <c r="AB129" s="1413"/>
      <c r="AC129" s="1413"/>
      <c r="AD129" s="2645"/>
      <c r="AE129" s="2645"/>
      <c r="AF129" s="2645"/>
      <c r="AG129" s="2645"/>
      <c r="AH129" s="2646" t="s">
        <v>1</v>
      </c>
      <c r="AI129" s="2645"/>
      <c r="AJ129" s="2645"/>
      <c r="AK129" s="2645"/>
      <c r="AL129" s="2645"/>
      <c r="AM129" s="1413"/>
      <c r="AN129" s="2668" t="s">
        <v>371</v>
      </c>
      <c r="AP129" s="2645"/>
      <c r="AQ129" s="2645"/>
      <c r="AR129" s="2645"/>
      <c r="AS129" s="2645"/>
      <c r="AT129" s="2646" t="s">
        <v>1</v>
      </c>
      <c r="AU129" s="2645"/>
      <c r="AV129" s="2645"/>
      <c r="AW129" s="2645"/>
      <c r="AX129" s="2645"/>
      <c r="AY129" s="1413"/>
      <c r="AZ129" s="1413"/>
      <c r="BA129" s="2645"/>
      <c r="BB129" s="2645"/>
      <c r="BC129" s="2645"/>
      <c r="BD129" s="2645"/>
      <c r="BE129" s="2645"/>
      <c r="BF129" s="2645"/>
      <c r="BG129" s="2645"/>
      <c r="BH129" s="2645"/>
      <c r="BI129" s="2645"/>
      <c r="BJ129" s="1413"/>
      <c r="BK129" s="1413"/>
      <c r="BL129" s="2645"/>
      <c r="BM129" s="2645"/>
      <c r="BN129" s="2645"/>
      <c r="BO129" s="2645"/>
      <c r="BP129" s="2645"/>
      <c r="BQ129" s="2645"/>
      <c r="BR129" s="2645"/>
      <c r="BS129" s="2645"/>
      <c r="BT129" s="2645"/>
      <c r="BU129" s="1413"/>
      <c r="BV129" s="1416"/>
      <c r="BW129" s="2661"/>
      <c r="BX129" s="1392"/>
      <c r="BY129" s="2662"/>
      <c r="BZ129" s="822"/>
      <c r="CA129" s="822"/>
    </row>
    <row r="130" spans="3:79" ht="17.100000000000001" customHeight="1" x14ac:dyDescent="0.2">
      <c r="C130" s="3837"/>
      <c r="D130" s="3838"/>
      <c r="E130" s="3839"/>
      <c r="F130" s="1416"/>
      <c r="G130" s="1413"/>
      <c r="H130" s="2645"/>
      <c r="I130" s="2645"/>
      <c r="J130" s="2645"/>
      <c r="K130" s="2645"/>
      <c r="L130" s="2645"/>
      <c r="M130" s="2645"/>
      <c r="N130" s="2645"/>
      <c r="O130" s="2645"/>
      <c r="P130" s="2645"/>
      <c r="Q130" s="1413"/>
      <c r="R130" s="1413"/>
      <c r="S130" s="2645"/>
      <c r="T130" s="2645"/>
      <c r="U130" s="2645"/>
      <c r="V130" s="2645"/>
      <c r="W130" s="2645"/>
      <c r="X130" s="2645"/>
      <c r="Y130" s="2645"/>
      <c r="Z130" s="2645"/>
      <c r="AA130" s="2645"/>
      <c r="AB130" s="1413"/>
      <c r="AC130" s="1413"/>
      <c r="AD130" s="2645"/>
      <c r="AE130" s="2645"/>
      <c r="AF130" s="2645"/>
      <c r="AG130" s="2645"/>
      <c r="AH130" s="2646" t="s">
        <v>1</v>
      </c>
      <c r="AI130" s="2645"/>
      <c r="AJ130" s="2645"/>
      <c r="AK130" s="2645"/>
      <c r="AL130" s="2645"/>
      <c r="AM130" s="1413"/>
      <c r="AN130" s="2668" t="s">
        <v>371</v>
      </c>
      <c r="AP130" s="2645"/>
      <c r="AQ130" s="2645"/>
      <c r="AR130" s="2645"/>
      <c r="AS130" s="2645"/>
      <c r="AT130" s="2646" t="s">
        <v>1</v>
      </c>
      <c r="AU130" s="2645"/>
      <c r="AV130" s="2645"/>
      <c r="AW130" s="2645"/>
      <c r="AX130" s="2645"/>
      <c r="AY130" s="1413"/>
      <c r="AZ130" s="1413"/>
      <c r="BA130" s="2645"/>
      <c r="BB130" s="2645"/>
      <c r="BC130" s="2645"/>
      <c r="BD130" s="2645"/>
      <c r="BE130" s="2645"/>
      <c r="BF130" s="2645"/>
      <c r="BG130" s="2645"/>
      <c r="BH130" s="2645"/>
      <c r="BI130" s="2645"/>
      <c r="BJ130" s="1413"/>
      <c r="BK130" s="1413"/>
      <c r="BL130" s="2645"/>
      <c r="BM130" s="2645"/>
      <c r="BN130" s="2645"/>
      <c r="BO130" s="2645"/>
      <c r="BP130" s="2645"/>
      <c r="BQ130" s="2645"/>
      <c r="BR130" s="2645"/>
      <c r="BS130" s="2645"/>
      <c r="BT130" s="2645"/>
      <c r="BU130" s="1413"/>
      <c r="BV130" s="1416"/>
      <c r="BW130" s="2661"/>
      <c r="BX130" s="1392"/>
      <c r="BY130" s="2662"/>
      <c r="BZ130" s="822"/>
      <c r="CA130" s="822"/>
    </row>
    <row r="131" spans="3:79" ht="17.100000000000001" customHeight="1" x14ac:dyDescent="0.2">
      <c r="C131" s="3837"/>
      <c r="D131" s="3838"/>
      <c r="E131" s="3839"/>
      <c r="F131" s="1416"/>
      <c r="G131" s="1413"/>
      <c r="H131" s="2645"/>
      <c r="I131" s="2645"/>
      <c r="J131" s="2645"/>
      <c r="K131" s="2645"/>
      <c r="L131" s="2645"/>
      <c r="M131" s="2645"/>
      <c r="N131" s="2645"/>
      <c r="O131" s="2645"/>
      <c r="P131" s="2645"/>
      <c r="Q131" s="1413"/>
      <c r="R131" s="1413"/>
      <c r="S131" s="2645"/>
      <c r="T131" s="2645"/>
      <c r="U131" s="2645"/>
      <c r="V131" s="2645"/>
      <c r="W131" s="2645"/>
      <c r="X131" s="2645"/>
      <c r="Y131" s="2645"/>
      <c r="Z131" s="2645"/>
      <c r="AA131" s="2645"/>
      <c r="AB131" s="1413"/>
      <c r="AC131" s="1413"/>
      <c r="AD131" s="2645"/>
      <c r="AE131" s="2645"/>
      <c r="AF131" s="2645"/>
      <c r="AG131" s="2645"/>
      <c r="AH131" s="2646" t="s">
        <v>1</v>
      </c>
      <c r="AI131" s="2645"/>
      <c r="AJ131" s="2645"/>
      <c r="AK131" s="2645"/>
      <c r="AL131" s="2645"/>
      <c r="AM131" s="1413"/>
      <c r="AN131" s="2668" t="s">
        <v>371</v>
      </c>
      <c r="AP131" s="2645"/>
      <c r="AQ131" s="2645"/>
      <c r="AR131" s="2645"/>
      <c r="AS131" s="2645"/>
      <c r="AT131" s="2646" t="s">
        <v>1</v>
      </c>
      <c r="AU131" s="2645"/>
      <c r="AV131" s="2645"/>
      <c r="AW131" s="2645"/>
      <c r="AX131" s="2645"/>
      <c r="AY131" s="1413"/>
      <c r="AZ131" s="1413"/>
      <c r="BA131" s="2645"/>
      <c r="BB131" s="2645"/>
      <c r="BC131" s="2645"/>
      <c r="BD131" s="2645"/>
      <c r="BE131" s="2645"/>
      <c r="BF131" s="2645"/>
      <c r="BG131" s="2645"/>
      <c r="BH131" s="2645"/>
      <c r="BI131" s="2645"/>
      <c r="BJ131" s="1413"/>
      <c r="BK131" s="1413"/>
      <c r="BL131" s="2645"/>
      <c r="BM131" s="2645"/>
      <c r="BN131" s="2645"/>
      <c r="BO131" s="2645"/>
      <c r="BP131" s="2645"/>
      <c r="BQ131" s="2645"/>
      <c r="BR131" s="2645"/>
      <c r="BS131" s="2645"/>
      <c r="BT131" s="2645"/>
      <c r="BU131" s="1413"/>
      <c r="BV131" s="1416"/>
      <c r="BW131" s="2661"/>
      <c r="BX131" s="1392"/>
      <c r="BY131" s="2662"/>
      <c r="BZ131" s="822"/>
      <c r="CA131" s="822"/>
    </row>
    <row r="132" spans="3:79" ht="17.100000000000001" customHeight="1" x14ac:dyDescent="0.2">
      <c r="C132" s="3837"/>
      <c r="D132" s="3838"/>
      <c r="E132" s="3839"/>
      <c r="F132" s="1416"/>
      <c r="G132" s="1413"/>
      <c r="H132" s="2645"/>
      <c r="I132" s="2645"/>
      <c r="J132" s="2645"/>
      <c r="K132" s="2645"/>
      <c r="L132" s="2645"/>
      <c r="M132" s="2645"/>
      <c r="N132" s="2645"/>
      <c r="O132" s="2645"/>
      <c r="P132" s="2645"/>
      <c r="Q132" s="1413"/>
      <c r="R132" s="1413"/>
      <c r="S132" s="2645"/>
      <c r="T132" s="2645"/>
      <c r="U132" s="2645"/>
      <c r="V132" s="2645"/>
      <c r="W132" s="2645"/>
      <c r="X132" s="2645"/>
      <c r="Y132" s="2645"/>
      <c r="Z132" s="2645"/>
      <c r="AA132" s="2645"/>
      <c r="AB132" s="1413"/>
      <c r="AC132" s="1413"/>
      <c r="AD132" s="2645"/>
      <c r="AE132" s="2645"/>
      <c r="AF132" s="2645"/>
      <c r="AG132" s="2667"/>
      <c r="AH132" s="2646" t="s">
        <v>1</v>
      </c>
      <c r="AI132" s="2667"/>
      <c r="AJ132" s="2645"/>
      <c r="AK132" s="2645"/>
      <c r="AL132" s="2645"/>
      <c r="AM132" s="1413"/>
      <c r="AN132" s="2668" t="s">
        <v>371</v>
      </c>
      <c r="AP132" s="2645"/>
      <c r="AQ132" s="2645"/>
      <c r="AR132" s="2645"/>
      <c r="AS132" s="2645"/>
      <c r="AT132" s="2646" t="s">
        <v>1</v>
      </c>
      <c r="AU132" s="2645"/>
      <c r="AV132" s="2645"/>
      <c r="AW132" s="2645"/>
      <c r="AX132" s="2645"/>
      <c r="AY132" s="1413"/>
      <c r="AZ132" s="1413"/>
      <c r="BA132" s="2645"/>
      <c r="BB132" s="2645"/>
      <c r="BC132" s="2645"/>
      <c r="BD132" s="2645"/>
      <c r="BE132" s="2645"/>
      <c r="BF132" s="2645"/>
      <c r="BG132" s="2645"/>
      <c r="BH132" s="2645"/>
      <c r="BI132" s="2645"/>
      <c r="BJ132" s="1413"/>
      <c r="BK132" s="1413"/>
      <c r="BL132" s="2645"/>
      <c r="BM132" s="2645"/>
      <c r="BN132" s="2645"/>
      <c r="BO132" s="2645"/>
      <c r="BP132" s="2645"/>
      <c r="BQ132" s="2645"/>
      <c r="BR132" s="2645"/>
      <c r="BS132" s="2645"/>
      <c r="BT132" s="2645"/>
      <c r="BU132" s="1413"/>
      <c r="BV132" s="1416"/>
      <c r="BW132" s="2661"/>
      <c r="BX132" s="1392"/>
      <c r="BY132" s="2662"/>
      <c r="BZ132" s="822"/>
      <c r="CA132" s="822"/>
    </row>
    <row r="133" spans="3:79" ht="17.100000000000001" customHeight="1" x14ac:dyDescent="0.2">
      <c r="C133" s="3837"/>
      <c r="D133" s="3838"/>
      <c r="E133" s="3839"/>
      <c r="F133" s="1416"/>
      <c r="G133" s="1413"/>
      <c r="H133" s="2645"/>
      <c r="I133" s="2645"/>
      <c r="J133" s="2645"/>
      <c r="K133" s="2645"/>
      <c r="L133" s="2647" t="s">
        <v>965</v>
      </c>
      <c r="M133" s="2646" t="s">
        <v>82</v>
      </c>
      <c r="N133" s="2646" t="s">
        <v>82</v>
      </c>
      <c r="O133" s="2646" t="s">
        <v>82</v>
      </c>
      <c r="P133" s="2646" t="s">
        <v>82</v>
      </c>
      <c r="Q133" s="2320" t="s">
        <v>82</v>
      </c>
      <c r="R133" s="2320" t="s">
        <v>82</v>
      </c>
      <c r="S133" s="2646" t="s">
        <v>82</v>
      </c>
      <c r="T133" s="2646" t="s">
        <v>82</v>
      </c>
      <c r="U133" s="2646" t="s">
        <v>82</v>
      </c>
      <c r="V133" s="2646" t="s">
        <v>82</v>
      </c>
      <c r="W133" s="2647" t="s">
        <v>965</v>
      </c>
      <c r="X133" s="2646" t="s">
        <v>82</v>
      </c>
      <c r="Y133" s="2646" t="s">
        <v>82</v>
      </c>
      <c r="Z133" s="2646" t="s">
        <v>82</v>
      </c>
      <c r="AA133" s="2646" t="s">
        <v>82</v>
      </c>
      <c r="AB133" s="2320" t="s">
        <v>82</v>
      </c>
      <c r="AC133" s="2320" t="s">
        <v>82</v>
      </c>
      <c r="AD133" s="2646" t="s">
        <v>82</v>
      </c>
      <c r="AE133" s="2646" t="s">
        <v>82</v>
      </c>
      <c r="AF133" s="2646" t="s">
        <v>82</v>
      </c>
      <c r="AG133" s="2646" t="s">
        <v>82</v>
      </c>
      <c r="AH133" s="2647" t="s">
        <v>965</v>
      </c>
      <c r="AI133" s="2646"/>
      <c r="AJ133" s="2645"/>
      <c r="AK133" s="2645"/>
      <c r="AL133" s="2645"/>
      <c r="AM133" s="1413"/>
      <c r="AN133" s="2668" t="s">
        <v>371</v>
      </c>
      <c r="AP133" s="2645"/>
      <c r="AQ133" s="2645"/>
      <c r="AR133" s="2645"/>
      <c r="AS133" s="2645"/>
      <c r="AT133" s="2647" t="s">
        <v>965</v>
      </c>
      <c r="AU133" s="2646" t="s">
        <v>83</v>
      </c>
      <c r="AV133" s="2646" t="s">
        <v>83</v>
      </c>
      <c r="AW133" s="2646" t="s">
        <v>83</v>
      </c>
      <c r="AX133" s="2646" t="s">
        <v>83</v>
      </c>
      <c r="AY133" s="2320" t="s">
        <v>83</v>
      </c>
      <c r="AZ133" s="2320" t="s">
        <v>83</v>
      </c>
      <c r="BA133" s="2646" t="s">
        <v>83</v>
      </c>
      <c r="BB133" s="2646" t="s">
        <v>83</v>
      </c>
      <c r="BC133" s="2646" t="s">
        <v>83</v>
      </c>
      <c r="BD133" s="2646" t="s">
        <v>83</v>
      </c>
      <c r="BE133" s="2647" t="s">
        <v>965</v>
      </c>
      <c r="BF133" s="2646" t="s">
        <v>83</v>
      </c>
      <c r="BG133" s="2646" t="s">
        <v>83</v>
      </c>
      <c r="BH133" s="2646" t="s">
        <v>83</v>
      </c>
      <c r="BI133" s="2646" t="s">
        <v>83</v>
      </c>
      <c r="BJ133" s="2320" t="s">
        <v>83</v>
      </c>
      <c r="BK133" s="2320" t="s">
        <v>83</v>
      </c>
      <c r="BL133" s="2646" t="s">
        <v>83</v>
      </c>
      <c r="BM133" s="2646" t="s">
        <v>83</v>
      </c>
      <c r="BN133" s="2646" t="s">
        <v>83</v>
      </c>
      <c r="BO133" s="2646" t="s">
        <v>83</v>
      </c>
      <c r="BP133" s="2647" t="s">
        <v>965</v>
      </c>
      <c r="BQ133" s="2645"/>
      <c r="BR133" s="2645"/>
      <c r="BS133" s="2645"/>
      <c r="BT133" s="2645"/>
      <c r="BU133" s="1413"/>
      <c r="BV133" s="1416"/>
      <c r="BW133" s="2661"/>
      <c r="BX133" s="1392"/>
      <c r="BY133" s="2662"/>
      <c r="BZ133" s="822"/>
      <c r="CA133" s="822"/>
    </row>
    <row r="134" spans="3:79" ht="17.100000000000001" customHeight="1" x14ac:dyDescent="0.2">
      <c r="C134" s="3837"/>
      <c r="D134" s="3838"/>
      <c r="E134" s="3839"/>
      <c r="F134" s="1416"/>
      <c r="G134" s="1413"/>
      <c r="H134" s="2645"/>
      <c r="I134" s="2645"/>
      <c r="J134" s="2645"/>
      <c r="K134" s="2645"/>
      <c r="L134" s="2646" t="s">
        <v>1</v>
      </c>
      <c r="M134" s="2645"/>
      <c r="N134" s="2645"/>
      <c r="O134" s="2645"/>
      <c r="P134" s="2645"/>
      <c r="Q134" s="1413"/>
      <c r="R134" s="1413"/>
      <c r="S134" s="2645"/>
      <c r="T134" s="2645"/>
      <c r="U134" s="2645"/>
      <c r="V134" s="2645"/>
      <c r="W134" s="2645"/>
      <c r="X134" s="2645"/>
      <c r="Y134" s="2645"/>
      <c r="Z134" s="2645"/>
      <c r="AA134" s="2645"/>
      <c r="AB134" s="1413"/>
      <c r="AC134" s="1413"/>
      <c r="AD134" s="2645"/>
      <c r="AE134" s="2645"/>
      <c r="AF134" s="2645"/>
      <c r="AG134" s="2646"/>
      <c r="AH134" s="2646"/>
      <c r="AI134" s="2667"/>
      <c r="AJ134" s="2645"/>
      <c r="AK134" s="2645"/>
      <c r="AL134" s="2645"/>
      <c r="AM134" s="1413"/>
      <c r="AN134" s="2668" t="s">
        <v>371</v>
      </c>
      <c r="AP134" s="2645"/>
      <c r="AQ134" s="2645"/>
      <c r="AR134" s="2645"/>
      <c r="AS134" s="2645"/>
      <c r="AT134" s="2645"/>
      <c r="AU134" s="2645"/>
      <c r="AV134" s="2645"/>
      <c r="AW134" s="2645"/>
      <c r="AX134" s="2645"/>
      <c r="AY134" s="1413"/>
      <c r="AZ134" s="1413"/>
      <c r="BA134" s="2645"/>
      <c r="BB134" s="2645"/>
      <c r="BC134" s="2645"/>
      <c r="BD134" s="2645"/>
      <c r="BE134" s="2645"/>
      <c r="BF134" s="2645"/>
      <c r="BG134" s="2645"/>
      <c r="BH134" s="2645"/>
      <c r="BI134" s="2645"/>
      <c r="BJ134" s="1413"/>
      <c r="BK134" s="1413"/>
      <c r="BL134" s="2645"/>
      <c r="BM134" s="2645"/>
      <c r="BN134" s="2645"/>
      <c r="BO134" s="2645"/>
      <c r="BP134" s="2646" t="s">
        <v>1</v>
      </c>
      <c r="BQ134" s="2645"/>
      <c r="BR134" s="2645"/>
      <c r="BS134" s="2645"/>
      <c r="BT134" s="2645"/>
      <c r="BU134" s="1413"/>
      <c r="BV134" s="1416"/>
      <c r="BW134" s="2661"/>
      <c r="BX134" s="1392"/>
      <c r="BY134" s="2662"/>
      <c r="BZ134" s="822"/>
      <c r="CA134" s="822"/>
    </row>
    <row r="135" spans="3:79" ht="17.100000000000001" customHeight="1" x14ac:dyDescent="0.2">
      <c r="C135" s="3837"/>
      <c r="D135" s="3838"/>
      <c r="E135" s="3839"/>
      <c r="F135" s="1416"/>
      <c r="G135" s="1413"/>
      <c r="H135" s="2645"/>
      <c r="I135" s="2645"/>
      <c r="J135" s="2645"/>
      <c r="K135" s="2645"/>
      <c r="L135" s="2646" t="s">
        <v>1</v>
      </c>
      <c r="M135" s="2645"/>
      <c r="N135" s="2645"/>
      <c r="O135" s="2645"/>
      <c r="P135" s="2645"/>
      <c r="Q135" s="1413"/>
      <c r="R135" s="1413"/>
      <c r="S135" s="2645"/>
      <c r="T135" s="2645"/>
      <c r="U135" s="2645"/>
      <c r="V135" s="2645"/>
      <c r="W135" s="2645"/>
      <c r="X135" s="2645"/>
      <c r="Y135" s="2645"/>
      <c r="Z135" s="2645"/>
      <c r="AA135" s="2645"/>
      <c r="AB135" s="1413"/>
      <c r="AC135" s="1413"/>
      <c r="AD135" s="2645"/>
      <c r="AE135" s="2645"/>
      <c r="AF135" s="2645"/>
      <c r="AG135" s="2645"/>
      <c r="AH135" s="2645"/>
      <c r="AI135" s="2645"/>
      <c r="AJ135" s="2645"/>
      <c r="AK135" s="2645"/>
      <c r="AL135" s="2645"/>
      <c r="AM135" s="1413"/>
      <c r="AN135" s="2668" t="s">
        <v>371</v>
      </c>
      <c r="AP135" s="2645"/>
      <c r="AQ135" s="2645"/>
      <c r="AR135" s="2645"/>
      <c r="AS135" s="2645"/>
      <c r="AT135" s="2645"/>
      <c r="AU135" s="2645"/>
      <c r="AV135" s="2645"/>
      <c r="AW135" s="2645"/>
      <c r="AX135" s="2645"/>
      <c r="AY135" s="1413"/>
      <c r="AZ135" s="1413"/>
      <c r="BA135" s="2645"/>
      <c r="BB135" s="2645"/>
      <c r="BC135" s="2645"/>
      <c r="BD135" s="2645"/>
      <c r="BE135" s="2645"/>
      <c r="BF135" s="2645"/>
      <c r="BG135" s="2645"/>
      <c r="BH135" s="2645"/>
      <c r="BI135" s="2645"/>
      <c r="BJ135" s="1413"/>
      <c r="BK135" s="1413"/>
      <c r="BL135" s="2645"/>
      <c r="BM135" s="2645"/>
      <c r="BN135" s="2645"/>
      <c r="BO135" s="2645"/>
      <c r="BP135" s="2646" t="s">
        <v>1</v>
      </c>
      <c r="BQ135" s="2645"/>
      <c r="BR135" s="2645"/>
      <c r="BS135" s="2645"/>
      <c r="BT135" s="2645"/>
      <c r="BU135" s="1413"/>
      <c r="BV135" s="1416"/>
      <c r="BW135" s="2661"/>
      <c r="BX135" s="1392"/>
      <c r="BY135" s="2662"/>
      <c r="BZ135" s="822"/>
      <c r="CA135" s="822"/>
    </row>
    <row r="136" spans="3:79" ht="17.100000000000001" customHeight="1" x14ac:dyDescent="0.2">
      <c r="C136" s="3837"/>
      <c r="D136" s="3838"/>
      <c r="E136" s="3839"/>
      <c r="F136" s="1416"/>
      <c r="G136" s="1413"/>
      <c r="H136" s="2645"/>
      <c r="I136" s="2645"/>
      <c r="J136" s="2645"/>
      <c r="K136" s="2645"/>
      <c r="L136" s="2646" t="s">
        <v>1</v>
      </c>
      <c r="M136" s="2645"/>
      <c r="N136" s="2645"/>
      <c r="O136" s="2645"/>
      <c r="P136" s="2645"/>
      <c r="Q136" s="1413"/>
      <c r="R136" s="1413"/>
      <c r="S136" s="2645"/>
      <c r="T136" s="2645"/>
      <c r="U136" s="2645"/>
      <c r="V136" s="2645"/>
      <c r="W136" s="2645"/>
      <c r="X136" s="2645"/>
      <c r="Y136" s="2645"/>
      <c r="Z136" s="2645"/>
      <c r="AA136" s="2645"/>
      <c r="AB136" s="1413"/>
      <c r="AC136" s="1413"/>
      <c r="AD136" s="2645"/>
      <c r="AE136" s="2645"/>
      <c r="AF136" s="2645"/>
      <c r="AG136" s="2645"/>
      <c r="AH136" s="2645"/>
      <c r="AI136" s="2645"/>
      <c r="AJ136" s="2645"/>
      <c r="AK136" s="2645"/>
      <c r="AL136" s="2645"/>
      <c r="AM136" s="1413"/>
      <c r="AN136" s="2668" t="s">
        <v>371</v>
      </c>
      <c r="AP136" s="2645"/>
      <c r="AQ136" s="2645"/>
      <c r="AR136" s="2645"/>
      <c r="AS136" s="2645"/>
      <c r="AT136" s="2645"/>
      <c r="AU136" s="2645"/>
      <c r="AV136" s="2645"/>
      <c r="AW136" s="2645"/>
      <c r="AX136" s="2645"/>
      <c r="AY136" s="1413"/>
      <c r="AZ136" s="1413"/>
      <c r="BA136" s="2645"/>
      <c r="BB136" s="2645"/>
      <c r="BC136" s="2645"/>
      <c r="BD136" s="2645"/>
      <c r="BE136" s="2645"/>
      <c r="BF136" s="2645"/>
      <c r="BG136" s="2645"/>
      <c r="BH136" s="2645"/>
      <c r="BI136" s="2645"/>
      <c r="BJ136" s="1413"/>
      <c r="BK136" s="1413"/>
      <c r="BL136" s="2645"/>
      <c r="BM136" s="2645"/>
      <c r="BN136" s="2645"/>
      <c r="BO136" s="2645"/>
      <c r="BP136" s="2646" t="s">
        <v>1</v>
      </c>
      <c r="BQ136" s="2645"/>
      <c r="BR136" s="2645"/>
      <c r="BS136" s="2645"/>
      <c r="BT136" s="2645"/>
      <c r="BU136" s="1413"/>
      <c r="BV136" s="1416"/>
      <c r="BW136" s="2661"/>
      <c r="BX136" s="1392"/>
      <c r="BY136" s="2662"/>
      <c r="BZ136" s="822"/>
      <c r="CA136" s="822"/>
    </row>
    <row r="137" spans="3:79" ht="17.100000000000001" customHeight="1" x14ac:dyDescent="0.2">
      <c r="C137" s="3837"/>
      <c r="D137" s="3838"/>
      <c r="E137" s="3839"/>
      <c r="F137" s="1416"/>
      <c r="G137" s="1413"/>
      <c r="H137" s="2645"/>
      <c r="I137" s="2645"/>
      <c r="J137" s="2645"/>
      <c r="K137" s="2645"/>
      <c r="L137" s="2646" t="s">
        <v>1</v>
      </c>
      <c r="M137" s="2645"/>
      <c r="N137" s="2645"/>
      <c r="O137" s="2645"/>
      <c r="P137" s="2645"/>
      <c r="Q137" s="1413"/>
      <c r="R137" s="1413"/>
      <c r="S137" s="2645"/>
      <c r="T137" s="2645"/>
      <c r="U137" s="2645"/>
      <c r="V137" s="2645"/>
      <c r="W137" s="2645"/>
      <c r="X137" s="2645"/>
      <c r="Y137" s="2645"/>
      <c r="Z137" s="2645"/>
      <c r="AA137" s="2645"/>
      <c r="AB137" s="1413"/>
      <c r="AC137" s="1413"/>
      <c r="AD137" s="2645"/>
      <c r="AE137" s="2645"/>
      <c r="AF137" s="2645"/>
      <c r="AG137" s="2645"/>
      <c r="AH137" s="2645"/>
      <c r="AI137" s="2645"/>
      <c r="AJ137" s="2645"/>
      <c r="AK137" s="2645"/>
      <c r="AL137" s="2645"/>
      <c r="AM137" s="1413"/>
      <c r="AN137" s="2668" t="s">
        <v>371</v>
      </c>
      <c r="AP137" s="2645"/>
      <c r="AQ137" s="2645"/>
      <c r="AR137" s="2645"/>
      <c r="AS137" s="2645"/>
      <c r="AT137" s="2645"/>
      <c r="AU137" s="2645"/>
      <c r="AV137" s="2645"/>
      <c r="AW137" s="2645"/>
      <c r="AX137" s="2645"/>
      <c r="AY137" s="1413"/>
      <c r="AZ137" s="1413"/>
      <c r="BA137" s="2645"/>
      <c r="BB137" s="2645"/>
      <c r="BC137" s="2645"/>
      <c r="BD137" s="2645"/>
      <c r="BE137" s="2645"/>
      <c r="BF137" s="2645"/>
      <c r="BG137" s="2645"/>
      <c r="BH137" s="2645"/>
      <c r="BI137" s="2645"/>
      <c r="BJ137" s="1413"/>
      <c r="BK137" s="1413"/>
      <c r="BL137" s="2645"/>
      <c r="BM137" s="2645"/>
      <c r="BN137" s="2645"/>
      <c r="BO137" s="2645"/>
      <c r="BP137" s="2646" t="s">
        <v>1</v>
      </c>
      <c r="BQ137" s="2645"/>
      <c r="BR137" s="2645"/>
      <c r="BS137" s="2645"/>
      <c r="BT137" s="2645"/>
      <c r="BU137" s="1413"/>
      <c r="BV137" s="1416"/>
      <c r="BW137" s="2661"/>
      <c r="BX137" s="1392"/>
      <c r="BY137" s="2662"/>
      <c r="BZ137" s="822"/>
      <c r="CA137" s="822"/>
    </row>
    <row r="138" spans="3:79" ht="17.100000000000001" customHeight="1" x14ac:dyDescent="0.2">
      <c r="C138" s="3837"/>
      <c r="D138" s="3838"/>
      <c r="E138" s="3839"/>
      <c r="F138" s="1416"/>
      <c r="G138" s="1413"/>
      <c r="H138" s="1413"/>
      <c r="I138" s="1413"/>
      <c r="J138" s="1413"/>
      <c r="K138" s="1413"/>
      <c r="L138" s="2320" t="s">
        <v>1</v>
      </c>
      <c r="M138" s="1413"/>
      <c r="N138" s="1413"/>
      <c r="O138" s="1413"/>
      <c r="P138" s="1413"/>
      <c r="Q138" s="1413"/>
      <c r="R138" s="1413"/>
      <c r="S138" s="1413"/>
      <c r="T138" s="1413"/>
      <c r="U138" s="1413"/>
      <c r="V138" s="1413"/>
      <c r="W138" s="1413"/>
      <c r="X138" s="1413"/>
      <c r="Y138" s="1413"/>
      <c r="Z138" s="1413"/>
      <c r="AA138" s="1413"/>
      <c r="AB138" s="1413"/>
      <c r="AC138" s="1413"/>
      <c r="AD138" s="1413"/>
      <c r="AE138" s="1413"/>
      <c r="AF138" s="1413"/>
      <c r="AG138" s="1413"/>
      <c r="AH138" s="1413"/>
      <c r="AI138" s="1413"/>
      <c r="AJ138" s="1413"/>
      <c r="AK138" s="1413"/>
      <c r="AL138" s="1413"/>
      <c r="AM138" s="1413"/>
      <c r="AN138" s="2668" t="s">
        <v>371</v>
      </c>
      <c r="AO138" s="1413"/>
      <c r="AP138" s="1413"/>
      <c r="AQ138" s="1413"/>
      <c r="AR138" s="1413"/>
      <c r="AS138" s="1413"/>
      <c r="AT138" s="1413"/>
      <c r="AU138" s="1413"/>
      <c r="AV138" s="1413"/>
      <c r="AW138" s="1413"/>
      <c r="AX138" s="1413"/>
      <c r="AY138" s="1413"/>
      <c r="AZ138" s="1413"/>
      <c r="BA138" s="1413"/>
      <c r="BB138" s="1413"/>
      <c r="BC138" s="1413"/>
      <c r="BD138" s="1413"/>
      <c r="BE138" s="1413"/>
      <c r="BF138" s="1413"/>
      <c r="BG138" s="1413"/>
      <c r="BH138" s="1413"/>
      <c r="BI138" s="1413"/>
      <c r="BJ138" s="1413"/>
      <c r="BK138" s="1413"/>
      <c r="BL138" s="1413"/>
      <c r="BM138" s="1413"/>
      <c r="BN138" s="1413"/>
      <c r="BO138" s="1413"/>
      <c r="BP138" s="2320" t="s">
        <v>1</v>
      </c>
      <c r="BQ138" s="1413"/>
      <c r="BR138" s="1413"/>
      <c r="BS138" s="1413"/>
      <c r="BT138" s="1413"/>
      <c r="BU138" s="1413"/>
      <c r="BV138" s="1416"/>
      <c r="BW138" s="2661"/>
      <c r="BX138" s="1392"/>
      <c r="BY138" s="2662"/>
      <c r="BZ138" s="822"/>
      <c r="CA138" s="822"/>
    </row>
    <row r="139" spans="3:79" ht="17.100000000000001" customHeight="1" x14ac:dyDescent="0.2">
      <c r="C139" s="3837"/>
      <c r="D139" s="3838"/>
      <c r="E139" s="3839"/>
      <c r="F139" s="1416"/>
      <c r="G139" s="1413"/>
      <c r="H139" s="1413"/>
      <c r="I139" s="1413"/>
      <c r="J139" s="1413"/>
      <c r="K139" s="1413"/>
      <c r="L139" s="2320" t="s">
        <v>1</v>
      </c>
      <c r="M139" s="1413"/>
      <c r="N139" s="1413"/>
      <c r="O139" s="1413"/>
      <c r="P139" s="1413"/>
      <c r="Q139" s="1413"/>
      <c r="R139" s="1413"/>
      <c r="S139" s="1413"/>
      <c r="T139" s="1413"/>
      <c r="U139" s="1413"/>
      <c r="V139" s="1413"/>
      <c r="W139" s="1413"/>
      <c r="X139" s="1413"/>
      <c r="Y139" s="1413"/>
      <c r="Z139" s="1413"/>
      <c r="AA139" s="1413"/>
      <c r="AB139" s="1413"/>
      <c r="AC139" s="1413"/>
      <c r="AD139" s="1413"/>
      <c r="AE139" s="1413"/>
      <c r="AF139" s="1413"/>
      <c r="AG139" s="1413"/>
      <c r="AH139" s="1413"/>
      <c r="AI139" s="1413"/>
      <c r="AJ139" s="1413"/>
      <c r="AK139" s="1413"/>
      <c r="AL139" s="1413"/>
      <c r="AM139" s="1413"/>
      <c r="AN139" s="2668" t="s">
        <v>371</v>
      </c>
      <c r="AO139" s="1413"/>
      <c r="BP139" s="2320" t="s">
        <v>1</v>
      </c>
      <c r="BU139" s="1413"/>
      <c r="BV139" s="1416"/>
      <c r="BW139" s="2661"/>
      <c r="BX139" s="1392"/>
      <c r="BY139" s="2662"/>
      <c r="BZ139" s="822"/>
      <c r="CA139" s="822"/>
    </row>
    <row r="140" spans="3:79" ht="17.100000000000001" customHeight="1" x14ac:dyDescent="0.2">
      <c r="C140" s="3837"/>
      <c r="D140" s="3838"/>
      <c r="E140" s="3839"/>
      <c r="F140" s="1416"/>
      <c r="G140" s="1413"/>
      <c r="H140" s="2645"/>
      <c r="I140" s="2645"/>
      <c r="J140" s="2645"/>
      <c r="K140" s="2645"/>
      <c r="L140" s="2646" t="s">
        <v>1</v>
      </c>
      <c r="M140" s="2645"/>
      <c r="N140" s="2645"/>
      <c r="O140" s="2645"/>
      <c r="P140" s="2645"/>
      <c r="Q140" s="1413"/>
      <c r="R140" s="1413"/>
      <c r="S140" s="2645"/>
      <c r="T140" s="2645"/>
      <c r="U140" s="2645"/>
      <c r="V140" s="2645"/>
      <c r="W140" s="2645"/>
      <c r="X140" s="2645"/>
      <c r="Y140" s="2645"/>
      <c r="Z140" s="2645"/>
      <c r="AA140" s="2645"/>
      <c r="AB140" s="1413"/>
      <c r="AC140" s="1413"/>
      <c r="AD140" s="2645"/>
      <c r="AE140" s="2645"/>
      <c r="AF140" s="2645"/>
      <c r="AG140" s="2645"/>
      <c r="AH140" s="2645"/>
      <c r="AI140" s="2645"/>
      <c r="AJ140" s="2645"/>
      <c r="AK140" s="2645"/>
      <c r="AL140" s="2645"/>
      <c r="AM140" s="1413"/>
      <c r="AN140" s="2668" t="s">
        <v>371</v>
      </c>
      <c r="AO140" s="1413"/>
      <c r="AP140" s="2645"/>
      <c r="AQ140" s="2645"/>
      <c r="AR140" s="2645"/>
      <c r="AS140" s="2645"/>
      <c r="AT140" s="2645"/>
      <c r="AU140" s="2645"/>
      <c r="AV140" s="2645"/>
      <c r="AW140" s="2645"/>
      <c r="AX140" s="2645"/>
      <c r="AY140" s="1413"/>
      <c r="AZ140" s="1413"/>
      <c r="BA140" s="2645"/>
      <c r="BB140" s="2645"/>
      <c r="BC140" s="2645"/>
      <c r="BD140" s="2645"/>
      <c r="BE140" s="2645"/>
      <c r="BF140" s="2645"/>
      <c r="BG140" s="2645"/>
      <c r="BH140" s="2645"/>
      <c r="BI140" s="2645"/>
      <c r="BJ140" s="1413"/>
      <c r="BK140" s="1413"/>
      <c r="BL140" s="2645"/>
      <c r="BM140" s="2645"/>
      <c r="BN140" s="2645"/>
      <c r="BO140" s="2645"/>
      <c r="BP140" s="2646" t="s">
        <v>1</v>
      </c>
      <c r="BQ140" s="2645"/>
      <c r="BR140" s="2645"/>
      <c r="BS140" s="2645"/>
      <c r="BT140" s="2645"/>
      <c r="BU140" s="1413"/>
      <c r="BV140" s="1416"/>
      <c r="BW140" s="2661"/>
      <c r="BX140" s="1392"/>
      <c r="BY140" s="2662"/>
      <c r="BZ140" s="822"/>
      <c r="CA140" s="822"/>
    </row>
    <row r="141" spans="3:79" ht="17.100000000000001" customHeight="1" x14ac:dyDescent="0.2">
      <c r="C141" s="3837"/>
      <c r="D141" s="3838"/>
      <c r="E141" s="3839"/>
      <c r="F141" s="1416"/>
      <c r="G141" s="1413"/>
      <c r="H141" s="2645"/>
      <c r="I141" s="2645"/>
      <c r="J141" s="2645"/>
      <c r="K141" s="2645"/>
      <c r="L141" s="2646" t="s">
        <v>1</v>
      </c>
      <c r="M141" s="2645"/>
      <c r="N141" s="2645"/>
      <c r="O141" s="2645"/>
      <c r="P141" s="2645"/>
      <c r="Q141" s="1413"/>
      <c r="R141" s="1413"/>
      <c r="S141" s="2645"/>
      <c r="T141" s="2645"/>
      <c r="U141" s="2645"/>
      <c r="V141" s="2645"/>
      <c r="W141" s="2645"/>
      <c r="X141" s="2645"/>
      <c r="Y141" s="2645"/>
      <c r="Z141" s="2645"/>
      <c r="AA141" s="2645"/>
      <c r="AB141" s="1413"/>
      <c r="AC141" s="1413"/>
      <c r="AD141" s="2645"/>
      <c r="AE141" s="2645"/>
      <c r="AF141" s="2645"/>
      <c r="AG141" s="2645"/>
      <c r="AH141" s="2645"/>
      <c r="AI141" s="2645"/>
      <c r="AJ141" s="2645"/>
      <c r="AK141" s="2645"/>
      <c r="AL141" s="2645"/>
      <c r="AM141" s="1413"/>
      <c r="AN141" s="2668" t="s">
        <v>371</v>
      </c>
      <c r="AO141" s="1413"/>
      <c r="AP141" s="2645"/>
      <c r="AQ141" s="2645"/>
      <c r="AR141" s="2645"/>
      <c r="AS141" s="2645"/>
      <c r="AT141" s="2645"/>
      <c r="AU141" s="2645"/>
      <c r="AV141" s="2645"/>
      <c r="AW141" s="2645"/>
      <c r="AX141" s="2645"/>
      <c r="AY141" s="1413"/>
      <c r="AZ141" s="1413"/>
      <c r="BA141" s="2645"/>
      <c r="BB141" s="2645"/>
      <c r="BC141" s="2645"/>
      <c r="BD141" s="2645"/>
      <c r="BE141" s="2645"/>
      <c r="BF141" s="2645"/>
      <c r="BG141" s="2645"/>
      <c r="BH141" s="2645"/>
      <c r="BI141" s="2645"/>
      <c r="BJ141" s="1413"/>
      <c r="BK141" s="1413"/>
      <c r="BL141" s="2645"/>
      <c r="BM141" s="2645"/>
      <c r="BN141" s="2645"/>
      <c r="BO141" s="2645"/>
      <c r="BP141" s="2646" t="s">
        <v>1</v>
      </c>
      <c r="BQ141" s="2645"/>
      <c r="BR141" s="2645"/>
      <c r="BS141" s="2645"/>
      <c r="BT141" s="2645"/>
      <c r="BU141" s="1413"/>
      <c r="BV141" s="1416"/>
      <c r="BW141" s="2661"/>
      <c r="BX141" s="1392"/>
      <c r="BY141" s="2662"/>
      <c r="BZ141" s="822"/>
      <c r="CA141" s="822"/>
    </row>
    <row r="142" spans="3:79" ht="17.100000000000001" customHeight="1" x14ac:dyDescent="0.2">
      <c r="C142" s="2648"/>
      <c r="D142" s="2320"/>
      <c r="E142" s="2649"/>
      <c r="F142" s="1416"/>
      <c r="G142" s="1413"/>
      <c r="H142" s="2645"/>
      <c r="I142" s="2645"/>
      <c r="J142" s="2645"/>
      <c r="K142" s="2645"/>
      <c r="L142" s="2646" t="s">
        <v>1</v>
      </c>
      <c r="M142" s="2645"/>
      <c r="N142" s="2645"/>
      <c r="O142" s="2645"/>
      <c r="P142" s="2645"/>
      <c r="Q142" s="1413"/>
      <c r="R142" s="1413"/>
      <c r="S142" s="2645"/>
      <c r="T142" s="2645"/>
      <c r="U142" s="2645"/>
      <c r="V142" s="2645"/>
      <c r="W142" s="2645"/>
      <c r="X142" s="2645"/>
      <c r="Y142" s="2645"/>
      <c r="Z142" s="2645"/>
      <c r="AA142" s="2645"/>
      <c r="AB142" s="1413"/>
      <c r="AC142" s="1413"/>
      <c r="AD142" s="2645"/>
      <c r="AE142" s="2645"/>
      <c r="AF142" s="2645"/>
      <c r="AG142" s="2645"/>
      <c r="AH142" s="2645"/>
      <c r="AI142" s="2645"/>
      <c r="AJ142" s="2645"/>
      <c r="AK142" s="2645"/>
      <c r="AL142" s="2645"/>
      <c r="AM142" s="1413"/>
      <c r="AN142" s="2668" t="s">
        <v>371</v>
      </c>
      <c r="AO142" s="1413"/>
      <c r="AP142" s="2645"/>
      <c r="AQ142" s="2645"/>
      <c r="AR142" s="2645"/>
      <c r="AS142" s="2645"/>
      <c r="AT142" s="2645"/>
      <c r="AU142" s="2645"/>
      <c r="AV142" s="2645"/>
      <c r="AW142" s="2645"/>
      <c r="AX142" s="2645"/>
      <c r="AY142" s="1413"/>
      <c r="AZ142" s="1413"/>
      <c r="BA142" s="2645"/>
      <c r="BB142" s="2645"/>
      <c r="BC142" s="2645"/>
      <c r="BD142" s="2645"/>
      <c r="BE142" s="2645"/>
      <c r="BF142" s="2645"/>
      <c r="BG142" s="2645"/>
      <c r="BH142" s="2645"/>
      <c r="BI142" s="2645"/>
      <c r="BJ142" s="1413"/>
      <c r="BK142" s="1413"/>
      <c r="BL142" s="2645"/>
      <c r="BM142" s="2645"/>
      <c r="BN142" s="2645"/>
      <c r="BO142" s="2645"/>
      <c r="BP142" s="2646" t="s">
        <v>1</v>
      </c>
      <c r="BQ142" s="2645"/>
      <c r="BR142" s="2645"/>
      <c r="BS142" s="2645"/>
      <c r="BT142" s="2645"/>
      <c r="BU142" s="1413"/>
      <c r="BV142" s="1416"/>
      <c r="BW142" s="2661"/>
      <c r="BX142" s="1392"/>
      <c r="BY142" s="2662"/>
      <c r="BZ142" s="822"/>
      <c r="CA142" s="822"/>
    </row>
    <row r="143" spans="3:79" ht="17.100000000000001" customHeight="1" x14ac:dyDescent="0.2">
      <c r="C143" s="2648"/>
      <c r="D143" s="2320" t="s">
        <v>486</v>
      </c>
      <c r="E143" s="2649"/>
      <c r="F143" s="1416"/>
      <c r="G143" s="1413"/>
      <c r="H143" s="2645"/>
      <c r="I143" s="2645"/>
      <c r="J143" s="2645"/>
      <c r="K143" s="2645"/>
      <c r="L143" s="2646" t="s">
        <v>1</v>
      </c>
      <c r="M143" s="2645"/>
      <c r="N143" s="2645"/>
      <c r="O143" s="2645"/>
      <c r="P143" s="2645"/>
      <c r="Q143" s="1413"/>
      <c r="R143" s="1413"/>
      <c r="S143" s="2645"/>
      <c r="T143" s="2645"/>
      <c r="U143" s="2645"/>
      <c r="V143" s="2645"/>
      <c r="W143" s="2645"/>
      <c r="X143" s="2645"/>
      <c r="Y143" s="2645"/>
      <c r="Z143" s="2645"/>
      <c r="AA143" s="2645"/>
      <c r="AB143" s="1413"/>
      <c r="AC143" s="1413"/>
      <c r="AD143" s="2645"/>
      <c r="AE143" s="2645"/>
      <c r="AF143" s="2645"/>
      <c r="AG143" s="2645"/>
      <c r="AH143" s="2645"/>
      <c r="AI143" s="2645"/>
      <c r="AJ143" s="2645"/>
      <c r="AK143" s="2645"/>
      <c r="AL143" s="2645"/>
      <c r="AM143" s="1413"/>
      <c r="AN143" s="2668" t="s">
        <v>371</v>
      </c>
      <c r="AO143" s="1413"/>
      <c r="AP143" s="2645"/>
      <c r="AQ143" s="2645"/>
      <c r="AR143" s="2645"/>
      <c r="AS143" s="2645"/>
      <c r="AT143" s="2645"/>
      <c r="AU143" s="2645"/>
      <c r="AV143" s="2645"/>
      <c r="AW143" s="2645"/>
      <c r="AX143" s="2645"/>
      <c r="AY143" s="1413"/>
      <c r="AZ143" s="1413"/>
      <c r="BA143" s="2645"/>
      <c r="BB143" s="2645"/>
      <c r="BC143" s="2645"/>
      <c r="BD143" s="2645"/>
      <c r="BE143" s="2645"/>
      <c r="BF143" s="2645"/>
      <c r="BG143" s="2645"/>
      <c r="BH143" s="2645"/>
      <c r="BI143" s="2645"/>
      <c r="BJ143" s="1413"/>
      <c r="BK143" s="1413"/>
      <c r="BL143" s="2645"/>
      <c r="BM143" s="2645"/>
      <c r="BN143" s="2645"/>
      <c r="BO143" s="2667"/>
      <c r="BP143" s="2646" t="s">
        <v>1</v>
      </c>
      <c r="BQ143" s="2645"/>
      <c r="BR143" s="2645"/>
      <c r="BS143" s="2645"/>
      <c r="BT143" s="2645"/>
      <c r="BU143" s="1413"/>
      <c r="BV143" s="1416"/>
      <c r="BW143" s="2661"/>
      <c r="BX143" s="1392"/>
      <c r="BY143" s="2662"/>
      <c r="BZ143" s="822"/>
      <c r="CA143" s="822"/>
    </row>
    <row r="144" spans="3:79" ht="17.100000000000001" customHeight="1" x14ac:dyDescent="0.2">
      <c r="C144" s="2648" t="s">
        <v>82</v>
      </c>
      <c r="D144" s="2650" t="s">
        <v>965</v>
      </c>
      <c r="E144" s="2651" t="s">
        <v>83</v>
      </c>
      <c r="F144" s="1416"/>
      <c r="G144" s="1413"/>
      <c r="H144" s="2645"/>
      <c r="I144" s="2645"/>
      <c r="J144" s="2645"/>
      <c r="K144" s="2645"/>
      <c r="L144" s="2647" t="s">
        <v>965</v>
      </c>
      <c r="M144" s="2646" t="s">
        <v>83</v>
      </c>
      <c r="N144" s="2646" t="s">
        <v>83</v>
      </c>
      <c r="O144" s="2646" t="s">
        <v>83</v>
      </c>
      <c r="P144" s="2646" t="s">
        <v>83</v>
      </c>
      <c r="Q144" s="2320" t="s">
        <v>83</v>
      </c>
      <c r="R144" s="2320" t="s">
        <v>83</v>
      </c>
      <c r="S144" s="2646" t="s">
        <v>83</v>
      </c>
      <c r="T144" s="2646" t="s">
        <v>83</v>
      </c>
      <c r="U144" s="2646" t="s">
        <v>83</v>
      </c>
      <c r="V144" s="2646" t="s">
        <v>83</v>
      </c>
      <c r="W144" s="2647" t="s">
        <v>965</v>
      </c>
      <c r="X144" s="2646" t="s">
        <v>83</v>
      </c>
      <c r="Y144" s="2646" t="s">
        <v>83</v>
      </c>
      <c r="Z144" s="2646" t="s">
        <v>83</v>
      </c>
      <c r="AA144" s="2646" t="s">
        <v>83</v>
      </c>
      <c r="AB144" s="2320" t="s">
        <v>83</v>
      </c>
      <c r="AC144" s="2320" t="s">
        <v>83</v>
      </c>
      <c r="AD144" s="2646" t="s">
        <v>83</v>
      </c>
      <c r="AE144" s="2646" t="s">
        <v>83</v>
      </c>
      <c r="AF144" s="2646" t="s">
        <v>83</v>
      </c>
      <c r="AG144" s="2646" t="s">
        <v>83</v>
      </c>
      <c r="AH144" s="2647" t="s">
        <v>965</v>
      </c>
      <c r="AI144" s="2645"/>
      <c r="AJ144" s="2645"/>
      <c r="AK144" s="2645"/>
      <c r="AL144" s="2645"/>
      <c r="AM144" s="1415"/>
      <c r="AN144" s="2668" t="s">
        <v>371</v>
      </c>
      <c r="AO144" s="1415"/>
      <c r="AP144" s="2645"/>
      <c r="AQ144" s="2645"/>
      <c r="AR144" s="2645"/>
      <c r="AS144" s="2645"/>
      <c r="AT144" s="2647" t="s">
        <v>965</v>
      </c>
      <c r="AU144" s="2646" t="s">
        <v>82</v>
      </c>
      <c r="AV144" s="2646" t="s">
        <v>82</v>
      </c>
      <c r="AW144" s="2646" t="s">
        <v>82</v>
      </c>
      <c r="AX144" s="2646" t="s">
        <v>82</v>
      </c>
      <c r="AY144" s="2320" t="s">
        <v>82</v>
      </c>
      <c r="AZ144" s="2320" t="s">
        <v>82</v>
      </c>
      <c r="BA144" s="2646" t="s">
        <v>82</v>
      </c>
      <c r="BB144" s="2646" t="s">
        <v>82</v>
      </c>
      <c r="BC144" s="2646" t="s">
        <v>82</v>
      </c>
      <c r="BD144" s="2646" t="s">
        <v>82</v>
      </c>
      <c r="BE144" s="2647" t="s">
        <v>965</v>
      </c>
      <c r="BF144" s="2646" t="s">
        <v>82</v>
      </c>
      <c r="BG144" s="2646" t="s">
        <v>82</v>
      </c>
      <c r="BH144" s="2646" t="s">
        <v>82</v>
      </c>
      <c r="BI144" s="2646" t="s">
        <v>82</v>
      </c>
      <c r="BJ144" s="2320" t="s">
        <v>82</v>
      </c>
      <c r="BK144" s="2320" t="s">
        <v>82</v>
      </c>
      <c r="BL144" s="2646" t="s">
        <v>82</v>
      </c>
      <c r="BM144" s="2646" t="s">
        <v>82</v>
      </c>
      <c r="BN144" s="2646" t="s">
        <v>82</v>
      </c>
      <c r="BO144" s="2646" t="s">
        <v>82</v>
      </c>
      <c r="BP144" s="2647" t="s">
        <v>965</v>
      </c>
      <c r="BQ144" s="2645"/>
      <c r="BR144" s="2645"/>
      <c r="BS144" s="2645"/>
      <c r="BT144" s="2645"/>
      <c r="BU144" s="1413"/>
      <c r="BV144" s="1416"/>
      <c r="BW144" s="2661"/>
      <c r="BX144" s="1392"/>
      <c r="BY144" s="2662"/>
      <c r="BZ144" s="822"/>
      <c r="CA144" s="822"/>
    </row>
    <row r="145" spans="3:79" ht="17.100000000000001" customHeight="1" x14ac:dyDescent="0.2">
      <c r="C145" s="2648"/>
      <c r="D145" s="2320" t="s">
        <v>1</v>
      </c>
      <c r="E145" s="2649"/>
      <c r="F145" s="1416"/>
      <c r="G145" s="1413"/>
      <c r="H145" s="2645"/>
      <c r="I145" s="2645"/>
      <c r="J145" s="2645"/>
      <c r="K145" s="2645"/>
      <c r="L145" s="2645"/>
      <c r="M145" s="2645"/>
      <c r="N145" s="2645"/>
      <c r="O145" s="2645"/>
      <c r="P145" s="2645"/>
      <c r="Q145" s="1413"/>
      <c r="R145" s="1415"/>
      <c r="S145" s="2645"/>
      <c r="T145" s="2645"/>
      <c r="U145" s="2645"/>
      <c r="V145" s="2645"/>
      <c r="W145" s="2645"/>
      <c r="X145" s="2645"/>
      <c r="Y145" s="2645"/>
      <c r="Z145" s="2645"/>
      <c r="AA145" s="2645"/>
      <c r="AB145" s="1413"/>
      <c r="AC145" s="1413"/>
      <c r="AD145" s="2645"/>
      <c r="AE145" s="2645"/>
      <c r="AF145" s="2645"/>
      <c r="AG145" s="2645"/>
      <c r="AH145" s="2646" t="s">
        <v>1</v>
      </c>
      <c r="AI145" s="2645"/>
      <c r="AJ145" s="2645"/>
      <c r="AK145" s="2645"/>
      <c r="AL145" s="2645"/>
      <c r="AM145" s="1413"/>
      <c r="AN145" s="2668" t="s">
        <v>371</v>
      </c>
      <c r="AO145" s="1413"/>
      <c r="AP145" s="2645"/>
      <c r="AQ145" s="2645"/>
      <c r="AR145" s="2645"/>
      <c r="AS145" s="2645"/>
      <c r="AT145" s="2646" t="s">
        <v>1</v>
      </c>
      <c r="AU145" s="2645"/>
      <c r="AV145" s="2645"/>
      <c r="AW145" s="2645"/>
      <c r="AX145" s="2645"/>
      <c r="AY145" s="1413"/>
      <c r="AZ145" s="1413"/>
      <c r="BA145" s="2645"/>
      <c r="BB145" s="2645"/>
      <c r="BC145" s="2645"/>
      <c r="BD145" s="2645"/>
      <c r="BE145" s="2645"/>
      <c r="BF145" s="2645"/>
      <c r="BG145" s="2645"/>
      <c r="BH145" s="2645"/>
      <c r="BI145" s="2645"/>
      <c r="BJ145" s="1413"/>
      <c r="BK145" s="1413"/>
      <c r="BL145" s="2645"/>
      <c r="BM145" s="2645"/>
      <c r="BN145" s="2645"/>
      <c r="BO145" s="2645"/>
      <c r="BP145" s="2645"/>
      <c r="BQ145" s="2645"/>
      <c r="BR145" s="2645"/>
      <c r="BS145" s="2645"/>
      <c r="BT145" s="2645"/>
      <c r="BU145" s="1413"/>
      <c r="BV145" s="1416"/>
      <c r="BW145" s="2661"/>
      <c r="BX145" s="1392"/>
      <c r="BY145" s="2662"/>
      <c r="BZ145" s="822"/>
      <c r="CA145" s="822"/>
    </row>
    <row r="146" spans="3:79" ht="17.100000000000001" customHeight="1" x14ac:dyDescent="0.2">
      <c r="C146" s="2652"/>
      <c r="D146" s="2320"/>
      <c r="E146" s="2653"/>
      <c r="F146" s="1416"/>
      <c r="G146" s="1413"/>
      <c r="H146" s="2645"/>
      <c r="I146" s="2645"/>
      <c r="J146" s="2645"/>
      <c r="K146" s="2645"/>
      <c r="L146" s="2645"/>
      <c r="M146" s="2645"/>
      <c r="N146" s="2645"/>
      <c r="O146" s="2645"/>
      <c r="P146" s="2645"/>
      <c r="Q146" s="1413"/>
      <c r="R146" s="1415"/>
      <c r="S146" s="2645"/>
      <c r="T146" s="2645"/>
      <c r="U146" s="2645"/>
      <c r="V146" s="2645"/>
      <c r="W146" s="2645"/>
      <c r="X146" s="2645"/>
      <c r="Y146" s="2645"/>
      <c r="Z146" s="2645"/>
      <c r="AA146" s="2645"/>
      <c r="AB146" s="1413"/>
      <c r="AC146" s="1413"/>
      <c r="AD146" s="2645"/>
      <c r="AE146" s="2645"/>
      <c r="AF146" s="2645"/>
      <c r="AG146" s="2645"/>
      <c r="AH146" s="2646" t="s">
        <v>1</v>
      </c>
      <c r="AI146" s="2645"/>
      <c r="AJ146" s="2645"/>
      <c r="AK146" s="2645"/>
      <c r="AL146" s="2645"/>
      <c r="AM146" s="1413"/>
      <c r="AN146" s="2668" t="s">
        <v>371</v>
      </c>
      <c r="AO146" s="1413"/>
      <c r="AP146" s="2645"/>
      <c r="AQ146" s="2645"/>
      <c r="AR146" s="2645"/>
      <c r="AS146" s="2645"/>
      <c r="AT146" s="2646" t="s">
        <v>1</v>
      </c>
      <c r="AU146" s="2645"/>
      <c r="AV146" s="2645"/>
      <c r="AW146" s="2645"/>
      <c r="AX146" s="2645"/>
      <c r="AY146" s="1413"/>
      <c r="AZ146" s="1413"/>
      <c r="BA146" s="2645"/>
      <c r="BB146" s="2645"/>
      <c r="BC146" s="2645"/>
      <c r="BD146" s="2645"/>
      <c r="BE146" s="2645"/>
      <c r="BF146" s="2645"/>
      <c r="BG146" s="2645"/>
      <c r="BH146" s="2645"/>
      <c r="BI146" s="2645"/>
      <c r="BJ146" s="1413"/>
      <c r="BK146" s="1413"/>
      <c r="BL146" s="2645"/>
      <c r="BM146" s="2645"/>
      <c r="BN146" s="2645"/>
      <c r="BO146" s="2645"/>
      <c r="BP146" s="2645"/>
      <c r="BQ146" s="2645"/>
      <c r="BR146" s="2645"/>
      <c r="BS146" s="2645"/>
      <c r="BT146" s="2645"/>
      <c r="BU146" s="1413"/>
      <c r="BV146" s="1416"/>
      <c r="BW146" s="2661"/>
      <c r="BX146" s="1392"/>
      <c r="BY146" s="2662"/>
      <c r="BZ146" s="822"/>
      <c r="CA146" s="822"/>
    </row>
    <row r="147" spans="3:79" ht="17.100000000000001" customHeight="1" x14ac:dyDescent="0.2">
      <c r="C147" s="2652"/>
      <c r="D147" s="2654"/>
      <c r="E147" s="2653"/>
      <c r="F147" s="1416"/>
      <c r="G147" s="1413"/>
      <c r="H147" s="2645"/>
      <c r="I147" s="2645"/>
      <c r="J147" s="2645"/>
      <c r="K147" s="2645"/>
      <c r="L147" s="2645"/>
      <c r="M147" s="2645"/>
      <c r="N147" s="2645"/>
      <c r="O147" s="2645"/>
      <c r="P147" s="2645"/>
      <c r="Q147" s="1413"/>
      <c r="R147" s="1415"/>
      <c r="S147" s="2645"/>
      <c r="T147" s="2645"/>
      <c r="U147" s="2645"/>
      <c r="V147" s="2645"/>
      <c r="W147" s="2645"/>
      <c r="X147" s="2645"/>
      <c r="Y147" s="2645"/>
      <c r="Z147" s="2645"/>
      <c r="AA147" s="2645"/>
      <c r="AB147" s="1413"/>
      <c r="AC147" s="1413"/>
      <c r="AD147" s="2645"/>
      <c r="AE147" s="2645"/>
      <c r="AF147" s="2645"/>
      <c r="AG147" s="2645"/>
      <c r="AH147" s="2646" t="s">
        <v>1</v>
      </c>
      <c r="AI147" s="2645"/>
      <c r="AJ147" s="2645"/>
      <c r="AK147" s="2645"/>
      <c r="AL147" s="2645"/>
      <c r="AM147" s="1413"/>
      <c r="AN147" s="2668" t="s">
        <v>371</v>
      </c>
      <c r="AO147" s="1413"/>
      <c r="AP147" s="2645"/>
      <c r="AQ147" s="2645"/>
      <c r="AR147" s="2645"/>
      <c r="AS147" s="2645"/>
      <c r="AT147" s="2646" t="s">
        <v>1</v>
      </c>
      <c r="AU147" s="2645"/>
      <c r="AV147" s="2645"/>
      <c r="AW147" s="2645"/>
      <c r="AX147" s="2645"/>
      <c r="AY147" s="1413"/>
      <c r="AZ147" s="1413"/>
      <c r="BA147" s="2645"/>
      <c r="BB147" s="2645"/>
      <c r="BC147" s="2645"/>
      <c r="BD147" s="2645"/>
      <c r="BE147" s="2645"/>
      <c r="BF147" s="2645"/>
      <c r="BG147" s="2645"/>
      <c r="BH147" s="2645"/>
      <c r="BI147" s="2645"/>
      <c r="BJ147" s="1413"/>
      <c r="BK147" s="1413"/>
      <c r="BL147" s="2645"/>
      <c r="BM147" s="2645"/>
      <c r="BN147" s="2645"/>
      <c r="BO147" s="2645"/>
      <c r="BP147" s="2645"/>
      <c r="BQ147" s="2645"/>
      <c r="BR147" s="2645"/>
      <c r="BS147" s="2645"/>
      <c r="BT147" s="2645"/>
      <c r="BU147" s="1413"/>
      <c r="BV147" s="1416"/>
      <c r="BW147" s="2661"/>
      <c r="BX147" s="1392"/>
      <c r="BY147" s="2662"/>
      <c r="BZ147" s="822"/>
      <c r="CA147" s="822"/>
    </row>
    <row r="148" spans="3:79" ht="17.100000000000001" customHeight="1" x14ac:dyDescent="0.2">
      <c r="C148" s="2655"/>
      <c r="D148" s="2656"/>
      <c r="E148" s="2657"/>
      <c r="F148" s="1416"/>
      <c r="G148" s="1416"/>
      <c r="H148" s="2645"/>
      <c r="I148" s="2645"/>
      <c r="J148" s="2645"/>
      <c r="K148" s="2645"/>
      <c r="L148" s="2645"/>
      <c r="M148" s="2645"/>
      <c r="N148" s="2645"/>
      <c r="O148" s="2645"/>
      <c r="P148" s="2645"/>
      <c r="Q148" s="1413"/>
      <c r="R148" s="1413"/>
      <c r="S148" s="2645"/>
      <c r="T148" s="2645"/>
      <c r="U148" s="2645"/>
      <c r="V148" s="2645"/>
      <c r="W148" s="2645"/>
      <c r="X148" s="2645"/>
      <c r="Y148" s="2645"/>
      <c r="Z148" s="2645"/>
      <c r="AA148" s="2645"/>
      <c r="AB148" s="1413"/>
      <c r="AC148" s="1413"/>
      <c r="AD148" s="2645"/>
      <c r="AE148" s="2645"/>
      <c r="AF148" s="2645"/>
      <c r="AG148" s="2645"/>
      <c r="AH148" s="2646" t="s">
        <v>1</v>
      </c>
      <c r="AI148" s="2645"/>
      <c r="AJ148" s="2645"/>
      <c r="AK148" s="2645"/>
      <c r="AL148" s="2645"/>
      <c r="AM148" s="1413"/>
      <c r="AN148" s="2668" t="s">
        <v>371</v>
      </c>
      <c r="AO148" s="1413"/>
      <c r="AP148" s="2645"/>
      <c r="AQ148" s="2645"/>
      <c r="AR148" s="2645"/>
      <c r="AS148" s="2645"/>
      <c r="AT148" s="2646" t="s">
        <v>1</v>
      </c>
      <c r="AU148" s="2645"/>
      <c r="AV148" s="2645"/>
      <c r="AW148" s="2645"/>
      <c r="AX148" s="2645"/>
      <c r="AY148" s="1413"/>
      <c r="AZ148" s="1413"/>
      <c r="BA148" s="2645"/>
      <c r="BB148" s="2645"/>
      <c r="BC148" s="2645"/>
      <c r="BD148" s="2645"/>
      <c r="BE148" s="2645"/>
      <c r="BF148" s="2645"/>
      <c r="BG148" s="2645"/>
      <c r="BH148" s="2645"/>
      <c r="BI148" s="2645"/>
      <c r="BJ148" s="1413"/>
      <c r="BK148" s="1413"/>
      <c r="BL148" s="2645"/>
      <c r="BM148" s="2645"/>
      <c r="BN148" s="2645"/>
      <c r="BO148" s="2645"/>
      <c r="BP148" s="2645"/>
      <c r="BQ148" s="2645"/>
      <c r="BR148" s="2645"/>
      <c r="BS148" s="2645"/>
      <c r="BT148" s="2645"/>
      <c r="BU148" s="1416"/>
      <c r="BV148" s="1416"/>
      <c r="BW148" s="2663"/>
      <c r="BX148" s="2664"/>
      <c r="BY148" s="2665"/>
    </row>
    <row r="149" spans="3:79" ht="17.100000000000001" customHeight="1" x14ac:dyDescent="0.3">
      <c r="R149" s="822"/>
      <c r="S149" s="822"/>
      <c r="T149" s="822"/>
      <c r="U149" s="822"/>
      <c r="V149" s="822"/>
      <c r="W149" s="822"/>
      <c r="X149" s="822"/>
      <c r="Y149" s="822"/>
      <c r="Z149" s="822"/>
      <c r="AA149" s="822"/>
      <c r="AB149" s="822"/>
      <c r="AC149" s="822"/>
      <c r="AD149" s="822"/>
      <c r="AE149" s="822"/>
      <c r="AF149" s="822"/>
      <c r="AG149" s="822"/>
      <c r="AH149" s="822"/>
      <c r="AI149" s="822"/>
      <c r="AJ149" s="822"/>
      <c r="AK149" s="822"/>
      <c r="AL149" s="822"/>
      <c r="AM149" s="822"/>
      <c r="AN149" s="1415"/>
      <c r="AO149" s="822"/>
      <c r="AP149" s="822"/>
      <c r="AQ149" s="822"/>
      <c r="AR149" s="822"/>
      <c r="AS149" s="822"/>
      <c r="AT149" s="822"/>
      <c r="AU149" s="822"/>
      <c r="AV149" s="822"/>
      <c r="AW149" s="822"/>
      <c r="AX149" s="822"/>
      <c r="AY149" s="822"/>
      <c r="AZ149" s="822"/>
      <c r="BA149" s="822"/>
      <c r="BB149" s="822"/>
      <c r="BC149" s="822"/>
      <c r="BD149" s="822"/>
      <c r="BE149" s="822"/>
      <c r="BF149" s="822"/>
      <c r="BG149" s="822"/>
      <c r="BH149" s="822"/>
      <c r="BI149" s="822"/>
      <c r="BJ149" s="822"/>
      <c r="BK149" s="822"/>
      <c r="BL149" s="822"/>
      <c r="BM149" s="822"/>
      <c r="BN149" s="822"/>
      <c r="BO149" s="822"/>
      <c r="BP149" s="822"/>
      <c r="BQ149" s="822"/>
      <c r="BR149" s="822"/>
      <c r="BS149" s="822"/>
      <c r="BT149" s="822"/>
      <c r="BU149" s="822"/>
      <c r="BV149" s="822"/>
      <c r="BX149" s="822"/>
      <c r="BY149" s="822"/>
      <c r="BZ149" s="822"/>
      <c r="CA149" s="822"/>
    </row>
    <row r="150" spans="3:79" ht="17.100000000000001" customHeight="1" x14ac:dyDescent="0.3">
      <c r="D150" s="34"/>
      <c r="E150" s="1435"/>
      <c r="F150" s="1435"/>
      <c r="AN150" s="34" t="s">
        <v>9</v>
      </c>
      <c r="BU150" s="822"/>
      <c r="BV150" s="822"/>
      <c r="BX150" s="34"/>
      <c r="BY150" s="822"/>
    </row>
    <row r="151" spans="3:79" ht="17.100000000000001" customHeight="1" x14ac:dyDescent="0.3">
      <c r="C151" s="1436"/>
      <c r="D151" s="34"/>
      <c r="AN151" s="34" t="s">
        <v>9</v>
      </c>
      <c r="BU151" s="822"/>
      <c r="BV151" s="822"/>
      <c r="BX151" s="34"/>
      <c r="BY151" s="822"/>
    </row>
    <row r="152" spans="3:79" ht="17.100000000000001" customHeight="1" x14ac:dyDescent="0.2">
      <c r="C152" s="3816" t="s">
        <v>967</v>
      </c>
      <c r="D152" s="3817"/>
      <c r="E152" s="3818"/>
      <c r="F152" s="201"/>
      <c r="G152" s="201"/>
      <c r="H152" s="201"/>
      <c r="I152" s="201"/>
      <c r="J152" s="201"/>
      <c r="K152" s="201"/>
      <c r="L152" s="201"/>
      <c r="M152" s="201"/>
      <c r="N152" s="201"/>
      <c r="O152" s="201"/>
      <c r="P152" s="201"/>
      <c r="Q152" s="201"/>
      <c r="R152" s="201"/>
      <c r="S152" s="201"/>
      <c r="T152" s="201"/>
      <c r="U152" s="201"/>
      <c r="V152" s="201"/>
      <c r="W152" s="201"/>
      <c r="X152" s="201"/>
      <c r="Y152" s="201"/>
      <c r="Z152" s="201"/>
      <c r="AA152" s="201"/>
      <c r="AB152" s="201"/>
      <c r="AC152" s="201"/>
      <c r="AD152" s="201"/>
      <c r="AE152" s="201"/>
      <c r="AF152" s="201"/>
      <c r="AG152" s="201"/>
      <c r="AH152" s="201"/>
      <c r="AI152" s="201"/>
      <c r="AJ152" s="201"/>
      <c r="AK152" s="201"/>
      <c r="AL152" s="201"/>
      <c r="AM152" s="201"/>
      <c r="AN152" s="201"/>
      <c r="AO152" s="201"/>
      <c r="AP152" s="201"/>
      <c r="AQ152" s="201"/>
      <c r="AR152" s="201"/>
      <c r="AS152" s="201"/>
      <c r="AT152" s="201"/>
      <c r="AU152" s="201"/>
      <c r="AV152" s="201"/>
      <c r="AW152" s="201"/>
      <c r="AX152" s="201"/>
      <c r="AY152" s="201"/>
      <c r="AZ152" s="201"/>
      <c r="BA152" s="201"/>
      <c r="BB152" s="201"/>
      <c r="BC152" s="201"/>
      <c r="BD152" s="201"/>
      <c r="BE152" s="201"/>
      <c r="BF152" s="201"/>
      <c r="BG152" s="201"/>
      <c r="BH152" s="201"/>
      <c r="BI152" s="201"/>
      <c r="BJ152" s="201"/>
      <c r="BK152" s="201"/>
      <c r="BL152" s="201"/>
      <c r="BM152" s="201"/>
      <c r="BN152" s="201"/>
      <c r="BO152" s="201"/>
      <c r="BP152" s="201"/>
      <c r="BQ152" s="201"/>
      <c r="BR152" s="201"/>
      <c r="BS152" s="201"/>
      <c r="BT152" s="201"/>
      <c r="BU152" s="201"/>
      <c r="BV152" s="201"/>
      <c r="BW152" s="1422"/>
      <c r="BX152" s="1423"/>
      <c r="BY152" s="1424"/>
    </row>
    <row r="153" spans="3:79" ht="17.100000000000001" customHeight="1" x14ac:dyDescent="0.2">
      <c r="C153" s="3819"/>
      <c r="D153" s="3820"/>
      <c r="E153" s="3821"/>
      <c r="F153" s="201"/>
      <c r="G153" s="201"/>
      <c r="H153" s="201"/>
      <c r="I153" s="201"/>
      <c r="J153" s="201"/>
      <c r="K153" s="201"/>
      <c r="L153" s="201"/>
      <c r="M153" s="201"/>
      <c r="N153" s="201"/>
      <c r="O153" s="201"/>
      <c r="P153" s="201"/>
      <c r="Q153" s="201"/>
      <c r="R153" s="201"/>
      <c r="S153" s="201"/>
      <c r="T153" s="201"/>
      <c r="U153" s="201"/>
      <c r="V153" s="201"/>
      <c r="W153" s="201"/>
      <c r="X153" s="201"/>
      <c r="Y153" s="201"/>
      <c r="Z153" s="201"/>
      <c r="AA153" s="201"/>
      <c r="AB153" s="201"/>
      <c r="AC153" s="201"/>
      <c r="AD153" s="201"/>
      <c r="AE153" s="201"/>
      <c r="AF153" s="201"/>
      <c r="AG153" s="201"/>
      <c r="AH153" s="201"/>
      <c r="AI153" s="201"/>
      <c r="AJ153" s="201"/>
      <c r="AK153" s="201"/>
      <c r="AL153" s="201"/>
      <c r="AM153" s="201"/>
      <c r="AN153" s="201"/>
      <c r="AO153" s="201"/>
      <c r="AP153" s="201"/>
      <c r="AQ153" s="201"/>
      <c r="AR153" s="201"/>
      <c r="AS153" s="201"/>
      <c r="AT153" s="201"/>
      <c r="AU153" s="201"/>
      <c r="AV153" s="201"/>
      <c r="AW153" s="201"/>
      <c r="AX153" s="201"/>
      <c r="AY153" s="201"/>
      <c r="AZ153" s="201"/>
      <c r="BA153" s="201"/>
      <c r="BB153" s="201"/>
      <c r="BC153" s="201"/>
      <c r="BD153" s="201"/>
      <c r="BE153" s="201"/>
      <c r="BF153" s="201"/>
      <c r="BG153" s="201"/>
      <c r="BH153" s="201"/>
      <c r="BI153" s="201"/>
      <c r="BJ153" s="201"/>
      <c r="BK153" s="201"/>
      <c r="BL153" s="201"/>
      <c r="BM153" s="201"/>
      <c r="BN153" s="201"/>
      <c r="BO153" s="201"/>
      <c r="BP153" s="201"/>
      <c r="BQ153" s="201"/>
      <c r="BR153" s="201"/>
      <c r="BS153" s="201"/>
      <c r="BT153" s="201"/>
      <c r="BU153" s="201"/>
      <c r="BV153" s="201"/>
      <c r="BW153" s="1425"/>
      <c r="BX153" s="1426"/>
      <c r="BY153" s="1427"/>
    </row>
    <row r="154" spans="3:79" ht="17.100000000000001" customHeight="1" x14ac:dyDescent="0.2">
      <c r="C154" s="3819"/>
      <c r="D154" s="3820"/>
      <c r="E154" s="3821"/>
      <c r="F154" s="201"/>
      <c r="G154" s="201"/>
      <c r="H154" s="201"/>
      <c r="I154" s="201"/>
      <c r="J154" s="201"/>
      <c r="K154" s="201"/>
      <c r="L154" s="201"/>
      <c r="M154" s="201"/>
      <c r="N154" s="201"/>
      <c r="O154" s="201"/>
      <c r="P154" s="201"/>
      <c r="Q154" s="201"/>
      <c r="R154" s="201"/>
      <c r="S154" s="201"/>
      <c r="T154" s="201"/>
      <c r="U154" s="201"/>
      <c r="V154" s="201"/>
      <c r="W154" s="201"/>
      <c r="X154" s="201"/>
      <c r="Y154" s="201"/>
      <c r="Z154" s="201"/>
      <c r="AA154" s="201"/>
      <c r="AB154" s="201"/>
      <c r="AC154" s="201"/>
      <c r="AD154" s="201"/>
      <c r="AE154" s="201"/>
      <c r="AF154" s="201"/>
      <c r="AG154" s="201"/>
      <c r="AH154" s="201"/>
      <c r="AI154" s="201"/>
      <c r="AJ154" s="201"/>
      <c r="AK154" s="201"/>
      <c r="AL154" s="201"/>
      <c r="AM154" s="201"/>
      <c r="AN154" s="201"/>
      <c r="AO154" s="201"/>
      <c r="AP154" s="201"/>
      <c r="AQ154" s="201"/>
      <c r="AR154" s="201"/>
      <c r="AS154" s="201"/>
      <c r="AT154" s="201"/>
      <c r="AU154" s="201"/>
      <c r="AV154" s="201"/>
      <c r="AW154" s="201"/>
      <c r="AX154" s="201"/>
      <c r="AY154" s="201"/>
      <c r="AZ154" s="201"/>
      <c r="BA154" s="201"/>
      <c r="BB154" s="201"/>
      <c r="BC154" s="201"/>
      <c r="BD154" s="201"/>
      <c r="BE154" s="201"/>
      <c r="BF154" s="201"/>
      <c r="BG154" s="201"/>
      <c r="BH154" s="201"/>
      <c r="BI154" s="201"/>
      <c r="BJ154" s="201"/>
      <c r="BK154" s="201"/>
      <c r="BL154" s="201"/>
      <c r="BM154" s="201"/>
      <c r="BN154" s="201"/>
      <c r="BO154" s="201"/>
      <c r="BP154" s="201"/>
      <c r="BQ154" s="201"/>
      <c r="BR154" s="201"/>
      <c r="BS154" s="201"/>
      <c r="BT154" s="201"/>
      <c r="BU154" s="201"/>
      <c r="BV154" s="201"/>
      <c r="BW154" s="1425"/>
      <c r="BX154" s="1426"/>
      <c r="BY154" s="1427"/>
    </row>
    <row r="155" spans="3:79" ht="17.100000000000001" customHeight="1" x14ac:dyDescent="0.2">
      <c r="C155" s="3819"/>
      <c r="D155" s="3820"/>
      <c r="E155" s="3821"/>
      <c r="F155" s="201"/>
      <c r="G155" s="201"/>
      <c r="H155" s="201"/>
      <c r="I155" s="201"/>
      <c r="J155" s="201"/>
      <c r="K155" s="201"/>
      <c r="L155" s="201"/>
      <c r="M155" s="201"/>
      <c r="N155" s="201"/>
      <c r="O155" s="201"/>
      <c r="P155" s="201"/>
      <c r="Q155" s="201"/>
      <c r="R155" s="201"/>
      <c r="S155" s="201"/>
      <c r="T155" s="201"/>
      <c r="U155" s="201"/>
      <c r="V155" s="201"/>
      <c r="W155" s="201"/>
      <c r="X155" s="201"/>
      <c r="Y155" s="201"/>
      <c r="Z155" s="201"/>
      <c r="AA155" s="201"/>
      <c r="AB155" s="201"/>
      <c r="AC155" s="201"/>
      <c r="AD155" s="201"/>
      <c r="AE155" s="201"/>
      <c r="AF155" s="201"/>
      <c r="AG155" s="201"/>
      <c r="AH155" s="201"/>
      <c r="AI155" s="201"/>
      <c r="AJ155" s="201"/>
      <c r="AK155" s="201"/>
      <c r="AL155" s="201"/>
      <c r="AM155" s="201"/>
      <c r="AN155" s="201"/>
      <c r="AO155" s="201"/>
      <c r="AP155" s="201"/>
      <c r="AQ155" s="201"/>
      <c r="AR155" s="201"/>
      <c r="AS155" s="201"/>
      <c r="AT155" s="201"/>
      <c r="AU155" s="201"/>
      <c r="AV155" s="201"/>
      <c r="AW155" s="201"/>
      <c r="AX155" s="201"/>
      <c r="AY155" s="201"/>
      <c r="AZ155" s="201"/>
      <c r="BA155" s="201"/>
      <c r="BB155" s="201"/>
      <c r="BC155" s="201"/>
      <c r="BD155" s="201"/>
      <c r="BE155" s="201"/>
      <c r="BF155" s="201"/>
      <c r="BG155" s="201"/>
      <c r="BH155" s="201"/>
      <c r="BI155" s="201"/>
      <c r="BJ155" s="201"/>
      <c r="BK155" s="201"/>
      <c r="BL155" s="201"/>
      <c r="BM155" s="201"/>
      <c r="BN155" s="201"/>
      <c r="BO155" s="201"/>
      <c r="BP155" s="201"/>
      <c r="BQ155" s="201"/>
      <c r="BR155" s="201"/>
      <c r="BS155" s="201"/>
      <c r="BT155" s="201"/>
      <c r="BU155" s="201"/>
      <c r="BV155" s="201"/>
      <c r="BW155" s="1425"/>
      <c r="BX155" s="1426"/>
      <c r="BY155" s="1427"/>
    </row>
    <row r="156" spans="3:79" ht="17.100000000000001" customHeight="1" x14ac:dyDescent="0.2">
      <c r="C156" s="3819"/>
      <c r="D156" s="3820"/>
      <c r="E156" s="3821"/>
      <c r="F156" s="201"/>
      <c r="G156" s="201"/>
      <c r="H156" s="201"/>
      <c r="I156" s="201"/>
      <c r="J156" s="201"/>
      <c r="K156" s="201"/>
      <c r="L156" s="201"/>
      <c r="M156" s="201"/>
      <c r="N156" s="201"/>
      <c r="O156" s="201"/>
      <c r="P156" s="201"/>
      <c r="Q156" s="201"/>
      <c r="R156" s="201"/>
      <c r="S156" s="201"/>
      <c r="T156" s="201"/>
      <c r="U156" s="201"/>
      <c r="V156" s="201"/>
      <c r="W156" s="201"/>
      <c r="X156" s="201"/>
      <c r="Y156" s="201"/>
      <c r="Z156" s="201"/>
      <c r="AA156" s="201"/>
      <c r="AB156" s="201"/>
      <c r="AC156" s="201"/>
      <c r="AD156" s="201"/>
      <c r="AE156" s="201"/>
      <c r="AF156" s="201"/>
      <c r="AG156" s="201"/>
      <c r="AH156" s="201"/>
      <c r="AI156" s="201"/>
      <c r="AJ156" s="201"/>
      <c r="AK156" s="201"/>
      <c r="AL156" s="201"/>
      <c r="AM156" s="201"/>
      <c r="AN156" s="201"/>
      <c r="AO156" s="201"/>
      <c r="AP156" s="201"/>
      <c r="AQ156" s="201"/>
      <c r="AR156" s="201"/>
      <c r="AS156" s="201"/>
      <c r="AT156" s="201"/>
      <c r="AU156" s="201"/>
      <c r="AV156" s="201"/>
      <c r="AW156" s="201"/>
      <c r="AX156" s="201"/>
      <c r="AY156" s="201"/>
      <c r="AZ156" s="201"/>
      <c r="BA156" s="201"/>
      <c r="BB156" s="201"/>
      <c r="BC156" s="201"/>
      <c r="BD156" s="201"/>
      <c r="BE156" s="201"/>
      <c r="BF156" s="201"/>
      <c r="BG156" s="201"/>
      <c r="BH156" s="201"/>
      <c r="BI156" s="201"/>
      <c r="BJ156" s="201"/>
      <c r="BK156" s="201"/>
      <c r="BL156" s="201"/>
      <c r="BM156" s="201"/>
      <c r="BN156" s="201"/>
      <c r="BO156" s="201"/>
      <c r="BP156" s="201"/>
      <c r="BQ156" s="201"/>
      <c r="BR156" s="201"/>
      <c r="BS156" s="201"/>
      <c r="BT156" s="201"/>
      <c r="BU156" s="201"/>
      <c r="BV156" s="201"/>
      <c r="BW156" s="1425"/>
      <c r="BX156" s="1426"/>
      <c r="BY156" s="1427"/>
    </row>
    <row r="157" spans="3:79" ht="17.100000000000001" customHeight="1" x14ac:dyDescent="0.2">
      <c r="C157" s="3819"/>
      <c r="D157" s="3820"/>
      <c r="E157" s="3821"/>
      <c r="F157" s="201"/>
      <c r="G157" s="201"/>
      <c r="H157" s="201"/>
      <c r="I157" s="201"/>
      <c r="J157" s="201"/>
      <c r="K157" s="201"/>
      <c r="L157" s="201"/>
      <c r="M157" s="201"/>
      <c r="N157" s="201"/>
      <c r="O157" s="201"/>
      <c r="P157" s="201"/>
      <c r="Q157" s="201"/>
      <c r="R157" s="201"/>
      <c r="S157" s="201"/>
      <c r="T157" s="201"/>
      <c r="U157" s="201"/>
      <c r="V157" s="201"/>
      <c r="W157" s="201"/>
      <c r="X157" s="201"/>
      <c r="Y157" s="201"/>
      <c r="Z157" s="201"/>
      <c r="AA157" s="201"/>
      <c r="AB157" s="201"/>
      <c r="AC157" s="201"/>
      <c r="AD157" s="201"/>
      <c r="AE157" s="201"/>
      <c r="AF157" s="201"/>
      <c r="AG157" s="201"/>
      <c r="AH157" s="201"/>
      <c r="AI157" s="201"/>
      <c r="AJ157" s="201"/>
      <c r="AK157" s="201"/>
      <c r="AL157" s="201"/>
      <c r="AM157" s="201"/>
      <c r="AN157" s="201"/>
      <c r="AO157" s="201"/>
      <c r="AP157" s="201"/>
      <c r="AQ157" s="201"/>
      <c r="AR157" s="201"/>
      <c r="AS157" s="201"/>
      <c r="AT157" s="201"/>
      <c r="AU157" s="201"/>
      <c r="AV157" s="201"/>
      <c r="AW157" s="201"/>
      <c r="AX157" s="201"/>
      <c r="AY157" s="201"/>
      <c r="AZ157" s="201"/>
      <c r="BA157" s="201"/>
      <c r="BB157" s="201"/>
      <c r="BC157" s="201"/>
      <c r="BD157" s="201"/>
      <c r="BE157" s="201"/>
      <c r="BF157" s="201"/>
      <c r="BG157" s="201"/>
      <c r="BH157" s="201"/>
      <c r="BI157" s="201"/>
      <c r="BJ157" s="201"/>
      <c r="BK157" s="201"/>
      <c r="BL157" s="201"/>
      <c r="BM157" s="201"/>
      <c r="BN157" s="201"/>
      <c r="BO157" s="201"/>
      <c r="BP157" s="201"/>
      <c r="BQ157" s="201"/>
      <c r="BR157" s="201"/>
      <c r="BS157" s="201"/>
      <c r="BT157" s="201"/>
      <c r="BU157" s="201"/>
      <c r="BV157" s="201"/>
      <c r="BW157" s="1425"/>
      <c r="BX157" s="1426"/>
      <c r="BY157" s="1427"/>
    </row>
    <row r="158" spans="3:79" ht="17.100000000000001" customHeight="1" x14ac:dyDescent="0.2">
      <c r="C158" s="3819"/>
      <c r="D158" s="3820"/>
      <c r="E158" s="3821"/>
      <c r="F158" s="201"/>
      <c r="G158" s="201"/>
      <c r="H158" s="201"/>
      <c r="I158" s="201"/>
      <c r="J158" s="201"/>
      <c r="K158" s="201"/>
      <c r="L158" s="201"/>
      <c r="M158" s="201"/>
      <c r="N158" s="201"/>
      <c r="O158" s="201"/>
      <c r="P158" s="201"/>
      <c r="Q158" s="201"/>
      <c r="R158" s="201"/>
      <c r="S158" s="201"/>
      <c r="T158" s="201"/>
      <c r="U158" s="201"/>
      <c r="V158" s="201"/>
      <c r="W158" s="201"/>
      <c r="X158" s="201"/>
      <c r="Y158" s="201"/>
      <c r="Z158" s="201"/>
      <c r="AA158" s="201"/>
      <c r="AB158" s="201"/>
      <c r="AC158" s="201"/>
      <c r="AD158" s="201"/>
      <c r="AE158" s="201"/>
      <c r="AF158" s="201"/>
      <c r="AG158" s="201"/>
      <c r="AH158" s="201"/>
      <c r="AI158" s="201"/>
      <c r="AJ158" s="201"/>
      <c r="AK158" s="201"/>
      <c r="AL158" s="201"/>
      <c r="AM158" s="201"/>
      <c r="AN158" s="201"/>
      <c r="AO158" s="201"/>
      <c r="AP158" s="201"/>
      <c r="AQ158" s="201"/>
      <c r="AR158" s="201"/>
      <c r="AS158" s="201"/>
      <c r="AT158" s="201"/>
      <c r="AU158" s="201"/>
      <c r="AV158" s="201"/>
      <c r="AW158" s="201"/>
      <c r="AX158" s="201"/>
      <c r="AY158" s="201"/>
      <c r="AZ158" s="201"/>
      <c r="BA158" s="201"/>
      <c r="BB158" s="201"/>
      <c r="BC158" s="201"/>
      <c r="BD158" s="201"/>
      <c r="BE158" s="201"/>
      <c r="BF158" s="201"/>
      <c r="BG158" s="201"/>
      <c r="BH158" s="201"/>
      <c r="BI158" s="201"/>
      <c r="BJ158" s="201"/>
      <c r="BK158" s="201"/>
      <c r="BL158" s="201"/>
      <c r="BM158" s="201"/>
      <c r="BN158" s="201"/>
      <c r="BO158" s="201"/>
      <c r="BP158" s="201"/>
      <c r="BQ158" s="201"/>
      <c r="BR158" s="201"/>
      <c r="BS158" s="201"/>
      <c r="BT158" s="201"/>
      <c r="BU158" s="201"/>
      <c r="BV158" s="201"/>
      <c r="BW158" s="1425"/>
      <c r="BX158" s="1426"/>
      <c r="BY158" s="1427"/>
    </row>
    <row r="159" spans="3:79" ht="17.100000000000001" customHeight="1" x14ac:dyDescent="0.2">
      <c r="C159" s="3819"/>
      <c r="D159" s="3820"/>
      <c r="E159" s="3821"/>
      <c r="F159" s="201"/>
      <c r="G159" s="201"/>
      <c r="H159" s="201"/>
      <c r="I159" s="201"/>
      <c r="J159" s="201"/>
      <c r="K159" s="201"/>
      <c r="L159" s="201"/>
      <c r="M159" s="201"/>
      <c r="N159" s="201"/>
      <c r="O159" s="201"/>
      <c r="P159" s="201"/>
      <c r="Q159" s="201"/>
      <c r="R159" s="201"/>
      <c r="S159" s="201"/>
      <c r="T159" s="201"/>
      <c r="U159" s="201"/>
      <c r="V159" s="201"/>
      <c r="W159" s="201"/>
      <c r="X159" s="201"/>
      <c r="Y159" s="201"/>
      <c r="Z159" s="201"/>
      <c r="AA159" s="201"/>
      <c r="AB159" s="201"/>
      <c r="AC159" s="201"/>
      <c r="AD159" s="201"/>
      <c r="AE159" s="201"/>
      <c r="AF159" s="201"/>
      <c r="AG159" s="201"/>
      <c r="AH159" s="201"/>
      <c r="AI159" s="201"/>
      <c r="AJ159" s="201"/>
      <c r="AK159" s="201"/>
      <c r="AL159" s="201"/>
      <c r="AM159" s="201"/>
      <c r="AN159" s="201"/>
      <c r="AO159" s="201"/>
      <c r="AP159" s="201"/>
      <c r="AQ159" s="201"/>
      <c r="AR159" s="201"/>
      <c r="AS159" s="201"/>
      <c r="AT159" s="201"/>
      <c r="AU159" s="201"/>
      <c r="AV159" s="201"/>
      <c r="AW159" s="201"/>
      <c r="AX159" s="201"/>
      <c r="AY159" s="201"/>
      <c r="AZ159" s="201"/>
      <c r="BA159" s="201"/>
      <c r="BB159" s="201"/>
      <c r="BC159" s="201"/>
      <c r="BD159" s="201"/>
      <c r="BE159" s="201"/>
      <c r="BF159" s="201"/>
      <c r="BG159" s="201"/>
      <c r="BH159" s="201"/>
      <c r="BI159" s="201"/>
      <c r="BJ159" s="201"/>
      <c r="BK159" s="201"/>
      <c r="BL159" s="201"/>
      <c r="BM159" s="201"/>
      <c r="BN159" s="201"/>
      <c r="BO159" s="201"/>
      <c r="BP159" s="201"/>
      <c r="BQ159" s="201"/>
      <c r="BR159" s="201"/>
      <c r="BS159" s="201"/>
      <c r="BT159" s="201"/>
      <c r="BU159" s="201"/>
      <c r="BV159" s="201"/>
      <c r="BW159" s="1425"/>
      <c r="BX159" s="1426"/>
      <c r="BY159" s="1427"/>
    </row>
    <row r="160" spans="3:79" ht="17.100000000000001" customHeight="1" x14ac:dyDescent="0.2">
      <c r="C160" s="3819"/>
      <c r="D160" s="3820"/>
      <c r="E160" s="3821"/>
      <c r="F160" s="201"/>
      <c r="G160" s="201"/>
      <c r="H160" s="201"/>
      <c r="I160" s="201"/>
      <c r="J160" s="201"/>
      <c r="K160" s="201"/>
      <c r="L160" s="201"/>
      <c r="M160" s="201"/>
      <c r="N160" s="201"/>
      <c r="O160" s="201"/>
      <c r="P160" s="201"/>
      <c r="Q160" s="201"/>
      <c r="R160" s="201"/>
      <c r="S160" s="201"/>
      <c r="T160" s="201"/>
      <c r="U160" s="201"/>
      <c r="V160" s="201"/>
      <c r="W160" s="201"/>
      <c r="X160" s="201"/>
      <c r="Y160" s="201"/>
      <c r="Z160" s="201"/>
      <c r="AA160" s="201"/>
      <c r="AB160" s="201"/>
      <c r="AC160" s="201"/>
      <c r="AD160" s="201"/>
      <c r="AE160" s="201"/>
      <c r="AF160" s="201"/>
      <c r="AG160" s="201"/>
      <c r="AH160" s="201"/>
      <c r="AI160" s="201"/>
      <c r="AJ160" s="201"/>
      <c r="AK160" s="201"/>
      <c r="AL160" s="201"/>
      <c r="AM160" s="201"/>
      <c r="AN160" s="201"/>
      <c r="AO160" s="201"/>
      <c r="AP160" s="201"/>
      <c r="AQ160" s="201"/>
      <c r="AR160" s="201"/>
      <c r="AS160" s="201"/>
      <c r="AT160" s="201"/>
      <c r="AU160" s="201"/>
      <c r="AV160" s="201"/>
      <c r="AW160" s="201"/>
      <c r="AX160" s="201"/>
      <c r="AY160" s="201"/>
      <c r="AZ160" s="201"/>
      <c r="BA160" s="201"/>
      <c r="BB160" s="201"/>
      <c r="BC160" s="201"/>
      <c r="BD160" s="201"/>
      <c r="BE160" s="201"/>
      <c r="BF160" s="201"/>
      <c r="BG160" s="201"/>
      <c r="BH160" s="201"/>
      <c r="BI160" s="201"/>
      <c r="BJ160" s="201"/>
      <c r="BK160" s="201"/>
      <c r="BL160" s="201"/>
      <c r="BM160" s="201"/>
      <c r="BN160" s="201"/>
      <c r="BO160" s="201"/>
      <c r="BP160" s="201"/>
      <c r="BQ160" s="201"/>
      <c r="BR160" s="201"/>
      <c r="BS160" s="201"/>
      <c r="BT160" s="201"/>
      <c r="BU160" s="201"/>
      <c r="BV160" s="201"/>
      <c r="BW160" s="1425"/>
      <c r="BX160" s="1426"/>
      <c r="BY160" s="1427"/>
    </row>
    <row r="161" spans="3:77" ht="17.100000000000001" customHeight="1" x14ac:dyDescent="0.2">
      <c r="C161" s="3819"/>
      <c r="D161" s="3820"/>
      <c r="E161" s="3821"/>
      <c r="F161" s="201"/>
      <c r="G161" s="201"/>
      <c r="H161" s="201"/>
      <c r="I161" s="201"/>
      <c r="J161" s="201"/>
      <c r="K161" s="201"/>
      <c r="L161" s="201"/>
      <c r="M161" s="201"/>
      <c r="N161" s="201"/>
      <c r="O161" s="201"/>
      <c r="P161" s="201"/>
      <c r="Q161" s="201"/>
      <c r="R161" s="201"/>
      <c r="S161" s="201"/>
      <c r="T161" s="201"/>
      <c r="U161" s="201"/>
      <c r="V161" s="201"/>
      <c r="W161" s="201"/>
      <c r="X161" s="201"/>
      <c r="Y161" s="201"/>
      <c r="Z161" s="201"/>
      <c r="AA161" s="201"/>
      <c r="AB161" s="201"/>
      <c r="AC161" s="201"/>
      <c r="AD161" s="201"/>
      <c r="AE161" s="201"/>
      <c r="AF161" s="201"/>
      <c r="AG161" s="201"/>
      <c r="AH161" s="201"/>
      <c r="AI161" s="201"/>
      <c r="AJ161" s="201"/>
      <c r="AK161" s="201"/>
      <c r="AL161" s="201"/>
      <c r="AM161" s="201"/>
      <c r="AN161" s="201"/>
      <c r="AO161" s="201"/>
      <c r="AP161" s="201"/>
      <c r="AQ161" s="201"/>
      <c r="AR161" s="201"/>
      <c r="AS161" s="201"/>
      <c r="AT161" s="201"/>
      <c r="AU161" s="201"/>
      <c r="AV161" s="201"/>
      <c r="AW161" s="201"/>
      <c r="AX161" s="201"/>
      <c r="AY161" s="201"/>
      <c r="AZ161" s="201"/>
      <c r="BA161" s="201"/>
      <c r="BB161" s="201"/>
      <c r="BC161" s="201"/>
      <c r="BD161" s="201"/>
      <c r="BE161" s="201"/>
      <c r="BF161" s="201"/>
      <c r="BG161" s="201"/>
      <c r="BH161" s="201"/>
      <c r="BI161" s="201"/>
      <c r="BJ161" s="201"/>
      <c r="BK161" s="201"/>
      <c r="BL161" s="201"/>
      <c r="BM161" s="201"/>
      <c r="BN161" s="201"/>
      <c r="BO161" s="201"/>
      <c r="BP161" s="201"/>
      <c r="BQ161" s="201"/>
      <c r="BR161" s="201"/>
      <c r="BS161" s="201"/>
      <c r="BT161" s="201"/>
      <c r="BU161" s="201"/>
      <c r="BV161" s="201"/>
      <c r="BW161" s="1425"/>
      <c r="BX161" s="1426"/>
      <c r="BY161" s="1427"/>
    </row>
    <row r="162" spans="3:77" ht="17.100000000000001" customHeight="1" x14ac:dyDescent="0.2">
      <c r="C162" s="3819"/>
      <c r="D162" s="3820"/>
      <c r="E162" s="3821"/>
      <c r="F162" s="201"/>
      <c r="G162" s="201"/>
      <c r="H162" s="201"/>
      <c r="I162" s="201"/>
      <c r="J162" s="201"/>
      <c r="K162" s="201"/>
      <c r="L162" s="201"/>
      <c r="M162" s="201"/>
      <c r="N162" s="201"/>
      <c r="O162" s="201"/>
      <c r="P162" s="201"/>
      <c r="Q162" s="201"/>
      <c r="R162" s="201"/>
      <c r="S162" s="201"/>
      <c r="T162" s="201"/>
      <c r="U162" s="201"/>
      <c r="V162" s="201"/>
      <c r="W162" s="201"/>
      <c r="X162" s="201"/>
      <c r="Y162" s="201"/>
      <c r="Z162" s="201"/>
      <c r="AA162" s="201"/>
      <c r="AB162" s="201"/>
      <c r="AC162" s="201"/>
      <c r="AD162" s="201"/>
      <c r="AE162" s="201"/>
      <c r="AF162" s="201"/>
      <c r="AG162" s="201"/>
      <c r="AH162" s="201"/>
      <c r="AI162" s="201"/>
      <c r="AJ162" s="201"/>
      <c r="AK162" s="201"/>
      <c r="AL162" s="201"/>
      <c r="AM162" s="201"/>
      <c r="AN162" s="201"/>
      <c r="AO162" s="201"/>
      <c r="AP162" s="201"/>
      <c r="AQ162" s="201"/>
      <c r="AR162" s="201"/>
      <c r="AS162" s="201"/>
      <c r="AT162" s="201"/>
      <c r="AU162" s="201"/>
      <c r="AV162" s="201"/>
      <c r="AW162" s="201"/>
      <c r="AX162" s="201"/>
      <c r="AY162" s="201"/>
      <c r="AZ162" s="201"/>
      <c r="BA162" s="201"/>
      <c r="BB162" s="201"/>
      <c r="BC162" s="201"/>
      <c r="BD162" s="201"/>
      <c r="BE162" s="201"/>
      <c r="BF162" s="201"/>
      <c r="BG162" s="201"/>
      <c r="BH162" s="201"/>
      <c r="BI162" s="201"/>
      <c r="BJ162" s="201"/>
      <c r="BK162" s="201"/>
      <c r="BL162" s="201"/>
      <c r="BM162" s="201"/>
      <c r="BN162" s="201"/>
      <c r="BO162" s="201"/>
      <c r="BP162" s="201"/>
      <c r="BQ162" s="201"/>
      <c r="BR162" s="201"/>
      <c r="BS162" s="201"/>
      <c r="BT162" s="201"/>
      <c r="BU162" s="201"/>
      <c r="BV162" s="201"/>
      <c r="BW162" s="1425"/>
      <c r="BX162" s="1426"/>
      <c r="BY162" s="1427"/>
    </row>
    <row r="163" spans="3:77" ht="17.100000000000001" customHeight="1" x14ac:dyDescent="0.2">
      <c r="C163" s="3819"/>
      <c r="D163" s="3820"/>
      <c r="E163" s="3821"/>
      <c r="F163" s="201"/>
      <c r="G163" s="201"/>
      <c r="H163" s="201"/>
      <c r="I163" s="201"/>
      <c r="J163" s="201"/>
      <c r="K163" s="201"/>
      <c r="L163" s="201"/>
      <c r="M163" s="201"/>
      <c r="N163" s="201"/>
      <c r="O163" s="201"/>
      <c r="P163" s="201"/>
      <c r="Q163" s="201"/>
      <c r="R163" s="201"/>
      <c r="S163" s="201"/>
      <c r="T163" s="201"/>
      <c r="U163" s="201"/>
      <c r="V163" s="201"/>
      <c r="W163" s="201"/>
      <c r="X163" s="201"/>
      <c r="Y163" s="201"/>
      <c r="Z163" s="201"/>
      <c r="AA163" s="201"/>
      <c r="AB163" s="201"/>
      <c r="AC163" s="201"/>
      <c r="AD163" s="201"/>
      <c r="AE163" s="201"/>
      <c r="AF163" s="201"/>
      <c r="AG163" s="201"/>
      <c r="AH163" s="201"/>
      <c r="AI163" s="201"/>
      <c r="AJ163" s="201"/>
      <c r="AK163" s="201"/>
      <c r="AL163" s="201"/>
      <c r="AM163" s="201"/>
      <c r="AN163" s="201"/>
      <c r="AO163" s="201"/>
      <c r="AP163" s="201"/>
      <c r="AQ163" s="201"/>
      <c r="AR163" s="201"/>
      <c r="AS163" s="201"/>
      <c r="AT163" s="201"/>
      <c r="AU163" s="201"/>
      <c r="AV163" s="201"/>
      <c r="AW163" s="201"/>
      <c r="AX163" s="201"/>
      <c r="AY163" s="201"/>
      <c r="AZ163" s="201"/>
      <c r="BA163" s="201"/>
      <c r="BB163" s="201"/>
      <c r="BC163" s="201"/>
      <c r="BD163" s="201"/>
      <c r="BE163" s="201"/>
      <c r="BF163" s="201"/>
      <c r="BG163" s="201"/>
      <c r="BH163" s="201"/>
      <c r="BI163" s="201"/>
      <c r="BJ163" s="201"/>
      <c r="BK163" s="201"/>
      <c r="BL163" s="201"/>
      <c r="BM163" s="201"/>
      <c r="BN163" s="201"/>
      <c r="BO163" s="201"/>
      <c r="BP163" s="201"/>
      <c r="BQ163" s="201"/>
      <c r="BR163" s="201"/>
      <c r="BS163" s="201"/>
      <c r="BT163" s="201"/>
      <c r="BU163" s="201"/>
      <c r="BV163" s="201"/>
      <c r="BW163" s="1425"/>
      <c r="BX163" s="1426"/>
      <c r="BY163" s="1427"/>
    </row>
    <row r="164" spans="3:77" ht="17.100000000000001" customHeight="1" x14ac:dyDescent="0.2">
      <c r="C164" s="3819"/>
      <c r="D164" s="3820"/>
      <c r="E164" s="3821"/>
      <c r="F164" s="201"/>
      <c r="G164" s="201"/>
      <c r="H164" s="201"/>
      <c r="I164" s="201"/>
      <c r="J164" s="201"/>
      <c r="K164" s="201"/>
      <c r="L164" s="201"/>
      <c r="M164" s="201"/>
      <c r="N164" s="201"/>
      <c r="O164" s="201"/>
      <c r="P164" s="201"/>
      <c r="Q164" s="201"/>
      <c r="R164" s="201"/>
      <c r="S164" s="201"/>
      <c r="T164" s="201"/>
      <c r="U164" s="201"/>
      <c r="V164" s="201"/>
      <c r="W164" s="201"/>
      <c r="X164" s="201"/>
      <c r="Y164" s="201"/>
      <c r="Z164" s="201"/>
      <c r="AA164" s="201"/>
      <c r="AB164" s="201"/>
      <c r="AC164" s="201"/>
      <c r="AD164" s="201"/>
      <c r="AE164" s="201"/>
      <c r="AF164" s="201"/>
      <c r="AG164" s="201"/>
      <c r="AH164" s="201"/>
      <c r="AI164" s="201"/>
      <c r="AJ164" s="201"/>
      <c r="AK164" s="201"/>
      <c r="AL164" s="201"/>
      <c r="AM164" s="201"/>
      <c r="AN164" s="201"/>
      <c r="AO164" s="201"/>
      <c r="AP164" s="201"/>
      <c r="AQ164" s="201"/>
      <c r="AR164" s="201"/>
      <c r="AS164" s="201"/>
      <c r="AT164" s="201"/>
      <c r="AU164" s="201"/>
      <c r="AV164" s="201"/>
      <c r="AW164" s="201"/>
      <c r="AX164" s="201"/>
      <c r="AY164" s="201"/>
      <c r="AZ164" s="201"/>
      <c r="BA164" s="201"/>
      <c r="BB164" s="201"/>
      <c r="BC164" s="201"/>
      <c r="BD164" s="201"/>
      <c r="BE164" s="201"/>
      <c r="BF164" s="201"/>
      <c r="BG164" s="201"/>
      <c r="BH164" s="201"/>
      <c r="BI164" s="201"/>
      <c r="BJ164" s="201"/>
      <c r="BK164" s="201"/>
      <c r="BL164" s="201"/>
      <c r="BM164" s="201"/>
      <c r="BN164" s="201"/>
      <c r="BO164" s="201"/>
      <c r="BP164" s="201"/>
      <c r="BQ164" s="201"/>
      <c r="BR164" s="201"/>
      <c r="BS164" s="201"/>
      <c r="BT164" s="201"/>
      <c r="BU164" s="201"/>
      <c r="BV164" s="201"/>
      <c r="BW164" s="1425"/>
      <c r="BX164" s="1426"/>
      <c r="BY164" s="1427"/>
    </row>
    <row r="165" spans="3:77" ht="17.100000000000001" customHeight="1" x14ac:dyDescent="0.2">
      <c r="C165" s="3819"/>
      <c r="D165" s="3820"/>
      <c r="E165" s="3821"/>
      <c r="F165" s="201"/>
      <c r="G165" s="201"/>
      <c r="H165" s="201"/>
      <c r="I165" s="201"/>
      <c r="J165" s="201"/>
      <c r="K165" s="201"/>
      <c r="L165" s="201"/>
      <c r="M165" s="201"/>
      <c r="N165" s="201"/>
      <c r="O165" s="201"/>
      <c r="P165" s="201"/>
      <c r="Q165" s="201"/>
      <c r="R165" s="201"/>
      <c r="S165" s="201"/>
      <c r="T165" s="201"/>
      <c r="U165" s="201"/>
      <c r="V165" s="201"/>
      <c r="W165" s="201"/>
      <c r="X165" s="201"/>
      <c r="Y165" s="201"/>
      <c r="Z165" s="201"/>
      <c r="AA165" s="201"/>
      <c r="AB165" s="201"/>
      <c r="AC165" s="201"/>
      <c r="AD165" s="201"/>
      <c r="AE165" s="201"/>
      <c r="AF165" s="201"/>
      <c r="AG165" s="201"/>
      <c r="AH165" s="201"/>
      <c r="AI165" s="201"/>
      <c r="AJ165" s="201"/>
      <c r="AK165" s="201"/>
      <c r="AL165" s="201"/>
      <c r="AM165" s="201"/>
      <c r="AN165" s="201"/>
      <c r="AO165" s="201"/>
      <c r="AP165" s="201"/>
      <c r="AQ165" s="201"/>
      <c r="AR165" s="201"/>
      <c r="AS165" s="201"/>
      <c r="AT165" s="201"/>
      <c r="AU165" s="201"/>
      <c r="AV165" s="201"/>
      <c r="AW165" s="201"/>
      <c r="AX165" s="201"/>
      <c r="AY165" s="201"/>
      <c r="AZ165" s="201"/>
      <c r="BA165" s="201"/>
      <c r="BB165" s="201"/>
      <c r="BC165" s="201"/>
      <c r="BD165" s="201"/>
      <c r="BE165" s="201"/>
      <c r="BF165" s="201"/>
      <c r="BG165" s="201"/>
      <c r="BH165" s="201"/>
      <c r="BI165" s="201"/>
      <c r="BJ165" s="201"/>
      <c r="BK165" s="201"/>
      <c r="BL165" s="201"/>
      <c r="BM165" s="201"/>
      <c r="BN165" s="201"/>
      <c r="BO165" s="201"/>
      <c r="BP165" s="201"/>
      <c r="BQ165" s="201"/>
      <c r="BR165" s="201"/>
      <c r="BS165" s="201"/>
      <c r="BT165" s="201"/>
      <c r="BU165" s="201"/>
      <c r="BV165" s="201"/>
      <c r="BW165" s="1425"/>
      <c r="BX165" s="1426"/>
      <c r="BY165" s="1427"/>
    </row>
    <row r="166" spans="3:77" ht="17.100000000000001" customHeight="1" x14ac:dyDescent="0.2">
      <c r="C166" s="3819"/>
      <c r="D166" s="3820"/>
      <c r="E166" s="3821"/>
      <c r="F166" s="201"/>
      <c r="G166" s="201"/>
      <c r="H166" s="201"/>
      <c r="I166" s="201"/>
      <c r="J166" s="201"/>
      <c r="K166" s="201"/>
      <c r="L166" s="201"/>
      <c r="M166" s="201"/>
      <c r="N166" s="201"/>
      <c r="O166" s="201"/>
      <c r="P166" s="201"/>
      <c r="Q166" s="201"/>
      <c r="R166" s="201"/>
      <c r="S166" s="201"/>
      <c r="T166" s="201"/>
      <c r="U166" s="201"/>
      <c r="V166" s="201"/>
      <c r="W166" s="201"/>
      <c r="X166" s="201"/>
      <c r="Y166" s="201"/>
      <c r="Z166" s="201"/>
      <c r="AA166" s="201"/>
      <c r="AB166" s="201"/>
      <c r="AC166" s="201"/>
      <c r="AD166" s="201"/>
      <c r="AE166" s="201"/>
      <c r="AF166" s="201"/>
      <c r="AG166" s="201"/>
      <c r="AH166" s="201"/>
      <c r="AI166" s="201"/>
      <c r="AJ166" s="201"/>
      <c r="AK166" s="201"/>
      <c r="AL166" s="201"/>
      <c r="AM166" s="201"/>
      <c r="AN166" s="201"/>
      <c r="AO166" s="201"/>
      <c r="AP166" s="201"/>
      <c r="AQ166" s="201"/>
      <c r="AR166" s="201"/>
      <c r="AS166" s="201"/>
      <c r="AT166" s="201"/>
      <c r="AU166" s="201"/>
      <c r="AV166" s="201"/>
      <c r="AW166" s="201"/>
      <c r="AX166" s="201"/>
      <c r="AY166" s="201"/>
      <c r="AZ166" s="201"/>
      <c r="BA166" s="201"/>
      <c r="BB166" s="201"/>
      <c r="BC166" s="201"/>
      <c r="BD166" s="201"/>
      <c r="BE166" s="201"/>
      <c r="BF166" s="201"/>
      <c r="BG166" s="201"/>
      <c r="BH166" s="201"/>
      <c r="BI166" s="201"/>
      <c r="BJ166" s="201"/>
      <c r="BK166" s="201"/>
      <c r="BL166" s="201"/>
      <c r="BM166" s="201"/>
      <c r="BN166" s="201"/>
      <c r="BO166" s="201"/>
      <c r="BP166" s="201"/>
      <c r="BQ166" s="201"/>
      <c r="BR166" s="201"/>
      <c r="BS166" s="201"/>
      <c r="BT166" s="201"/>
      <c r="BU166" s="201"/>
      <c r="BV166" s="201"/>
      <c r="BW166" s="1425"/>
      <c r="BX166" s="1426"/>
      <c r="BY166" s="1427"/>
    </row>
    <row r="167" spans="3:77" ht="17.100000000000001" customHeight="1" x14ac:dyDescent="0.2">
      <c r="C167" s="3819"/>
      <c r="D167" s="3820"/>
      <c r="E167" s="3821"/>
      <c r="F167" s="1377"/>
      <c r="G167" s="1377"/>
      <c r="H167" s="1377"/>
      <c r="I167" s="1377"/>
      <c r="J167" s="1377"/>
      <c r="K167" s="1377"/>
      <c r="L167" s="1377"/>
      <c r="M167" s="1377"/>
      <c r="N167" s="1377"/>
      <c r="O167" s="1377"/>
      <c r="P167" s="1377"/>
      <c r="Q167" s="1377"/>
      <c r="R167" s="1377"/>
      <c r="S167" s="1377"/>
      <c r="T167" s="1377"/>
      <c r="U167" s="1377"/>
      <c r="V167" s="1377"/>
      <c r="W167" s="1377"/>
      <c r="X167" s="1377"/>
      <c r="Y167" s="1377"/>
      <c r="Z167" s="1377"/>
      <c r="AA167" s="1377"/>
      <c r="AB167" s="1377"/>
      <c r="AC167" s="1377"/>
      <c r="AD167" s="1377"/>
      <c r="AE167" s="1377"/>
      <c r="AF167" s="1377"/>
      <c r="AG167" s="1377"/>
      <c r="AH167" s="1377"/>
      <c r="AI167" s="1377"/>
      <c r="AJ167" s="1377"/>
      <c r="AK167" s="1377"/>
      <c r="AL167" s="1377"/>
      <c r="AM167" s="1377"/>
      <c r="AN167" s="1377"/>
      <c r="AO167" s="1377"/>
      <c r="AP167" s="1377"/>
      <c r="AQ167" s="1377"/>
      <c r="AR167" s="1377"/>
      <c r="AS167" s="1377"/>
      <c r="AT167" s="1377"/>
      <c r="AU167" s="1377"/>
      <c r="AV167" s="1377"/>
      <c r="AW167" s="1377"/>
      <c r="AX167" s="1377"/>
      <c r="AY167" s="1377"/>
      <c r="AZ167" s="1377"/>
      <c r="BA167" s="1377"/>
      <c r="BB167" s="1377"/>
      <c r="BC167" s="1377"/>
      <c r="BD167" s="1377"/>
      <c r="BE167" s="1377"/>
      <c r="BF167" s="1377"/>
      <c r="BG167" s="1377"/>
      <c r="BH167" s="1377"/>
      <c r="BI167" s="1377"/>
      <c r="BJ167" s="1377"/>
      <c r="BK167" s="1377"/>
      <c r="BL167" s="1377"/>
      <c r="BM167" s="1377"/>
      <c r="BN167" s="1377"/>
      <c r="BO167" s="1377"/>
      <c r="BP167" s="1377"/>
      <c r="BQ167" s="1377"/>
      <c r="BR167" s="1377"/>
      <c r="BS167" s="1377"/>
      <c r="BT167" s="1377"/>
      <c r="BU167" s="1377"/>
      <c r="BV167" s="1377"/>
      <c r="BW167" s="1425"/>
      <c r="BX167" s="1426"/>
      <c r="BY167" s="1427"/>
    </row>
    <row r="168" spans="3:77" ht="17.100000000000001" customHeight="1" x14ac:dyDescent="0.2">
      <c r="C168" s="3819"/>
      <c r="D168" s="3820"/>
      <c r="E168" s="3821"/>
      <c r="F168" s="1377"/>
      <c r="G168" s="1377"/>
      <c r="H168" s="1377"/>
      <c r="I168" s="1377"/>
      <c r="J168" s="1377"/>
      <c r="K168" s="1377"/>
      <c r="L168" s="1377"/>
      <c r="M168" s="1377"/>
      <c r="N168" s="1377"/>
      <c r="O168" s="1377"/>
      <c r="P168" s="1377"/>
      <c r="Q168" s="1377"/>
      <c r="R168" s="1377"/>
      <c r="S168" s="1377"/>
      <c r="T168" s="1377"/>
      <c r="U168" s="1377"/>
      <c r="V168" s="1377"/>
      <c r="W168" s="1377"/>
      <c r="X168" s="1377"/>
      <c r="Y168" s="1377"/>
      <c r="Z168" s="1377"/>
      <c r="AA168" s="1377"/>
      <c r="AB168" s="1377"/>
      <c r="AC168" s="1377"/>
      <c r="AD168" s="1377"/>
      <c r="AE168" s="1377"/>
      <c r="AF168" s="1377"/>
      <c r="AG168" s="1377"/>
      <c r="AH168" s="1377"/>
      <c r="AI168" s="1377"/>
      <c r="AJ168" s="1377"/>
      <c r="AK168" s="1377"/>
      <c r="AL168" s="1377"/>
      <c r="AM168" s="1377"/>
      <c r="AN168" s="1377"/>
      <c r="AO168" s="1377"/>
      <c r="AP168" s="1377"/>
      <c r="AQ168" s="1377"/>
      <c r="AR168" s="1377"/>
      <c r="AS168" s="1377"/>
      <c r="AT168" s="1377"/>
      <c r="AU168" s="1377"/>
      <c r="AV168" s="1377"/>
      <c r="AW168" s="1377"/>
      <c r="AX168" s="1377"/>
      <c r="AY168" s="1377"/>
      <c r="AZ168" s="1377"/>
      <c r="BA168" s="1377"/>
      <c r="BB168" s="1377"/>
      <c r="BC168" s="1377"/>
      <c r="BD168" s="1377"/>
      <c r="BE168" s="1377"/>
      <c r="BF168" s="1377"/>
      <c r="BG168" s="1377"/>
      <c r="BH168" s="1377"/>
      <c r="BI168" s="1377"/>
      <c r="BJ168" s="1377"/>
      <c r="BK168" s="1377"/>
      <c r="BL168" s="1377"/>
      <c r="BM168" s="1377"/>
      <c r="BN168" s="1377"/>
      <c r="BO168" s="1377"/>
      <c r="BP168" s="1377"/>
      <c r="BQ168" s="1377"/>
      <c r="BR168" s="1377"/>
      <c r="BS168" s="1377"/>
      <c r="BT168" s="1377"/>
      <c r="BU168" s="1377"/>
      <c r="BV168" s="1377"/>
      <c r="BW168" s="1425"/>
      <c r="BX168" s="1426"/>
      <c r="BY168" s="1427"/>
    </row>
    <row r="169" spans="3:77" ht="17.100000000000001" customHeight="1" x14ac:dyDescent="0.2">
      <c r="C169" s="3819"/>
      <c r="D169" s="3820"/>
      <c r="E169" s="3821"/>
      <c r="F169" s="1377"/>
      <c r="G169" s="1377"/>
      <c r="H169" s="1377"/>
      <c r="I169" s="1377"/>
      <c r="J169" s="1377"/>
      <c r="K169" s="1377"/>
      <c r="L169" s="1377"/>
      <c r="M169" s="1377"/>
      <c r="N169" s="1377"/>
      <c r="O169" s="1377"/>
      <c r="P169" s="1377"/>
      <c r="Q169" s="1377"/>
      <c r="R169" s="1377"/>
      <c r="S169" s="1377"/>
      <c r="T169" s="1377"/>
      <c r="U169" s="1377"/>
      <c r="V169" s="1377"/>
      <c r="W169" s="1377"/>
      <c r="X169" s="1377"/>
      <c r="Y169" s="1377"/>
      <c r="Z169" s="1377"/>
      <c r="AA169" s="1377"/>
      <c r="AB169" s="1377"/>
      <c r="AC169" s="1377"/>
      <c r="AD169" s="1377"/>
      <c r="AE169" s="1377"/>
      <c r="AF169" s="1377"/>
      <c r="AG169" s="1377"/>
      <c r="AH169" s="1377"/>
      <c r="AI169" s="1377"/>
      <c r="AJ169" s="1377"/>
      <c r="AK169" s="1377"/>
      <c r="AL169" s="1377"/>
      <c r="AM169" s="1377"/>
      <c r="AN169" s="1377"/>
      <c r="AO169" s="1377"/>
      <c r="AP169" s="1377"/>
      <c r="AQ169" s="1377"/>
      <c r="AR169" s="1377"/>
      <c r="AS169" s="1377"/>
      <c r="AT169" s="1377"/>
      <c r="AU169" s="1377"/>
      <c r="AV169" s="1377"/>
      <c r="AW169" s="1377"/>
      <c r="AX169" s="1377"/>
      <c r="AY169" s="1377"/>
      <c r="AZ169" s="1377"/>
      <c r="BA169" s="1377"/>
      <c r="BB169" s="1377"/>
      <c r="BC169" s="1377"/>
      <c r="BD169" s="1377"/>
      <c r="BE169" s="1377"/>
      <c r="BF169" s="1377"/>
      <c r="BG169" s="1377"/>
      <c r="BH169" s="1377"/>
      <c r="BI169" s="1377"/>
      <c r="BJ169" s="1377"/>
      <c r="BK169" s="1377"/>
      <c r="BL169" s="1377"/>
      <c r="BM169" s="1377"/>
      <c r="BN169" s="1377"/>
      <c r="BO169" s="1377"/>
      <c r="BP169" s="1377"/>
      <c r="BQ169" s="1377"/>
      <c r="BR169" s="1377"/>
      <c r="BS169" s="1377"/>
      <c r="BT169" s="1377"/>
      <c r="BU169" s="1377"/>
      <c r="BV169" s="1377"/>
      <c r="BW169" s="1425"/>
      <c r="BX169" s="1426"/>
      <c r="BY169" s="1427"/>
    </row>
    <row r="170" spans="3:77" ht="17.100000000000001" customHeight="1" x14ac:dyDescent="0.2">
      <c r="C170" s="3819"/>
      <c r="D170" s="3820"/>
      <c r="E170" s="3821"/>
      <c r="F170" s="1377"/>
      <c r="G170" s="1377"/>
      <c r="H170" s="1377"/>
      <c r="I170" s="1377"/>
      <c r="J170" s="1377"/>
      <c r="K170" s="1377"/>
      <c r="L170" s="1377"/>
      <c r="M170" s="1377"/>
      <c r="N170" s="1377"/>
      <c r="O170" s="1377"/>
      <c r="P170" s="1377"/>
      <c r="Q170" s="1377"/>
      <c r="R170" s="1377"/>
      <c r="S170" s="1377"/>
      <c r="T170" s="1377"/>
      <c r="U170" s="1377"/>
      <c r="V170" s="1377"/>
      <c r="W170" s="1377"/>
      <c r="X170" s="1377"/>
      <c r="Y170" s="1377"/>
      <c r="Z170" s="1377"/>
      <c r="AA170" s="1377"/>
      <c r="AB170" s="1377"/>
      <c r="AC170" s="1377"/>
      <c r="AD170" s="1377"/>
      <c r="AE170" s="1377"/>
      <c r="AF170" s="1377"/>
      <c r="AG170" s="1377"/>
      <c r="AH170" s="1377"/>
      <c r="AI170" s="1377"/>
      <c r="AJ170" s="1377"/>
      <c r="AK170" s="1377"/>
      <c r="AL170" s="1377"/>
      <c r="AM170" s="1377"/>
      <c r="AN170" s="1377"/>
      <c r="AO170" s="1377"/>
      <c r="AP170" s="1377"/>
      <c r="AQ170" s="1377"/>
      <c r="AR170" s="1377"/>
      <c r="AS170" s="1377"/>
      <c r="AT170" s="1377"/>
      <c r="AU170" s="1377"/>
      <c r="AV170" s="1377"/>
      <c r="AW170" s="1377"/>
      <c r="AX170" s="1377"/>
      <c r="AY170" s="1377"/>
      <c r="AZ170" s="1377"/>
      <c r="BA170" s="1377"/>
      <c r="BB170" s="1377"/>
      <c r="BC170" s="1377"/>
      <c r="BD170" s="1377"/>
      <c r="BE170" s="1377"/>
      <c r="BF170" s="1377"/>
      <c r="BG170" s="1377"/>
      <c r="BH170" s="1377"/>
      <c r="BI170" s="1377"/>
      <c r="BJ170" s="1377"/>
      <c r="BK170" s="1377"/>
      <c r="BL170" s="1377"/>
      <c r="BM170" s="1377"/>
      <c r="BN170" s="1377"/>
      <c r="BO170" s="1377"/>
      <c r="BP170" s="1377"/>
      <c r="BQ170" s="1377"/>
      <c r="BR170" s="1377"/>
      <c r="BS170" s="1377"/>
      <c r="BT170" s="1377"/>
      <c r="BU170" s="1377"/>
      <c r="BV170" s="1377"/>
      <c r="BW170" s="1425"/>
      <c r="BX170" s="1426"/>
      <c r="BY170" s="1427"/>
    </row>
    <row r="171" spans="3:77" ht="17.100000000000001" customHeight="1" x14ac:dyDescent="0.2">
      <c r="C171" s="3819"/>
      <c r="D171" s="3820"/>
      <c r="E171" s="3821"/>
      <c r="F171" s="1377"/>
      <c r="G171" s="1377"/>
      <c r="H171" s="1377"/>
      <c r="I171" s="1377"/>
      <c r="J171" s="1377"/>
      <c r="K171" s="1377"/>
      <c r="L171" s="1377"/>
      <c r="M171" s="1377"/>
      <c r="N171" s="1377"/>
      <c r="O171" s="1377"/>
      <c r="P171" s="1377"/>
      <c r="Q171" s="1377"/>
      <c r="R171" s="1377"/>
      <c r="S171" s="1377"/>
      <c r="T171" s="1377"/>
      <c r="U171" s="1377"/>
      <c r="V171" s="1377"/>
      <c r="W171" s="1377"/>
      <c r="X171" s="1377"/>
      <c r="Y171" s="1377"/>
      <c r="Z171" s="1377"/>
      <c r="AA171" s="1377"/>
      <c r="AB171" s="1377"/>
      <c r="AC171" s="1377"/>
      <c r="AD171" s="1377"/>
      <c r="AE171" s="1377"/>
      <c r="AF171" s="1377"/>
      <c r="AG171" s="1377"/>
      <c r="AH171" s="1377"/>
      <c r="AI171" s="1377"/>
      <c r="AJ171" s="1377"/>
      <c r="AK171" s="1377"/>
      <c r="AL171" s="1377"/>
      <c r="AM171" s="1377"/>
      <c r="AN171" s="1377"/>
      <c r="AO171" s="1377"/>
      <c r="AP171" s="1377"/>
      <c r="AQ171" s="1377"/>
      <c r="AR171" s="1377"/>
      <c r="AS171" s="1377"/>
      <c r="AT171" s="1377"/>
      <c r="AU171" s="1377"/>
      <c r="AV171" s="1377"/>
      <c r="AW171" s="1377"/>
      <c r="AX171" s="1377"/>
      <c r="AY171" s="1377"/>
      <c r="AZ171" s="1377"/>
      <c r="BA171" s="1377"/>
      <c r="BB171" s="1377"/>
      <c r="BC171" s="1377"/>
      <c r="BD171" s="1377"/>
      <c r="BE171" s="1377"/>
      <c r="BF171" s="1377"/>
      <c r="BG171" s="1377"/>
      <c r="BH171" s="1377"/>
      <c r="BI171" s="1377"/>
      <c r="BJ171" s="1377"/>
      <c r="BK171" s="1377"/>
      <c r="BL171" s="1377"/>
      <c r="BM171" s="1377"/>
      <c r="BN171" s="1377"/>
      <c r="BO171" s="1377"/>
      <c r="BP171" s="1377"/>
      <c r="BQ171" s="1377"/>
      <c r="BR171" s="1377"/>
      <c r="BS171" s="1377"/>
      <c r="BT171" s="1377"/>
      <c r="BU171" s="1377"/>
      <c r="BV171" s="1377"/>
      <c r="BW171" s="1425"/>
      <c r="BX171" s="1426"/>
      <c r="BY171" s="1427"/>
    </row>
    <row r="172" spans="3:77" ht="17.100000000000001" customHeight="1" x14ac:dyDescent="0.2">
      <c r="C172" s="3819"/>
      <c r="D172" s="3820"/>
      <c r="E172" s="3821"/>
      <c r="F172" s="1377"/>
      <c r="G172" s="1377"/>
      <c r="H172" s="1377"/>
      <c r="I172" s="1377"/>
      <c r="J172" s="1377"/>
      <c r="K172" s="1377"/>
      <c r="L172" s="1377"/>
      <c r="M172" s="1377"/>
      <c r="N172" s="1377"/>
      <c r="O172" s="1377"/>
      <c r="P172" s="1377"/>
      <c r="Q172" s="1377"/>
      <c r="R172" s="1377"/>
      <c r="S172" s="1377"/>
      <c r="T172" s="1377"/>
      <c r="U172" s="1377"/>
      <c r="V172" s="1377"/>
      <c r="W172" s="1377"/>
      <c r="X172" s="1377"/>
      <c r="Y172" s="1377"/>
      <c r="Z172" s="1377"/>
      <c r="AA172" s="1377"/>
      <c r="AB172" s="1377"/>
      <c r="AC172" s="1377"/>
      <c r="AD172" s="1377"/>
      <c r="AE172" s="1377"/>
      <c r="AF172" s="1377"/>
      <c r="AG172" s="1377"/>
      <c r="AH172" s="1377"/>
      <c r="AI172" s="1377"/>
      <c r="AJ172" s="1377"/>
      <c r="AK172" s="1377"/>
      <c r="AL172" s="1377"/>
      <c r="AM172" s="1377"/>
      <c r="AN172" s="1377"/>
      <c r="AO172" s="1377"/>
      <c r="AP172" s="1377"/>
      <c r="AQ172" s="1377"/>
      <c r="AR172" s="1377"/>
      <c r="AS172" s="1377"/>
      <c r="AT172" s="1377"/>
      <c r="AU172" s="1377"/>
      <c r="AV172" s="1377"/>
      <c r="AW172" s="1377"/>
      <c r="AX172" s="1377"/>
      <c r="AY172" s="1377"/>
      <c r="AZ172" s="1377"/>
      <c r="BA172" s="1377"/>
      <c r="BB172" s="1377"/>
      <c r="BC172" s="1377"/>
      <c r="BD172" s="1377"/>
      <c r="BE172" s="1377"/>
      <c r="BF172" s="1377"/>
      <c r="BG172" s="1377"/>
      <c r="BH172" s="1377"/>
      <c r="BI172" s="1377"/>
      <c r="BJ172" s="1377"/>
      <c r="BK172" s="1377"/>
      <c r="BL172" s="1377"/>
      <c r="BM172" s="1377"/>
      <c r="BN172" s="1377"/>
      <c r="BO172" s="1377"/>
      <c r="BP172" s="1377"/>
      <c r="BQ172" s="1377"/>
      <c r="BR172" s="1377"/>
      <c r="BS172" s="1377"/>
      <c r="BT172" s="1377"/>
      <c r="BU172" s="1377"/>
      <c r="BV172" s="1377"/>
      <c r="BW172" s="1425"/>
      <c r="BX172" s="1426"/>
      <c r="BY172" s="1427"/>
    </row>
    <row r="173" spans="3:77" ht="17.100000000000001" customHeight="1" x14ac:dyDescent="0.2">
      <c r="C173" s="3819"/>
      <c r="D173" s="3820"/>
      <c r="E173" s="3821"/>
      <c r="F173" s="1377"/>
      <c r="G173" s="1377"/>
      <c r="H173" s="1377"/>
      <c r="I173" s="1377"/>
      <c r="J173" s="1377"/>
      <c r="K173" s="1377"/>
      <c r="L173" s="1377"/>
      <c r="M173" s="1377"/>
      <c r="N173" s="1377"/>
      <c r="O173" s="1377"/>
      <c r="P173" s="1377"/>
      <c r="Q173" s="1377"/>
      <c r="R173" s="1377"/>
      <c r="S173" s="1377"/>
      <c r="T173" s="1377"/>
      <c r="U173" s="1377"/>
      <c r="V173" s="1377"/>
      <c r="W173" s="1377"/>
      <c r="X173" s="1377"/>
      <c r="Y173" s="1377"/>
      <c r="Z173" s="1377"/>
      <c r="AA173" s="1377"/>
      <c r="AB173" s="1377"/>
      <c r="AC173" s="1377"/>
      <c r="AD173" s="1377"/>
      <c r="AE173" s="1377"/>
      <c r="AF173" s="1377"/>
      <c r="AG173" s="1377"/>
      <c r="AH173" s="1377"/>
      <c r="AI173" s="1377"/>
      <c r="AJ173" s="1377"/>
      <c r="AK173" s="1377"/>
      <c r="AL173" s="1377"/>
      <c r="AM173" s="1377"/>
      <c r="AN173" s="1377"/>
      <c r="AO173" s="1377"/>
      <c r="AP173" s="1377"/>
      <c r="AQ173" s="1377"/>
      <c r="AR173" s="1377"/>
      <c r="AS173" s="1377"/>
      <c r="AT173" s="1377"/>
      <c r="AU173" s="1377"/>
      <c r="AV173" s="1377"/>
      <c r="AW173" s="1377"/>
      <c r="AX173" s="1377"/>
      <c r="AY173" s="1377"/>
      <c r="AZ173" s="1377"/>
      <c r="BA173" s="1377"/>
      <c r="BB173" s="1377"/>
      <c r="BC173" s="1377"/>
      <c r="BD173" s="1377"/>
      <c r="BE173" s="1377"/>
      <c r="BF173" s="1377"/>
      <c r="BG173" s="1377"/>
      <c r="BH173" s="1377"/>
      <c r="BI173" s="1377"/>
      <c r="BJ173" s="1377"/>
      <c r="BK173" s="1377"/>
      <c r="BL173" s="1377"/>
      <c r="BM173" s="1377"/>
      <c r="BN173" s="1377"/>
      <c r="BO173" s="1377"/>
      <c r="BP173" s="1377"/>
      <c r="BQ173" s="1377"/>
      <c r="BR173" s="1377"/>
      <c r="BS173" s="1377"/>
      <c r="BT173" s="1377"/>
      <c r="BU173" s="1377"/>
      <c r="BV173" s="1377"/>
      <c r="BW173" s="1425"/>
      <c r="BX173" s="1426"/>
      <c r="BY173" s="1427"/>
    </row>
    <row r="174" spans="3:77" ht="17.100000000000001" customHeight="1" x14ac:dyDescent="0.2">
      <c r="C174" s="3819"/>
      <c r="D174" s="3820"/>
      <c r="E174" s="3821"/>
      <c r="F174" s="1377"/>
      <c r="G174" s="1377"/>
      <c r="H174" s="1377"/>
      <c r="I174" s="1377"/>
      <c r="J174" s="1377"/>
      <c r="K174" s="1377"/>
      <c r="L174" s="1377"/>
      <c r="M174" s="1377"/>
      <c r="N174" s="1377"/>
      <c r="O174" s="1377"/>
      <c r="P174" s="1377"/>
      <c r="Q174" s="1377"/>
      <c r="R174" s="1377"/>
      <c r="S174" s="1377"/>
      <c r="T174" s="1377"/>
      <c r="U174" s="1377"/>
      <c r="V174" s="1377"/>
      <c r="W174" s="1377"/>
      <c r="X174" s="1377"/>
      <c r="Y174" s="1377"/>
      <c r="Z174" s="1377"/>
      <c r="AA174" s="1377"/>
      <c r="AB174" s="1377"/>
      <c r="AC174" s="1377"/>
      <c r="AD174" s="1377"/>
      <c r="AE174" s="1377"/>
      <c r="AF174" s="1377"/>
      <c r="AG174" s="1377"/>
      <c r="AH174" s="1377"/>
      <c r="AI174" s="1377"/>
      <c r="AJ174" s="1377"/>
      <c r="AK174" s="1377"/>
      <c r="AL174" s="1377"/>
      <c r="AM174" s="1377"/>
      <c r="AN174" s="1377"/>
      <c r="AO174" s="1377"/>
      <c r="AP174" s="1377"/>
      <c r="AQ174" s="1377"/>
      <c r="AR174" s="1377"/>
      <c r="AS174" s="1377"/>
      <c r="AT174" s="1377"/>
      <c r="AU174" s="1377"/>
      <c r="AV174" s="1377"/>
      <c r="AW174" s="1377"/>
      <c r="AX174" s="1377"/>
      <c r="AY174" s="1377"/>
      <c r="AZ174" s="1377"/>
      <c r="BA174" s="1377"/>
      <c r="BB174" s="1377"/>
      <c r="BC174" s="1377"/>
      <c r="BD174" s="1377"/>
      <c r="BE174" s="1377"/>
      <c r="BF174" s="1377"/>
      <c r="BG174" s="1377"/>
      <c r="BH174" s="1377"/>
      <c r="BI174" s="1377"/>
      <c r="BJ174" s="1377"/>
      <c r="BK174" s="1377"/>
      <c r="BL174" s="1377"/>
      <c r="BM174" s="1377"/>
      <c r="BN174" s="1377"/>
      <c r="BO174" s="1377"/>
      <c r="BP174" s="1377"/>
      <c r="BQ174" s="1377"/>
      <c r="BR174" s="1377"/>
      <c r="BS174" s="1377"/>
      <c r="BT174" s="1377"/>
      <c r="BU174" s="1377"/>
      <c r="BV174" s="1377"/>
      <c r="BW174" s="1425"/>
      <c r="BX174" s="1426"/>
      <c r="BY174" s="1427"/>
    </row>
    <row r="175" spans="3:77" ht="17.100000000000001" customHeight="1" x14ac:dyDescent="0.2">
      <c r="C175" s="3819"/>
      <c r="D175" s="3820"/>
      <c r="E175" s="3821"/>
      <c r="F175" s="1377"/>
      <c r="G175" s="1377"/>
      <c r="H175" s="1377"/>
      <c r="I175" s="1377"/>
      <c r="J175" s="1377"/>
      <c r="K175" s="1377"/>
      <c r="L175" s="1377"/>
      <c r="M175" s="1377"/>
      <c r="N175" s="1377"/>
      <c r="O175" s="1377"/>
      <c r="P175" s="1377"/>
      <c r="Q175" s="1377"/>
      <c r="R175" s="1377"/>
      <c r="S175" s="1377"/>
      <c r="T175" s="1377"/>
      <c r="U175" s="1377"/>
      <c r="V175" s="1377"/>
      <c r="W175" s="1377"/>
      <c r="X175" s="1377"/>
      <c r="Y175" s="1377"/>
      <c r="Z175" s="1377"/>
      <c r="AA175" s="1377"/>
      <c r="AB175" s="1377"/>
      <c r="AC175" s="1377"/>
      <c r="AD175" s="1377"/>
      <c r="AE175" s="1377"/>
      <c r="AF175" s="1377"/>
      <c r="AG175" s="1377"/>
      <c r="AH175" s="1377"/>
      <c r="AI175" s="1377"/>
      <c r="AJ175" s="1377"/>
      <c r="AK175" s="1377"/>
      <c r="AL175" s="1377"/>
      <c r="AM175" s="1377"/>
      <c r="AN175" s="1377"/>
      <c r="AO175" s="1377"/>
      <c r="AP175" s="1377"/>
      <c r="AQ175" s="1377"/>
      <c r="AR175" s="1377"/>
      <c r="AS175" s="1377"/>
      <c r="AT175" s="1377"/>
      <c r="AU175" s="1377"/>
      <c r="AV175" s="1377"/>
      <c r="AW175" s="1377"/>
      <c r="AX175" s="1377"/>
      <c r="AY175" s="1377"/>
      <c r="AZ175" s="1377"/>
      <c r="BA175" s="1377"/>
      <c r="BB175" s="1377"/>
      <c r="BC175" s="1377"/>
      <c r="BD175" s="1377"/>
      <c r="BE175" s="1377"/>
      <c r="BF175" s="1377"/>
      <c r="BG175" s="1377"/>
      <c r="BH175" s="1377"/>
      <c r="BI175" s="1377"/>
      <c r="BJ175" s="1377"/>
      <c r="BK175" s="1377"/>
      <c r="BL175" s="1377"/>
      <c r="BM175" s="1377"/>
      <c r="BN175" s="1377"/>
      <c r="BO175" s="1377"/>
      <c r="BP175" s="1377"/>
      <c r="BQ175" s="1377"/>
      <c r="BR175" s="1377"/>
      <c r="BS175" s="1377"/>
      <c r="BT175" s="1377"/>
      <c r="BU175" s="1377"/>
      <c r="BV175" s="1377"/>
      <c r="BW175" s="1425"/>
      <c r="BX175" s="1426"/>
      <c r="BY175" s="1427"/>
    </row>
    <row r="176" spans="3:77" ht="17.100000000000001" customHeight="1" x14ac:dyDescent="0.2">
      <c r="C176" s="3819"/>
      <c r="D176" s="3820"/>
      <c r="E176" s="3821"/>
      <c r="F176" s="1377"/>
      <c r="G176" s="1377"/>
      <c r="H176" s="1377"/>
      <c r="I176" s="1377"/>
      <c r="J176" s="1377"/>
      <c r="K176" s="1377"/>
      <c r="L176" s="1377"/>
      <c r="M176" s="1377"/>
      <c r="N176" s="1377"/>
      <c r="O176" s="1377"/>
      <c r="P176" s="1377"/>
      <c r="Q176" s="1377"/>
      <c r="R176" s="1377"/>
      <c r="S176" s="1377"/>
      <c r="T176" s="1377"/>
      <c r="U176" s="1377"/>
      <c r="V176" s="1377"/>
      <c r="W176" s="1377"/>
      <c r="X176" s="1377"/>
      <c r="Y176" s="1377"/>
      <c r="Z176" s="1377"/>
      <c r="AA176" s="1377"/>
      <c r="AB176" s="1377"/>
      <c r="AC176" s="1377"/>
      <c r="AD176" s="1377"/>
      <c r="AE176" s="1377"/>
      <c r="AF176" s="1377"/>
      <c r="AG176" s="1377"/>
      <c r="AH176" s="1377"/>
      <c r="AI176" s="1377"/>
      <c r="AJ176" s="1377"/>
      <c r="AK176" s="1377"/>
      <c r="AL176" s="1377"/>
      <c r="AM176" s="1377"/>
      <c r="AN176" s="1377"/>
      <c r="AO176" s="1377"/>
      <c r="AP176" s="1377"/>
      <c r="AQ176" s="1377"/>
      <c r="AR176" s="1377"/>
      <c r="AS176" s="1377"/>
      <c r="AT176" s="1377"/>
      <c r="AU176" s="1377"/>
      <c r="AV176" s="1377"/>
      <c r="AW176" s="1377"/>
      <c r="AX176" s="1377"/>
      <c r="AY176" s="1377"/>
      <c r="AZ176" s="1377"/>
      <c r="BA176" s="1377"/>
      <c r="BB176" s="1377"/>
      <c r="BC176" s="1377"/>
      <c r="BD176" s="1377"/>
      <c r="BE176" s="1377"/>
      <c r="BF176" s="1377"/>
      <c r="BG176" s="1377"/>
      <c r="BH176" s="1377"/>
      <c r="BI176" s="1377"/>
      <c r="BJ176" s="1377"/>
      <c r="BK176" s="1377"/>
      <c r="BL176" s="1377"/>
      <c r="BM176" s="1377"/>
      <c r="BN176" s="1377"/>
      <c r="BO176" s="1377"/>
      <c r="BP176" s="1377"/>
      <c r="BQ176" s="1377"/>
      <c r="BR176" s="1377"/>
      <c r="BS176" s="1377"/>
      <c r="BT176" s="1377"/>
      <c r="BU176" s="1377"/>
      <c r="BV176" s="1377"/>
      <c r="BW176" s="1425"/>
      <c r="BX176" s="1426"/>
      <c r="BY176" s="1427"/>
    </row>
    <row r="177" spans="3:77" ht="17.100000000000001" customHeight="1" x14ac:dyDescent="0.2">
      <c r="C177" s="3819"/>
      <c r="D177" s="3820"/>
      <c r="E177" s="3821"/>
      <c r="F177" s="1377"/>
      <c r="G177" s="1377"/>
      <c r="H177" s="1377"/>
      <c r="I177" s="1377"/>
      <c r="J177" s="1377"/>
      <c r="K177" s="1377"/>
      <c r="L177" s="1377"/>
      <c r="M177" s="1377"/>
      <c r="N177" s="1377"/>
      <c r="O177" s="1377"/>
      <c r="P177" s="1377"/>
      <c r="Q177" s="1377"/>
      <c r="R177" s="1377"/>
      <c r="S177" s="1377"/>
      <c r="T177" s="1377"/>
      <c r="U177" s="1377"/>
      <c r="V177" s="1377"/>
      <c r="W177" s="1377"/>
      <c r="X177" s="1377"/>
      <c r="Y177" s="1377"/>
      <c r="Z177" s="1377"/>
      <c r="AA177" s="1377"/>
      <c r="AB177" s="1377"/>
      <c r="AC177" s="1377"/>
      <c r="AD177" s="1377"/>
      <c r="AE177" s="1377"/>
      <c r="AF177" s="1377"/>
      <c r="AG177" s="1377"/>
      <c r="AH177" s="1377"/>
      <c r="AI177" s="1377"/>
      <c r="AJ177" s="1377"/>
      <c r="AK177" s="1377"/>
      <c r="AL177" s="1377"/>
      <c r="AM177" s="1377"/>
      <c r="AN177" s="1377"/>
      <c r="AO177" s="1377"/>
      <c r="AP177" s="1377"/>
      <c r="AQ177" s="1377"/>
      <c r="AR177" s="1377"/>
      <c r="AS177" s="1377"/>
      <c r="AT177" s="1377"/>
      <c r="AU177" s="1377"/>
      <c r="AV177" s="1377"/>
      <c r="AW177" s="1377"/>
      <c r="AX177" s="1377"/>
      <c r="AY177" s="1377"/>
      <c r="AZ177" s="1377"/>
      <c r="BA177" s="1377"/>
      <c r="BB177" s="1377"/>
      <c r="BC177" s="1377"/>
      <c r="BD177" s="1377"/>
      <c r="BE177" s="1377"/>
      <c r="BF177" s="1377"/>
      <c r="BG177" s="1377"/>
      <c r="BH177" s="1377"/>
      <c r="BI177" s="1377"/>
      <c r="BJ177" s="1377"/>
      <c r="BK177" s="1377"/>
      <c r="BL177" s="1377"/>
      <c r="BM177" s="1377"/>
      <c r="BN177" s="1377"/>
      <c r="BO177" s="1377"/>
      <c r="BP177" s="1377"/>
      <c r="BQ177" s="1377"/>
      <c r="BR177" s="1377"/>
      <c r="BS177" s="1377"/>
      <c r="BT177" s="1377"/>
      <c r="BU177" s="1377"/>
      <c r="BV177" s="1377"/>
      <c r="BW177" s="1425"/>
      <c r="BX177" s="1426"/>
      <c r="BY177" s="1427"/>
    </row>
    <row r="178" spans="3:77" ht="17.100000000000001" customHeight="1" x14ac:dyDescent="0.2">
      <c r="C178" s="3819"/>
      <c r="D178" s="3820"/>
      <c r="E178" s="3821"/>
      <c r="F178" s="1377"/>
      <c r="G178" s="1377"/>
      <c r="H178" s="1377"/>
      <c r="I178" s="1377"/>
      <c r="J178" s="1377"/>
      <c r="K178" s="1377"/>
      <c r="L178" s="1377"/>
      <c r="M178" s="1377"/>
      <c r="N178" s="1377"/>
      <c r="O178" s="1377"/>
      <c r="P178" s="1377"/>
      <c r="Q178" s="1377"/>
      <c r="R178" s="1377"/>
      <c r="S178" s="1377"/>
      <c r="T178" s="1377"/>
      <c r="U178" s="1377"/>
      <c r="V178" s="1377"/>
      <c r="W178" s="1377"/>
      <c r="X178" s="1377"/>
      <c r="Y178" s="1377"/>
      <c r="Z178" s="1377"/>
      <c r="AA178" s="1377"/>
      <c r="AB178" s="1377"/>
      <c r="AC178" s="1377"/>
      <c r="AD178" s="1377"/>
      <c r="AE178" s="1377"/>
      <c r="AF178" s="1377"/>
      <c r="AG178" s="1377"/>
      <c r="AH178" s="1377"/>
      <c r="AI178" s="1377"/>
      <c r="AJ178" s="1377"/>
      <c r="AK178" s="1377"/>
      <c r="AL178" s="1377"/>
      <c r="AM178" s="1377"/>
      <c r="AN178" s="1377"/>
      <c r="AO178" s="1377"/>
      <c r="AP178" s="1377"/>
      <c r="AQ178" s="1377"/>
      <c r="AR178" s="1377"/>
      <c r="AS178" s="1377"/>
      <c r="AT178" s="1377"/>
      <c r="AU178" s="1377"/>
      <c r="AV178" s="1377"/>
      <c r="AW178" s="1377"/>
      <c r="AX178" s="1377"/>
      <c r="AY178" s="1377"/>
      <c r="AZ178" s="1377"/>
      <c r="BA178" s="1377"/>
      <c r="BB178" s="1377"/>
      <c r="BC178" s="1377"/>
      <c r="BD178" s="1377"/>
      <c r="BE178" s="1377"/>
      <c r="BF178" s="1377"/>
      <c r="BG178" s="1377"/>
      <c r="BH178" s="1377"/>
      <c r="BI178" s="1377"/>
      <c r="BJ178" s="1377"/>
      <c r="BK178" s="1377"/>
      <c r="BL178" s="1377"/>
      <c r="BM178" s="1377"/>
      <c r="BN178" s="1377"/>
      <c r="BO178" s="1377"/>
      <c r="BP178" s="1377"/>
      <c r="BQ178" s="1377"/>
      <c r="BR178" s="1377"/>
      <c r="BS178" s="1377"/>
      <c r="BT178" s="1377"/>
      <c r="BU178" s="1377"/>
      <c r="BV178" s="1377"/>
      <c r="BW178" s="1425"/>
      <c r="BX178" s="1426"/>
      <c r="BY178" s="1427"/>
    </row>
    <row r="179" spans="3:77" ht="17.100000000000001" customHeight="1" x14ac:dyDescent="0.2">
      <c r="C179" s="3819"/>
      <c r="D179" s="3820"/>
      <c r="E179" s="3821"/>
      <c r="F179" s="1377"/>
      <c r="G179" s="1377"/>
      <c r="H179" s="1377"/>
      <c r="I179" s="1377"/>
      <c r="J179" s="1377"/>
      <c r="K179" s="1377"/>
      <c r="L179" s="1377"/>
      <c r="M179" s="1377"/>
      <c r="N179" s="1377"/>
      <c r="O179" s="1377"/>
      <c r="P179" s="1377"/>
      <c r="Q179" s="1377"/>
      <c r="R179" s="1377"/>
      <c r="S179" s="1377"/>
      <c r="T179" s="1377"/>
      <c r="U179" s="1377"/>
      <c r="V179" s="1377"/>
      <c r="W179" s="1377"/>
      <c r="X179" s="1377"/>
      <c r="Y179" s="1377"/>
      <c r="Z179" s="1377"/>
      <c r="AA179" s="1377"/>
      <c r="AB179" s="1377"/>
      <c r="AC179" s="1377"/>
      <c r="AD179" s="1377"/>
      <c r="AE179" s="1377"/>
      <c r="AF179" s="1377"/>
      <c r="AG179" s="1377"/>
      <c r="AH179" s="1377"/>
      <c r="AI179" s="1377"/>
      <c r="AJ179" s="1377"/>
      <c r="AK179" s="1377"/>
      <c r="AL179" s="1377"/>
      <c r="AM179" s="1377"/>
      <c r="AN179" s="1377"/>
      <c r="AO179" s="1377"/>
      <c r="AP179" s="1377"/>
      <c r="AQ179" s="1377"/>
      <c r="AR179" s="1377"/>
      <c r="AS179" s="1377"/>
      <c r="AT179" s="1377"/>
      <c r="AU179" s="1377"/>
      <c r="AV179" s="1377"/>
      <c r="AW179" s="1377"/>
      <c r="AX179" s="1377"/>
      <c r="AY179" s="1377"/>
      <c r="AZ179" s="1377"/>
      <c r="BA179" s="1377"/>
      <c r="BB179" s="1377"/>
      <c r="BC179" s="1377"/>
      <c r="BD179" s="1377"/>
      <c r="BE179" s="1377"/>
      <c r="BF179" s="1377"/>
      <c r="BG179" s="1377"/>
      <c r="BH179" s="1377"/>
      <c r="BI179" s="1377"/>
      <c r="BJ179" s="1377"/>
      <c r="BK179" s="1377"/>
      <c r="BL179" s="1377"/>
      <c r="BM179" s="1377"/>
      <c r="BN179" s="1377"/>
      <c r="BO179" s="1377"/>
      <c r="BP179" s="1377"/>
      <c r="BQ179" s="1377"/>
      <c r="BR179" s="1377"/>
      <c r="BS179" s="1377"/>
      <c r="BT179" s="1377"/>
      <c r="BU179" s="1377"/>
      <c r="BV179" s="1377"/>
      <c r="BW179" s="1425"/>
      <c r="BX179" s="1426"/>
      <c r="BY179" s="1427"/>
    </row>
    <row r="180" spans="3:77" ht="17.100000000000001" customHeight="1" x14ac:dyDescent="0.2">
      <c r="C180" s="3819"/>
      <c r="D180" s="3820"/>
      <c r="E180" s="3821"/>
      <c r="F180" s="1377"/>
      <c r="G180" s="1377"/>
      <c r="H180" s="1377"/>
      <c r="I180" s="1377"/>
      <c r="J180" s="1377"/>
      <c r="K180" s="1377"/>
      <c r="L180" s="1377"/>
      <c r="M180" s="1377"/>
      <c r="N180" s="1377"/>
      <c r="O180" s="1377"/>
      <c r="P180" s="1377"/>
      <c r="Q180" s="1377"/>
      <c r="R180" s="1377"/>
      <c r="S180" s="1377"/>
      <c r="T180" s="1377"/>
      <c r="U180" s="1377"/>
      <c r="V180" s="1377"/>
      <c r="W180" s="1377"/>
      <c r="X180" s="1377"/>
      <c r="Y180" s="1377"/>
      <c r="Z180" s="1377"/>
      <c r="AA180" s="1377"/>
      <c r="AB180" s="1377"/>
      <c r="AC180" s="1377"/>
      <c r="AD180" s="1377"/>
      <c r="AE180" s="1377"/>
      <c r="AF180" s="1377"/>
      <c r="AG180" s="1377"/>
      <c r="AH180" s="1377"/>
      <c r="AI180" s="1377"/>
      <c r="AJ180" s="1377"/>
      <c r="AK180" s="1377"/>
      <c r="AL180" s="1377"/>
      <c r="AM180" s="1377"/>
      <c r="AN180" s="1377"/>
      <c r="AO180" s="1377"/>
      <c r="AP180" s="1377"/>
      <c r="AQ180" s="1377"/>
      <c r="AR180" s="1377"/>
      <c r="AS180" s="1377"/>
      <c r="AT180" s="1377"/>
      <c r="AU180" s="1377"/>
      <c r="AV180" s="1377"/>
      <c r="AW180" s="1377"/>
      <c r="AX180" s="1377"/>
      <c r="AY180" s="1377"/>
      <c r="AZ180" s="1377"/>
      <c r="BA180" s="1377"/>
      <c r="BB180" s="1377"/>
      <c r="BC180" s="1377"/>
      <c r="BD180" s="1377"/>
      <c r="BE180" s="1377"/>
      <c r="BF180" s="1377"/>
      <c r="BG180" s="1377"/>
      <c r="BH180" s="1377"/>
      <c r="BI180" s="1377"/>
      <c r="BJ180" s="1377"/>
      <c r="BK180" s="1377"/>
      <c r="BL180" s="1377"/>
      <c r="BM180" s="1377"/>
      <c r="BN180" s="1377"/>
      <c r="BO180" s="1377"/>
      <c r="BP180" s="1377"/>
      <c r="BQ180" s="1377"/>
      <c r="BR180" s="1377"/>
      <c r="BS180" s="1377"/>
      <c r="BT180" s="1377"/>
      <c r="BU180" s="1377"/>
      <c r="BV180" s="1377"/>
      <c r="BW180" s="1425"/>
      <c r="BX180" s="1426"/>
      <c r="BY180" s="1427"/>
    </row>
    <row r="181" spans="3:77" ht="17.100000000000001" customHeight="1" x14ac:dyDescent="0.2">
      <c r="C181" s="3819"/>
      <c r="D181" s="3820"/>
      <c r="E181" s="3821"/>
      <c r="F181" s="1377"/>
      <c r="G181" s="1377"/>
      <c r="H181" s="1377"/>
      <c r="I181" s="1377"/>
      <c r="J181" s="1377"/>
      <c r="K181" s="1377"/>
      <c r="L181" s="1377"/>
      <c r="M181" s="1377"/>
      <c r="N181" s="1377"/>
      <c r="O181" s="1377"/>
      <c r="P181" s="1377"/>
      <c r="Q181" s="1377"/>
      <c r="R181" s="1377"/>
      <c r="S181" s="1377"/>
      <c r="T181" s="1377"/>
      <c r="U181" s="1377"/>
      <c r="V181" s="1377"/>
      <c r="W181" s="1377"/>
      <c r="X181" s="1377"/>
      <c r="Y181" s="1377"/>
      <c r="Z181" s="1377"/>
      <c r="AA181" s="1377"/>
      <c r="AB181" s="1377"/>
      <c r="AC181" s="1377"/>
      <c r="AD181" s="1377"/>
      <c r="AE181" s="1377"/>
      <c r="AF181" s="1377"/>
      <c r="AG181" s="1377"/>
      <c r="AH181" s="1377"/>
      <c r="AI181" s="1377"/>
      <c r="AJ181" s="1377"/>
      <c r="AK181" s="1377"/>
      <c r="AL181" s="1377"/>
      <c r="AM181" s="1377"/>
      <c r="AN181" s="1377"/>
      <c r="AO181" s="1377"/>
      <c r="AP181" s="1377"/>
      <c r="AQ181" s="1377"/>
      <c r="AR181" s="1377"/>
      <c r="AS181" s="1377"/>
      <c r="AT181" s="1377"/>
      <c r="AU181" s="1377"/>
      <c r="AV181" s="1377"/>
      <c r="AW181" s="1377"/>
      <c r="AX181" s="1377"/>
      <c r="AY181" s="1377"/>
      <c r="AZ181" s="1377"/>
      <c r="BA181" s="1377"/>
      <c r="BB181" s="1377"/>
      <c r="BC181" s="1377"/>
      <c r="BD181" s="1377"/>
      <c r="BE181" s="1377"/>
      <c r="BF181" s="1377"/>
      <c r="BG181" s="1377"/>
      <c r="BH181" s="1377"/>
      <c r="BI181" s="1377"/>
      <c r="BJ181" s="1377"/>
      <c r="BK181" s="1377"/>
      <c r="BL181" s="1377"/>
      <c r="BM181" s="1377"/>
      <c r="BN181" s="1377"/>
      <c r="BO181" s="1377"/>
      <c r="BP181" s="1377"/>
      <c r="BQ181" s="1377"/>
      <c r="BR181" s="1377"/>
      <c r="BS181" s="1377"/>
      <c r="BT181" s="1377"/>
      <c r="BU181" s="1377"/>
      <c r="BV181" s="1377"/>
      <c r="BW181" s="1425"/>
      <c r="BX181" s="1426"/>
      <c r="BY181" s="1427"/>
    </row>
    <row r="182" spans="3:77" ht="17.100000000000001" customHeight="1" x14ac:dyDescent="0.2">
      <c r="C182" s="3819"/>
      <c r="D182" s="3820"/>
      <c r="E182" s="3821"/>
      <c r="F182" s="1377"/>
      <c r="G182" s="1377"/>
      <c r="H182" s="1377"/>
      <c r="I182" s="1377"/>
      <c r="J182" s="1377"/>
      <c r="K182" s="1377"/>
      <c r="L182" s="1377"/>
      <c r="M182" s="1377"/>
      <c r="N182" s="1377"/>
      <c r="O182" s="1377"/>
      <c r="P182" s="1377"/>
      <c r="Q182" s="1377"/>
      <c r="R182" s="1377"/>
      <c r="S182" s="1377"/>
      <c r="T182" s="1377"/>
      <c r="U182" s="1377"/>
      <c r="V182" s="1377"/>
      <c r="W182" s="1377"/>
      <c r="X182" s="1377"/>
      <c r="Y182" s="1377"/>
      <c r="Z182" s="1377"/>
      <c r="AA182" s="1377"/>
      <c r="AB182" s="1377"/>
      <c r="AC182" s="1377"/>
      <c r="AD182" s="1377"/>
      <c r="AE182" s="1377"/>
      <c r="AF182" s="1377"/>
      <c r="AG182" s="1377"/>
      <c r="AH182" s="1377"/>
      <c r="AI182" s="1377"/>
      <c r="AJ182" s="1377"/>
      <c r="AK182" s="1377"/>
      <c r="AL182" s="1377"/>
      <c r="AM182" s="1377"/>
      <c r="AN182" s="1377"/>
      <c r="AO182" s="1377"/>
      <c r="AP182" s="1377"/>
      <c r="AQ182" s="1377"/>
      <c r="AR182" s="1377"/>
      <c r="AS182" s="1377"/>
      <c r="AT182" s="1377"/>
      <c r="AU182" s="1377"/>
      <c r="AV182" s="1377"/>
      <c r="AW182" s="1377"/>
      <c r="AX182" s="1377"/>
      <c r="AY182" s="1377"/>
      <c r="AZ182" s="1377"/>
      <c r="BA182" s="1377"/>
      <c r="BB182" s="1377"/>
      <c r="BC182" s="1377"/>
      <c r="BD182" s="1377"/>
      <c r="BE182" s="1377"/>
      <c r="BF182" s="1377"/>
      <c r="BG182" s="1377"/>
      <c r="BH182" s="1377"/>
      <c r="BI182" s="1377"/>
      <c r="BJ182" s="1377"/>
      <c r="BK182" s="1377"/>
      <c r="BL182" s="1377"/>
      <c r="BM182" s="1377"/>
      <c r="BN182" s="1377"/>
      <c r="BO182" s="1377"/>
      <c r="BP182" s="1377"/>
      <c r="BQ182" s="1377"/>
      <c r="BR182" s="1377"/>
      <c r="BS182" s="1377"/>
      <c r="BT182" s="1377"/>
      <c r="BU182" s="1377"/>
      <c r="BV182" s="1377"/>
      <c r="BW182" s="1425"/>
      <c r="BX182" s="1426"/>
      <c r="BY182" s="1427"/>
    </row>
    <row r="183" spans="3:77" ht="17.100000000000001" customHeight="1" x14ac:dyDescent="0.2">
      <c r="C183" s="3819"/>
      <c r="D183" s="3820"/>
      <c r="E183" s="3821"/>
      <c r="F183" s="1377"/>
      <c r="G183" s="1377"/>
      <c r="H183" s="1377"/>
      <c r="I183" s="1377"/>
      <c r="J183" s="1377"/>
      <c r="K183" s="1377"/>
      <c r="L183" s="1377"/>
      <c r="M183" s="1377"/>
      <c r="N183" s="1377"/>
      <c r="O183" s="1377"/>
      <c r="P183" s="1377"/>
      <c r="Q183" s="1377"/>
      <c r="R183" s="1377"/>
      <c r="S183" s="1377"/>
      <c r="T183" s="1377"/>
      <c r="U183" s="1377"/>
      <c r="V183" s="1377"/>
      <c r="W183" s="1377"/>
      <c r="X183" s="1377"/>
      <c r="Y183" s="1377"/>
      <c r="Z183" s="1377"/>
      <c r="AA183" s="1377"/>
      <c r="AB183" s="1377"/>
      <c r="AC183" s="1377"/>
      <c r="AD183" s="1377"/>
      <c r="AE183" s="1377"/>
      <c r="AF183" s="1377"/>
      <c r="AG183" s="1377"/>
      <c r="AH183" s="1377"/>
      <c r="AI183" s="1377"/>
      <c r="AJ183" s="1377"/>
      <c r="AK183" s="1377"/>
      <c r="AL183" s="1377"/>
      <c r="AM183" s="1377"/>
      <c r="AN183" s="1377"/>
      <c r="AO183" s="1377"/>
      <c r="AP183" s="1377"/>
      <c r="AQ183" s="1377"/>
      <c r="AR183" s="1377"/>
      <c r="AS183" s="1377"/>
      <c r="AT183" s="1377"/>
      <c r="AU183" s="1377"/>
      <c r="AV183" s="1377"/>
      <c r="AW183" s="1377"/>
      <c r="AX183" s="1377"/>
      <c r="AY183" s="1377"/>
      <c r="AZ183" s="1377"/>
      <c r="BA183" s="1377"/>
      <c r="BB183" s="1377"/>
      <c r="BC183" s="1377"/>
      <c r="BD183" s="1377"/>
      <c r="BE183" s="1377"/>
      <c r="BF183" s="1377"/>
      <c r="BG183" s="1377"/>
      <c r="BH183" s="1377"/>
      <c r="BI183" s="1377"/>
      <c r="BJ183" s="1377"/>
      <c r="BK183" s="1377"/>
      <c r="BL183" s="1377"/>
      <c r="BM183" s="1377"/>
      <c r="BN183" s="1377"/>
      <c r="BO183" s="1377"/>
      <c r="BP183" s="1377"/>
      <c r="BQ183" s="1377"/>
      <c r="BR183" s="1377"/>
      <c r="BS183" s="1377"/>
      <c r="BT183" s="1377"/>
      <c r="BU183" s="1377"/>
      <c r="BV183" s="1377"/>
      <c r="BW183" s="1425"/>
      <c r="BX183" s="1426"/>
      <c r="BY183" s="1427"/>
    </row>
    <row r="184" spans="3:77" ht="17.100000000000001" customHeight="1" x14ac:dyDescent="0.2">
      <c r="C184" s="3819"/>
      <c r="D184" s="3820"/>
      <c r="E184" s="3821"/>
      <c r="F184" s="1377"/>
      <c r="G184" s="1377"/>
      <c r="H184" s="1377"/>
      <c r="I184" s="1377"/>
      <c r="J184" s="1377"/>
      <c r="K184" s="1377"/>
      <c r="L184" s="1377"/>
      <c r="M184" s="1377"/>
      <c r="N184" s="1377"/>
      <c r="O184" s="1377"/>
      <c r="P184" s="1377"/>
      <c r="Q184" s="1377"/>
      <c r="R184" s="1377"/>
      <c r="S184" s="1377"/>
      <c r="T184" s="1377"/>
      <c r="U184" s="1377"/>
      <c r="V184" s="1377"/>
      <c r="W184" s="1377"/>
      <c r="X184" s="1377"/>
      <c r="Y184" s="1377"/>
      <c r="Z184" s="1377"/>
      <c r="AA184" s="1377"/>
      <c r="AB184" s="1377"/>
      <c r="AC184" s="1377"/>
      <c r="AD184" s="1377"/>
      <c r="AE184" s="1377"/>
      <c r="AF184" s="1377"/>
      <c r="AG184" s="1377"/>
      <c r="AH184" s="1377"/>
      <c r="AI184" s="1377"/>
      <c r="AJ184" s="1377"/>
      <c r="AK184" s="1377"/>
      <c r="AL184" s="1377"/>
      <c r="AM184" s="1377"/>
      <c r="AN184" s="1377"/>
      <c r="AO184" s="1377"/>
      <c r="AP184" s="1377"/>
      <c r="AQ184" s="1377"/>
      <c r="AR184" s="1377"/>
      <c r="AS184" s="1377"/>
      <c r="AT184" s="1377"/>
      <c r="AU184" s="1377"/>
      <c r="AV184" s="1377"/>
      <c r="AW184" s="1377"/>
      <c r="AX184" s="1377"/>
      <c r="AY184" s="1377"/>
      <c r="AZ184" s="1377"/>
      <c r="BA184" s="1377"/>
      <c r="BB184" s="1377"/>
      <c r="BC184" s="1377"/>
      <c r="BD184" s="1377"/>
      <c r="BE184" s="1377"/>
      <c r="BF184" s="1377"/>
      <c r="BG184" s="1377"/>
      <c r="BH184" s="1377"/>
      <c r="BI184" s="1377"/>
      <c r="BJ184" s="1377"/>
      <c r="BK184" s="1377"/>
      <c r="BL184" s="1377"/>
      <c r="BM184" s="1377"/>
      <c r="BN184" s="1377"/>
      <c r="BO184" s="1377"/>
      <c r="BP184" s="1377"/>
      <c r="BQ184" s="1377"/>
      <c r="BR184" s="1377"/>
      <c r="BS184" s="1377"/>
      <c r="BT184" s="1377"/>
      <c r="BU184" s="1377"/>
      <c r="BV184" s="1377"/>
      <c r="BW184" s="1425"/>
      <c r="BX184" s="1426"/>
      <c r="BY184" s="1427"/>
    </row>
    <row r="185" spans="3:77" ht="17.100000000000001" customHeight="1" x14ac:dyDescent="0.2">
      <c r="C185" s="3822"/>
      <c r="D185" s="3823"/>
      <c r="E185" s="3824"/>
      <c r="F185" s="1378"/>
      <c r="G185" s="1378"/>
      <c r="H185" s="1378"/>
      <c r="I185" s="1378"/>
      <c r="J185" s="1378"/>
      <c r="K185" s="1378"/>
      <c r="L185" s="1378"/>
      <c r="M185" s="1378"/>
      <c r="N185" s="1378"/>
      <c r="O185" s="1378"/>
      <c r="P185" s="1378"/>
      <c r="Q185" s="1378"/>
      <c r="R185" s="1378"/>
      <c r="S185" s="1378"/>
      <c r="T185" s="1378"/>
      <c r="U185" s="1378"/>
      <c r="V185" s="1378"/>
      <c r="W185" s="1378"/>
      <c r="X185" s="1378"/>
      <c r="Y185" s="1378"/>
      <c r="Z185" s="1378"/>
      <c r="AA185" s="1378"/>
      <c r="AB185" s="1378"/>
      <c r="AC185" s="1378"/>
      <c r="AD185" s="1378"/>
      <c r="AE185" s="1378"/>
      <c r="AF185" s="1378"/>
      <c r="AG185" s="1378"/>
      <c r="AH185" s="1378"/>
      <c r="AI185" s="1378"/>
      <c r="AJ185" s="1378"/>
      <c r="AK185" s="1378"/>
      <c r="AL185" s="1378"/>
      <c r="AM185" s="1378"/>
      <c r="AN185" s="1378"/>
      <c r="AO185" s="1378"/>
      <c r="AP185" s="1378"/>
      <c r="AQ185" s="1378"/>
      <c r="AR185" s="1378"/>
      <c r="AS185" s="1378"/>
      <c r="AT185" s="1378"/>
      <c r="AU185" s="1378"/>
      <c r="AV185" s="1378"/>
      <c r="AW185" s="1378"/>
      <c r="AX185" s="1378"/>
      <c r="AY185" s="1378"/>
      <c r="AZ185" s="1378"/>
      <c r="BA185" s="1378"/>
      <c r="BB185" s="1378"/>
      <c r="BC185" s="1378"/>
      <c r="BD185" s="1378"/>
      <c r="BE185" s="1378"/>
      <c r="BF185" s="1378"/>
      <c r="BG185" s="1378"/>
      <c r="BH185" s="1378"/>
      <c r="BI185" s="1378"/>
      <c r="BJ185" s="1378"/>
      <c r="BK185" s="1378"/>
      <c r="BL185" s="1378"/>
      <c r="BM185" s="1378"/>
      <c r="BN185" s="1378"/>
      <c r="BO185" s="1378"/>
      <c r="BP185" s="1378"/>
      <c r="BQ185" s="1378"/>
      <c r="BR185" s="1378"/>
      <c r="BS185" s="1378"/>
      <c r="BT185" s="1378"/>
      <c r="BU185" s="1378"/>
      <c r="BV185" s="1378"/>
      <c r="BW185" s="1385"/>
      <c r="BX185" s="1386"/>
      <c r="BY185" s="1387"/>
    </row>
    <row r="186" spans="3:77" ht="17.100000000000001" customHeight="1" x14ac:dyDescent="0.3">
      <c r="E186" s="905"/>
      <c r="F186" s="905"/>
      <c r="G186" s="905"/>
      <c r="AN186" s="2320"/>
      <c r="BU186" s="822"/>
      <c r="BV186" s="822"/>
      <c r="BX186" s="822"/>
      <c r="BY186" s="822"/>
    </row>
    <row r="187" spans="3:77" ht="17.100000000000001" customHeight="1" x14ac:dyDescent="0.3">
      <c r="AN187" s="34"/>
    </row>
    <row r="188" spans="3:77" ht="17.100000000000001" customHeight="1" x14ac:dyDescent="0.3">
      <c r="AN188" s="34"/>
    </row>
    <row r="189" spans="3:77" ht="17.100000000000001" customHeight="1" x14ac:dyDescent="0.2">
      <c r="C189" s="3333"/>
      <c r="D189" s="3333"/>
      <c r="E189" s="3333"/>
      <c r="F189" s="3333"/>
      <c r="G189" s="3333"/>
      <c r="H189" s="3333"/>
      <c r="I189" s="3333"/>
      <c r="J189" s="3333"/>
      <c r="K189" s="3333"/>
      <c r="L189" s="3333"/>
      <c r="M189" s="3333"/>
      <c r="N189" s="3333"/>
      <c r="O189" s="3333"/>
      <c r="P189" s="3333"/>
      <c r="Q189" s="3333"/>
      <c r="R189" s="3333"/>
      <c r="S189" s="3333"/>
      <c r="T189" s="3333"/>
      <c r="U189" s="3333"/>
      <c r="V189" s="3333"/>
      <c r="W189" s="3333"/>
      <c r="X189" s="3333"/>
      <c r="Y189" s="3333"/>
      <c r="Z189" s="3333"/>
      <c r="AA189" s="3333"/>
      <c r="AB189" s="3333"/>
      <c r="AC189" s="3333"/>
      <c r="AD189" s="3333"/>
      <c r="AE189" s="3333"/>
      <c r="AF189" s="3333"/>
      <c r="AG189" s="3333"/>
      <c r="AH189" s="3333"/>
      <c r="AI189" s="3333"/>
      <c r="AJ189" s="3333"/>
      <c r="AK189" s="3333"/>
      <c r="AL189" s="3333"/>
      <c r="AM189" s="3333"/>
      <c r="AN189" s="3333"/>
      <c r="AO189" s="3333"/>
      <c r="AP189" s="3333"/>
      <c r="AQ189" s="3333"/>
      <c r="AR189" s="3333"/>
      <c r="AS189" s="3333"/>
      <c r="AT189" s="3333"/>
      <c r="AU189" s="3333"/>
      <c r="AV189" s="3333"/>
      <c r="AW189" s="3333"/>
      <c r="AX189" s="3333"/>
      <c r="AY189" s="3333"/>
      <c r="AZ189" s="3333"/>
      <c r="BA189" s="3333"/>
      <c r="BB189" s="3333"/>
      <c r="BC189" s="3333"/>
      <c r="BD189" s="3333"/>
      <c r="BE189" s="3333"/>
      <c r="BF189" s="3333"/>
      <c r="BG189" s="3333"/>
      <c r="BH189" s="3333"/>
      <c r="BI189" s="3333"/>
      <c r="BJ189" s="3333"/>
      <c r="BK189" s="3333"/>
      <c r="BL189" s="3333"/>
      <c r="BM189" s="3333"/>
      <c r="BN189" s="3333"/>
      <c r="BO189" s="3333"/>
      <c r="BP189" s="3333"/>
      <c r="BQ189" s="3333"/>
      <c r="BR189" s="3333"/>
      <c r="BS189" s="3333"/>
      <c r="BT189" s="3333"/>
      <c r="BU189" s="3333"/>
      <c r="BV189" s="3333"/>
      <c r="BW189" s="3333"/>
      <c r="BX189" s="3333"/>
      <c r="BY189" s="3333"/>
    </row>
    <row r="190" spans="3:77" ht="17.100000000000001" customHeight="1" x14ac:dyDescent="0.2">
      <c r="C190" s="3333"/>
      <c r="D190" s="3333"/>
      <c r="E190" s="3333"/>
      <c r="F190" s="3333"/>
      <c r="G190" s="3333"/>
      <c r="H190" s="3333"/>
      <c r="I190" s="3333"/>
      <c r="J190" s="3333"/>
      <c r="K190" s="3333"/>
      <c r="L190" s="3333"/>
      <c r="M190" s="3333"/>
      <c r="N190" s="3333"/>
      <c r="O190" s="3333"/>
      <c r="P190" s="3333"/>
      <c r="Q190" s="3333"/>
      <c r="R190" s="3333"/>
      <c r="S190" s="3333"/>
      <c r="T190" s="3333"/>
      <c r="U190" s="3333"/>
      <c r="V190" s="3333"/>
      <c r="W190" s="3333"/>
      <c r="X190" s="3333"/>
      <c r="Y190" s="3333"/>
      <c r="Z190" s="3333"/>
      <c r="AA190" s="3333"/>
      <c r="AB190" s="3333"/>
      <c r="AC190" s="3333"/>
      <c r="AD190" s="3333"/>
      <c r="AE190" s="3333"/>
      <c r="AF190" s="3333"/>
      <c r="AG190" s="3333"/>
      <c r="AH190" s="3333"/>
      <c r="AI190" s="3333"/>
      <c r="AJ190" s="3333"/>
      <c r="AK190" s="3333"/>
      <c r="AL190" s="3333"/>
      <c r="AM190" s="3333"/>
      <c r="AN190" s="3333"/>
      <c r="AO190" s="3333"/>
      <c r="AP190" s="3333"/>
      <c r="AQ190" s="3333"/>
      <c r="AR190" s="3333"/>
      <c r="AS190" s="3333"/>
      <c r="AT190" s="3333"/>
      <c r="AU190" s="3333"/>
      <c r="AV190" s="3333"/>
      <c r="AW190" s="3333"/>
      <c r="AX190" s="3333"/>
      <c r="AY190" s="3333"/>
      <c r="AZ190" s="3333"/>
      <c r="BA190" s="3333"/>
      <c r="BB190" s="3333"/>
      <c r="BC190" s="3333"/>
      <c r="BD190" s="3333"/>
      <c r="BE190" s="3333"/>
      <c r="BF190" s="3333"/>
      <c r="BG190" s="3333"/>
      <c r="BH190" s="3333"/>
      <c r="BI190" s="3333"/>
      <c r="BJ190" s="3333"/>
      <c r="BK190" s="3333"/>
      <c r="BL190" s="3333"/>
      <c r="BM190" s="3333"/>
      <c r="BN190" s="3333"/>
      <c r="BO190" s="3333"/>
      <c r="BP190" s="3333"/>
      <c r="BQ190" s="3333"/>
      <c r="BR190" s="3333"/>
      <c r="BS190" s="3333"/>
      <c r="BT190" s="3333"/>
      <c r="BU190" s="3333"/>
      <c r="BV190" s="3333"/>
      <c r="BW190" s="3333"/>
      <c r="BX190" s="3333"/>
      <c r="BY190" s="3333"/>
    </row>
    <row r="191" spans="3:77" ht="17.100000000000001" customHeight="1" x14ac:dyDescent="0.2">
      <c r="C191" s="3333"/>
      <c r="D191" s="3333"/>
      <c r="E191" s="3333"/>
      <c r="F191" s="3333"/>
      <c r="G191" s="3333"/>
      <c r="H191" s="3333"/>
      <c r="I191" s="3333"/>
      <c r="J191" s="3333"/>
      <c r="K191" s="3333"/>
      <c r="L191" s="3333"/>
      <c r="M191" s="3333"/>
      <c r="N191" s="3333"/>
      <c r="O191" s="3333"/>
      <c r="P191" s="3333"/>
      <c r="Q191" s="3333"/>
      <c r="R191" s="3333"/>
      <c r="S191" s="3333"/>
      <c r="T191" s="3333"/>
      <c r="U191" s="3333"/>
      <c r="V191" s="3333"/>
      <c r="W191" s="3333"/>
      <c r="X191" s="3333"/>
      <c r="Y191" s="3333"/>
      <c r="Z191" s="3333"/>
      <c r="AA191" s="3333"/>
      <c r="AB191" s="3333"/>
      <c r="AC191" s="3333"/>
      <c r="AD191" s="3333"/>
      <c r="AE191" s="3333"/>
      <c r="AF191" s="3333"/>
      <c r="AG191" s="3333"/>
      <c r="AH191" s="3333"/>
      <c r="AI191" s="3333"/>
      <c r="AJ191" s="3333"/>
      <c r="AK191" s="3333"/>
      <c r="AL191" s="3333"/>
      <c r="AM191" s="3333"/>
      <c r="AN191" s="3333"/>
      <c r="AO191" s="3333"/>
      <c r="AP191" s="3333"/>
      <c r="AQ191" s="3333"/>
      <c r="AR191" s="3333"/>
      <c r="AS191" s="3333"/>
      <c r="AT191" s="3333"/>
      <c r="AU191" s="3333"/>
      <c r="AV191" s="3333"/>
      <c r="AW191" s="3333"/>
      <c r="AX191" s="3333"/>
      <c r="AY191" s="3333"/>
      <c r="AZ191" s="3333"/>
      <c r="BA191" s="3333"/>
      <c r="BB191" s="3333"/>
      <c r="BC191" s="3333"/>
      <c r="BD191" s="3333"/>
      <c r="BE191" s="3333"/>
      <c r="BF191" s="3333"/>
      <c r="BG191" s="3333"/>
      <c r="BH191" s="3333"/>
      <c r="BI191" s="3333"/>
      <c r="BJ191" s="3333"/>
      <c r="BK191" s="3333"/>
      <c r="BL191" s="3333"/>
      <c r="BM191" s="3333"/>
      <c r="BN191" s="3333"/>
      <c r="BO191" s="3333"/>
      <c r="BP191" s="3333"/>
      <c r="BQ191" s="3333"/>
      <c r="BR191" s="3333"/>
      <c r="BS191" s="3333"/>
      <c r="BT191" s="3333"/>
      <c r="BU191" s="3333"/>
      <c r="BV191" s="3333"/>
      <c r="BW191" s="3333"/>
      <c r="BX191" s="3333"/>
      <c r="BY191" s="3333"/>
    </row>
    <row r="192" spans="3:77" ht="17.100000000000001" customHeight="1" x14ac:dyDescent="0.2">
      <c r="C192" s="3333"/>
      <c r="D192" s="3333"/>
      <c r="E192" s="3333"/>
      <c r="F192" s="3333"/>
      <c r="G192" s="3333"/>
      <c r="H192" s="3333"/>
      <c r="I192" s="3333"/>
      <c r="J192" s="3333"/>
      <c r="K192" s="3333"/>
      <c r="L192" s="3333"/>
      <c r="M192" s="3333"/>
      <c r="N192" s="3333"/>
      <c r="O192" s="3333"/>
      <c r="P192" s="3333"/>
      <c r="Q192" s="3333"/>
      <c r="R192" s="3333"/>
      <c r="S192" s="3333"/>
      <c r="T192" s="3333"/>
      <c r="U192" s="3333"/>
      <c r="V192" s="3333"/>
      <c r="W192" s="3333"/>
      <c r="X192" s="3333"/>
      <c r="Y192" s="3333"/>
      <c r="Z192" s="3333"/>
      <c r="AA192" s="3333"/>
      <c r="AB192" s="3333"/>
      <c r="AC192" s="3333"/>
      <c r="AD192" s="3333"/>
      <c r="AE192" s="3333"/>
      <c r="AF192" s="3333"/>
      <c r="AG192" s="3333"/>
      <c r="AH192" s="3333"/>
      <c r="AI192" s="3333"/>
      <c r="AJ192" s="3333"/>
      <c r="AK192" s="3333"/>
      <c r="AL192" s="3333"/>
      <c r="AM192" s="3333"/>
      <c r="AN192" s="3333"/>
      <c r="AO192" s="3333"/>
      <c r="AP192" s="3333"/>
      <c r="AQ192" s="3333"/>
      <c r="AR192" s="3333"/>
      <c r="AS192" s="3333"/>
      <c r="AT192" s="3333"/>
      <c r="AU192" s="3333"/>
      <c r="AV192" s="3333"/>
      <c r="AW192" s="3333"/>
      <c r="AX192" s="3333"/>
      <c r="AY192" s="3333"/>
      <c r="AZ192" s="3333"/>
      <c r="BA192" s="3333"/>
      <c r="BB192" s="3333"/>
      <c r="BC192" s="3333"/>
      <c r="BD192" s="3333"/>
      <c r="BE192" s="3333"/>
      <c r="BF192" s="3333"/>
      <c r="BG192" s="3333"/>
      <c r="BH192" s="3333"/>
      <c r="BI192" s="3333"/>
      <c r="BJ192" s="3333"/>
      <c r="BK192" s="3333"/>
      <c r="BL192" s="3333"/>
      <c r="BM192" s="3333"/>
      <c r="BN192" s="3333"/>
      <c r="BO192" s="3333"/>
      <c r="BP192" s="3333"/>
      <c r="BQ192" s="3333"/>
      <c r="BR192" s="3333"/>
      <c r="BS192" s="3333"/>
      <c r="BT192" s="3333"/>
      <c r="BU192" s="3333"/>
      <c r="BV192" s="3333"/>
      <c r="BW192" s="3333"/>
      <c r="BX192" s="3333"/>
      <c r="BY192" s="3333"/>
    </row>
    <row r="193" spans="3:77" ht="17.100000000000001" customHeight="1" x14ac:dyDescent="0.2">
      <c r="C193" s="3333"/>
      <c r="D193" s="3333"/>
      <c r="E193" s="3333"/>
      <c r="F193" s="3333"/>
      <c r="G193" s="3333"/>
      <c r="H193" s="3333"/>
      <c r="I193" s="3333"/>
      <c r="J193" s="3333"/>
      <c r="K193" s="3333"/>
      <c r="L193" s="3333"/>
      <c r="M193" s="3333"/>
      <c r="N193" s="3333"/>
      <c r="O193" s="3333"/>
      <c r="P193" s="3333"/>
      <c r="Q193" s="3333"/>
      <c r="R193" s="3333"/>
      <c r="S193" s="3333"/>
      <c r="T193" s="3333"/>
      <c r="U193" s="3333"/>
      <c r="V193" s="3333"/>
      <c r="W193" s="3333"/>
      <c r="X193" s="3333"/>
      <c r="Y193" s="3333"/>
      <c r="Z193" s="3333"/>
      <c r="AA193" s="3333"/>
      <c r="AB193" s="3333"/>
      <c r="AC193" s="3333"/>
      <c r="AD193" s="3333"/>
      <c r="AE193" s="3333"/>
      <c r="AF193" s="3333"/>
      <c r="AG193" s="3333"/>
      <c r="AH193" s="3333"/>
      <c r="AI193" s="3333"/>
      <c r="AJ193" s="3333"/>
      <c r="AK193" s="3333"/>
      <c r="AL193" s="3333"/>
      <c r="AM193" s="3333"/>
      <c r="AN193" s="3333"/>
      <c r="AO193" s="3333"/>
      <c r="AP193" s="3333"/>
      <c r="AQ193" s="3333"/>
      <c r="AR193" s="3333"/>
      <c r="AS193" s="3333"/>
      <c r="AT193" s="3333"/>
      <c r="AU193" s="3333"/>
      <c r="AV193" s="3333"/>
      <c r="AW193" s="3333"/>
      <c r="AX193" s="3333"/>
      <c r="AY193" s="3333"/>
      <c r="AZ193" s="3333"/>
      <c r="BA193" s="3333"/>
      <c r="BB193" s="3333"/>
      <c r="BC193" s="3333"/>
      <c r="BD193" s="3333"/>
      <c r="BE193" s="3333"/>
      <c r="BF193" s="3333"/>
      <c r="BG193" s="3333"/>
      <c r="BH193" s="3333"/>
      <c r="BI193" s="3333"/>
      <c r="BJ193" s="3333"/>
      <c r="BK193" s="3333"/>
      <c r="BL193" s="3333"/>
      <c r="BM193" s="3333"/>
      <c r="BN193" s="3333"/>
      <c r="BO193" s="3333"/>
      <c r="BP193" s="3333"/>
      <c r="BQ193" s="3333"/>
      <c r="BR193" s="3333"/>
      <c r="BS193" s="3333"/>
      <c r="BT193" s="3333"/>
      <c r="BU193" s="3333"/>
      <c r="BV193" s="3333"/>
      <c r="BW193" s="3333"/>
      <c r="BX193" s="3333"/>
      <c r="BY193" s="3333"/>
    </row>
    <row r="194" spans="3:77" ht="17.100000000000001" customHeight="1" x14ac:dyDescent="0.2">
      <c r="C194" s="3333"/>
      <c r="D194" s="3333"/>
      <c r="E194" s="3333"/>
      <c r="F194" s="3333"/>
      <c r="G194" s="3333"/>
      <c r="H194" s="3333"/>
      <c r="I194" s="3333"/>
      <c r="J194" s="3333"/>
      <c r="K194" s="3333"/>
      <c r="L194" s="3333"/>
      <c r="M194" s="3333"/>
      <c r="N194" s="3333"/>
      <c r="O194" s="3333"/>
      <c r="P194" s="3333"/>
      <c r="Q194" s="3333"/>
      <c r="R194" s="3333"/>
      <c r="S194" s="3333"/>
      <c r="T194" s="3333"/>
      <c r="U194" s="3333"/>
      <c r="V194" s="3333"/>
      <c r="W194" s="3333"/>
      <c r="X194" s="3333"/>
      <c r="Y194" s="3333"/>
      <c r="Z194" s="3333"/>
      <c r="AA194" s="3333"/>
      <c r="AB194" s="3333"/>
      <c r="AC194" s="3333"/>
      <c r="AD194" s="3333"/>
      <c r="AE194" s="3333"/>
      <c r="AF194" s="3333"/>
      <c r="AG194" s="3333"/>
      <c r="AH194" s="3333"/>
      <c r="AI194" s="3333"/>
      <c r="AJ194" s="3333"/>
      <c r="AK194" s="3333"/>
      <c r="AL194" s="3333"/>
      <c r="AM194" s="3333"/>
      <c r="AN194" s="3333"/>
      <c r="AO194" s="3333"/>
      <c r="AP194" s="3333"/>
      <c r="AQ194" s="3333"/>
      <c r="AR194" s="3333"/>
      <c r="AS194" s="3333"/>
      <c r="AT194" s="3333"/>
      <c r="AU194" s="3333"/>
      <c r="AV194" s="3333"/>
      <c r="AW194" s="3333"/>
      <c r="AX194" s="3333"/>
      <c r="AY194" s="3333"/>
      <c r="AZ194" s="3333"/>
      <c r="BA194" s="3333"/>
      <c r="BB194" s="3333"/>
      <c r="BC194" s="3333"/>
      <c r="BD194" s="3333"/>
      <c r="BE194" s="3333"/>
      <c r="BF194" s="3333"/>
      <c r="BG194" s="3333"/>
      <c r="BH194" s="3333"/>
      <c r="BI194" s="3333"/>
      <c r="BJ194" s="3333"/>
      <c r="BK194" s="3333"/>
      <c r="BL194" s="3333"/>
      <c r="BM194" s="3333"/>
      <c r="BN194" s="3333"/>
      <c r="BO194" s="3333"/>
      <c r="BP194" s="3333"/>
      <c r="BQ194" s="3333"/>
      <c r="BR194" s="3333"/>
      <c r="BS194" s="3333"/>
      <c r="BT194" s="3333"/>
      <c r="BU194" s="3333"/>
      <c r="BV194" s="3333"/>
      <c r="BW194" s="3333"/>
      <c r="BX194" s="3333"/>
      <c r="BY194" s="3333"/>
    </row>
    <row r="195" spans="3:77" ht="17.100000000000001" customHeight="1" x14ac:dyDescent="0.2">
      <c r="C195" s="3333"/>
      <c r="D195" s="3333"/>
      <c r="E195" s="3333"/>
      <c r="F195" s="3333"/>
      <c r="G195" s="3333"/>
      <c r="H195" s="3333"/>
      <c r="I195" s="3333"/>
      <c r="J195" s="3333"/>
      <c r="K195" s="3333"/>
      <c r="L195" s="3333"/>
      <c r="M195" s="3333"/>
      <c r="N195" s="3333"/>
      <c r="O195" s="3333"/>
      <c r="P195" s="3333"/>
      <c r="Q195" s="3333"/>
      <c r="R195" s="3333"/>
      <c r="S195" s="3333"/>
      <c r="T195" s="3333"/>
      <c r="U195" s="3333"/>
      <c r="V195" s="3333"/>
      <c r="W195" s="3333"/>
      <c r="X195" s="3333"/>
      <c r="Y195" s="3333"/>
      <c r="Z195" s="3333"/>
      <c r="AA195" s="3333"/>
      <c r="AB195" s="3333"/>
      <c r="AC195" s="3333"/>
      <c r="AD195" s="3333"/>
      <c r="AE195" s="3333"/>
      <c r="AF195" s="3333"/>
      <c r="AG195" s="3333"/>
      <c r="AH195" s="3333"/>
      <c r="AI195" s="3333"/>
      <c r="AJ195" s="3333"/>
      <c r="AK195" s="3333"/>
      <c r="AL195" s="3333"/>
      <c r="AM195" s="3333"/>
      <c r="AN195" s="3333"/>
      <c r="AO195" s="3333"/>
      <c r="AP195" s="3333"/>
      <c r="AQ195" s="3333"/>
      <c r="AR195" s="3333"/>
      <c r="AS195" s="3333"/>
      <c r="AT195" s="3333"/>
      <c r="AU195" s="3333"/>
      <c r="AV195" s="3333"/>
      <c r="AW195" s="3333"/>
      <c r="AX195" s="3333"/>
      <c r="AY195" s="3333"/>
      <c r="AZ195" s="3333"/>
      <c r="BA195" s="3333"/>
      <c r="BB195" s="3333"/>
      <c r="BC195" s="3333"/>
      <c r="BD195" s="3333"/>
      <c r="BE195" s="3333"/>
      <c r="BF195" s="3333"/>
      <c r="BG195" s="3333"/>
      <c r="BH195" s="3333"/>
      <c r="BI195" s="3333"/>
      <c r="BJ195" s="3333"/>
      <c r="BK195" s="3333"/>
      <c r="BL195" s="3333"/>
      <c r="BM195" s="3333"/>
      <c r="BN195" s="3333"/>
      <c r="BO195" s="3333"/>
      <c r="BP195" s="3333"/>
      <c r="BQ195" s="3333"/>
      <c r="BR195" s="3333"/>
      <c r="BS195" s="3333"/>
      <c r="BT195" s="3333"/>
      <c r="BU195" s="3333"/>
      <c r="BV195" s="3333"/>
      <c r="BW195" s="3333"/>
      <c r="BX195" s="3333"/>
      <c r="BY195" s="3333"/>
    </row>
    <row r="196" spans="3:77" ht="17.100000000000001" customHeight="1" x14ac:dyDescent="0.2">
      <c r="C196" s="3333"/>
      <c r="D196" s="3333"/>
      <c r="E196" s="3333"/>
      <c r="F196" s="3333"/>
      <c r="G196" s="3333"/>
      <c r="H196" s="3333"/>
      <c r="I196" s="3333"/>
      <c r="J196" s="3333"/>
      <c r="K196" s="3333"/>
      <c r="L196" s="3333"/>
      <c r="M196" s="3333"/>
      <c r="N196" s="3333"/>
      <c r="O196" s="3333"/>
      <c r="P196" s="3333"/>
      <c r="Q196" s="3333"/>
      <c r="R196" s="3333"/>
      <c r="S196" s="3333"/>
      <c r="T196" s="3333"/>
      <c r="U196" s="3333"/>
      <c r="V196" s="3333"/>
      <c r="W196" s="3333"/>
      <c r="X196" s="3333"/>
      <c r="Y196" s="3333"/>
      <c r="Z196" s="3333"/>
      <c r="AA196" s="3333"/>
      <c r="AB196" s="3333"/>
      <c r="AC196" s="3333"/>
      <c r="AD196" s="3333"/>
      <c r="AE196" s="3333"/>
      <c r="AF196" s="3333"/>
      <c r="AG196" s="3333"/>
      <c r="AH196" s="3333"/>
      <c r="AI196" s="3333"/>
      <c r="AJ196" s="3333"/>
      <c r="AK196" s="3333"/>
      <c r="AL196" s="3333"/>
      <c r="AM196" s="3333"/>
      <c r="AN196" s="3333"/>
      <c r="AO196" s="3333"/>
      <c r="AP196" s="3333"/>
      <c r="AQ196" s="3333"/>
      <c r="AR196" s="3333"/>
      <c r="AS196" s="3333"/>
      <c r="AT196" s="3333"/>
      <c r="AU196" s="3333"/>
      <c r="AV196" s="3333"/>
      <c r="AW196" s="3333"/>
      <c r="AX196" s="3333"/>
      <c r="AY196" s="3333"/>
      <c r="AZ196" s="3333"/>
      <c r="BA196" s="3333"/>
      <c r="BB196" s="3333"/>
      <c r="BC196" s="3333"/>
      <c r="BD196" s="3333"/>
      <c r="BE196" s="3333"/>
      <c r="BF196" s="3333"/>
      <c r="BG196" s="3333"/>
      <c r="BH196" s="3333"/>
      <c r="BI196" s="3333"/>
      <c r="BJ196" s="3333"/>
      <c r="BK196" s="3333"/>
      <c r="BL196" s="3333"/>
      <c r="BM196" s="3333"/>
      <c r="BN196" s="3333"/>
      <c r="BO196" s="3333"/>
      <c r="BP196" s="3333"/>
      <c r="BQ196" s="3333"/>
      <c r="BR196" s="3333"/>
      <c r="BS196" s="3333"/>
      <c r="BT196" s="3333"/>
      <c r="BU196" s="3333"/>
      <c r="BV196" s="3333"/>
      <c r="BW196" s="3333"/>
      <c r="BX196" s="3333"/>
      <c r="BY196" s="3333"/>
    </row>
    <row r="197" spans="3:77" ht="17.100000000000001" customHeight="1" x14ac:dyDescent="0.2">
      <c r="C197" s="3333"/>
      <c r="D197" s="3333"/>
      <c r="E197" s="3333"/>
      <c r="F197" s="3333"/>
      <c r="G197" s="3333"/>
      <c r="H197" s="3333"/>
      <c r="I197" s="3333"/>
      <c r="J197" s="3333"/>
      <c r="K197" s="3333"/>
      <c r="L197" s="3333"/>
      <c r="M197" s="3333"/>
      <c r="N197" s="3333"/>
      <c r="O197" s="3333"/>
      <c r="P197" s="3333"/>
      <c r="Q197" s="3333"/>
      <c r="R197" s="3333"/>
      <c r="S197" s="3333"/>
      <c r="T197" s="3333"/>
      <c r="U197" s="3333"/>
      <c r="V197" s="3333"/>
      <c r="W197" s="3333"/>
      <c r="X197" s="3333"/>
      <c r="Y197" s="3333"/>
      <c r="Z197" s="3333"/>
      <c r="AA197" s="3333"/>
      <c r="AB197" s="3333"/>
      <c r="AC197" s="3333"/>
      <c r="AD197" s="3333"/>
      <c r="AE197" s="3333"/>
      <c r="AF197" s="3333"/>
      <c r="AG197" s="3333"/>
      <c r="AH197" s="3333"/>
      <c r="AI197" s="3333"/>
      <c r="AJ197" s="3333"/>
      <c r="AK197" s="3333"/>
      <c r="AL197" s="3333"/>
      <c r="AM197" s="3333"/>
      <c r="AN197" s="3333"/>
      <c r="AO197" s="3333"/>
      <c r="AP197" s="3333"/>
      <c r="AQ197" s="3333"/>
      <c r="AR197" s="3333"/>
      <c r="AS197" s="3333"/>
      <c r="AT197" s="3333"/>
      <c r="AU197" s="3333"/>
      <c r="AV197" s="3333"/>
      <c r="AW197" s="3333"/>
      <c r="AX197" s="3333"/>
      <c r="AY197" s="3333"/>
      <c r="AZ197" s="3333"/>
      <c r="BA197" s="3333"/>
      <c r="BB197" s="3333"/>
      <c r="BC197" s="3333"/>
      <c r="BD197" s="3333"/>
      <c r="BE197" s="3333"/>
      <c r="BF197" s="3333"/>
      <c r="BG197" s="3333"/>
      <c r="BH197" s="3333"/>
      <c r="BI197" s="3333"/>
      <c r="BJ197" s="3333"/>
      <c r="BK197" s="3333"/>
      <c r="BL197" s="3333"/>
      <c r="BM197" s="3333"/>
      <c r="BN197" s="3333"/>
      <c r="BO197" s="3333"/>
      <c r="BP197" s="3333"/>
      <c r="BQ197" s="3333"/>
      <c r="BR197" s="3333"/>
      <c r="BS197" s="3333"/>
      <c r="BT197" s="3333"/>
      <c r="BU197" s="3333"/>
      <c r="BV197" s="3333"/>
      <c r="BW197" s="3333"/>
      <c r="BX197" s="3333"/>
      <c r="BY197" s="3333"/>
    </row>
    <row r="198" spans="3:77" ht="17.100000000000001" customHeight="1" x14ac:dyDescent="0.2">
      <c r="C198" s="3333"/>
      <c r="D198" s="3333"/>
      <c r="E198" s="3333"/>
      <c r="F198" s="3333"/>
      <c r="G198" s="3333"/>
      <c r="H198" s="3333"/>
      <c r="I198" s="3333"/>
      <c r="J198" s="3333"/>
      <c r="K198" s="3333"/>
      <c r="L198" s="3333"/>
      <c r="M198" s="3333"/>
      <c r="N198" s="3333"/>
      <c r="O198" s="3333"/>
      <c r="P198" s="3333"/>
      <c r="Q198" s="3333"/>
      <c r="R198" s="3333"/>
      <c r="S198" s="3333"/>
      <c r="T198" s="3333"/>
      <c r="U198" s="3333"/>
      <c r="V198" s="3333"/>
      <c r="W198" s="3333"/>
      <c r="X198" s="3333"/>
      <c r="Y198" s="3333"/>
      <c r="Z198" s="3333"/>
      <c r="AA198" s="3333"/>
      <c r="AB198" s="3333"/>
      <c r="AC198" s="3333"/>
      <c r="AD198" s="3333"/>
      <c r="AE198" s="3333"/>
      <c r="AF198" s="3333"/>
      <c r="AG198" s="3333"/>
      <c r="AH198" s="3333"/>
      <c r="AI198" s="3333"/>
      <c r="AJ198" s="3333"/>
      <c r="AK198" s="3333"/>
      <c r="AL198" s="3333"/>
      <c r="AM198" s="3333"/>
      <c r="AN198" s="3333"/>
      <c r="AO198" s="3333"/>
      <c r="AP198" s="3333"/>
      <c r="AQ198" s="3333"/>
      <c r="AR198" s="3333"/>
      <c r="AS198" s="3333"/>
      <c r="AT198" s="3333"/>
      <c r="AU198" s="3333"/>
      <c r="AV198" s="3333"/>
      <c r="AW198" s="3333"/>
      <c r="AX198" s="3333"/>
      <c r="AY198" s="3333"/>
      <c r="AZ198" s="3333"/>
      <c r="BA198" s="3333"/>
      <c r="BB198" s="3333"/>
      <c r="BC198" s="3333"/>
      <c r="BD198" s="3333"/>
      <c r="BE198" s="3333"/>
      <c r="BF198" s="3333"/>
      <c r="BG198" s="3333"/>
      <c r="BH198" s="3333"/>
      <c r="BI198" s="3333"/>
      <c r="BJ198" s="3333"/>
      <c r="BK198" s="3333"/>
      <c r="BL198" s="3333"/>
      <c r="BM198" s="3333"/>
      <c r="BN198" s="3333"/>
      <c r="BO198" s="3333"/>
      <c r="BP198" s="3333"/>
      <c r="BQ198" s="3333"/>
      <c r="BR198" s="3333"/>
      <c r="BS198" s="3333"/>
      <c r="BT198" s="3333"/>
      <c r="BU198" s="3333"/>
      <c r="BV198" s="3333"/>
      <c r="BW198" s="3333"/>
      <c r="BX198" s="3333"/>
      <c r="BY198" s="3333"/>
    </row>
    <row r="199" spans="3:77" ht="17.100000000000001" customHeight="1" x14ac:dyDescent="0.2">
      <c r="C199" s="3333"/>
      <c r="D199" s="3333"/>
      <c r="E199" s="3333"/>
      <c r="F199" s="3333"/>
      <c r="G199" s="3333"/>
      <c r="H199" s="3333"/>
      <c r="I199" s="3333"/>
      <c r="J199" s="3333"/>
      <c r="K199" s="3333"/>
      <c r="L199" s="3333"/>
      <c r="M199" s="3333"/>
      <c r="N199" s="3333"/>
      <c r="O199" s="3333"/>
      <c r="P199" s="3333"/>
      <c r="Q199" s="3333"/>
      <c r="R199" s="3333"/>
      <c r="S199" s="3333"/>
      <c r="T199" s="3333"/>
      <c r="U199" s="3333"/>
      <c r="V199" s="3333"/>
      <c r="W199" s="3333"/>
      <c r="X199" s="3333"/>
      <c r="Y199" s="3333"/>
      <c r="Z199" s="3333"/>
      <c r="AA199" s="3333"/>
      <c r="AB199" s="3333"/>
      <c r="AC199" s="3333"/>
      <c r="AD199" s="3333"/>
      <c r="AE199" s="3333"/>
      <c r="AF199" s="3333"/>
      <c r="AG199" s="3333"/>
      <c r="AH199" s="3333"/>
      <c r="AI199" s="3333"/>
      <c r="AJ199" s="3333"/>
      <c r="AK199" s="3333"/>
      <c r="AL199" s="3333"/>
      <c r="AM199" s="3333"/>
      <c r="AN199" s="3333"/>
      <c r="AO199" s="3333"/>
      <c r="AP199" s="3333"/>
      <c r="AQ199" s="3333"/>
      <c r="AR199" s="3333"/>
      <c r="AS199" s="3333"/>
      <c r="AT199" s="3333"/>
      <c r="AU199" s="3333"/>
      <c r="AV199" s="3333"/>
      <c r="AW199" s="3333"/>
      <c r="AX199" s="3333"/>
      <c r="AY199" s="3333"/>
      <c r="AZ199" s="3333"/>
      <c r="BA199" s="3333"/>
      <c r="BB199" s="3333"/>
      <c r="BC199" s="3333"/>
      <c r="BD199" s="3333"/>
      <c r="BE199" s="3333"/>
      <c r="BF199" s="3333"/>
      <c r="BG199" s="3333"/>
      <c r="BH199" s="3333"/>
      <c r="BI199" s="3333"/>
      <c r="BJ199" s="3333"/>
      <c r="BK199" s="3333"/>
      <c r="BL199" s="3333"/>
      <c r="BM199" s="3333"/>
      <c r="BN199" s="3333"/>
      <c r="BO199" s="3333"/>
      <c r="BP199" s="3333"/>
      <c r="BQ199" s="3333"/>
      <c r="BR199" s="3333"/>
      <c r="BS199" s="3333"/>
      <c r="BT199" s="3333"/>
      <c r="BU199" s="3333"/>
      <c r="BV199" s="3333"/>
      <c r="BW199" s="3333"/>
      <c r="BX199" s="3333"/>
      <c r="BY199" s="3333"/>
    </row>
    <row r="200" spans="3:77" ht="17.100000000000001" customHeight="1" x14ac:dyDescent="0.2">
      <c r="C200" s="3333"/>
      <c r="D200" s="3333"/>
      <c r="E200" s="3333"/>
      <c r="F200" s="3333"/>
      <c r="G200" s="3333"/>
      <c r="H200" s="3333"/>
      <c r="I200" s="3333"/>
      <c r="J200" s="3333"/>
      <c r="K200" s="3333"/>
      <c r="L200" s="3333"/>
      <c r="M200" s="3333"/>
      <c r="N200" s="3333"/>
      <c r="O200" s="3333"/>
      <c r="P200" s="3333"/>
      <c r="Q200" s="3333"/>
      <c r="R200" s="3333"/>
      <c r="S200" s="3333"/>
      <c r="T200" s="3333"/>
      <c r="U200" s="3333"/>
      <c r="V200" s="3333"/>
      <c r="W200" s="3333"/>
      <c r="X200" s="3333"/>
      <c r="Y200" s="3333"/>
      <c r="Z200" s="3333"/>
      <c r="AA200" s="3333"/>
      <c r="AB200" s="3333"/>
      <c r="AC200" s="3333"/>
      <c r="AD200" s="3333"/>
      <c r="AE200" s="3333"/>
      <c r="AF200" s="3333"/>
      <c r="AG200" s="3333"/>
      <c r="AH200" s="3333"/>
      <c r="AI200" s="3333"/>
      <c r="AJ200" s="3333"/>
      <c r="AK200" s="3333"/>
      <c r="AL200" s="3333"/>
      <c r="AM200" s="3333"/>
      <c r="AN200" s="3333"/>
      <c r="AO200" s="3333"/>
      <c r="AP200" s="3333"/>
      <c r="AQ200" s="3333"/>
      <c r="AR200" s="3333"/>
      <c r="AS200" s="3333"/>
      <c r="AT200" s="3333"/>
      <c r="AU200" s="3333"/>
      <c r="AV200" s="3333"/>
      <c r="AW200" s="3333"/>
      <c r="AX200" s="3333"/>
      <c r="AY200" s="3333"/>
      <c r="AZ200" s="3333"/>
      <c r="BA200" s="3333"/>
      <c r="BB200" s="3333"/>
      <c r="BC200" s="3333"/>
      <c r="BD200" s="3333"/>
      <c r="BE200" s="3333"/>
      <c r="BF200" s="3333"/>
      <c r="BG200" s="3333"/>
      <c r="BH200" s="3333"/>
      <c r="BI200" s="3333"/>
      <c r="BJ200" s="3333"/>
      <c r="BK200" s="3333"/>
      <c r="BL200" s="3333"/>
      <c r="BM200" s="3333"/>
      <c r="BN200" s="3333"/>
      <c r="BO200" s="3333"/>
      <c r="BP200" s="3333"/>
      <c r="BQ200" s="3333"/>
      <c r="BR200" s="3333"/>
      <c r="BS200" s="3333"/>
      <c r="BT200" s="3333"/>
      <c r="BU200" s="3333"/>
      <c r="BV200" s="3333"/>
      <c r="BW200" s="3333"/>
      <c r="BX200" s="3333"/>
      <c r="BY200" s="3333"/>
    </row>
    <row r="201" spans="3:77" ht="17.100000000000001" customHeight="1" x14ac:dyDescent="0.2">
      <c r="C201" s="3333"/>
      <c r="D201" s="3333"/>
      <c r="E201" s="3333"/>
      <c r="F201" s="3333"/>
      <c r="G201" s="3333"/>
      <c r="H201" s="3333"/>
      <c r="I201" s="3333"/>
      <c r="J201" s="3333"/>
      <c r="K201" s="3333"/>
      <c r="L201" s="3333"/>
      <c r="M201" s="3333"/>
      <c r="N201" s="3333"/>
      <c r="O201" s="3333"/>
      <c r="P201" s="3333"/>
      <c r="Q201" s="3333"/>
      <c r="R201" s="3333"/>
      <c r="S201" s="3333"/>
      <c r="T201" s="3333"/>
      <c r="U201" s="3333"/>
      <c r="V201" s="3333"/>
      <c r="W201" s="3333"/>
      <c r="X201" s="3333"/>
      <c r="Y201" s="3333"/>
      <c r="Z201" s="3333"/>
      <c r="AA201" s="3333"/>
      <c r="AB201" s="3333"/>
      <c r="AC201" s="3333"/>
      <c r="AD201" s="3333"/>
      <c r="AE201" s="3333"/>
      <c r="AF201" s="3333"/>
      <c r="AG201" s="3333"/>
      <c r="AH201" s="3333"/>
      <c r="AI201" s="3333"/>
      <c r="AJ201" s="3333"/>
      <c r="AK201" s="3333"/>
      <c r="AL201" s="3333"/>
      <c r="AM201" s="3333"/>
      <c r="AN201" s="3333"/>
      <c r="AO201" s="3333"/>
      <c r="AP201" s="3333"/>
      <c r="AQ201" s="3333"/>
      <c r="AR201" s="3333"/>
      <c r="AS201" s="3333"/>
      <c r="AT201" s="3333"/>
      <c r="AU201" s="3333"/>
      <c r="AV201" s="3333"/>
      <c r="AW201" s="3333"/>
      <c r="AX201" s="3333"/>
      <c r="AY201" s="3333"/>
      <c r="AZ201" s="3333"/>
      <c r="BA201" s="3333"/>
      <c r="BB201" s="3333"/>
      <c r="BC201" s="3333"/>
      <c r="BD201" s="3333"/>
      <c r="BE201" s="3333"/>
      <c r="BF201" s="3333"/>
      <c r="BG201" s="3333"/>
      <c r="BH201" s="3333"/>
      <c r="BI201" s="3333"/>
      <c r="BJ201" s="3333"/>
      <c r="BK201" s="3333"/>
      <c r="BL201" s="3333"/>
      <c r="BM201" s="3333"/>
      <c r="BN201" s="3333"/>
      <c r="BO201" s="3333"/>
      <c r="BP201" s="3333"/>
      <c r="BQ201" s="3333"/>
      <c r="BR201" s="3333"/>
      <c r="BS201" s="3333"/>
      <c r="BT201" s="3333"/>
      <c r="BU201" s="3333"/>
      <c r="BV201" s="3333"/>
      <c r="BW201" s="3333"/>
      <c r="BX201" s="3333"/>
      <c r="BY201" s="3333"/>
    </row>
    <row r="202" spans="3:77" ht="17.100000000000001" customHeight="1" x14ac:dyDescent="0.2">
      <c r="C202" s="3333"/>
      <c r="D202" s="3333"/>
      <c r="E202" s="3333"/>
      <c r="F202" s="3333"/>
      <c r="G202" s="3333"/>
      <c r="H202" s="3333"/>
      <c r="I202" s="3333"/>
      <c r="J202" s="3333"/>
      <c r="K202" s="3333"/>
      <c r="L202" s="3333"/>
      <c r="M202" s="3333"/>
      <c r="N202" s="3333"/>
      <c r="O202" s="3333"/>
      <c r="P202" s="3333"/>
      <c r="Q202" s="3333"/>
      <c r="R202" s="3333"/>
      <c r="S202" s="3333"/>
      <c r="T202" s="3333"/>
      <c r="U202" s="3333"/>
      <c r="V202" s="3333"/>
      <c r="W202" s="3333"/>
      <c r="X202" s="3333"/>
      <c r="Y202" s="3333"/>
      <c r="Z202" s="3333"/>
      <c r="AA202" s="3333"/>
      <c r="AB202" s="3333"/>
      <c r="AC202" s="3333"/>
      <c r="AD202" s="3333"/>
      <c r="AE202" s="3333"/>
      <c r="AF202" s="3333"/>
      <c r="AG202" s="3333"/>
      <c r="AH202" s="3333"/>
      <c r="AI202" s="3333"/>
      <c r="AJ202" s="3333"/>
      <c r="AK202" s="3333"/>
      <c r="AL202" s="3333"/>
      <c r="AM202" s="3333"/>
      <c r="AN202" s="3333"/>
      <c r="AO202" s="3333"/>
      <c r="AP202" s="3333"/>
      <c r="AQ202" s="3333"/>
      <c r="AR202" s="3333"/>
      <c r="AS202" s="3333"/>
      <c r="AT202" s="3333"/>
      <c r="AU202" s="3333"/>
      <c r="AV202" s="3333"/>
      <c r="AW202" s="3333"/>
      <c r="AX202" s="3333"/>
      <c r="AY202" s="3333"/>
      <c r="AZ202" s="3333"/>
      <c r="BA202" s="3333"/>
      <c r="BB202" s="3333"/>
      <c r="BC202" s="3333"/>
      <c r="BD202" s="3333"/>
      <c r="BE202" s="3333"/>
      <c r="BF202" s="3333"/>
      <c r="BG202" s="3333"/>
      <c r="BH202" s="3333"/>
      <c r="BI202" s="3333"/>
      <c r="BJ202" s="3333"/>
      <c r="BK202" s="3333"/>
      <c r="BL202" s="3333"/>
      <c r="BM202" s="3333"/>
      <c r="BN202" s="3333"/>
      <c r="BO202" s="3333"/>
      <c r="BP202" s="3333"/>
      <c r="BQ202" s="3333"/>
      <c r="BR202" s="3333"/>
      <c r="BS202" s="3333"/>
      <c r="BT202" s="3333"/>
      <c r="BU202" s="3333"/>
      <c r="BV202" s="3333"/>
      <c r="BW202" s="3333"/>
      <c r="BX202" s="3333"/>
      <c r="BY202" s="3333"/>
    </row>
    <row r="203" spans="3:77" ht="17.100000000000001" customHeight="1" x14ac:dyDescent="0.2">
      <c r="C203" s="3333"/>
      <c r="D203" s="3333"/>
      <c r="E203" s="3333"/>
      <c r="F203" s="3333"/>
      <c r="G203" s="3333"/>
      <c r="H203" s="3333"/>
      <c r="I203" s="3333"/>
      <c r="J203" s="3333"/>
      <c r="K203" s="3333"/>
      <c r="L203" s="3333"/>
      <c r="M203" s="3333"/>
      <c r="N203" s="3333"/>
      <c r="O203" s="3333"/>
      <c r="P203" s="3333"/>
      <c r="Q203" s="3333"/>
      <c r="R203" s="3333"/>
      <c r="S203" s="3333"/>
      <c r="T203" s="3333"/>
      <c r="U203" s="3333"/>
      <c r="V203" s="3333"/>
      <c r="W203" s="3333"/>
      <c r="X203" s="3333"/>
      <c r="Y203" s="3333"/>
      <c r="Z203" s="3333"/>
      <c r="AA203" s="3333"/>
      <c r="AB203" s="3333"/>
      <c r="AC203" s="3333"/>
      <c r="AD203" s="3333"/>
      <c r="AE203" s="3333"/>
      <c r="AF203" s="3333"/>
      <c r="AG203" s="3333"/>
      <c r="AH203" s="3333"/>
      <c r="AI203" s="3333"/>
      <c r="AJ203" s="3333"/>
      <c r="AK203" s="3333"/>
      <c r="AL203" s="3333"/>
      <c r="AM203" s="3333"/>
      <c r="AN203" s="3333"/>
      <c r="AO203" s="3333"/>
      <c r="AP203" s="3333"/>
      <c r="AQ203" s="3333"/>
      <c r="AR203" s="3333"/>
      <c r="AS203" s="3333"/>
      <c r="AT203" s="3333"/>
      <c r="AU203" s="3333"/>
      <c r="AV203" s="3333"/>
      <c r="AW203" s="3333"/>
      <c r="AX203" s="3333"/>
      <c r="AY203" s="3333"/>
      <c r="AZ203" s="3333"/>
      <c r="BA203" s="3333"/>
      <c r="BB203" s="3333"/>
      <c r="BC203" s="3333"/>
      <c r="BD203" s="3333"/>
      <c r="BE203" s="3333"/>
      <c r="BF203" s="3333"/>
      <c r="BG203" s="3333"/>
      <c r="BH203" s="3333"/>
      <c r="BI203" s="3333"/>
      <c r="BJ203" s="3333"/>
      <c r="BK203" s="3333"/>
      <c r="BL203" s="3333"/>
      <c r="BM203" s="3333"/>
      <c r="BN203" s="3333"/>
      <c r="BO203" s="3333"/>
      <c r="BP203" s="3333"/>
      <c r="BQ203" s="3333"/>
      <c r="BR203" s="3333"/>
      <c r="BS203" s="3333"/>
      <c r="BT203" s="3333"/>
      <c r="BU203" s="3333"/>
      <c r="BV203" s="3333"/>
      <c r="BW203" s="3333"/>
      <c r="BX203" s="3333"/>
      <c r="BY203" s="3333"/>
    </row>
    <row r="204" spans="3:77" ht="17.100000000000001" customHeight="1" x14ac:dyDescent="0.2">
      <c r="C204" s="3333"/>
      <c r="D204" s="3333"/>
      <c r="E204" s="3333"/>
      <c r="F204" s="3333"/>
      <c r="G204" s="3333"/>
      <c r="H204" s="3333"/>
      <c r="I204" s="3333"/>
      <c r="J204" s="3333"/>
      <c r="K204" s="3333"/>
      <c r="L204" s="3333"/>
      <c r="M204" s="3333"/>
      <c r="N204" s="3333"/>
      <c r="O204" s="3333"/>
      <c r="P204" s="3333"/>
      <c r="Q204" s="3333"/>
      <c r="R204" s="3333"/>
      <c r="S204" s="3333"/>
      <c r="T204" s="3333"/>
      <c r="U204" s="3333"/>
      <c r="V204" s="3333"/>
      <c r="W204" s="3333"/>
      <c r="X204" s="3333"/>
      <c r="Y204" s="3333"/>
      <c r="Z204" s="3333"/>
      <c r="AA204" s="3333"/>
      <c r="AB204" s="3333"/>
      <c r="AC204" s="3333"/>
      <c r="AD204" s="3333"/>
      <c r="AE204" s="3333"/>
      <c r="AF204" s="3333"/>
      <c r="AG204" s="3333"/>
      <c r="AH204" s="3333"/>
      <c r="AI204" s="3333"/>
      <c r="AJ204" s="3333"/>
      <c r="AK204" s="3333"/>
      <c r="AL204" s="3333"/>
      <c r="AM204" s="3333"/>
      <c r="AN204" s="3333"/>
      <c r="AO204" s="3333"/>
      <c r="AP204" s="3333"/>
      <c r="AQ204" s="3333"/>
      <c r="AR204" s="3333"/>
      <c r="AS204" s="3333"/>
      <c r="AT204" s="3333"/>
      <c r="AU204" s="3333"/>
      <c r="AV204" s="3333"/>
      <c r="AW204" s="3333"/>
      <c r="AX204" s="3333"/>
      <c r="AY204" s="3333"/>
      <c r="AZ204" s="3333"/>
      <c r="BA204" s="3333"/>
      <c r="BB204" s="3333"/>
      <c r="BC204" s="3333"/>
      <c r="BD204" s="3333"/>
      <c r="BE204" s="3333"/>
      <c r="BF204" s="3333"/>
      <c r="BG204" s="3333"/>
      <c r="BH204" s="3333"/>
      <c r="BI204" s="3333"/>
      <c r="BJ204" s="3333"/>
      <c r="BK204" s="3333"/>
      <c r="BL204" s="3333"/>
      <c r="BM204" s="3333"/>
      <c r="BN204" s="3333"/>
      <c r="BO204" s="3333"/>
      <c r="BP204" s="3333"/>
      <c r="BQ204" s="3333"/>
      <c r="BR204" s="3333"/>
      <c r="BS204" s="3333"/>
      <c r="BT204" s="3333"/>
      <c r="BU204" s="3333"/>
      <c r="BV204" s="3333"/>
      <c r="BW204" s="3333"/>
      <c r="BX204" s="3333"/>
      <c r="BY204" s="3333"/>
    </row>
    <row r="205" spans="3:77" ht="17.100000000000001" customHeight="1" x14ac:dyDescent="0.2">
      <c r="C205" s="3333"/>
      <c r="D205" s="3333"/>
      <c r="E205" s="3333"/>
      <c r="F205" s="3333"/>
      <c r="G205" s="3333"/>
      <c r="H205" s="3333"/>
      <c r="I205" s="3333"/>
      <c r="J205" s="3333"/>
      <c r="K205" s="3333"/>
      <c r="L205" s="3333"/>
      <c r="M205" s="3333"/>
      <c r="N205" s="3333"/>
      <c r="O205" s="3333"/>
      <c r="P205" s="3333"/>
      <c r="Q205" s="3333"/>
      <c r="R205" s="3333"/>
      <c r="S205" s="3333"/>
      <c r="T205" s="3333"/>
      <c r="U205" s="3333"/>
      <c r="V205" s="3333"/>
      <c r="W205" s="3333"/>
      <c r="X205" s="3333"/>
      <c r="Y205" s="3333"/>
      <c r="Z205" s="3333"/>
      <c r="AA205" s="3333"/>
      <c r="AB205" s="3333"/>
      <c r="AC205" s="3333"/>
      <c r="AD205" s="3333"/>
      <c r="AE205" s="3333"/>
      <c r="AF205" s="3333"/>
      <c r="AG205" s="3333"/>
      <c r="AH205" s="3333"/>
      <c r="AI205" s="3333"/>
      <c r="AJ205" s="3333"/>
      <c r="AK205" s="3333"/>
      <c r="AL205" s="3333"/>
      <c r="AM205" s="3333"/>
      <c r="AN205" s="3333"/>
      <c r="AO205" s="3333"/>
      <c r="AP205" s="3333"/>
      <c r="AQ205" s="3333"/>
      <c r="AR205" s="3333"/>
      <c r="AS205" s="3333"/>
      <c r="AT205" s="3333"/>
      <c r="AU205" s="3333"/>
      <c r="AV205" s="3333"/>
      <c r="AW205" s="3333"/>
      <c r="AX205" s="3333"/>
      <c r="AY205" s="3333"/>
      <c r="AZ205" s="3333"/>
      <c r="BA205" s="3333"/>
      <c r="BB205" s="3333"/>
      <c r="BC205" s="3333"/>
      <c r="BD205" s="3333"/>
      <c r="BE205" s="3333"/>
      <c r="BF205" s="3333"/>
      <c r="BG205" s="3333"/>
      <c r="BH205" s="3333"/>
      <c r="BI205" s="3333"/>
      <c r="BJ205" s="3333"/>
      <c r="BK205" s="3333"/>
      <c r="BL205" s="3333"/>
      <c r="BM205" s="3333"/>
      <c r="BN205" s="3333"/>
      <c r="BO205" s="3333"/>
      <c r="BP205" s="3333"/>
      <c r="BQ205" s="3333"/>
      <c r="BR205" s="3333"/>
      <c r="BS205" s="3333"/>
      <c r="BT205" s="3333"/>
      <c r="BU205" s="3333"/>
      <c r="BV205" s="3333"/>
      <c r="BW205" s="3333"/>
      <c r="BX205" s="3333"/>
      <c r="BY205" s="3333"/>
    </row>
    <row r="206" spans="3:77" ht="17.100000000000001" customHeight="1" x14ac:dyDescent="0.2">
      <c r="C206" s="3333"/>
      <c r="D206" s="3333"/>
      <c r="E206" s="3333"/>
      <c r="F206" s="3333"/>
      <c r="G206" s="3333"/>
      <c r="H206" s="3333"/>
      <c r="I206" s="3333"/>
      <c r="J206" s="3333"/>
      <c r="K206" s="3333"/>
      <c r="L206" s="3333"/>
      <c r="M206" s="3333"/>
      <c r="N206" s="3333"/>
      <c r="O206" s="3333"/>
      <c r="P206" s="3333"/>
      <c r="Q206" s="3333"/>
      <c r="R206" s="3333"/>
      <c r="S206" s="3333"/>
      <c r="T206" s="3333"/>
      <c r="U206" s="3333"/>
      <c r="V206" s="3333"/>
      <c r="W206" s="3333"/>
      <c r="X206" s="3333"/>
      <c r="Y206" s="3333"/>
      <c r="Z206" s="3333"/>
      <c r="AA206" s="3333"/>
      <c r="AB206" s="3333"/>
      <c r="AC206" s="3333"/>
      <c r="AD206" s="3333"/>
      <c r="AE206" s="3333"/>
      <c r="AF206" s="3333"/>
      <c r="AG206" s="3333"/>
      <c r="AH206" s="3333"/>
      <c r="AI206" s="3333"/>
      <c r="AJ206" s="3333"/>
      <c r="AK206" s="3333"/>
      <c r="AL206" s="3333"/>
      <c r="AM206" s="3333"/>
      <c r="AN206" s="3333"/>
      <c r="AO206" s="3333"/>
      <c r="AP206" s="3333"/>
      <c r="AQ206" s="3333"/>
      <c r="AR206" s="3333"/>
      <c r="AS206" s="3333"/>
      <c r="AT206" s="3333"/>
      <c r="AU206" s="3333"/>
      <c r="AV206" s="3333"/>
      <c r="AW206" s="3333"/>
      <c r="AX206" s="3333"/>
      <c r="AY206" s="3333"/>
      <c r="AZ206" s="3333"/>
      <c r="BA206" s="3333"/>
      <c r="BB206" s="3333"/>
      <c r="BC206" s="3333"/>
      <c r="BD206" s="3333"/>
      <c r="BE206" s="3333"/>
      <c r="BF206" s="3333"/>
      <c r="BG206" s="3333"/>
      <c r="BH206" s="3333"/>
      <c r="BI206" s="3333"/>
      <c r="BJ206" s="3333"/>
      <c r="BK206" s="3333"/>
      <c r="BL206" s="3333"/>
      <c r="BM206" s="3333"/>
      <c r="BN206" s="3333"/>
      <c r="BO206" s="3333"/>
      <c r="BP206" s="3333"/>
      <c r="BQ206" s="3333"/>
      <c r="BR206" s="3333"/>
      <c r="BS206" s="3333"/>
      <c r="BT206" s="3333"/>
      <c r="BU206" s="3333"/>
      <c r="BV206" s="3333"/>
      <c r="BW206" s="3333"/>
      <c r="BX206" s="3333"/>
      <c r="BY206" s="3333"/>
    </row>
    <row r="207" spans="3:77" ht="17.100000000000001" customHeight="1" x14ac:dyDescent="0.2">
      <c r="C207" s="3333"/>
      <c r="D207" s="3333"/>
      <c r="E207" s="3333"/>
      <c r="F207" s="3333"/>
      <c r="G207" s="3333"/>
      <c r="H207" s="3333"/>
      <c r="I207" s="3333"/>
      <c r="J207" s="3333"/>
      <c r="K207" s="3333"/>
      <c r="L207" s="3333"/>
      <c r="M207" s="3333"/>
      <c r="N207" s="3333"/>
      <c r="O207" s="3333"/>
      <c r="P207" s="3333"/>
      <c r="Q207" s="3333"/>
      <c r="R207" s="3333"/>
      <c r="S207" s="3333"/>
      <c r="T207" s="3333"/>
      <c r="U207" s="3333"/>
      <c r="V207" s="3333"/>
      <c r="W207" s="3333"/>
      <c r="X207" s="3333"/>
      <c r="Y207" s="3333"/>
      <c r="Z207" s="3333"/>
      <c r="AA207" s="3333"/>
      <c r="AB207" s="3333"/>
      <c r="AC207" s="3333"/>
      <c r="AD207" s="3333"/>
      <c r="AE207" s="3333"/>
      <c r="AF207" s="3333"/>
      <c r="AG207" s="3333"/>
      <c r="AH207" s="3333"/>
      <c r="AI207" s="3333"/>
      <c r="AJ207" s="3333"/>
      <c r="AK207" s="3333"/>
      <c r="AL207" s="3333"/>
      <c r="AM207" s="3333"/>
      <c r="AN207" s="3333"/>
      <c r="AO207" s="3333"/>
      <c r="AP207" s="3333"/>
      <c r="AQ207" s="3333"/>
      <c r="AR207" s="3333"/>
      <c r="AS207" s="3333"/>
      <c r="AT207" s="3333"/>
      <c r="AU207" s="3333"/>
      <c r="AV207" s="3333"/>
      <c r="AW207" s="3333"/>
      <c r="AX207" s="3333"/>
      <c r="AY207" s="3333"/>
      <c r="AZ207" s="3333"/>
      <c r="BA207" s="3333"/>
      <c r="BB207" s="3333"/>
      <c r="BC207" s="3333"/>
      <c r="BD207" s="3333"/>
      <c r="BE207" s="3333"/>
      <c r="BF207" s="3333"/>
      <c r="BG207" s="3333"/>
      <c r="BH207" s="3333"/>
      <c r="BI207" s="3333"/>
      <c r="BJ207" s="3333"/>
      <c r="BK207" s="3333"/>
      <c r="BL207" s="3333"/>
      <c r="BM207" s="3333"/>
      <c r="BN207" s="3333"/>
      <c r="BO207" s="3333"/>
      <c r="BP207" s="3333"/>
      <c r="BQ207" s="3333"/>
      <c r="BR207" s="3333"/>
      <c r="BS207" s="3333"/>
      <c r="BT207" s="3333"/>
      <c r="BU207" s="3333"/>
      <c r="BV207" s="3333"/>
      <c r="BW207" s="3333"/>
      <c r="BX207" s="3333"/>
      <c r="BY207" s="3333"/>
    </row>
    <row r="208" spans="3:77" ht="17.100000000000001" customHeight="1" x14ac:dyDescent="0.2">
      <c r="C208" s="3333"/>
      <c r="D208" s="3333"/>
      <c r="E208" s="3333"/>
      <c r="F208" s="3333"/>
      <c r="G208" s="3333"/>
      <c r="H208" s="3333"/>
      <c r="I208" s="3333"/>
      <c r="J208" s="3333"/>
      <c r="K208" s="3333"/>
      <c r="L208" s="3333"/>
      <c r="M208" s="3333"/>
      <c r="N208" s="3333"/>
      <c r="O208" s="3333"/>
      <c r="P208" s="3333"/>
      <c r="Q208" s="3333"/>
      <c r="R208" s="3333"/>
      <c r="S208" s="3333"/>
      <c r="T208" s="3333"/>
      <c r="U208" s="3333"/>
      <c r="V208" s="3333"/>
      <c r="W208" s="3333"/>
      <c r="X208" s="3333"/>
      <c r="Y208" s="3333"/>
      <c r="Z208" s="3333"/>
      <c r="AA208" s="3333"/>
      <c r="AB208" s="3333"/>
      <c r="AC208" s="3333"/>
      <c r="AD208" s="3333"/>
      <c r="AE208" s="3333"/>
      <c r="AF208" s="3333"/>
      <c r="AG208" s="3333"/>
      <c r="AH208" s="3333"/>
      <c r="AI208" s="3333"/>
      <c r="AJ208" s="3333"/>
      <c r="AK208" s="3333"/>
      <c r="AL208" s="3333"/>
      <c r="AM208" s="3333"/>
      <c r="AN208" s="3333"/>
      <c r="AO208" s="3333"/>
      <c r="AP208" s="3333"/>
      <c r="AQ208" s="3333"/>
      <c r="AR208" s="3333"/>
      <c r="AS208" s="3333"/>
      <c r="AT208" s="3333"/>
      <c r="AU208" s="3333"/>
      <c r="AV208" s="3333"/>
      <c r="AW208" s="3333"/>
      <c r="AX208" s="3333"/>
      <c r="AY208" s="3333"/>
      <c r="AZ208" s="3333"/>
      <c r="BA208" s="3333"/>
      <c r="BB208" s="3333"/>
      <c r="BC208" s="3333"/>
      <c r="BD208" s="3333"/>
      <c r="BE208" s="3333"/>
      <c r="BF208" s="3333"/>
      <c r="BG208" s="3333"/>
      <c r="BH208" s="3333"/>
      <c r="BI208" s="3333"/>
      <c r="BJ208" s="3333"/>
      <c r="BK208" s="3333"/>
      <c r="BL208" s="3333"/>
      <c r="BM208" s="3333"/>
      <c r="BN208" s="3333"/>
      <c r="BO208" s="3333"/>
      <c r="BP208" s="3333"/>
      <c r="BQ208" s="3333"/>
      <c r="BR208" s="3333"/>
      <c r="BS208" s="3333"/>
      <c r="BT208" s="3333"/>
      <c r="BU208" s="3333"/>
      <c r="BV208" s="3333"/>
      <c r="BW208" s="3333"/>
      <c r="BX208" s="3333"/>
      <c r="BY208" s="3333"/>
    </row>
    <row r="209" spans="3:77" ht="17.100000000000001" customHeight="1" x14ac:dyDescent="0.2">
      <c r="C209" s="3333"/>
      <c r="D209" s="3333"/>
      <c r="E209" s="3333"/>
      <c r="F209" s="3333"/>
      <c r="G209" s="3333"/>
      <c r="H209" s="3333"/>
      <c r="I209" s="3333"/>
      <c r="J209" s="3333"/>
      <c r="K209" s="3333"/>
      <c r="L209" s="3333"/>
      <c r="M209" s="3333"/>
      <c r="N209" s="3333"/>
      <c r="O209" s="3333"/>
      <c r="P209" s="3333"/>
      <c r="Q209" s="3333"/>
      <c r="R209" s="3333"/>
      <c r="S209" s="3333"/>
      <c r="T209" s="3333"/>
      <c r="U209" s="3333"/>
      <c r="V209" s="3333"/>
      <c r="W209" s="3333"/>
      <c r="X209" s="3333"/>
      <c r="Y209" s="3333"/>
      <c r="Z209" s="3333"/>
      <c r="AA209" s="3333"/>
      <c r="AB209" s="3333"/>
      <c r="AC209" s="3333"/>
      <c r="AD209" s="3333"/>
      <c r="AE209" s="3333"/>
      <c r="AF209" s="3333"/>
      <c r="AG209" s="3333"/>
      <c r="AH209" s="3333"/>
      <c r="AI209" s="3333"/>
      <c r="AJ209" s="3333"/>
      <c r="AK209" s="3333"/>
      <c r="AL209" s="3333"/>
      <c r="AM209" s="3333"/>
      <c r="AN209" s="3333"/>
      <c r="AO209" s="3333"/>
      <c r="AP209" s="3333"/>
      <c r="AQ209" s="3333"/>
      <c r="AR209" s="3333"/>
      <c r="AS209" s="3333"/>
      <c r="AT209" s="3333"/>
      <c r="AU209" s="3333"/>
      <c r="AV209" s="3333"/>
      <c r="AW209" s="3333"/>
      <c r="AX209" s="3333"/>
      <c r="AY209" s="3333"/>
      <c r="AZ209" s="3333"/>
      <c r="BA209" s="3333"/>
      <c r="BB209" s="3333"/>
      <c r="BC209" s="3333"/>
      <c r="BD209" s="3333"/>
      <c r="BE209" s="3333"/>
      <c r="BF209" s="3333"/>
      <c r="BG209" s="3333"/>
      <c r="BH209" s="3333"/>
      <c r="BI209" s="3333"/>
      <c r="BJ209" s="3333"/>
      <c r="BK209" s="3333"/>
      <c r="BL209" s="3333"/>
      <c r="BM209" s="3333"/>
      <c r="BN209" s="3333"/>
      <c r="BO209" s="3333"/>
      <c r="BP209" s="3333"/>
      <c r="BQ209" s="3333"/>
      <c r="BR209" s="3333"/>
      <c r="BS209" s="3333"/>
      <c r="BT209" s="3333"/>
      <c r="BU209" s="3333"/>
      <c r="BV209" s="3333"/>
      <c r="BW209" s="3333"/>
      <c r="BX209" s="3333"/>
      <c r="BY209" s="3333"/>
    </row>
    <row r="210" spans="3:77" ht="17.100000000000001" customHeight="1" x14ac:dyDescent="0.2">
      <c r="C210" s="3333"/>
      <c r="D210" s="3333"/>
      <c r="E210" s="3333"/>
      <c r="F210" s="3333"/>
      <c r="G210" s="3333"/>
      <c r="H210" s="3333"/>
      <c r="I210" s="3333"/>
      <c r="J210" s="3333"/>
      <c r="K210" s="3333"/>
      <c r="L210" s="3333"/>
      <c r="M210" s="3333"/>
      <c r="N210" s="3333"/>
      <c r="O210" s="3333"/>
      <c r="P210" s="3333"/>
      <c r="Q210" s="3333"/>
      <c r="R210" s="3333"/>
      <c r="S210" s="3333"/>
      <c r="T210" s="3333"/>
      <c r="U210" s="3333"/>
      <c r="V210" s="3333"/>
      <c r="W210" s="3333"/>
      <c r="X210" s="3333"/>
      <c r="Y210" s="3333"/>
      <c r="Z210" s="3333"/>
      <c r="AA210" s="3333"/>
      <c r="AB210" s="3333"/>
      <c r="AC210" s="3333"/>
      <c r="AD210" s="3333"/>
      <c r="AE210" s="3333"/>
      <c r="AF210" s="3333"/>
      <c r="AG210" s="3333"/>
      <c r="AH210" s="3333"/>
      <c r="AI210" s="3333"/>
      <c r="AJ210" s="3333"/>
      <c r="AK210" s="3333"/>
      <c r="AL210" s="3333"/>
      <c r="AM210" s="3333"/>
      <c r="AN210" s="3333"/>
      <c r="AO210" s="3333"/>
      <c r="AP210" s="3333"/>
      <c r="AQ210" s="3333"/>
      <c r="AR210" s="3333"/>
      <c r="AS210" s="3333"/>
      <c r="AT210" s="3333"/>
      <c r="AU210" s="3333"/>
      <c r="AV210" s="3333"/>
      <c r="AW210" s="3333"/>
      <c r="AX210" s="3333"/>
      <c r="AY210" s="3333"/>
      <c r="AZ210" s="3333"/>
      <c r="BA210" s="3333"/>
      <c r="BB210" s="3333"/>
      <c r="BC210" s="3333"/>
      <c r="BD210" s="3333"/>
      <c r="BE210" s="3333"/>
      <c r="BF210" s="3333"/>
      <c r="BG210" s="3333"/>
      <c r="BH210" s="3333"/>
      <c r="BI210" s="3333"/>
      <c r="BJ210" s="3333"/>
      <c r="BK210" s="3333"/>
      <c r="BL210" s="3333"/>
      <c r="BM210" s="3333"/>
      <c r="BN210" s="3333"/>
      <c r="BO210" s="3333"/>
      <c r="BP210" s="3333"/>
      <c r="BQ210" s="3333"/>
      <c r="BR210" s="3333"/>
      <c r="BS210" s="3333"/>
      <c r="BT210" s="3333"/>
      <c r="BU210" s="3333"/>
      <c r="BV210" s="3333"/>
      <c r="BW210" s="3333"/>
      <c r="BX210" s="3333"/>
      <c r="BY210" s="3333"/>
    </row>
    <row r="211" spans="3:77" ht="17.100000000000001" customHeight="1" x14ac:dyDescent="0.2">
      <c r="C211" s="3333"/>
      <c r="D211" s="3333"/>
      <c r="E211" s="3333"/>
      <c r="F211" s="3333"/>
      <c r="G211" s="3333"/>
      <c r="H211" s="3333"/>
      <c r="I211" s="3333"/>
      <c r="J211" s="3333"/>
      <c r="K211" s="3333"/>
      <c r="L211" s="3333"/>
      <c r="M211" s="3333"/>
      <c r="N211" s="3333"/>
      <c r="O211" s="3333"/>
      <c r="P211" s="3333"/>
      <c r="Q211" s="3333"/>
      <c r="R211" s="3333"/>
      <c r="S211" s="3333"/>
      <c r="T211" s="3333"/>
      <c r="U211" s="3333"/>
      <c r="V211" s="3333"/>
      <c r="W211" s="3333"/>
      <c r="X211" s="3333"/>
      <c r="Y211" s="3333"/>
      <c r="Z211" s="3333"/>
      <c r="AA211" s="3333"/>
      <c r="AB211" s="3333"/>
      <c r="AC211" s="3333"/>
      <c r="AD211" s="3333"/>
      <c r="AE211" s="3333"/>
      <c r="AF211" s="3333"/>
      <c r="AG211" s="3333"/>
      <c r="AH211" s="3333"/>
      <c r="AI211" s="3333"/>
      <c r="AJ211" s="3333"/>
      <c r="AK211" s="3333"/>
      <c r="AL211" s="3333"/>
      <c r="AM211" s="3333"/>
      <c r="AN211" s="3333"/>
      <c r="AO211" s="3333"/>
      <c r="AP211" s="3333"/>
      <c r="AQ211" s="3333"/>
      <c r="AR211" s="3333"/>
      <c r="AS211" s="3333"/>
      <c r="AT211" s="3333"/>
      <c r="AU211" s="3333"/>
      <c r="AV211" s="3333"/>
      <c r="AW211" s="3333"/>
      <c r="AX211" s="3333"/>
      <c r="AY211" s="3333"/>
      <c r="AZ211" s="3333"/>
      <c r="BA211" s="3333"/>
      <c r="BB211" s="3333"/>
      <c r="BC211" s="3333"/>
      <c r="BD211" s="3333"/>
      <c r="BE211" s="3333"/>
      <c r="BF211" s="3333"/>
      <c r="BG211" s="3333"/>
      <c r="BH211" s="3333"/>
      <c r="BI211" s="3333"/>
      <c r="BJ211" s="3333"/>
      <c r="BK211" s="3333"/>
      <c r="BL211" s="3333"/>
      <c r="BM211" s="3333"/>
      <c r="BN211" s="3333"/>
      <c r="BO211" s="3333"/>
      <c r="BP211" s="3333"/>
      <c r="BQ211" s="3333"/>
      <c r="BR211" s="3333"/>
      <c r="BS211" s="3333"/>
      <c r="BT211" s="3333"/>
      <c r="BU211" s="3333"/>
      <c r="BV211" s="3333"/>
      <c r="BW211" s="3333"/>
      <c r="BX211" s="3333"/>
      <c r="BY211" s="3333"/>
    </row>
    <row r="212" spans="3:77" ht="17.100000000000001" customHeight="1" x14ac:dyDescent="0.2">
      <c r="C212" s="3333"/>
      <c r="D212" s="3333"/>
      <c r="E212" s="3333"/>
      <c r="F212" s="3333"/>
      <c r="G212" s="3333"/>
      <c r="H212" s="3333"/>
      <c r="I212" s="3333"/>
      <c r="J212" s="3333"/>
      <c r="K212" s="3333"/>
      <c r="L212" s="3333"/>
      <c r="M212" s="3333"/>
      <c r="N212" s="3333"/>
      <c r="O212" s="3333"/>
      <c r="P212" s="3333"/>
      <c r="Q212" s="3333"/>
      <c r="R212" s="3333"/>
      <c r="S212" s="3333"/>
      <c r="T212" s="3333"/>
      <c r="U212" s="3333"/>
      <c r="V212" s="3333"/>
      <c r="W212" s="3333"/>
      <c r="X212" s="3333"/>
      <c r="Y212" s="3333"/>
      <c r="Z212" s="3333"/>
      <c r="AA212" s="3333"/>
      <c r="AB212" s="3333"/>
      <c r="AC212" s="3333"/>
      <c r="AD212" s="3333"/>
      <c r="AE212" s="3333"/>
      <c r="AF212" s="3333"/>
      <c r="AG212" s="3333"/>
      <c r="AH212" s="3333"/>
      <c r="AI212" s="3333"/>
      <c r="AJ212" s="3333"/>
      <c r="AK212" s="3333"/>
      <c r="AL212" s="3333"/>
      <c r="AM212" s="3333"/>
      <c r="AN212" s="3333"/>
      <c r="AO212" s="3333"/>
      <c r="AP212" s="3333"/>
      <c r="AQ212" s="3333"/>
      <c r="AR212" s="3333"/>
      <c r="AS212" s="3333"/>
      <c r="AT212" s="3333"/>
      <c r="AU212" s="3333"/>
      <c r="AV212" s="3333"/>
      <c r="AW212" s="3333"/>
      <c r="AX212" s="3333"/>
      <c r="AY212" s="3333"/>
      <c r="AZ212" s="3333"/>
      <c r="BA212" s="3333"/>
      <c r="BB212" s="3333"/>
      <c r="BC212" s="3333"/>
      <c r="BD212" s="3333"/>
      <c r="BE212" s="3333"/>
      <c r="BF212" s="3333"/>
      <c r="BG212" s="3333"/>
      <c r="BH212" s="3333"/>
      <c r="BI212" s="3333"/>
      <c r="BJ212" s="3333"/>
      <c r="BK212" s="3333"/>
      <c r="BL212" s="3333"/>
      <c r="BM212" s="3333"/>
      <c r="BN212" s="3333"/>
      <c r="BO212" s="3333"/>
      <c r="BP212" s="3333"/>
      <c r="BQ212" s="3333"/>
      <c r="BR212" s="3333"/>
      <c r="BS212" s="3333"/>
      <c r="BT212" s="3333"/>
      <c r="BU212" s="3333"/>
      <c r="BV212" s="3333"/>
      <c r="BW212" s="3333"/>
      <c r="BX212" s="3333"/>
      <c r="BY212" s="3333"/>
    </row>
    <row r="213" spans="3:77" ht="17.100000000000001" customHeight="1" x14ac:dyDescent="0.2">
      <c r="C213" s="3333"/>
      <c r="D213" s="3333"/>
      <c r="E213" s="3333"/>
      <c r="F213" s="3333"/>
      <c r="G213" s="3333"/>
      <c r="H213" s="3333"/>
      <c r="I213" s="3333"/>
      <c r="J213" s="3333"/>
      <c r="K213" s="3333"/>
      <c r="L213" s="3333"/>
      <c r="M213" s="3333"/>
      <c r="N213" s="3333"/>
      <c r="O213" s="3333"/>
      <c r="P213" s="3333"/>
      <c r="Q213" s="3333"/>
      <c r="R213" s="3333"/>
      <c r="S213" s="3333"/>
      <c r="T213" s="3333"/>
      <c r="U213" s="3333"/>
      <c r="V213" s="3333"/>
      <c r="W213" s="3333"/>
      <c r="X213" s="3333"/>
      <c r="Y213" s="3333"/>
      <c r="Z213" s="3333"/>
      <c r="AA213" s="3333"/>
      <c r="AB213" s="3333"/>
      <c r="AC213" s="3333"/>
      <c r="AD213" s="3333"/>
      <c r="AE213" s="3333"/>
      <c r="AF213" s="3333"/>
      <c r="AG213" s="3333"/>
      <c r="AH213" s="3333"/>
      <c r="AI213" s="3333"/>
      <c r="AJ213" s="3333"/>
      <c r="AK213" s="3333"/>
      <c r="AL213" s="3333"/>
      <c r="AM213" s="3333"/>
      <c r="AN213" s="3333"/>
      <c r="AO213" s="3333"/>
      <c r="AP213" s="3333"/>
      <c r="AQ213" s="3333"/>
      <c r="AR213" s="3333"/>
      <c r="AS213" s="3333"/>
      <c r="AT213" s="3333"/>
      <c r="AU213" s="3333"/>
      <c r="AV213" s="3333"/>
      <c r="AW213" s="3333"/>
      <c r="AX213" s="3333"/>
      <c r="AY213" s="3333"/>
      <c r="AZ213" s="3333"/>
      <c r="BA213" s="3333"/>
      <c r="BB213" s="3333"/>
      <c r="BC213" s="3333"/>
      <c r="BD213" s="3333"/>
      <c r="BE213" s="3333"/>
      <c r="BF213" s="3333"/>
      <c r="BG213" s="3333"/>
      <c r="BH213" s="3333"/>
      <c r="BI213" s="3333"/>
      <c r="BJ213" s="3333"/>
      <c r="BK213" s="3333"/>
      <c r="BL213" s="3333"/>
      <c r="BM213" s="3333"/>
      <c r="BN213" s="3333"/>
      <c r="BO213" s="3333"/>
      <c r="BP213" s="3333"/>
      <c r="BQ213" s="3333"/>
      <c r="BR213" s="3333"/>
      <c r="BS213" s="3333"/>
      <c r="BT213" s="3333"/>
      <c r="BU213" s="3333"/>
      <c r="BV213" s="3333"/>
      <c r="BW213" s="3333"/>
      <c r="BX213" s="3333"/>
      <c r="BY213" s="3333"/>
    </row>
    <row r="214" spans="3:77" ht="17.100000000000001" customHeight="1" x14ac:dyDescent="0.2">
      <c r="C214" s="3333"/>
      <c r="D214" s="3333"/>
      <c r="E214" s="3333"/>
      <c r="F214" s="3333"/>
      <c r="G214" s="3333"/>
      <c r="H214" s="3333"/>
      <c r="I214" s="3333"/>
      <c r="J214" s="3333"/>
      <c r="K214" s="3333"/>
      <c r="L214" s="3333"/>
      <c r="M214" s="3333"/>
      <c r="N214" s="3333"/>
      <c r="O214" s="3333"/>
      <c r="P214" s="3333"/>
      <c r="Q214" s="3333"/>
      <c r="R214" s="3333"/>
      <c r="S214" s="3333"/>
      <c r="T214" s="3333"/>
      <c r="U214" s="3333"/>
      <c r="V214" s="3333"/>
      <c r="W214" s="3333"/>
      <c r="X214" s="3333"/>
      <c r="Y214" s="3333"/>
      <c r="Z214" s="3333"/>
      <c r="AA214" s="3333"/>
      <c r="AB214" s="3333"/>
      <c r="AC214" s="3333"/>
      <c r="AD214" s="3333"/>
      <c r="AE214" s="3333"/>
      <c r="AF214" s="3333"/>
      <c r="AG214" s="3333"/>
      <c r="AH214" s="3333"/>
      <c r="AI214" s="3333"/>
      <c r="AJ214" s="3333"/>
      <c r="AK214" s="3333"/>
      <c r="AL214" s="3333"/>
      <c r="AM214" s="3333"/>
      <c r="AN214" s="3333"/>
      <c r="AO214" s="3333"/>
      <c r="AP214" s="3333"/>
      <c r="AQ214" s="3333"/>
      <c r="AR214" s="3333"/>
      <c r="AS214" s="3333"/>
      <c r="AT214" s="3333"/>
      <c r="AU214" s="3333"/>
      <c r="AV214" s="3333"/>
      <c r="AW214" s="3333"/>
      <c r="AX214" s="3333"/>
      <c r="AY214" s="3333"/>
      <c r="AZ214" s="3333"/>
      <c r="BA214" s="3333"/>
      <c r="BB214" s="3333"/>
      <c r="BC214" s="3333"/>
      <c r="BD214" s="3333"/>
      <c r="BE214" s="3333"/>
      <c r="BF214" s="3333"/>
      <c r="BG214" s="3333"/>
      <c r="BH214" s="3333"/>
      <c r="BI214" s="3333"/>
      <c r="BJ214" s="3333"/>
      <c r="BK214" s="3333"/>
      <c r="BL214" s="3333"/>
      <c r="BM214" s="3333"/>
      <c r="BN214" s="3333"/>
      <c r="BO214" s="3333"/>
      <c r="BP214" s="3333"/>
      <c r="BQ214" s="3333"/>
      <c r="BR214" s="3333"/>
      <c r="BS214" s="3333"/>
      <c r="BT214" s="3333"/>
      <c r="BU214" s="3333"/>
      <c r="BV214" s="3333"/>
      <c r="BW214" s="3333"/>
      <c r="BX214" s="3333"/>
      <c r="BY214" s="3333"/>
    </row>
    <row r="215" spans="3:77" ht="17.100000000000001" customHeight="1" x14ac:dyDescent="0.2">
      <c r="C215" s="3333"/>
      <c r="D215" s="3333"/>
      <c r="E215" s="3333"/>
      <c r="F215" s="3333"/>
      <c r="G215" s="3333"/>
      <c r="H215" s="3333"/>
      <c r="I215" s="3333"/>
      <c r="J215" s="3333"/>
      <c r="K215" s="3333"/>
      <c r="L215" s="3333"/>
      <c r="M215" s="3333"/>
      <c r="N215" s="3333"/>
      <c r="O215" s="3333"/>
      <c r="P215" s="3333"/>
      <c r="Q215" s="3333"/>
      <c r="R215" s="3333"/>
      <c r="S215" s="3333"/>
      <c r="T215" s="3333"/>
      <c r="U215" s="3333"/>
      <c r="V215" s="3333"/>
      <c r="W215" s="3333"/>
      <c r="X215" s="3333"/>
      <c r="Y215" s="3333"/>
      <c r="Z215" s="3333"/>
      <c r="AA215" s="3333"/>
      <c r="AB215" s="3333"/>
      <c r="AC215" s="3333"/>
      <c r="AD215" s="3333"/>
      <c r="AE215" s="3333"/>
      <c r="AF215" s="3333"/>
      <c r="AG215" s="3333"/>
      <c r="AH215" s="3333"/>
      <c r="AI215" s="3333"/>
      <c r="AJ215" s="3333"/>
      <c r="AK215" s="3333"/>
      <c r="AL215" s="3333"/>
      <c r="AM215" s="3333"/>
      <c r="AN215" s="3333"/>
      <c r="AO215" s="3333"/>
      <c r="AP215" s="3333"/>
      <c r="AQ215" s="3333"/>
      <c r="AR215" s="3333"/>
      <c r="AS215" s="3333"/>
      <c r="AT215" s="3333"/>
      <c r="AU215" s="3333"/>
      <c r="AV215" s="3333"/>
      <c r="AW215" s="3333"/>
      <c r="AX215" s="3333"/>
      <c r="AY215" s="3333"/>
      <c r="AZ215" s="3333"/>
      <c r="BA215" s="3333"/>
      <c r="BB215" s="3333"/>
      <c r="BC215" s="3333"/>
      <c r="BD215" s="3333"/>
      <c r="BE215" s="3333"/>
      <c r="BF215" s="3333"/>
      <c r="BG215" s="3333"/>
      <c r="BH215" s="3333"/>
      <c r="BI215" s="3333"/>
      <c r="BJ215" s="3333"/>
      <c r="BK215" s="3333"/>
      <c r="BL215" s="3333"/>
      <c r="BM215" s="3333"/>
      <c r="BN215" s="3333"/>
      <c r="BO215" s="3333"/>
      <c r="BP215" s="3333"/>
      <c r="BQ215" s="3333"/>
      <c r="BR215" s="3333"/>
      <c r="BS215" s="3333"/>
      <c r="BT215" s="3333"/>
      <c r="BU215" s="3333"/>
      <c r="BV215" s="3333"/>
      <c r="BW215" s="3333"/>
      <c r="BX215" s="3333"/>
      <c r="BY215" s="3333"/>
    </row>
    <row r="216" spans="3:77" ht="17.100000000000001" customHeight="1" x14ac:dyDescent="0.2">
      <c r="C216" s="3333"/>
      <c r="D216" s="3333"/>
      <c r="E216" s="3333"/>
      <c r="F216" s="3333"/>
      <c r="G216" s="3333"/>
      <c r="H216" s="3333"/>
      <c r="I216" s="3333"/>
      <c r="J216" s="3333"/>
      <c r="K216" s="3333"/>
      <c r="L216" s="3333"/>
      <c r="M216" s="3333"/>
      <c r="N216" s="3333"/>
      <c r="O216" s="3333"/>
      <c r="P216" s="3333"/>
      <c r="Q216" s="3333"/>
      <c r="R216" s="3333"/>
      <c r="S216" s="3333"/>
      <c r="T216" s="3333"/>
      <c r="U216" s="3333"/>
      <c r="V216" s="3333"/>
      <c r="W216" s="3333"/>
      <c r="X216" s="3333"/>
      <c r="Y216" s="3333"/>
      <c r="Z216" s="3333"/>
      <c r="AA216" s="3333"/>
      <c r="AB216" s="3333"/>
      <c r="AC216" s="3333"/>
      <c r="AD216" s="3333"/>
      <c r="AE216" s="3333"/>
      <c r="AF216" s="3333"/>
      <c r="AG216" s="3333"/>
      <c r="AH216" s="3333"/>
      <c r="AI216" s="3333"/>
      <c r="AJ216" s="3333"/>
      <c r="AK216" s="3333"/>
      <c r="AL216" s="3333"/>
      <c r="AM216" s="3333"/>
      <c r="AN216" s="3333"/>
      <c r="AO216" s="3333"/>
      <c r="AP216" s="3333"/>
      <c r="AQ216" s="3333"/>
      <c r="AR216" s="3333"/>
      <c r="AS216" s="3333"/>
      <c r="AT216" s="3333"/>
      <c r="AU216" s="3333"/>
      <c r="AV216" s="3333"/>
      <c r="AW216" s="3333"/>
      <c r="AX216" s="3333"/>
      <c r="AY216" s="3333"/>
      <c r="AZ216" s="3333"/>
      <c r="BA216" s="3333"/>
      <c r="BB216" s="3333"/>
      <c r="BC216" s="3333"/>
      <c r="BD216" s="3333"/>
      <c r="BE216" s="3333"/>
      <c r="BF216" s="3333"/>
      <c r="BG216" s="3333"/>
      <c r="BH216" s="3333"/>
      <c r="BI216" s="3333"/>
      <c r="BJ216" s="3333"/>
      <c r="BK216" s="3333"/>
      <c r="BL216" s="3333"/>
      <c r="BM216" s="3333"/>
      <c r="BN216" s="3333"/>
      <c r="BO216" s="3333"/>
      <c r="BP216" s="3333"/>
      <c r="BQ216" s="3333"/>
      <c r="BR216" s="3333"/>
      <c r="BS216" s="3333"/>
      <c r="BT216" s="3333"/>
      <c r="BU216" s="3333"/>
      <c r="BV216" s="3333"/>
      <c r="BW216" s="3333"/>
      <c r="BX216" s="3333"/>
      <c r="BY216" s="3333"/>
    </row>
    <row r="217" spans="3:77" ht="17.100000000000001" customHeight="1" x14ac:dyDescent="0.2">
      <c r="C217" s="3333"/>
      <c r="D217" s="3333"/>
      <c r="E217" s="3333"/>
      <c r="F217" s="3333"/>
      <c r="G217" s="3333"/>
      <c r="H217" s="3333"/>
      <c r="I217" s="3333"/>
      <c r="J217" s="3333"/>
      <c r="K217" s="3333"/>
      <c r="L217" s="3333"/>
      <c r="M217" s="3333"/>
      <c r="N217" s="3333"/>
      <c r="O217" s="3333"/>
      <c r="P217" s="3333"/>
      <c r="Q217" s="3333"/>
      <c r="R217" s="3333"/>
      <c r="S217" s="3333"/>
      <c r="T217" s="3333"/>
      <c r="U217" s="3333"/>
      <c r="V217" s="3333"/>
      <c r="W217" s="3333"/>
      <c r="X217" s="3333"/>
      <c r="Y217" s="3333"/>
      <c r="Z217" s="3333"/>
      <c r="AA217" s="3333"/>
      <c r="AB217" s="3333"/>
      <c r="AC217" s="3333"/>
      <c r="AD217" s="3333"/>
      <c r="AE217" s="3333"/>
      <c r="AF217" s="3333"/>
      <c r="AG217" s="3333"/>
      <c r="AH217" s="3333"/>
      <c r="AI217" s="3333"/>
      <c r="AJ217" s="3333"/>
      <c r="AK217" s="3333"/>
      <c r="AL217" s="3333"/>
      <c r="AM217" s="3333"/>
      <c r="AN217" s="3333"/>
      <c r="AO217" s="3333"/>
      <c r="AP217" s="3333"/>
      <c r="AQ217" s="3333"/>
      <c r="AR217" s="3333"/>
      <c r="AS217" s="3333"/>
      <c r="AT217" s="3333"/>
      <c r="AU217" s="3333"/>
      <c r="AV217" s="3333"/>
      <c r="AW217" s="3333"/>
      <c r="AX217" s="3333"/>
      <c r="AY217" s="3333"/>
      <c r="AZ217" s="3333"/>
      <c r="BA217" s="3333"/>
      <c r="BB217" s="3333"/>
      <c r="BC217" s="3333"/>
      <c r="BD217" s="3333"/>
      <c r="BE217" s="3333"/>
      <c r="BF217" s="3333"/>
      <c r="BG217" s="3333"/>
      <c r="BH217" s="3333"/>
      <c r="BI217" s="3333"/>
      <c r="BJ217" s="3333"/>
      <c r="BK217" s="3333"/>
      <c r="BL217" s="3333"/>
      <c r="BM217" s="3333"/>
      <c r="BN217" s="3333"/>
      <c r="BO217" s="3333"/>
      <c r="BP217" s="3333"/>
      <c r="BQ217" s="3333"/>
      <c r="BR217" s="3333"/>
      <c r="BS217" s="3333"/>
      <c r="BT217" s="3333"/>
      <c r="BU217" s="3333"/>
      <c r="BV217" s="3333"/>
      <c r="BW217" s="3333"/>
      <c r="BX217" s="3333"/>
      <c r="BY217" s="3333"/>
    </row>
    <row r="218" spans="3:77" ht="17.100000000000001" customHeight="1" x14ac:dyDescent="0.2">
      <c r="C218" s="3333"/>
      <c r="D218" s="3333"/>
      <c r="E218" s="3333"/>
      <c r="F218" s="3333"/>
      <c r="G218" s="3333"/>
      <c r="H218" s="3333"/>
      <c r="I218" s="3333"/>
      <c r="J218" s="3333"/>
      <c r="K218" s="3333"/>
      <c r="L218" s="3333"/>
      <c r="M218" s="3333"/>
      <c r="N218" s="3333"/>
      <c r="O218" s="3333"/>
      <c r="P218" s="3333"/>
      <c r="Q218" s="3333"/>
      <c r="R218" s="3333"/>
      <c r="S218" s="3333"/>
      <c r="T218" s="3333"/>
      <c r="U218" s="3333"/>
      <c r="V218" s="3333"/>
      <c r="W218" s="3333"/>
      <c r="X218" s="3333"/>
      <c r="Y218" s="3333"/>
      <c r="Z218" s="3333"/>
      <c r="AA218" s="3333"/>
      <c r="AB218" s="3333"/>
      <c r="AC218" s="3333"/>
      <c r="AD218" s="3333"/>
      <c r="AE218" s="3333"/>
      <c r="AF218" s="3333"/>
      <c r="AG218" s="3333"/>
      <c r="AH218" s="3333"/>
      <c r="AI218" s="3333"/>
      <c r="AJ218" s="3333"/>
      <c r="AK218" s="3333"/>
      <c r="AL218" s="3333"/>
      <c r="AM218" s="3333"/>
      <c r="AN218" s="3333"/>
      <c r="AO218" s="3333"/>
      <c r="AP218" s="3333"/>
      <c r="AQ218" s="3333"/>
      <c r="AR218" s="3333"/>
      <c r="AS218" s="3333"/>
      <c r="AT218" s="3333"/>
      <c r="AU218" s="3333"/>
      <c r="AV218" s="3333"/>
      <c r="AW218" s="3333"/>
      <c r="AX218" s="3333"/>
      <c r="AY218" s="3333"/>
      <c r="AZ218" s="3333"/>
      <c r="BA218" s="3333"/>
      <c r="BB218" s="3333"/>
      <c r="BC218" s="3333"/>
      <c r="BD218" s="3333"/>
      <c r="BE218" s="3333"/>
      <c r="BF218" s="3333"/>
      <c r="BG218" s="3333"/>
      <c r="BH218" s="3333"/>
      <c r="BI218" s="3333"/>
      <c r="BJ218" s="3333"/>
      <c r="BK218" s="3333"/>
      <c r="BL218" s="3333"/>
      <c r="BM218" s="3333"/>
      <c r="BN218" s="3333"/>
      <c r="BO218" s="3333"/>
      <c r="BP218" s="3333"/>
      <c r="BQ218" s="3333"/>
      <c r="BR218" s="3333"/>
      <c r="BS218" s="3333"/>
      <c r="BT218" s="3333"/>
      <c r="BU218" s="3333"/>
      <c r="BV218" s="3333"/>
      <c r="BW218" s="3333"/>
      <c r="BX218" s="3333"/>
      <c r="BY218" s="3333"/>
    </row>
    <row r="219" spans="3:77" ht="17.100000000000001" customHeight="1" x14ac:dyDescent="0.2">
      <c r="C219" s="3333"/>
      <c r="D219" s="3333"/>
      <c r="E219" s="3333"/>
      <c r="F219" s="3333"/>
      <c r="G219" s="3333"/>
      <c r="H219" s="3333"/>
      <c r="I219" s="3333"/>
      <c r="J219" s="3333"/>
      <c r="K219" s="3333"/>
      <c r="L219" s="3333"/>
      <c r="M219" s="3333"/>
      <c r="N219" s="3333"/>
      <c r="O219" s="3333"/>
      <c r="P219" s="3333"/>
      <c r="Q219" s="3333"/>
      <c r="R219" s="3333"/>
      <c r="S219" s="3333"/>
      <c r="T219" s="3333"/>
      <c r="U219" s="3333"/>
      <c r="V219" s="3333"/>
      <c r="W219" s="3333"/>
      <c r="X219" s="3333"/>
      <c r="Y219" s="3333"/>
      <c r="Z219" s="3333"/>
      <c r="AA219" s="3333"/>
      <c r="AB219" s="3333"/>
      <c r="AC219" s="3333"/>
      <c r="AD219" s="3333"/>
      <c r="AE219" s="3333"/>
      <c r="AF219" s="3333"/>
      <c r="AG219" s="3333"/>
      <c r="AH219" s="3333"/>
      <c r="AI219" s="3333"/>
      <c r="AJ219" s="3333"/>
      <c r="AK219" s="3333"/>
      <c r="AL219" s="3333"/>
      <c r="AM219" s="3333"/>
      <c r="AN219" s="3333"/>
      <c r="AO219" s="3333"/>
      <c r="AP219" s="3333"/>
      <c r="AQ219" s="3333"/>
      <c r="AR219" s="3333"/>
      <c r="AS219" s="3333"/>
      <c r="AT219" s="3333"/>
      <c r="AU219" s="3333"/>
      <c r="AV219" s="3333"/>
      <c r="AW219" s="3333"/>
      <c r="AX219" s="3333"/>
      <c r="AY219" s="3333"/>
      <c r="AZ219" s="3333"/>
      <c r="BA219" s="3333"/>
      <c r="BB219" s="3333"/>
      <c r="BC219" s="3333"/>
      <c r="BD219" s="3333"/>
      <c r="BE219" s="3333"/>
      <c r="BF219" s="3333"/>
      <c r="BG219" s="3333"/>
      <c r="BH219" s="3333"/>
      <c r="BI219" s="3333"/>
      <c r="BJ219" s="3333"/>
      <c r="BK219" s="3333"/>
      <c r="BL219" s="3333"/>
      <c r="BM219" s="3333"/>
      <c r="BN219" s="3333"/>
      <c r="BO219" s="3333"/>
      <c r="BP219" s="3333"/>
      <c r="BQ219" s="3333"/>
      <c r="BR219" s="3333"/>
      <c r="BS219" s="3333"/>
      <c r="BT219" s="3333"/>
      <c r="BU219" s="3333"/>
      <c r="BV219" s="3333"/>
      <c r="BW219" s="3333"/>
      <c r="BX219" s="3333"/>
      <c r="BY219" s="3333"/>
    </row>
    <row r="220" spans="3:77" ht="17.100000000000001" customHeight="1" x14ac:dyDescent="0.2">
      <c r="C220" s="3333"/>
      <c r="D220" s="3333"/>
      <c r="E220" s="3333"/>
      <c r="F220" s="3333"/>
      <c r="G220" s="3333"/>
      <c r="H220" s="3333"/>
      <c r="I220" s="3333"/>
      <c r="J220" s="3333"/>
      <c r="K220" s="3333"/>
      <c r="L220" s="3333"/>
      <c r="M220" s="3333"/>
      <c r="N220" s="3333"/>
      <c r="O220" s="3333"/>
      <c r="P220" s="3333"/>
      <c r="Q220" s="3333"/>
      <c r="R220" s="3333"/>
      <c r="S220" s="3333"/>
      <c r="T220" s="3333"/>
      <c r="U220" s="3333"/>
      <c r="V220" s="3333"/>
      <c r="W220" s="3333"/>
      <c r="X220" s="3333"/>
      <c r="Y220" s="3333"/>
      <c r="Z220" s="3333"/>
      <c r="AA220" s="3333"/>
      <c r="AB220" s="3333"/>
      <c r="AC220" s="3333"/>
      <c r="AD220" s="3333"/>
      <c r="AE220" s="3333"/>
      <c r="AF220" s="3333"/>
      <c r="AG220" s="3333"/>
      <c r="AH220" s="3333"/>
      <c r="AI220" s="3333"/>
      <c r="AJ220" s="3333"/>
      <c r="AK220" s="3333"/>
      <c r="AL220" s="3333"/>
      <c r="AM220" s="3333"/>
      <c r="AN220" s="3333"/>
      <c r="AO220" s="3333"/>
      <c r="AP220" s="3333"/>
      <c r="AQ220" s="3333"/>
      <c r="AR220" s="3333"/>
      <c r="AS220" s="3333"/>
      <c r="AT220" s="3333"/>
      <c r="AU220" s="3333"/>
      <c r="AV220" s="3333"/>
      <c r="AW220" s="3333"/>
      <c r="AX220" s="3333"/>
      <c r="AY220" s="3333"/>
      <c r="AZ220" s="3333"/>
      <c r="BA220" s="3333"/>
      <c r="BB220" s="3333"/>
      <c r="BC220" s="3333"/>
      <c r="BD220" s="3333"/>
      <c r="BE220" s="3333"/>
      <c r="BF220" s="3333"/>
      <c r="BG220" s="3333"/>
      <c r="BH220" s="3333"/>
      <c r="BI220" s="3333"/>
      <c r="BJ220" s="3333"/>
      <c r="BK220" s="3333"/>
      <c r="BL220" s="3333"/>
      <c r="BM220" s="3333"/>
      <c r="BN220" s="3333"/>
      <c r="BO220" s="3333"/>
      <c r="BP220" s="3333"/>
      <c r="BQ220" s="3333"/>
      <c r="BR220" s="3333"/>
      <c r="BS220" s="3333"/>
      <c r="BT220" s="3333"/>
      <c r="BU220" s="3333"/>
      <c r="BV220" s="3333"/>
      <c r="BW220" s="3333"/>
      <c r="BX220" s="3333"/>
      <c r="BY220" s="3333"/>
    </row>
    <row r="221" spans="3:77" ht="17.100000000000001" customHeight="1" x14ac:dyDescent="0.2">
      <c r="C221" s="3333"/>
      <c r="D221" s="3333"/>
      <c r="E221" s="3333"/>
      <c r="F221" s="3333"/>
      <c r="G221" s="3333"/>
      <c r="H221" s="3333"/>
      <c r="I221" s="3333"/>
      <c r="J221" s="3333"/>
      <c r="K221" s="3333"/>
      <c r="L221" s="3333"/>
      <c r="M221" s="3333"/>
      <c r="N221" s="3333"/>
      <c r="O221" s="3333"/>
      <c r="P221" s="3333"/>
      <c r="Q221" s="3333"/>
      <c r="R221" s="3333"/>
      <c r="S221" s="3333"/>
      <c r="T221" s="3333"/>
      <c r="U221" s="3333"/>
      <c r="V221" s="3333"/>
      <c r="W221" s="3333"/>
      <c r="X221" s="3333"/>
      <c r="Y221" s="3333"/>
      <c r="Z221" s="3333"/>
      <c r="AA221" s="3333"/>
      <c r="AB221" s="3333"/>
      <c r="AC221" s="3333"/>
      <c r="AD221" s="3333"/>
      <c r="AE221" s="3333"/>
      <c r="AF221" s="3333"/>
      <c r="AG221" s="3333"/>
      <c r="AH221" s="3333"/>
      <c r="AI221" s="3333"/>
      <c r="AJ221" s="3333"/>
      <c r="AK221" s="3333"/>
      <c r="AL221" s="3333"/>
      <c r="AM221" s="3333"/>
      <c r="AN221" s="3333"/>
      <c r="AO221" s="3333"/>
      <c r="AP221" s="3333"/>
      <c r="AQ221" s="3333"/>
      <c r="AR221" s="3333"/>
      <c r="AS221" s="3333"/>
      <c r="AT221" s="3333"/>
      <c r="AU221" s="3333"/>
      <c r="AV221" s="3333"/>
      <c r="AW221" s="3333"/>
      <c r="AX221" s="3333"/>
      <c r="AY221" s="3333"/>
      <c r="AZ221" s="3333"/>
      <c r="BA221" s="3333"/>
      <c r="BB221" s="3333"/>
      <c r="BC221" s="3333"/>
      <c r="BD221" s="3333"/>
      <c r="BE221" s="3333"/>
      <c r="BF221" s="3333"/>
      <c r="BG221" s="3333"/>
      <c r="BH221" s="3333"/>
      <c r="BI221" s="3333"/>
      <c r="BJ221" s="3333"/>
      <c r="BK221" s="3333"/>
      <c r="BL221" s="3333"/>
      <c r="BM221" s="3333"/>
      <c r="BN221" s="3333"/>
      <c r="BO221" s="3333"/>
      <c r="BP221" s="3333"/>
      <c r="BQ221" s="3333"/>
      <c r="BR221" s="3333"/>
      <c r="BS221" s="3333"/>
      <c r="BT221" s="3333"/>
      <c r="BU221" s="3333"/>
      <c r="BV221" s="3333"/>
      <c r="BW221" s="3333"/>
      <c r="BX221" s="3333"/>
      <c r="BY221" s="3333"/>
    </row>
    <row r="222" spans="3:77" ht="17.100000000000001" customHeight="1" x14ac:dyDescent="0.2">
      <c r="C222" s="3333"/>
      <c r="D222" s="3333"/>
      <c r="E222" s="3333"/>
      <c r="F222" s="3333"/>
      <c r="G222" s="3333"/>
      <c r="H222" s="3333"/>
      <c r="I222" s="3333"/>
      <c r="J222" s="3333"/>
      <c r="K222" s="3333"/>
      <c r="L222" s="3333"/>
      <c r="M222" s="3333"/>
      <c r="N222" s="3333"/>
      <c r="O222" s="3333"/>
      <c r="P222" s="3333"/>
      <c r="Q222" s="3333"/>
      <c r="R222" s="3333"/>
      <c r="S222" s="3333"/>
      <c r="T222" s="3333"/>
      <c r="U222" s="3333"/>
      <c r="V222" s="3333"/>
      <c r="W222" s="3333"/>
      <c r="X222" s="3333"/>
      <c r="Y222" s="3333"/>
      <c r="Z222" s="3333"/>
      <c r="AA222" s="3333"/>
      <c r="AB222" s="3333"/>
      <c r="AC222" s="3333"/>
      <c r="AD222" s="3333"/>
      <c r="AE222" s="3333"/>
      <c r="AF222" s="3333"/>
      <c r="AG222" s="3333"/>
      <c r="AH222" s="3333"/>
      <c r="AI222" s="3333"/>
      <c r="AJ222" s="3333"/>
      <c r="AK222" s="3333"/>
      <c r="AL222" s="3333"/>
      <c r="AM222" s="3333"/>
      <c r="AN222" s="3333"/>
      <c r="AO222" s="3333"/>
      <c r="AP222" s="3333"/>
      <c r="AQ222" s="3333"/>
      <c r="AR222" s="3333"/>
      <c r="AS222" s="3333"/>
      <c r="AT222" s="3333"/>
      <c r="AU222" s="3333"/>
      <c r="AV222" s="3333"/>
      <c r="AW222" s="3333"/>
      <c r="AX222" s="3333"/>
      <c r="AY222" s="3333"/>
      <c r="AZ222" s="3333"/>
      <c r="BA222" s="3333"/>
      <c r="BB222" s="3333"/>
      <c r="BC222" s="3333"/>
      <c r="BD222" s="3333"/>
      <c r="BE222" s="3333"/>
      <c r="BF222" s="3333"/>
      <c r="BG222" s="3333"/>
      <c r="BH222" s="3333"/>
      <c r="BI222" s="3333"/>
      <c r="BJ222" s="3333"/>
      <c r="BK222" s="3333"/>
      <c r="BL222" s="3333"/>
      <c r="BM222" s="3333"/>
      <c r="BN222" s="3333"/>
      <c r="BO222" s="3333"/>
      <c r="BP222" s="3333"/>
      <c r="BQ222" s="3333"/>
      <c r="BR222" s="3333"/>
      <c r="BS222" s="3333"/>
      <c r="BT222" s="3333"/>
      <c r="BU222" s="3333"/>
      <c r="BV222" s="3333"/>
      <c r="BW222" s="3333"/>
      <c r="BX222" s="3333"/>
      <c r="BY222" s="3333"/>
    </row>
    <row r="223" spans="3:77" ht="17.100000000000001" customHeight="1" x14ac:dyDescent="0.3">
      <c r="R223" s="613"/>
      <c r="S223" s="613"/>
      <c r="T223" s="613"/>
      <c r="U223" s="613"/>
      <c r="V223" s="613"/>
      <c r="W223" s="613"/>
      <c r="X223" s="613"/>
      <c r="Y223" s="613"/>
      <c r="Z223" s="613"/>
      <c r="AA223" s="613"/>
      <c r="AB223" s="613"/>
      <c r="AC223" s="613"/>
      <c r="AD223" s="613"/>
      <c r="AE223" s="613"/>
      <c r="AF223" s="613"/>
      <c r="AG223" s="613"/>
      <c r="AH223" s="613"/>
      <c r="AI223" s="613"/>
      <c r="AJ223" s="613"/>
      <c r="AK223" s="613"/>
      <c r="AL223" s="613"/>
      <c r="AM223" s="613"/>
      <c r="AN223" s="613"/>
      <c r="AO223" s="613"/>
      <c r="AP223" s="613"/>
      <c r="AQ223" s="613"/>
      <c r="AR223" s="613"/>
      <c r="AS223" s="613"/>
      <c r="AT223" s="613"/>
      <c r="AU223" s="613"/>
      <c r="AV223" s="613"/>
      <c r="AW223" s="613"/>
      <c r="AX223" s="613"/>
      <c r="AY223" s="613"/>
      <c r="AZ223" s="613"/>
      <c r="BA223" s="613"/>
      <c r="BB223" s="613"/>
      <c r="BC223" s="613"/>
      <c r="BD223" s="613"/>
      <c r="BE223" s="613"/>
      <c r="BF223" s="613"/>
      <c r="BG223" s="613"/>
      <c r="BH223" s="613"/>
      <c r="BI223" s="613"/>
      <c r="BJ223" s="613"/>
      <c r="BK223" s="613"/>
      <c r="BL223" s="613"/>
      <c r="BM223" s="613"/>
      <c r="BN223" s="613"/>
      <c r="BO223" s="613"/>
      <c r="BP223" s="613"/>
      <c r="BQ223" s="613"/>
      <c r="BR223" s="613"/>
      <c r="BS223" s="613"/>
      <c r="BT223" s="613"/>
      <c r="BU223" s="613"/>
      <c r="BV223" s="613"/>
      <c r="BW223" s="613"/>
    </row>
    <row r="224" spans="3:77" ht="17.100000000000001" customHeight="1" x14ac:dyDescent="0.3">
      <c r="AN224" s="34"/>
    </row>
    <row r="225" spans="40:40" ht="17.100000000000001" customHeight="1" x14ac:dyDescent="0.3">
      <c r="AN225" s="34"/>
    </row>
    <row r="260" spans="4:17" ht="17.100000000000001" customHeight="1" x14ac:dyDescent="0.3">
      <c r="D260" s="28"/>
      <c r="E260" s="28"/>
      <c r="F260" s="28"/>
      <c r="G260" s="28"/>
      <c r="H260" s="28"/>
      <c r="I260" s="28"/>
      <c r="J260" s="28"/>
      <c r="K260" s="28"/>
      <c r="L260" s="28"/>
      <c r="M260" s="28"/>
      <c r="N260" s="28"/>
      <c r="O260" s="28"/>
      <c r="P260" s="28"/>
      <c r="Q260" s="28"/>
    </row>
  </sheetData>
  <sheetProtection sheet="1" scenarios="1"/>
  <mergeCells count="5">
    <mergeCell ref="C3:E36"/>
    <mergeCell ref="C41:E74"/>
    <mergeCell ref="C152:E185"/>
    <mergeCell ref="C115:E141"/>
    <mergeCell ref="C78:E111"/>
  </mergeCells>
  <dataValidations xWindow="105" yWindow="622" count="8">
    <dataValidation allowBlank="1" showInputMessage="1" showErrorMessage="1" promptTitle="Noteboard" prompt="This area is for: _x000a_• displaying reminders or useful info_x000a_• highlighting things to focus on_x000a_• posting useful thoughts and guides_x000a__x000a_Using shapes on the far right, copy and paste selection to create notes in the central grid. Or write directly on the grid." sqref="C3:E36" xr:uid="{D60588BA-8FAD-4700-9370-3EB0437843D3}"/>
    <dataValidation allowBlank="1" showInputMessage="1" showErrorMessage="1" promptTitle="Ideaboard" prompt="This area is for: _x000a_• displaying new ideas or concepts_x000a_• posting new creative or project info_x000a__x000a_Using shapes on the far right, copy and paste selection to create notes in the central grid. Or write directly on the grid." sqref="C41:E74" xr:uid="{C5971158-828B-4CB5-A9EC-FA313CAD50BD}"/>
    <dataValidation allowBlank="1" showInputMessage="1" showErrorMessage="1" promptTitle="Roadmap" prompt="These grids are for: _x000a_• laying out a plan and sequence of events_x000a_• show the direction of progress and/or actions for mind and body skills_x000a__x000a_Using the shapes on the right hand side, copy and paste your selection to create notes in the central sections." sqref="C115:E148" xr:uid="{EDD7ACF5-61CA-4824-B9E8-70B2884381DA}"/>
    <dataValidation allowBlank="1" showInputMessage="1" showErrorMessage="1" promptTitle="Chaos Zone" prompt="This space is for: _x000a_• placing random notes so as to declutter areas above_x000a_• keeping old notes that may be useful later_x000a_• retaining notes if unsure to delete yet_x000a__x000a_Copy and paste notes from the above sections." sqref="C152:E185" xr:uid="{7902C67B-DE10-4A1F-8375-D771C4961928}"/>
    <dataValidation allowBlank="1" showInputMessage="1" showErrorMessage="1" promptTitle="New Note Selection" prompt="Copy and paste shapes from here for new notes." sqref="BW3:BY36 BW41:BY74 BW115:BY148 BW78:BY111" xr:uid="{91FB5017-9934-4209-94EC-EC7E4639FDF4}"/>
    <dataValidation allowBlank="1" showInputMessage="1" showErrorMessage="1" promptTitle=" NOTES" prompt="This is for displaying info and ideas._x000a_ _x000a_Here you can:_x000a_• pin current focus/info on noteboard_x000a_• work through concepts on ideaboard, moodboard or mindmap_x000a_• plan out a roadmap of actions_x000a_ _x000a_Select individual cells for specific information and instructions._x000a_" sqref="CA1" xr:uid="{8AEDE8A1-38E9-435E-9A51-3A23F3D81D4F}"/>
    <dataValidation allowBlank="1" showInputMessage="1" showErrorMessage="1" promptTitle=" HUD = Overview" prompt=" LOGS = Journal           PLANS = Calendar_x000a_[NOTES = Ideas]           TIMINGS = Schedule_x000a__x000a_ MISSIONS = Tasks_x000a_ ACTIONS = Input_x000a_ PROGRESS = Output_x000a_ JOURNEY = Status_x000a__x000a_ BOUNTY = Rewards   MONEY = Finance_x000a_ VICTORY = Success    RESPITE = Media_x000a_ GUIDE = History" sqref="A1" xr:uid="{383AF7A2-4A13-4BAE-909B-D56E6D5CA690}"/>
    <dataValidation allowBlank="1" showInputMessage="1" showErrorMessage="1" promptTitle="Ideas Area" prompt="This is a space for: _x000a_• displaying additional ideas or concepts_x000a_• posting further creative or project info_x000a__x000a_Using shapes on the far right, copy and paste selection to create notes in the central grid. Or write directly on the grid." sqref="C78:E111" xr:uid="{06F9634D-D34E-4B6E-890A-8961506AC322}"/>
  </dataValidations>
  <printOptions horizontalCentered="1" verticalCentered="1" gridLines="1"/>
  <pageMargins left="0.39370078740157483" right="0.39370078740157483" top="0.39370078740157483" bottom="0.39370078740157483" header="0" footer="0"/>
  <pageSetup paperSize="9" scale="50" fitToWidth="0" fitToHeight="0" orientation="landscape" r:id="rId1"/>
  <headerFooter>
    <oddHeader>&amp;C&amp;"Lucida Console,Bold"GAMEPLAN</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6F063-48C2-4237-ADC0-785458521B18}">
  <sheetPr codeName="Sheet8"/>
  <dimension ref="A1:EY232"/>
  <sheetViews>
    <sheetView showGridLines="0" showRowColHeaders="0" zoomScaleNormal="100" workbookViewId="0"/>
  </sheetViews>
  <sheetFormatPr defaultColWidth="3.42578125" defaultRowHeight="17.100000000000001" customHeight="1" x14ac:dyDescent="0.15"/>
  <cols>
    <col min="1" max="36" width="3.42578125" style="19"/>
    <col min="37" max="37" width="3.42578125" style="19" customWidth="1"/>
    <col min="38" max="58" width="3.42578125" style="19"/>
    <col min="59" max="59" width="3.42578125" style="19" customWidth="1"/>
    <col min="60" max="63" width="3.42578125" style="19"/>
    <col min="64" max="64" width="3.42578125" style="19" customWidth="1"/>
    <col min="65" max="68" width="3.42578125" style="19"/>
    <col min="69" max="69" width="3.42578125" style="19" customWidth="1"/>
    <col min="70" max="79" width="3.42578125" style="19"/>
    <col min="80" max="155" width="3.42578125" style="19" hidden="1" customWidth="1"/>
    <col min="156" max="16384" width="3.42578125" style="19"/>
  </cols>
  <sheetData>
    <row r="1" spans="1:153" ht="17.100000000000001" customHeight="1" x14ac:dyDescent="0.15">
      <c r="A1" s="2694" t="s">
        <v>1706</v>
      </c>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8" t="s">
        <v>782</v>
      </c>
    </row>
    <row r="2" spans="1:153" ht="17.100000000000001" customHeight="1" x14ac:dyDescent="0.15">
      <c r="A2" s="17"/>
      <c r="B2" s="170"/>
      <c r="C2" s="170"/>
      <c r="D2" s="170"/>
      <c r="E2" s="170"/>
      <c r="F2" s="170"/>
      <c r="G2" s="171"/>
      <c r="H2" s="171"/>
      <c r="I2" s="171"/>
      <c r="J2" s="171"/>
      <c r="K2" s="171"/>
      <c r="L2" s="172"/>
      <c r="M2" s="172"/>
      <c r="N2" s="172"/>
      <c r="O2" s="172"/>
      <c r="P2" s="172"/>
      <c r="Q2" s="172"/>
      <c r="R2" s="171"/>
      <c r="S2" s="171"/>
      <c r="T2" s="171"/>
      <c r="U2" s="171"/>
      <c r="V2" s="171"/>
      <c r="W2" s="171"/>
      <c r="X2" s="171"/>
      <c r="Y2" s="171"/>
      <c r="Z2" s="171"/>
      <c r="AA2" s="171"/>
      <c r="AB2" s="171"/>
      <c r="AC2" s="171"/>
      <c r="AD2" s="171"/>
      <c r="AE2" s="171"/>
      <c r="AF2" s="171"/>
      <c r="AG2" s="171"/>
      <c r="AH2" s="171"/>
      <c r="AI2" s="171"/>
      <c r="AJ2" s="171"/>
      <c r="AK2" s="171"/>
      <c r="AL2" s="171"/>
      <c r="AM2" s="171"/>
      <c r="AN2" s="171"/>
      <c r="AO2" s="171"/>
      <c r="AP2" s="171"/>
      <c r="AQ2" s="171"/>
      <c r="AR2" s="171"/>
      <c r="AS2" s="171"/>
      <c r="AT2" s="171"/>
      <c r="AU2" s="171"/>
      <c r="AV2" s="171"/>
      <c r="AW2" s="171"/>
      <c r="AX2" s="171"/>
      <c r="AY2" s="171"/>
      <c r="AZ2" s="171"/>
      <c r="BA2" s="171"/>
      <c r="BB2" s="171"/>
      <c r="BC2" s="171"/>
      <c r="BD2" s="171"/>
      <c r="BE2" s="171"/>
      <c r="BF2" s="171"/>
      <c r="BG2" s="171"/>
      <c r="BH2" s="171"/>
      <c r="BI2" s="171"/>
      <c r="BJ2" s="171"/>
      <c r="BK2" s="171"/>
      <c r="BL2" s="171"/>
      <c r="BM2" s="171"/>
      <c r="BN2" s="171"/>
      <c r="BO2" s="171"/>
      <c r="BP2" s="171"/>
      <c r="BQ2" s="171"/>
      <c r="BR2" s="171"/>
      <c r="BS2" s="171"/>
      <c r="BT2" s="171"/>
      <c r="BU2" s="171"/>
      <c r="BV2" s="171"/>
      <c r="BW2" s="171"/>
      <c r="BX2" s="171"/>
      <c r="BY2" s="171"/>
      <c r="BZ2" s="170"/>
      <c r="CA2" s="17"/>
    </row>
    <row r="3" spans="1:153" ht="17.100000000000001" customHeight="1" x14ac:dyDescent="0.15">
      <c r="A3" s="17"/>
      <c r="B3" s="170"/>
      <c r="C3" s="3877" t="s">
        <v>93</v>
      </c>
      <c r="D3" s="3878"/>
      <c r="E3" s="3879"/>
      <c r="F3" s="173"/>
      <c r="G3" s="174"/>
      <c r="H3" s="175"/>
      <c r="I3" s="176"/>
      <c r="J3" s="263">
        <f>J4</f>
        <v>7</v>
      </c>
      <c r="K3" s="177"/>
      <c r="L3" s="177"/>
      <c r="M3" s="178"/>
      <c r="N3" s="263">
        <f>N4</f>
        <v>8</v>
      </c>
      <c r="O3" s="177"/>
      <c r="P3" s="177"/>
      <c r="Q3" s="178"/>
      <c r="R3" s="263">
        <f>R4</f>
        <v>9</v>
      </c>
      <c r="S3" s="177"/>
      <c r="T3" s="177"/>
      <c r="U3" s="178"/>
      <c r="V3" s="263">
        <f>V4</f>
        <v>10</v>
      </c>
      <c r="W3" s="177"/>
      <c r="X3" s="177"/>
      <c r="Y3" s="178"/>
      <c r="Z3" s="263">
        <f>Z4</f>
        <v>11</v>
      </c>
      <c r="AA3" s="177"/>
      <c r="AB3" s="177"/>
      <c r="AC3" s="178"/>
      <c r="AD3" s="263">
        <f>AD4</f>
        <v>12</v>
      </c>
      <c r="AE3" s="177"/>
      <c r="AF3" s="177"/>
      <c r="AG3" s="178"/>
      <c r="AH3" s="263">
        <f>AH4</f>
        <v>13</v>
      </c>
      <c r="AI3" s="177"/>
      <c r="AJ3" s="177"/>
      <c r="AK3" s="178"/>
      <c r="AL3" s="263">
        <f>AL4</f>
        <v>14</v>
      </c>
      <c r="AM3" s="177"/>
      <c r="AN3" s="177"/>
      <c r="AO3" s="178"/>
      <c r="AP3" s="263">
        <f>AP4</f>
        <v>15</v>
      </c>
      <c r="AQ3" s="177"/>
      <c r="AR3" s="177"/>
      <c r="AS3" s="178"/>
      <c r="AT3" s="263">
        <f>AT4</f>
        <v>16</v>
      </c>
      <c r="AU3" s="177"/>
      <c r="AV3" s="177"/>
      <c r="AW3" s="178"/>
      <c r="AX3" s="263">
        <f>AX4</f>
        <v>17</v>
      </c>
      <c r="AY3" s="177"/>
      <c r="AZ3" s="177"/>
      <c r="BA3" s="178"/>
      <c r="BB3" s="263">
        <f>BB4</f>
        <v>18</v>
      </c>
      <c r="BC3" s="177"/>
      <c r="BD3" s="177"/>
      <c r="BE3" s="178"/>
      <c r="BF3" s="263">
        <f>BF4</f>
        <v>19</v>
      </c>
      <c r="BG3" s="177"/>
      <c r="BH3" s="177"/>
      <c r="BI3" s="178"/>
      <c r="BJ3" s="263">
        <f>BJ4</f>
        <v>20</v>
      </c>
      <c r="BK3" s="177"/>
      <c r="BL3" s="177"/>
      <c r="BM3" s="178"/>
      <c r="BN3" s="263">
        <f>BN4</f>
        <v>21</v>
      </c>
      <c r="BO3" s="177"/>
      <c r="BP3" s="177"/>
      <c r="BQ3" s="178"/>
      <c r="BR3" s="263">
        <f>BR4</f>
        <v>22</v>
      </c>
      <c r="BS3" s="177"/>
      <c r="BT3" s="177"/>
      <c r="BU3" s="178"/>
      <c r="BV3" s="263">
        <f>BV4</f>
        <v>23</v>
      </c>
      <c r="BW3" s="175"/>
      <c r="BX3" s="175"/>
      <c r="BY3" s="175"/>
      <c r="BZ3" s="170"/>
      <c r="CA3" s="17"/>
      <c r="CC3" s="179">
        <f>$I$20-1</f>
        <v>6</v>
      </c>
      <c r="CD3" s="179">
        <f t="shared" ref="CD3:DI3" si="0">IF(CC3=23.75,0,CC3+0.25)</f>
        <v>6.25</v>
      </c>
      <c r="CE3" s="179">
        <f t="shared" si="0"/>
        <v>6.5</v>
      </c>
      <c r="CF3" s="179">
        <f t="shared" si="0"/>
        <v>6.75</v>
      </c>
      <c r="CG3" s="179">
        <f t="shared" si="0"/>
        <v>7</v>
      </c>
      <c r="CH3" s="179">
        <f t="shared" si="0"/>
        <v>7.25</v>
      </c>
      <c r="CI3" s="179">
        <f t="shared" si="0"/>
        <v>7.5</v>
      </c>
      <c r="CJ3" s="179">
        <f t="shared" si="0"/>
        <v>7.75</v>
      </c>
      <c r="CK3" s="179">
        <f t="shared" si="0"/>
        <v>8</v>
      </c>
      <c r="CL3" s="179">
        <f t="shared" si="0"/>
        <v>8.25</v>
      </c>
      <c r="CM3" s="179">
        <f t="shared" si="0"/>
        <v>8.5</v>
      </c>
      <c r="CN3" s="179">
        <f t="shared" si="0"/>
        <v>8.75</v>
      </c>
      <c r="CO3" s="179">
        <f t="shared" si="0"/>
        <v>9</v>
      </c>
      <c r="CP3" s="179">
        <f t="shared" si="0"/>
        <v>9.25</v>
      </c>
      <c r="CQ3" s="179">
        <f t="shared" si="0"/>
        <v>9.5</v>
      </c>
      <c r="CR3" s="179">
        <f t="shared" si="0"/>
        <v>9.75</v>
      </c>
      <c r="CS3" s="179">
        <f t="shared" si="0"/>
        <v>10</v>
      </c>
      <c r="CT3" s="179">
        <f t="shared" si="0"/>
        <v>10.25</v>
      </c>
      <c r="CU3" s="179">
        <f t="shared" si="0"/>
        <v>10.5</v>
      </c>
      <c r="CV3" s="179">
        <f t="shared" si="0"/>
        <v>10.75</v>
      </c>
      <c r="CW3" s="179">
        <f t="shared" si="0"/>
        <v>11</v>
      </c>
      <c r="CX3" s="179">
        <f t="shared" si="0"/>
        <v>11.25</v>
      </c>
      <c r="CY3" s="179">
        <f t="shared" si="0"/>
        <v>11.5</v>
      </c>
      <c r="CZ3" s="179">
        <f t="shared" si="0"/>
        <v>11.75</v>
      </c>
      <c r="DA3" s="179">
        <f t="shared" si="0"/>
        <v>12</v>
      </c>
      <c r="DB3" s="179">
        <f t="shared" si="0"/>
        <v>12.25</v>
      </c>
      <c r="DC3" s="179">
        <f t="shared" si="0"/>
        <v>12.5</v>
      </c>
      <c r="DD3" s="179">
        <f t="shared" si="0"/>
        <v>12.75</v>
      </c>
      <c r="DE3" s="179">
        <f t="shared" si="0"/>
        <v>13</v>
      </c>
      <c r="DF3" s="179">
        <f t="shared" si="0"/>
        <v>13.25</v>
      </c>
      <c r="DG3" s="179">
        <f t="shared" si="0"/>
        <v>13.5</v>
      </c>
      <c r="DH3" s="179">
        <f t="shared" si="0"/>
        <v>13.75</v>
      </c>
      <c r="DI3" s="179">
        <f t="shared" si="0"/>
        <v>14</v>
      </c>
      <c r="DJ3" s="179">
        <f t="shared" ref="DJ3:EO3" si="1">IF(DI3=23.75,0,DI3+0.25)</f>
        <v>14.25</v>
      </c>
      <c r="DK3" s="179">
        <f t="shared" si="1"/>
        <v>14.5</v>
      </c>
      <c r="DL3" s="179">
        <f t="shared" si="1"/>
        <v>14.75</v>
      </c>
      <c r="DM3" s="179">
        <f t="shared" si="1"/>
        <v>15</v>
      </c>
      <c r="DN3" s="179">
        <f t="shared" si="1"/>
        <v>15.25</v>
      </c>
      <c r="DO3" s="179">
        <f t="shared" si="1"/>
        <v>15.5</v>
      </c>
      <c r="DP3" s="179">
        <f t="shared" si="1"/>
        <v>15.75</v>
      </c>
      <c r="DQ3" s="179">
        <f t="shared" si="1"/>
        <v>16</v>
      </c>
      <c r="DR3" s="179">
        <f t="shared" si="1"/>
        <v>16.25</v>
      </c>
      <c r="DS3" s="179">
        <f t="shared" si="1"/>
        <v>16.5</v>
      </c>
      <c r="DT3" s="179">
        <f t="shared" si="1"/>
        <v>16.75</v>
      </c>
      <c r="DU3" s="179">
        <f t="shared" si="1"/>
        <v>17</v>
      </c>
      <c r="DV3" s="179">
        <f t="shared" si="1"/>
        <v>17.25</v>
      </c>
      <c r="DW3" s="179">
        <f t="shared" si="1"/>
        <v>17.5</v>
      </c>
      <c r="DX3" s="179">
        <f t="shared" si="1"/>
        <v>17.75</v>
      </c>
      <c r="DY3" s="179">
        <f t="shared" si="1"/>
        <v>18</v>
      </c>
      <c r="DZ3" s="179">
        <f t="shared" si="1"/>
        <v>18.25</v>
      </c>
      <c r="EA3" s="179">
        <f t="shared" si="1"/>
        <v>18.5</v>
      </c>
      <c r="EB3" s="179">
        <f t="shared" si="1"/>
        <v>18.75</v>
      </c>
      <c r="EC3" s="179">
        <f t="shared" si="1"/>
        <v>19</v>
      </c>
      <c r="ED3" s="179">
        <f t="shared" si="1"/>
        <v>19.25</v>
      </c>
      <c r="EE3" s="179">
        <f t="shared" si="1"/>
        <v>19.5</v>
      </c>
      <c r="EF3" s="179">
        <f t="shared" si="1"/>
        <v>19.75</v>
      </c>
      <c r="EG3" s="179">
        <f t="shared" si="1"/>
        <v>20</v>
      </c>
      <c r="EH3" s="179">
        <f t="shared" si="1"/>
        <v>20.25</v>
      </c>
      <c r="EI3" s="179">
        <f t="shared" si="1"/>
        <v>20.5</v>
      </c>
      <c r="EJ3" s="179">
        <f t="shared" si="1"/>
        <v>20.75</v>
      </c>
      <c r="EK3" s="179">
        <f t="shared" si="1"/>
        <v>21</v>
      </c>
      <c r="EL3" s="179">
        <f t="shared" si="1"/>
        <v>21.25</v>
      </c>
      <c r="EM3" s="179">
        <f t="shared" si="1"/>
        <v>21.5</v>
      </c>
      <c r="EN3" s="179">
        <f t="shared" si="1"/>
        <v>21.75</v>
      </c>
      <c r="EO3" s="179">
        <f t="shared" si="1"/>
        <v>22</v>
      </c>
      <c r="EP3" s="179">
        <f t="shared" ref="EP3:EW3" si="2">IF(EO3=23.75,0,EO3+0.25)</f>
        <v>22.25</v>
      </c>
      <c r="EQ3" s="179">
        <f t="shared" si="2"/>
        <v>22.5</v>
      </c>
      <c r="ER3" s="179">
        <f t="shared" si="2"/>
        <v>22.75</v>
      </c>
      <c r="ES3" s="179">
        <f t="shared" si="2"/>
        <v>23</v>
      </c>
      <c r="ET3" s="179">
        <f t="shared" si="2"/>
        <v>23.25</v>
      </c>
      <c r="EU3" s="179">
        <f t="shared" si="2"/>
        <v>23.5</v>
      </c>
      <c r="EV3" s="179">
        <f t="shared" si="2"/>
        <v>23.75</v>
      </c>
      <c r="EW3" s="179">
        <f t="shared" si="2"/>
        <v>0</v>
      </c>
    </row>
    <row r="4" spans="1:153" ht="17.100000000000001" customHeight="1" x14ac:dyDescent="0.15">
      <c r="A4" s="17"/>
      <c r="B4" s="170"/>
      <c r="C4" s="3880"/>
      <c r="D4" s="3881"/>
      <c r="E4" s="3882"/>
      <c r="F4" s="2186"/>
      <c r="G4" s="2186"/>
      <c r="H4" s="2187"/>
      <c r="I4" s="2188"/>
      <c r="J4" s="1090">
        <f>$I$20</f>
        <v>7</v>
      </c>
      <c r="K4" s="2197"/>
      <c r="L4" s="2198">
        <f>J4+0.3</f>
        <v>7.3</v>
      </c>
      <c r="M4" s="1091"/>
      <c r="N4" s="1090">
        <f>IF(J4=23,0,J4+1)</f>
        <v>8</v>
      </c>
      <c r="O4" s="2197"/>
      <c r="P4" s="2198">
        <f>N4+0.3</f>
        <v>8.3000000000000007</v>
      </c>
      <c r="Q4" s="1091"/>
      <c r="R4" s="1090">
        <f>IF(N4=23,0,N4+1)</f>
        <v>9</v>
      </c>
      <c r="S4" s="2197"/>
      <c r="T4" s="2198">
        <f>R4+0.3</f>
        <v>9.3000000000000007</v>
      </c>
      <c r="U4" s="1091"/>
      <c r="V4" s="1090">
        <f>IF(R4=23,0,R4+1)</f>
        <v>10</v>
      </c>
      <c r="W4" s="2197"/>
      <c r="X4" s="2198">
        <f>V4+0.3</f>
        <v>10.3</v>
      </c>
      <c r="Y4" s="1091"/>
      <c r="Z4" s="1090">
        <f>IF(V4=23,0,V4+1)</f>
        <v>11</v>
      </c>
      <c r="AA4" s="2197"/>
      <c r="AB4" s="2198">
        <f>Z4+0.3</f>
        <v>11.3</v>
      </c>
      <c r="AC4" s="1091"/>
      <c r="AD4" s="1090">
        <f>IF(Z4=23,0,Z4+1)</f>
        <v>12</v>
      </c>
      <c r="AE4" s="2197"/>
      <c r="AF4" s="2198">
        <f>AD4+0.3</f>
        <v>12.3</v>
      </c>
      <c r="AG4" s="1091"/>
      <c r="AH4" s="1090">
        <f>IF(AD4=23,0,AD4+1)</f>
        <v>13</v>
      </c>
      <c r="AI4" s="2197"/>
      <c r="AJ4" s="2198">
        <f>AH4+0.3</f>
        <v>13.3</v>
      </c>
      <c r="AK4" s="1091"/>
      <c r="AL4" s="1090">
        <f>IF(AH4=23,0,AH4+1)</f>
        <v>14</v>
      </c>
      <c r="AM4" s="2197"/>
      <c r="AN4" s="2198">
        <f>AL4+0.3</f>
        <v>14.3</v>
      </c>
      <c r="AO4" s="1091"/>
      <c r="AP4" s="1090">
        <f>IF(AL4=23,0,AL4+1)</f>
        <v>15</v>
      </c>
      <c r="AQ4" s="2197"/>
      <c r="AR4" s="2198">
        <f>AP4+0.3</f>
        <v>15.3</v>
      </c>
      <c r="AS4" s="1091"/>
      <c r="AT4" s="1090">
        <f>IF(AP4=23,0,AP4+1)</f>
        <v>16</v>
      </c>
      <c r="AU4" s="2197"/>
      <c r="AV4" s="2198">
        <f>AT4+0.3</f>
        <v>16.3</v>
      </c>
      <c r="AW4" s="1091"/>
      <c r="AX4" s="1090">
        <f>IF(AT4=23,0,AT4+1)</f>
        <v>17</v>
      </c>
      <c r="AY4" s="2197"/>
      <c r="AZ4" s="2198">
        <f>AX4+0.3</f>
        <v>17.3</v>
      </c>
      <c r="BA4" s="1091"/>
      <c r="BB4" s="1090">
        <f>IF(AX4=23,0,AX4+1)</f>
        <v>18</v>
      </c>
      <c r="BC4" s="2197"/>
      <c r="BD4" s="2198">
        <f>BB4+0.3</f>
        <v>18.3</v>
      </c>
      <c r="BE4" s="1091"/>
      <c r="BF4" s="1090">
        <f>IF(BB4=23,0,BB4+1)</f>
        <v>19</v>
      </c>
      <c r="BG4" s="2197"/>
      <c r="BH4" s="2198">
        <f>BF4+0.3</f>
        <v>19.3</v>
      </c>
      <c r="BI4" s="1091"/>
      <c r="BJ4" s="1090">
        <f>IF(BF4=23,0,BF4+1)</f>
        <v>20</v>
      </c>
      <c r="BK4" s="2197"/>
      <c r="BL4" s="2198">
        <f>BJ4+0.3</f>
        <v>20.3</v>
      </c>
      <c r="BM4" s="1091"/>
      <c r="BN4" s="1090">
        <f>IF(BJ4=23,0,BJ4+1)</f>
        <v>21</v>
      </c>
      <c r="BO4" s="2197"/>
      <c r="BP4" s="2198">
        <f>BN4+0.3</f>
        <v>21.3</v>
      </c>
      <c r="BQ4" s="1091"/>
      <c r="BR4" s="1090">
        <f>IF(BN4=23,0,BN4+1)</f>
        <v>22</v>
      </c>
      <c r="BS4" s="2197"/>
      <c r="BT4" s="2198">
        <f>BR4+0.3</f>
        <v>22.3</v>
      </c>
      <c r="BU4" s="1091"/>
      <c r="BV4" s="1090">
        <f>IF(BR4=23,0,BR4+1)</f>
        <v>23</v>
      </c>
      <c r="BW4" s="2187"/>
      <c r="BX4" s="2187"/>
      <c r="BY4" s="2187"/>
      <c r="BZ4" s="170"/>
      <c r="CA4" s="17"/>
    </row>
    <row r="5" spans="1:153" ht="17.100000000000001" customHeight="1" x14ac:dyDescent="0.15">
      <c r="A5" s="17"/>
      <c r="B5" s="170"/>
      <c r="C5" s="3880"/>
      <c r="D5" s="3881"/>
      <c r="E5" s="3882"/>
      <c r="F5" s="180" t="str">
        <f ca="1">IF($C$3="TODAY",IF( AND( PLANS!$L$3 - INT(PLANS!$L$3) &gt;= CC3/24, PLANS!$L$3 - INT(PLANS!$L$3) &lt; CD3/24), "q", ""),"")</f>
        <v/>
      </c>
      <c r="G5" s="181" t="str">
        <f ca="1">IF($C$3="TODAY",IF( AND( PLANS!$L$3 - INT(PLANS!$L$3) &gt;= CD3/24, PLANS!$L$3 - INT(PLANS!$L$3) &lt; CE3/24), "q", ""),"")</f>
        <v/>
      </c>
      <c r="H5" s="181" t="str">
        <f ca="1">IF($C$3="TODAY",IF( AND( PLANS!$L$3 - INT(PLANS!$L$3) &gt;= CE3/24, PLANS!$L$3 - INT(PLANS!$L$3) &lt; CF3/24), "q", ""),"")</f>
        <v/>
      </c>
      <c r="I5" s="182" t="str">
        <f ca="1">IF($C$3="TODAY",IF( AND( PLANS!$L$3 - INT(PLANS!$L$3) &gt;= CF3/24, PLANS!$L$3 - INT(PLANS!$L$3) &lt; CG3/24), "q", ""),"")</f>
        <v/>
      </c>
      <c r="J5" s="180" t="str">
        <f ca="1">IF($C$3="TODAY",IF( AND( PLANS!$L$3 - INT(PLANS!$L$3) &gt;= CG3/24, PLANS!$L$3 - INT(PLANS!$L$3) &lt; CH3/24), "q", ""),"")</f>
        <v/>
      </c>
      <c r="K5" s="181" t="str">
        <f ca="1">IF($C$3="TODAY",IF( AND( PLANS!$L$3 - INT(PLANS!$L$3) &gt;= CH3/24, PLANS!$L$3 - INT(PLANS!$L$3) &lt; CI3/24), "q", ""),"")</f>
        <v/>
      </c>
      <c r="L5" s="181" t="str">
        <f ca="1">IF($C$3="TODAY",IF( AND( PLANS!$L$3 - INT(PLANS!$L$3) &gt;= CI3/24, PLANS!$L$3 - INT(PLANS!$L$3) &lt; CJ3/24), "q", ""),"")</f>
        <v/>
      </c>
      <c r="M5" s="182" t="str">
        <f ca="1">IF($C$3="TODAY",IF( AND( PLANS!$L$3 - INT(PLANS!$L$3) &gt;= CJ3/24, PLANS!$L$3 - INT(PLANS!$L$3) &lt; CK3/24), "q", ""),"")</f>
        <v/>
      </c>
      <c r="N5" s="180" t="str">
        <f ca="1">IF($C$3="TODAY",IF( AND( PLANS!$L$3 - INT(PLANS!$L$3) &gt;= CK3/24, PLANS!$L$3 - INT(PLANS!$L$3) &lt; CL3/24), "q", ""),"")</f>
        <v/>
      </c>
      <c r="O5" s="181" t="str">
        <f ca="1">IF($C$3="TODAY",IF( AND( PLANS!$L$3 - INT(PLANS!$L$3) &gt;= CL3/24, PLANS!$L$3 - INT(PLANS!$L$3) &lt; CM3/24), "q", ""),"")</f>
        <v/>
      </c>
      <c r="P5" s="181" t="str">
        <f ca="1">IF($C$3="TODAY",IF( AND( PLANS!$L$3 - INT(PLANS!$L$3) &gt;= CM3/24, PLANS!$L$3 - INT(PLANS!$L$3) &lt; CN3/24), "q", ""),"")</f>
        <v/>
      </c>
      <c r="Q5" s="182" t="str">
        <f ca="1">IF($C$3="TODAY",IF( AND( PLANS!$L$3 - INT(PLANS!$L$3) &gt;= CN3/24, PLANS!$L$3 - INT(PLANS!$L$3) &lt; CO3/24), "q", ""),"")</f>
        <v/>
      </c>
      <c r="R5" s="180" t="str">
        <f ca="1">IF($C$3="TODAY",IF( AND( PLANS!$L$3 - INT(PLANS!$L$3) &gt;= CO3/24, PLANS!$L$3 - INT(PLANS!$L$3) &lt; CP3/24), "q", ""),"")</f>
        <v/>
      </c>
      <c r="S5" s="181" t="str">
        <f ca="1">IF($C$3="TODAY",IF( AND( PLANS!$L$3 - INT(PLANS!$L$3) &gt;= CP3/24, PLANS!$L$3 - INT(PLANS!$L$3) &lt; CQ3/24), "q", ""),"")</f>
        <v/>
      </c>
      <c r="T5" s="181" t="str">
        <f ca="1">IF($C$3="TODAY",IF( AND( PLANS!$L$3 - INT(PLANS!$L$3) &gt;= CQ3/24, PLANS!$L$3 - INT(PLANS!$L$3) &lt; CR3/24), "q", ""),"")</f>
        <v/>
      </c>
      <c r="U5" s="182" t="str">
        <f ca="1">IF($C$3="TODAY",IF( AND( PLANS!$L$3 - INT(PLANS!$L$3) &gt;= CR3/24, PLANS!$L$3 - INT(PLANS!$L$3) &lt; CS3/24), "q", ""),"")</f>
        <v/>
      </c>
      <c r="V5" s="180" t="str">
        <f ca="1">IF($C$3="TODAY",IF( AND( PLANS!$L$3 - INT(PLANS!$L$3) &gt;= CS3/24, PLANS!$L$3 - INT(PLANS!$L$3) &lt; CT3/24), "q", ""),"")</f>
        <v/>
      </c>
      <c r="W5" s="181" t="str">
        <f ca="1">IF($C$3="TODAY",IF( AND( PLANS!$L$3 - INT(PLANS!$L$3) &gt;= CT3/24, PLANS!$L$3 - INT(PLANS!$L$3) &lt; CU3/24), "q", ""),"")</f>
        <v/>
      </c>
      <c r="X5" s="181" t="str">
        <f ca="1">IF($C$3="TODAY",IF( AND( PLANS!$L$3 - INT(PLANS!$L$3) &gt;= CU3/24, PLANS!$L$3 - INT(PLANS!$L$3) &lt; CV3/24), "q", ""),"")</f>
        <v/>
      </c>
      <c r="Y5" s="182" t="str">
        <f ca="1">IF($C$3="TODAY",IF( AND( PLANS!$L$3 - INT(PLANS!$L$3) &gt;= CV3/24, PLANS!$L$3 - INT(PLANS!$L$3) &lt; CW3/24), "q", ""),"")</f>
        <v/>
      </c>
      <c r="Z5" s="180" t="str">
        <f ca="1">IF($C$3="TODAY",IF( AND( PLANS!$L$3 - INT(PLANS!$L$3) &gt;= CW3/24, PLANS!$L$3 - INT(PLANS!$L$3) &lt; CX3/24), "q", ""),"")</f>
        <v/>
      </c>
      <c r="AA5" s="181" t="str">
        <f ca="1">IF($C$3="TODAY",IF( AND( PLANS!$L$3 - INT(PLANS!$L$3) &gt;= CX3/24, PLANS!$L$3 - INT(PLANS!$L$3) &lt; CY3/24), "q", ""),"")</f>
        <v/>
      </c>
      <c r="AB5" s="181" t="str">
        <f ca="1">IF($C$3="TODAY",IF( AND( PLANS!$L$3 - INT(PLANS!$L$3) &gt;= CY3/24, PLANS!$L$3 - INT(PLANS!$L$3) &lt; CZ3/24), "q", ""),"")</f>
        <v/>
      </c>
      <c r="AC5" s="182" t="str">
        <f ca="1">IF($C$3="TODAY",IF( AND( PLANS!$L$3 - INT(PLANS!$L$3) &gt;= CZ3/24, PLANS!$L$3 - INT(PLANS!$L$3) &lt; DA3/24), "q", ""),"")</f>
        <v/>
      </c>
      <c r="AD5" s="180" t="str">
        <f ca="1">IF($C$3="TODAY",IF( AND( PLANS!$L$3 - INT(PLANS!$L$3) &gt;= DA3/24, PLANS!$L$3 - INT(PLANS!$L$3) &lt; DB3/24), "q", ""),"")</f>
        <v/>
      </c>
      <c r="AE5" s="181" t="str">
        <f ca="1">IF($C$3="TODAY",IF( AND( PLANS!$L$3 - INT(PLANS!$L$3) &gt;= DB3/24, PLANS!$L$3 - INT(PLANS!$L$3) &lt; DC3/24), "q", ""),"")</f>
        <v/>
      </c>
      <c r="AF5" s="181" t="str">
        <f ca="1">IF($C$3="TODAY",IF( AND( PLANS!$L$3 - INT(PLANS!$L$3) &gt;= DC3/24, PLANS!$L$3 - INT(PLANS!$L$3) &lt; DD3/24), "q", ""),"")</f>
        <v/>
      </c>
      <c r="AG5" s="182" t="str">
        <f ca="1">IF($C$3="TODAY",IF( AND( PLANS!$L$3 - INT(PLANS!$L$3) &gt;= DD3/24, PLANS!$L$3 - INT(PLANS!$L$3) &lt; DE3/24), "q", ""),"")</f>
        <v/>
      </c>
      <c r="AH5" s="180" t="str">
        <f ca="1">IF($C$3="TODAY",IF( AND( PLANS!$L$3 - INT(PLANS!$L$3) &gt;= DE3/24, PLANS!$L$3 - INT(PLANS!$L$3) &lt; DF3/24), "q", ""),"")</f>
        <v/>
      </c>
      <c r="AI5" s="181" t="str">
        <f ca="1">IF($C$3="TODAY",IF( AND( PLANS!$L$3 - INT(PLANS!$L$3) &gt;= DF3/24, PLANS!$L$3 - INT(PLANS!$L$3) &lt; DG3/24), "q", ""),"")</f>
        <v/>
      </c>
      <c r="AJ5" s="181" t="str">
        <f ca="1">IF($C$3="TODAY",IF( AND( PLANS!$L$3 - INT(PLANS!$L$3) &gt;= DG3/24, PLANS!$L$3 - INT(PLANS!$L$3) &lt; DH3/24), "q", ""),"")</f>
        <v/>
      </c>
      <c r="AK5" s="182" t="str">
        <f ca="1">IF($C$3="TODAY",IF( AND( PLANS!$L$3 - INT(PLANS!$L$3) &gt;= DH3/24, PLANS!$L$3 - INT(PLANS!$L$3) &lt; DI3/24), "q", ""),"")</f>
        <v/>
      </c>
      <c r="AL5" s="180" t="str">
        <f ca="1">IF($C$3="TODAY",IF( AND( PLANS!$L$3 - INT(PLANS!$L$3) &gt;= DI3/24, PLANS!$L$3 - INT(PLANS!$L$3) &lt; DJ3/24), "q", ""),"")</f>
        <v/>
      </c>
      <c r="AM5" s="181" t="str">
        <f ca="1">IF($C$3="TODAY",IF( AND( PLANS!$L$3 - INT(PLANS!$L$3) &gt;= DJ3/24, PLANS!$L$3 - INT(PLANS!$L$3) &lt; DK3/24), "q", ""),"")</f>
        <v/>
      </c>
      <c r="AN5" s="181" t="str">
        <f ca="1">IF($C$3="TODAY",IF( AND( PLANS!$L$3 - INT(PLANS!$L$3) &gt;= DK3/24, PLANS!$L$3 - INT(PLANS!$L$3) &lt; DL3/24), "q", ""),"")</f>
        <v/>
      </c>
      <c r="AO5" s="182" t="str">
        <f ca="1">IF($C$3="TODAY",IF( AND( PLANS!$L$3 - INT(PLANS!$L$3) &gt;= DL3/24, PLANS!$L$3 - INT(PLANS!$L$3) &lt; DM3/24), "q", ""),"")</f>
        <v/>
      </c>
      <c r="AP5" s="180" t="str">
        <f ca="1">IF($C$3="TODAY",IF( AND( PLANS!$L$3 - INT(PLANS!$L$3) &gt;= DM3/24, PLANS!$L$3 - INT(PLANS!$L$3) &lt; DN3/24), "q", ""),"")</f>
        <v/>
      </c>
      <c r="AQ5" s="181" t="str">
        <f ca="1">IF($C$3="TODAY",IF( AND( PLANS!$L$3 - INT(PLANS!$L$3) &gt;= DN3/24, PLANS!$L$3 - INT(PLANS!$L$3) &lt; DO3/24), "q", ""),"")</f>
        <v/>
      </c>
      <c r="AR5" s="181" t="str">
        <f ca="1">IF($C$3="TODAY",IF( AND( PLANS!$L$3 - INT(PLANS!$L$3) &gt;= DO3/24, PLANS!$L$3 - INT(PLANS!$L$3) &lt; DP3/24), "q", ""),"")</f>
        <v/>
      </c>
      <c r="AS5" s="182" t="str">
        <f ca="1">IF($C$3="TODAY",IF( AND( PLANS!$L$3 - INT(PLANS!$L$3) &gt;= DP3/24, PLANS!$L$3 - INT(PLANS!$L$3) &lt; DQ3/24), "q", ""),"")</f>
        <v/>
      </c>
      <c r="AT5" s="180" t="str">
        <f ca="1">IF($C$3="TODAY",IF( AND( PLANS!$L$3 - INT(PLANS!$L$3) &gt;= DQ3/24, PLANS!$L$3 - INT(PLANS!$L$3) &lt; DR3/24), "q", ""),"")</f>
        <v/>
      </c>
      <c r="AU5" s="181" t="str">
        <f ca="1">IF($C$3="TODAY",IF( AND( PLANS!$L$3 - INT(PLANS!$L$3) &gt;= DR3/24, PLANS!$L$3 - INT(PLANS!$L$3) &lt; DS3/24), "q", ""),"")</f>
        <v/>
      </c>
      <c r="AV5" s="181" t="str">
        <f ca="1">IF($C$3="TODAY",IF( AND( PLANS!$L$3 - INT(PLANS!$L$3) &gt;= DS3/24, PLANS!$L$3 - INT(PLANS!$L$3) &lt; DT3/24), "q", ""),"")</f>
        <v/>
      </c>
      <c r="AW5" s="182" t="str">
        <f ca="1">IF($C$3="TODAY",IF( AND( PLANS!$L$3 - INT(PLANS!$L$3) &gt;= DT3/24, PLANS!$L$3 - INT(PLANS!$L$3) &lt; DU3/24), "q", ""),"")</f>
        <v/>
      </c>
      <c r="AX5" s="180" t="str">
        <f ca="1">IF($C$3="TODAY",IF( AND( PLANS!$L$3 - INT(PLANS!$L$3) &gt;= DU3/24, PLANS!$L$3 - INT(PLANS!$L$3) &lt; DV3/24), "q", ""),"")</f>
        <v/>
      </c>
      <c r="AY5" s="181" t="str">
        <f ca="1">IF($C$3="TODAY",IF( AND( PLANS!$L$3 - INT(PLANS!$L$3) &gt;= DV3/24, PLANS!$L$3 - INT(PLANS!$L$3) &lt; DW3/24), "q", ""),"")</f>
        <v/>
      </c>
      <c r="AZ5" s="181" t="str">
        <f ca="1">IF($C$3="TODAY",IF( AND( PLANS!$L$3 - INT(PLANS!$L$3) &gt;= DW3/24, PLANS!$L$3 - INT(PLANS!$L$3) &lt; DX3/24), "q", ""),"")</f>
        <v/>
      </c>
      <c r="BA5" s="182" t="str">
        <f ca="1">IF($C$3="TODAY",IF( AND( PLANS!$L$3 - INT(PLANS!$L$3) &gt;= DX3/24, PLANS!$L$3 - INT(PLANS!$L$3) &lt; DY3/24), "q", ""),"")</f>
        <v/>
      </c>
      <c r="BB5" s="180" t="str">
        <f ca="1">IF($C$3="TODAY",IF( AND( PLANS!$L$3 - INT(PLANS!$L$3) &gt;= DY3/24, PLANS!$L$3 - INT(PLANS!$L$3) &lt; DZ3/24), "q", ""),"")</f>
        <v/>
      </c>
      <c r="BC5" s="181" t="str">
        <f ca="1">IF($C$3="TODAY",IF( AND( PLANS!$L$3 - INT(PLANS!$L$3) &gt;= DZ3/24, PLANS!$L$3 - INT(PLANS!$L$3) &lt; EA3/24), "q", ""),"")</f>
        <v/>
      </c>
      <c r="BD5" s="181" t="str">
        <f ca="1">IF($C$3="TODAY",IF( AND( PLANS!$L$3 - INT(PLANS!$L$3) &gt;= EA3/24, PLANS!$L$3 - INT(PLANS!$L$3) &lt; EB3/24), "q", ""),"")</f>
        <v/>
      </c>
      <c r="BE5" s="182" t="str">
        <f ca="1">IF($C$3="TODAY",IF( AND( PLANS!$L$3 - INT(PLANS!$L$3) &gt;= EB3/24, PLANS!$L$3 - INT(PLANS!$L$3) &lt; EC3/24), "q", ""),"")</f>
        <v/>
      </c>
      <c r="BF5" s="180" t="str">
        <f ca="1">IF($C$3="TODAY",IF( AND( PLANS!$L$3 - INT(PLANS!$L$3) &gt;= EC3/24, PLANS!$L$3 - INT(PLANS!$L$3) &lt; ED3/24), "q", ""),"")</f>
        <v/>
      </c>
      <c r="BG5" s="181" t="str">
        <f ca="1">IF($C$3="TODAY",IF( AND( PLANS!$L$3 - INT(PLANS!$L$3) &gt;= ED3/24, PLANS!$L$3 - INT(PLANS!$L$3) &lt; EE3/24), "q", ""),"")</f>
        <v/>
      </c>
      <c r="BH5" s="181" t="str">
        <f ca="1">IF($C$3="TODAY",IF( AND( PLANS!$L$3 - INT(PLANS!$L$3) &gt;= EE3/24, PLANS!$L$3 - INT(PLANS!$L$3) &lt; EF3/24), "q", ""),"")</f>
        <v/>
      </c>
      <c r="BI5" s="182" t="str">
        <f ca="1">IF($C$3="TODAY",IF( AND( PLANS!$L$3 - INT(PLANS!$L$3) &gt;= EF3/24, PLANS!$L$3 - INT(PLANS!$L$3) &lt; EG3/24), "q", ""),"")</f>
        <v/>
      </c>
      <c r="BJ5" s="180" t="str">
        <f ca="1">IF($C$3="TODAY",IF( AND( PLANS!$L$3 - INT(PLANS!$L$3) &gt;= EG3/24, PLANS!$L$3 - INT(PLANS!$L$3) &lt; EH3/24), "q", ""),"")</f>
        <v/>
      </c>
      <c r="BK5" s="181" t="str">
        <f ca="1">IF($C$3="TODAY",IF( AND( PLANS!$L$3 - INT(PLANS!$L$3) &gt;= EH3/24, PLANS!$L$3 - INT(PLANS!$L$3) &lt; EI3/24), "q", ""),"")</f>
        <v/>
      </c>
      <c r="BL5" s="181" t="str">
        <f ca="1">IF($C$3="TODAY",IF( AND( PLANS!$L$3 - INT(PLANS!$L$3) &gt;= EI3/24, PLANS!$L$3 - INT(PLANS!$L$3) &lt; EJ3/24), "q", ""),"")</f>
        <v/>
      </c>
      <c r="BM5" s="182" t="str">
        <f ca="1">IF($C$3="TODAY",IF( AND( PLANS!$L$3 - INT(PLANS!$L$3) &gt;= EJ3/24, PLANS!$L$3 - INT(PLANS!$L$3) &lt; EK3/24), "q", ""),"")</f>
        <v/>
      </c>
      <c r="BN5" s="180" t="str">
        <f ca="1">IF($C$3="TODAY",IF( AND( PLANS!$L$3 - INT(PLANS!$L$3) &gt;= EK3/24, PLANS!$L$3 - INT(PLANS!$L$3) &lt; EL3/24), "q", ""),"")</f>
        <v/>
      </c>
      <c r="BO5" s="181" t="str">
        <f ca="1">IF($C$3="TODAY",IF( AND( PLANS!$L$3 - INT(PLANS!$L$3) &gt;= EL3/24, PLANS!$L$3 - INT(PLANS!$L$3) &lt; EM3/24), "q", ""),"")</f>
        <v/>
      </c>
      <c r="BP5" s="181" t="str">
        <f ca="1">IF($C$3="TODAY",IF( AND( PLANS!$L$3 - INT(PLANS!$L$3) &gt;= EM3/24, PLANS!$L$3 - INT(PLANS!$L$3) &lt; EN3/24), "q", ""),"")</f>
        <v/>
      </c>
      <c r="BQ5" s="182" t="str">
        <f ca="1">IF($C$3="TODAY",IF( AND( PLANS!$L$3 - INT(PLANS!$L$3) &gt;= EN3/24, PLANS!$L$3 - INT(PLANS!$L$3) &lt; EO3/24), "q", ""),"")</f>
        <v/>
      </c>
      <c r="BR5" s="180" t="str">
        <f ca="1">IF($C$3="TODAY",IF( AND( PLANS!$L$3 - INT(PLANS!$L$3) &gt;= EO3/24, PLANS!$L$3 - INT(PLANS!$L$3) &lt; EP3/24), "q", ""),"")</f>
        <v/>
      </c>
      <c r="BS5" s="181" t="str">
        <f ca="1">IF($C$3="TODAY",IF( AND( PLANS!$L$3 - INT(PLANS!$L$3) &gt;= EP3/24, PLANS!$L$3 - INT(PLANS!$L$3) &lt; EQ3/24), "q", ""),"")</f>
        <v/>
      </c>
      <c r="BT5" s="181" t="str">
        <f ca="1">IF($C$3="TODAY",IF( AND( PLANS!$L$3 - INT(PLANS!$L$3) &gt;= EQ3/24, PLANS!$L$3 - INT(PLANS!$L$3) &lt; ER3/24), "q", ""),"")</f>
        <v/>
      </c>
      <c r="BU5" s="182" t="str">
        <f ca="1">IF($C$3="TODAY",IF( AND( PLANS!$L$3 - INT(PLANS!$L$3) &gt;= ER3/24, PLANS!$L$3 - INT(PLANS!$L$3) &lt; ES3/24), "q", ""),"")</f>
        <v/>
      </c>
      <c r="BV5" s="180" t="str">
        <f ca="1">IF($C$3="TODAY",IF( AND( PLANS!$L$3 - INT(PLANS!$L$3) &gt;= ES3/24, PLANS!$L$3 - INT(PLANS!$L$3) &lt; ET3/24), "q", ""),"")</f>
        <v/>
      </c>
      <c r="BW5" s="181" t="str">
        <f ca="1">IF($C$3="TODAY",IF( AND( PLANS!$L$3 - INT(PLANS!$L$3) &gt;= ET3/24, PLANS!$L$3 - INT(PLANS!$L$3) &lt; EU3/24), "q", ""),"")</f>
        <v/>
      </c>
      <c r="BX5" s="181" t="str">
        <f ca="1">IF($C$3="TODAY",IF( AND( PLANS!$L$3 - INT(PLANS!$L$3) &gt;= EU3/24, PLANS!$L$3 - INT(PLANS!$L$3) &lt; EV3/24), "q", ""),"")</f>
        <v/>
      </c>
      <c r="BY5" s="181" t="str">
        <f ca="1">IF($C$3="TODAY",IF( AND( PLANS!$L$3 - INT(PLANS!$L$3) &gt;= EV3/24, PLANS!$L$3 - INT(PLANS!$L$3) &lt; EW3/24), "q", ""),"")</f>
        <v/>
      </c>
      <c r="BZ5" s="170"/>
      <c r="CA5" s="17"/>
      <c r="CC5" s="179"/>
      <c r="CD5" s="179"/>
      <c r="CE5" s="179"/>
      <c r="CF5" s="179"/>
      <c r="CG5" s="179"/>
      <c r="CH5" s="179"/>
      <c r="CI5" s="179"/>
      <c r="CJ5" s="179"/>
      <c r="CK5" s="179"/>
      <c r="CL5" s="179"/>
      <c r="CM5" s="179"/>
      <c r="CN5" s="179"/>
      <c r="CO5" s="179"/>
      <c r="CP5" s="179"/>
      <c r="CQ5" s="179"/>
      <c r="CR5" s="179"/>
      <c r="CS5" s="179"/>
      <c r="CT5" s="179"/>
      <c r="CU5" s="179"/>
      <c r="CV5" s="179"/>
      <c r="CW5" s="179"/>
      <c r="CX5" s="179"/>
      <c r="CY5" s="179"/>
      <c r="CZ5" s="179"/>
      <c r="DA5" s="179"/>
      <c r="DB5" s="179"/>
      <c r="DC5" s="179"/>
      <c r="DD5" s="179"/>
      <c r="DE5" s="179"/>
      <c r="DF5" s="179"/>
      <c r="DG5" s="179"/>
      <c r="DH5" s="179"/>
      <c r="DI5" s="179"/>
      <c r="DJ5" s="179"/>
      <c r="DK5" s="179"/>
      <c r="DL5" s="179"/>
      <c r="DM5" s="179"/>
      <c r="DN5" s="179"/>
      <c r="DO5" s="179"/>
      <c r="DP5" s="179"/>
      <c r="DQ5" s="179"/>
      <c r="DR5" s="179"/>
      <c r="DS5" s="179" t="str">
        <f>"0"&amp;EC8&amp;":00"</f>
        <v>007:00:00</v>
      </c>
      <c r="DT5" s="179"/>
      <c r="DU5" s="179"/>
      <c r="DV5" s="179"/>
      <c r="DW5" s="179"/>
      <c r="DX5" s="179"/>
      <c r="DY5" s="179"/>
      <c r="DZ5" s="179"/>
      <c r="EA5" s="179"/>
      <c r="EB5" s="179"/>
      <c r="EC5" s="179"/>
      <c r="ED5" s="179"/>
      <c r="EE5" s="179"/>
      <c r="EF5" s="179"/>
      <c r="EG5" s="179"/>
      <c r="EH5" s="179"/>
      <c r="EI5" s="179"/>
      <c r="EJ5" s="179"/>
      <c r="EK5" s="179"/>
      <c r="EL5" s="179"/>
      <c r="EM5" s="179"/>
      <c r="EN5" s="179"/>
      <c r="EO5" s="179"/>
      <c r="EP5" s="179"/>
      <c r="EQ5" s="179"/>
      <c r="ER5" s="179"/>
      <c r="ES5" s="179"/>
      <c r="ET5" s="179"/>
      <c r="EU5" s="179"/>
      <c r="EV5" s="179"/>
      <c r="EW5" s="179"/>
    </row>
    <row r="6" spans="1:153" ht="17.100000000000001" customHeight="1" x14ac:dyDescent="0.25">
      <c r="A6" s="17"/>
      <c r="B6" s="170"/>
      <c r="C6" s="3880"/>
      <c r="D6" s="3881"/>
      <c r="E6" s="3882"/>
      <c r="F6" s="2186"/>
      <c r="G6" s="2186"/>
      <c r="H6" s="2187"/>
      <c r="I6" s="2188"/>
      <c r="J6" s="2199" t="e" cm="1">
        <f t="array" aca="1" ref="J6" ca="1">_xlfn.IFS(
AND(OR(H6=1,J7=$DC$23),I7&lt;&gt;$DD$23),1,
AND(OR(H6=2,J7=$DC$28),I7&lt;&gt;$DD$28),2,
AND(OR(H6=3,J7=$DC$33),I7&lt;&gt;$DD$33),3,
TRUE,0)</f>
        <v>#VALUE!</v>
      </c>
      <c r="K6" s="2199"/>
      <c r="L6" s="2199" t="e" cm="1">
        <f t="array" aca="1" ref="L6" ca="1">_xlfn.IFS(
AND(OR(J6=1,L7=$DC$23),K7&lt;&gt;$DD$23),1,
AND(OR(J6=2,L7=$DC$28),K7&lt;&gt;$DD$28),2,
AND(OR(J6=3,L7=$DC$33),K7&lt;&gt;$DD$33),3,
TRUE,0)</f>
        <v>#VALUE!</v>
      </c>
      <c r="M6" s="2200"/>
      <c r="N6" s="2199" t="e" cm="1">
        <f t="array" aca="1" ref="N6" ca="1">_xlfn.IFS(
AND(OR(L6=1,N7=$DC$23),M7&lt;&gt;$DD$23),1,
AND(OR(L6=2,N7=$DC$28),M7&lt;&gt;$DD$28),2,
AND(OR(L6=3,N7=$DC$33),M7&lt;&gt;$DD$33),3,
TRUE,0)</f>
        <v>#VALUE!</v>
      </c>
      <c r="O6" s="2199"/>
      <c r="P6" s="2199" t="e" cm="1">
        <f t="array" aca="1" ref="P6" ca="1">_xlfn.IFS(
AND(OR(N6=1,P7=$DC$23),O7&lt;&gt;$DD$23),1,
AND(OR(N6=2,P7=$DC$28),O7&lt;&gt;$DD$28),2,
AND(OR(N6=3,P7=$DC$33),O7&lt;&gt;$DD$33),3,
TRUE,0)</f>
        <v>#VALUE!</v>
      </c>
      <c r="Q6" s="2200"/>
      <c r="R6" s="2199" t="e" cm="1">
        <f t="array" aca="1" ref="R6" ca="1">_xlfn.IFS(
AND(OR(P6=1,R7=$DC$23),Q7&lt;&gt;$DD$23),1,
AND(OR(P6=2,R7=$DC$28),Q7&lt;&gt;$DD$28),2,
AND(OR(P6=3,R7=$DC$33),Q7&lt;&gt;$DD$33),3,
TRUE,0)</f>
        <v>#VALUE!</v>
      </c>
      <c r="S6" s="2199"/>
      <c r="T6" s="2199" t="e" cm="1">
        <f t="array" aca="1" ref="T6" ca="1">_xlfn.IFS(
AND(OR(R6=1,T7=$DC$23),S7&lt;&gt;$DD$23),1,
AND(OR(R6=2,T7=$DC$28),S7&lt;&gt;$DD$28),2,
AND(OR(R6=3,T7=$DC$33),S7&lt;&gt;$DD$33),3,
TRUE,0)</f>
        <v>#VALUE!</v>
      </c>
      <c r="U6" s="2200"/>
      <c r="V6" s="2199" t="e" cm="1">
        <f t="array" aca="1" ref="V6" ca="1">_xlfn.IFS(
AND(OR(T6=1,V7=$DC$23),U7&lt;&gt;$DD$23),1,
AND(OR(T6=2,V7=$DC$28),U7&lt;&gt;$DD$28),2,
AND(OR(T6=3,V7=$DC$33),U7&lt;&gt;$DD$33),3,
TRUE,0)</f>
        <v>#VALUE!</v>
      </c>
      <c r="W6" s="2199"/>
      <c r="X6" s="2199" t="e" cm="1">
        <f t="array" aca="1" ref="X6" ca="1">_xlfn.IFS(
AND(OR(V6=1,X7=$DC$23),W7&lt;&gt;$DD$23),1,
AND(OR(V6=2,X7=$DC$28),W7&lt;&gt;$DD$28),2,
AND(OR(V6=3,X7=$DC$33),W7&lt;&gt;$DD$33),3,
TRUE,0)</f>
        <v>#VALUE!</v>
      </c>
      <c r="Y6" s="2200"/>
      <c r="Z6" s="2199" t="e" cm="1">
        <f t="array" aca="1" ref="Z6" ca="1">_xlfn.IFS(
AND(OR(X6=1,Z7=$DC$23),Y7&lt;&gt;$DD$23),1,
AND(OR(X6=2,Z7=$DC$28),Y7&lt;&gt;$DD$28),2,
AND(OR(X6=3,Z7=$DC$33),Y7&lt;&gt;$DD$33),3,
TRUE,0)</f>
        <v>#VALUE!</v>
      </c>
      <c r="AA6" s="2199"/>
      <c r="AB6" s="2199" t="e" cm="1">
        <f t="array" aca="1" ref="AB6" ca="1">_xlfn.IFS(
AND(OR(Z6=1,AB7=$DC$23),AA7&lt;&gt;$DD$23),1,
AND(OR(Z6=2,AB7=$DC$28),AA7&lt;&gt;$DD$28),2,
AND(OR(Z6=3,AB7=$DC$33),AA7&lt;&gt;$DD$33),3,
TRUE,0)</f>
        <v>#VALUE!</v>
      </c>
      <c r="AC6" s="2200"/>
      <c r="AD6" s="2199" t="e" cm="1">
        <f t="array" aca="1" ref="AD6" ca="1">_xlfn.IFS(
AND(OR(AB6=1,AD7=$DC$23),AC7&lt;&gt;$DD$23),1,
AND(OR(AB6=2,AD7=$DC$28),AC7&lt;&gt;$DD$28),2,
AND(OR(AB6=3,AD7=$DC$33),AC7&lt;&gt;$DD$33),3,
TRUE,0)</f>
        <v>#VALUE!</v>
      </c>
      <c r="AE6" s="2199"/>
      <c r="AF6" s="2199" t="e" cm="1">
        <f t="array" aca="1" ref="AF6" ca="1">_xlfn.IFS(
AND(OR(AD6=1,AF7=$DC$23),AE7&lt;&gt;$DD$23),1,
AND(OR(AD6=2,AF7=$DC$28),AE7&lt;&gt;$DD$28),2,
AND(OR(AD6=3,AF7=$DC$33),AE7&lt;&gt;$DD$33),3,
TRUE,0)</f>
        <v>#VALUE!</v>
      </c>
      <c r="AG6" s="2200"/>
      <c r="AH6" s="2199" t="e" cm="1">
        <f t="array" aca="1" ref="AH6" ca="1">_xlfn.IFS(
AND(OR(AF6=1,AH7=$DC$23),AG7&lt;&gt;$DD$23),1,
AND(OR(AF6=2,AH7=$DC$28),AG7&lt;&gt;$DD$28),2,
AND(OR(AF6=3,AH7=$DC$33),AG7&lt;&gt;$DD$33),3,
TRUE,0)</f>
        <v>#VALUE!</v>
      </c>
      <c r="AI6" s="2199"/>
      <c r="AJ6" s="2199" t="e" cm="1">
        <f t="array" aca="1" ref="AJ6" ca="1">_xlfn.IFS(
AND(OR(AH6=1,AJ7=$DC$23),AI7&lt;&gt;$DD$23),1,
AND(OR(AH6=2,AJ7=$DC$28),AI7&lt;&gt;$DD$28),2,
AND(OR(AH6=3,AJ7=$DC$33),AI7&lt;&gt;$DD$33),3,
TRUE,0)</f>
        <v>#VALUE!</v>
      </c>
      <c r="AK6" s="2200"/>
      <c r="AL6" s="2199" t="e" cm="1">
        <f t="array" aca="1" ref="AL6" ca="1">_xlfn.IFS(
AND(OR(AJ6=1,AL7=$DC$23),AK7&lt;&gt;$DD$23),1,
AND(OR(AJ6=2,AL7=$DC$28),AK7&lt;&gt;$DD$28),2,
AND(OR(AJ6=3,AL7=$DC$33),AK7&lt;&gt;$DD$33),3,
TRUE,0)</f>
        <v>#VALUE!</v>
      </c>
      <c r="AM6" s="2199"/>
      <c r="AN6" s="2199" t="e" cm="1">
        <f t="array" aca="1" ref="AN6" ca="1">_xlfn.IFS(
AND(OR(AL6=1,AN7=$DC$23),AM7&lt;&gt;$DD$23),1,
AND(OR(AL6=2,AN7=$DC$28),AM7&lt;&gt;$DD$28),2,
AND(OR(AL6=3,AN7=$DC$33),AM7&lt;&gt;$DD$33),3,
TRUE,0)</f>
        <v>#VALUE!</v>
      </c>
      <c r="AO6" s="2200"/>
      <c r="AP6" s="2199" t="e" cm="1">
        <f t="array" aca="1" ref="AP6" ca="1">_xlfn.IFS(
AND(OR(AN6=1,AP7=$DC$23),AO7&lt;&gt;$DD$23),1,
AND(OR(AN6=2,AP7=$DC$28),AO7&lt;&gt;$DD$28),2,
AND(OR(AN6=3,AP7=$DC$33),AO7&lt;&gt;$DD$33),3,
TRUE,0)</f>
        <v>#VALUE!</v>
      </c>
      <c r="AQ6" s="2199"/>
      <c r="AR6" s="2199" t="e" cm="1">
        <f t="array" aca="1" ref="AR6" ca="1">_xlfn.IFS(
AND(OR(AP6=1,AR7=$DC$23),AQ7&lt;&gt;$DD$23),1,
AND(OR(AP6=2,AR7=$DC$28),AQ7&lt;&gt;$DD$28),2,
AND(OR(AP6=3,AR7=$DC$33),AQ7&lt;&gt;$DD$33),3,
TRUE,0)</f>
        <v>#VALUE!</v>
      </c>
      <c r="AS6" s="2200"/>
      <c r="AT6" s="2199" t="e" cm="1">
        <f t="array" aca="1" ref="AT6" ca="1">_xlfn.IFS(
AND(OR(AR6=1,AT7=$DC$23),AS7&lt;&gt;$DD$23),1,
AND(OR(AR6=2,AT7=$DC$28),AS7&lt;&gt;$DD$28),2,
AND(OR(AR6=3,AT7=$DC$33),AS7&lt;&gt;$DD$33),3,
TRUE,0)</f>
        <v>#VALUE!</v>
      </c>
      <c r="AU6" s="2199"/>
      <c r="AV6" s="2199" t="e" cm="1">
        <f t="array" aca="1" ref="AV6" ca="1">_xlfn.IFS(
AND(OR(AT6=1,AV7=$DC$23),AU7&lt;&gt;$DD$23),1,
AND(OR(AT6=2,AV7=$DC$28),AU7&lt;&gt;$DD$28),2,
AND(OR(AT6=3,AV7=$DC$33),AU7&lt;&gt;$DD$33),3,
TRUE,0)</f>
        <v>#VALUE!</v>
      </c>
      <c r="AW6" s="2200"/>
      <c r="AX6" s="2199" t="e" cm="1">
        <f t="array" aca="1" ref="AX6" ca="1">_xlfn.IFS(
AND(OR(AV6=1,AX7=$DC$23),AW7&lt;&gt;$DD$23),1,
AND(OR(AV6=2,AX7=$DC$28),AW7&lt;&gt;$DD$28),2,
AND(OR(AV6=3,AX7=$DC$33),AW7&lt;&gt;$DD$33),3,
TRUE,0)</f>
        <v>#VALUE!</v>
      </c>
      <c r="AY6" s="2199"/>
      <c r="AZ6" s="2199" t="e" cm="1">
        <f t="array" aca="1" ref="AZ6" ca="1">_xlfn.IFS(
AND(OR(AX6=1,AZ7=$DC$23),AY7&lt;&gt;$DD$23),1,
AND(OR(AX6=2,AZ7=$DC$28),AY7&lt;&gt;$DD$28),2,
AND(OR(AX6=3,AZ7=$DC$33),AY7&lt;&gt;$DD$33),3,
TRUE,0)</f>
        <v>#VALUE!</v>
      </c>
      <c r="BA6" s="2200"/>
      <c r="BB6" s="2199" t="e" cm="1">
        <f t="array" aca="1" ref="BB6" ca="1">_xlfn.IFS(
AND(OR(AZ6=1,BB7=$DC$23),BA7&lt;&gt;$DD$23),1,
AND(OR(AZ6=2,BB7=$DC$28),BA7&lt;&gt;$DD$28),2,
AND(OR(AZ6=3,BB7=$DC$33),BA7&lt;&gt;$DD$33),3,
TRUE,0)</f>
        <v>#VALUE!</v>
      </c>
      <c r="BC6" s="2199"/>
      <c r="BD6" s="2199" t="e" cm="1">
        <f t="array" aca="1" ref="BD6" ca="1">_xlfn.IFS(
AND(OR(BB6=1,BD7=$DC$23),BC7&lt;&gt;$DD$23),1,
AND(OR(BB6=2,BD7=$DC$28),BC7&lt;&gt;$DD$28),2,
AND(OR(BB6=3,BD7=$DC$33),BC7&lt;&gt;$DD$33),3,
TRUE,0)</f>
        <v>#VALUE!</v>
      </c>
      <c r="BE6" s="2200"/>
      <c r="BF6" s="2199" t="e" cm="1">
        <f t="array" aca="1" ref="BF6" ca="1">_xlfn.IFS(
AND(OR(BD6=1,BF7=$DC$23),BE7&lt;&gt;$DD$23),1,
AND(OR(BD6=2,BF7=$DC$28),BE7&lt;&gt;$DD$28),2,
AND(OR(BD6=3,BF7=$DC$33),BE7&lt;&gt;$DD$33),3,
TRUE,0)</f>
        <v>#VALUE!</v>
      </c>
      <c r="BG6" s="2199"/>
      <c r="BH6" s="2199" t="e" cm="1">
        <f t="array" aca="1" ref="BH6" ca="1">_xlfn.IFS(
AND(OR(BF6=1,BH7=$DC$23),BG7&lt;&gt;$DD$23),1,
AND(OR(BF6=2,BH7=$DC$28),BG7&lt;&gt;$DD$28),2,
AND(OR(BF6=3,BH7=$DC$33),BG7&lt;&gt;$DD$33),3,
TRUE,0)</f>
        <v>#VALUE!</v>
      </c>
      <c r="BI6" s="2200"/>
      <c r="BJ6" s="2199" t="e" cm="1">
        <f t="array" aca="1" ref="BJ6" ca="1">_xlfn.IFS(
AND(OR(BH6=1,BJ7=$DC$23),BI7&lt;&gt;$DD$23),1,
AND(OR(BH6=2,BJ7=$DC$28),BI7&lt;&gt;$DD$28),2,
AND(OR(BH6=3,BJ7=$DC$33),BI7&lt;&gt;$DD$33),3,
TRUE,0)</f>
        <v>#VALUE!</v>
      </c>
      <c r="BK6" s="2199"/>
      <c r="BL6" s="2199" t="e" cm="1">
        <f t="array" aca="1" ref="BL6" ca="1">_xlfn.IFS(
AND(OR(BJ6=1,BL7=$DC$23),BK7&lt;&gt;$DD$23),1,
AND(OR(BJ6=2,BL7=$DC$28),BK7&lt;&gt;$DD$28),2,
AND(OR(BJ6=3,BL7=$DC$33),BK7&lt;&gt;$DD$33),3,
TRUE,0)</f>
        <v>#VALUE!</v>
      </c>
      <c r="BM6" s="2200"/>
      <c r="BN6" s="2199" t="e" cm="1">
        <f t="array" aca="1" ref="BN6" ca="1">_xlfn.IFS(
AND(OR(BL6=1,BN7=$DC$23),BM7&lt;&gt;$DD$23),1,
AND(OR(BL6=2,BN7=$DC$28),BM7&lt;&gt;$DD$28),2,
AND(OR(BL6=3,BN7=$DC$33),BM7&lt;&gt;$DD$33),3,
TRUE,0)</f>
        <v>#VALUE!</v>
      </c>
      <c r="BO6" s="2199"/>
      <c r="BP6" s="2199" t="e" cm="1">
        <f t="array" aca="1" ref="BP6" ca="1">_xlfn.IFS(
AND(OR(BN6=1,BP7=$DC$23),BO7&lt;&gt;$DD$23),1,
AND(OR(BN6=2,BP7=$DC$28),BO7&lt;&gt;$DD$28),2,
AND(OR(BN6=3,BP7=$DC$33),BO7&lt;&gt;$DD$33),3,
TRUE,0)</f>
        <v>#VALUE!</v>
      </c>
      <c r="BQ6" s="2200"/>
      <c r="BR6" s="2199" t="e" cm="1">
        <f t="array" aca="1" ref="BR6" ca="1">_xlfn.IFS(
AND(OR(BP6=1,BR7=$DC$23),BQ7&lt;&gt;$DD$23),1,
AND(OR(BP6=2,BR7=$DC$28),BQ7&lt;&gt;$DD$28),2,
AND(OR(BP6=3,BR7=$DC$33),BQ7&lt;&gt;$DD$33),3,
TRUE,0)</f>
        <v>#VALUE!</v>
      </c>
      <c r="BS6" s="2199"/>
      <c r="BT6" s="2199" t="e" cm="1">
        <f t="array" aca="1" ref="BT6" ca="1">_xlfn.IFS(
AND(OR(BR6=1,BT7=$DC$23),BS7&lt;&gt;$DD$23),1,
AND(OR(BR6=2,BT7=$DC$28),BS7&lt;&gt;$DD$28),2,
AND(OR(BR6=3,BT7=$DC$33),BS7&lt;&gt;$DD$33),3,
TRUE,0)</f>
        <v>#VALUE!</v>
      </c>
      <c r="BU6" s="2200"/>
      <c r="BV6" s="2186"/>
      <c r="BW6" s="2187"/>
      <c r="BX6" s="2187"/>
      <c r="BY6" s="2187"/>
      <c r="BZ6" s="170"/>
      <c r="CA6" s="17"/>
      <c r="CM6" s="183"/>
      <c r="CN6" s="183"/>
      <c r="CO6" s="183"/>
      <c r="CP6" s="183"/>
      <c r="CQ6" s="183"/>
      <c r="CR6" s="183"/>
      <c r="CS6" s="183"/>
      <c r="DD6" s="44"/>
      <c r="DS6" s="44" t="s">
        <v>798</v>
      </c>
      <c r="DU6" s="44" t="s">
        <v>801</v>
      </c>
      <c r="DW6" s="44" t="s">
        <v>800</v>
      </c>
      <c r="DY6" s="44" t="s">
        <v>799</v>
      </c>
    </row>
    <row r="7" spans="1:153" ht="17.100000000000001" customHeight="1" x14ac:dyDescent="0.25">
      <c r="A7" s="17"/>
      <c r="B7" s="170"/>
      <c r="C7" s="3880"/>
      <c r="D7" s="3881"/>
      <c r="E7" s="3882"/>
      <c r="F7" s="184"/>
      <c r="G7" s="184"/>
      <c r="H7" s="185"/>
      <c r="I7" s="186"/>
      <c r="J7" s="1090" t="e" cm="1">
        <f t="array" aca="1" ref="J7" ca="1">IF(
$C$3="TODAY",
_xlfn.IFS(
AND($DG$23=J4,
OR(
AND(WEEKDAY($DB$20,2)=1,$CE$10=1,$BX$23&lt;&gt;"HOL"),
AND(WEEKDAY($DB$20,2)=2,$CF$10=2,$BX$25&lt;&gt;"HOL"),
AND(WEEKDAY($DB$20,2)=3,$CG$10=3,$BX$27&lt;&gt;"HOL"),
AND(WEEKDAY($DB$20,2)=4,$CH$10=4,$BX$29&lt;&gt;"HOL"),
AND(WEEKDAY($DB$20,2)=5,$CI$10=5,$BX$31&lt;&gt;"HOL"),
AND(WEEKDAY($DB$20,2)=6,$CJ$10=6,$BX$33&lt;&gt;"HOL"),
AND(WEEKDAY($DB$20,2)=7,$CK$10=7,$BX$35&lt;&gt;"HOL")
)
),$DC$23,
AND($DG$25=J4,
OR(
AND(WEEKDAY($DB$20,2)=1,$CE$14=1,$BX$23&lt;&gt;"HOL"),
AND(WEEKDAY($DB$20,2)=2,$CF$14=2,$BX$25&lt;&gt;"HOL"),
AND(WEEKDAY($DB$20,2)=3,$CG$14=3,$BX$27&lt;&gt;"HOL"),
AND(WEEKDAY($DB$20,2)=4,$CH$14=4,$BX$29&lt;&gt;"HOL"),
AND(WEEKDAY($DB$20,2)=5,$CI$14=5,$BX$31&lt;&gt;"HOL"),
AND(WEEKDAY($DB$20,2)=6,$CJ$14=6,$BX$33&lt;&gt;"HOL"),
AND(WEEKDAY($DB$20,2)=7,$CK$14=7,$BX$35&lt;&gt;"HOL")
)
),$DC$23,
AND($DG$28=J4,
OR(
AND(WEEKDAY($DB$20,2)=1,$CP$10=1,$BX$23&lt;&gt;"HOL"),
AND(WEEKDAY($DB$20,2)=2,$CQ$10=2,$BX$25&lt;&gt;"HOL"),
AND(WEEKDAY($DB$20,2)=3,$CR$10=3,$BX$27&lt;&gt;"HOL"),
AND(WEEKDAY($DB$20,2)=4,$CS$10=4,$BX$29&lt;&gt;"HOL"),
AND(WEEKDAY($DB$20,2)=5,$CT$10=5,$BX$31&lt;&gt;"HOL"),
AND(WEEKDAY($DB$20,2)=6,$CU$10=6,$BX$33&lt;&gt;"HOL"),
AND(WEEKDAY($DB$20,2)=7,$CV$10=7,$BX$35&lt;&gt;"HOL")
)
),$DC$28,
AND($DG$30=J4,
OR(
AND(WEEKDAY($DB$20,2)=1,$CP$14=1,$BX$23&lt;&gt;"HOL"),
AND(WEEKDAY($DB$20,2)=2,$CQ$14=2,$BX$25&lt;&gt;"HOL"),
AND(WEEKDAY($DB$20,2)=3,$CR$14=3,$BX$27&lt;&gt;"HOL"),
AND(WEEKDAY($DB$20,2)=4,$CS$14=4,$BX$29&lt;&gt;"HOL"),
AND(WEEKDAY($DB$20,2)=5,$CT$14=5,$BX$31&lt;&gt;"HOL"),
AND(WEEKDAY($DB$20,2)=6,$CU$14=6,$BX$33&lt;&gt;"HOL"),
AND(WEEKDAY($DB$20,2)=7,$CV$14=7,$BX$35&lt;&gt;"HOL")
)
),$DC$28,
AND($DG$33=J4,
OR(
AND(WEEKDAY($DB$20,2)=1,$DA$10=1,$BX$23&lt;&gt;"HOL"),
AND(WEEKDAY($DB$20,2)=2,$DB$10=2,$BX$25&lt;&gt;"HOL"),
AND(WEEKDAY($DB$20,2)=3,$DC$10=3,$BX$27&lt;&gt;"HOL"),
AND(WEEKDAY($DB$20,2)=4,$DD$10=4,$BX$29&lt;&gt;"HOL"),
AND(WEEKDAY($DB$20,2)=5,$DE$10=5,$BX$31&lt;&gt;"HOL"),
AND(WEEKDAY($DB$20,2)=6,$DF$10=6,$BX$33&lt;&gt;"HOL"),
AND(WEEKDAY($DB$20,2)=7,$DG$10=7,$BX$35&lt;&gt;"HOL")
)
),$DC$33,
AND($DG$35=J4,
OR(
AND(WEEKDAY($DB$20,2)=1,$DA$14=1,$BX$23&lt;&gt;"HOL"),
AND(WEEKDAY($DB$20,2)=2,$DB$14=2,$BX$25&lt;&gt;"HOL"),
AND(WEEKDAY($DB$20,2)=3,$DC$14=3,$BX$27&lt;&gt;"HOL"),
AND(WEEKDAY($DB$20,2)=4,$DD$14=4,$BX$29&lt;&gt;"HOL"),
AND(WEEKDAY($DB$20,2)=5,$DE$14=5,$BX$31&lt;&gt;"HOL"),
AND(WEEKDAY($DB$20,2)=6,$DF$14=6,$BX$33&lt;&gt;"HOL"),
AND(WEEKDAY($DB$20,2)=7,$DG$14=7,$BX$35&lt;&gt;"HOL")
)
),$DC$33,
TRUE,""
),
_xlfn.IFS(
AND($DG$23=J4,
OR(
AND(WEEKDAY($DB$20+1,2)=1,$CE$10=1,$BX$23&lt;&gt;"HOL"),
AND(WEEKDAY($DB$20+1,2)=2,$CF$10=2,$BX$25&lt;&gt;"HOL"),
AND(WEEKDAY($DB$20+1,2)=3,$CG$10=3,$BX$27&lt;&gt;"HOL"),
AND(WEEKDAY($DB$20+1,2)=4,$CH$10=4,$BX$29&lt;&gt;"HOL"),
AND(WEEKDAY($DB$20+1,2)=5,$CI$10=5,$BX$31&lt;&gt;"HOL"),
AND(WEEKDAY($DB$20+1,2)=6,$CJ$10=6,$BX$33&lt;&gt;"HOL"),
AND(WEEKDAY($DB$20+1,2)=7,$CK$10=7,$BX$35&lt;&gt;"HOL")
)
),$DC$23,
AND($DG$25=J4,
OR(
AND(WEEKDAY($DB$20+1,2)=1,$CE$14=1,$BX$23&lt;&gt;"HOL"),
AND(WEEKDAY($DB$20+1,2)=2,$CF$14=2,$BX$25&lt;&gt;"HOL"),
AND(WEEKDAY($DB$20+1,2)=3,$CG$14=3,$BX$27&lt;&gt;"HOL"),
AND(WEEKDAY($DB$20+1,2)=4,$CH$14=4,$BX$29&lt;&gt;"HOL"),
AND(WEEKDAY($DB$20+1,2)=5,$CI$14=5,$BX$31&lt;&gt;"HOL"),
AND(WEEKDAY($DB$20+1,2)=6,$CJ$14=6,$BX$33&lt;&gt;"HOL"),
AND(WEEKDAY($DB$20+1,2)=7,$CK$14=7,$BX$35&lt;&gt;"HOL")
)
),$DC$23,
AND($DG$28=J4,
OR(
AND(WEEKDAY($DB$20+1,2)=1,$CP$10=1,$BX$23&lt;&gt;"HOL"),
AND(WEEKDAY($DB$20+1,2)=2,$CQ$10=2,$BX$25&lt;&gt;"HOL"),
AND(WEEKDAY($DB$20+1,2)=3,$CR$10=3,$BX$27&lt;&gt;"HOL"),
AND(WEEKDAY($DB$20+1,2)=4,$CS$10=4,$BX$29&lt;&gt;"HOL"),
AND(WEEKDAY($DB$20+1,2)=5,$CT$10=5,$BX$31&lt;&gt;"HOL"),
AND(WEEKDAY($DB$20+1,2)=6,$CU$10=6,$BX$33&lt;&gt;"HOL"),
AND(WEEKDAY($DB$20+1,2)=7,$CV$10=7,$BX$35&lt;&gt;"HOL")
)
),$DC$28,
AND($DG$30=J4,
OR(
AND(WEEKDAY($DB$20+1,2)=1,$CP$14=1,$BX$23&lt;&gt;"HOL"),
AND(WEEKDAY($DB$20+1,2)=2,$CQ$14=2,$BX$25&lt;&gt;"HOL"),
AND(WEEKDAY($DB$20+1,2)=3,$CR$14=3,$BX$27&lt;&gt;"HOL"),
AND(WEEKDAY($DB$20+1,2)=4,$CS$14=4,$BX$29&lt;&gt;"HOL"),
AND(WEEKDAY($DB$20+1,2)=5,$CT$14=5,$BX$31&lt;&gt;"HOL"),
AND(WEEKDAY($DB$20+1,2)=6,$CU$14=6,$BX$33&lt;&gt;"HOL"),
AND(WEEKDAY($DB$20+1,2)=7,$CV$14=7,$BX$35&lt;&gt;"HOL")
)
),$DC$28,
AND($DG$33=J4,
OR(
AND(WEEKDAY($DB$20+1,2)=1,$DA$10=1,$BX$23&lt;&gt;"HOL"),
AND(WEEKDAY($DB$20+1,2)=2,$DB$10=2,$BX$25&lt;&gt;"HOL"),
AND(WEEKDAY($DB$20+1,2)=3,$DC$10=3,$BX$27&lt;&gt;"HOL"),
AND(WEEKDAY($DB$20+1,2)=4,$DD$10=4,$BX$29&lt;&gt;"HOL"),
AND(WEEKDAY($DB$20+1,2)=5,$DE$10=5,$BX$31&lt;&gt;"HOL"),
AND(WEEKDAY($DB$20+1,2)=6,$DF$10=6,$BX$33&lt;&gt;"HOL"),
AND(WEEKDAY($DB$20+1,2)=7,$DG$10=7,$BX$35&lt;&gt;"HOL")
)
),$DC$33,
AND($DG$35=J4,
OR(
AND(WEEKDAY($DB$20+1,2)=1,$DA$14=1,$BX$23&lt;&gt;"HOL"),
AND(WEEKDAY($DB$20+1,2)=2,$DB$14=2,$BX$25&lt;&gt;"HOL"),
AND(WEEKDAY($DB$20+1,2)=3,$DC$14=3,$BX$27&lt;&gt;"HOL"),
AND(WEEKDAY($DB$20+1,2)=4,$DD$14=4,$BX$29&lt;&gt;"HOL"),
AND(WEEKDAY($DB$20+1,2)=5,$DE$14=5,$BX$31&lt;&gt;"HOL"),
AND(WEEKDAY($DB$20+1,2)=6,$DF$14=6,$BX$33&lt;&gt;"HOL"),
AND(WEEKDAY($DB$20+1,2)=7,$DG$14=7,$BX$35&lt;&gt;"HOL")
)
),$DC$33,
TRUE,""
)
)</f>
        <v>#VALUE!</v>
      </c>
      <c r="K7" s="2075" t="e" cm="1">
        <f t="array" aca="1" ref="K7" ca="1">IF(
$C$3="TODAY",
_xlfn.IFS(
AND($DG$24=L4,
OR(
AND(WEEKDAY($DB$20,2)=1,$CE$10=1,$BX$23&lt;&gt;"HOL"),
AND(WEEKDAY($DB$20,2)=2,$CF$10=2,$BX$25&lt;&gt;"HOL"),
AND(WEEKDAY($DB$20,2)=3,$CG$10=3,$BX$27&lt;&gt;"HOL"),
AND(WEEKDAY($DB$20,2)=4,$CH$10=4,$BX$29&lt;&gt;"HOL"),
AND(WEEKDAY($DB$20,2)=5,$CI$10=5,$BX$31&lt;&gt;"HOL"),
AND(WEEKDAY($DB$20,2)=6,$CJ$10=6,$BX$33&lt;&gt;"HOL"),
AND(WEEKDAY($DB$20,2)=7,$CK$10=7,$BX$35&lt;&gt;"HOL")
)
),$DD$23,
AND($DG$26=L4,
OR(
AND(WEEKDAY($DB$20,2)=1,$CE$14=1,$BX$23&lt;&gt;"HOL"),
AND(WEEKDAY($DB$20,2)=2,$CF$14=2,$BX$25&lt;&gt;"HOL"),
AND(WEEKDAY($DB$20,2)=3,$CG$14=3,$BX$27&lt;&gt;"HOL"),
AND(WEEKDAY($DB$20,2)=4,$CH$14=4,$BX$29&lt;&gt;"HOL"),
AND(WEEKDAY($DB$20,2)=5,$CI$14=5,$BX$31&lt;&gt;"HOL"),
AND(WEEKDAY($DB$20,2)=6,$CJ$14=6,$BX$33&lt;&gt;"HOL"),
AND(WEEKDAY($DB$20,2)=7,$CK$14=7,$BX$35&lt;&gt;"HOL")
)
),$DD$23,
AND($DG$29=L4,
OR(
AND(WEEKDAY($DB$20,2)=1,$CP$10=1,$BX$23&lt;&gt;"HOL"),
AND(WEEKDAY($DB$20,2)=2,$CQ$10=2,$BX$25&lt;&gt;"HOL"),
AND(WEEKDAY($DB$20,2)=3,$CR$10=3,$BX$27&lt;&gt;"HOL"),
AND(WEEKDAY($DB$20,2)=4,$CS$10=4,$BX$29&lt;&gt;"HOL"),
AND(WEEKDAY($DB$20,2)=5,$CT$10=5,$BX$31&lt;&gt;"HOL"),
AND(WEEKDAY($DB$20,2)=6,$CU$10=6,$BX$33&lt;&gt;"HOL"),
AND(WEEKDAY($DB$20,2)=7,$CV$10=7,$BX$35&lt;&gt;"HOL")
)
),$DD$28,
AND($DG$31=L4,
OR(
AND(WEEKDAY($DB$20,2)=1,$CP$14=1,$BX$23&lt;&gt;"HOL"),
AND(WEEKDAY($DB$20,2)=2,$CQ$14=2,$BX$25&lt;&gt;"HOL"),
AND(WEEKDAY($DB$20,2)=3,$CR$14=3,$BX$27&lt;&gt;"HOL"),
AND(WEEKDAY($DB$20,2)=4,$CS$14=4,$BX$29&lt;&gt;"HOL"),
AND(WEEKDAY($DB$20,2)=5,$CT$14=5,$BX$31&lt;&gt;"HOL"),
AND(WEEKDAY($DB$20,2)=6,$CU$14=6,$BX$33&lt;&gt;"HOL"),
AND(WEEKDAY($DB$20,2)=7,$CV$14=7,$BX$35&lt;&gt;"HOL")
)
),$DD$28,
AND($DG$34=L4,
OR(
AND(WEEKDAY($DB$20,2)=1,$DA$10=1,$BX$23&lt;&gt;"HOL"),
AND(WEEKDAY($DB$20,2)=2,$DB$10=2,$BX$25&lt;&gt;"HOL"),
AND(WEEKDAY($DB$20,2)=3,$DC$10=3,$BX$27&lt;&gt;"HOL"),
AND(WEEKDAY($DB$20,2)=4,$DD$10=4,$BX$29&lt;&gt;"HOL"),
AND(WEEKDAY($DB$20,2)=5,$DE$10=5,$BX$31&lt;&gt;"HOL"),
AND(WEEKDAY($DB$20,2)=6,$DF$10=6,$BX$33&lt;&gt;"HOL"),
AND(WEEKDAY($DB$20,2)=7,$DG$10=7,$BX$35&lt;&gt;"HOL")
)
),$DD$33,
AND($DG$36=L4,
OR(
AND(WEEKDAY($DB$20,2)=1,$DA$14=1,$BX$23&lt;&gt;"HOL"),
AND(WEEKDAY($DB$20,2)=2,$DB$14=2,$BX$25&lt;&gt;"HOL"),
AND(WEEKDAY($DB$20,2)=3,$DC$14=3,$BX$27&lt;&gt;"HOL"),
AND(WEEKDAY($DB$20,2)=4,$DD$14=4,$BX$29&lt;&gt;"HOL"),
AND(WEEKDAY($DB$20,2)=5,$DE$14=5,$BX$31&lt;&gt;"HOL"),
AND(WEEKDAY($DB$20,2)=6,$DF$14=6,$BX$33&lt;&gt;"HOL"),
AND(WEEKDAY($DB$20,2)=7,$DG$14=7,$BX$35&lt;&gt;"HOL")
)
),$DD$33,
TRUE,""
),
_xlfn.IFS(
AND($DG$24=L4,
OR(
AND(WEEKDAY($DB$20+1,2)=1,$CE$10=1,$BX$23&lt;&gt;"HOL"),
AND(WEEKDAY($DB$20+1,2)=2,$CF$10=2,$BX$25&lt;&gt;"HOL"),
AND(WEEKDAY($DB$20+1,2)=3,$CG$10=3,$BX$27&lt;&gt;"HOL"),
AND(WEEKDAY($DB$20+1,2)=4,$CH$10=4,$BX$29&lt;&gt;"HOL"),
AND(WEEKDAY($DB$20+1,2)=5,$CI$10=5,$BX$31&lt;&gt;"HOL"),
AND(WEEKDAY($DB$20+1,2)=6,$CJ$10=6,$BX$33&lt;&gt;"HOL"),
AND(WEEKDAY($DB$20+1,2)=7,$CK$10=7,$BX$35&lt;&gt;"HOL")
)
),$DD$23,
AND($DG$26=L4,
OR(
AND(WEEKDAY($DB$20+1,2)=1,$CE$14=1,$BX$23&lt;&gt;"HOL"),
AND(WEEKDAY($DB$20+1,2)=2,$CF$14=2,$BX$25&lt;&gt;"HOL"),
AND(WEEKDAY($DB$20+1,2)=3,$CG$14=3,$BX$27&lt;&gt;"HOL"),
AND(WEEKDAY($DB$20+1,2)=4,$CH$14=4,$BX$29&lt;&gt;"HOL"),
AND(WEEKDAY($DB$20+1,2)=5,$CI$14=5,$BX$31&lt;&gt;"HOL"),
AND(WEEKDAY($DB$20+1,2)=6,$CJ$14=6,$BX$33&lt;&gt;"HOL"),
AND(WEEKDAY($DB$20+1,2)=7,$CK$14=7,$BX$35&lt;&gt;"HOL")
)
),$DD$23,
AND($DG$29=L4,
OR(
AND(WEEKDAY($DB$20+1,2)=1,$CP$10=1,$BX$23&lt;&gt;"HOL"),
AND(WEEKDAY($DB$20+1,2)=2,$CQ$10=2,$BX$25&lt;&gt;"HOL"),
AND(WEEKDAY($DB$20+1,2)=3,$CR$10=3,$BX$27&lt;&gt;"HOL"),
AND(WEEKDAY($DB$20+1,2)=4,$CS$10=4,$BX$29&lt;&gt;"HOL"),
AND(WEEKDAY($DB$20+1,2)=5,$CT$10=5,$BX$31&lt;&gt;"HOL"),
AND(WEEKDAY($DB$20+1,2)=6,$CU$10=6,$BX$33&lt;&gt;"HOL"),
AND(WEEKDAY($DB$20+1,2)=7,$CV$10=7,$BX$35&lt;&gt;"HOL")
)
),$DD$28,
AND($DG$31=L4,
OR(
AND(WEEKDAY($DB$20+1,2)=1,$CP$14=1,$BX$23&lt;&gt;"HOL"),
AND(WEEKDAY($DB$20+1,2)=2,$CQ$14=2,$BX$25&lt;&gt;"HOL"),
AND(WEEKDAY($DB$20+1,2)=3,$CR$14=3,$BX$27&lt;&gt;"HOL"),
AND(WEEKDAY($DB$20+1,2)=4,$CS$14=4,$BX$29&lt;&gt;"HOL"),
AND(WEEKDAY($DB$20+1,2)=5,$CT$14=5,$BX$31&lt;&gt;"HOL"),
AND(WEEKDAY($DB$20+1,2)=6,$CU$14=6,$BX$33&lt;&gt;"HOL"),
AND(WEEKDAY($DB$20+1,2)=7,$CV$14=7,$BX$35&lt;&gt;"HOL")
)
),$DD$28,
AND($DG$34=L4,
OR(
AND(WEEKDAY($DB$20+1,2)=1,$DA$10=1,$BX$23&lt;&gt;"HOL"),
AND(WEEKDAY($DB$20+1,2)=2,$DB$10=2,$BX$25&lt;&gt;"HOL"),
AND(WEEKDAY($DB$20+1,2)=3,$DC$10=3,$BX$27&lt;&gt;"HOL"),
AND(WEEKDAY($DB$20+1,2)=4,$DD$10=4,$BX$29&lt;&gt;"HOL"),
AND(WEEKDAY($DB$20+1,2)=5,$DE$10=5,$BX$31&lt;&gt;"HOL"),
AND(WEEKDAY($DB$20+1,2)=6,$DF$10=6,$BX$33&lt;&gt;"HOL"),
AND(WEEKDAY($DB$20+1,2)=7,$DG$10=7,$BX$35&lt;&gt;"HOL")
)
),$DD$33,
AND($DG$36=L4,
OR(
AND(WEEKDAY($DB$20+1,2)=1,$DA$14=1,$BX$23&lt;&gt;"HOL"),
AND(WEEKDAY($DB$20+1,2)=2,$DB$14=2,$BX$25&lt;&gt;"HOL"),
AND(WEEKDAY($DB$20+1,2)=3,$DC$14=3,$BX$27&lt;&gt;"HOL"),
AND(WEEKDAY($DB$20+1,2)=4,$DD$14=4,$BX$29&lt;&gt;"HOL"),
AND(WEEKDAY($DB$20+1,2)=5,$DE$14=5,$BX$31&lt;&gt;"HOL"),
AND(WEEKDAY($DB$20+1,2)=6,$DF$14=6,$BX$33&lt;&gt;"HOL"),
AND(WEEKDAY($DB$20+1,2)=7,$DG$14=7,$BX$35&lt;&gt;"HOL")
)
),$DD$33,
TRUE,""
)
)</f>
        <v>#VALUE!</v>
      </c>
      <c r="L7" s="2076" t="e" cm="1">
        <f t="array" aca="1" ref="L7" ca="1">IF(
$C$3="TODAY",
_xlfn.IFS(
AND($DG$23=L4,
OR(
AND(WEEKDAY($DB$20,2)=1,$CE$10=1,$BX$23&lt;&gt;"HOL"),
AND(WEEKDAY($DB$20,2)=2,$CF$10=2,$BX$25&lt;&gt;"HOL"),
AND(WEEKDAY($DB$20,2)=3,$CG$10=3,$BX$27&lt;&gt;"HOL"),
AND(WEEKDAY($DB$20,2)=4,$CH$10=4,$BX$29&lt;&gt;"HOL"),
AND(WEEKDAY($DB$20,2)=5,$CI$10=5,$BX$31&lt;&gt;"HOL"),
AND(WEEKDAY($DB$20,2)=6,$CJ$10=6,$BX$33&lt;&gt;"HOL"),
AND(WEEKDAY($DB$20,2)=7,$CK$10=7,$BX$35&lt;&gt;"HOL")
)
),$DC$23,
AND($DG$25=L4,
OR(
AND(WEEKDAY($DB$20,2)=1,$CE$14=1,$BX$23&lt;&gt;"HOL"),
AND(WEEKDAY($DB$20,2)=2,$CF$14=2,$BX$25&lt;&gt;"HOL"),
AND(WEEKDAY($DB$20,2)=3,$CG$14=3,$BX$27&lt;&gt;"HOL"),
AND(WEEKDAY($DB$20,2)=4,$CH$14=4,$BX$29&lt;&gt;"HOL"),
AND(WEEKDAY($DB$20,2)=5,$CI$14=5,$BX$31&lt;&gt;"HOL"),
AND(WEEKDAY($DB$20,2)=6,$CJ$14=6,$BX$33&lt;&gt;"HOL"),
AND(WEEKDAY($DB$20,2)=7,$CK$14=7,$BX$35&lt;&gt;"HOL")
)
),$DC$23,
AND($DG$28=L4,
OR(
AND(WEEKDAY($DB$20,2)=1,$CP$10=1,$BX$23&lt;&gt;"HOL"),
AND(WEEKDAY($DB$20,2)=2,$CQ$10=2,$BX$25&lt;&gt;"HOL"),
AND(WEEKDAY($DB$20,2)=3,$CR$10=3,$BX$27&lt;&gt;"HOL"),
AND(WEEKDAY($DB$20,2)=4,$CS$10=4,$BX$29&lt;&gt;"HOL"),
AND(WEEKDAY($DB$20,2)=5,$CT$10=5,$BX$31&lt;&gt;"HOL"),
AND(WEEKDAY($DB$20,2)=6,$CU$10=6,$BX$33&lt;&gt;"HOL"),
AND(WEEKDAY($DB$20,2)=7,$CV$10=7,$BX$35&lt;&gt;"HOL")
)
),$DC$28,
AND($DG$30=L4,
OR(
AND(WEEKDAY($DB$20,2)=1,$CP$14=1,$BX$23&lt;&gt;"HOL"),
AND(WEEKDAY($DB$20,2)=2,$CQ$14=2,$BX$25&lt;&gt;"HOL"),
AND(WEEKDAY($DB$20,2)=3,$CR$14=3,$BX$27&lt;&gt;"HOL"),
AND(WEEKDAY($DB$20,2)=4,$CS$14=4,$BX$29&lt;&gt;"HOL"),
AND(WEEKDAY($DB$20,2)=5,$CT$14=5,$BX$31&lt;&gt;"HOL"),
AND(WEEKDAY($DB$20,2)=6,$CU$14=6,$BX$33&lt;&gt;"HOL"),
AND(WEEKDAY($DB$20,2)=7,$CV$14=7,$BX$35&lt;&gt;"HOL")
)
),$DC$28,
AND($DG$33=L4,
OR(
AND(WEEKDAY($DB$20,2)=1,$DA$10=1,$BX$23&lt;&gt;"HOL"),
AND(WEEKDAY($DB$20,2)=2,$DB$10=2,$BX$25&lt;&gt;"HOL"),
AND(WEEKDAY($DB$20,2)=3,$DC$10=3,$BX$27&lt;&gt;"HOL"),
AND(WEEKDAY($DB$20,2)=4,$DD$10=4,$BX$29&lt;&gt;"HOL"),
AND(WEEKDAY($DB$20,2)=5,$DE$10=5,$BX$31&lt;&gt;"HOL"),
AND(WEEKDAY($DB$20,2)=6,$DF$10=6,$BX$33&lt;&gt;"HOL"),
AND(WEEKDAY($DB$20,2)=7,$DG$10=7,$BX$35&lt;&gt;"HOL")
)
),$DC$33,
AND($DG$35=L4,
OR(
AND(WEEKDAY($DB$20,2)=1,$DA$14=1,$BX$23&lt;&gt;"HOL"),
AND(WEEKDAY($DB$20,2)=2,$DB$14=2,$BX$25&lt;&gt;"HOL"),
AND(WEEKDAY($DB$20,2)=3,$DC$14=3,$BX$27&lt;&gt;"HOL"),
AND(WEEKDAY($DB$20,2)=4,$DD$14=4,$BX$29&lt;&gt;"HOL"),
AND(WEEKDAY($DB$20,2)=5,$DE$14=5,$BX$31&lt;&gt;"HOL"),
AND(WEEKDAY($DB$20,2)=6,$DF$14=6,$BX$33&lt;&gt;"HOL"),
AND(WEEKDAY($DB$20,2)=7,$DG$14=7,$BX$35&lt;&gt;"HOL")
)
),$DC$33,
TRUE,""
),
_xlfn.IFS(
AND($DG$23=L4,
OR(
AND(WEEKDAY($DB$20+1,2)=1,$CE$10=1,$BX$23&lt;&gt;"HOL"),
AND(WEEKDAY($DB$20+1,2)=2,$CF$10=2,$BX$25&lt;&gt;"HOL"),
AND(WEEKDAY($DB$20+1,2)=3,$CG$10=3,$BX$27&lt;&gt;"HOL"),
AND(WEEKDAY($DB$20+1,2)=4,$CH$10=4,$BX$29&lt;&gt;"HOL"),
AND(WEEKDAY($DB$20+1,2)=5,$CI$10=5,$BX$31&lt;&gt;"HOL"),
AND(WEEKDAY($DB$20+1,2)=6,$CJ$10=6,$BX$33&lt;&gt;"HOL"),
AND(WEEKDAY($DB$20+1,2)=7,$CK$10=7,$BX$35&lt;&gt;"HOL")
)
),$DC$23,
AND($DG$25=L4,
OR(
AND(WEEKDAY($DB$20+1,2)=1,$CE$14=1,$BX$23&lt;&gt;"HOL"),
AND(WEEKDAY($DB$20+1,2)=2,$CF$14=2,$BX$25&lt;&gt;"HOL"),
AND(WEEKDAY($DB$20+1,2)=3,$CG$14=3,$BX$27&lt;&gt;"HOL"),
AND(WEEKDAY($DB$20+1,2)=4,$CH$14=4,$BX$29&lt;&gt;"HOL"),
AND(WEEKDAY($DB$20+1,2)=5,$CI$14=5,$BX$31&lt;&gt;"HOL"),
AND(WEEKDAY($DB$20+1,2)=6,$CJ$14=6,$BX$33&lt;&gt;"HOL"),
AND(WEEKDAY($DB$20+1,2)=7,$CK$14=7,$BX$35&lt;&gt;"HOL")
)
),$DC$23,
AND($DG$28=L4,
OR(
AND(WEEKDAY($DB$20+1,2)=1,$CP$10=1,$BX$23&lt;&gt;"HOL"),
AND(WEEKDAY($DB$20+1,2)=2,$CQ$10=2,$BX$25&lt;&gt;"HOL"),
AND(WEEKDAY($DB$20+1,2)=3,$CR$10=3,$BX$27&lt;&gt;"HOL"),
AND(WEEKDAY($DB$20+1,2)=4,$CS$10=4,$BX$29&lt;&gt;"HOL"),
AND(WEEKDAY($DB$20+1,2)=5,$CT$10=5,$BX$31&lt;&gt;"HOL"),
AND(WEEKDAY($DB$20+1,2)=6,$CU$10=6,$BX$33&lt;&gt;"HOL"),
AND(WEEKDAY($DB$20+1,2)=7,$CV$10=7,$BX$35&lt;&gt;"HOL")
)
),$DC$28,
AND($DG$30=L4,
OR(
AND(WEEKDAY($DB$20+1,2)=1,$CP$14=1,$BX$23&lt;&gt;"HOL"),
AND(WEEKDAY($DB$20+1,2)=2,$CQ$14=2,$BX$25&lt;&gt;"HOL"),
AND(WEEKDAY($DB$20+1,2)=3,$CR$14=3,$BX$27&lt;&gt;"HOL"),
AND(WEEKDAY($DB$20+1,2)=4,$CS$14=4,$BX$29&lt;&gt;"HOL"),
AND(WEEKDAY($DB$20+1,2)=5,$CT$14=5,$BX$31&lt;&gt;"HOL"),
AND(WEEKDAY($DB$20+1,2)=6,$CU$14=6,$BX$33&lt;&gt;"HOL"),
AND(WEEKDAY($DB$20+1,2)=7,$CV$14=7,$BX$35&lt;&gt;"HOL")
)
),$DC$28,
AND($DG$33=L4,
OR(
AND(WEEKDAY($DB$20+1,2)=1,$DA$10=1,$BX$23&lt;&gt;"HOL"),
AND(WEEKDAY($DB$20+1,2)=2,$DB$10=2,$BX$25&lt;&gt;"HOL"),
AND(WEEKDAY($DB$20+1,2)=3,$DC$10=3,$BX$27&lt;&gt;"HOL"),
AND(WEEKDAY($DB$20+1,2)=4,$DD$10=4,$BX$29&lt;&gt;"HOL"),
AND(WEEKDAY($DB$20+1,2)=5,$DE$10=5,$BX$31&lt;&gt;"HOL"),
AND(WEEKDAY($DB$20+1,2)=6,$DF$10=6,$BX$33&lt;&gt;"HOL"),
AND(WEEKDAY($DB$20+1,2)=7,$DG$10=7,$BX$35&lt;&gt;"HOL")
)
),$DC$33,
AND($DG$35=L4,
OR(
AND(WEEKDAY($DB$20+1,2)=1,$DA$14=1,$BX$23&lt;&gt;"HOL"),
AND(WEEKDAY($DB$20+1,2)=2,$DB$14=2,$BX$25&lt;&gt;"HOL"),
AND(WEEKDAY($DB$20+1,2)=3,$DC$14=3,$BX$27&lt;&gt;"HOL"),
AND(WEEKDAY($DB$20+1,2)=4,$DD$14=4,$BX$29&lt;&gt;"HOL"),
AND(WEEKDAY($DB$20+1,2)=5,$DE$14=5,$BX$31&lt;&gt;"HOL"),
AND(WEEKDAY($DB$20+1,2)=6,$DF$14=6,$BX$33&lt;&gt;"HOL"),
AND(WEEKDAY($DB$20+1,2)=7,$DG$14=7,$BX$35&lt;&gt;"HOL")
)
),$DC$33,
TRUE,""
)
)</f>
        <v>#VALUE!</v>
      </c>
      <c r="M7" s="2066" t="e" cm="1">
        <f t="array" aca="1" ref="M7" ca="1">IF(
$C$3="TODAY",
_xlfn.IFS(
AND($DG$24=N4,
OR(
AND(WEEKDAY($DB$20,2)=1,$CE$10=1,$BX$23&lt;&gt;"HOL"),
AND(WEEKDAY($DB$20,2)=2,$CF$10=2,$BX$25&lt;&gt;"HOL"),
AND(WEEKDAY($DB$20,2)=3,$CG$10=3,$BX$27&lt;&gt;"HOL"),
AND(WEEKDAY($DB$20,2)=4,$CH$10=4,$BX$29&lt;&gt;"HOL"),
AND(WEEKDAY($DB$20,2)=5,$CI$10=5,$BX$31&lt;&gt;"HOL"),
AND(WEEKDAY($DB$20,2)=6,$CJ$10=6,$BX$33&lt;&gt;"HOL"),
AND(WEEKDAY($DB$20,2)=7,$CK$10=7,$BX$35&lt;&gt;"HOL")
)
),$DD$23,
AND($DG$26=N4,
OR(
AND(WEEKDAY($DB$20,2)=1,$CE$14=1,$BX$23&lt;&gt;"HOL"),
AND(WEEKDAY($DB$20,2)=2,$CF$14=2,$BX$25&lt;&gt;"HOL"),
AND(WEEKDAY($DB$20,2)=3,$CG$14=3,$BX$27&lt;&gt;"HOL"),
AND(WEEKDAY($DB$20,2)=4,$CH$14=4,$BX$29&lt;&gt;"HOL"),
AND(WEEKDAY($DB$20,2)=5,$CI$14=5,$BX$31&lt;&gt;"HOL"),
AND(WEEKDAY($DB$20,2)=6,$CJ$14=6,$BX$33&lt;&gt;"HOL"),
AND(WEEKDAY($DB$20,2)=7,$CK$14=7,$BX$35&lt;&gt;"HOL")
)
),$DD$23,
AND($DG$29=N4,
OR(
AND(WEEKDAY($DB$20,2)=1,$CP$10=1,$BX$23&lt;&gt;"HOL"),
AND(WEEKDAY($DB$20,2)=2,$CQ$10=2,$BX$25&lt;&gt;"HOL"),
AND(WEEKDAY($DB$20,2)=3,$CR$10=3,$BX$27&lt;&gt;"HOL"),
AND(WEEKDAY($DB$20,2)=4,$CS$10=4,$BX$29&lt;&gt;"HOL"),
AND(WEEKDAY($DB$20,2)=5,$CT$10=5,$BX$31&lt;&gt;"HOL"),
AND(WEEKDAY($DB$20,2)=6,$CU$10=6,$BX$33&lt;&gt;"HOL"),
AND(WEEKDAY($DB$20,2)=7,$CV$10=7,$BX$35&lt;&gt;"HOL")
)
),$DD$28,
AND($DG$31=N4,
OR(
AND(WEEKDAY($DB$20,2)=1,$CP$14=1,$BX$23&lt;&gt;"HOL"),
AND(WEEKDAY($DB$20,2)=2,$CQ$14=2,$BX$25&lt;&gt;"HOL"),
AND(WEEKDAY($DB$20,2)=3,$CR$14=3,$BX$27&lt;&gt;"HOL"),
AND(WEEKDAY($DB$20,2)=4,$CS$14=4,$BX$29&lt;&gt;"HOL"),
AND(WEEKDAY($DB$20,2)=5,$CT$14=5,$BX$31&lt;&gt;"HOL"),
AND(WEEKDAY($DB$20,2)=6,$CU$14=6,$BX$33&lt;&gt;"HOL"),
AND(WEEKDAY($DB$20,2)=7,$CV$14=7,$BX$35&lt;&gt;"HOL")
)
),$DD$28,
AND($DG$34=N4,
OR(
AND(WEEKDAY($DB$20,2)=1,$DA$10=1,$BX$23&lt;&gt;"HOL"),
AND(WEEKDAY($DB$20,2)=2,$DB$10=2,$BX$25&lt;&gt;"HOL"),
AND(WEEKDAY($DB$20,2)=3,$DC$10=3,$BX$27&lt;&gt;"HOL"),
AND(WEEKDAY($DB$20,2)=4,$DD$10=4,$BX$29&lt;&gt;"HOL"),
AND(WEEKDAY($DB$20,2)=5,$DE$10=5,$BX$31&lt;&gt;"HOL"),
AND(WEEKDAY($DB$20,2)=6,$DF$10=6,$BX$33&lt;&gt;"HOL"),
AND(WEEKDAY($DB$20,2)=7,$DG$10=7,$BX$35&lt;&gt;"HOL")
)
),$DD$33,
AND($DG$36=N4,
OR(
AND(WEEKDAY($DB$20,2)=1,$DA$14=1,$BX$23&lt;&gt;"HOL"),
AND(WEEKDAY($DB$20,2)=2,$DB$14=2,$BX$25&lt;&gt;"HOL"),
AND(WEEKDAY($DB$20,2)=3,$DC$14=3,$BX$27&lt;&gt;"HOL"),
AND(WEEKDAY($DB$20,2)=4,$DD$14=4,$BX$29&lt;&gt;"HOL"),
AND(WEEKDAY($DB$20,2)=5,$DE$14=5,$BX$31&lt;&gt;"HOL"),
AND(WEEKDAY($DB$20,2)=6,$DF$14=6,$BX$33&lt;&gt;"HOL"),
AND(WEEKDAY($DB$20,2)=7,$DG$14=7,$BX$35&lt;&gt;"HOL")
)
),$DD$33,
TRUE,""
),
_xlfn.IFS(
AND($DG$24=N4,
OR(
AND(WEEKDAY($DB$20+1,2)=1,$CE$10=1,$BX$23&lt;&gt;"HOL"),
AND(WEEKDAY($DB$20+1,2)=2,$CF$10=2,$BX$25&lt;&gt;"HOL"),
AND(WEEKDAY($DB$20+1,2)=3,$CG$10=3,$BX$27&lt;&gt;"HOL"),
AND(WEEKDAY($DB$20+1,2)=4,$CH$10=4,$BX$29&lt;&gt;"HOL"),
AND(WEEKDAY($DB$20+1,2)=5,$CI$10=5,$BX$31&lt;&gt;"HOL"),
AND(WEEKDAY($DB$20+1,2)=6,$CJ$10=6,$BX$33&lt;&gt;"HOL"),
AND(WEEKDAY($DB$20+1,2)=7,$CK$10=7,$BX$35&lt;&gt;"HOL")
)
),$DD$23,
AND($DG$26=N4,
OR(
AND(WEEKDAY($DB$20+1,2)=1,$CE$14=1,$BX$23&lt;&gt;"HOL"),
AND(WEEKDAY($DB$20+1,2)=2,$CF$14=2,$BX$25&lt;&gt;"HOL"),
AND(WEEKDAY($DB$20+1,2)=3,$CG$14=3,$BX$27&lt;&gt;"HOL"),
AND(WEEKDAY($DB$20+1,2)=4,$CH$14=4,$BX$29&lt;&gt;"HOL"),
AND(WEEKDAY($DB$20+1,2)=5,$CI$14=5,$BX$31&lt;&gt;"HOL"),
AND(WEEKDAY($DB$20+1,2)=6,$CJ$14=6,$BX$33&lt;&gt;"HOL"),
AND(WEEKDAY($DB$20+1,2)=7,$CK$14=7,$BX$35&lt;&gt;"HOL")
)
),$DD$23,
AND($DG$29=N4,
OR(
AND(WEEKDAY($DB$20+1,2)=1,$CP$10=1,$BX$23&lt;&gt;"HOL"),
AND(WEEKDAY($DB$20+1,2)=2,$CQ$10=2,$BX$25&lt;&gt;"HOL"),
AND(WEEKDAY($DB$20+1,2)=3,$CR$10=3,$BX$27&lt;&gt;"HOL"),
AND(WEEKDAY($DB$20+1,2)=4,$CS$10=4,$BX$29&lt;&gt;"HOL"),
AND(WEEKDAY($DB$20+1,2)=5,$CT$10=5,$BX$31&lt;&gt;"HOL"),
AND(WEEKDAY($DB$20+1,2)=6,$CU$10=6,$BX$33&lt;&gt;"HOL"),
AND(WEEKDAY($DB$20+1,2)=7,$CV$10=7,$BX$35&lt;&gt;"HOL")
)
),$DD$28,
AND($DG$31=N4,
OR(
AND(WEEKDAY($DB$20+1,2)=1,$CP$14=1,$BX$23&lt;&gt;"HOL"),
AND(WEEKDAY($DB$20+1,2)=2,$CQ$14=2,$BX$25&lt;&gt;"HOL"),
AND(WEEKDAY($DB$20+1,2)=3,$CR$14=3,$BX$27&lt;&gt;"HOL"),
AND(WEEKDAY($DB$20+1,2)=4,$CS$14=4,$BX$29&lt;&gt;"HOL"),
AND(WEEKDAY($DB$20+1,2)=5,$CT$14=5,$BX$31&lt;&gt;"HOL"),
AND(WEEKDAY($DB$20+1,2)=6,$CU$14=6,$BX$33&lt;&gt;"HOL"),
AND(WEEKDAY($DB$20+1,2)=7,$CV$14=7,$BX$35&lt;&gt;"HOL")
)
),$DD$28,
AND($DG$34=N4,
OR(
AND(WEEKDAY($DB$20+1,2)=1,$DA$10=1,$BX$23&lt;&gt;"HOL"),
AND(WEEKDAY($DB$20+1,2)=2,$DB$10=2,$BX$25&lt;&gt;"HOL"),
AND(WEEKDAY($DB$20+1,2)=3,$DC$10=3,$BX$27&lt;&gt;"HOL"),
AND(WEEKDAY($DB$20+1,2)=4,$DD$10=4,$BX$29&lt;&gt;"HOL"),
AND(WEEKDAY($DB$20+1,2)=5,$DE$10=5,$BX$31&lt;&gt;"HOL"),
AND(WEEKDAY($DB$20+1,2)=6,$DF$10=6,$BX$33&lt;&gt;"HOL"),
AND(WEEKDAY($DB$20+1,2)=7,$DG$10=7,$BX$35&lt;&gt;"HOL")
)
),$DD$33,
AND($DG$36=N4,
OR(
AND(WEEKDAY($DB$20+1,2)=1,$DA$14=1,$BX$23&lt;&gt;"HOL"),
AND(WEEKDAY($DB$20+1,2)=2,$DB$14=2,$BX$25&lt;&gt;"HOL"),
AND(WEEKDAY($DB$20+1,2)=3,$DC$14=3,$BX$27&lt;&gt;"HOL"),
AND(WEEKDAY($DB$20+1,2)=4,$DD$14=4,$BX$29&lt;&gt;"HOL"),
AND(WEEKDAY($DB$20+1,2)=5,$DE$14=5,$BX$31&lt;&gt;"HOL"),
AND(WEEKDAY($DB$20+1,2)=6,$DF$14=6,$BX$33&lt;&gt;"HOL"),
AND(WEEKDAY($DB$20+1,2)=7,$DG$14=7,$BX$35&lt;&gt;"HOL")
)
),$DD$33,
TRUE,""
)
)</f>
        <v>#VALUE!</v>
      </c>
      <c r="N7" s="1090" t="e" cm="1">
        <f t="array" aca="1" ref="N7" ca="1">IF(
$C$3="TODAY",
_xlfn.IFS(
AND($DG$23=N4,
OR(
AND(WEEKDAY($DB$20,2)=1,$CE$10=1,$BX$23&lt;&gt;"HOL"),
AND(WEEKDAY($DB$20,2)=2,$CF$10=2,$BX$25&lt;&gt;"HOL"),
AND(WEEKDAY($DB$20,2)=3,$CG$10=3,$BX$27&lt;&gt;"HOL"),
AND(WEEKDAY($DB$20,2)=4,$CH$10=4,$BX$29&lt;&gt;"HOL"),
AND(WEEKDAY($DB$20,2)=5,$CI$10=5,$BX$31&lt;&gt;"HOL"),
AND(WEEKDAY($DB$20,2)=6,$CJ$10=6,$BX$33&lt;&gt;"HOL"),
AND(WEEKDAY($DB$20,2)=7,$CK$10=7,$BX$35&lt;&gt;"HOL")
)
),$DC$23,
AND($DG$25=N4,
OR(
AND(WEEKDAY($DB$20,2)=1,$CE$14=1,$BX$23&lt;&gt;"HOL"),
AND(WEEKDAY($DB$20,2)=2,$CF$14=2,$BX$25&lt;&gt;"HOL"),
AND(WEEKDAY($DB$20,2)=3,$CG$14=3,$BX$27&lt;&gt;"HOL"),
AND(WEEKDAY($DB$20,2)=4,$CH$14=4,$BX$29&lt;&gt;"HOL"),
AND(WEEKDAY($DB$20,2)=5,$CI$14=5,$BX$31&lt;&gt;"HOL"),
AND(WEEKDAY($DB$20,2)=6,$CJ$14=6,$BX$33&lt;&gt;"HOL"),
AND(WEEKDAY($DB$20,2)=7,$CK$14=7,$BX$35&lt;&gt;"HOL")
)
),$DC$23,
AND($DG$28=N4,
OR(
AND(WEEKDAY($DB$20,2)=1,$CP$10=1,$BX$23&lt;&gt;"HOL"),
AND(WEEKDAY($DB$20,2)=2,$CQ$10=2,$BX$25&lt;&gt;"HOL"),
AND(WEEKDAY($DB$20,2)=3,$CR$10=3,$BX$27&lt;&gt;"HOL"),
AND(WEEKDAY($DB$20,2)=4,$CS$10=4,$BX$29&lt;&gt;"HOL"),
AND(WEEKDAY($DB$20,2)=5,$CT$10=5,$BX$31&lt;&gt;"HOL"),
AND(WEEKDAY($DB$20,2)=6,$CU$10=6,$BX$33&lt;&gt;"HOL"),
AND(WEEKDAY($DB$20,2)=7,$CV$10=7,$BX$35&lt;&gt;"HOL")
)
),$DC$28,
AND($DG$30=N4,
OR(
AND(WEEKDAY($DB$20,2)=1,$CP$14=1,$BX$23&lt;&gt;"HOL"),
AND(WEEKDAY($DB$20,2)=2,$CQ$14=2,$BX$25&lt;&gt;"HOL"),
AND(WEEKDAY($DB$20,2)=3,$CR$14=3,$BX$27&lt;&gt;"HOL"),
AND(WEEKDAY($DB$20,2)=4,$CS$14=4,$BX$29&lt;&gt;"HOL"),
AND(WEEKDAY($DB$20,2)=5,$CT$14=5,$BX$31&lt;&gt;"HOL"),
AND(WEEKDAY($DB$20,2)=6,$CU$14=6,$BX$33&lt;&gt;"HOL"),
AND(WEEKDAY($DB$20,2)=7,$CV$14=7,$BX$35&lt;&gt;"HOL")
)
),$DC$28,
AND($DG$33=N4,
OR(
AND(WEEKDAY($DB$20,2)=1,$DA$10=1,$BX$23&lt;&gt;"HOL"),
AND(WEEKDAY($DB$20,2)=2,$DB$10=2,$BX$25&lt;&gt;"HOL"),
AND(WEEKDAY($DB$20,2)=3,$DC$10=3,$BX$27&lt;&gt;"HOL"),
AND(WEEKDAY($DB$20,2)=4,$DD$10=4,$BX$29&lt;&gt;"HOL"),
AND(WEEKDAY($DB$20,2)=5,$DE$10=5,$BX$31&lt;&gt;"HOL"),
AND(WEEKDAY($DB$20,2)=6,$DF$10=6,$BX$33&lt;&gt;"HOL"),
AND(WEEKDAY($DB$20,2)=7,$DG$10=7,$BX$35&lt;&gt;"HOL")
)
),$DC$33,
AND($DG$35=N4,
OR(
AND(WEEKDAY($DB$20,2)=1,$DA$14=1,$BX$23&lt;&gt;"HOL"),
AND(WEEKDAY($DB$20,2)=2,$DB$14=2,$BX$25&lt;&gt;"HOL"),
AND(WEEKDAY($DB$20,2)=3,$DC$14=3,$BX$27&lt;&gt;"HOL"),
AND(WEEKDAY($DB$20,2)=4,$DD$14=4,$BX$29&lt;&gt;"HOL"),
AND(WEEKDAY($DB$20,2)=5,$DE$14=5,$BX$31&lt;&gt;"HOL"),
AND(WEEKDAY($DB$20,2)=6,$DF$14=6,$BX$33&lt;&gt;"HOL"),
AND(WEEKDAY($DB$20,2)=7,$DG$14=7,$BX$35&lt;&gt;"HOL")
)
),$DC$33,
TRUE,""
),
_xlfn.IFS(
AND($DG$23=N4,
OR(
AND(WEEKDAY($DB$20+1,2)=1,$CE$10=1,$BX$23&lt;&gt;"HOL"),
AND(WEEKDAY($DB$20+1,2)=2,$CF$10=2,$BX$25&lt;&gt;"HOL"),
AND(WEEKDAY($DB$20+1,2)=3,$CG$10=3,$BX$27&lt;&gt;"HOL"),
AND(WEEKDAY($DB$20+1,2)=4,$CH$10=4,$BX$29&lt;&gt;"HOL"),
AND(WEEKDAY($DB$20+1,2)=5,$CI$10=5,$BX$31&lt;&gt;"HOL"),
AND(WEEKDAY($DB$20+1,2)=6,$CJ$10=6,$BX$33&lt;&gt;"HOL"),
AND(WEEKDAY($DB$20+1,2)=7,$CK$10=7,$BX$35&lt;&gt;"HOL")
)
),$DC$23,
AND($DG$25=N4,
OR(
AND(WEEKDAY($DB$20+1,2)=1,$CE$14=1,$BX$23&lt;&gt;"HOL"),
AND(WEEKDAY($DB$20+1,2)=2,$CF$14=2,$BX$25&lt;&gt;"HOL"),
AND(WEEKDAY($DB$20+1,2)=3,$CG$14=3,$BX$27&lt;&gt;"HOL"),
AND(WEEKDAY($DB$20+1,2)=4,$CH$14=4,$BX$29&lt;&gt;"HOL"),
AND(WEEKDAY($DB$20+1,2)=5,$CI$14=5,$BX$31&lt;&gt;"HOL"),
AND(WEEKDAY($DB$20+1,2)=6,$CJ$14=6,$BX$33&lt;&gt;"HOL"),
AND(WEEKDAY($DB$20+1,2)=7,$CK$14=7,$BX$35&lt;&gt;"HOL")
)
),$DC$23,
AND($DG$28=N4,
OR(
AND(WEEKDAY($DB$20+1,2)=1,$CP$10=1,$BX$23&lt;&gt;"HOL"),
AND(WEEKDAY($DB$20+1,2)=2,$CQ$10=2,$BX$25&lt;&gt;"HOL"),
AND(WEEKDAY($DB$20+1,2)=3,$CR$10=3,$BX$27&lt;&gt;"HOL"),
AND(WEEKDAY($DB$20+1,2)=4,$CS$10=4,$BX$29&lt;&gt;"HOL"),
AND(WEEKDAY($DB$20+1,2)=5,$CT$10=5,$BX$31&lt;&gt;"HOL"),
AND(WEEKDAY($DB$20+1,2)=6,$CU$10=6,$BX$33&lt;&gt;"HOL"),
AND(WEEKDAY($DB$20+1,2)=7,$CV$10=7,$BX$35&lt;&gt;"HOL")
)
),$DC$28,
AND($DG$30=N4,
OR(
AND(WEEKDAY($DB$20+1,2)=1,$CP$14=1,$BX$23&lt;&gt;"HOL"),
AND(WEEKDAY($DB$20+1,2)=2,$CQ$14=2,$BX$25&lt;&gt;"HOL"),
AND(WEEKDAY($DB$20+1,2)=3,$CR$14=3,$BX$27&lt;&gt;"HOL"),
AND(WEEKDAY($DB$20+1,2)=4,$CS$14=4,$BX$29&lt;&gt;"HOL"),
AND(WEEKDAY($DB$20+1,2)=5,$CT$14=5,$BX$31&lt;&gt;"HOL"),
AND(WEEKDAY($DB$20+1,2)=6,$CU$14=6,$BX$33&lt;&gt;"HOL"),
AND(WEEKDAY($DB$20+1,2)=7,$CV$14=7,$BX$35&lt;&gt;"HOL")
)
),$DC$28,
AND($DG$33=N4,
OR(
AND(WEEKDAY($DB$20+1,2)=1,$DA$10=1,$BX$23&lt;&gt;"HOL"),
AND(WEEKDAY($DB$20+1,2)=2,$DB$10=2,$BX$25&lt;&gt;"HOL"),
AND(WEEKDAY($DB$20+1,2)=3,$DC$10=3,$BX$27&lt;&gt;"HOL"),
AND(WEEKDAY($DB$20+1,2)=4,$DD$10=4,$BX$29&lt;&gt;"HOL"),
AND(WEEKDAY($DB$20+1,2)=5,$DE$10=5,$BX$31&lt;&gt;"HOL"),
AND(WEEKDAY($DB$20+1,2)=6,$DF$10=6,$BX$33&lt;&gt;"HOL"),
AND(WEEKDAY($DB$20+1,2)=7,$DG$10=7,$BX$35&lt;&gt;"HOL")
)
),$DC$33,
AND($DG$35=N4,
OR(
AND(WEEKDAY($DB$20+1,2)=1,$DA$14=1,$BX$23&lt;&gt;"HOL"),
AND(WEEKDAY($DB$20+1,2)=2,$DB$14=2,$BX$25&lt;&gt;"HOL"),
AND(WEEKDAY($DB$20+1,2)=3,$DC$14=3,$BX$27&lt;&gt;"HOL"),
AND(WEEKDAY($DB$20+1,2)=4,$DD$14=4,$BX$29&lt;&gt;"HOL"),
AND(WEEKDAY($DB$20+1,2)=5,$DE$14=5,$BX$31&lt;&gt;"HOL"),
AND(WEEKDAY($DB$20+1,2)=6,$DF$14=6,$BX$33&lt;&gt;"HOL"),
AND(WEEKDAY($DB$20+1,2)=7,$DG$14=7,$BX$35&lt;&gt;"HOL")
)
),$DC$33,
TRUE,""
)
)</f>
        <v>#VALUE!</v>
      </c>
      <c r="O7" s="2075" t="e" cm="1">
        <f t="array" aca="1" ref="O7" ca="1">IF(
$C$3="TODAY",
_xlfn.IFS(
AND($DG$24=P4,
OR(
AND(WEEKDAY($DB$20,2)=1,$CE$10=1,$BX$23&lt;&gt;"HOL"),
AND(WEEKDAY($DB$20,2)=2,$CF$10=2,$BX$25&lt;&gt;"HOL"),
AND(WEEKDAY($DB$20,2)=3,$CG$10=3,$BX$27&lt;&gt;"HOL"),
AND(WEEKDAY($DB$20,2)=4,$CH$10=4,$BX$29&lt;&gt;"HOL"),
AND(WEEKDAY($DB$20,2)=5,$CI$10=5,$BX$31&lt;&gt;"HOL"),
AND(WEEKDAY($DB$20,2)=6,$CJ$10=6,$BX$33&lt;&gt;"HOL"),
AND(WEEKDAY($DB$20,2)=7,$CK$10=7,$BX$35&lt;&gt;"HOL")
)
),$DD$23,
AND($DG$26=P4,
OR(
AND(WEEKDAY($DB$20,2)=1,$CE$14=1,$BX$23&lt;&gt;"HOL"),
AND(WEEKDAY($DB$20,2)=2,$CF$14=2,$BX$25&lt;&gt;"HOL"),
AND(WEEKDAY($DB$20,2)=3,$CG$14=3,$BX$27&lt;&gt;"HOL"),
AND(WEEKDAY($DB$20,2)=4,$CH$14=4,$BX$29&lt;&gt;"HOL"),
AND(WEEKDAY($DB$20,2)=5,$CI$14=5,$BX$31&lt;&gt;"HOL"),
AND(WEEKDAY($DB$20,2)=6,$CJ$14=6,$BX$33&lt;&gt;"HOL"),
AND(WEEKDAY($DB$20,2)=7,$CK$14=7,$BX$35&lt;&gt;"HOL")
)
),$DD$23,
AND($DG$29=P4,
OR(
AND(WEEKDAY($DB$20,2)=1,$CP$10=1,$BX$23&lt;&gt;"HOL"),
AND(WEEKDAY($DB$20,2)=2,$CQ$10=2,$BX$25&lt;&gt;"HOL"),
AND(WEEKDAY($DB$20,2)=3,$CR$10=3,$BX$27&lt;&gt;"HOL"),
AND(WEEKDAY($DB$20,2)=4,$CS$10=4,$BX$29&lt;&gt;"HOL"),
AND(WEEKDAY($DB$20,2)=5,$CT$10=5,$BX$31&lt;&gt;"HOL"),
AND(WEEKDAY($DB$20,2)=6,$CU$10=6,$BX$33&lt;&gt;"HOL"),
AND(WEEKDAY($DB$20,2)=7,$CV$10=7,$BX$35&lt;&gt;"HOL")
)
),$DD$28,
AND($DG$31=P4,
OR(
AND(WEEKDAY($DB$20,2)=1,$CP$14=1,$BX$23&lt;&gt;"HOL"),
AND(WEEKDAY($DB$20,2)=2,$CQ$14=2,$BX$25&lt;&gt;"HOL"),
AND(WEEKDAY($DB$20,2)=3,$CR$14=3,$BX$27&lt;&gt;"HOL"),
AND(WEEKDAY($DB$20,2)=4,$CS$14=4,$BX$29&lt;&gt;"HOL"),
AND(WEEKDAY($DB$20,2)=5,$CT$14=5,$BX$31&lt;&gt;"HOL"),
AND(WEEKDAY($DB$20,2)=6,$CU$14=6,$BX$33&lt;&gt;"HOL"),
AND(WEEKDAY($DB$20,2)=7,$CV$14=7,$BX$35&lt;&gt;"HOL")
)
),$DD$28,
AND($DG$34=P4,
OR(
AND(WEEKDAY($DB$20,2)=1,$DA$10=1,$BX$23&lt;&gt;"HOL"),
AND(WEEKDAY($DB$20,2)=2,$DB$10=2,$BX$25&lt;&gt;"HOL"),
AND(WEEKDAY($DB$20,2)=3,$DC$10=3,$BX$27&lt;&gt;"HOL"),
AND(WEEKDAY($DB$20,2)=4,$DD$10=4,$BX$29&lt;&gt;"HOL"),
AND(WEEKDAY($DB$20,2)=5,$DE$10=5,$BX$31&lt;&gt;"HOL"),
AND(WEEKDAY($DB$20,2)=6,$DF$10=6,$BX$33&lt;&gt;"HOL"),
AND(WEEKDAY($DB$20,2)=7,$DG$10=7,$BX$35&lt;&gt;"HOL")
)
),$DD$33,
AND($DG$36=P4,
OR(
AND(WEEKDAY($DB$20,2)=1,$DA$14=1,$BX$23&lt;&gt;"HOL"),
AND(WEEKDAY($DB$20,2)=2,$DB$14=2,$BX$25&lt;&gt;"HOL"),
AND(WEEKDAY($DB$20,2)=3,$DC$14=3,$BX$27&lt;&gt;"HOL"),
AND(WEEKDAY($DB$20,2)=4,$DD$14=4,$BX$29&lt;&gt;"HOL"),
AND(WEEKDAY($DB$20,2)=5,$DE$14=5,$BX$31&lt;&gt;"HOL"),
AND(WEEKDAY($DB$20,2)=6,$DF$14=6,$BX$33&lt;&gt;"HOL"),
AND(WEEKDAY($DB$20,2)=7,$DG$14=7,$BX$35&lt;&gt;"HOL")
)
),$DD$33,
TRUE,""
),
_xlfn.IFS(
AND($DG$24=P4,
OR(
AND(WEEKDAY($DB$20+1,2)=1,$CE$10=1,$BX$23&lt;&gt;"HOL"),
AND(WEEKDAY($DB$20+1,2)=2,$CF$10=2,$BX$25&lt;&gt;"HOL"),
AND(WEEKDAY($DB$20+1,2)=3,$CG$10=3,$BX$27&lt;&gt;"HOL"),
AND(WEEKDAY($DB$20+1,2)=4,$CH$10=4,$BX$29&lt;&gt;"HOL"),
AND(WEEKDAY($DB$20+1,2)=5,$CI$10=5,$BX$31&lt;&gt;"HOL"),
AND(WEEKDAY($DB$20+1,2)=6,$CJ$10=6,$BX$33&lt;&gt;"HOL"),
AND(WEEKDAY($DB$20+1,2)=7,$CK$10=7,$BX$35&lt;&gt;"HOL")
)
),$DD$23,
AND($DG$26=P4,
OR(
AND(WEEKDAY($DB$20+1,2)=1,$CE$14=1,$BX$23&lt;&gt;"HOL"),
AND(WEEKDAY($DB$20+1,2)=2,$CF$14=2,$BX$25&lt;&gt;"HOL"),
AND(WEEKDAY($DB$20+1,2)=3,$CG$14=3,$BX$27&lt;&gt;"HOL"),
AND(WEEKDAY($DB$20+1,2)=4,$CH$14=4,$BX$29&lt;&gt;"HOL"),
AND(WEEKDAY($DB$20+1,2)=5,$CI$14=5,$BX$31&lt;&gt;"HOL"),
AND(WEEKDAY($DB$20+1,2)=6,$CJ$14=6,$BX$33&lt;&gt;"HOL"),
AND(WEEKDAY($DB$20+1,2)=7,$CK$14=7,$BX$35&lt;&gt;"HOL")
)
),$DD$23,
AND($DG$29=P4,
OR(
AND(WEEKDAY($DB$20+1,2)=1,$CP$10=1,$BX$23&lt;&gt;"HOL"),
AND(WEEKDAY($DB$20+1,2)=2,$CQ$10=2,$BX$25&lt;&gt;"HOL"),
AND(WEEKDAY($DB$20+1,2)=3,$CR$10=3,$BX$27&lt;&gt;"HOL"),
AND(WEEKDAY($DB$20+1,2)=4,$CS$10=4,$BX$29&lt;&gt;"HOL"),
AND(WEEKDAY($DB$20+1,2)=5,$CT$10=5,$BX$31&lt;&gt;"HOL"),
AND(WEEKDAY($DB$20+1,2)=6,$CU$10=6,$BX$33&lt;&gt;"HOL"),
AND(WEEKDAY($DB$20+1,2)=7,$CV$10=7,$BX$35&lt;&gt;"HOL")
)
),$DD$28,
AND($DG$31=P4,
OR(
AND(WEEKDAY($DB$20+1,2)=1,$CP$14=1,$BX$23&lt;&gt;"HOL"),
AND(WEEKDAY($DB$20+1,2)=2,$CQ$14=2,$BX$25&lt;&gt;"HOL"),
AND(WEEKDAY($DB$20+1,2)=3,$CR$14=3,$BX$27&lt;&gt;"HOL"),
AND(WEEKDAY($DB$20+1,2)=4,$CS$14=4,$BX$29&lt;&gt;"HOL"),
AND(WEEKDAY($DB$20+1,2)=5,$CT$14=5,$BX$31&lt;&gt;"HOL"),
AND(WEEKDAY($DB$20+1,2)=6,$CU$14=6,$BX$33&lt;&gt;"HOL"),
AND(WEEKDAY($DB$20+1,2)=7,$CV$14=7,$BX$35&lt;&gt;"HOL")
)
),$DD$28,
AND($DG$34=P4,
OR(
AND(WEEKDAY($DB$20+1,2)=1,$DA$10=1,$BX$23&lt;&gt;"HOL"),
AND(WEEKDAY($DB$20+1,2)=2,$DB$10=2,$BX$25&lt;&gt;"HOL"),
AND(WEEKDAY($DB$20+1,2)=3,$DC$10=3,$BX$27&lt;&gt;"HOL"),
AND(WEEKDAY($DB$20+1,2)=4,$DD$10=4,$BX$29&lt;&gt;"HOL"),
AND(WEEKDAY($DB$20+1,2)=5,$DE$10=5,$BX$31&lt;&gt;"HOL"),
AND(WEEKDAY($DB$20+1,2)=6,$DF$10=6,$BX$33&lt;&gt;"HOL"),
AND(WEEKDAY($DB$20+1,2)=7,$DG$10=7,$BX$35&lt;&gt;"HOL")
)
),$DD$33,
AND($DG$36=P4,
OR(
AND(WEEKDAY($DB$20+1,2)=1,$DA$14=1,$BX$23&lt;&gt;"HOL"),
AND(WEEKDAY($DB$20+1,2)=2,$DB$14=2,$BX$25&lt;&gt;"HOL"),
AND(WEEKDAY($DB$20+1,2)=3,$DC$14=3,$BX$27&lt;&gt;"HOL"),
AND(WEEKDAY($DB$20+1,2)=4,$DD$14=4,$BX$29&lt;&gt;"HOL"),
AND(WEEKDAY($DB$20+1,2)=5,$DE$14=5,$BX$31&lt;&gt;"HOL"),
AND(WEEKDAY($DB$20+1,2)=6,$DF$14=6,$BX$33&lt;&gt;"HOL"),
AND(WEEKDAY($DB$20+1,2)=7,$DG$14=7,$BX$35&lt;&gt;"HOL")
)
),$DD$33,
TRUE,""
)
)</f>
        <v>#VALUE!</v>
      </c>
      <c r="P7" s="2076" t="e" cm="1">
        <f t="array" aca="1" ref="P7" ca="1">IF(
$C$3="TODAY",
_xlfn.IFS(
AND($DG$23=P4,
OR(
AND(WEEKDAY($DB$20,2)=1,$CE$10=1,$BX$23&lt;&gt;"HOL"),
AND(WEEKDAY($DB$20,2)=2,$CF$10=2,$BX$25&lt;&gt;"HOL"),
AND(WEEKDAY($DB$20,2)=3,$CG$10=3,$BX$27&lt;&gt;"HOL"),
AND(WEEKDAY($DB$20,2)=4,$CH$10=4,$BX$29&lt;&gt;"HOL"),
AND(WEEKDAY($DB$20,2)=5,$CI$10=5,$BX$31&lt;&gt;"HOL"),
AND(WEEKDAY($DB$20,2)=6,$CJ$10=6,$BX$33&lt;&gt;"HOL"),
AND(WEEKDAY($DB$20,2)=7,$CK$10=7,$BX$35&lt;&gt;"HOL")
)
),$DC$23,
AND($DG$25=P4,
OR(
AND(WEEKDAY($DB$20,2)=1,$CE$14=1,$BX$23&lt;&gt;"HOL"),
AND(WEEKDAY($DB$20,2)=2,$CF$14=2,$BX$25&lt;&gt;"HOL"),
AND(WEEKDAY($DB$20,2)=3,$CG$14=3,$BX$27&lt;&gt;"HOL"),
AND(WEEKDAY($DB$20,2)=4,$CH$14=4,$BX$29&lt;&gt;"HOL"),
AND(WEEKDAY($DB$20,2)=5,$CI$14=5,$BX$31&lt;&gt;"HOL"),
AND(WEEKDAY($DB$20,2)=6,$CJ$14=6,$BX$33&lt;&gt;"HOL"),
AND(WEEKDAY($DB$20,2)=7,$CK$14=7,$BX$35&lt;&gt;"HOL")
)
),$DC$23,
AND($DG$28=P4,
OR(
AND(WEEKDAY($DB$20,2)=1,$CP$10=1,$BX$23&lt;&gt;"HOL"),
AND(WEEKDAY($DB$20,2)=2,$CQ$10=2,$BX$25&lt;&gt;"HOL"),
AND(WEEKDAY($DB$20,2)=3,$CR$10=3,$BX$27&lt;&gt;"HOL"),
AND(WEEKDAY($DB$20,2)=4,$CS$10=4,$BX$29&lt;&gt;"HOL"),
AND(WEEKDAY($DB$20,2)=5,$CT$10=5,$BX$31&lt;&gt;"HOL"),
AND(WEEKDAY($DB$20,2)=6,$CU$10=6,$BX$33&lt;&gt;"HOL"),
AND(WEEKDAY($DB$20,2)=7,$CV$10=7,$BX$35&lt;&gt;"HOL")
)
),$DC$28,
AND($DG$30=P4,
OR(
AND(WEEKDAY($DB$20,2)=1,$CP$14=1,$BX$23&lt;&gt;"HOL"),
AND(WEEKDAY($DB$20,2)=2,$CQ$14=2,$BX$25&lt;&gt;"HOL"),
AND(WEEKDAY($DB$20,2)=3,$CR$14=3,$BX$27&lt;&gt;"HOL"),
AND(WEEKDAY($DB$20,2)=4,$CS$14=4,$BX$29&lt;&gt;"HOL"),
AND(WEEKDAY($DB$20,2)=5,$CT$14=5,$BX$31&lt;&gt;"HOL"),
AND(WEEKDAY($DB$20,2)=6,$CU$14=6,$BX$33&lt;&gt;"HOL"),
AND(WEEKDAY($DB$20,2)=7,$CV$14=7,$BX$35&lt;&gt;"HOL")
)
),$DC$28,
AND($DG$33=P4,
OR(
AND(WEEKDAY($DB$20,2)=1,$DA$10=1,$BX$23&lt;&gt;"HOL"),
AND(WEEKDAY($DB$20,2)=2,$DB$10=2,$BX$25&lt;&gt;"HOL"),
AND(WEEKDAY($DB$20,2)=3,$DC$10=3,$BX$27&lt;&gt;"HOL"),
AND(WEEKDAY($DB$20,2)=4,$DD$10=4,$BX$29&lt;&gt;"HOL"),
AND(WEEKDAY($DB$20,2)=5,$DE$10=5,$BX$31&lt;&gt;"HOL"),
AND(WEEKDAY($DB$20,2)=6,$DF$10=6,$BX$33&lt;&gt;"HOL"),
AND(WEEKDAY($DB$20,2)=7,$DG$10=7,$BX$35&lt;&gt;"HOL")
)
),$DC$33,
AND($DG$35=P4,
OR(
AND(WEEKDAY($DB$20,2)=1,$DA$14=1,$BX$23&lt;&gt;"HOL"),
AND(WEEKDAY($DB$20,2)=2,$DB$14=2,$BX$25&lt;&gt;"HOL"),
AND(WEEKDAY($DB$20,2)=3,$DC$14=3,$BX$27&lt;&gt;"HOL"),
AND(WEEKDAY($DB$20,2)=4,$DD$14=4,$BX$29&lt;&gt;"HOL"),
AND(WEEKDAY($DB$20,2)=5,$DE$14=5,$BX$31&lt;&gt;"HOL"),
AND(WEEKDAY($DB$20,2)=6,$DF$14=6,$BX$33&lt;&gt;"HOL"),
AND(WEEKDAY($DB$20,2)=7,$DG$14=7,$BX$35&lt;&gt;"HOL")
)
),$DC$33,
TRUE,""
),
_xlfn.IFS(
AND($DG$23=P4,
OR(
AND(WEEKDAY($DB$20+1,2)=1,$CE$10=1,$BX$23&lt;&gt;"HOL"),
AND(WEEKDAY($DB$20+1,2)=2,$CF$10=2,$BX$25&lt;&gt;"HOL"),
AND(WEEKDAY($DB$20+1,2)=3,$CG$10=3,$BX$27&lt;&gt;"HOL"),
AND(WEEKDAY($DB$20+1,2)=4,$CH$10=4,$BX$29&lt;&gt;"HOL"),
AND(WEEKDAY($DB$20+1,2)=5,$CI$10=5,$BX$31&lt;&gt;"HOL"),
AND(WEEKDAY($DB$20+1,2)=6,$CJ$10=6,$BX$33&lt;&gt;"HOL"),
AND(WEEKDAY($DB$20+1,2)=7,$CK$10=7,$BX$35&lt;&gt;"HOL")
)
),$DC$23,
AND($DG$25=P4,
OR(
AND(WEEKDAY($DB$20+1,2)=1,$CE$14=1,$BX$23&lt;&gt;"HOL"),
AND(WEEKDAY($DB$20+1,2)=2,$CF$14=2,$BX$25&lt;&gt;"HOL"),
AND(WEEKDAY($DB$20+1,2)=3,$CG$14=3,$BX$27&lt;&gt;"HOL"),
AND(WEEKDAY($DB$20+1,2)=4,$CH$14=4,$BX$29&lt;&gt;"HOL"),
AND(WEEKDAY($DB$20+1,2)=5,$CI$14=5,$BX$31&lt;&gt;"HOL"),
AND(WEEKDAY($DB$20+1,2)=6,$CJ$14=6,$BX$33&lt;&gt;"HOL"),
AND(WEEKDAY($DB$20+1,2)=7,$CK$14=7,$BX$35&lt;&gt;"HOL")
)
),$DC$23,
AND($DG$28=P4,
OR(
AND(WEEKDAY($DB$20+1,2)=1,$CP$10=1,$BX$23&lt;&gt;"HOL"),
AND(WEEKDAY($DB$20+1,2)=2,$CQ$10=2,$BX$25&lt;&gt;"HOL"),
AND(WEEKDAY($DB$20+1,2)=3,$CR$10=3,$BX$27&lt;&gt;"HOL"),
AND(WEEKDAY($DB$20+1,2)=4,$CS$10=4,$BX$29&lt;&gt;"HOL"),
AND(WEEKDAY($DB$20+1,2)=5,$CT$10=5,$BX$31&lt;&gt;"HOL"),
AND(WEEKDAY($DB$20+1,2)=6,$CU$10=6,$BX$33&lt;&gt;"HOL"),
AND(WEEKDAY($DB$20+1,2)=7,$CV$10=7,$BX$35&lt;&gt;"HOL")
)
),$DC$28,
AND($DG$30=P4,
OR(
AND(WEEKDAY($DB$20+1,2)=1,$CP$14=1,$BX$23&lt;&gt;"HOL"),
AND(WEEKDAY($DB$20+1,2)=2,$CQ$14=2,$BX$25&lt;&gt;"HOL"),
AND(WEEKDAY($DB$20+1,2)=3,$CR$14=3,$BX$27&lt;&gt;"HOL"),
AND(WEEKDAY($DB$20+1,2)=4,$CS$14=4,$BX$29&lt;&gt;"HOL"),
AND(WEEKDAY($DB$20+1,2)=5,$CT$14=5,$BX$31&lt;&gt;"HOL"),
AND(WEEKDAY($DB$20+1,2)=6,$CU$14=6,$BX$33&lt;&gt;"HOL"),
AND(WEEKDAY($DB$20+1,2)=7,$CV$14=7,$BX$35&lt;&gt;"HOL")
)
),$DC$28,
AND($DG$33=P4,
OR(
AND(WEEKDAY($DB$20+1,2)=1,$DA$10=1,$BX$23&lt;&gt;"HOL"),
AND(WEEKDAY($DB$20+1,2)=2,$DB$10=2,$BX$25&lt;&gt;"HOL"),
AND(WEEKDAY($DB$20+1,2)=3,$DC$10=3,$BX$27&lt;&gt;"HOL"),
AND(WEEKDAY($DB$20+1,2)=4,$DD$10=4,$BX$29&lt;&gt;"HOL"),
AND(WEEKDAY($DB$20+1,2)=5,$DE$10=5,$BX$31&lt;&gt;"HOL"),
AND(WEEKDAY($DB$20+1,2)=6,$DF$10=6,$BX$33&lt;&gt;"HOL"),
AND(WEEKDAY($DB$20+1,2)=7,$DG$10=7,$BX$35&lt;&gt;"HOL")
)
),$DC$33,
AND($DG$35=P4,
OR(
AND(WEEKDAY($DB$20+1,2)=1,$DA$14=1,$BX$23&lt;&gt;"HOL"),
AND(WEEKDAY($DB$20+1,2)=2,$DB$14=2,$BX$25&lt;&gt;"HOL"),
AND(WEEKDAY($DB$20+1,2)=3,$DC$14=3,$BX$27&lt;&gt;"HOL"),
AND(WEEKDAY($DB$20+1,2)=4,$DD$14=4,$BX$29&lt;&gt;"HOL"),
AND(WEEKDAY($DB$20+1,2)=5,$DE$14=5,$BX$31&lt;&gt;"HOL"),
AND(WEEKDAY($DB$20+1,2)=6,$DF$14=6,$BX$33&lt;&gt;"HOL"),
AND(WEEKDAY($DB$20+1,2)=7,$DG$14=7,$BX$35&lt;&gt;"HOL")
)
),$DC$33,
TRUE,""
)
)</f>
        <v>#VALUE!</v>
      </c>
      <c r="Q7" s="2066" t="e" cm="1">
        <f t="array" aca="1" ref="Q7" ca="1">IF(
$C$3="TODAY",
_xlfn.IFS(
AND($DG$24=R4,
OR(
AND(WEEKDAY($DB$20,2)=1,$CE$10=1,$BX$23&lt;&gt;"HOL"),
AND(WEEKDAY($DB$20,2)=2,$CF$10=2,$BX$25&lt;&gt;"HOL"),
AND(WEEKDAY($DB$20,2)=3,$CG$10=3,$BX$27&lt;&gt;"HOL"),
AND(WEEKDAY($DB$20,2)=4,$CH$10=4,$BX$29&lt;&gt;"HOL"),
AND(WEEKDAY($DB$20,2)=5,$CI$10=5,$BX$31&lt;&gt;"HOL"),
AND(WEEKDAY($DB$20,2)=6,$CJ$10=6,$BX$33&lt;&gt;"HOL"),
AND(WEEKDAY($DB$20,2)=7,$CK$10=7,$BX$35&lt;&gt;"HOL")
)
),$DD$23,
AND($DG$26=R4,
OR(
AND(WEEKDAY($DB$20,2)=1,$CE$14=1,$BX$23&lt;&gt;"HOL"),
AND(WEEKDAY($DB$20,2)=2,$CF$14=2,$BX$25&lt;&gt;"HOL"),
AND(WEEKDAY($DB$20,2)=3,$CG$14=3,$BX$27&lt;&gt;"HOL"),
AND(WEEKDAY($DB$20,2)=4,$CH$14=4,$BX$29&lt;&gt;"HOL"),
AND(WEEKDAY($DB$20,2)=5,$CI$14=5,$BX$31&lt;&gt;"HOL"),
AND(WEEKDAY($DB$20,2)=6,$CJ$14=6,$BX$33&lt;&gt;"HOL"),
AND(WEEKDAY($DB$20,2)=7,$CK$14=7,$BX$35&lt;&gt;"HOL")
)
),$DD$23,
AND($DG$29=R4,
OR(
AND(WEEKDAY($DB$20,2)=1,$CP$10=1,$BX$23&lt;&gt;"HOL"),
AND(WEEKDAY($DB$20,2)=2,$CQ$10=2,$BX$25&lt;&gt;"HOL"),
AND(WEEKDAY($DB$20,2)=3,$CR$10=3,$BX$27&lt;&gt;"HOL"),
AND(WEEKDAY($DB$20,2)=4,$CS$10=4,$BX$29&lt;&gt;"HOL"),
AND(WEEKDAY($DB$20,2)=5,$CT$10=5,$BX$31&lt;&gt;"HOL"),
AND(WEEKDAY($DB$20,2)=6,$CU$10=6,$BX$33&lt;&gt;"HOL"),
AND(WEEKDAY($DB$20,2)=7,$CV$10=7,$BX$35&lt;&gt;"HOL")
)
),$DD$28,
AND($DG$31=R4,
OR(
AND(WEEKDAY($DB$20,2)=1,$CP$14=1,$BX$23&lt;&gt;"HOL"),
AND(WEEKDAY($DB$20,2)=2,$CQ$14=2,$BX$25&lt;&gt;"HOL"),
AND(WEEKDAY($DB$20,2)=3,$CR$14=3,$BX$27&lt;&gt;"HOL"),
AND(WEEKDAY($DB$20,2)=4,$CS$14=4,$BX$29&lt;&gt;"HOL"),
AND(WEEKDAY($DB$20,2)=5,$CT$14=5,$BX$31&lt;&gt;"HOL"),
AND(WEEKDAY($DB$20,2)=6,$CU$14=6,$BX$33&lt;&gt;"HOL"),
AND(WEEKDAY($DB$20,2)=7,$CV$14=7,$BX$35&lt;&gt;"HOL")
)
),$DD$28,
AND($DG$34=R4,
OR(
AND(WEEKDAY($DB$20,2)=1,$DA$10=1,$BX$23&lt;&gt;"HOL"),
AND(WEEKDAY($DB$20,2)=2,$DB$10=2,$BX$25&lt;&gt;"HOL"),
AND(WEEKDAY($DB$20,2)=3,$DC$10=3,$BX$27&lt;&gt;"HOL"),
AND(WEEKDAY($DB$20,2)=4,$DD$10=4,$BX$29&lt;&gt;"HOL"),
AND(WEEKDAY($DB$20,2)=5,$DE$10=5,$BX$31&lt;&gt;"HOL"),
AND(WEEKDAY($DB$20,2)=6,$DF$10=6,$BX$33&lt;&gt;"HOL"),
AND(WEEKDAY($DB$20,2)=7,$DG$10=7,$BX$35&lt;&gt;"HOL")
)
),$DD$33,
AND($DG$36=R4,
OR(
AND(WEEKDAY($DB$20,2)=1,$DA$14=1,$BX$23&lt;&gt;"HOL"),
AND(WEEKDAY($DB$20,2)=2,$DB$14=2,$BX$25&lt;&gt;"HOL"),
AND(WEEKDAY($DB$20,2)=3,$DC$14=3,$BX$27&lt;&gt;"HOL"),
AND(WEEKDAY($DB$20,2)=4,$DD$14=4,$BX$29&lt;&gt;"HOL"),
AND(WEEKDAY($DB$20,2)=5,$DE$14=5,$BX$31&lt;&gt;"HOL"),
AND(WEEKDAY($DB$20,2)=6,$DF$14=6,$BX$33&lt;&gt;"HOL"),
AND(WEEKDAY($DB$20,2)=7,$DG$14=7,$BX$35&lt;&gt;"HOL")
)
),$DD$33,
TRUE,""
),
_xlfn.IFS(
AND($DG$24=R4,
OR(
AND(WEEKDAY($DB$20+1,2)=1,$CE$10=1,$BX$23&lt;&gt;"HOL"),
AND(WEEKDAY($DB$20+1,2)=2,$CF$10=2,$BX$25&lt;&gt;"HOL"),
AND(WEEKDAY($DB$20+1,2)=3,$CG$10=3,$BX$27&lt;&gt;"HOL"),
AND(WEEKDAY($DB$20+1,2)=4,$CH$10=4,$BX$29&lt;&gt;"HOL"),
AND(WEEKDAY($DB$20+1,2)=5,$CI$10=5,$BX$31&lt;&gt;"HOL"),
AND(WEEKDAY($DB$20+1,2)=6,$CJ$10=6,$BX$33&lt;&gt;"HOL"),
AND(WEEKDAY($DB$20+1,2)=7,$CK$10=7,$BX$35&lt;&gt;"HOL")
)
),$DD$23,
AND($DG$26=R4,
OR(
AND(WEEKDAY($DB$20+1,2)=1,$CE$14=1,$BX$23&lt;&gt;"HOL"),
AND(WEEKDAY($DB$20+1,2)=2,$CF$14=2,$BX$25&lt;&gt;"HOL"),
AND(WEEKDAY($DB$20+1,2)=3,$CG$14=3,$BX$27&lt;&gt;"HOL"),
AND(WEEKDAY($DB$20+1,2)=4,$CH$14=4,$BX$29&lt;&gt;"HOL"),
AND(WEEKDAY($DB$20+1,2)=5,$CI$14=5,$BX$31&lt;&gt;"HOL"),
AND(WEEKDAY($DB$20+1,2)=6,$CJ$14=6,$BX$33&lt;&gt;"HOL"),
AND(WEEKDAY($DB$20+1,2)=7,$CK$14=7,$BX$35&lt;&gt;"HOL")
)
),$DD$23,
AND($DG$29=R4,
OR(
AND(WEEKDAY($DB$20+1,2)=1,$CP$10=1,$BX$23&lt;&gt;"HOL"),
AND(WEEKDAY($DB$20+1,2)=2,$CQ$10=2,$BX$25&lt;&gt;"HOL"),
AND(WEEKDAY($DB$20+1,2)=3,$CR$10=3,$BX$27&lt;&gt;"HOL"),
AND(WEEKDAY($DB$20+1,2)=4,$CS$10=4,$BX$29&lt;&gt;"HOL"),
AND(WEEKDAY($DB$20+1,2)=5,$CT$10=5,$BX$31&lt;&gt;"HOL"),
AND(WEEKDAY($DB$20+1,2)=6,$CU$10=6,$BX$33&lt;&gt;"HOL"),
AND(WEEKDAY($DB$20+1,2)=7,$CV$10=7,$BX$35&lt;&gt;"HOL")
)
),$DD$28,
AND($DG$31=R4,
OR(
AND(WEEKDAY($DB$20+1,2)=1,$CP$14=1,$BX$23&lt;&gt;"HOL"),
AND(WEEKDAY($DB$20+1,2)=2,$CQ$14=2,$BX$25&lt;&gt;"HOL"),
AND(WEEKDAY($DB$20+1,2)=3,$CR$14=3,$BX$27&lt;&gt;"HOL"),
AND(WEEKDAY($DB$20+1,2)=4,$CS$14=4,$BX$29&lt;&gt;"HOL"),
AND(WEEKDAY($DB$20+1,2)=5,$CT$14=5,$BX$31&lt;&gt;"HOL"),
AND(WEEKDAY($DB$20+1,2)=6,$CU$14=6,$BX$33&lt;&gt;"HOL"),
AND(WEEKDAY($DB$20+1,2)=7,$CV$14=7,$BX$35&lt;&gt;"HOL")
)
),$DD$28,
AND($DG$34=R4,
OR(
AND(WEEKDAY($DB$20+1,2)=1,$DA$10=1,$BX$23&lt;&gt;"HOL"),
AND(WEEKDAY($DB$20+1,2)=2,$DB$10=2,$BX$25&lt;&gt;"HOL"),
AND(WEEKDAY($DB$20+1,2)=3,$DC$10=3,$BX$27&lt;&gt;"HOL"),
AND(WEEKDAY($DB$20+1,2)=4,$DD$10=4,$BX$29&lt;&gt;"HOL"),
AND(WEEKDAY($DB$20+1,2)=5,$DE$10=5,$BX$31&lt;&gt;"HOL"),
AND(WEEKDAY($DB$20+1,2)=6,$DF$10=6,$BX$33&lt;&gt;"HOL"),
AND(WEEKDAY($DB$20+1,2)=7,$DG$10=7,$BX$35&lt;&gt;"HOL")
)
),$DD$33,
AND($DG$36=R4,
OR(
AND(WEEKDAY($DB$20+1,2)=1,$DA$14=1,$BX$23&lt;&gt;"HOL"),
AND(WEEKDAY($DB$20+1,2)=2,$DB$14=2,$BX$25&lt;&gt;"HOL"),
AND(WEEKDAY($DB$20+1,2)=3,$DC$14=3,$BX$27&lt;&gt;"HOL"),
AND(WEEKDAY($DB$20+1,2)=4,$DD$14=4,$BX$29&lt;&gt;"HOL"),
AND(WEEKDAY($DB$20+1,2)=5,$DE$14=5,$BX$31&lt;&gt;"HOL"),
AND(WEEKDAY($DB$20+1,2)=6,$DF$14=6,$BX$33&lt;&gt;"HOL"),
AND(WEEKDAY($DB$20+1,2)=7,$DG$14=7,$BX$35&lt;&gt;"HOL")
)
),$DD$33,
TRUE,""
)
)</f>
        <v>#VALUE!</v>
      </c>
      <c r="R7" s="1090" t="e" cm="1">
        <f t="array" aca="1" ref="R7" ca="1">IF(
$C$3="TODAY",
_xlfn.IFS(
AND($DG$23=R4,
OR(
AND(WEEKDAY($DB$20,2)=1,$CE$10=1,$BX$23&lt;&gt;"HOL"),
AND(WEEKDAY($DB$20,2)=2,$CF$10=2,$BX$25&lt;&gt;"HOL"),
AND(WEEKDAY($DB$20,2)=3,$CG$10=3,$BX$27&lt;&gt;"HOL"),
AND(WEEKDAY($DB$20,2)=4,$CH$10=4,$BX$29&lt;&gt;"HOL"),
AND(WEEKDAY($DB$20,2)=5,$CI$10=5,$BX$31&lt;&gt;"HOL"),
AND(WEEKDAY($DB$20,2)=6,$CJ$10=6,$BX$33&lt;&gt;"HOL"),
AND(WEEKDAY($DB$20,2)=7,$CK$10=7,$BX$35&lt;&gt;"HOL")
)
),$DC$23,
AND($DG$25=R4,
OR(
AND(WEEKDAY($DB$20,2)=1,$CE$14=1,$BX$23&lt;&gt;"HOL"),
AND(WEEKDAY($DB$20,2)=2,$CF$14=2,$BX$25&lt;&gt;"HOL"),
AND(WEEKDAY($DB$20,2)=3,$CG$14=3,$BX$27&lt;&gt;"HOL"),
AND(WEEKDAY($DB$20,2)=4,$CH$14=4,$BX$29&lt;&gt;"HOL"),
AND(WEEKDAY($DB$20,2)=5,$CI$14=5,$BX$31&lt;&gt;"HOL"),
AND(WEEKDAY($DB$20,2)=6,$CJ$14=6,$BX$33&lt;&gt;"HOL"),
AND(WEEKDAY($DB$20,2)=7,$CK$14=7,$BX$35&lt;&gt;"HOL")
)
),$DC$23,
AND($DG$28=R4,
OR(
AND(WEEKDAY($DB$20,2)=1,$CP$10=1,$BX$23&lt;&gt;"HOL"),
AND(WEEKDAY($DB$20,2)=2,$CQ$10=2,$BX$25&lt;&gt;"HOL"),
AND(WEEKDAY($DB$20,2)=3,$CR$10=3,$BX$27&lt;&gt;"HOL"),
AND(WEEKDAY($DB$20,2)=4,$CS$10=4,$BX$29&lt;&gt;"HOL"),
AND(WEEKDAY($DB$20,2)=5,$CT$10=5,$BX$31&lt;&gt;"HOL"),
AND(WEEKDAY($DB$20,2)=6,$CU$10=6,$BX$33&lt;&gt;"HOL"),
AND(WEEKDAY($DB$20,2)=7,$CV$10=7,$BX$35&lt;&gt;"HOL")
)
),$DC$28,
AND($DG$30=R4,
OR(
AND(WEEKDAY($DB$20,2)=1,$CP$14=1,$BX$23&lt;&gt;"HOL"),
AND(WEEKDAY($DB$20,2)=2,$CQ$14=2,$BX$25&lt;&gt;"HOL"),
AND(WEEKDAY($DB$20,2)=3,$CR$14=3,$BX$27&lt;&gt;"HOL"),
AND(WEEKDAY($DB$20,2)=4,$CS$14=4,$BX$29&lt;&gt;"HOL"),
AND(WEEKDAY($DB$20,2)=5,$CT$14=5,$BX$31&lt;&gt;"HOL"),
AND(WEEKDAY($DB$20,2)=6,$CU$14=6,$BX$33&lt;&gt;"HOL"),
AND(WEEKDAY($DB$20,2)=7,$CV$14=7,$BX$35&lt;&gt;"HOL")
)
),$DC$28,
AND($DG$33=R4,
OR(
AND(WEEKDAY($DB$20,2)=1,$DA$10=1,$BX$23&lt;&gt;"HOL"),
AND(WEEKDAY($DB$20,2)=2,$DB$10=2,$BX$25&lt;&gt;"HOL"),
AND(WEEKDAY($DB$20,2)=3,$DC$10=3,$BX$27&lt;&gt;"HOL"),
AND(WEEKDAY($DB$20,2)=4,$DD$10=4,$BX$29&lt;&gt;"HOL"),
AND(WEEKDAY($DB$20,2)=5,$DE$10=5,$BX$31&lt;&gt;"HOL"),
AND(WEEKDAY($DB$20,2)=6,$DF$10=6,$BX$33&lt;&gt;"HOL"),
AND(WEEKDAY($DB$20,2)=7,$DG$10=7,$BX$35&lt;&gt;"HOL")
)
),$DC$33,
AND($DG$35=R4,
OR(
AND(WEEKDAY($DB$20,2)=1,$DA$14=1,$BX$23&lt;&gt;"HOL"),
AND(WEEKDAY($DB$20,2)=2,$DB$14=2,$BX$25&lt;&gt;"HOL"),
AND(WEEKDAY($DB$20,2)=3,$DC$14=3,$BX$27&lt;&gt;"HOL"),
AND(WEEKDAY($DB$20,2)=4,$DD$14=4,$BX$29&lt;&gt;"HOL"),
AND(WEEKDAY($DB$20,2)=5,$DE$14=5,$BX$31&lt;&gt;"HOL"),
AND(WEEKDAY($DB$20,2)=6,$DF$14=6,$BX$33&lt;&gt;"HOL"),
AND(WEEKDAY($DB$20,2)=7,$DG$14=7,$BX$35&lt;&gt;"HOL")
)
),$DC$33,
TRUE,""
),
_xlfn.IFS(
AND($DG$23=R4,
OR(
AND(WEEKDAY($DB$20+1,2)=1,$CE$10=1,$BX$23&lt;&gt;"HOL"),
AND(WEEKDAY($DB$20+1,2)=2,$CF$10=2,$BX$25&lt;&gt;"HOL"),
AND(WEEKDAY($DB$20+1,2)=3,$CG$10=3,$BX$27&lt;&gt;"HOL"),
AND(WEEKDAY($DB$20+1,2)=4,$CH$10=4,$BX$29&lt;&gt;"HOL"),
AND(WEEKDAY($DB$20+1,2)=5,$CI$10=5,$BX$31&lt;&gt;"HOL"),
AND(WEEKDAY($DB$20+1,2)=6,$CJ$10=6,$BX$33&lt;&gt;"HOL"),
AND(WEEKDAY($DB$20+1,2)=7,$CK$10=7,$BX$35&lt;&gt;"HOL")
)
),$DC$23,
AND($DG$25=R4,
OR(
AND(WEEKDAY($DB$20+1,2)=1,$CE$14=1,$BX$23&lt;&gt;"HOL"),
AND(WEEKDAY($DB$20+1,2)=2,$CF$14=2,$BX$25&lt;&gt;"HOL"),
AND(WEEKDAY($DB$20+1,2)=3,$CG$14=3,$BX$27&lt;&gt;"HOL"),
AND(WEEKDAY($DB$20+1,2)=4,$CH$14=4,$BX$29&lt;&gt;"HOL"),
AND(WEEKDAY($DB$20+1,2)=5,$CI$14=5,$BX$31&lt;&gt;"HOL"),
AND(WEEKDAY($DB$20+1,2)=6,$CJ$14=6,$BX$33&lt;&gt;"HOL"),
AND(WEEKDAY($DB$20+1,2)=7,$CK$14=7,$BX$35&lt;&gt;"HOL")
)
),$DC$23,
AND($DG$28=R4,
OR(
AND(WEEKDAY($DB$20+1,2)=1,$CP$10=1,$BX$23&lt;&gt;"HOL"),
AND(WEEKDAY($DB$20+1,2)=2,$CQ$10=2,$BX$25&lt;&gt;"HOL"),
AND(WEEKDAY($DB$20+1,2)=3,$CR$10=3,$BX$27&lt;&gt;"HOL"),
AND(WEEKDAY($DB$20+1,2)=4,$CS$10=4,$BX$29&lt;&gt;"HOL"),
AND(WEEKDAY($DB$20+1,2)=5,$CT$10=5,$BX$31&lt;&gt;"HOL"),
AND(WEEKDAY($DB$20+1,2)=6,$CU$10=6,$BX$33&lt;&gt;"HOL"),
AND(WEEKDAY($DB$20+1,2)=7,$CV$10=7,$BX$35&lt;&gt;"HOL")
)
),$DC$28,
AND($DG$30=R4,
OR(
AND(WEEKDAY($DB$20+1,2)=1,$CP$14=1,$BX$23&lt;&gt;"HOL"),
AND(WEEKDAY($DB$20+1,2)=2,$CQ$14=2,$BX$25&lt;&gt;"HOL"),
AND(WEEKDAY($DB$20+1,2)=3,$CR$14=3,$BX$27&lt;&gt;"HOL"),
AND(WEEKDAY($DB$20+1,2)=4,$CS$14=4,$BX$29&lt;&gt;"HOL"),
AND(WEEKDAY($DB$20+1,2)=5,$CT$14=5,$BX$31&lt;&gt;"HOL"),
AND(WEEKDAY($DB$20+1,2)=6,$CU$14=6,$BX$33&lt;&gt;"HOL"),
AND(WEEKDAY($DB$20+1,2)=7,$CV$14=7,$BX$35&lt;&gt;"HOL")
)
),$DC$28,
AND($DG$33=R4,
OR(
AND(WEEKDAY($DB$20+1,2)=1,$DA$10=1,$BX$23&lt;&gt;"HOL"),
AND(WEEKDAY($DB$20+1,2)=2,$DB$10=2,$BX$25&lt;&gt;"HOL"),
AND(WEEKDAY($DB$20+1,2)=3,$DC$10=3,$BX$27&lt;&gt;"HOL"),
AND(WEEKDAY($DB$20+1,2)=4,$DD$10=4,$BX$29&lt;&gt;"HOL"),
AND(WEEKDAY($DB$20+1,2)=5,$DE$10=5,$BX$31&lt;&gt;"HOL"),
AND(WEEKDAY($DB$20+1,2)=6,$DF$10=6,$BX$33&lt;&gt;"HOL"),
AND(WEEKDAY($DB$20+1,2)=7,$DG$10=7,$BX$35&lt;&gt;"HOL")
)
),$DC$33,
AND($DG$35=R4,
OR(
AND(WEEKDAY($DB$20+1,2)=1,$DA$14=1,$BX$23&lt;&gt;"HOL"),
AND(WEEKDAY($DB$20+1,2)=2,$DB$14=2,$BX$25&lt;&gt;"HOL"),
AND(WEEKDAY($DB$20+1,2)=3,$DC$14=3,$BX$27&lt;&gt;"HOL"),
AND(WEEKDAY($DB$20+1,2)=4,$DD$14=4,$BX$29&lt;&gt;"HOL"),
AND(WEEKDAY($DB$20+1,2)=5,$DE$14=5,$BX$31&lt;&gt;"HOL"),
AND(WEEKDAY($DB$20+1,2)=6,$DF$14=6,$BX$33&lt;&gt;"HOL"),
AND(WEEKDAY($DB$20+1,2)=7,$DG$14=7,$BX$35&lt;&gt;"HOL")
)
),$DC$33,
TRUE,""
)
)</f>
        <v>#VALUE!</v>
      </c>
      <c r="S7" s="2075" t="e" cm="1">
        <f t="array" aca="1" ref="S7" ca="1">IF(
$C$3="TODAY",
_xlfn.IFS(
AND($DG$24=T4,
OR(
AND(WEEKDAY($DB$20,2)=1,$CE$10=1,$BX$23&lt;&gt;"HOL"),
AND(WEEKDAY($DB$20,2)=2,$CF$10=2,$BX$25&lt;&gt;"HOL"),
AND(WEEKDAY($DB$20,2)=3,$CG$10=3,$BX$27&lt;&gt;"HOL"),
AND(WEEKDAY($DB$20,2)=4,$CH$10=4,$BX$29&lt;&gt;"HOL"),
AND(WEEKDAY($DB$20,2)=5,$CI$10=5,$BX$31&lt;&gt;"HOL"),
AND(WEEKDAY($DB$20,2)=6,$CJ$10=6,$BX$33&lt;&gt;"HOL"),
AND(WEEKDAY($DB$20,2)=7,$CK$10=7,$BX$35&lt;&gt;"HOL")
)
),$DD$23,
AND($DG$26=T4,
OR(
AND(WEEKDAY($DB$20,2)=1,$CE$14=1,$BX$23&lt;&gt;"HOL"),
AND(WEEKDAY($DB$20,2)=2,$CF$14=2,$BX$25&lt;&gt;"HOL"),
AND(WEEKDAY($DB$20,2)=3,$CG$14=3,$BX$27&lt;&gt;"HOL"),
AND(WEEKDAY($DB$20,2)=4,$CH$14=4,$BX$29&lt;&gt;"HOL"),
AND(WEEKDAY($DB$20,2)=5,$CI$14=5,$BX$31&lt;&gt;"HOL"),
AND(WEEKDAY($DB$20,2)=6,$CJ$14=6,$BX$33&lt;&gt;"HOL"),
AND(WEEKDAY($DB$20,2)=7,$CK$14=7,$BX$35&lt;&gt;"HOL")
)
),$DD$23,
AND($DG$29=T4,
OR(
AND(WEEKDAY($DB$20,2)=1,$CP$10=1,$BX$23&lt;&gt;"HOL"),
AND(WEEKDAY($DB$20,2)=2,$CQ$10=2,$BX$25&lt;&gt;"HOL"),
AND(WEEKDAY($DB$20,2)=3,$CR$10=3,$BX$27&lt;&gt;"HOL"),
AND(WEEKDAY($DB$20,2)=4,$CS$10=4,$BX$29&lt;&gt;"HOL"),
AND(WEEKDAY($DB$20,2)=5,$CT$10=5,$BX$31&lt;&gt;"HOL"),
AND(WEEKDAY($DB$20,2)=6,$CU$10=6,$BX$33&lt;&gt;"HOL"),
AND(WEEKDAY($DB$20,2)=7,$CV$10=7,$BX$35&lt;&gt;"HOL")
)
),$DD$28,
AND($DG$31=T4,
OR(
AND(WEEKDAY($DB$20,2)=1,$CP$14=1,$BX$23&lt;&gt;"HOL"),
AND(WEEKDAY($DB$20,2)=2,$CQ$14=2,$BX$25&lt;&gt;"HOL"),
AND(WEEKDAY($DB$20,2)=3,$CR$14=3,$BX$27&lt;&gt;"HOL"),
AND(WEEKDAY($DB$20,2)=4,$CS$14=4,$BX$29&lt;&gt;"HOL"),
AND(WEEKDAY($DB$20,2)=5,$CT$14=5,$BX$31&lt;&gt;"HOL"),
AND(WEEKDAY($DB$20,2)=6,$CU$14=6,$BX$33&lt;&gt;"HOL"),
AND(WEEKDAY($DB$20,2)=7,$CV$14=7,$BX$35&lt;&gt;"HOL")
)
),$DD$28,
AND($DG$34=T4,
OR(
AND(WEEKDAY($DB$20,2)=1,$DA$10=1,$BX$23&lt;&gt;"HOL"),
AND(WEEKDAY($DB$20,2)=2,$DB$10=2,$BX$25&lt;&gt;"HOL"),
AND(WEEKDAY($DB$20,2)=3,$DC$10=3,$BX$27&lt;&gt;"HOL"),
AND(WEEKDAY($DB$20,2)=4,$DD$10=4,$BX$29&lt;&gt;"HOL"),
AND(WEEKDAY($DB$20,2)=5,$DE$10=5,$BX$31&lt;&gt;"HOL"),
AND(WEEKDAY($DB$20,2)=6,$DF$10=6,$BX$33&lt;&gt;"HOL"),
AND(WEEKDAY($DB$20,2)=7,$DG$10=7,$BX$35&lt;&gt;"HOL")
)
),$DD$33,
AND($DG$36=T4,
OR(
AND(WEEKDAY($DB$20,2)=1,$DA$14=1,$BX$23&lt;&gt;"HOL"),
AND(WEEKDAY($DB$20,2)=2,$DB$14=2,$BX$25&lt;&gt;"HOL"),
AND(WEEKDAY($DB$20,2)=3,$DC$14=3,$BX$27&lt;&gt;"HOL"),
AND(WEEKDAY($DB$20,2)=4,$DD$14=4,$BX$29&lt;&gt;"HOL"),
AND(WEEKDAY($DB$20,2)=5,$DE$14=5,$BX$31&lt;&gt;"HOL"),
AND(WEEKDAY($DB$20,2)=6,$DF$14=6,$BX$33&lt;&gt;"HOL"),
AND(WEEKDAY($DB$20,2)=7,$DG$14=7,$BX$35&lt;&gt;"HOL")
)
),$DD$33,
TRUE,""
),
_xlfn.IFS(
AND($DG$24=T4,
OR(
AND(WEEKDAY($DB$20+1,2)=1,$CE$10=1,$BX$23&lt;&gt;"HOL"),
AND(WEEKDAY($DB$20+1,2)=2,$CF$10=2,$BX$25&lt;&gt;"HOL"),
AND(WEEKDAY($DB$20+1,2)=3,$CG$10=3,$BX$27&lt;&gt;"HOL"),
AND(WEEKDAY($DB$20+1,2)=4,$CH$10=4,$BX$29&lt;&gt;"HOL"),
AND(WEEKDAY($DB$20+1,2)=5,$CI$10=5,$BX$31&lt;&gt;"HOL"),
AND(WEEKDAY($DB$20+1,2)=6,$CJ$10=6,$BX$33&lt;&gt;"HOL"),
AND(WEEKDAY($DB$20+1,2)=7,$CK$10=7,$BX$35&lt;&gt;"HOL")
)
),$DD$23,
AND($DG$26=T4,
OR(
AND(WEEKDAY($DB$20+1,2)=1,$CE$14=1,$BX$23&lt;&gt;"HOL"),
AND(WEEKDAY($DB$20+1,2)=2,$CF$14=2,$BX$25&lt;&gt;"HOL"),
AND(WEEKDAY($DB$20+1,2)=3,$CG$14=3,$BX$27&lt;&gt;"HOL"),
AND(WEEKDAY($DB$20+1,2)=4,$CH$14=4,$BX$29&lt;&gt;"HOL"),
AND(WEEKDAY($DB$20+1,2)=5,$CI$14=5,$BX$31&lt;&gt;"HOL"),
AND(WEEKDAY($DB$20+1,2)=6,$CJ$14=6,$BX$33&lt;&gt;"HOL"),
AND(WEEKDAY($DB$20+1,2)=7,$CK$14=7,$BX$35&lt;&gt;"HOL")
)
),$DD$23,
AND($DG$29=T4,
OR(
AND(WEEKDAY($DB$20+1,2)=1,$CP$10=1,$BX$23&lt;&gt;"HOL"),
AND(WEEKDAY($DB$20+1,2)=2,$CQ$10=2,$BX$25&lt;&gt;"HOL"),
AND(WEEKDAY($DB$20+1,2)=3,$CR$10=3,$BX$27&lt;&gt;"HOL"),
AND(WEEKDAY($DB$20+1,2)=4,$CS$10=4,$BX$29&lt;&gt;"HOL"),
AND(WEEKDAY($DB$20+1,2)=5,$CT$10=5,$BX$31&lt;&gt;"HOL"),
AND(WEEKDAY($DB$20+1,2)=6,$CU$10=6,$BX$33&lt;&gt;"HOL"),
AND(WEEKDAY($DB$20+1,2)=7,$CV$10=7,$BX$35&lt;&gt;"HOL")
)
),$DD$28,
AND($DG$31=T4,
OR(
AND(WEEKDAY($DB$20+1,2)=1,$CP$14=1,$BX$23&lt;&gt;"HOL"),
AND(WEEKDAY($DB$20+1,2)=2,$CQ$14=2,$BX$25&lt;&gt;"HOL"),
AND(WEEKDAY($DB$20+1,2)=3,$CR$14=3,$BX$27&lt;&gt;"HOL"),
AND(WEEKDAY($DB$20+1,2)=4,$CS$14=4,$BX$29&lt;&gt;"HOL"),
AND(WEEKDAY($DB$20+1,2)=5,$CT$14=5,$BX$31&lt;&gt;"HOL"),
AND(WEEKDAY($DB$20+1,2)=6,$CU$14=6,$BX$33&lt;&gt;"HOL"),
AND(WEEKDAY($DB$20+1,2)=7,$CV$14=7,$BX$35&lt;&gt;"HOL")
)
),$DD$28,
AND($DG$34=T4,
OR(
AND(WEEKDAY($DB$20+1,2)=1,$DA$10=1,$BX$23&lt;&gt;"HOL"),
AND(WEEKDAY($DB$20+1,2)=2,$DB$10=2,$BX$25&lt;&gt;"HOL"),
AND(WEEKDAY($DB$20+1,2)=3,$DC$10=3,$BX$27&lt;&gt;"HOL"),
AND(WEEKDAY($DB$20+1,2)=4,$DD$10=4,$BX$29&lt;&gt;"HOL"),
AND(WEEKDAY($DB$20+1,2)=5,$DE$10=5,$BX$31&lt;&gt;"HOL"),
AND(WEEKDAY($DB$20+1,2)=6,$DF$10=6,$BX$33&lt;&gt;"HOL"),
AND(WEEKDAY($DB$20+1,2)=7,$DG$10=7,$BX$35&lt;&gt;"HOL")
)
),$DD$33,
AND($DG$36=T4,
OR(
AND(WEEKDAY($DB$20+1,2)=1,$DA$14=1,$BX$23&lt;&gt;"HOL"),
AND(WEEKDAY($DB$20+1,2)=2,$DB$14=2,$BX$25&lt;&gt;"HOL"),
AND(WEEKDAY($DB$20+1,2)=3,$DC$14=3,$BX$27&lt;&gt;"HOL"),
AND(WEEKDAY($DB$20+1,2)=4,$DD$14=4,$BX$29&lt;&gt;"HOL"),
AND(WEEKDAY($DB$20+1,2)=5,$DE$14=5,$BX$31&lt;&gt;"HOL"),
AND(WEEKDAY($DB$20+1,2)=6,$DF$14=6,$BX$33&lt;&gt;"HOL"),
AND(WEEKDAY($DB$20+1,2)=7,$DG$14=7,$BX$35&lt;&gt;"HOL")
)
),$DD$33,
TRUE,""
)
)</f>
        <v>#VALUE!</v>
      </c>
      <c r="T7" s="2076" t="e" cm="1">
        <f t="array" aca="1" ref="T7" ca="1">IF(
$C$3="TODAY",
_xlfn.IFS(
AND($DG$23=T4,
OR(
AND(WEEKDAY($DB$20,2)=1,$CE$10=1,$BX$23&lt;&gt;"HOL"),
AND(WEEKDAY($DB$20,2)=2,$CF$10=2,$BX$25&lt;&gt;"HOL"),
AND(WEEKDAY($DB$20,2)=3,$CG$10=3,$BX$27&lt;&gt;"HOL"),
AND(WEEKDAY($DB$20,2)=4,$CH$10=4,$BX$29&lt;&gt;"HOL"),
AND(WEEKDAY($DB$20,2)=5,$CI$10=5,$BX$31&lt;&gt;"HOL"),
AND(WEEKDAY($DB$20,2)=6,$CJ$10=6,$BX$33&lt;&gt;"HOL"),
AND(WEEKDAY($DB$20,2)=7,$CK$10=7,$BX$35&lt;&gt;"HOL")
)
),$DC$23,
AND($DG$25=T4,
OR(
AND(WEEKDAY($DB$20,2)=1,$CE$14=1,$BX$23&lt;&gt;"HOL"),
AND(WEEKDAY($DB$20,2)=2,$CF$14=2,$BX$25&lt;&gt;"HOL"),
AND(WEEKDAY($DB$20,2)=3,$CG$14=3,$BX$27&lt;&gt;"HOL"),
AND(WEEKDAY($DB$20,2)=4,$CH$14=4,$BX$29&lt;&gt;"HOL"),
AND(WEEKDAY($DB$20,2)=5,$CI$14=5,$BX$31&lt;&gt;"HOL"),
AND(WEEKDAY($DB$20,2)=6,$CJ$14=6,$BX$33&lt;&gt;"HOL"),
AND(WEEKDAY($DB$20,2)=7,$CK$14=7,$BX$35&lt;&gt;"HOL")
)
),$DC$23,
AND($DG$28=T4,
OR(
AND(WEEKDAY($DB$20,2)=1,$CP$10=1,$BX$23&lt;&gt;"HOL"),
AND(WEEKDAY($DB$20,2)=2,$CQ$10=2,$BX$25&lt;&gt;"HOL"),
AND(WEEKDAY($DB$20,2)=3,$CR$10=3,$BX$27&lt;&gt;"HOL"),
AND(WEEKDAY($DB$20,2)=4,$CS$10=4,$BX$29&lt;&gt;"HOL"),
AND(WEEKDAY($DB$20,2)=5,$CT$10=5,$BX$31&lt;&gt;"HOL"),
AND(WEEKDAY($DB$20,2)=6,$CU$10=6,$BX$33&lt;&gt;"HOL"),
AND(WEEKDAY($DB$20,2)=7,$CV$10=7,$BX$35&lt;&gt;"HOL")
)
),$DC$28,
AND($DG$30=T4,
OR(
AND(WEEKDAY($DB$20,2)=1,$CP$14=1,$BX$23&lt;&gt;"HOL"),
AND(WEEKDAY($DB$20,2)=2,$CQ$14=2,$BX$25&lt;&gt;"HOL"),
AND(WEEKDAY($DB$20,2)=3,$CR$14=3,$BX$27&lt;&gt;"HOL"),
AND(WEEKDAY($DB$20,2)=4,$CS$14=4,$BX$29&lt;&gt;"HOL"),
AND(WEEKDAY($DB$20,2)=5,$CT$14=5,$BX$31&lt;&gt;"HOL"),
AND(WEEKDAY($DB$20,2)=6,$CU$14=6,$BX$33&lt;&gt;"HOL"),
AND(WEEKDAY($DB$20,2)=7,$CV$14=7,$BX$35&lt;&gt;"HOL")
)
),$DC$28,
AND($DG$33=T4,
OR(
AND(WEEKDAY($DB$20,2)=1,$DA$10=1,$BX$23&lt;&gt;"HOL"),
AND(WEEKDAY($DB$20,2)=2,$DB$10=2,$BX$25&lt;&gt;"HOL"),
AND(WEEKDAY($DB$20,2)=3,$DC$10=3,$BX$27&lt;&gt;"HOL"),
AND(WEEKDAY($DB$20,2)=4,$DD$10=4,$BX$29&lt;&gt;"HOL"),
AND(WEEKDAY($DB$20,2)=5,$DE$10=5,$BX$31&lt;&gt;"HOL"),
AND(WEEKDAY($DB$20,2)=6,$DF$10=6,$BX$33&lt;&gt;"HOL"),
AND(WEEKDAY($DB$20,2)=7,$DG$10=7,$BX$35&lt;&gt;"HOL")
)
),$DC$33,
AND($DG$35=T4,
OR(
AND(WEEKDAY($DB$20,2)=1,$DA$14=1,$BX$23&lt;&gt;"HOL"),
AND(WEEKDAY($DB$20,2)=2,$DB$14=2,$BX$25&lt;&gt;"HOL"),
AND(WEEKDAY($DB$20,2)=3,$DC$14=3,$BX$27&lt;&gt;"HOL"),
AND(WEEKDAY($DB$20,2)=4,$DD$14=4,$BX$29&lt;&gt;"HOL"),
AND(WEEKDAY($DB$20,2)=5,$DE$14=5,$BX$31&lt;&gt;"HOL"),
AND(WEEKDAY($DB$20,2)=6,$DF$14=6,$BX$33&lt;&gt;"HOL"),
AND(WEEKDAY($DB$20,2)=7,$DG$14=7,$BX$35&lt;&gt;"HOL")
)
),$DC$33,
TRUE,""
),
_xlfn.IFS(
AND($DG$23=T4,
OR(
AND(WEEKDAY($DB$20+1,2)=1,$CE$10=1,$BX$23&lt;&gt;"HOL"),
AND(WEEKDAY($DB$20+1,2)=2,$CF$10=2,$BX$25&lt;&gt;"HOL"),
AND(WEEKDAY($DB$20+1,2)=3,$CG$10=3,$BX$27&lt;&gt;"HOL"),
AND(WEEKDAY($DB$20+1,2)=4,$CH$10=4,$BX$29&lt;&gt;"HOL"),
AND(WEEKDAY($DB$20+1,2)=5,$CI$10=5,$BX$31&lt;&gt;"HOL"),
AND(WEEKDAY($DB$20+1,2)=6,$CJ$10=6,$BX$33&lt;&gt;"HOL"),
AND(WEEKDAY($DB$20+1,2)=7,$CK$10=7,$BX$35&lt;&gt;"HOL")
)
),$DC$23,
AND($DG$25=T4,
OR(
AND(WEEKDAY($DB$20+1,2)=1,$CE$14=1,$BX$23&lt;&gt;"HOL"),
AND(WEEKDAY($DB$20+1,2)=2,$CF$14=2,$BX$25&lt;&gt;"HOL"),
AND(WEEKDAY($DB$20+1,2)=3,$CG$14=3,$BX$27&lt;&gt;"HOL"),
AND(WEEKDAY($DB$20+1,2)=4,$CH$14=4,$BX$29&lt;&gt;"HOL"),
AND(WEEKDAY($DB$20+1,2)=5,$CI$14=5,$BX$31&lt;&gt;"HOL"),
AND(WEEKDAY($DB$20+1,2)=6,$CJ$14=6,$BX$33&lt;&gt;"HOL"),
AND(WEEKDAY($DB$20+1,2)=7,$CK$14=7,$BX$35&lt;&gt;"HOL")
)
),$DC$23,
AND($DG$28=T4,
OR(
AND(WEEKDAY($DB$20+1,2)=1,$CP$10=1,$BX$23&lt;&gt;"HOL"),
AND(WEEKDAY($DB$20+1,2)=2,$CQ$10=2,$BX$25&lt;&gt;"HOL"),
AND(WEEKDAY($DB$20+1,2)=3,$CR$10=3,$BX$27&lt;&gt;"HOL"),
AND(WEEKDAY($DB$20+1,2)=4,$CS$10=4,$BX$29&lt;&gt;"HOL"),
AND(WEEKDAY($DB$20+1,2)=5,$CT$10=5,$BX$31&lt;&gt;"HOL"),
AND(WEEKDAY($DB$20+1,2)=6,$CU$10=6,$BX$33&lt;&gt;"HOL"),
AND(WEEKDAY($DB$20+1,2)=7,$CV$10=7,$BX$35&lt;&gt;"HOL")
)
),$DC$28,
AND($DG$30=T4,
OR(
AND(WEEKDAY($DB$20+1,2)=1,$CP$14=1,$BX$23&lt;&gt;"HOL"),
AND(WEEKDAY($DB$20+1,2)=2,$CQ$14=2,$BX$25&lt;&gt;"HOL"),
AND(WEEKDAY($DB$20+1,2)=3,$CR$14=3,$BX$27&lt;&gt;"HOL"),
AND(WEEKDAY($DB$20+1,2)=4,$CS$14=4,$BX$29&lt;&gt;"HOL"),
AND(WEEKDAY($DB$20+1,2)=5,$CT$14=5,$BX$31&lt;&gt;"HOL"),
AND(WEEKDAY($DB$20+1,2)=6,$CU$14=6,$BX$33&lt;&gt;"HOL"),
AND(WEEKDAY($DB$20+1,2)=7,$CV$14=7,$BX$35&lt;&gt;"HOL")
)
),$DC$28,
AND($DG$33=T4,
OR(
AND(WEEKDAY($DB$20+1,2)=1,$DA$10=1,$BX$23&lt;&gt;"HOL"),
AND(WEEKDAY($DB$20+1,2)=2,$DB$10=2,$BX$25&lt;&gt;"HOL"),
AND(WEEKDAY($DB$20+1,2)=3,$DC$10=3,$BX$27&lt;&gt;"HOL"),
AND(WEEKDAY($DB$20+1,2)=4,$DD$10=4,$BX$29&lt;&gt;"HOL"),
AND(WEEKDAY($DB$20+1,2)=5,$DE$10=5,$BX$31&lt;&gt;"HOL"),
AND(WEEKDAY($DB$20+1,2)=6,$DF$10=6,$BX$33&lt;&gt;"HOL"),
AND(WEEKDAY($DB$20+1,2)=7,$DG$10=7,$BX$35&lt;&gt;"HOL")
)
),$DC$33,
AND($DG$35=T4,
OR(
AND(WEEKDAY($DB$20+1,2)=1,$DA$14=1,$BX$23&lt;&gt;"HOL"),
AND(WEEKDAY($DB$20+1,2)=2,$DB$14=2,$BX$25&lt;&gt;"HOL"),
AND(WEEKDAY($DB$20+1,2)=3,$DC$14=3,$BX$27&lt;&gt;"HOL"),
AND(WEEKDAY($DB$20+1,2)=4,$DD$14=4,$BX$29&lt;&gt;"HOL"),
AND(WEEKDAY($DB$20+1,2)=5,$DE$14=5,$BX$31&lt;&gt;"HOL"),
AND(WEEKDAY($DB$20+1,2)=6,$DF$14=6,$BX$33&lt;&gt;"HOL"),
AND(WEEKDAY($DB$20+1,2)=7,$DG$14=7,$BX$35&lt;&gt;"HOL")
)
),$DC$33,
TRUE,""
)
)</f>
        <v>#VALUE!</v>
      </c>
      <c r="U7" s="2066" t="e" cm="1">
        <f t="array" aca="1" ref="U7" ca="1">IF(
$C$3="TODAY",
_xlfn.IFS(
AND($DG$24=V4,
OR(
AND(WEEKDAY($DB$20,2)=1,$CE$10=1,$BX$23&lt;&gt;"HOL"),
AND(WEEKDAY($DB$20,2)=2,$CF$10=2,$BX$25&lt;&gt;"HOL"),
AND(WEEKDAY($DB$20,2)=3,$CG$10=3,$BX$27&lt;&gt;"HOL"),
AND(WEEKDAY($DB$20,2)=4,$CH$10=4,$BX$29&lt;&gt;"HOL"),
AND(WEEKDAY($DB$20,2)=5,$CI$10=5,$BX$31&lt;&gt;"HOL"),
AND(WEEKDAY($DB$20,2)=6,$CJ$10=6,$BX$33&lt;&gt;"HOL"),
AND(WEEKDAY($DB$20,2)=7,$CK$10=7,$BX$35&lt;&gt;"HOL")
)
),$DD$23,
AND($DG$26=V4,
OR(
AND(WEEKDAY($DB$20,2)=1,$CE$14=1,$BX$23&lt;&gt;"HOL"),
AND(WEEKDAY($DB$20,2)=2,$CF$14=2,$BX$25&lt;&gt;"HOL"),
AND(WEEKDAY($DB$20,2)=3,$CG$14=3,$BX$27&lt;&gt;"HOL"),
AND(WEEKDAY($DB$20,2)=4,$CH$14=4,$BX$29&lt;&gt;"HOL"),
AND(WEEKDAY($DB$20,2)=5,$CI$14=5,$BX$31&lt;&gt;"HOL"),
AND(WEEKDAY($DB$20,2)=6,$CJ$14=6,$BX$33&lt;&gt;"HOL"),
AND(WEEKDAY($DB$20,2)=7,$CK$14=7,$BX$35&lt;&gt;"HOL")
)
),$DD$23,
AND($DG$29=V4,
OR(
AND(WEEKDAY($DB$20,2)=1,$CP$10=1,$BX$23&lt;&gt;"HOL"),
AND(WEEKDAY($DB$20,2)=2,$CQ$10=2,$BX$25&lt;&gt;"HOL"),
AND(WEEKDAY($DB$20,2)=3,$CR$10=3,$BX$27&lt;&gt;"HOL"),
AND(WEEKDAY($DB$20,2)=4,$CS$10=4,$BX$29&lt;&gt;"HOL"),
AND(WEEKDAY($DB$20,2)=5,$CT$10=5,$BX$31&lt;&gt;"HOL"),
AND(WEEKDAY($DB$20,2)=6,$CU$10=6,$BX$33&lt;&gt;"HOL"),
AND(WEEKDAY($DB$20,2)=7,$CV$10=7,$BX$35&lt;&gt;"HOL")
)
),$DD$28,
AND($DG$31=V4,
OR(
AND(WEEKDAY($DB$20,2)=1,$CP$14=1,$BX$23&lt;&gt;"HOL"),
AND(WEEKDAY($DB$20,2)=2,$CQ$14=2,$BX$25&lt;&gt;"HOL"),
AND(WEEKDAY($DB$20,2)=3,$CR$14=3,$BX$27&lt;&gt;"HOL"),
AND(WEEKDAY($DB$20,2)=4,$CS$14=4,$BX$29&lt;&gt;"HOL"),
AND(WEEKDAY($DB$20,2)=5,$CT$14=5,$BX$31&lt;&gt;"HOL"),
AND(WEEKDAY($DB$20,2)=6,$CU$14=6,$BX$33&lt;&gt;"HOL"),
AND(WEEKDAY($DB$20,2)=7,$CV$14=7,$BX$35&lt;&gt;"HOL")
)
),$DD$28,
AND($DG$34=V4,
OR(
AND(WEEKDAY($DB$20,2)=1,$DA$10=1,$BX$23&lt;&gt;"HOL"),
AND(WEEKDAY($DB$20,2)=2,$DB$10=2,$BX$25&lt;&gt;"HOL"),
AND(WEEKDAY($DB$20,2)=3,$DC$10=3,$BX$27&lt;&gt;"HOL"),
AND(WEEKDAY($DB$20,2)=4,$DD$10=4,$BX$29&lt;&gt;"HOL"),
AND(WEEKDAY($DB$20,2)=5,$DE$10=5,$BX$31&lt;&gt;"HOL"),
AND(WEEKDAY($DB$20,2)=6,$DF$10=6,$BX$33&lt;&gt;"HOL"),
AND(WEEKDAY($DB$20,2)=7,$DG$10=7,$BX$35&lt;&gt;"HOL")
)
),$DD$33,
AND($DG$36=V4,
OR(
AND(WEEKDAY($DB$20,2)=1,$DA$14=1,$BX$23&lt;&gt;"HOL"),
AND(WEEKDAY($DB$20,2)=2,$DB$14=2,$BX$25&lt;&gt;"HOL"),
AND(WEEKDAY($DB$20,2)=3,$DC$14=3,$BX$27&lt;&gt;"HOL"),
AND(WEEKDAY($DB$20,2)=4,$DD$14=4,$BX$29&lt;&gt;"HOL"),
AND(WEEKDAY($DB$20,2)=5,$DE$14=5,$BX$31&lt;&gt;"HOL"),
AND(WEEKDAY($DB$20,2)=6,$DF$14=6,$BX$33&lt;&gt;"HOL"),
AND(WEEKDAY($DB$20,2)=7,$DG$14=7,$BX$35&lt;&gt;"HOL")
)
),$DD$33,
TRUE,""
),
_xlfn.IFS(
AND($DG$24=V4,
OR(
AND(WEEKDAY($DB$20+1,2)=1,$CE$10=1,$BX$23&lt;&gt;"HOL"),
AND(WEEKDAY($DB$20+1,2)=2,$CF$10=2,$BX$25&lt;&gt;"HOL"),
AND(WEEKDAY($DB$20+1,2)=3,$CG$10=3,$BX$27&lt;&gt;"HOL"),
AND(WEEKDAY($DB$20+1,2)=4,$CH$10=4,$BX$29&lt;&gt;"HOL"),
AND(WEEKDAY($DB$20+1,2)=5,$CI$10=5,$BX$31&lt;&gt;"HOL"),
AND(WEEKDAY($DB$20+1,2)=6,$CJ$10=6,$BX$33&lt;&gt;"HOL"),
AND(WEEKDAY($DB$20+1,2)=7,$CK$10=7,$BX$35&lt;&gt;"HOL")
)
),$DD$23,
AND($DG$26=V4,
OR(
AND(WEEKDAY($DB$20+1,2)=1,$CE$14=1,$BX$23&lt;&gt;"HOL"),
AND(WEEKDAY($DB$20+1,2)=2,$CF$14=2,$BX$25&lt;&gt;"HOL"),
AND(WEEKDAY($DB$20+1,2)=3,$CG$14=3,$BX$27&lt;&gt;"HOL"),
AND(WEEKDAY($DB$20+1,2)=4,$CH$14=4,$BX$29&lt;&gt;"HOL"),
AND(WEEKDAY($DB$20+1,2)=5,$CI$14=5,$BX$31&lt;&gt;"HOL"),
AND(WEEKDAY($DB$20+1,2)=6,$CJ$14=6,$BX$33&lt;&gt;"HOL"),
AND(WEEKDAY($DB$20+1,2)=7,$CK$14=7,$BX$35&lt;&gt;"HOL")
)
),$DD$23,
AND($DG$29=V4,
OR(
AND(WEEKDAY($DB$20+1,2)=1,$CP$10=1,$BX$23&lt;&gt;"HOL"),
AND(WEEKDAY($DB$20+1,2)=2,$CQ$10=2,$BX$25&lt;&gt;"HOL"),
AND(WEEKDAY($DB$20+1,2)=3,$CR$10=3,$BX$27&lt;&gt;"HOL"),
AND(WEEKDAY($DB$20+1,2)=4,$CS$10=4,$BX$29&lt;&gt;"HOL"),
AND(WEEKDAY($DB$20+1,2)=5,$CT$10=5,$BX$31&lt;&gt;"HOL"),
AND(WEEKDAY($DB$20+1,2)=6,$CU$10=6,$BX$33&lt;&gt;"HOL"),
AND(WEEKDAY($DB$20+1,2)=7,$CV$10=7,$BX$35&lt;&gt;"HOL")
)
),$DD$28,
AND($DG$31=V4,
OR(
AND(WEEKDAY($DB$20+1,2)=1,$CP$14=1,$BX$23&lt;&gt;"HOL"),
AND(WEEKDAY($DB$20+1,2)=2,$CQ$14=2,$BX$25&lt;&gt;"HOL"),
AND(WEEKDAY($DB$20+1,2)=3,$CR$14=3,$BX$27&lt;&gt;"HOL"),
AND(WEEKDAY($DB$20+1,2)=4,$CS$14=4,$BX$29&lt;&gt;"HOL"),
AND(WEEKDAY($DB$20+1,2)=5,$CT$14=5,$BX$31&lt;&gt;"HOL"),
AND(WEEKDAY($DB$20+1,2)=6,$CU$14=6,$BX$33&lt;&gt;"HOL"),
AND(WEEKDAY($DB$20+1,2)=7,$CV$14=7,$BX$35&lt;&gt;"HOL")
)
),$DD$28,
AND($DG$34=V4,
OR(
AND(WEEKDAY($DB$20+1,2)=1,$DA$10=1,$BX$23&lt;&gt;"HOL"),
AND(WEEKDAY($DB$20+1,2)=2,$DB$10=2,$BX$25&lt;&gt;"HOL"),
AND(WEEKDAY($DB$20+1,2)=3,$DC$10=3,$BX$27&lt;&gt;"HOL"),
AND(WEEKDAY($DB$20+1,2)=4,$DD$10=4,$BX$29&lt;&gt;"HOL"),
AND(WEEKDAY($DB$20+1,2)=5,$DE$10=5,$BX$31&lt;&gt;"HOL"),
AND(WEEKDAY($DB$20+1,2)=6,$DF$10=6,$BX$33&lt;&gt;"HOL"),
AND(WEEKDAY($DB$20+1,2)=7,$DG$10=7,$BX$35&lt;&gt;"HOL")
)
),$DD$33,
AND($DG$36=V4,
OR(
AND(WEEKDAY($DB$20+1,2)=1,$DA$14=1,$BX$23&lt;&gt;"HOL"),
AND(WEEKDAY($DB$20+1,2)=2,$DB$14=2,$BX$25&lt;&gt;"HOL"),
AND(WEEKDAY($DB$20+1,2)=3,$DC$14=3,$BX$27&lt;&gt;"HOL"),
AND(WEEKDAY($DB$20+1,2)=4,$DD$14=4,$BX$29&lt;&gt;"HOL"),
AND(WEEKDAY($DB$20+1,2)=5,$DE$14=5,$BX$31&lt;&gt;"HOL"),
AND(WEEKDAY($DB$20+1,2)=6,$DF$14=6,$BX$33&lt;&gt;"HOL"),
AND(WEEKDAY($DB$20+1,2)=7,$DG$14=7,$BX$35&lt;&gt;"HOL")
)
),$DD$33,
TRUE,""
)
)</f>
        <v>#VALUE!</v>
      </c>
      <c r="V7" s="1090" t="e" cm="1">
        <f t="array" aca="1" ref="V7" ca="1">IF(
$C$3="TODAY",
_xlfn.IFS(
AND($DG$23=V4,
OR(
AND(WEEKDAY($DB$20,2)=1,$CE$10=1,$BX$23&lt;&gt;"HOL"),
AND(WEEKDAY($DB$20,2)=2,$CF$10=2,$BX$25&lt;&gt;"HOL"),
AND(WEEKDAY($DB$20,2)=3,$CG$10=3,$BX$27&lt;&gt;"HOL"),
AND(WEEKDAY($DB$20,2)=4,$CH$10=4,$BX$29&lt;&gt;"HOL"),
AND(WEEKDAY($DB$20,2)=5,$CI$10=5,$BX$31&lt;&gt;"HOL"),
AND(WEEKDAY($DB$20,2)=6,$CJ$10=6,$BX$33&lt;&gt;"HOL"),
AND(WEEKDAY($DB$20,2)=7,$CK$10=7,$BX$35&lt;&gt;"HOL")
)
),$DC$23,
AND($DG$25=V4,
OR(
AND(WEEKDAY($DB$20,2)=1,$CE$14=1,$BX$23&lt;&gt;"HOL"),
AND(WEEKDAY($DB$20,2)=2,$CF$14=2,$BX$25&lt;&gt;"HOL"),
AND(WEEKDAY($DB$20,2)=3,$CG$14=3,$BX$27&lt;&gt;"HOL"),
AND(WEEKDAY($DB$20,2)=4,$CH$14=4,$BX$29&lt;&gt;"HOL"),
AND(WEEKDAY($DB$20,2)=5,$CI$14=5,$BX$31&lt;&gt;"HOL"),
AND(WEEKDAY($DB$20,2)=6,$CJ$14=6,$BX$33&lt;&gt;"HOL"),
AND(WEEKDAY($DB$20,2)=7,$CK$14=7,$BX$35&lt;&gt;"HOL")
)
),$DC$23,
AND($DG$28=V4,
OR(
AND(WEEKDAY($DB$20,2)=1,$CP$10=1,$BX$23&lt;&gt;"HOL"),
AND(WEEKDAY($DB$20,2)=2,$CQ$10=2,$BX$25&lt;&gt;"HOL"),
AND(WEEKDAY($DB$20,2)=3,$CR$10=3,$BX$27&lt;&gt;"HOL"),
AND(WEEKDAY($DB$20,2)=4,$CS$10=4,$BX$29&lt;&gt;"HOL"),
AND(WEEKDAY($DB$20,2)=5,$CT$10=5,$BX$31&lt;&gt;"HOL"),
AND(WEEKDAY($DB$20,2)=6,$CU$10=6,$BX$33&lt;&gt;"HOL"),
AND(WEEKDAY($DB$20,2)=7,$CV$10=7,$BX$35&lt;&gt;"HOL")
)
),$DC$28,
AND($DG$30=V4,
OR(
AND(WEEKDAY($DB$20,2)=1,$CP$14=1,$BX$23&lt;&gt;"HOL"),
AND(WEEKDAY($DB$20,2)=2,$CQ$14=2,$BX$25&lt;&gt;"HOL"),
AND(WEEKDAY($DB$20,2)=3,$CR$14=3,$BX$27&lt;&gt;"HOL"),
AND(WEEKDAY($DB$20,2)=4,$CS$14=4,$BX$29&lt;&gt;"HOL"),
AND(WEEKDAY($DB$20,2)=5,$CT$14=5,$BX$31&lt;&gt;"HOL"),
AND(WEEKDAY($DB$20,2)=6,$CU$14=6,$BX$33&lt;&gt;"HOL"),
AND(WEEKDAY($DB$20,2)=7,$CV$14=7,$BX$35&lt;&gt;"HOL")
)
),$DC$28,
AND($DG$33=V4,
OR(
AND(WEEKDAY($DB$20,2)=1,$DA$10=1,$BX$23&lt;&gt;"HOL"),
AND(WEEKDAY($DB$20,2)=2,$DB$10=2,$BX$25&lt;&gt;"HOL"),
AND(WEEKDAY($DB$20,2)=3,$DC$10=3,$BX$27&lt;&gt;"HOL"),
AND(WEEKDAY($DB$20,2)=4,$DD$10=4,$BX$29&lt;&gt;"HOL"),
AND(WEEKDAY($DB$20,2)=5,$DE$10=5,$BX$31&lt;&gt;"HOL"),
AND(WEEKDAY($DB$20,2)=6,$DF$10=6,$BX$33&lt;&gt;"HOL"),
AND(WEEKDAY($DB$20,2)=7,$DG$10=7,$BX$35&lt;&gt;"HOL")
)
),$DC$33,
AND($DG$35=V4,
OR(
AND(WEEKDAY($DB$20,2)=1,$DA$14=1,$BX$23&lt;&gt;"HOL"),
AND(WEEKDAY($DB$20,2)=2,$DB$14=2,$BX$25&lt;&gt;"HOL"),
AND(WEEKDAY($DB$20,2)=3,$DC$14=3,$BX$27&lt;&gt;"HOL"),
AND(WEEKDAY($DB$20,2)=4,$DD$14=4,$BX$29&lt;&gt;"HOL"),
AND(WEEKDAY($DB$20,2)=5,$DE$14=5,$BX$31&lt;&gt;"HOL"),
AND(WEEKDAY($DB$20,2)=6,$DF$14=6,$BX$33&lt;&gt;"HOL"),
AND(WEEKDAY($DB$20,2)=7,$DG$14=7,$BX$35&lt;&gt;"HOL")
)
),$DC$33,
TRUE,""
),
_xlfn.IFS(
AND($DG$23=V4,
OR(
AND(WEEKDAY($DB$20+1,2)=1,$CE$10=1,$BX$23&lt;&gt;"HOL"),
AND(WEEKDAY($DB$20+1,2)=2,$CF$10=2,$BX$25&lt;&gt;"HOL"),
AND(WEEKDAY($DB$20+1,2)=3,$CG$10=3,$BX$27&lt;&gt;"HOL"),
AND(WEEKDAY($DB$20+1,2)=4,$CH$10=4,$BX$29&lt;&gt;"HOL"),
AND(WEEKDAY($DB$20+1,2)=5,$CI$10=5,$BX$31&lt;&gt;"HOL"),
AND(WEEKDAY($DB$20+1,2)=6,$CJ$10=6,$BX$33&lt;&gt;"HOL"),
AND(WEEKDAY($DB$20+1,2)=7,$CK$10=7,$BX$35&lt;&gt;"HOL")
)
),$DC$23,
AND($DG$25=V4,
OR(
AND(WEEKDAY($DB$20+1,2)=1,$CE$14=1,$BX$23&lt;&gt;"HOL"),
AND(WEEKDAY($DB$20+1,2)=2,$CF$14=2,$BX$25&lt;&gt;"HOL"),
AND(WEEKDAY($DB$20+1,2)=3,$CG$14=3,$BX$27&lt;&gt;"HOL"),
AND(WEEKDAY($DB$20+1,2)=4,$CH$14=4,$BX$29&lt;&gt;"HOL"),
AND(WEEKDAY($DB$20+1,2)=5,$CI$14=5,$BX$31&lt;&gt;"HOL"),
AND(WEEKDAY($DB$20+1,2)=6,$CJ$14=6,$BX$33&lt;&gt;"HOL"),
AND(WEEKDAY($DB$20+1,2)=7,$CK$14=7,$BX$35&lt;&gt;"HOL")
)
),$DC$23,
AND($DG$28=V4,
OR(
AND(WEEKDAY($DB$20+1,2)=1,$CP$10=1,$BX$23&lt;&gt;"HOL"),
AND(WEEKDAY($DB$20+1,2)=2,$CQ$10=2,$BX$25&lt;&gt;"HOL"),
AND(WEEKDAY($DB$20+1,2)=3,$CR$10=3,$BX$27&lt;&gt;"HOL"),
AND(WEEKDAY($DB$20+1,2)=4,$CS$10=4,$BX$29&lt;&gt;"HOL"),
AND(WEEKDAY($DB$20+1,2)=5,$CT$10=5,$BX$31&lt;&gt;"HOL"),
AND(WEEKDAY($DB$20+1,2)=6,$CU$10=6,$BX$33&lt;&gt;"HOL"),
AND(WEEKDAY($DB$20+1,2)=7,$CV$10=7,$BX$35&lt;&gt;"HOL")
)
),$DC$28,
AND($DG$30=V4,
OR(
AND(WEEKDAY($DB$20+1,2)=1,$CP$14=1,$BX$23&lt;&gt;"HOL"),
AND(WEEKDAY($DB$20+1,2)=2,$CQ$14=2,$BX$25&lt;&gt;"HOL"),
AND(WEEKDAY($DB$20+1,2)=3,$CR$14=3,$BX$27&lt;&gt;"HOL"),
AND(WEEKDAY($DB$20+1,2)=4,$CS$14=4,$BX$29&lt;&gt;"HOL"),
AND(WEEKDAY($DB$20+1,2)=5,$CT$14=5,$BX$31&lt;&gt;"HOL"),
AND(WEEKDAY($DB$20+1,2)=6,$CU$14=6,$BX$33&lt;&gt;"HOL"),
AND(WEEKDAY($DB$20+1,2)=7,$CV$14=7,$BX$35&lt;&gt;"HOL")
)
),$DC$28,
AND($DG$33=V4,
OR(
AND(WEEKDAY($DB$20+1,2)=1,$DA$10=1,$BX$23&lt;&gt;"HOL"),
AND(WEEKDAY($DB$20+1,2)=2,$DB$10=2,$BX$25&lt;&gt;"HOL"),
AND(WEEKDAY($DB$20+1,2)=3,$DC$10=3,$BX$27&lt;&gt;"HOL"),
AND(WEEKDAY($DB$20+1,2)=4,$DD$10=4,$BX$29&lt;&gt;"HOL"),
AND(WEEKDAY($DB$20+1,2)=5,$DE$10=5,$BX$31&lt;&gt;"HOL"),
AND(WEEKDAY($DB$20+1,2)=6,$DF$10=6,$BX$33&lt;&gt;"HOL"),
AND(WEEKDAY($DB$20+1,2)=7,$DG$10=7,$BX$35&lt;&gt;"HOL")
)
),$DC$33,
AND($DG$35=V4,
OR(
AND(WEEKDAY($DB$20+1,2)=1,$DA$14=1,$BX$23&lt;&gt;"HOL"),
AND(WEEKDAY($DB$20+1,2)=2,$DB$14=2,$BX$25&lt;&gt;"HOL"),
AND(WEEKDAY($DB$20+1,2)=3,$DC$14=3,$BX$27&lt;&gt;"HOL"),
AND(WEEKDAY($DB$20+1,2)=4,$DD$14=4,$BX$29&lt;&gt;"HOL"),
AND(WEEKDAY($DB$20+1,2)=5,$DE$14=5,$BX$31&lt;&gt;"HOL"),
AND(WEEKDAY($DB$20+1,2)=6,$DF$14=6,$BX$33&lt;&gt;"HOL"),
AND(WEEKDAY($DB$20+1,2)=7,$DG$14=7,$BX$35&lt;&gt;"HOL")
)
),$DC$33,
TRUE,""
)
)</f>
        <v>#VALUE!</v>
      </c>
      <c r="W7" s="2075" t="e" cm="1">
        <f t="array" aca="1" ref="W7" ca="1">IF(
$C$3="TODAY",
_xlfn.IFS(
AND($DG$24=X4,
OR(
AND(WEEKDAY($DB$20,2)=1,$CE$10=1,$BX$23&lt;&gt;"HOL"),
AND(WEEKDAY($DB$20,2)=2,$CF$10=2,$BX$25&lt;&gt;"HOL"),
AND(WEEKDAY($DB$20,2)=3,$CG$10=3,$BX$27&lt;&gt;"HOL"),
AND(WEEKDAY($DB$20,2)=4,$CH$10=4,$BX$29&lt;&gt;"HOL"),
AND(WEEKDAY($DB$20,2)=5,$CI$10=5,$BX$31&lt;&gt;"HOL"),
AND(WEEKDAY($DB$20,2)=6,$CJ$10=6,$BX$33&lt;&gt;"HOL"),
AND(WEEKDAY($DB$20,2)=7,$CK$10=7,$BX$35&lt;&gt;"HOL")
)
),$DD$23,
AND($DG$26=X4,
OR(
AND(WEEKDAY($DB$20,2)=1,$CE$14=1,$BX$23&lt;&gt;"HOL"),
AND(WEEKDAY($DB$20,2)=2,$CF$14=2,$BX$25&lt;&gt;"HOL"),
AND(WEEKDAY($DB$20,2)=3,$CG$14=3,$BX$27&lt;&gt;"HOL"),
AND(WEEKDAY($DB$20,2)=4,$CH$14=4,$BX$29&lt;&gt;"HOL"),
AND(WEEKDAY($DB$20,2)=5,$CI$14=5,$BX$31&lt;&gt;"HOL"),
AND(WEEKDAY($DB$20,2)=6,$CJ$14=6,$BX$33&lt;&gt;"HOL"),
AND(WEEKDAY($DB$20,2)=7,$CK$14=7,$BX$35&lt;&gt;"HOL")
)
),$DD$23,
AND($DG$29=X4,
OR(
AND(WEEKDAY($DB$20,2)=1,$CP$10=1,$BX$23&lt;&gt;"HOL"),
AND(WEEKDAY($DB$20,2)=2,$CQ$10=2,$BX$25&lt;&gt;"HOL"),
AND(WEEKDAY($DB$20,2)=3,$CR$10=3,$BX$27&lt;&gt;"HOL"),
AND(WEEKDAY($DB$20,2)=4,$CS$10=4,$BX$29&lt;&gt;"HOL"),
AND(WEEKDAY($DB$20,2)=5,$CT$10=5,$BX$31&lt;&gt;"HOL"),
AND(WEEKDAY($DB$20,2)=6,$CU$10=6,$BX$33&lt;&gt;"HOL"),
AND(WEEKDAY($DB$20,2)=7,$CV$10=7,$BX$35&lt;&gt;"HOL")
)
),$DD$28,
AND($DG$31=X4,
OR(
AND(WEEKDAY($DB$20,2)=1,$CP$14=1,$BX$23&lt;&gt;"HOL"),
AND(WEEKDAY($DB$20,2)=2,$CQ$14=2,$BX$25&lt;&gt;"HOL"),
AND(WEEKDAY($DB$20,2)=3,$CR$14=3,$BX$27&lt;&gt;"HOL"),
AND(WEEKDAY($DB$20,2)=4,$CS$14=4,$BX$29&lt;&gt;"HOL"),
AND(WEEKDAY($DB$20,2)=5,$CT$14=5,$BX$31&lt;&gt;"HOL"),
AND(WEEKDAY($DB$20,2)=6,$CU$14=6,$BX$33&lt;&gt;"HOL"),
AND(WEEKDAY($DB$20,2)=7,$CV$14=7,$BX$35&lt;&gt;"HOL")
)
),$DD$28,
AND($DG$34=X4,
OR(
AND(WEEKDAY($DB$20,2)=1,$DA$10=1,$BX$23&lt;&gt;"HOL"),
AND(WEEKDAY($DB$20,2)=2,$DB$10=2,$BX$25&lt;&gt;"HOL"),
AND(WEEKDAY($DB$20,2)=3,$DC$10=3,$BX$27&lt;&gt;"HOL"),
AND(WEEKDAY($DB$20,2)=4,$DD$10=4,$BX$29&lt;&gt;"HOL"),
AND(WEEKDAY($DB$20,2)=5,$DE$10=5,$BX$31&lt;&gt;"HOL"),
AND(WEEKDAY($DB$20,2)=6,$DF$10=6,$BX$33&lt;&gt;"HOL"),
AND(WEEKDAY($DB$20,2)=7,$DG$10=7,$BX$35&lt;&gt;"HOL")
)
),$DD$33,
AND($DG$36=X4,
OR(
AND(WEEKDAY($DB$20,2)=1,$DA$14=1,$BX$23&lt;&gt;"HOL"),
AND(WEEKDAY($DB$20,2)=2,$DB$14=2,$BX$25&lt;&gt;"HOL"),
AND(WEEKDAY($DB$20,2)=3,$DC$14=3,$BX$27&lt;&gt;"HOL"),
AND(WEEKDAY($DB$20,2)=4,$DD$14=4,$BX$29&lt;&gt;"HOL"),
AND(WEEKDAY($DB$20,2)=5,$DE$14=5,$BX$31&lt;&gt;"HOL"),
AND(WEEKDAY($DB$20,2)=6,$DF$14=6,$BX$33&lt;&gt;"HOL"),
AND(WEEKDAY($DB$20,2)=7,$DG$14=7,$BX$35&lt;&gt;"HOL")
)
),$DD$33,
TRUE,""
),
_xlfn.IFS(
AND($DG$24=X4,
OR(
AND(WEEKDAY($DB$20+1,2)=1,$CE$10=1,$BX$23&lt;&gt;"HOL"),
AND(WEEKDAY($DB$20+1,2)=2,$CF$10=2,$BX$25&lt;&gt;"HOL"),
AND(WEEKDAY($DB$20+1,2)=3,$CG$10=3,$BX$27&lt;&gt;"HOL"),
AND(WEEKDAY($DB$20+1,2)=4,$CH$10=4,$BX$29&lt;&gt;"HOL"),
AND(WEEKDAY($DB$20+1,2)=5,$CI$10=5,$BX$31&lt;&gt;"HOL"),
AND(WEEKDAY($DB$20+1,2)=6,$CJ$10=6,$BX$33&lt;&gt;"HOL"),
AND(WEEKDAY($DB$20+1,2)=7,$CK$10=7,$BX$35&lt;&gt;"HOL")
)
),$DD$23,
AND($DG$26=X4,
OR(
AND(WEEKDAY($DB$20+1,2)=1,$CE$14=1,$BX$23&lt;&gt;"HOL"),
AND(WEEKDAY($DB$20+1,2)=2,$CF$14=2,$BX$25&lt;&gt;"HOL"),
AND(WEEKDAY($DB$20+1,2)=3,$CG$14=3,$BX$27&lt;&gt;"HOL"),
AND(WEEKDAY($DB$20+1,2)=4,$CH$14=4,$BX$29&lt;&gt;"HOL"),
AND(WEEKDAY($DB$20+1,2)=5,$CI$14=5,$BX$31&lt;&gt;"HOL"),
AND(WEEKDAY($DB$20+1,2)=6,$CJ$14=6,$BX$33&lt;&gt;"HOL"),
AND(WEEKDAY($DB$20+1,2)=7,$CK$14=7,$BX$35&lt;&gt;"HOL")
)
),$DD$23,
AND($DG$29=X4,
OR(
AND(WEEKDAY($DB$20+1,2)=1,$CP$10=1,$BX$23&lt;&gt;"HOL"),
AND(WEEKDAY($DB$20+1,2)=2,$CQ$10=2,$BX$25&lt;&gt;"HOL"),
AND(WEEKDAY($DB$20+1,2)=3,$CR$10=3,$BX$27&lt;&gt;"HOL"),
AND(WEEKDAY($DB$20+1,2)=4,$CS$10=4,$BX$29&lt;&gt;"HOL"),
AND(WEEKDAY($DB$20+1,2)=5,$CT$10=5,$BX$31&lt;&gt;"HOL"),
AND(WEEKDAY($DB$20+1,2)=6,$CU$10=6,$BX$33&lt;&gt;"HOL"),
AND(WEEKDAY($DB$20+1,2)=7,$CV$10=7,$BX$35&lt;&gt;"HOL")
)
),$DD$28,
AND($DG$31=X4,
OR(
AND(WEEKDAY($DB$20+1,2)=1,$CP$14=1,$BX$23&lt;&gt;"HOL"),
AND(WEEKDAY($DB$20+1,2)=2,$CQ$14=2,$BX$25&lt;&gt;"HOL"),
AND(WEEKDAY($DB$20+1,2)=3,$CR$14=3,$BX$27&lt;&gt;"HOL"),
AND(WEEKDAY($DB$20+1,2)=4,$CS$14=4,$BX$29&lt;&gt;"HOL"),
AND(WEEKDAY($DB$20+1,2)=5,$CT$14=5,$BX$31&lt;&gt;"HOL"),
AND(WEEKDAY($DB$20+1,2)=6,$CU$14=6,$BX$33&lt;&gt;"HOL"),
AND(WEEKDAY($DB$20+1,2)=7,$CV$14=7,$BX$35&lt;&gt;"HOL")
)
),$DD$28,
AND($DG$34=X4,
OR(
AND(WEEKDAY($DB$20+1,2)=1,$DA$10=1,$BX$23&lt;&gt;"HOL"),
AND(WEEKDAY($DB$20+1,2)=2,$DB$10=2,$BX$25&lt;&gt;"HOL"),
AND(WEEKDAY($DB$20+1,2)=3,$DC$10=3,$BX$27&lt;&gt;"HOL"),
AND(WEEKDAY($DB$20+1,2)=4,$DD$10=4,$BX$29&lt;&gt;"HOL"),
AND(WEEKDAY($DB$20+1,2)=5,$DE$10=5,$BX$31&lt;&gt;"HOL"),
AND(WEEKDAY($DB$20+1,2)=6,$DF$10=6,$BX$33&lt;&gt;"HOL"),
AND(WEEKDAY($DB$20+1,2)=7,$DG$10=7,$BX$35&lt;&gt;"HOL")
)
),$DD$33,
AND($DG$36=X4,
OR(
AND(WEEKDAY($DB$20+1,2)=1,$DA$14=1,$BX$23&lt;&gt;"HOL"),
AND(WEEKDAY($DB$20+1,2)=2,$DB$14=2,$BX$25&lt;&gt;"HOL"),
AND(WEEKDAY($DB$20+1,2)=3,$DC$14=3,$BX$27&lt;&gt;"HOL"),
AND(WEEKDAY($DB$20+1,2)=4,$DD$14=4,$BX$29&lt;&gt;"HOL"),
AND(WEEKDAY($DB$20+1,2)=5,$DE$14=5,$BX$31&lt;&gt;"HOL"),
AND(WEEKDAY($DB$20+1,2)=6,$DF$14=6,$BX$33&lt;&gt;"HOL"),
AND(WEEKDAY($DB$20+1,2)=7,$DG$14=7,$BX$35&lt;&gt;"HOL")
)
),$DD$33,
TRUE,""
)
)</f>
        <v>#VALUE!</v>
      </c>
      <c r="X7" s="2076" t="e" cm="1">
        <f t="array" aca="1" ref="X7" ca="1">IF(
$C$3="TODAY",
_xlfn.IFS(
AND($DG$23=X4,
OR(
AND(WEEKDAY($DB$20,2)=1,$CE$10=1,$BX$23&lt;&gt;"HOL"),
AND(WEEKDAY($DB$20,2)=2,$CF$10=2,$BX$25&lt;&gt;"HOL"),
AND(WEEKDAY($DB$20,2)=3,$CG$10=3,$BX$27&lt;&gt;"HOL"),
AND(WEEKDAY($DB$20,2)=4,$CH$10=4,$BX$29&lt;&gt;"HOL"),
AND(WEEKDAY($DB$20,2)=5,$CI$10=5,$BX$31&lt;&gt;"HOL"),
AND(WEEKDAY($DB$20,2)=6,$CJ$10=6,$BX$33&lt;&gt;"HOL"),
AND(WEEKDAY($DB$20,2)=7,$CK$10=7,$BX$35&lt;&gt;"HOL")
)
),$DC$23,
AND($DG$25=X4,
OR(
AND(WEEKDAY($DB$20,2)=1,$CE$14=1,$BX$23&lt;&gt;"HOL"),
AND(WEEKDAY($DB$20,2)=2,$CF$14=2,$BX$25&lt;&gt;"HOL"),
AND(WEEKDAY($DB$20,2)=3,$CG$14=3,$BX$27&lt;&gt;"HOL"),
AND(WEEKDAY($DB$20,2)=4,$CH$14=4,$BX$29&lt;&gt;"HOL"),
AND(WEEKDAY($DB$20,2)=5,$CI$14=5,$BX$31&lt;&gt;"HOL"),
AND(WEEKDAY($DB$20,2)=6,$CJ$14=6,$BX$33&lt;&gt;"HOL"),
AND(WEEKDAY($DB$20,2)=7,$CK$14=7,$BX$35&lt;&gt;"HOL")
)
),$DC$23,
AND($DG$28=X4,
OR(
AND(WEEKDAY($DB$20,2)=1,$CP$10=1,$BX$23&lt;&gt;"HOL"),
AND(WEEKDAY($DB$20,2)=2,$CQ$10=2,$BX$25&lt;&gt;"HOL"),
AND(WEEKDAY($DB$20,2)=3,$CR$10=3,$BX$27&lt;&gt;"HOL"),
AND(WEEKDAY($DB$20,2)=4,$CS$10=4,$BX$29&lt;&gt;"HOL"),
AND(WEEKDAY($DB$20,2)=5,$CT$10=5,$BX$31&lt;&gt;"HOL"),
AND(WEEKDAY($DB$20,2)=6,$CU$10=6,$BX$33&lt;&gt;"HOL"),
AND(WEEKDAY($DB$20,2)=7,$CV$10=7,$BX$35&lt;&gt;"HOL")
)
),$DC$28,
AND($DG$30=X4,
OR(
AND(WEEKDAY($DB$20,2)=1,$CP$14=1,$BX$23&lt;&gt;"HOL"),
AND(WEEKDAY($DB$20,2)=2,$CQ$14=2,$BX$25&lt;&gt;"HOL"),
AND(WEEKDAY($DB$20,2)=3,$CR$14=3,$BX$27&lt;&gt;"HOL"),
AND(WEEKDAY($DB$20,2)=4,$CS$14=4,$BX$29&lt;&gt;"HOL"),
AND(WEEKDAY($DB$20,2)=5,$CT$14=5,$BX$31&lt;&gt;"HOL"),
AND(WEEKDAY($DB$20,2)=6,$CU$14=6,$BX$33&lt;&gt;"HOL"),
AND(WEEKDAY($DB$20,2)=7,$CV$14=7,$BX$35&lt;&gt;"HOL")
)
),$DC$28,
AND($DG$33=X4,
OR(
AND(WEEKDAY($DB$20,2)=1,$DA$10=1,$BX$23&lt;&gt;"HOL"),
AND(WEEKDAY($DB$20,2)=2,$DB$10=2,$BX$25&lt;&gt;"HOL"),
AND(WEEKDAY($DB$20,2)=3,$DC$10=3,$BX$27&lt;&gt;"HOL"),
AND(WEEKDAY($DB$20,2)=4,$DD$10=4,$BX$29&lt;&gt;"HOL"),
AND(WEEKDAY($DB$20,2)=5,$DE$10=5,$BX$31&lt;&gt;"HOL"),
AND(WEEKDAY($DB$20,2)=6,$DF$10=6,$BX$33&lt;&gt;"HOL"),
AND(WEEKDAY($DB$20,2)=7,$DG$10=7,$BX$35&lt;&gt;"HOL")
)
),$DC$33,
AND($DG$35=X4,
OR(
AND(WEEKDAY($DB$20,2)=1,$DA$14=1,$BX$23&lt;&gt;"HOL"),
AND(WEEKDAY($DB$20,2)=2,$DB$14=2,$BX$25&lt;&gt;"HOL"),
AND(WEEKDAY($DB$20,2)=3,$DC$14=3,$BX$27&lt;&gt;"HOL"),
AND(WEEKDAY($DB$20,2)=4,$DD$14=4,$BX$29&lt;&gt;"HOL"),
AND(WEEKDAY($DB$20,2)=5,$DE$14=5,$BX$31&lt;&gt;"HOL"),
AND(WEEKDAY($DB$20,2)=6,$DF$14=6,$BX$33&lt;&gt;"HOL"),
AND(WEEKDAY($DB$20,2)=7,$DG$14=7,$BX$35&lt;&gt;"HOL")
)
),$DC$33,
TRUE,""
),
_xlfn.IFS(
AND($DG$23=X4,
OR(
AND(WEEKDAY($DB$20+1,2)=1,$CE$10=1,$BX$23&lt;&gt;"HOL"),
AND(WEEKDAY($DB$20+1,2)=2,$CF$10=2,$BX$25&lt;&gt;"HOL"),
AND(WEEKDAY($DB$20+1,2)=3,$CG$10=3,$BX$27&lt;&gt;"HOL"),
AND(WEEKDAY($DB$20+1,2)=4,$CH$10=4,$BX$29&lt;&gt;"HOL"),
AND(WEEKDAY($DB$20+1,2)=5,$CI$10=5,$BX$31&lt;&gt;"HOL"),
AND(WEEKDAY($DB$20+1,2)=6,$CJ$10=6,$BX$33&lt;&gt;"HOL"),
AND(WEEKDAY($DB$20+1,2)=7,$CK$10=7,$BX$35&lt;&gt;"HOL")
)
),$DC$23,
AND($DG$25=X4,
OR(
AND(WEEKDAY($DB$20+1,2)=1,$CE$14=1,$BX$23&lt;&gt;"HOL"),
AND(WEEKDAY($DB$20+1,2)=2,$CF$14=2,$BX$25&lt;&gt;"HOL"),
AND(WEEKDAY($DB$20+1,2)=3,$CG$14=3,$BX$27&lt;&gt;"HOL"),
AND(WEEKDAY($DB$20+1,2)=4,$CH$14=4,$BX$29&lt;&gt;"HOL"),
AND(WEEKDAY($DB$20+1,2)=5,$CI$14=5,$BX$31&lt;&gt;"HOL"),
AND(WEEKDAY($DB$20+1,2)=6,$CJ$14=6,$BX$33&lt;&gt;"HOL"),
AND(WEEKDAY($DB$20+1,2)=7,$CK$14=7,$BX$35&lt;&gt;"HOL")
)
),$DC$23,
AND($DG$28=X4,
OR(
AND(WEEKDAY($DB$20+1,2)=1,$CP$10=1,$BX$23&lt;&gt;"HOL"),
AND(WEEKDAY($DB$20+1,2)=2,$CQ$10=2,$BX$25&lt;&gt;"HOL"),
AND(WEEKDAY($DB$20+1,2)=3,$CR$10=3,$BX$27&lt;&gt;"HOL"),
AND(WEEKDAY($DB$20+1,2)=4,$CS$10=4,$BX$29&lt;&gt;"HOL"),
AND(WEEKDAY($DB$20+1,2)=5,$CT$10=5,$BX$31&lt;&gt;"HOL"),
AND(WEEKDAY($DB$20+1,2)=6,$CU$10=6,$BX$33&lt;&gt;"HOL"),
AND(WEEKDAY($DB$20+1,2)=7,$CV$10=7,$BX$35&lt;&gt;"HOL")
)
),$DC$28,
AND($DG$30=X4,
OR(
AND(WEEKDAY($DB$20+1,2)=1,$CP$14=1,$BX$23&lt;&gt;"HOL"),
AND(WEEKDAY($DB$20+1,2)=2,$CQ$14=2,$BX$25&lt;&gt;"HOL"),
AND(WEEKDAY($DB$20+1,2)=3,$CR$14=3,$BX$27&lt;&gt;"HOL"),
AND(WEEKDAY($DB$20+1,2)=4,$CS$14=4,$BX$29&lt;&gt;"HOL"),
AND(WEEKDAY($DB$20+1,2)=5,$CT$14=5,$BX$31&lt;&gt;"HOL"),
AND(WEEKDAY($DB$20+1,2)=6,$CU$14=6,$BX$33&lt;&gt;"HOL"),
AND(WEEKDAY($DB$20+1,2)=7,$CV$14=7,$BX$35&lt;&gt;"HOL")
)
),$DC$28,
AND($DG$33=X4,
OR(
AND(WEEKDAY($DB$20+1,2)=1,$DA$10=1,$BX$23&lt;&gt;"HOL"),
AND(WEEKDAY($DB$20+1,2)=2,$DB$10=2,$BX$25&lt;&gt;"HOL"),
AND(WEEKDAY($DB$20+1,2)=3,$DC$10=3,$BX$27&lt;&gt;"HOL"),
AND(WEEKDAY($DB$20+1,2)=4,$DD$10=4,$BX$29&lt;&gt;"HOL"),
AND(WEEKDAY($DB$20+1,2)=5,$DE$10=5,$BX$31&lt;&gt;"HOL"),
AND(WEEKDAY($DB$20+1,2)=6,$DF$10=6,$BX$33&lt;&gt;"HOL"),
AND(WEEKDAY($DB$20+1,2)=7,$DG$10=7,$BX$35&lt;&gt;"HOL")
)
),$DC$33,
AND($DG$35=X4,
OR(
AND(WEEKDAY($DB$20+1,2)=1,$DA$14=1,$BX$23&lt;&gt;"HOL"),
AND(WEEKDAY($DB$20+1,2)=2,$DB$14=2,$BX$25&lt;&gt;"HOL"),
AND(WEEKDAY($DB$20+1,2)=3,$DC$14=3,$BX$27&lt;&gt;"HOL"),
AND(WEEKDAY($DB$20+1,2)=4,$DD$14=4,$BX$29&lt;&gt;"HOL"),
AND(WEEKDAY($DB$20+1,2)=5,$DE$14=5,$BX$31&lt;&gt;"HOL"),
AND(WEEKDAY($DB$20+1,2)=6,$DF$14=6,$BX$33&lt;&gt;"HOL"),
AND(WEEKDAY($DB$20+1,2)=7,$DG$14=7,$BX$35&lt;&gt;"HOL")
)
),$DC$33,
TRUE,""
)
)</f>
        <v>#VALUE!</v>
      </c>
      <c r="Y7" s="2066" t="e" cm="1">
        <f t="array" aca="1" ref="Y7" ca="1">IF(
$C$3="TODAY",
_xlfn.IFS(
AND($DG$24=Z4,
OR(
AND(WEEKDAY($DB$20,2)=1,$CE$10=1,$BX$23&lt;&gt;"HOL"),
AND(WEEKDAY($DB$20,2)=2,$CF$10=2,$BX$25&lt;&gt;"HOL"),
AND(WEEKDAY($DB$20,2)=3,$CG$10=3,$BX$27&lt;&gt;"HOL"),
AND(WEEKDAY($DB$20,2)=4,$CH$10=4,$BX$29&lt;&gt;"HOL"),
AND(WEEKDAY($DB$20,2)=5,$CI$10=5,$BX$31&lt;&gt;"HOL"),
AND(WEEKDAY($DB$20,2)=6,$CJ$10=6,$BX$33&lt;&gt;"HOL"),
AND(WEEKDAY($DB$20,2)=7,$CK$10=7,$BX$35&lt;&gt;"HOL")
)
),$DD$23,
AND($DG$26=Z4,
OR(
AND(WEEKDAY($DB$20,2)=1,$CE$14=1,$BX$23&lt;&gt;"HOL"),
AND(WEEKDAY($DB$20,2)=2,$CF$14=2,$BX$25&lt;&gt;"HOL"),
AND(WEEKDAY($DB$20,2)=3,$CG$14=3,$BX$27&lt;&gt;"HOL"),
AND(WEEKDAY($DB$20,2)=4,$CH$14=4,$BX$29&lt;&gt;"HOL"),
AND(WEEKDAY($DB$20,2)=5,$CI$14=5,$BX$31&lt;&gt;"HOL"),
AND(WEEKDAY($DB$20,2)=6,$CJ$14=6,$BX$33&lt;&gt;"HOL"),
AND(WEEKDAY($DB$20,2)=7,$CK$14=7,$BX$35&lt;&gt;"HOL")
)
),$DD$23,
AND($DG$29=Z4,
OR(
AND(WEEKDAY($DB$20,2)=1,$CP$10=1,$BX$23&lt;&gt;"HOL"),
AND(WEEKDAY($DB$20,2)=2,$CQ$10=2,$BX$25&lt;&gt;"HOL"),
AND(WEEKDAY($DB$20,2)=3,$CR$10=3,$BX$27&lt;&gt;"HOL"),
AND(WEEKDAY($DB$20,2)=4,$CS$10=4,$BX$29&lt;&gt;"HOL"),
AND(WEEKDAY($DB$20,2)=5,$CT$10=5,$BX$31&lt;&gt;"HOL"),
AND(WEEKDAY($DB$20,2)=6,$CU$10=6,$BX$33&lt;&gt;"HOL"),
AND(WEEKDAY($DB$20,2)=7,$CV$10=7,$BX$35&lt;&gt;"HOL")
)
),$DD$28,
AND($DG$31=Z4,
OR(
AND(WEEKDAY($DB$20,2)=1,$CP$14=1,$BX$23&lt;&gt;"HOL"),
AND(WEEKDAY($DB$20,2)=2,$CQ$14=2,$BX$25&lt;&gt;"HOL"),
AND(WEEKDAY($DB$20,2)=3,$CR$14=3,$BX$27&lt;&gt;"HOL"),
AND(WEEKDAY($DB$20,2)=4,$CS$14=4,$BX$29&lt;&gt;"HOL"),
AND(WEEKDAY($DB$20,2)=5,$CT$14=5,$BX$31&lt;&gt;"HOL"),
AND(WEEKDAY($DB$20,2)=6,$CU$14=6,$BX$33&lt;&gt;"HOL"),
AND(WEEKDAY($DB$20,2)=7,$CV$14=7,$BX$35&lt;&gt;"HOL")
)
),$DD$28,
AND($DG$34=Z4,
OR(
AND(WEEKDAY($DB$20,2)=1,$DA$10=1,$BX$23&lt;&gt;"HOL"),
AND(WEEKDAY($DB$20,2)=2,$DB$10=2,$BX$25&lt;&gt;"HOL"),
AND(WEEKDAY($DB$20,2)=3,$DC$10=3,$BX$27&lt;&gt;"HOL"),
AND(WEEKDAY($DB$20,2)=4,$DD$10=4,$BX$29&lt;&gt;"HOL"),
AND(WEEKDAY($DB$20,2)=5,$DE$10=5,$BX$31&lt;&gt;"HOL"),
AND(WEEKDAY($DB$20,2)=6,$DF$10=6,$BX$33&lt;&gt;"HOL"),
AND(WEEKDAY($DB$20,2)=7,$DG$10=7,$BX$35&lt;&gt;"HOL")
)
),$DD$33,
AND($DG$36=Z4,
OR(
AND(WEEKDAY($DB$20,2)=1,$DA$14=1,$BX$23&lt;&gt;"HOL"),
AND(WEEKDAY($DB$20,2)=2,$DB$14=2,$BX$25&lt;&gt;"HOL"),
AND(WEEKDAY($DB$20,2)=3,$DC$14=3,$BX$27&lt;&gt;"HOL"),
AND(WEEKDAY($DB$20,2)=4,$DD$14=4,$BX$29&lt;&gt;"HOL"),
AND(WEEKDAY($DB$20,2)=5,$DE$14=5,$BX$31&lt;&gt;"HOL"),
AND(WEEKDAY($DB$20,2)=6,$DF$14=6,$BX$33&lt;&gt;"HOL"),
AND(WEEKDAY($DB$20,2)=7,$DG$14=7,$BX$35&lt;&gt;"HOL")
)
),$DD$33,
TRUE,""
),
_xlfn.IFS(
AND($DG$24=Z4,
OR(
AND(WEEKDAY($DB$20+1,2)=1,$CE$10=1,$BX$23&lt;&gt;"HOL"),
AND(WEEKDAY($DB$20+1,2)=2,$CF$10=2,$BX$25&lt;&gt;"HOL"),
AND(WEEKDAY($DB$20+1,2)=3,$CG$10=3,$BX$27&lt;&gt;"HOL"),
AND(WEEKDAY($DB$20+1,2)=4,$CH$10=4,$BX$29&lt;&gt;"HOL"),
AND(WEEKDAY($DB$20+1,2)=5,$CI$10=5,$BX$31&lt;&gt;"HOL"),
AND(WEEKDAY($DB$20+1,2)=6,$CJ$10=6,$BX$33&lt;&gt;"HOL"),
AND(WEEKDAY($DB$20+1,2)=7,$CK$10=7,$BX$35&lt;&gt;"HOL")
)
),$DD$23,
AND($DG$26=Z4,
OR(
AND(WEEKDAY($DB$20+1,2)=1,$CE$14=1,$BX$23&lt;&gt;"HOL"),
AND(WEEKDAY($DB$20+1,2)=2,$CF$14=2,$BX$25&lt;&gt;"HOL"),
AND(WEEKDAY($DB$20+1,2)=3,$CG$14=3,$BX$27&lt;&gt;"HOL"),
AND(WEEKDAY($DB$20+1,2)=4,$CH$14=4,$BX$29&lt;&gt;"HOL"),
AND(WEEKDAY($DB$20+1,2)=5,$CI$14=5,$BX$31&lt;&gt;"HOL"),
AND(WEEKDAY($DB$20+1,2)=6,$CJ$14=6,$BX$33&lt;&gt;"HOL"),
AND(WEEKDAY($DB$20+1,2)=7,$CK$14=7,$BX$35&lt;&gt;"HOL")
)
),$DD$23,
AND($DG$29=Z4,
OR(
AND(WEEKDAY($DB$20+1,2)=1,$CP$10=1,$BX$23&lt;&gt;"HOL"),
AND(WEEKDAY($DB$20+1,2)=2,$CQ$10=2,$BX$25&lt;&gt;"HOL"),
AND(WEEKDAY($DB$20+1,2)=3,$CR$10=3,$BX$27&lt;&gt;"HOL"),
AND(WEEKDAY($DB$20+1,2)=4,$CS$10=4,$BX$29&lt;&gt;"HOL"),
AND(WEEKDAY($DB$20+1,2)=5,$CT$10=5,$BX$31&lt;&gt;"HOL"),
AND(WEEKDAY($DB$20+1,2)=6,$CU$10=6,$BX$33&lt;&gt;"HOL"),
AND(WEEKDAY($DB$20+1,2)=7,$CV$10=7,$BX$35&lt;&gt;"HOL")
)
),$DD$28,
AND($DG$31=Z4,
OR(
AND(WEEKDAY($DB$20+1,2)=1,$CP$14=1,$BX$23&lt;&gt;"HOL"),
AND(WEEKDAY($DB$20+1,2)=2,$CQ$14=2,$BX$25&lt;&gt;"HOL"),
AND(WEEKDAY($DB$20+1,2)=3,$CR$14=3,$BX$27&lt;&gt;"HOL"),
AND(WEEKDAY($DB$20+1,2)=4,$CS$14=4,$BX$29&lt;&gt;"HOL"),
AND(WEEKDAY($DB$20+1,2)=5,$CT$14=5,$BX$31&lt;&gt;"HOL"),
AND(WEEKDAY($DB$20+1,2)=6,$CU$14=6,$BX$33&lt;&gt;"HOL"),
AND(WEEKDAY($DB$20+1,2)=7,$CV$14=7,$BX$35&lt;&gt;"HOL")
)
),$DD$28,
AND($DG$34=Z4,
OR(
AND(WEEKDAY($DB$20+1,2)=1,$DA$10=1,$BX$23&lt;&gt;"HOL"),
AND(WEEKDAY($DB$20+1,2)=2,$DB$10=2,$BX$25&lt;&gt;"HOL"),
AND(WEEKDAY($DB$20+1,2)=3,$DC$10=3,$BX$27&lt;&gt;"HOL"),
AND(WEEKDAY($DB$20+1,2)=4,$DD$10=4,$BX$29&lt;&gt;"HOL"),
AND(WEEKDAY($DB$20+1,2)=5,$DE$10=5,$BX$31&lt;&gt;"HOL"),
AND(WEEKDAY($DB$20+1,2)=6,$DF$10=6,$BX$33&lt;&gt;"HOL"),
AND(WEEKDAY($DB$20+1,2)=7,$DG$10=7,$BX$35&lt;&gt;"HOL")
)
),$DD$33,
AND($DG$36=Z4,
OR(
AND(WEEKDAY($DB$20+1,2)=1,$DA$14=1,$BX$23&lt;&gt;"HOL"),
AND(WEEKDAY($DB$20+1,2)=2,$DB$14=2,$BX$25&lt;&gt;"HOL"),
AND(WEEKDAY($DB$20+1,2)=3,$DC$14=3,$BX$27&lt;&gt;"HOL"),
AND(WEEKDAY($DB$20+1,2)=4,$DD$14=4,$BX$29&lt;&gt;"HOL"),
AND(WEEKDAY($DB$20+1,2)=5,$DE$14=5,$BX$31&lt;&gt;"HOL"),
AND(WEEKDAY($DB$20+1,2)=6,$DF$14=6,$BX$33&lt;&gt;"HOL"),
AND(WEEKDAY($DB$20+1,2)=7,$DG$14=7,$BX$35&lt;&gt;"HOL")
)
),$DD$33,
TRUE,""
)
)</f>
        <v>#VALUE!</v>
      </c>
      <c r="Z7" s="1090" t="e" cm="1">
        <f t="array" aca="1" ref="Z7" ca="1">IF(
$C$3="TODAY",
_xlfn.IFS(
AND($DG$23=Z4,
OR(
AND(WEEKDAY($DB$20,2)=1,$CE$10=1,$BX$23&lt;&gt;"HOL"),
AND(WEEKDAY($DB$20,2)=2,$CF$10=2,$BX$25&lt;&gt;"HOL"),
AND(WEEKDAY($DB$20,2)=3,$CG$10=3,$BX$27&lt;&gt;"HOL"),
AND(WEEKDAY($DB$20,2)=4,$CH$10=4,$BX$29&lt;&gt;"HOL"),
AND(WEEKDAY($DB$20,2)=5,$CI$10=5,$BX$31&lt;&gt;"HOL"),
AND(WEEKDAY($DB$20,2)=6,$CJ$10=6,$BX$33&lt;&gt;"HOL"),
AND(WEEKDAY($DB$20,2)=7,$CK$10=7,$BX$35&lt;&gt;"HOL")
)
),$DC$23,
AND($DG$25=Z4,
OR(
AND(WEEKDAY($DB$20,2)=1,$CE$14=1,$BX$23&lt;&gt;"HOL"),
AND(WEEKDAY($DB$20,2)=2,$CF$14=2,$BX$25&lt;&gt;"HOL"),
AND(WEEKDAY($DB$20,2)=3,$CG$14=3,$BX$27&lt;&gt;"HOL"),
AND(WEEKDAY($DB$20,2)=4,$CH$14=4,$BX$29&lt;&gt;"HOL"),
AND(WEEKDAY($DB$20,2)=5,$CI$14=5,$BX$31&lt;&gt;"HOL"),
AND(WEEKDAY($DB$20,2)=6,$CJ$14=6,$BX$33&lt;&gt;"HOL"),
AND(WEEKDAY($DB$20,2)=7,$CK$14=7,$BX$35&lt;&gt;"HOL")
)
),$DC$23,
AND($DG$28=Z4,
OR(
AND(WEEKDAY($DB$20,2)=1,$CP$10=1,$BX$23&lt;&gt;"HOL"),
AND(WEEKDAY($DB$20,2)=2,$CQ$10=2,$BX$25&lt;&gt;"HOL"),
AND(WEEKDAY($DB$20,2)=3,$CR$10=3,$BX$27&lt;&gt;"HOL"),
AND(WEEKDAY($DB$20,2)=4,$CS$10=4,$BX$29&lt;&gt;"HOL"),
AND(WEEKDAY($DB$20,2)=5,$CT$10=5,$BX$31&lt;&gt;"HOL"),
AND(WEEKDAY($DB$20,2)=6,$CU$10=6,$BX$33&lt;&gt;"HOL"),
AND(WEEKDAY($DB$20,2)=7,$CV$10=7,$BX$35&lt;&gt;"HOL")
)
),$DC$28,
AND($DG$30=Z4,
OR(
AND(WEEKDAY($DB$20,2)=1,$CP$14=1,$BX$23&lt;&gt;"HOL"),
AND(WEEKDAY($DB$20,2)=2,$CQ$14=2,$BX$25&lt;&gt;"HOL"),
AND(WEEKDAY($DB$20,2)=3,$CR$14=3,$BX$27&lt;&gt;"HOL"),
AND(WEEKDAY($DB$20,2)=4,$CS$14=4,$BX$29&lt;&gt;"HOL"),
AND(WEEKDAY($DB$20,2)=5,$CT$14=5,$BX$31&lt;&gt;"HOL"),
AND(WEEKDAY($DB$20,2)=6,$CU$14=6,$BX$33&lt;&gt;"HOL"),
AND(WEEKDAY($DB$20,2)=7,$CV$14=7,$BX$35&lt;&gt;"HOL")
)
),$DC$28,
AND($DG$33=Z4,
OR(
AND(WEEKDAY($DB$20,2)=1,$DA$10=1,$BX$23&lt;&gt;"HOL"),
AND(WEEKDAY($DB$20,2)=2,$DB$10=2,$BX$25&lt;&gt;"HOL"),
AND(WEEKDAY($DB$20,2)=3,$DC$10=3,$BX$27&lt;&gt;"HOL"),
AND(WEEKDAY($DB$20,2)=4,$DD$10=4,$BX$29&lt;&gt;"HOL"),
AND(WEEKDAY($DB$20,2)=5,$DE$10=5,$BX$31&lt;&gt;"HOL"),
AND(WEEKDAY($DB$20,2)=6,$DF$10=6,$BX$33&lt;&gt;"HOL"),
AND(WEEKDAY($DB$20,2)=7,$DG$10=7,$BX$35&lt;&gt;"HOL")
)
),$DC$33,
AND($DG$35=Z4,
OR(
AND(WEEKDAY($DB$20,2)=1,$DA$14=1,$BX$23&lt;&gt;"HOL"),
AND(WEEKDAY($DB$20,2)=2,$DB$14=2,$BX$25&lt;&gt;"HOL"),
AND(WEEKDAY($DB$20,2)=3,$DC$14=3,$BX$27&lt;&gt;"HOL"),
AND(WEEKDAY($DB$20,2)=4,$DD$14=4,$BX$29&lt;&gt;"HOL"),
AND(WEEKDAY($DB$20,2)=5,$DE$14=5,$BX$31&lt;&gt;"HOL"),
AND(WEEKDAY($DB$20,2)=6,$DF$14=6,$BX$33&lt;&gt;"HOL"),
AND(WEEKDAY($DB$20,2)=7,$DG$14=7,$BX$35&lt;&gt;"HOL")
)
),$DC$33,
TRUE,""
),
_xlfn.IFS(
AND($DG$23=Z4,
OR(
AND(WEEKDAY($DB$20+1,2)=1,$CE$10=1,$BX$23&lt;&gt;"HOL"),
AND(WEEKDAY($DB$20+1,2)=2,$CF$10=2,$BX$25&lt;&gt;"HOL"),
AND(WEEKDAY($DB$20+1,2)=3,$CG$10=3,$BX$27&lt;&gt;"HOL"),
AND(WEEKDAY($DB$20+1,2)=4,$CH$10=4,$BX$29&lt;&gt;"HOL"),
AND(WEEKDAY($DB$20+1,2)=5,$CI$10=5,$BX$31&lt;&gt;"HOL"),
AND(WEEKDAY($DB$20+1,2)=6,$CJ$10=6,$BX$33&lt;&gt;"HOL"),
AND(WEEKDAY($DB$20+1,2)=7,$CK$10=7,$BX$35&lt;&gt;"HOL")
)
),$DC$23,
AND($DG$25=Z4,
OR(
AND(WEEKDAY($DB$20+1,2)=1,$CE$14=1,$BX$23&lt;&gt;"HOL"),
AND(WEEKDAY($DB$20+1,2)=2,$CF$14=2,$BX$25&lt;&gt;"HOL"),
AND(WEEKDAY($DB$20+1,2)=3,$CG$14=3,$BX$27&lt;&gt;"HOL"),
AND(WEEKDAY($DB$20+1,2)=4,$CH$14=4,$BX$29&lt;&gt;"HOL"),
AND(WEEKDAY($DB$20+1,2)=5,$CI$14=5,$BX$31&lt;&gt;"HOL"),
AND(WEEKDAY($DB$20+1,2)=6,$CJ$14=6,$BX$33&lt;&gt;"HOL"),
AND(WEEKDAY($DB$20+1,2)=7,$CK$14=7,$BX$35&lt;&gt;"HOL")
)
),$DC$23,
AND($DG$28=Z4,
OR(
AND(WEEKDAY($DB$20+1,2)=1,$CP$10=1,$BX$23&lt;&gt;"HOL"),
AND(WEEKDAY($DB$20+1,2)=2,$CQ$10=2,$BX$25&lt;&gt;"HOL"),
AND(WEEKDAY($DB$20+1,2)=3,$CR$10=3,$BX$27&lt;&gt;"HOL"),
AND(WEEKDAY($DB$20+1,2)=4,$CS$10=4,$BX$29&lt;&gt;"HOL"),
AND(WEEKDAY($DB$20+1,2)=5,$CT$10=5,$BX$31&lt;&gt;"HOL"),
AND(WEEKDAY($DB$20+1,2)=6,$CU$10=6,$BX$33&lt;&gt;"HOL"),
AND(WEEKDAY($DB$20+1,2)=7,$CV$10=7,$BX$35&lt;&gt;"HOL")
)
),$DC$28,
AND($DG$30=Z4,
OR(
AND(WEEKDAY($DB$20+1,2)=1,$CP$14=1,$BX$23&lt;&gt;"HOL"),
AND(WEEKDAY($DB$20+1,2)=2,$CQ$14=2,$BX$25&lt;&gt;"HOL"),
AND(WEEKDAY($DB$20+1,2)=3,$CR$14=3,$BX$27&lt;&gt;"HOL"),
AND(WEEKDAY($DB$20+1,2)=4,$CS$14=4,$BX$29&lt;&gt;"HOL"),
AND(WEEKDAY($DB$20+1,2)=5,$CT$14=5,$BX$31&lt;&gt;"HOL"),
AND(WEEKDAY($DB$20+1,2)=6,$CU$14=6,$BX$33&lt;&gt;"HOL"),
AND(WEEKDAY($DB$20+1,2)=7,$CV$14=7,$BX$35&lt;&gt;"HOL")
)
),$DC$28,
AND($DG$33=Z4,
OR(
AND(WEEKDAY($DB$20+1,2)=1,$DA$10=1,$BX$23&lt;&gt;"HOL"),
AND(WEEKDAY($DB$20+1,2)=2,$DB$10=2,$BX$25&lt;&gt;"HOL"),
AND(WEEKDAY($DB$20+1,2)=3,$DC$10=3,$BX$27&lt;&gt;"HOL"),
AND(WEEKDAY($DB$20+1,2)=4,$DD$10=4,$BX$29&lt;&gt;"HOL"),
AND(WEEKDAY($DB$20+1,2)=5,$DE$10=5,$BX$31&lt;&gt;"HOL"),
AND(WEEKDAY($DB$20+1,2)=6,$DF$10=6,$BX$33&lt;&gt;"HOL"),
AND(WEEKDAY($DB$20+1,2)=7,$DG$10=7,$BX$35&lt;&gt;"HOL")
)
),$DC$33,
AND($DG$35=Z4,
OR(
AND(WEEKDAY($DB$20+1,2)=1,$DA$14=1,$BX$23&lt;&gt;"HOL"),
AND(WEEKDAY($DB$20+1,2)=2,$DB$14=2,$BX$25&lt;&gt;"HOL"),
AND(WEEKDAY($DB$20+1,2)=3,$DC$14=3,$BX$27&lt;&gt;"HOL"),
AND(WEEKDAY($DB$20+1,2)=4,$DD$14=4,$BX$29&lt;&gt;"HOL"),
AND(WEEKDAY($DB$20+1,2)=5,$DE$14=5,$BX$31&lt;&gt;"HOL"),
AND(WEEKDAY($DB$20+1,2)=6,$DF$14=6,$BX$33&lt;&gt;"HOL"),
AND(WEEKDAY($DB$20+1,2)=7,$DG$14=7,$BX$35&lt;&gt;"HOL")
)
),$DC$33,
TRUE,""
)
)</f>
        <v>#VALUE!</v>
      </c>
      <c r="AA7" s="2075" t="e" cm="1">
        <f t="array" aca="1" ref="AA7" ca="1">IF(
$C$3="TODAY",
_xlfn.IFS(
AND($DG$24=AB4,
OR(
AND(WEEKDAY($DB$20,2)=1,$CE$10=1,$BX$23&lt;&gt;"HOL"),
AND(WEEKDAY($DB$20,2)=2,$CF$10=2,$BX$25&lt;&gt;"HOL"),
AND(WEEKDAY($DB$20,2)=3,$CG$10=3,$BX$27&lt;&gt;"HOL"),
AND(WEEKDAY($DB$20,2)=4,$CH$10=4,$BX$29&lt;&gt;"HOL"),
AND(WEEKDAY($DB$20,2)=5,$CI$10=5,$BX$31&lt;&gt;"HOL"),
AND(WEEKDAY($DB$20,2)=6,$CJ$10=6,$BX$33&lt;&gt;"HOL"),
AND(WEEKDAY($DB$20,2)=7,$CK$10=7,$BX$35&lt;&gt;"HOL")
)
),$DD$23,
AND($DG$26=AB4,
OR(
AND(WEEKDAY($DB$20,2)=1,$CE$14=1,$BX$23&lt;&gt;"HOL"),
AND(WEEKDAY($DB$20,2)=2,$CF$14=2,$BX$25&lt;&gt;"HOL"),
AND(WEEKDAY($DB$20,2)=3,$CG$14=3,$BX$27&lt;&gt;"HOL"),
AND(WEEKDAY($DB$20,2)=4,$CH$14=4,$BX$29&lt;&gt;"HOL"),
AND(WEEKDAY($DB$20,2)=5,$CI$14=5,$BX$31&lt;&gt;"HOL"),
AND(WEEKDAY($DB$20,2)=6,$CJ$14=6,$BX$33&lt;&gt;"HOL"),
AND(WEEKDAY($DB$20,2)=7,$CK$14=7,$BX$35&lt;&gt;"HOL")
)
),$DD$23,
AND($DG$29=AB4,
OR(
AND(WEEKDAY($DB$20,2)=1,$CP$10=1,$BX$23&lt;&gt;"HOL"),
AND(WEEKDAY($DB$20,2)=2,$CQ$10=2,$BX$25&lt;&gt;"HOL"),
AND(WEEKDAY($DB$20,2)=3,$CR$10=3,$BX$27&lt;&gt;"HOL"),
AND(WEEKDAY($DB$20,2)=4,$CS$10=4,$BX$29&lt;&gt;"HOL"),
AND(WEEKDAY($DB$20,2)=5,$CT$10=5,$BX$31&lt;&gt;"HOL"),
AND(WEEKDAY($DB$20,2)=6,$CU$10=6,$BX$33&lt;&gt;"HOL"),
AND(WEEKDAY($DB$20,2)=7,$CV$10=7,$BX$35&lt;&gt;"HOL")
)
),$DD$28,
AND($DG$31=AB4,
OR(
AND(WEEKDAY($DB$20,2)=1,$CP$14=1,$BX$23&lt;&gt;"HOL"),
AND(WEEKDAY($DB$20,2)=2,$CQ$14=2,$BX$25&lt;&gt;"HOL"),
AND(WEEKDAY($DB$20,2)=3,$CR$14=3,$BX$27&lt;&gt;"HOL"),
AND(WEEKDAY($DB$20,2)=4,$CS$14=4,$BX$29&lt;&gt;"HOL"),
AND(WEEKDAY($DB$20,2)=5,$CT$14=5,$BX$31&lt;&gt;"HOL"),
AND(WEEKDAY($DB$20,2)=6,$CU$14=6,$BX$33&lt;&gt;"HOL"),
AND(WEEKDAY($DB$20,2)=7,$CV$14=7,$BX$35&lt;&gt;"HOL")
)
),$DD$28,
AND($DG$34=AB4,
OR(
AND(WEEKDAY($DB$20,2)=1,$DA$10=1,$BX$23&lt;&gt;"HOL"),
AND(WEEKDAY($DB$20,2)=2,$DB$10=2,$BX$25&lt;&gt;"HOL"),
AND(WEEKDAY($DB$20,2)=3,$DC$10=3,$BX$27&lt;&gt;"HOL"),
AND(WEEKDAY($DB$20,2)=4,$DD$10=4,$BX$29&lt;&gt;"HOL"),
AND(WEEKDAY($DB$20,2)=5,$DE$10=5,$BX$31&lt;&gt;"HOL"),
AND(WEEKDAY($DB$20,2)=6,$DF$10=6,$BX$33&lt;&gt;"HOL"),
AND(WEEKDAY($DB$20,2)=7,$DG$10=7,$BX$35&lt;&gt;"HOL")
)
),$DD$33,
AND($DG$36=AB4,
OR(
AND(WEEKDAY($DB$20,2)=1,$DA$14=1,$BX$23&lt;&gt;"HOL"),
AND(WEEKDAY($DB$20,2)=2,$DB$14=2,$BX$25&lt;&gt;"HOL"),
AND(WEEKDAY($DB$20,2)=3,$DC$14=3,$BX$27&lt;&gt;"HOL"),
AND(WEEKDAY($DB$20,2)=4,$DD$14=4,$BX$29&lt;&gt;"HOL"),
AND(WEEKDAY($DB$20,2)=5,$DE$14=5,$BX$31&lt;&gt;"HOL"),
AND(WEEKDAY($DB$20,2)=6,$DF$14=6,$BX$33&lt;&gt;"HOL"),
AND(WEEKDAY($DB$20,2)=7,$DG$14=7,$BX$35&lt;&gt;"HOL")
)
),$DD$33,
TRUE,""
),
_xlfn.IFS(
AND($DG$24=AB4,
OR(
AND(WEEKDAY($DB$20+1,2)=1,$CE$10=1,$BX$23&lt;&gt;"HOL"),
AND(WEEKDAY($DB$20+1,2)=2,$CF$10=2,$BX$25&lt;&gt;"HOL"),
AND(WEEKDAY($DB$20+1,2)=3,$CG$10=3,$BX$27&lt;&gt;"HOL"),
AND(WEEKDAY($DB$20+1,2)=4,$CH$10=4,$BX$29&lt;&gt;"HOL"),
AND(WEEKDAY($DB$20+1,2)=5,$CI$10=5,$BX$31&lt;&gt;"HOL"),
AND(WEEKDAY($DB$20+1,2)=6,$CJ$10=6,$BX$33&lt;&gt;"HOL"),
AND(WEEKDAY($DB$20+1,2)=7,$CK$10=7,$BX$35&lt;&gt;"HOL")
)
),$DD$23,
AND($DG$26=AB4,
OR(
AND(WEEKDAY($DB$20+1,2)=1,$CE$14=1,$BX$23&lt;&gt;"HOL"),
AND(WEEKDAY($DB$20+1,2)=2,$CF$14=2,$BX$25&lt;&gt;"HOL"),
AND(WEEKDAY($DB$20+1,2)=3,$CG$14=3,$BX$27&lt;&gt;"HOL"),
AND(WEEKDAY($DB$20+1,2)=4,$CH$14=4,$BX$29&lt;&gt;"HOL"),
AND(WEEKDAY($DB$20+1,2)=5,$CI$14=5,$BX$31&lt;&gt;"HOL"),
AND(WEEKDAY($DB$20+1,2)=6,$CJ$14=6,$BX$33&lt;&gt;"HOL"),
AND(WEEKDAY($DB$20+1,2)=7,$CK$14=7,$BX$35&lt;&gt;"HOL")
)
),$DD$23,
AND($DG$29=AB4,
OR(
AND(WEEKDAY($DB$20+1,2)=1,$CP$10=1,$BX$23&lt;&gt;"HOL"),
AND(WEEKDAY($DB$20+1,2)=2,$CQ$10=2,$BX$25&lt;&gt;"HOL"),
AND(WEEKDAY($DB$20+1,2)=3,$CR$10=3,$BX$27&lt;&gt;"HOL"),
AND(WEEKDAY($DB$20+1,2)=4,$CS$10=4,$BX$29&lt;&gt;"HOL"),
AND(WEEKDAY($DB$20+1,2)=5,$CT$10=5,$BX$31&lt;&gt;"HOL"),
AND(WEEKDAY($DB$20+1,2)=6,$CU$10=6,$BX$33&lt;&gt;"HOL"),
AND(WEEKDAY($DB$20+1,2)=7,$CV$10=7,$BX$35&lt;&gt;"HOL")
)
),$DD$28,
AND($DG$31=AB4,
OR(
AND(WEEKDAY($DB$20+1,2)=1,$CP$14=1,$BX$23&lt;&gt;"HOL"),
AND(WEEKDAY($DB$20+1,2)=2,$CQ$14=2,$BX$25&lt;&gt;"HOL"),
AND(WEEKDAY($DB$20+1,2)=3,$CR$14=3,$BX$27&lt;&gt;"HOL"),
AND(WEEKDAY($DB$20+1,2)=4,$CS$14=4,$BX$29&lt;&gt;"HOL"),
AND(WEEKDAY($DB$20+1,2)=5,$CT$14=5,$BX$31&lt;&gt;"HOL"),
AND(WEEKDAY($DB$20+1,2)=6,$CU$14=6,$BX$33&lt;&gt;"HOL"),
AND(WEEKDAY($DB$20+1,2)=7,$CV$14=7,$BX$35&lt;&gt;"HOL")
)
),$DD$28,
AND($DG$34=AB4,
OR(
AND(WEEKDAY($DB$20+1,2)=1,$DA$10=1,$BX$23&lt;&gt;"HOL"),
AND(WEEKDAY($DB$20+1,2)=2,$DB$10=2,$BX$25&lt;&gt;"HOL"),
AND(WEEKDAY($DB$20+1,2)=3,$DC$10=3,$BX$27&lt;&gt;"HOL"),
AND(WEEKDAY($DB$20+1,2)=4,$DD$10=4,$BX$29&lt;&gt;"HOL"),
AND(WEEKDAY($DB$20+1,2)=5,$DE$10=5,$BX$31&lt;&gt;"HOL"),
AND(WEEKDAY($DB$20+1,2)=6,$DF$10=6,$BX$33&lt;&gt;"HOL"),
AND(WEEKDAY($DB$20+1,2)=7,$DG$10=7,$BX$35&lt;&gt;"HOL")
)
),$DD$33,
AND($DG$36=AB4,
OR(
AND(WEEKDAY($DB$20+1,2)=1,$DA$14=1,$BX$23&lt;&gt;"HOL"),
AND(WEEKDAY($DB$20+1,2)=2,$DB$14=2,$BX$25&lt;&gt;"HOL"),
AND(WEEKDAY($DB$20+1,2)=3,$DC$14=3,$BX$27&lt;&gt;"HOL"),
AND(WEEKDAY($DB$20+1,2)=4,$DD$14=4,$BX$29&lt;&gt;"HOL"),
AND(WEEKDAY($DB$20+1,2)=5,$DE$14=5,$BX$31&lt;&gt;"HOL"),
AND(WEEKDAY($DB$20+1,2)=6,$DF$14=6,$BX$33&lt;&gt;"HOL"),
AND(WEEKDAY($DB$20+1,2)=7,$DG$14=7,$BX$35&lt;&gt;"HOL")
)
),$DD$33,
TRUE,""
)
)</f>
        <v>#VALUE!</v>
      </c>
      <c r="AB7" s="2076" t="e" cm="1">
        <f t="array" aca="1" ref="AB7" ca="1">IF(
$C$3="TODAY",
_xlfn.IFS(
AND($DG$23=AB4,
OR(
AND(WEEKDAY($DB$20,2)=1,$CE$10=1,$BX$23&lt;&gt;"HOL"),
AND(WEEKDAY($DB$20,2)=2,$CF$10=2,$BX$25&lt;&gt;"HOL"),
AND(WEEKDAY($DB$20,2)=3,$CG$10=3,$BX$27&lt;&gt;"HOL"),
AND(WEEKDAY($DB$20,2)=4,$CH$10=4,$BX$29&lt;&gt;"HOL"),
AND(WEEKDAY($DB$20,2)=5,$CI$10=5,$BX$31&lt;&gt;"HOL"),
AND(WEEKDAY($DB$20,2)=6,$CJ$10=6,$BX$33&lt;&gt;"HOL"),
AND(WEEKDAY($DB$20,2)=7,$CK$10=7,$BX$35&lt;&gt;"HOL")
)
),$DC$23,
AND($DG$25=AB4,
OR(
AND(WEEKDAY($DB$20,2)=1,$CE$14=1,$BX$23&lt;&gt;"HOL"),
AND(WEEKDAY($DB$20,2)=2,$CF$14=2,$BX$25&lt;&gt;"HOL"),
AND(WEEKDAY($DB$20,2)=3,$CG$14=3,$BX$27&lt;&gt;"HOL"),
AND(WEEKDAY($DB$20,2)=4,$CH$14=4,$BX$29&lt;&gt;"HOL"),
AND(WEEKDAY($DB$20,2)=5,$CI$14=5,$BX$31&lt;&gt;"HOL"),
AND(WEEKDAY($DB$20,2)=6,$CJ$14=6,$BX$33&lt;&gt;"HOL"),
AND(WEEKDAY($DB$20,2)=7,$CK$14=7,$BX$35&lt;&gt;"HOL")
)
),$DC$23,
AND($DG$28=AB4,
OR(
AND(WEEKDAY($DB$20,2)=1,$CP$10=1,$BX$23&lt;&gt;"HOL"),
AND(WEEKDAY($DB$20,2)=2,$CQ$10=2,$BX$25&lt;&gt;"HOL"),
AND(WEEKDAY($DB$20,2)=3,$CR$10=3,$BX$27&lt;&gt;"HOL"),
AND(WEEKDAY($DB$20,2)=4,$CS$10=4,$BX$29&lt;&gt;"HOL"),
AND(WEEKDAY($DB$20,2)=5,$CT$10=5,$BX$31&lt;&gt;"HOL"),
AND(WEEKDAY($DB$20,2)=6,$CU$10=6,$BX$33&lt;&gt;"HOL"),
AND(WEEKDAY($DB$20,2)=7,$CV$10=7,$BX$35&lt;&gt;"HOL")
)
),$DC$28,
AND($DG$30=AB4,
OR(
AND(WEEKDAY($DB$20,2)=1,$CP$14=1,$BX$23&lt;&gt;"HOL"),
AND(WEEKDAY($DB$20,2)=2,$CQ$14=2,$BX$25&lt;&gt;"HOL"),
AND(WEEKDAY($DB$20,2)=3,$CR$14=3,$BX$27&lt;&gt;"HOL"),
AND(WEEKDAY($DB$20,2)=4,$CS$14=4,$BX$29&lt;&gt;"HOL"),
AND(WEEKDAY($DB$20,2)=5,$CT$14=5,$BX$31&lt;&gt;"HOL"),
AND(WEEKDAY($DB$20,2)=6,$CU$14=6,$BX$33&lt;&gt;"HOL"),
AND(WEEKDAY($DB$20,2)=7,$CV$14=7,$BX$35&lt;&gt;"HOL")
)
),$DC$28,
AND($DG$33=AB4,
OR(
AND(WEEKDAY($DB$20,2)=1,$DA$10=1,$BX$23&lt;&gt;"HOL"),
AND(WEEKDAY($DB$20,2)=2,$DB$10=2,$BX$25&lt;&gt;"HOL"),
AND(WEEKDAY($DB$20,2)=3,$DC$10=3,$BX$27&lt;&gt;"HOL"),
AND(WEEKDAY($DB$20,2)=4,$DD$10=4,$BX$29&lt;&gt;"HOL"),
AND(WEEKDAY($DB$20,2)=5,$DE$10=5,$BX$31&lt;&gt;"HOL"),
AND(WEEKDAY($DB$20,2)=6,$DF$10=6,$BX$33&lt;&gt;"HOL"),
AND(WEEKDAY($DB$20,2)=7,$DG$10=7,$BX$35&lt;&gt;"HOL")
)
),$DC$33,
AND($DG$35=AB4,
OR(
AND(WEEKDAY($DB$20,2)=1,$DA$14=1,$BX$23&lt;&gt;"HOL"),
AND(WEEKDAY($DB$20,2)=2,$DB$14=2,$BX$25&lt;&gt;"HOL"),
AND(WEEKDAY($DB$20,2)=3,$DC$14=3,$BX$27&lt;&gt;"HOL"),
AND(WEEKDAY($DB$20,2)=4,$DD$14=4,$BX$29&lt;&gt;"HOL"),
AND(WEEKDAY($DB$20,2)=5,$DE$14=5,$BX$31&lt;&gt;"HOL"),
AND(WEEKDAY($DB$20,2)=6,$DF$14=6,$BX$33&lt;&gt;"HOL"),
AND(WEEKDAY($DB$20,2)=7,$DG$14=7,$BX$35&lt;&gt;"HOL")
)
),$DC$33,
TRUE,""
),
_xlfn.IFS(
AND($DG$23=AB4,
OR(
AND(WEEKDAY($DB$20+1,2)=1,$CE$10=1,$BX$23&lt;&gt;"HOL"),
AND(WEEKDAY($DB$20+1,2)=2,$CF$10=2,$BX$25&lt;&gt;"HOL"),
AND(WEEKDAY($DB$20+1,2)=3,$CG$10=3,$BX$27&lt;&gt;"HOL"),
AND(WEEKDAY($DB$20+1,2)=4,$CH$10=4,$BX$29&lt;&gt;"HOL"),
AND(WEEKDAY($DB$20+1,2)=5,$CI$10=5,$BX$31&lt;&gt;"HOL"),
AND(WEEKDAY($DB$20+1,2)=6,$CJ$10=6,$BX$33&lt;&gt;"HOL"),
AND(WEEKDAY($DB$20+1,2)=7,$CK$10=7,$BX$35&lt;&gt;"HOL")
)
),$DC$23,
AND($DG$25=AB4,
OR(
AND(WEEKDAY($DB$20+1,2)=1,$CE$14=1,$BX$23&lt;&gt;"HOL"),
AND(WEEKDAY($DB$20+1,2)=2,$CF$14=2,$BX$25&lt;&gt;"HOL"),
AND(WEEKDAY($DB$20+1,2)=3,$CG$14=3,$BX$27&lt;&gt;"HOL"),
AND(WEEKDAY($DB$20+1,2)=4,$CH$14=4,$BX$29&lt;&gt;"HOL"),
AND(WEEKDAY($DB$20+1,2)=5,$CI$14=5,$BX$31&lt;&gt;"HOL"),
AND(WEEKDAY($DB$20+1,2)=6,$CJ$14=6,$BX$33&lt;&gt;"HOL"),
AND(WEEKDAY($DB$20+1,2)=7,$CK$14=7,$BX$35&lt;&gt;"HOL")
)
),$DC$23,
AND($DG$28=AB4,
OR(
AND(WEEKDAY($DB$20+1,2)=1,$CP$10=1,$BX$23&lt;&gt;"HOL"),
AND(WEEKDAY($DB$20+1,2)=2,$CQ$10=2,$BX$25&lt;&gt;"HOL"),
AND(WEEKDAY($DB$20+1,2)=3,$CR$10=3,$BX$27&lt;&gt;"HOL"),
AND(WEEKDAY($DB$20+1,2)=4,$CS$10=4,$BX$29&lt;&gt;"HOL"),
AND(WEEKDAY($DB$20+1,2)=5,$CT$10=5,$BX$31&lt;&gt;"HOL"),
AND(WEEKDAY($DB$20+1,2)=6,$CU$10=6,$BX$33&lt;&gt;"HOL"),
AND(WEEKDAY($DB$20+1,2)=7,$CV$10=7,$BX$35&lt;&gt;"HOL")
)
),$DC$28,
AND($DG$30=AB4,
OR(
AND(WEEKDAY($DB$20+1,2)=1,$CP$14=1,$BX$23&lt;&gt;"HOL"),
AND(WEEKDAY($DB$20+1,2)=2,$CQ$14=2,$BX$25&lt;&gt;"HOL"),
AND(WEEKDAY($DB$20+1,2)=3,$CR$14=3,$BX$27&lt;&gt;"HOL"),
AND(WEEKDAY($DB$20+1,2)=4,$CS$14=4,$BX$29&lt;&gt;"HOL"),
AND(WEEKDAY($DB$20+1,2)=5,$CT$14=5,$BX$31&lt;&gt;"HOL"),
AND(WEEKDAY($DB$20+1,2)=6,$CU$14=6,$BX$33&lt;&gt;"HOL"),
AND(WEEKDAY($DB$20+1,2)=7,$CV$14=7,$BX$35&lt;&gt;"HOL")
)
),$DC$28,
AND($DG$33=AB4,
OR(
AND(WEEKDAY($DB$20+1,2)=1,$DA$10=1,$BX$23&lt;&gt;"HOL"),
AND(WEEKDAY($DB$20+1,2)=2,$DB$10=2,$BX$25&lt;&gt;"HOL"),
AND(WEEKDAY($DB$20+1,2)=3,$DC$10=3,$BX$27&lt;&gt;"HOL"),
AND(WEEKDAY($DB$20+1,2)=4,$DD$10=4,$BX$29&lt;&gt;"HOL"),
AND(WEEKDAY($DB$20+1,2)=5,$DE$10=5,$BX$31&lt;&gt;"HOL"),
AND(WEEKDAY($DB$20+1,2)=6,$DF$10=6,$BX$33&lt;&gt;"HOL"),
AND(WEEKDAY($DB$20+1,2)=7,$DG$10=7,$BX$35&lt;&gt;"HOL")
)
),$DC$33,
AND($DG$35=AB4,
OR(
AND(WEEKDAY($DB$20+1,2)=1,$DA$14=1,$BX$23&lt;&gt;"HOL"),
AND(WEEKDAY($DB$20+1,2)=2,$DB$14=2,$BX$25&lt;&gt;"HOL"),
AND(WEEKDAY($DB$20+1,2)=3,$DC$14=3,$BX$27&lt;&gt;"HOL"),
AND(WEEKDAY($DB$20+1,2)=4,$DD$14=4,$BX$29&lt;&gt;"HOL"),
AND(WEEKDAY($DB$20+1,2)=5,$DE$14=5,$BX$31&lt;&gt;"HOL"),
AND(WEEKDAY($DB$20+1,2)=6,$DF$14=6,$BX$33&lt;&gt;"HOL"),
AND(WEEKDAY($DB$20+1,2)=7,$DG$14=7,$BX$35&lt;&gt;"HOL")
)
),$DC$33,
TRUE,""
)
)</f>
        <v>#VALUE!</v>
      </c>
      <c r="AC7" s="2066" t="e" cm="1">
        <f t="array" aca="1" ref="AC7" ca="1">IF(
$C$3="TODAY",
_xlfn.IFS(
AND($DG$24=AD4,
OR(
AND(WEEKDAY($DB$20,2)=1,$CE$10=1,$BX$23&lt;&gt;"HOL"),
AND(WEEKDAY($DB$20,2)=2,$CF$10=2,$BX$25&lt;&gt;"HOL"),
AND(WEEKDAY($DB$20,2)=3,$CG$10=3,$BX$27&lt;&gt;"HOL"),
AND(WEEKDAY($DB$20,2)=4,$CH$10=4,$BX$29&lt;&gt;"HOL"),
AND(WEEKDAY($DB$20,2)=5,$CI$10=5,$BX$31&lt;&gt;"HOL"),
AND(WEEKDAY($DB$20,2)=6,$CJ$10=6,$BX$33&lt;&gt;"HOL"),
AND(WEEKDAY($DB$20,2)=7,$CK$10=7,$BX$35&lt;&gt;"HOL")
)
),$DD$23,
AND($DG$26=AD4,
OR(
AND(WEEKDAY($DB$20,2)=1,$CE$14=1,$BX$23&lt;&gt;"HOL"),
AND(WEEKDAY($DB$20,2)=2,$CF$14=2,$BX$25&lt;&gt;"HOL"),
AND(WEEKDAY($DB$20,2)=3,$CG$14=3,$BX$27&lt;&gt;"HOL"),
AND(WEEKDAY($DB$20,2)=4,$CH$14=4,$BX$29&lt;&gt;"HOL"),
AND(WEEKDAY($DB$20,2)=5,$CI$14=5,$BX$31&lt;&gt;"HOL"),
AND(WEEKDAY($DB$20,2)=6,$CJ$14=6,$BX$33&lt;&gt;"HOL"),
AND(WEEKDAY($DB$20,2)=7,$CK$14=7,$BX$35&lt;&gt;"HOL")
)
),$DD$23,
AND($DG$29=AD4,
OR(
AND(WEEKDAY($DB$20,2)=1,$CP$10=1,$BX$23&lt;&gt;"HOL"),
AND(WEEKDAY($DB$20,2)=2,$CQ$10=2,$BX$25&lt;&gt;"HOL"),
AND(WEEKDAY($DB$20,2)=3,$CR$10=3,$BX$27&lt;&gt;"HOL"),
AND(WEEKDAY($DB$20,2)=4,$CS$10=4,$BX$29&lt;&gt;"HOL"),
AND(WEEKDAY($DB$20,2)=5,$CT$10=5,$BX$31&lt;&gt;"HOL"),
AND(WEEKDAY($DB$20,2)=6,$CU$10=6,$BX$33&lt;&gt;"HOL"),
AND(WEEKDAY($DB$20,2)=7,$CV$10=7,$BX$35&lt;&gt;"HOL")
)
),$DD$28,
AND($DG$31=AD4,
OR(
AND(WEEKDAY($DB$20,2)=1,$CP$14=1,$BX$23&lt;&gt;"HOL"),
AND(WEEKDAY($DB$20,2)=2,$CQ$14=2,$BX$25&lt;&gt;"HOL"),
AND(WEEKDAY($DB$20,2)=3,$CR$14=3,$BX$27&lt;&gt;"HOL"),
AND(WEEKDAY($DB$20,2)=4,$CS$14=4,$BX$29&lt;&gt;"HOL"),
AND(WEEKDAY($DB$20,2)=5,$CT$14=5,$BX$31&lt;&gt;"HOL"),
AND(WEEKDAY($DB$20,2)=6,$CU$14=6,$BX$33&lt;&gt;"HOL"),
AND(WEEKDAY($DB$20,2)=7,$CV$14=7,$BX$35&lt;&gt;"HOL")
)
),$DD$28,
AND($DG$34=AD4,
OR(
AND(WEEKDAY($DB$20,2)=1,$DA$10=1,$BX$23&lt;&gt;"HOL"),
AND(WEEKDAY($DB$20,2)=2,$DB$10=2,$BX$25&lt;&gt;"HOL"),
AND(WEEKDAY($DB$20,2)=3,$DC$10=3,$BX$27&lt;&gt;"HOL"),
AND(WEEKDAY($DB$20,2)=4,$DD$10=4,$BX$29&lt;&gt;"HOL"),
AND(WEEKDAY($DB$20,2)=5,$DE$10=5,$BX$31&lt;&gt;"HOL"),
AND(WEEKDAY($DB$20,2)=6,$DF$10=6,$BX$33&lt;&gt;"HOL"),
AND(WEEKDAY($DB$20,2)=7,$DG$10=7,$BX$35&lt;&gt;"HOL")
)
),$DD$33,
AND($DG$36=AD4,
OR(
AND(WEEKDAY($DB$20,2)=1,$DA$14=1,$BX$23&lt;&gt;"HOL"),
AND(WEEKDAY($DB$20,2)=2,$DB$14=2,$BX$25&lt;&gt;"HOL"),
AND(WEEKDAY($DB$20,2)=3,$DC$14=3,$BX$27&lt;&gt;"HOL"),
AND(WEEKDAY($DB$20,2)=4,$DD$14=4,$BX$29&lt;&gt;"HOL"),
AND(WEEKDAY($DB$20,2)=5,$DE$14=5,$BX$31&lt;&gt;"HOL"),
AND(WEEKDAY($DB$20,2)=6,$DF$14=6,$BX$33&lt;&gt;"HOL"),
AND(WEEKDAY($DB$20,2)=7,$DG$14=7,$BX$35&lt;&gt;"HOL")
)
),$DD$33,
TRUE,""
),
_xlfn.IFS(
AND($DG$24=AD4,
OR(
AND(WEEKDAY($DB$20+1,2)=1,$CE$10=1,$BX$23&lt;&gt;"HOL"),
AND(WEEKDAY($DB$20+1,2)=2,$CF$10=2,$BX$25&lt;&gt;"HOL"),
AND(WEEKDAY($DB$20+1,2)=3,$CG$10=3,$BX$27&lt;&gt;"HOL"),
AND(WEEKDAY($DB$20+1,2)=4,$CH$10=4,$BX$29&lt;&gt;"HOL"),
AND(WEEKDAY($DB$20+1,2)=5,$CI$10=5,$BX$31&lt;&gt;"HOL"),
AND(WEEKDAY($DB$20+1,2)=6,$CJ$10=6,$BX$33&lt;&gt;"HOL"),
AND(WEEKDAY($DB$20+1,2)=7,$CK$10=7,$BX$35&lt;&gt;"HOL")
)
),$DD$23,
AND($DG$26=AD4,
OR(
AND(WEEKDAY($DB$20+1,2)=1,$CE$14=1,$BX$23&lt;&gt;"HOL"),
AND(WEEKDAY($DB$20+1,2)=2,$CF$14=2,$BX$25&lt;&gt;"HOL"),
AND(WEEKDAY($DB$20+1,2)=3,$CG$14=3,$BX$27&lt;&gt;"HOL"),
AND(WEEKDAY($DB$20+1,2)=4,$CH$14=4,$BX$29&lt;&gt;"HOL"),
AND(WEEKDAY($DB$20+1,2)=5,$CI$14=5,$BX$31&lt;&gt;"HOL"),
AND(WEEKDAY($DB$20+1,2)=6,$CJ$14=6,$BX$33&lt;&gt;"HOL"),
AND(WEEKDAY($DB$20+1,2)=7,$CK$14=7,$BX$35&lt;&gt;"HOL")
)
),$DD$23,
AND($DG$29=AD4,
OR(
AND(WEEKDAY($DB$20+1,2)=1,$CP$10=1,$BX$23&lt;&gt;"HOL"),
AND(WEEKDAY($DB$20+1,2)=2,$CQ$10=2,$BX$25&lt;&gt;"HOL"),
AND(WEEKDAY($DB$20+1,2)=3,$CR$10=3,$BX$27&lt;&gt;"HOL"),
AND(WEEKDAY($DB$20+1,2)=4,$CS$10=4,$BX$29&lt;&gt;"HOL"),
AND(WEEKDAY($DB$20+1,2)=5,$CT$10=5,$BX$31&lt;&gt;"HOL"),
AND(WEEKDAY($DB$20+1,2)=6,$CU$10=6,$BX$33&lt;&gt;"HOL"),
AND(WEEKDAY($DB$20+1,2)=7,$CV$10=7,$BX$35&lt;&gt;"HOL")
)
),$DD$28,
AND($DG$31=AD4,
OR(
AND(WEEKDAY($DB$20+1,2)=1,$CP$14=1,$BX$23&lt;&gt;"HOL"),
AND(WEEKDAY($DB$20+1,2)=2,$CQ$14=2,$BX$25&lt;&gt;"HOL"),
AND(WEEKDAY($DB$20+1,2)=3,$CR$14=3,$BX$27&lt;&gt;"HOL"),
AND(WEEKDAY($DB$20+1,2)=4,$CS$14=4,$BX$29&lt;&gt;"HOL"),
AND(WEEKDAY($DB$20+1,2)=5,$CT$14=5,$BX$31&lt;&gt;"HOL"),
AND(WEEKDAY($DB$20+1,2)=6,$CU$14=6,$BX$33&lt;&gt;"HOL"),
AND(WEEKDAY($DB$20+1,2)=7,$CV$14=7,$BX$35&lt;&gt;"HOL")
)
),$DD$28,
AND($DG$34=AD4,
OR(
AND(WEEKDAY($DB$20+1,2)=1,$DA$10=1,$BX$23&lt;&gt;"HOL"),
AND(WEEKDAY($DB$20+1,2)=2,$DB$10=2,$BX$25&lt;&gt;"HOL"),
AND(WEEKDAY($DB$20+1,2)=3,$DC$10=3,$BX$27&lt;&gt;"HOL"),
AND(WEEKDAY($DB$20+1,2)=4,$DD$10=4,$BX$29&lt;&gt;"HOL"),
AND(WEEKDAY($DB$20+1,2)=5,$DE$10=5,$BX$31&lt;&gt;"HOL"),
AND(WEEKDAY($DB$20+1,2)=6,$DF$10=6,$BX$33&lt;&gt;"HOL"),
AND(WEEKDAY($DB$20+1,2)=7,$DG$10=7,$BX$35&lt;&gt;"HOL")
)
),$DD$33,
AND($DG$36=AD4,
OR(
AND(WEEKDAY($DB$20+1,2)=1,$DA$14=1,$BX$23&lt;&gt;"HOL"),
AND(WEEKDAY($DB$20+1,2)=2,$DB$14=2,$BX$25&lt;&gt;"HOL"),
AND(WEEKDAY($DB$20+1,2)=3,$DC$14=3,$BX$27&lt;&gt;"HOL"),
AND(WEEKDAY($DB$20+1,2)=4,$DD$14=4,$BX$29&lt;&gt;"HOL"),
AND(WEEKDAY($DB$20+1,2)=5,$DE$14=5,$BX$31&lt;&gt;"HOL"),
AND(WEEKDAY($DB$20+1,2)=6,$DF$14=6,$BX$33&lt;&gt;"HOL"),
AND(WEEKDAY($DB$20+1,2)=7,$DG$14=7,$BX$35&lt;&gt;"HOL")
)
),$DD$33,
TRUE,""
)
)</f>
        <v>#VALUE!</v>
      </c>
      <c r="AD7" s="1090" t="e" cm="1">
        <f t="array" aca="1" ref="AD7" ca="1">IF(
$C$3="TODAY",
_xlfn.IFS(
AND($DG$23=AD4,
OR(
AND(WEEKDAY($DB$20,2)=1,$CE$10=1,$BX$23&lt;&gt;"HOL"),
AND(WEEKDAY($DB$20,2)=2,$CF$10=2,$BX$25&lt;&gt;"HOL"),
AND(WEEKDAY($DB$20,2)=3,$CG$10=3,$BX$27&lt;&gt;"HOL"),
AND(WEEKDAY($DB$20,2)=4,$CH$10=4,$BX$29&lt;&gt;"HOL"),
AND(WEEKDAY($DB$20,2)=5,$CI$10=5,$BX$31&lt;&gt;"HOL"),
AND(WEEKDAY($DB$20,2)=6,$CJ$10=6,$BX$33&lt;&gt;"HOL"),
AND(WEEKDAY($DB$20,2)=7,$CK$10=7,$BX$35&lt;&gt;"HOL")
)
),$DC$23,
AND($DG$25=AD4,
OR(
AND(WEEKDAY($DB$20,2)=1,$CE$14=1,$BX$23&lt;&gt;"HOL"),
AND(WEEKDAY($DB$20,2)=2,$CF$14=2,$BX$25&lt;&gt;"HOL"),
AND(WEEKDAY($DB$20,2)=3,$CG$14=3,$BX$27&lt;&gt;"HOL"),
AND(WEEKDAY($DB$20,2)=4,$CH$14=4,$BX$29&lt;&gt;"HOL"),
AND(WEEKDAY($DB$20,2)=5,$CI$14=5,$BX$31&lt;&gt;"HOL"),
AND(WEEKDAY($DB$20,2)=6,$CJ$14=6,$BX$33&lt;&gt;"HOL"),
AND(WEEKDAY($DB$20,2)=7,$CK$14=7,$BX$35&lt;&gt;"HOL")
)
),$DC$23,
AND($DG$28=AD4,
OR(
AND(WEEKDAY($DB$20,2)=1,$CP$10=1,$BX$23&lt;&gt;"HOL"),
AND(WEEKDAY($DB$20,2)=2,$CQ$10=2,$BX$25&lt;&gt;"HOL"),
AND(WEEKDAY($DB$20,2)=3,$CR$10=3,$BX$27&lt;&gt;"HOL"),
AND(WEEKDAY($DB$20,2)=4,$CS$10=4,$BX$29&lt;&gt;"HOL"),
AND(WEEKDAY($DB$20,2)=5,$CT$10=5,$BX$31&lt;&gt;"HOL"),
AND(WEEKDAY($DB$20,2)=6,$CU$10=6,$BX$33&lt;&gt;"HOL"),
AND(WEEKDAY($DB$20,2)=7,$CV$10=7,$BX$35&lt;&gt;"HOL")
)
),$DC$28,
AND($DG$30=AD4,
OR(
AND(WEEKDAY($DB$20,2)=1,$CP$14=1,$BX$23&lt;&gt;"HOL"),
AND(WEEKDAY($DB$20,2)=2,$CQ$14=2,$BX$25&lt;&gt;"HOL"),
AND(WEEKDAY($DB$20,2)=3,$CR$14=3,$BX$27&lt;&gt;"HOL"),
AND(WEEKDAY($DB$20,2)=4,$CS$14=4,$BX$29&lt;&gt;"HOL"),
AND(WEEKDAY($DB$20,2)=5,$CT$14=5,$BX$31&lt;&gt;"HOL"),
AND(WEEKDAY($DB$20,2)=6,$CU$14=6,$BX$33&lt;&gt;"HOL"),
AND(WEEKDAY($DB$20,2)=7,$CV$14=7,$BX$35&lt;&gt;"HOL")
)
),$DC$28,
AND($DG$33=AD4,
OR(
AND(WEEKDAY($DB$20,2)=1,$DA$10=1,$BX$23&lt;&gt;"HOL"),
AND(WEEKDAY($DB$20,2)=2,$DB$10=2,$BX$25&lt;&gt;"HOL"),
AND(WEEKDAY($DB$20,2)=3,$DC$10=3,$BX$27&lt;&gt;"HOL"),
AND(WEEKDAY($DB$20,2)=4,$DD$10=4,$BX$29&lt;&gt;"HOL"),
AND(WEEKDAY($DB$20,2)=5,$DE$10=5,$BX$31&lt;&gt;"HOL"),
AND(WEEKDAY($DB$20,2)=6,$DF$10=6,$BX$33&lt;&gt;"HOL"),
AND(WEEKDAY($DB$20,2)=7,$DG$10=7,$BX$35&lt;&gt;"HOL")
)
),$DC$33,
AND($DG$35=AD4,
OR(
AND(WEEKDAY($DB$20,2)=1,$DA$14=1,$BX$23&lt;&gt;"HOL"),
AND(WEEKDAY($DB$20,2)=2,$DB$14=2,$BX$25&lt;&gt;"HOL"),
AND(WEEKDAY($DB$20,2)=3,$DC$14=3,$BX$27&lt;&gt;"HOL"),
AND(WEEKDAY($DB$20,2)=4,$DD$14=4,$BX$29&lt;&gt;"HOL"),
AND(WEEKDAY($DB$20,2)=5,$DE$14=5,$BX$31&lt;&gt;"HOL"),
AND(WEEKDAY($DB$20,2)=6,$DF$14=6,$BX$33&lt;&gt;"HOL"),
AND(WEEKDAY($DB$20,2)=7,$DG$14=7,$BX$35&lt;&gt;"HOL")
)
),$DC$33,
TRUE,""
),
_xlfn.IFS(
AND($DG$23=AD4,
OR(
AND(WEEKDAY($DB$20+1,2)=1,$CE$10=1,$BX$23&lt;&gt;"HOL"),
AND(WEEKDAY($DB$20+1,2)=2,$CF$10=2,$BX$25&lt;&gt;"HOL"),
AND(WEEKDAY($DB$20+1,2)=3,$CG$10=3,$BX$27&lt;&gt;"HOL"),
AND(WEEKDAY($DB$20+1,2)=4,$CH$10=4,$BX$29&lt;&gt;"HOL"),
AND(WEEKDAY($DB$20+1,2)=5,$CI$10=5,$BX$31&lt;&gt;"HOL"),
AND(WEEKDAY($DB$20+1,2)=6,$CJ$10=6,$BX$33&lt;&gt;"HOL"),
AND(WEEKDAY($DB$20+1,2)=7,$CK$10=7,$BX$35&lt;&gt;"HOL")
)
),$DC$23,
AND($DG$25=AD4,
OR(
AND(WEEKDAY($DB$20+1,2)=1,$CE$14=1,$BX$23&lt;&gt;"HOL"),
AND(WEEKDAY($DB$20+1,2)=2,$CF$14=2,$BX$25&lt;&gt;"HOL"),
AND(WEEKDAY($DB$20+1,2)=3,$CG$14=3,$BX$27&lt;&gt;"HOL"),
AND(WEEKDAY($DB$20+1,2)=4,$CH$14=4,$BX$29&lt;&gt;"HOL"),
AND(WEEKDAY($DB$20+1,2)=5,$CI$14=5,$BX$31&lt;&gt;"HOL"),
AND(WEEKDAY($DB$20+1,2)=6,$CJ$14=6,$BX$33&lt;&gt;"HOL"),
AND(WEEKDAY($DB$20+1,2)=7,$CK$14=7,$BX$35&lt;&gt;"HOL")
)
),$DC$23,
AND($DG$28=AD4,
OR(
AND(WEEKDAY($DB$20+1,2)=1,$CP$10=1,$BX$23&lt;&gt;"HOL"),
AND(WEEKDAY($DB$20+1,2)=2,$CQ$10=2,$BX$25&lt;&gt;"HOL"),
AND(WEEKDAY($DB$20+1,2)=3,$CR$10=3,$BX$27&lt;&gt;"HOL"),
AND(WEEKDAY($DB$20+1,2)=4,$CS$10=4,$BX$29&lt;&gt;"HOL"),
AND(WEEKDAY($DB$20+1,2)=5,$CT$10=5,$BX$31&lt;&gt;"HOL"),
AND(WEEKDAY($DB$20+1,2)=6,$CU$10=6,$BX$33&lt;&gt;"HOL"),
AND(WEEKDAY($DB$20+1,2)=7,$CV$10=7,$BX$35&lt;&gt;"HOL")
)
),$DC$28,
AND($DG$30=AD4,
OR(
AND(WEEKDAY($DB$20+1,2)=1,$CP$14=1,$BX$23&lt;&gt;"HOL"),
AND(WEEKDAY($DB$20+1,2)=2,$CQ$14=2,$BX$25&lt;&gt;"HOL"),
AND(WEEKDAY($DB$20+1,2)=3,$CR$14=3,$BX$27&lt;&gt;"HOL"),
AND(WEEKDAY($DB$20+1,2)=4,$CS$14=4,$BX$29&lt;&gt;"HOL"),
AND(WEEKDAY($DB$20+1,2)=5,$CT$14=5,$BX$31&lt;&gt;"HOL"),
AND(WEEKDAY($DB$20+1,2)=6,$CU$14=6,$BX$33&lt;&gt;"HOL"),
AND(WEEKDAY($DB$20+1,2)=7,$CV$14=7,$BX$35&lt;&gt;"HOL")
)
),$DC$28,
AND($DG$33=AD4,
OR(
AND(WEEKDAY($DB$20+1,2)=1,$DA$10=1,$BX$23&lt;&gt;"HOL"),
AND(WEEKDAY($DB$20+1,2)=2,$DB$10=2,$BX$25&lt;&gt;"HOL"),
AND(WEEKDAY($DB$20+1,2)=3,$DC$10=3,$BX$27&lt;&gt;"HOL"),
AND(WEEKDAY($DB$20+1,2)=4,$DD$10=4,$BX$29&lt;&gt;"HOL"),
AND(WEEKDAY($DB$20+1,2)=5,$DE$10=5,$BX$31&lt;&gt;"HOL"),
AND(WEEKDAY($DB$20+1,2)=6,$DF$10=6,$BX$33&lt;&gt;"HOL"),
AND(WEEKDAY($DB$20+1,2)=7,$DG$10=7,$BX$35&lt;&gt;"HOL")
)
),$DC$33,
AND($DG$35=AD4,
OR(
AND(WEEKDAY($DB$20+1,2)=1,$DA$14=1,$BX$23&lt;&gt;"HOL"),
AND(WEEKDAY($DB$20+1,2)=2,$DB$14=2,$BX$25&lt;&gt;"HOL"),
AND(WEEKDAY($DB$20+1,2)=3,$DC$14=3,$BX$27&lt;&gt;"HOL"),
AND(WEEKDAY($DB$20+1,2)=4,$DD$14=4,$BX$29&lt;&gt;"HOL"),
AND(WEEKDAY($DB$20+1,2)=5,$DE$14=5,$BX$31&lt;&gt;"HOL"),
AND(WEEKDAY($DB$20+1,2)=6,$DF$14=6,$BX$33&lt;&gt;"HOL"),
AND(WEEKDAY($DB$20+1,2)=7,$DG$14=7,$BX$35&lt;&gt;"HOL")
)
),$DC$33,
TRUE,""
)
)</f>
        <v>#VALUE!</v>
      </c>
      <c r="AE7" s="2075" t="e" cm="1">
        <f t="array" aca="1" ref="AE7" ca="1">IF(
$C$3="TODAY",
_xlfn.IFS(
AND($DG$24=AF4,
OR(
AND(WEEKDAY($DB$20,2)=1,$CE$10=1,$BX$23&lt;&gt;"HOL"),
AND(WEEKDAY($DB$20,2)=2,$CF$10=2,$BX$25&lt;&gt;"HOL"),
AND(WEEKDAY($DB$20,2)=3,$CG$10=3,$BX$27&lt;&gt;"HOL"),
AND(WEEKDAY($DB$20,2)=4,$CH$10=4,$BX$29&lt;&gt;"HOL"),
AND(WEEKDAY($DB$20,2)=5,$CI$10=5,$BX$31&lt;&gt;"HOL"),
AND(WEEKDAY($DB$20,2)=6,$CJ$10=6,$BX$33&lt;&gt;"HOL"),
AND(WEEKDAY($DB$20,2)=7,$CK$10=7,$BX$35&lt;&gt;"HOL")
)
),$DD$23,
AND($DG$26=AF4,
OR(
AND(WEEKDAY($DB$20,2)=1,$CE$14=1,$BX$23&lt;&gt;"HOL"),
AND(WEEKDAY($DB$20,2)=2,$CF$14=2,$BX$25&lt;&gt;"HOL"),
AND(WEEKDAY($DB$20,2)=3,$CG$14=3,$BX$27&lt;&gt;"HOL"),
AND(WEEKDAY($DB$20,2)=4,$CH$14=4,$BX$29&lt;&gt;"HOL"),
AND(WEEKDAY($DB$20,2)=5,$CI$14=5,$BX$31&lt;&gt;"HOL"),
AND(WEEKDAY($DB$20,2)=6,$CJ$14=6,$BX$33&lt;&gt;"HOL"),
AND(WEEKDAY($DB$20,2)=7,$CK$14=7,$BX$35&lt;&gt;"HOL")
)
),$DD$23,
AND($DG$29=AF4,
OR(
AND(WEEKDAY($DB$20,2)=1,$CP$10=1,$BX$23&lt;&gt;"HOL"),
AND(WEEKDAY($DB$20,2)=2,$CQ$10=2,$BX$25&lt;&gt;"HOL"),
AND(WEEKDAY($DB$20,2)=3,$CR$10=3,$BX$27&lt;&gt;"HOL"),
AND(WEEKDAY($DB$20,2)=4,$CS$10=4,$BX$29&lt;&gt;"HOL"),
AND(WEEKDAY($DB$20,2)=5,$CT$10=5,$BX$31&lt;&gt;"HOL"),
AND(WEEKDAY($DB$20,2)=6,$CU$10=6,$BX$33&lt;&gt;"HOL"),
AND(WEEKDAY($DB$20,2)=7,$CV$10=7,$BX$35&lt;&gt;"HOL")
)
),$DD$28,
AND($DG$31=AF4,
OR(
AND(WEEKDAY($DB$20,2)=1,$CP$14=1,$BX$23&lt;&gt;"HOL"),
AND(WEEKDAY($DB$20,2)=2,$CQ$14=2,$BX$25&lt;&gt;"HOL"),
AND(WEEKDAY($DB$20,2)=3,$CR$14=3,$BX$27&lt;&gt;"HOL"),
AND(WEEKDAY($DB$20,2)=4,$CS$14=4,$BX$29&lt;&gt;"HOL"),
AND(WEEKDAY($DB$20,2)=5,$CT$14=5,$BX$31&lt;&gt;"HOL"),
AND(WEEKDAY($DB$20,2)=6,$CU$14=6,$BX$33&lt;&gt;"HOL"),
AND(WEEKDAY($DB$20,2)=7,$CV$14=7,$BX$35&lt;&gt;"HOL")
)
),$DD$28,
AND($DG$34=AF4,
OR(
AND(WEEKDAY($DB$20,2)=1,$DA$10=1,$BX$23&lt;&gt;"HOL"),
AND(WEEKDAY($DB$20,2)=2,$DB$10=2,$BX$25&lt;&gt;"HOL"),
AND(WEEKDAY($DB$20,2)=3,$DC$10=3,$BX$27&lt;&gt;"HOL"),
AND(WEEKDAY($DB$20,2)=4,$DD$10=4,$BX$29&lt;&gt;"HOL"),
AND(WEEKDAY($DB$20,2)=5,$DE$10=5,$BX$31&lt;&gt;"HOL"),
AND(WEEKDAY($DB$20,2)=6,$DF$10=6,$BX$33&lt;&gt;"HOL"),
AND(WEEKDAY($DB$20,2)=7,$DG$10=7,$BX$35&lt;&gt;"HOL")
)
),$DD$33,
AND($DG$36=AF4,
OR(
AND(WEEKDAY($DB$20,2)=1,$DA$14=1,$BX$23&lt;&gt;"HOL"),
AND(WEEKDAY($DB$20,2)=2,$DB$14=2,$BX$25&lt;&gt;"HOL"),
AND(WEEKDAY($DB$20,2)=3,$DC$14=3,$BX$27&lt;&gt;"HOL"),
AND(WEEKDAY($DB$20,2)=4,$DD$14=4,$BX$29&lt;&gt;"HOL"),
AND(WEEKDAY($DB$20,2)=5,$DE$14=5,$BX$31&lt;&gt;"HOL"),
AND(WEEKDAY($DB$20,2)=6,$DF$14=6,$BX$33&lt;&gt;"HOL"),
AND(WEEKDAY($DB$20,2)=7,$DG$14=7,$BX$35&lt;&gt;"HOL")
)
),$DD$33,
TRUE,""
),
_xlfn.IFS(
AND($DG$24=AF4,
OR(
AND(WEEKDAY($DB$20+1,2)=1,$CE$10=1,$BX$23&lt;&gt;"HOL"),
AND(WEEKDAY($DB$20+1,2)=2,$CF$10=2,$BX$25&lt;&gt;"HOL"),
AND(WEEKDAY($DB$20+1,2)=3,$CG$10=3,$BX$27&lt;&gt;"HOL"),
AND(WEEKDAY($DB$20+1,2)=4,$CH$10=4,$BX$29&lt;&gt;"HOL"),
AND(WEEKDAY($DB$20+1,2)=5,$CI$10=5,$BX$31&lt;&gt;"HOL"),
AND(WEEKDAY($DB$20+1,2)=6,$CJ$10=6,$BX$33&lt;&gt;"HOL"),
AND(WEEKDAY($DB$20+1,2)=7,$CK$10=7,$BX$35&lt;&gt;"HOL")
)
),$DD$23,
AND($DG$26=AF4,
OR(
AND(WEEKDAY($DB$20+1,2)=1,$CE$14=1,$BX$23&lt;&gt;"HOL"),
AND(WEEKDAY($DB$20+1,2)=2,$CF$14=2,$BX$25&lt;&gt;"HOL"),
AND(WEEKDAY($DB$20+1,2)=3,$CG$14=3,$BX$27&lt;&gt;"HOL"),
AND(WEEKDAY($DB$20+1,2)=4,$CH$14=4,$BX$29&lt;&gt;"HOL"),
AND(WEEKDAY($DB$20+1,2)=5,$CI$14=5,$BX$31&lt;&gt;"HOL"),
AND(WEEKDAY($DB$20+1,2)=6,$CJ$14=6,$BX$33&lt;&gt;"HOL"),
AND(WEEKDAY($DB$20+1,2)=7,$CK$14=7,$BX$35&lt;&gt;"HOL")
)
),$DD$23,
AND($DG$29=AF4,
OR(
AND(WEEKDAY($DB$20+1,2)=1,$CP$10=1,$BX$23&lt;&gt;"HOL"),
AND(WEEKDAY($DB$20+1,2)=2,$CQ$10=2,$BX$25&lt;&gt;"HOL"),
AND(WEEKDAY($DB$20+1,2)=3,$CR$10=3,$BX$27&lt;&gt;"HOL"),
AND(WEEKDAY($DB$20+1,2)=4,$CS$10=4,$BX$29&lt;&gt;"HOL"),
AND(WEEKDAY($DB$20+1,2)=5,$CT$10=5,$BX$31&lt;&gt;"HOL"),
AND(WEEKDAY($DB$20+1,2)=6,$CU$10=6,$BX$33&lt;&gt;"HOL"),
AND(WEEKDAY($DB$20+1,2)=7,$CV$10=7,$BX$35&lt;&gt;"HOL")
)
),$DD$28,
AND($DG$31=AF4,
OR(
AND(WEEKDAY($DB$20+1,2)=1,$CP$14=1,$BX$23&lt;&gt;"HOL"),
AND(WEEKDAY($DB$20+1,2)=2,$CQ$14=2,$BX$25&lt;&gt;"HOL"),
AND(WEEKDAY($DB$20+1,2)=3,$CR$14=3,$BX$27&lt;&gt;"HOL"),
AND(WEEKDAY($DB$20+1,2)=4,$CS$14=4,$BX$29&lt;&gt;"HOL"),
AND(WEEKDAY($DB$20+1,2)=5,$CT$14=5,$BX$31&lt;&gt;"HOL"),
AND(WEEKDAY($DB$20+1,2)=6,$CU$14=6,$BX$33&lt;&gt;"HOL"),
AND(WEEKDAY($DB$20+1,2)=7,$CV$14=7,$BX$35&lt;&gt;"HOL")
)
),$DD$28,
AND($DG$34=AF4,
OR(
AND(WEEKDAY($DB$20+1,2)=1,$DA$10=1,$BX$23&lt;&gt;"HOL"),
AND(WEEKDAY($DB$20+1,2)=2,$DB$10=2,$BX$25&lt;&gt;"HOL"),
AND(WEEKDAY($DB$20+1,2)=3,$DC$10=3,$BX$27&lt;&gt;"HOL"),
AND(WEEKDAY($DB$20+1,2)=4,$DD$10=4,$BX$29&lt;&gt;"HOL"),
AND(WEEKDAY($DB$20+1,2)=5,$DE$10=5,$BX$31&lt;&gt;"HOL"),
AND(WEEKDAY($DB$20+1,2)=6,$DF$10=6,$BX$33&lt;&gt;"HOL"),
AND(WEEKDAY($DB$20+1,2)=7,$DG$10=7,$BX$35&lt;&gt;"HOL")
)
),$DD$33,
AND($DG$36=AF4,
OR(
AND(WEEKDAY($DB$20+1,2)=1,$DA$14=1,$BX$23&lt;&gt;"HOL"),
AND(WEEKDAY($DB$20+1,2)=2,$DB$14=2,$BX$25&lt;&gt;"HOL"),
AND(WEEKDAY($DB$20+1,2)=3,$DC$14=3,$BX$27&lt;&gt;"HOL"),
AND(WEEKDAY($DB$20+1,2)=4,$DD$14=4,$BX$29&lt;&gt;"HOL"),
AND(WEEKDAY($DB$20+1,2)=5,$DE$14=5,$BX$31&lt;&gt;"HOL"),
AND(WEEKDAY($DB$20+1,2)=6,$DF$14=6,$BX$33&lt;&gt;"HOL"),
AND(WEEKDAY($DB$20+1,2)=7,$DG$14=7,$BX$35&lt;&gt;"HOL")
)
),$DD$33,
TRUE,""
)
)</f>
        <v>#VALUE!</v>
      </c>
      <c r="AF7" s="2076" t="e" cm="1">
        <f t="array" aca="1" ref="AF7" ca="1">IF(
$C$3="TODAY",
_xlfn.IFS(
AND($DG$23=AF4,
OR(
AND(WEEKDAY($DB$20,2)=1,$CE$10=1,$BX$23&lt;&gt;"HOL"),
AND(WEEKDAY($DB$20,2)=2,$CF$10=2,$BX$25&lt;&gt;"HOL"),
AND(WEEKDAY($DB$20,2)=3,$CG$10=3,$BX$27&lt;&gt;"HOL"),
AND(WEEKDAY($DB$20,2)=4,$CH$10=4,$BX$29&lt;&gt;"HOL"),
AND(WEEKDAY($DB$20,2)=5,$CI$10=5,$BX$31&lt;&gt;"HOL"),
AND(WEEKDAY($DB$20,2)=6,$CJ$10=6,$BX$33&lt;&gt;"HOL"),
AND(WEEKDAY($DB$20,2)=7,$CK$10=7,$BX$35&lt;&gt;"HOL")
)
),$DC$23,
AND($DG$25=AF4,
OR(
AND(WEEKDAY($DB$20,2)=1,$CE$14=1,$BX$23&lt;&gt;"HOL"),
AND(WEEKDAY($DB$20,2)=2,$CF$14=2,$BX$25&lt;&gt;"HOL"),
AND(WEEKDAY($DB$20,2)=3,$CG$14=3,$BX$27&lt;&gt;"HOL"),
AND(WEEKDAY($DB$20,2)=4,$CH$14=4,$BX$29&lt;&gt;"HOL"),
AND(WEEKDAY($DB$20,2)=5,$CI$14=5,$BX$31&lt;&gt;"HOL"),
AND(WEEKDAY($DB$20,2)=6,$CJ$14=6,$BX$33&lt;&gt;"HOL"),
AND(WEEKDAY($DB$20,2)=7,$CK$14=7,$BX$35&lt;&gt;"HOL")
)
),$DC$23,
AND($DG$28=AF4,
OR(
AND(WEEKDAY($DB$20,2)=1,$CP$10=1,$BX$23&lt;&gt;"HOL"),
AND(WEEKDAY($DB$20,2)=2,$CQ$10=2,$BX$25&lt;&gt;"HOL"),
AND(WEEKDAY($DB$20,2)=3,$CR$10=3,$BX$27&lt;&gt;"HOL"),
AND(WEEKDAY($DB$20,2)=4,$CS$10=4,$BX$29&lt;&gt;"HOL"),
AND(WEEKDAY($DB$20,2)=5,$CT$10=5,$BX$31&lt;&gt;"HOL"),
AND(WEEKDAY($DB$20,2)=6,$CU$10=6,$BX$33&lt;&gt;"HOL"),
AND(WEEKDAY($DB$20,2)=7,$CV$10=7,$BX$35&lt;&gt;"HOL")
)
),$DC$28,
AND($DG$30=AF4,
OR(
AND(WEEKDAY($DB$20,2)=1,$CP$14=1,$BX$23&lt;&gt;"HOL"),
AND(WEEKDAY($DB$20,2)=2,$CQ$14=2,$BX$25&lt;&gt;"HOL"),
AND(WEEKDAY($DB$20,2)=3,$CR$14=3,$BX$27&lt;&gt;"HOL"),
AND(WEEKDAY($DB$20,2)=4,$CS$14=4,$BX$29&lt;&gt;"HOL"),
AND(WEEKDAY($DB$20,2)=5,$CT$14=5,$BX$31&lt;&gt;"HOL"),
AND(WEEKDAY($DB$20,2)=6,$CU$14=6,$BX$33&lt;&gt;"HOL"),
AND(WEEKDAY($DB$20,2)=7,$CV$14=7,$BX$35&lt;&gt;"HOL")
)
),$DC$28,
AND($DG$33=AF4,
OR(
AND(WEEKDAY($DB$20,2)=1,$DA$10=1,$BX$23&lt;&gt;"HOL"),
AND(WEEKDAY($DB$20,2)=2,$DB$10=2,$BX$25&lt;&gt;"HOL"),
AND(WEEKDAY($DB$20,2)=3,$DC$10=3,$BX$27&lt;&gt;"HOL"),
AND(WEEKDAY($DB$20,2)=4,$DD$10=4,$BX$29&lt;&gt;"HOL"),
AND(WEEKDAY($DB$20,2)=5,$DE$10=5,$BX$31&lt;&gt;"HOL"),
AND(WEEKDAY($DB$20,2)=6,$DF$10=6,$BX$33&lt;&gt;"HOL"),
AND(WEEKDAY($DB$20,2)=7,$DG$10=7,$BX$35&lt;&gt;"HOL")
)
),$DC$33,
AND($DG$35=AF4,
OR(
AND(WEEKDAY($DB$20,2)=1,$DA$14=1,$BX$23&lt;&gt;"HOL"),
AND(WEEKDAY($DB$20,2)=2,$DB$14=2,$BX$25&lt;&gt;"HOL"),
AND(WEEKDAY($DB$20,2)=3,$DC$14=3,$BX$27&lt;&gt;"HOL"),
AND(WEEKDAY($DB$20,2)=4,$DD$14=4,$BX$29&lt;&gt;"HOL"),
AND(WEEKDAY($DB$20,2)=5,$DE$14=5,$BX$31&lt;&gt;"HOL"),
AND(WEEKDAY($DB$20,2)=6,$DF$14=6,$BX$33&lt;&gt;"HOL"),
AND(WEEKDAY($DB$20,2)=7,$DG$14=7,$BX$35&lt;&gt;"HOL")
)
),$DC$33,
TRUE,""
),
_xlfn.IFS(
AND($DG$23=AF4,
OR(
AND(WEEKDAY($DB$20+1,2)=1,$CE$10=1,$BX$23&lt;&gt;"HOL"),
AND(WEEKDAY($DB$20+1,2)=2,$CF$10=2,$BX$25&lt;&gt;"HOL"),
AND(WEEKDAY($DB$20+1,2)=3,$CG$10=3,$BX$27&lt;&gt;"HOL"),
AND(WEEKDAY($DB$20+1,2)=4,$CH$10=4,$BX$29&lt;&gt;"HOL"),
AND(WEEKDAY($DB$20+1,2)=5,$CI$10=5,$BX$31&lt;&gt;"HOL"),
AND(WEEKDAY($DB$20+1,2)=6,$CJ$10=6,$BX$33&lt;&gt;"HOL"),
AND(WEEKDAY($DB$20+1,2)=7,$CK$10=7,$BX$35&lt;&gt;"HOL")
)
),$DC$23,
AND($DG$25=AF4,
OR(
AND(WEEKDAY($DB$20+1,2)=1,$CE$14=1,$BX$23&lt;&gt;"HOL"),
AND(WEEKDAY($DB$20+1,2)=2,$CF$14=2,$BX$25&lt;&gt;"HOL"),
AND(WEEKDAY($DB$20+1,2)=3,$CG$14=3,$BX$27&lt;&gt;"HOL"),
AND(WEEKDAY($DB$20+1,2)=4,$CH$14=4,$BX$29&lt;&gt;"HOL"),
AND(WEEKDAY($DB$20+1,2)=5,$CI$14=5,$BX$31&lt;&gt;"HOL"),
AND(WEEKDAY($DB$20+1,2)=6,$CJ$14=6,$BX$33&lt;&gt;"HOL"),
AND(WEEKDAY($DB$20+1,2)=7,$CK$14=7,$BX$35&lt;&gt;"HOL")
)
),$DC$23,
AND($DG$28=AF4,
OR(
AND(WEEKDAY($DB$20+1,2)=1,$CP$10=1,$BX$23&lt;&gt;"HOL"),
AND(WEEKDAY($DB$20+1,2)=2,$CQ$10=2,$BX$25&lt;&gt;"HOL"),
AND(WEEKDAY($DB$20+1,2)=3,$CR$10=3,$BX$27&lt;&gt;"HOL"),
AND(WEEKDAY($DB$20+1,2)=4,$CS$10=4,$BX$29&lt;&gt;"HOL"),
AND(WEEKDAY($DB$20+1,2)=5,$CT$10=5,$BX$31&lt;&gt;"HOL"),
AND(WEEKDAY($DB$20+1,2)=6,$CU$10=6,$BX$33&lt;&gt;"HOL"),
AND(WEEKDAY($DB$20+1,2)=7,$CV$10=7,$BX$35&lt;&gt;"HOL")
)
),$DC$28,
AND($DG$30=AF4,
OR(
AND(WEEKDAY($DB$20+1,2)=1,$CP$14=1,$BX$23&lt;&gt;"HOL"),
AND(WEEKDAY($DB$20+1,2)=2,$CQ$14=2,$BX$25&lt;&gt;"HOL"),
AND(WEEKDAY($DB$20+1,2)=3,$CR$14=3,$BX$27&lt;&gt;"HOL"),
AND(WEEKDAY($DB$20+1,2)=4,$CS$14=4,$BX$29&lt;&gt;"HOL"),
AND(WEEKDAY($DB$20+1,2)=5,$CT$14=5,$BX$31&lt;&gt;"HOL"),
AND(WEEKDAY($DB$20+1,2)=6,$CU$14=6,$BX$33&lt;&gt;"HOL"),
AND(WEEKDAY($DB$20+1,2)=7,$CV$14=7,$BX$35&lt;&gt;"HOL")
)
),$DC$28,
AND($DG$33=AF4,
OR(
AND(WEEKDAY($DB$20+1,2)=1,$DA$10=1,$BX$23&lt;&gt;"HOL"),
AND(WEEKDAY($DB$20+1,2)=2,$DB$10=2,$BX$25&lt;&gt;"HOL"),
AND(WEEKDAY($DB$20+1,2)=3,$DC$10=3,$BX$27&lt;&gt;"HOL"),
AND(WEEKDAY($DB$20+1,2)=4,$DD$10=4,$BX$29&lt;&gt;"HOL"),
AND(WEEKDAY($DB$20+1,2)=5,$DE$10=5,$BX$31&lt;&gt;"HOL"),
AND(WEEKDAY($DB$20+1,2)=6,$DF$10=6,$BX$33&lt;&gt;"HOL"),
AND(WEEKDAY($DB$20+1,2)=7,$DG$10=7,$BX$35&lt;&gt;"HOL")
)
),$DC$33,
AND($DG$35=AF4,
OR(
AND(WEEKDAY($DB$20+1,2)=1,$DA$14=1,$BX$23&lt;&gt;"HOL"),
AND(WEEKDAY($DB$20+1,2)=2,$DB$14=2,$BX$25&lt;&gt;"HOL"),
AND(WEEKDAY($DB$20+1,2)=3,$DC$14=3,$BX$27&lt;&gt;"HOL"),
AND(WEEKDAY($DB$20+1,2)=4,$DD$14=4,$BX$29&lt;&gt;"HOL"),
AND(WEEKDAY($DB$20+1,2)=5,$DE$14=5,$BX$31&lt;&gt;"HOL"),
AND(WEEKDAY($DB$20+1,2)=6,$DF$14=6,$BX$33&lt;&gt;"HOL"),
AND(WEEKDAY($DB$20+1,2)=7,$DG$14=7,$BX$35&lt;&gt;"HOL")
)
),$DC$33,
TRUE,""
)
)</f>
        <v>#VALUE!</v>
      </c>
      <c r="AG7" s="2066" t="e" cm="1">
        <f t="array" aca="1" ref="AG7" ca="1">IF(
$C$3="TODAY",
_xlfn.IFS(
AND($DG$24=AH4,
OR(
AND(WEEKDAY($DB$20,2)=1,$CE$10=1,$BX$23&lt;&gt;"HOL"),
AND(WEEKDAY($DB$20,2)=2,$CF$10=2,$BX$25&lt;&gt;"HOL"),
AND(WEEKDAY($DB$20,2)=3,$CG$10=3,$BX$27&lt;&gt;"HOL"),
AND(WEEKDAY($DB$20,2)=4,$CH$10=4,$BX$29&lt;&gt;"HOL"),
AND(WEEKDAY($DB$20,2)=5,$CI$10=5,$BX$31&lt;&gt;"HOL"),
AND(WEEKDAY($DB$20,2)=6,$CJ$10=6,$BX$33&lt;&gt;"HOL"),
AND(WEEKDAY($DB$20,2)=7,$CK$10=7,$BX$35&lt;&gt;"HOL")
)
),$DD$23,
AND($DG$26=AH4,
OR(
AND(WEEKDAY($DB$20,2)=1,$CE$14=1,$BX$23&lt;&gt;"HOL"),
AND(WEEKDAY($DB$20,2)=2,$CF$14=2,$BX$25&lt;&gt;"HOL"),
AND(WEEKDAY($DB$20,2)=3,$CG$14=3,$BX$27&lt;&gt;"HOL"),
AND(WEEKDAY($DB$20,2)=4,$CH$14=4,$BX$29&lt;&gt;"HOL"),
AND(WEEKDAY($DB$20,2)=5,$CI$14=5,$BX$31&lt;&gt;"HOL"),
AND(WEEKDAY($DB$20,2)=6,$CJ$14=6,$BX$33&lt;&gt;"HOL"),
AND(WEEKDAY($DB$20,2)=7,$CK$14=7,$BX$35&lt;&gt;"HOL")
)
),$DD$23,
AND($DG$29=AH4,
OR(
AND(WEEKDAY($DB$20,2)=1,$CP$10=1,$BX$23&lt;&gt;"HOL"),
AND(WEEKDAY($DB$20,2)=2,$CQ$10=2,$BX$25&lt;&gt;"HOL"),
AND(WEEKDAY($DB$20,2)=3,$CR$10=3,$BX$27&lt;&gt;"HOL"),
AND(WEEKDAY($DB$20,2)=4,$CS$10=4,$BX$29&lt;&gt;"HOL"),
AND(WEEKDAY($DB$20,2)=5,$CT$10=5,$BX$31&lt;&gt;"HOL"),
AND(WEEKDAY($DB$20,2)=6,$CU$10=6,$BX$33&lt;&gt;"HOL"),
AND(WEEKDAY($DB$20,2)=7,$CV$10=7,$BX$35&lt;&gt;"HOL")
)
),$DD$28,
AND($DG$31=AH4,
OR(
AND(WEEKDAY($DB$20,2)=1,$CP$14=1,$BX$23&lt;&gt;"HOL"),
AND(WEEKDAY($DB$20,2)=2,$CQ$14=2,$BX$25&lt;&gt;"HOL"),
AND(WEEKDAY($DB$20,2)=3,$CR$14=3,$BX$27&lt;&gt;"HOL"),
AND(WEEKDAY($DB$20,2)=4,$CS$14=4,$BX$29&lt;&gt;"HOL"),
AND(WEEKDAY($DB$20,2)=5,$CT$14=5,$BX$31&lt;&gt;"HOL"),
AND(WEEKDAY($DB$20,2)=6,$CU$14=6,$BX$33&lt;&gt;"HOL"),
AND(WEEKDAY($DB$20,2)=7,$CV$14=7,$BX$35&lt;&gt;"HOL")
)
),$DD$28,
AND($DG$34=AH4,
OR(
AND(WEEKDAY($DB$20,2)=1,$DA$10=1,$BX$23&lt;&gt;"HOL"),
AND(WEEKDAY($DB$20,2)=2,$DB$10=2,$BX$25&lt;&gt;"HOL"),
AND(WEEKDAY($DB$20,2)=3,$DC$10=3,$BX$27&lt;&gt;"HOL"),
AND(WEEKDAY($DB$20,2)=4,$DD$10=4,$BX$29&lt;&gt;"HOL"),
AND(WEEKDAY($DB$20,2)=5,$DE$10=5,$BX$31&lt;&gt;"HOL"),
AND(WEEKDAY($DB$20,2)=6,$DF$10=6,$BX$33&lt;&gt;"HOL"),
AND(WEEKDAY($DB$20,2)=7,$DG$10=7,$BX$35&lt;&gt;"HOL")
)
),$DD$33,
AND($DG$36=AH4,
OR(
AND(WEEKDAY($DB$20,2)=1,$DA$14=1,$BX$23&lt;&gt;"HOL"),
AND(WEEKDAY($DB$20,2)=2,$DB$14=2,$BX$25&lt;&gt;"HOL"),
AND(WEEKDAY($DB$20,2)=3,$DC$14=3,$BX$27&lt;&gt;"HOL"),
AND(WEEKDAY($DB$20,2)=4,$DD$14=4,$BX$29&lt;&gt;"HOL"),
AND(WEEKDAY($DB$20,2)=5,$DE$14=5,$BX$31&lt;&gt;"HOL"),
AND(WEEKDAY($DB$20,2)=6,$DF$14=6,$BX$33&lt;&gt;"HOL"),
AND(WEEKDAY($DB$20,2)=7,$DG$14=7,$BX$35&lt;&gt;"HOL")
)
),$DD$33,
TRUE,""
),
_xlfn.IFS(
AND($DG$24=AH4,
OR(
AND(WEEKDAY($DB$20+1,2)=1,$CE$10=1,$BX$23&lt;&gt;"HOL"),
AND(WEEKDAY($DB$20+1,2)=2,$CF$10=2,$BX$25&lt;&gt;"HOL"),
AND(WEEKDAY($DB$20+1,2)=3,$CG$10=3,$BX$27&lt;&gt;"HOL"),
AND(WEEKDAY($DB$20+1,2)=4,$CH$10=4,$BX$29&lt;&gt;"HOL"),
AND(WEEKDAY($DB$20+1,2)=5,$CI$10=5,$BX$31&lt;&gt;"HOL"),
AND(WEEKDAY($DB$20+1,2)=6,$CJ$10=6,$BX$33&lt;&gt;"HOL"),
AND(WEEKDAY($DB$20+1,2)=7,$CK$10=7,$BX$35&lt;&gt;"HOL")
)
),$DD$23,
AND($DG$26=AH4,
OR(
AND(WEEKDAY($DB$20+1,2)=1,$CE$14=1,$BX$23&lt;&gt;"HOL"),
AND(WEEKDAY($DB$20+1,2)=2,$CF$14=2,$BX$25&lt;&gt;"HOL"),
AND(WEEKDAY($DB$20+1,2)=3,$CG$14=3,$BX$27&lt;&gt;"HOL"),
AND(WEEKDAY($DB$20+1,2)=4,$CH$14=4,$BX$29&lt;&gt;"HOL"),
AND(WEEKDAY($DB$20+1,2)=5,$CI$14=5,$BX$31&lt;&gt;"HOL"),
AND(WEEKDAY($DB$20+1,2)=6,$CJ$14=6,$BX$33&lt;&gt;"HOL"),
AND(WEEKDAY($DB$20+1,2)=7,$CK$14=7,$BX$35&lt;&gt;"HOL")
)
),$DD$23,
AND($DG$29=AH4,
OR(
AND(WEEKDAY($DB$20+1,2)=1,$CP$10=1,$BX$23&lt;&gt;"HOL"),
AND(WEEKDAY($DB$20+1,2)=2,$CQ$10=2,$BX$25&lt;&gt;"HOL"),
AND(WEEKDAY($DB$20+1,2)=3,$CR$10=3,$BX$27&lt;&gt;"HOL"),
AND(WEEKDAY($DB$20+1,2)=4,$CS$10=4,$BX$29&lt;&gt;"HOL"),
AND(WEEKDAY($DB$20+1,2)=5,$CT$10=5,$BX$31&lt;&gt;"HOL"),
AND(WEEKDAY($DB$20+1,2)=6,$CU$10=6,$BX$33&lt;&gt;"HOL"),
AND(WEEKDAY($DB$20+1,2)=7,$CV$10=7,$BX$35&lt;&gt;"HOL")
)
),$DD$28,
AND($DG$31=AH4,
OR(
AND(WEEKDAY($DB$20+1,2)=1,$CP$14=1,$BX$23&lt;&gt;"HOL"),
AND(WEEKDAY($DB$20+1,2)=2,$CQ$14=2,$BX$25&lt;&gt;"HOL"),
AND(WEEKDAY($DB$20+1,2)=3,$CR$14=3,$BX$27&lt;&gt;"HOL"),
AND(WEEKDAY($DB$20+1,2)=4,$CS$14=4,$BX$29&lt;&gt;"HOL"),
AND(WEEKDAY($DB$20+1,2)=5,$CT$14=5,$BX$31&lt;&gt;"HOL"),
AND(WEEKDAY($DB$20+1,2)=6,$CU$14=6,$BX$33&lt;&gt;"HOL"),
AND(WEEKDAY($DB$20+1,2)=7,$CV$14=7,$BX$35&lt;&gt;"HOL")
)
),$DD$28,
AND($DG$34=AH4,
OR(
AND(WEEKDAY($DB$20+1,2)=1,$DA$10=1,$BX$23&lt;&gt;"HOL"),
AND(WEEKDAY($DB$20+1,2)=2,$DB$10=2,$BX$25&lt;&gt;"HOL"),
AND(WEEKDAY($DB$20+1,2)=3,$DC$10=3,$BX$27&lt;&gt;"HOL"),
AND(WEEKDAY($DB$20+1,2)=4,$DD$10=4,$BX$29&lt;&gt;"HOL"),
AND(WEEKDAY($DB$20+1,2)=5,$DE$10=5,$BX$31&lt;&gt;"HOL"),
AND(WEEKDAY($DB$20+1,2)=6,$DF$10=6,$BX$33&lt;&gt;"HOL"),
AND(WEEKDAY($DB$20+1,2)=7,$DG$10=7,$BX$35&lt;&gt;"HOL")
)
),$DD$33,
AND($DG$36=AH4,
OR(
AND(WEEKDAY($DB$20+1,2)=1,$DA$14=1,$BX$23&lt;&gt;"HOL"),
AND(WEEKDAY($DB$20+1,2)=2,$DB$14=2,$BX$25&lt;&gt;"HOL"),
AND(WEEKDAY($DB$20+1,2)=3,$DC$14=3,$BX$27&lt;&gt;"HOL"),
AND(WEEKDAY($DB$20+1,2)=4,$DD$14=4,$BX$29&lt;&gt;"HOL"),
AND(WEEKDAY($DB$20+1,2)=5,$DE$14=5,$BX$31&lt;&gt;"HOL"),
AND(WEEKDAY($DB$20+1,2)=6,$DF$14=6,$BX$33&lt;&gt;"HOL"),
AND(WEEKDAY($DB$20+1,2)=7,$DG$14=7,$BX$35&lt;&gt;"HOL")
)
),$DD$33,
TRUE,""
)
)</f>
        <v>#VALUE!</v>
      </c>
      <c r="AH7" s="1090" t="e" cm="1">
        <f t="array" aca="1" ref="AH7" ca="1">IF(
$C$3="TODAY",
_xlfn.IFS(
AND($DG$23=AH4,
OR(
AND(WEEKDAY($DB$20,2)=1,$CE$10=1,$BX$23&lt;&gt;"HOL"),
AND(WEEKDAY($DB$20,2)=2,$CF$10=2,$BX$25&lt;&gt;"HOL"),
AND(WEEKDAY($DB$20,2)=3,$CG$10=3,$BX$27&lt;&gt;"HOL"),
AND(WEEKDAY($DB$20,2)=4,$CH$10=4,$BX$29&lt;&gt;"HOL"),
AND(WEEKDAY($DB$20,2)=5,$CI$10=5,$BX$31&lt;&gt;"HOL"),
AND(WEEKDAY($DB$20,2)=6,$CJ$10=6,$BX$33&lt;&gt;"HOL"),
AND(WEEKDAY($DB$20,2)=7,$CK$10=7,$BX$35&lt;&gt;"HOL")
)
),$DC$23,
AND($DG$25=AH4,
OR(
AND(WEEKDAY($DB$20,2)=1,$CE$14=1,$BX$23&lt;&gt;"HOL"),
AND(WEEKDAY($DB$20,2)=2,$CF$14=2,$BX$25&lt;&gt;"HOL"),
AND(WEEKDAY($DB$20,2)=3,$CG$14=3,$BX$27&lt;&gt;"HOL"),
AND(WEEKDAY($DB$20,2)=4,$CH$14=4,$BX$29&lt;&gt;"HOL"),
AND(WEEKDAY($DB$20,2)=5,$CI$14=5,$BX$31&lt;&gt;"HOL"),
AND(WEEKDAY($DB$20,2)=6,$CJ$14=6,$BX$33&lt;&gt;"HOL"),
AND(WEEKDAY($DB$20,2)=7,$CK$14=7,$BX$35&lt;&gt;"HOL")
)
),$DC$23,
AND($DG$28=AH4,
OR(
AND(WEEKDAY($DB$20,2)=1,$CP$10=1,$BX$23&lt;&gt;"HOL"),
AND(WEEKDAY($DB$20,2)=2,$CQ$10=2,$BX$25&lt;&gt;"HOL"),
AND(WEEKDAY($DB$20,2)=3,$CR$10=3,$BX$27&lt;&gt;"HOL"),
AND(WEEKDAY($DB$20,2)=4,$CS$10=4,$BX$29&lt;&gt;"HOL"),
AND(WEEKDAY($DB$20,2)=5,$CT$10=5,$BX$31&lt;&gt;"HOL"),
AND(WEEKDAY($DB$20,2)=6,$CU$10=6,$BX$33&lt;&gt;"HOL"),
AND(WEEKDAY($DB$20,2)=7,$CV$10=7,$BX$35&lt;&gt;"HOL")
)
),$DC$28,
AND($DG$30=AH4,
OR(
AND(WEEKDAY($DB$20,2)=1,$CP$14=1,$BX$23&lt;&gt;"HOL"),
AND(WEEKDAY($DB$20,2)=2,$CQ$14=2,$BX$25&lt;&gt;"HOL"),
AND(WEEKDAY($DB$20,2)=3,$CR$14=3,$BX$27&lt;&gt;"HOL"),
AND(WEEKDAY($DB$20,2)=4,$CS$14=4,$BX$29&lt;&gt;"HOL"),
AND(WEEKDAY($DB$20,2)=5,$CT$14=5,$BX$31&lt;&gt;"HOL"),
AND(WEEKDAY($DB$20,2)=6,$CU$14=6,$BX$33&lt;&gt;"HOL"),
AND(WEEKDAY($DB$20,2)=7,$CV$14=7,$BX$35&lt;&gt;"HOL")
)
),$DC$28,
AND($DG$33=AH4,
OR(
AND(WEEKDAY($DB$20,2)=1,$DA$10=1,$BX$23&lt;&gt;"HOL"),
AND(WEEKDAY($DB$20,2)=2,$DB$10=2,$BX$25&lt;&gt;"HOL"),
AND(WEEKDAY($DB$20,2)=3,$DC$10=3,$BX$27&lt;&gt;"HOL"),
AND(WEEKDAY($DB$20,2)=4,$DD$10=4,$BX$29&lt;&gt;"HOL"),
AND(WEEKDAY($DB$20,2)=5,$DE$10=5,$BX$31&lt;&gt;"HOL"),
AND(WEEKDAY($DB$20,2)=6,$DF$10=6,$BX$33&lt;&gt;"HOL"),
AND(WEEKDAY($DB$20,2)=7,$DG$10=7,$BX$35&lt;&gt;"HOL")
)
),$DC$33,
AND($DG$35=AH4,
OR(
AND(WEEKDAY($DB$20,2)=1,$DA$14=1,$BX$23&lt;&gt;"HOL"),
AND(WEEKDAY($DB$20,2)=2,$DB$14=2,$BX$25&lt;&gt;"HOL"),
AND(WEEKDAY($DB$20,2)=3,$DC$14=3,$BX$27&lt;&gt;"HOL"),
AND(WEEKDAY($DB$20,2)=4,$DD$14=4,$BX$29&lt;&gt;"HOL"),
AND(WEEKDAY($DB$20,2)=5,$DE$14=5,$BX$31&lt;&gt;"HOL"),
AND(WEEKDAY($DB$20,2)=6,$DF$14=6,$BX$33&lt;&gt;"HOL"),
AND(WEEKDAY($DB$20,2)=7,$DG$14=7,$BX$35&lt;&gt;"HOL")
)
),$DC$33,
TRUE,""
),
_xlfn.IFS(
AND($DG$23=AH4,
OR(
AND(WEEKDAY($DB$20+1,2)=1,$CE$10=1,$BX$23&lt;&gt;"HOL"),
AND(WEEKDAY($DB$20+1,2)=2,$CF$10=2,$BX$25&lt;&gt;"HOL"),
AND(WEEKDAY($DB$20+1,2)=3,$CG$10=3,$BX$27&lt;&gt;"HOL"),
AND(WEEKDAY($DB$20+1,2)=4,$CH$10=4,$BX$29&lt;&gt;"HOL"),
AND(WEEKDAY($DB$20+1,2)=5,$CI$10=5,$BX$31&lt;&gt;"HOL"),
AND(WEEKDAY($DB$20+1,2)=6,$CJ$10=6,$BX$33&lt;&gt;"HOL"),
AND(WEEKDAY($DB$20+1,2)=7,$CK$10=7,$BX$35&lt;&gt;"HOL")
)
),$DC$23,
AND($DG$25=AH4,
OR(
AND(WEEKDAY($DB$20+1,2)=1,$CE$14=1,$BX$23&lt;&gt;"HOL"),
AND(WEEKDAY($DB$20+1,2)=2,$CF$14=2,$BX$25&lt;&gt;"HOL"),
AND(WEEKDAY($DB$20+1,2)=3,$CG$14=3,$BX$27&lt;&gt;"HOL"),
AND(WEEKDAY($DB$20+1,2)=4,$CH$14=4,$BX$29&lt;&gt;"HOL"),
AND(WEEKDAY($DB$20+1,2)=5,$CI$14=5,$BX$31&lt;&gt;"HOL"),
AND(WEEKDAY($DB$20+1,2)=6,$CJ$14=6,$BX$33&lt;&gt;"HOL"),
AND(WEEKDAY($DB$20+1,2)=7,$CK$14=7,$BX$35&lt;&gt;"HOL")
)
),$DC$23,
AND($DG$28=AH4,
OR(
AND(WEEKDAY($DB$20+1,2)=1,$CP$10=1,$BX$23&lt;&gt;"HOL"),
AND(WEEKDAY($DB$20+1,2)=2,$CQ$10=2,$BX$25&lt;&gt;"HOL"),
AND(WEEKDAY($DB$20+1,2)=3,$CR$10=3,$BX$27&lt;&gt;"HOL"),
AND(WEEKDAY($DB$20+1,2)=4,$CS$10=4,$BX$29&lt;&gt;"HOL"),
AND(WEEKDAY($DB$20+1,2)=5,$CT$10=5,$BX$31&lt;&gt;"HOL"),
AND(WEEKDAY($DB$20+1,2)=6,$CU$10=6,$BX$33&lt;&gt;"HOL"),
AND(WEEKDAY($DB$20+1,2)=7,$CV$10=7,$BX$35&lt;&gt;"HOL")
)
),$DC$28,
AND($DG$30=AH4,
OR(
AND(WEEKDAY($DB$20+1,2)=1,$CP$14=1,$BX$23&lt;&gt;"HOL"),
AND(WEEKDAY($DB$20+1,2)=2,$CQ$14=2,$BX$25&lt;&gt;"HOL"),
AND(WEEKDAY($DB$20+1,2)=3,$CR$14=3,$BX$27&lt;&gt;"HOL"),
AND(WEEKDAY($DB$20+1,2)=4,$CS$14=4,$BX$29&lt;&gt;"HOL"),
AND(WEEKDAY($DB$20+1,2)=5,$CT$14=5,$BX$31&lt;&gt;"HOL"),
AND(WEEKDAY($DB$20+1,2)=6,$CU$14=6,$BX$33&lt;&gt;"HOL"),
AND(WEEKDAY($DB$20+1,2)=7,$CV$14=7,$BX$35&lt;&gt;"HOL")
)
),$DC$28,
AND($DG$33=AH4,
OR(
AND(WEEKDAY($DB$20+1,2)=1,$DA$10=1,$BX$23&lt;&gt;"HOL"),
AND(WEEKDAY($DB$20+1,2)=2,$DB$10=2,$BX$25&lt;&gt;"HOL"),
AND(WEEKDAY($DB$20+1,2)=3,$DC$10=3,$BX$27&lt;&gt;"HOL"),
AND(WEEKDAY($DB$20+1,2)=4,$DD$10=4,$BX$29&lt;&gt;"HOL"),
AND(WEEKDAY($DB$20+1,2)=5,$DE$10=5,$BX$31&lt;&gt;"HOL"),
AND(WEEKDAY($DB$20+1,2)=6,$DF$10=6,$BX$33&lt;&gt;"HOL"),
AND(WEEKDAY($DB$20+1,2)=7,$DG$10=7,$BX$35&lt;&gt;"HOL")
)
),$DC$33,
AND($DG$35=AH4,
OR(
AND(WEEKDAY($DB$20+1,2)=1,$DA$14=1,$BX$23&lt;&gt;"HOL"),
AND(WEEKDAY($DB$20+1,2)=2,$DB$14=2,$BX$25&lt;&gt;"HOL"),
AND(WEEKDAY($DB$20+1,2)=3,$DC$14=3,$BX$27&lt;&gt;"HOL"),
AND(WEEKDAY($DB$20+1,2)=4,$DD$14=4,$BX$29&lt;&gt;"HOL"),
AND(WEEKDAY($DB$20+1,2)=5,$DE$14=5,$BX$31&lt;&gt;"HOL"),
AND(WEEKDAY($DB$20+1,2)=6,$DF$14=6,$BX$33&lt;&gt;"HOL"),
AND(WEEKDAY($DB$20+1,2)=7,$DG$14=7,$BX$35&lt;&gt;"HOL")
)
),$DC$33,
TRUE,""
)
)</f>
        <v>#VALUE!</v>
      </c>
      <c r="AI7" s="2075" t="e" cm="1">
        <f t="array" aca="1" ref="AI7" ca="1">IF(
$C$3="TODAY",
_xlfn.IFS(
AND($DG$24=AJ4,
OR(
AND(WEEKDAY($DB$20,2)=1,$CE$10=1,$BX$23&lt;&gt;"HOL"),
AND(WEEKDAY($DB$20,2)=2,$CF$10=2,$BX$25&lt;&gt;"HOL"),
AND(WEEKDAY($DB$20,2)=3,$CG$10=3,$BX$27&lt;&gt;"HOL"),
AND(WEEKDAY($DB$20,2)=4,$CH$10=4,$BX$29&lt;&gt;"HOL"),
AND(WEEKDAY($DB$20,2)=5,$CI$10=5,$BX$31&lt;&gt;"HOL"),
AND(WEEKDAY($DB$20,2)=6,$CJ$10=6,$BX$33&lt;&gt;"HOL"),
AND(WEEKDAY($DB$20,2)=7,$CK$10=7,$BX$35&lt;&gt;"HOL")
)
),$DD$23,
AND($DG$26=AJ4,
OR(
AND(WEEKDAY($DB$20,2)=1,$CE$14=1,$BX$23&lt;&gt;"HOL"),
AND(WEEKDAY($DB$20,2)=2,$CF$14=2,$BX$25&lt;&gt;"HOL"),
AND(WEEKDAY($DB$20,2)=3,$CG$14=3,$BX$27&lt;&gt;"HOL"),
AND(WEEKDAY($DB$20,2)=4,$CH$14=4,$BX$29&lt;&gt;"HOL"),
AND(WEEKDAY($DB$20,2)=5,$CI$14=5,$BX$31&lt;&gt;"HOL"),
AND(WEEKDAY($DB$20,2)=6,$CJ$14=6,$BX$33&lt;&gt;"HOL"),
AND(WEEKDAY($DB$20,2)=7,$CK$14=7,$BX$35&lt;&gt;"HOL")
)
),$DD$23,
AND($DG$29=AJ4,
OR(
AND(WEEKDAY($DB$20,2)=1,$CP$10=1,$BX$23&lt;&gt;"HOL"),
AND(WEEKDAY($DB$20,2)=2,$CQ$10=2,$BX$25&lt;&gt;"HOL"),
AND(WEEKDAY($DB$20,2)=3,$CR$10=3,$BX$27&lt;&gt;"HOL"),
AND(WEEKDAY($DB$20,2)=4,$CS$10=4,$BX$29&lt;&gt;"HOL"),
AND(WEEKDAY($DB$20,2)=5,$CT$10=5,$BX$31&lt;&gt;"HOL"),
AND(WEEKDAY($DB$20,2)=6,$CU$10=6,$BX$33&lt;&gt;"HOL"),
AND(WEEKDAY($DB$20,2)=7,$CV$10=7,$BX$35&lt;&gt;"HOL")
)
),$DD$28,
AND($DG$31=AJ4,
OR(
AND(WEEKDAY($DB$20,2)=1,$CP$14=1,$BX$23&lt;&gt;"HOL"),
AND(WEEKDAY($DB$20,2)=2,$CQ$14=2,$BX$25&lt;&gt;"HOL"),
AND(WEEKDAY($DB$20,2)=3,$CR$14=3,$BX$27&lt;&gt;"HOL"),
AND(WEEKDAY($DB$20,2)=4,$CS$14=4,$BX$29&lt;&gt;"HOL"),
AND(WEEKDAY($DB$20,2)=5,$CT$14=5,$BX$31&lt;&gt;"HOL"),
AND(WEEKDAY($DB$20,2)=6,$CU$14=6,$BX$33&lt;&gt;"HOL"),
AND(WEEKDAY($DB$20,2)=7,$CV$14=7,$BX$35&lt;&gt;"HOL")
)
),$DD$28,
AND($DG$34=AJ4,
OR(
AND(WEEKDAY($DB$20,2)=1,$DA$10=1,$BX$23&lt;&gt;"HOL"),
AND(WEEKDAY($DB$20,2)=2,$DB$10=2,$BX$25&lt;&gt;"HOL"),
AND(WEEKDAY($DB$20,2)=3,$DC$10=3,$BX$27&lt;&gt;"HOL"),
AND(WEEKDAY($DB$20,2)=4,$DD$10=4,$BX$29&lt;&gt;"HOL"),
AND(WEEKDAY($DB$20,2)=5,$DE$10=5,$BX$31&lt;&gt;"HOL"),
AND(WEEKDAY($DB$20,2)=6,$DF$10=6,$BX$33&lt;&gt;"HOL"),
AND(WEEKDAY($DB$20,2)=7,$DG$10=7,$BX$35&lt;&gt;"HOL")
)
),$DD$33,
AND($DG$36=AJ4,
OR(
AND(WEEKDAY($DB$20,2)=1,$DA$14=1,$BX$23&lt;&gt;"HOL"),
AND(WEEKDAY($DB$20,2)=2,$DB$14=2,$BX$25&lt;&gt;"HOL"),
AND(WEEKDAY($DB$20,2)=3,$DC$14=3,$BX$27&lt;&gt;"HOL"),
AND(WEEKDAY($DB$20,2)=4,$DD$14=4,$BX$29&lt;&gt;"HOL"),
AND(WEEKDAY($DB$20,2)=5,$DE$14=5,$BX$31&lt;&gt;"HOL"),
AND(WEEKDAY($DB$20,2)=6,$DF$14=6,$BX$33&lt;&gt;"HOL"),
AND(WEEKDAY($DB$20,2)=7,$DG$14=7,$BX$35&lt;&gt;"HOL")
)
),$DD$33,
TRUE,""
),
_xlfn.IFS(
AND($DG$24=AJ4,
OR(
AND(WEEKDAY($DB$20+1,2)=1,$CE$10=1,$BX$23&lt;&gt;"HOL"),
AND(WEEKDAY($DB$20+1,2)=2,$CF$10=2,$BX$25&lt;&gt;"HOL"),
AND(WEEKDAY($DB$20+1,2)=3,$CG$10=3,$BX$27&lt;&gt;"HOL"),
AND(WEEKDAY($DB$20+1,2)=4,$CH$10=4,$BX$29&lt;&gt;"HOL"),
AND(WEEKDAY($DB$20+1,2)=5,$CI$10=5,$BX$31&lt;&gt;"HOL"),
AND(WEEKDAY($DB$20+1,2)=6,$CJ$10=6,$BX$33&lt;&gt;"HOL"),
AND(WEEKDAY($DB$20+1,2)=7,$CK$10=7,$BX$35&lt;&gt;"HOL")
)
),$DD$23,
AND($DG$26=AJ4,
OR(
AND(WEEKDAY($DB$20+1,2)=1,$CE$14=1,$BX$23&lt;&gt;"HOL"),
AND(WEEKDAY($DB$20+1,2)=2,$CF$14=2,$BX$25&lt;&gt;"HOL"),
AND(WEEKDAY($DB$20+1,2)=3,$CG$14=3,$BX$27&lt;&gt;"HOL"),
AND(WEEKDAY($DB$20+1,2)=4,$CH$14=4,$BX$29&lt;&gt;"HOL"),
AND(WEEKDAY($DB$20+1,2)=5,$CI$14=5,$BX$31&lt;&gt;"HOL"),
AND(WEEKDAY($DB$20+1,2)=6,$CJ$14=6,$BX$33&lt;&gt;"HOL"),
AND(WEEKDAY($DB$20+1,2)=7,$CK$14=7,$BX$35&lt;&gt;"HOL")
)
),$DD$23,
AND($DG$29=AJ4,
OR(
AND(WEEKDAY($DB$20+1,2)=1,$CP$10=1,$BX$23&lt;&gt;"HOL"),
AND(WEEKDAY($DB$20+1,2)=2,$CQ$10=2,$BX$25&lt;&gt;"HOL"),
AND(WEEKDAY($DB$20+1,2)=3,$CR$10=3,$BX$27&lt;&gt;"HOL"),
AND(WEEKDAY($DB$20+1,2)=4,$CS$10=4,$BX$29&lt;&gt;"HOL"),
AND(WEEKDAY($DB$20+1,2)=5,$CT$10=5,$BX$31&lt;&gt;"HOL"),
AND(WEEKDAY($DB$20+1,2)=6,$CU$10=6,$BX$33&lt;&gt;"HOL"),
AND(WEEKDAY($DB$20+1,2)=7,$CV$10=7,$BX$35&lt;&gt;"HOL")
)
),$DD$28,
AND($DG$31=AJ4,
OR(
AND(WEEKDAY($DB$20+1,2)=1,$CP$14=1,$BX$23&lt;&gt;"HOL"),
AND(WEEKDAY($DB$20+1,2)=2,$CQ$14=2,$BX$25&lt;&gt;"HOL"),
AND(WEEKDAY($DB$20+1,2)=3,$CR$14=3,$BX$27&lt;&gt;"HOL"),
AND(WEEKDAY($DB$20+1,2)=4,$CS$14=4,$BX$29&lt;&gt;"HOL"),
AND(WEEKDAY($DB$20+1,2)=5,$CT$14=5,$BX$31&lt;&gt;"HOL"),
AND(WEEKDAY($DB$20+1,2)=6,$CU$14=6,$BX$33&lt;&gt;"HOL"),
AND(WEEKDAY($DB$20+1,2)=7,$CV$14=7,$BX$35&lt;&gt;"HOL")
)
),$DD$28,
AND($DG$34=AJ4,
OR(
AND(WEEKDAY($DB$20+1,2)=1,$DA$10=1,$BX$23&lt;&gt;"HOL"),
AND(WEEKDAY($DB$20+1,2)=2,$DB$10=2,$BX$25&lt;&gt;"HOL"),
AND(WEEKDAY($DB$20+1,2)=3,$DC$10=3,$BX$27&lt;&gt;"HOL"),
AND(WEEKDAY($DB$20+1,2)=4,$DD$10=4,$BX$29&lt;&gt;"HOL"),
AND(WEEKDAY($DB$20+1,2)=5,$DE$10=5,$BX$31&lt;&gt;"HOL"),
AND(WEEKDAY($DB$20+1,2)=6,$DF$10=6,$BX$33&lt;&gt;"HOL"),
AND(WEEKDAY($DB$20+1,2)=7,$DG$10=7,$BX$35&lt;&gt;"HOL")
)
),$DD$33,
AND($DG$36=AJ4,
OR(
AND(WEEKDAY($DB$20+1,2)=1,$DA$14=1,$BX$23&lt;&gt;"HOL"),
AND(WEEKDAY($DB$20+1,2)=2,$DB$14=2,$BX$25&lt;&gt;"HOL"),
AND(WEEKDAY($DB$20+1,2)=3,$DC$14=3,$BX$27&lt;&gt;"HOL"),
AND(WEEKDAY($DB$20+1,2)=4,$DD$14=4,$BX$29&lt;&gt;"HOL"),
AND(WEEKDAY($DB$20+1,2)=5,$DE$14=5,$BX$31&lt;&gt;"HOL"),
AND(WEEKDAY($DB$20+1,2)=6,$DF$14=6,$BX$33&lt;&gt;"HOL"),
AND(WEEKDAY($DB$20+1,2)=7,$DG$14=7,$BX$35&lt;&gt;"HOL")
)
),$DD$33,
TRUE,""
)
)</f>
        <v>#VALUE!</v>
      </c>
      <c r="AJ7" s="2076" t="e" cm="1">
        <f t="array" aca="1" ref="AJ7" ca="1">IF(
$C$3="TODAY",
_xlfn.IFS(
AND($DG$23=AJ4,
OR(
AND(WEEKDAY($DB$20,2)=1,$CE$10=1,$BX$23&lt;&gt;"HOL"),
AND(WEEKDAY($DB$20,2)=2,$CF$10=2,$BX$25&lt;&gt;"HOL"),
AND(WEEKDAY($DB$20,2)=3,$CG$10=3,$BX$27&lt;&gt;"HOL"),
AND(WEEKDAY($DB$20,2)=4,$CH$10=4,$BX$29&lt;&gt;"HOL"),
AND(WEEKDAY($DB$20,2)=5,$CI$10=5,$BX$31&lt;&gt;"HOL"),
AND(WEEKDAY($DB$20,2)=6,$CJ$10=6,$BX$33&lt;&gt;"HOL"),
AND(WEEKDAY($DB$20,2)=7,$CK$10=7,$BX$35&lt;&gt;"HOL")
)
),$DC$23,
AND($DG$25=AJ4,
OR(
AND(WEEKDAY($DB$20,2)=1,$CE$14=1,$BX$23&lt;&gt;"HOL"),
AND(WEEKDAY($DB$20,2)=2,$CF$14=2,$BX$25&lt;&gt;"HOL"),
AND(WEEKDAY($DB$20,2)=3,$CG$14=3,$BX$27&lt;&gt;"HOL"),
AND(WEEKDAY($DB$20,2)=4,$CH$14=4,$BX$29&lt;&gt;"HOL"),
AND(WEEKDAY($DB$20,2)=5,$CI$14=5,$BX$31&lt;&gt;"HOL"),
AND(WEEKDAY($DB$20,2)=6,$CJ$14=6,$BX$33&lt;&gt;"HOL"),
AND(WEEKDAY($DB$20,2)=7,$CK$14=7,$BX$35&lt;&gt;"HOL")
)
),$DC$23,
AND($DG$28=AJ4,
OR(
AND(WEEKDAY($DB$20,2)=1,$CP$10=1,$BX$23&lt;&gt;"HOL"),
AND(WEEKDAY($DB$20,2)=2,$CQ$10=2,$BX$25&lt;&gt;"HOL"),
AND(WEEKDAY($DB$20,2)=3,$CR$10=3,$BX$27&lt;&gt;"HOL"),
AND(WEEKDAY($DB$20,2)=4,$CS$10=4,$BX$29&lt;&gt;"HOL"),
AND(WEEKDAY($DB$20,2)=5,$CT$10=5,$BX$31&lt;&gt;"HOL"),
AND(WEEKDAY($DB$20,2)=6,$CU$10=6,$BX$33&lt;&gt;"HOL"),
AND(WEEKDAY($DB$20,2)=7,$CV$10=7,$BX$35&lt;&gt;"HOL")
)
),$DC$28,
AND($DG$30=AJ4,
OR(
AND(WEEKDAY($DB$20,2)=1,$CP$14=1,$BX$23&lt;&gt;"HOL"),
AND(WEEKDAY($DB$20,2)=2,$CQ$14=2,$BX$25&lt;&gt;"HOL"),
AND(WEEKDAY($DB$20,2)=3,$CR$14=3,$BX$27&lt;&gt;"HOL"),
AND(WEEKDAY($DB$20,2)=4,$CS$14=4,$BX$29&lt;&gt;"HOL"),
AND(WEEKDAY($DB$20,2)=5,$CT$14=5,$BX$31&lt;&gt;"HOL"),
AND(WEEKDAY($DB$20,2)=6,$CU$14=6,$BX$33&lt;&gt;"HOL"),
AND(WEEKDAY($DB$20,2)=7,$CV$14=7,$BX$35&lt;&gt;"HOL")
)
),$DC$28,
AND($DG$33=AJ4,
OR(
AND(WEEKDAY($DB$20,2)=1,$DA$10=1,$BX$23&lt;&gt;"HOL"),
AND(WEEKDAY($DB$20,2)=2,$DB$10=2,$BX$25&lt;&gt;"HOL"),
AND(WEEKDAY($DB$20,2)=3,$DC$10=3,$BX$27&lt;&gt;"HOL"),
AND(WEEKDAY($DB$20,2)=4,$DD$10=4,$BX$29&lt;&gt;"HOL"),
AND(WEEKDAY($DB$20,2)=5,$DE$10=5,$BX$31&lt;&gt;"HOL"),
AND(WEEKDAY($DB$20,2)=6,$DF$10=6,$BX$33&lt;&gt;"HOL"),
AND(WEEKDAY($DB$20,2)=7,$DG$10=7,$BX$35&lt;&gt;"HOL")
)
),$DC$33,
AND($DG$35=AJ4,
OR(
AND(WEEKDAY($DB$20,2)=1,$DA$14=1,$BX$23&lt;&gt;"HOL"),
AND(WEEKDAY($DB$20,2)=2,$DB$14=2,$BX$25&lt;&gt;"HOL"),
AND(WEEKDAY($DB$20,2)=3,$DC$14=3,$BX$27&lt;&gt;"HOL"),
AND(WEEKDAY($DB$20,2)=4,$DD$14=4,$BX$29&lt;&gt;"HOL"),
AND(WEEKDAY($DB$20,2)=5,$DE$14=5,$BX$31&lt;&gt;"HOL"),
AND(WEEKDAY($DB$20,2)=6,$DF$14=6,$BX$33&lt;&gt;"HOL"),
AND(WEEKDAY($DB$20,2)=7,$DG$14=7,$BX$35&lt;&gt;"HOL")
)
),$DC$33,
TRUE,""
),
_xlfn.IFS(
AND($DG$23=AJ4,
OR(
AND(WEEKDAY($DB$20+1,2)=1,$CE$10=1,$BX$23&lt;&gt;"HOL"),
AND(WEEKDAY($DB$20+1,2)=2,$CF$10=2,$BX$25&lt;&gt;"HOL"),
AND(WEEKDAY($DB$20+1,2)=3,$CG$10=3,$BX$27&lt;&gt;"HOL"),
AND(WEEKDAY($DB$20+1,2)=4,$CH$10=4,$BX$29&lt;&gt;"HOL"),
AND(WEEKDAY($DB$20+1,2)=5,$CI$10=5,$BX$31&lt;&gt;"HOL"),
AND(WEEKDAY($DB$20+1,2)=6,$CJ$10=6,$BX$33&lt;&gt;"HOL"),
AND(WEEKDAY($DB$20+1,2)=7,$CK$10=7,$BX$35&lt;&gt;"HOL")
)
),$DC$23,
AND($DG$25=AJ4,
OR(
AND(WEEKDAY($DB$20+1,2)=1,$CE$14=1,$BX$23&lt;&gt;"HOL"),
AND(WEEKDAY($DB$20+1,2)=2,$CF$14=2,$BX$25&lt;&gt;"HOL"),
AND(WEEKDAY($DB$20+1,2)=3,$CG$14=3,$BX$27&lt;&gt;"HOL"),
AND(WEEKDAY($DB$20+1,2)=4,$CH$14=4,$BX$29&lt;&gt;"HOL"),
AND(WEEKDAY($DB$20+1,2)=5,$CI$14=5,$BX$31&lt;&gt;"HOL"),
AND(WEEKDAY($DB$20+1,2)=6,$CJ$14=6,$BX$33&lt;&gt;"HOL"),
AND(WEEKDAY($DB$20+1,2)=7,$CK$14=7,$BX$35&lt;&gt;"HOL")
)
),$DC$23,
AND($DG$28=AJ4,
OR(
AND(WEEKDAY($DB$20+1,2)=1,$CP$10=1,$BX$23&lt;&gt;"HOL"),
AND(WEEKDAY($DB$20+1,2)=2,$CQ$10=2,$BX$25&lt;&gt;"HOL"),
AND(WEEKDAY($DB$20+1,2)=3,$CR$10=3,$BX$27&lt;&gt;"HOL"),
AND(WEEKDAY($DB$20+1,2)=4,$CS$10=4,$BX$29&lt;&gt;"HOL"),
AND(WEEKDAY($DB$20+1,2)=5,$CT$10=5,$BX$31&lt;&gt;"HOL"),
AND(WEEKDAY($DB$20+1,2)=6,$CU$10=6,$BX$33&lt;&gt;"HOL"),
AND(WEEKDAY($DB$20+1,2)=7,$CV$10=7,$BX$35&lt;&gt;"HOL")
)
),$DC$28,
AND($DG$30=AJ4,
OR(
AND(WEEKDAY($DB$20+1,2)=1,$CP$14=1,$BX$23&lt;&gt;"HOL"),
AND(WEEKDAY($DB$20+1,2)=2,$CQ$14=2,$BX$25&lt;&gt;"HOL"),
AND(WEEKDAY($DB$20+1,2)=3,$CR$14=3,$BX$27&lt;&gt;"HOL"),
AND(WEEKDAY($DB$20+1,2)=4,$CS$14=4,$BX$29&lt;&gt;"HOL"),
AND(WEEKDAY($DB$20+1,2)=5,$CT$14=5,$BX$31&lt;&gt;"HOL"),
AND(WEEKDAY($DB$20+1,2)=6,$CU$14=6,$BX$33&lt;&gt;"HOL"),
AND(WEEKDAY($DB$20+1,2)=7,$CV$14=7,$BX$35&lt;&gt;"HOL")
)
),$DC$28,
AND($DG$33=AJ4,
OR(
AND(WEEKDAY($DB$20+1,2)=1,$DA$10=1,$BX$23&lt;&gt;"HOL"),
AND(WEEKDAY($DB$20+1,2)=2,$DB$10=2,$BX$25&lt;&gt;"HOL"),
AND(WEEKDAY($DB$20+1,2)=3,$DC$10=3,$BX$27&lt;&gt;"HOL"),
AND(WEEKDAY($DB$20+1,2)=4,$DD$10=4,$BX$29&lt;&gt;"HOL"),
AND(WEEKDAY($DB$20+1,2)=5,$DE$10=5,$BX$31&lt;&gt;"HOL"),
AND(WEEKDAY($DB$20+1,2)=6,$DF$10=6,$BX$33&lt;&gt;"HOL"),
AND(WEEKDAY($DB$20+1,2)=7,$DG$10=7,$BX$35&lt;&gt;"HOL")
)
),$DC$33,
AND($DG$35=AJ4,
OR(
AND(WEEKDAY($DB$20+1,2)=1,$DA$14=1,$BX$23&lt;&gt;"HOL"),
AND(WEEKDAY($DB$20+1,2)=2,$DB$14=2,$BX$25&lt;&gt;"HOL"),
AND(WEEKDAY($DB$20+1,2)=3,$DC$14=3,$BX$27&lt;&gt;"HOL"),
AND(WEEKDAY($DB$20+1,2)=4,$DD$14=4,$BX$29&lt;&gt;"HOL"),
AND(WEEKDAY($DB$20+1,2)=5,$DE$14=5,$BX$31&lt;&gt;"HOL"),
AND(WEEKDAY($DB$20+1,2)=6,$DF$14=6,$BX$33&lt;&gt;"HOL"),
AND(WEEKDAY($DB$20+1,2)=7,$DG$14=7,$BX$35&lt;&gt;"HOL")
)
),$DC$33,
TRUE,""
)
)</f>
        <v>#VALUE!</v>
      </c>
      <c r="AK7" s="2066" t="e" cm="1">
        <f t="array" aca="1" ref="AK7" ca="1">IF(
$C$3="TODAY",
_xlfn.IFS(
AND($DG$24=AL4,
OR(
AND(WEEKDAY($DB$20,2)=1,$CE$10=1,$BX$23&lt;&gt;"HOL"),
AND(WEEKDAY($DB$20,2)=2,$CF$10=2,$BX$25&lt;&gt;"HOL"),
AND(WEEKDAY($DB$20,2)=3,$CG$10=3,$BX$27&lt;&gt;"HOL"),
AND(WEEKDAY($DB$20,2)=4,$CH$10=4,$BX$29&lt;&gt;"HOL"),
AND(WEEKDAY($DB$20,2)=5,$CI$10=5,$BX$31&lt;&gt;"HOL"),
AND(WEEKDAY($DB$20,2)=6,$CJ$10=6,$BX$33&lt;&gt;"HOL"),
AND(WEEKDAY($DB$20,2)=7,$CK$10=7,$BX$35&lt;&gt;"HOL")
)
),$DD$23,
AND($DG$26=AL4,
OR(
AND(WEEKDAY($DB$20,2)=1,$CE$14=1,$BX$23&lt;&gt;"HOL"),
AND(WEEKDAY($DB$20,2)=2,$CF$14=2,$BX$25&lt;&gt;"HOL"),
AND(WEEKDAY($DB$20,2)=3,$CG$14=3,$BX$27&lt;&gt;"HOL"),
AND(WEEKDAY($DB$20,2)=4,$CH$14=4,$BX$29&lt;&gt;"HOL"),
AND(WEEKDAY($DB$20,2)=5,$CI$14=5,$BX$31&lt;&gt;"HOL"),
AND(WEEKDAY($DB$20,2)=6,$CJ$14=6,$BX$33&lt;&gt;"HOL"),
AND(WEEKDAY($DB$20,2)=7,$CK$14=7,$BX$35&lt;&gt;"HOL")
)
),$DD$23,
AND($DG$29=AL4,
OR(
AND(WEEKDAY($DB$20,2)=1,$CP$10=1,$BX$23&lt;&gt;"HOL"),
AND(WEEKDAY($DB$20,2)=2,$CQ$10=2,$BX$25&lt;&gt;"HOL"),
AND(WEEKDAY($DB$20,2)=3,$CR$10=3,$BX$27&lt;&gt;"HOL"),
AND(WEEKDAY($DB$20,2)=4,$CS$10=4,$BX$29&lt;&gt;"HOL"),
AND(WEEKDAY($DB$20,2)=5,$CT$10=5,$BX$31&lt;&gt;"HOL"),
AND(WEEKDAY($DB$20,2)=6,$CU$10=6,$BX$33&lt;&gt;"HOL"),
AND(WEEKDAY($DB$20,2)=7,$CV$10=7,$BX$35&lt;&gt;"HOL")
)
),$DD$28,
AND($DG$31=AL4,
OR(
AND(WEEKDAY($DB$20,2)=1,$CP$14=1,$BX$23&lt;&gt;"HOL"),
AND(WEEKDAY($DB$20,2)=2,$CQ$14=2,$BX$25&lt;&gt;"HOL"),
AND(WEEKDAY($DB$20,2)=3,$CR$14=3,$BX$27&lt;&gt;"HOL"),
AND(WEEKDAY($DB$20,2)=4,$CS$14=4,$BX$29&lt;&gt;"HOL"),
AND(WEEKDAY($DB$20,2)=5,$CT$14=5,$BX$31&lt;&gt;"HOL"),
AND(WEEKDAY($DB$20,2)=6,$CU$14=6,$BX$33&lt;&gt;"HOL"),
AND(WEEKDAY($DB$20,2)=7,$CV$14=7,$BX$35&lt;&gt;"HOL")
)
),$DD$28,
AND($DG$34=AL4,
OR(
AND(WEEKDAY($DB$20,2)=1,$DA$10=1,$BX$23&lt;&gt;"HOL"),
AND(WEEKDAY($DB$20,2)=2,$DB$10=2,$BX$25&lt;&gt;"HOL"),
AND(WEEKDAY($DB$20,2)=3,$DC$10=3,$BX$27&lt;&gt;"HOL"),
AND(WEEKDAY($DB$20,2)=4,$DD$10=4,$BX$29&lt;&gt;"HOL"),
AND(WEEKDAY($DB$20,2)=5,$DE$10=5,$BX$31&lt;&gt;"HOL"),
AND(WEEKDAY($DB$20,2)=6,$DF$10=6,$BX$33&lt;&gt;"HOL"),
AND(WEEKDAY($DB$20,2)=7,$DG$10=7,$BX$35&lt;&gt;"HOL")
)
),$DD$33,
AND($DG$36=AL4,
OR(
AND(WEEKDAY($DB$20,2)=1,$DA$14=1,$BX$23&lt;&gt;"HOL"),
AND(WEEKDAY($DB$20,2)=2,$DB$14=2,$BX$25&lt;&gt;"HOL"),
AND(WEEKDAY($DB$20,2)=3,$DC$14=3,$BX$27&lt;&gt;"HOL"),
AND(WEEKDAY($DB$20,2)=4,$DD$14=4,$BX$29&lt;&gt;"HOL"),
AND(WEEKDAY($DB$20,2)=5,$DE$14=5,$BX$31&lt;&gt;"HOL"),
AND(WEEKDAY($DB$20,2)=6,$DF$14=6,$BX$33&lt;&gt;"HOL"),
AND(WEEKDAY($DB$20,2)=7,$DG$14=7,$BX$35&lt;&gt;"HOL")
)
),$DD$33,
TRUE,""
),
_xlfn.IFS(
AND($DG$24=AL4,
OR(
AND(WEEKDAY($DB$20+1,2)=1,$CE$10=1,$BX$23&lt;&gt;"HOL"),
AND(WEEKDAY($DB$20+1,2)=2,$CF$10=2,$BX$25&lt;&gt;"HOL"),
AND(WEEKDAY($DB$20+1,2)=3,$CG$10=3,$BX$27&lt;&gt;"HOL"),
AND(WEEKDAY($DB$20+1,2)=4,$CH$10=4,$BX$29&lt;&gt;"HOL"),
AND(WEEKDAY($DB$20+1,2)=5,$CI$10=5,$BX$31&lt;&gt;"HOL"),
AND(WEEKDAY($DB$20+1,2)=6,$CJ$10=6,$BX$33&lt;&gt;"HOL"),
AND(WEEKDAY($DB$20+1,2)=7,$CK$10=7,$BX$35&lt;&gt;"HOL")
)
),$DD$23,
AND($DG$26=AL4,
OR(
AND(WEEKDAY($DB$20+1,2)=1,$CE$14=1,$BX$23&lt;&gt;"HOL"),
AND(WEEKDAY($DB$20+1,2)=2,$CF$14=2,$BX$25&lt;&gt;"HOL"),
AND(WEEKDAY($DB$20+1,2)=3,$CG$14=3,$BX$27&lt;&gt;"HOL"),
AND(WEEKDAY($DB$20+1,2)=4,$CH$14=4,$BX$29&lt;&gt;"HOL"),
AND(WEEKDAY($DB$20+1,2)=5,$CI$14=5,$BX$31&lt;&gt;"HOL"),
AND(WEEKDAY($DB$20+1,2)=6,$CJ$14=6,$BX$33&lt;&gt;"HOL"),
AND(WEEKDAY($DB$20+1,2)=7,$CK$14=7,$BX$35&lt;&gt;"HOL")
)
),$DD$23,
AND($DG$29=AL4,
OR(
AND(WEEKDAY($DB$20+1,2)=1,$CP$10=1,$BX$23&lt;&gt;"HOL"),
AND(WEEKDAY($DB$20+1,2)=2,$CQ$10=2,$BX$25&lt;&gt;"HOL"),
AND(WEEKDAY($DB$20+1,2)=3,$CR$10=3,$BX$27&lt;&gt;"HOL"),
AND(WEEKDAY($DB$20+1,2)=4,$CS$10=4,$BX$29&lt;&gt;"HOL"),
AND(WEEKDAY($DB$20+1,2)=5,$CT$10=5,$BX$31&lt;&gt;"HOL"),
AND(WEEKDAY($DB$20+1,2)=6,$CU$10=6,$BX$33&lt;&gt;"HOL"),
AND(WEEKDAY($DB$20+1,2)=7,$CV$10=7,$BX$35&lt;&gt;"HOL")
)
),$DD$28,
AND($DG$31=AL4,
OR(
AND(WEEKDAY($DB$20+1,2)=1,$CP$14=1,$BX$23&lt;&gt;"HOL"),
AND(WEEKDAY($DB$20+1,2)=2,$CQ$14=2,$BX$25&lt;&gt;"HOL"),
AND(WEEKDAY($DB$20+1,2)=3,$CR$14=3,$BX$27&lt;&gt;"HOL"),
AND(WEEKDAY($DB$20+1,2)=4,$CS$14=4,$BX$29&lt;&gt;"HOL"),
AND(WEEKDAY($DB$20+1,2)=5,$CT$14=5,$BX$31&lt;&gt;"HOL"),
AND(WEEKDAY($DB$20+1,2)=6,$CU$14=6,$BX$33&lt;&gt;"HOL"),
AND(WEEKDAY($DB$20+1,2)=7,$CV$14=7,$BX$35&lt;&gt;"HOL")
)
),$DD$28,
AND($DG$34=AL4,
OR(
AND(WEEKDAY($DB$20+1,2)=1,$DA$10=1,$BX$23&lt;&gt;"HOL"),
AND(WEEKDAY($DB$20+1,2)=2,$DB$10=2,$BX$25&lt;&gt;"HOL"),
AND(WEEKDAY($DB$20+1,2)=3,$DC$10=3,$BX$27&lt;&gt;"HOL"),
AND(WEEKDAY($DB$20+1,2)=4,$DD$10=4,$BX$29&lt;&gt;"HOL"),
AND(WEEKDAY($DB$20+1,2)=5,$DE$10=5,$BX$31&lt;&gt;"HOL"),
AND(WEEKDAY($DB$20+1,2)=6,$DF$10=6,$BX$33&lt;&gt;"HOL"),
AND(WEEKDAY($DB$20+1,2)=7,$DG$10=7,$BX$35&lt;&gt;"HOL")
)
),$DD$33,
AND($DG$36=AL4,
OR(
AND(WEEKDAY($DB$20+1,2)=1,$DA$14=1,$BX$23&lt;&gt;"HOL"),
AND(WEEKDAY($DB$20+1,2)=2,$DB$14=2,$BX$25&lt;&gt;"HOL"),
AND(WEEKDAY($DB$20+1,2)=3,$DC$14=3,$BX$27&lt;&gt;"HOL"),
AND(WEEKDAY($DB$20+1,2)=4,$DD$14=4,$BX$29&lt;&gt;"HOL"),
AND(WEEKDAY($DB$20+1,2)=5,$DE$14=5,$BX$31&lt;&gt;"HOL"),
AND(WEEKDAY($DB$20+1,2)=6,$DF$14=6,$BX$33&lt;&gt;"HOL"),
AND(WEEKDAY($DB$20+1,2)=7,$DG$14=7,$BX$35&lt;&gt;"HOL")
)
),$DD$33,
TRUE,""
)
)</f>
        <v>#VALUE!</v>
      </c>
      <c r="AL7" s="1090" t="e" cm="1">
        <f t="array" aca="1" ref="AL7" ca="1">IF(
$C$3="TODAY",
_xlfn.IFS(
AND($DG$23=AL4,
OR(
AND(WEEKDAY($DB$20,2)=1,$CE$10=1,$BX$23&lt;&gt;"HOL"),
AND(WEEKDAY($DB$20,2)=2,$CF$10=2,$BX$25&lt;&gt;"HOL"),
AND(WEEKDAY($DB$20,2)=3,$CG$10=3,$BX$27&lt;&gt;"HOL"),
AND(WEEKDAY($DB$20,2)=4,$CH$10=4,$BX$29&lt;&gt;"HOL"),
AND(WEEKDAY($DB$20,2)=5,$CI$10=5,$BX$31&lt;&gt;"HOL"),
AND(WEEKDAY($DB$20,2)=6,$CJ$10=6,$BX$33&lt;&gt;"HOL"),
AND(WEEKDAY($DB$20,2)=7,$CK$10=7,$BX$35&lt;&gt;"HOL")
)
),$DC$23,
AND($DG$25=AL4,
OR(
AND(WEEKDAY($DB$20,2)=1,$CE$14=1,$BX$23&lt;&gt;"HOL"),
AND(WEEKDAY($DB$20,2)=2,$CF$14=2,$BX$25&lt;&gt;"HOL"),
AND(WEEKDAY($DB$20,2)=3,$CG$14=3,$BX$27&lt;&gt;"HOL"),
AND(WEEKDAY($DB$20,2)=4,$CH$14=4,$BX$29&lt;&gt;"HOL"),
AND(WEEKDAY($DB$20,2)=5,$CI$14=5,$BX$31&lt;&gt;"HOL"),
AND(WEEKDAY($DB$20,2)=6,$CJ$14=6,$BX$33&lt;&gt;"HOL"),
AND(WEEKDAY($DB$20,2)=7,$CK$14=7,$BX$35&lt;&gt;"HOL")
)
),$DC$23,
AND($DG$28=AL4,
OR(
AND(WEEKDAY($DB$20,2)=1,$CP$10=1,$BX$23&lt;&gt;"HOL"),
AND(WEEKDAY($DB$20,2)=2,$CQ$10=2,$BX$25&lt;&gt;"HOL"),
AND(WEEKDAY($DB$20,2)=3,$CR$10=3,$BX$27&lt;&gt;"HOL"),
AND(WEEKDAY($DB$20,2)=4,$CS$10=4,$BX$29&lt;&gt;"HOL"),
AND(WEEKDAY($DB$20,2)=5,$CT$10=5,$BX$31&lt;&gt;"HOL"),
AND(WEEKDAY($DB$20,2)=6,$CU$10=6,$BX$33&lt;&gt;"HOL"),
AND(WEEKDAY($DB$20,2)=7,$CV$10=7,$BX$35&lt;&gt;"HOL")
)
),$DC$28,
AND($DG$30=AL4,
OR(
AND(WEEKDAY($DB$20,2)=1,$CP$14=1,$BX$23&lt;&gt;"HOL"),
AND(WEEKDAY($DB$20,2)=2,$CQ$14=2,$BX$25&lt;&gt;"HOL"),
AND(WEEKDAY($DB$20,2)=3,$CR$14=3,$BX$27&lt;&gt;"HOL"),
AND(WEEKDAY($DB$20,2)=4,$CS$14=4,$BX$29&lt;&gt;"HOL"),
AND(WEEKDAY($DB$20,2)=5,$CT$14=5,$BX$31&lt;&gt;"HOL"),
AND(WEEKDAY($DB$20,2)=6,$CU$14=6,$BX$33&lt;&gt;"HOL"),
AND(WEEKDAY($DB$20,2)=7,$CV$14=7,$BX$35&lt;&gt;"HOL")
)
),$DC$28,
AND($DG$33=AL4,
OR(
AND(WEEKDAY($DB$20,2)=1,$DA$10=1,$BX$23&lt;&gt;"HOL"),
AND(WEEKDAY($DB$20,2)=2,$DB$10=2,$BX$25&lt;&gt;"HOL"),
AND(WEEKDAY($DB$20,2)=3,$DC$10=3,$BX$27&lt;&gt;"HOL"),
AND(WEEKDAY($DB$20,2)=4,$DD$10=4,$BX$29&lt;&gt;"HOL"),
AND(WEEKDAY($DB$20,2)=5,$DE$10=5,$BX$31&lt;&gt;"HOL"),
AND(WEEKDAY($DB$20,2)=6,$DF$10=6,$BX$33&lt;&gt;"HOL"),
AND(WEEKDAY($DB$20,2)=7,$DG$10=7,$BX$35&lt;&gt;"HOL")
)
),$DC$33,
AND($DG$35=AL4,
OR(
AND(WEEKDAY($DB$20,2)=1,$DA$14=1,$BX$23&lt;&gt;"HOL"),
AND(WEEKDAY($DB$20,2)=2,$DB$14=2,$BX$25&lt;&gt;"HOL"),
AND(WEEKDAY($DB$20,2)=3,$DC$14=3,$BX$27&lt;&gt;"HOL"),
AND(WEEKDAY($DB$20,2)=4,$DD$14=4,$BX$29&lt;&gt;"HOL"),
AND(WEEKDAY($DB$20,2)=5,$DE$14=5,$BX$31&lt;&gt;"HOL"),
AND(WEEKDAY($DB$20,2)=6,$DF$14=6,$BX$33&lt;&gt;"HOL"),
AND(WEEKDAY($DB$20,2)=7,$DG$14=7,$BX$35&lt;&gt;"HOL")
)
),$DC$33,
TRUE,""
),
_xlfn.IFS(
AND($DG$23=AL4,
OR(
AND(WEEKDAY($DB$20+1,2)=1,$CE$10=1,$BX$23&lt;&gt;"HOL"),
AND(WEEKDAY($DB$20+1,2)=2,$CF$10=2,$BX$25&lt;&gt;"HOL"),
AND(WEEKDAY($DB$20+1,2)=3,$CG$10=3,$BX$27&lt;&gt;"HOL"),
AND(WEEKDAY($DB$20+1,2)=4,$CH$10=4,$BX$29&lt;&gt;"HOL"),
AND(WEEKDAY($DB$20+1,2)=5,$CI$10=5,$BX$31&lt;&gt;"HOL"),
AND(WEEKDAY($DB$20+1,2)=6,$CJ$10=6,$BX$33&lt;&gt;"HOL"),
AND(WEEKDAY($DB$20+1,2)=7,$CK$10=7,$BX$35&lt;&gt;"HOL")
)
),$DC$23,
AND($DG$25=AL4,
OR(
AND(WEEKDAY($DB$20+1,2)=1,$CE$14=1,$BX$23&lt;&gt;"HOL"),
AND(WEEKDAY($DB$20+1,2)=2,$CF$14=2,$BX$25&lt;&gt;"HOL"),
AND(WEEKDAY($DB$20+1,2)=3,$CG$14=3,$BX$27&lt;&gt;"HOL"),
AND(WEEKDAY($DB$20+1,2)=4,$CH$14=4,$BX$29&lt;&gt;"HOL"),
AND(WEEKDAY($DB$20+1,2)=5,$CI$14=5,$BX$31&lt;&gt;"HOL"),
AND(WEEKDAY($DB$20+1,2)=6,$CJ$14=6,$BX$33&lt;&gt;"HOL"),
AND(WEEKDAY($DB$20+1,2)=7,$CK$14=7,$BX$35&lt;&gt;"HOL")
)
),$DC$23,
AND($DG$28=AL4,
OR(
AND(WEEKDAY($DB$20+1,2)=1,$CP$10=1,$BX$23&lt;&gt;"HOL"),
AND(WEEKDAY($DB$20+1,2)=2,$CQ$10=2,$BX$25&lt;&gt;"HOL"),
AND(WEEKDAY($DB$20+1,2)=3,$CR$10=3,$BX$27&lt;&gt;"HOL"),
AND(WEEKDAY($DB$20+1,2)=4,$CS$10=4,$BX$29&lt;&gt;"HOL"),
AND(WEEKDAY($DB$20+1,2)=5,$CT$10=5,$BX$31&lt;&gt;"HOL"),
AND(WEEKDAY($DB$20+1,2)=6,$CU$10=6,$BX$33&lt;&gt;"HOL"),
AND(WEEKDAY($DB$20+1,2)=7,$CV$10=7,$BX$35&lt;&gt;"HOL")
)
),$DC$28,
AND($DG$30=AL4,
OR(
AND(WEEKDAY($DB$20+1,2)=1,$CP$14=1,$BX$23&lt;&gt;"HOL"),
AND(WEEKDAY($DB$20+1,2)=2,$CQ$14=2,$BX$25&lt;&gt;"HOL"),
AND(WEEKDAY($DB$20+1,2)=3,$CR$14=3,$BX$27&lt;&gt;"HOL"),
AND(WEEKDAY($DB$20+1,2)=4,$CS$14=4,$BX$29&lt;&gt;"HOL"),
AND(WEEKDAY($DB$20+1,2)=5,$CT$14=5,$BX$31&lt;&gt;"HOL"),
AND(WEEKDAY($DB$20+1,2)=6,$CU$14=6,$BX$33&lt;&gt;"HOL"),
AND(WEEKDAY($DB$20+1,2)=7,$CV$14=7,$BX$35&lt;&gt;"HOL")
)
),$DC$28,
AND($DG$33=AL4,
OR(
AND(WEEKDAY($DB$20+1,2)=1,$DA$10=1,$BX$23&lt;&gt;"HOL"),
AND(WEEKDAY($DB$20+1,2)=2,$DB$10=2,$BX$25&lt;&gt;"HOL"),
AND(WEEKDAY($DB$20+1,2)=3,$DC$10=3,$BX$27&lt;&gt;"HOL"),
AND(WEEKDAY($DB$20+1,2)=4,$DD$10=4,$BX$29&lt;&gt;"HOL"),
AND(WEEKDAY($DB$20+1,2)=5,$DE$10=5,$BX$31&lt;&gt;"HOL"),
AND(WEEKDAY($DB$20+1,2)=6,$DF$10=6,$BX$33&lt;&gt;"HOL"),
AND(WEEKDAY($DB$20+1,2)=7,$DG$10=7,$BX$35&lt;&gt;"HOL")
)
),$DC$33,
AND($DG$35=AL4,
OR(
AND(WEEKDAY($DB$20+1,2)=1,$DA$14=1,$BX$23&lt;&gt;"HOL"),
AND(WEEKDAY($DB$20+1,2)=2,$DB$14=2,$BX$25&lt;&gt;"HOL"),
AND(WEEKDAY($DB$20+1,2)=3,$DC$14=3,$BX$27&lt;&gt;"HOL"),
AND(WEEKDAY($DB$20+1,2)=4,$DD$14=4,$BX$29&lt;&gt;"HOL"),
AND(WEEKDAY($DB$20+1,2)=5,$DE$14=5,$BX$31&lt;&gt;"HOL"),
AND(WEEKDAY($DB$20+1,2)=6,$DF$14=6,$BX$33&lt;&gt;"HOL"),
AND(WEEKDAY($DB$20+1,2)=7,$DG$14=7,$BX$35&lt;&gt;"HOL")
)
),$DC$33,
TRUE,""
)
)</f>
        <v>#VALUE!</v>
      </c>
      <c r="AM7" s="2075" t="e" cm="1">
        <f t="array" aca="1" ref="AM7" ca="1">IF(
$C$3="TODAY",
_xlfn.IFS(
AND($DG$24=AN4,
OR(
AND(WEEKDAY($DB$20,2)=1,$CE$10=1,$BX$23&lt;&gt;"HOL"),
AND(WEEKDAY($DB$20,2)=2,$CF$10=2,$BX$25&lt;&gt;"HOL"),
AND(WEEKDAY($DB$20,2)=3,$CG$10=3,$BX$27&lt;&gt;"HOL"),
AND(WEEKDAY($DB$20,2)=4,$CH$10=4,$BX$29&lt;&gt;"HOL"),
AND(WEEKDAY($DB$20,2)=5,$CI$10=5,$BX$31&lt;&gt;"HOL"),
AND(WEEKDAY($DB$20,2)=6,$CJ$10=6,$BX$33&lt;&gt;"HOL"),
AND(WEEKDAY($DB$20,2)=7,$CK$10=7,$BX$35&lt;&gt;"HOL")
)
),$DD$23,
AND($DG$26=AN4,
OR(
AND(WEEKDAY($DB$20,2)=1,$CE$14=1,$BX$23&lt;&gt;"HOL"),
AND(WEEKDAY($DB$20,2)=2,$CF$14=2,$BX$25&lt;&gt;"HOL"),
AND(WEEKDAY($DB$20,2)=3,$CG$14=3,$BX$27&lt;&gt;"HOL"),
AND(WEEKDAY($DB$20,2)=4,$CH$14=4,$BX$29&lt;&gt;"HOL"),
AND(WEEKDAY($DB$20,2)=5,$CI$14=5,$BX$31&lt;&gt;"HOL"),
AND(WEEKDAY($DB$20,2)=6,$CJ$14=6,$BX$33&lt;&gt;"HOL"),
AND(WEEKDAY($DB$20,2)=7,$CK$14=7,$BX$35&lt;&gt;"HOL")
)
),$DD$23,
AND($DG$29=AN4,
OR(
AND(WEEKDAY($DB$20,2)=1,$CP$10=1,$BX$23&lt;&gt;"HOL"),
AND(WEEKDAY($DB$20,2)=2,$CQ$10=2,$BX$25&lt;&gt;"HOL"),
AND(WEEKDAY($DB$20,2)=3,$CR$10=3,$BX$27&lt;&gt;"HOL"),
AND(WEEKDAY($DB$20,2)=4,$CS$10=4,$BX$29&lt;&gt;"HOL"),
AND(WEEKDAY($DB$20,2)=5,$CT$10=5,$BX$31&lt;&gt;"HOL"),
AND(WEEKDAY($DB$20,2)=6,$CU$10=6,$BX$33&lt;&gt;"HOL"),
AND(WEEKDAY($DB$20,2)=7,$CV$10=7,$BX$35&lt;&gt;"HOL")
)
),$DD$28,
AND($DG$31=AN4,
OR(
AND(WEEKDAY($DB$20,2)=1,$CP$14=1,$BX$23&lt;&gt;"HOL"),
AND(WEEKDAY($DB$20,2)=2,$CQ$14=2,$BX$25&lt;&gt;"HOL"),
AND(WEEKDAY($DB$20,2)=3,$CR$14=3,$BX$27&lt;&gt;"HOL"),
AND(WEEKDAY($DB$20,2)=4,$CS$14=4,$BX$29&lt;&gt;"HOL"),
AND(WEEKDAY($DB$20,2)=5,$CT$14=5,$BX$31&lt;&gt;"HOL"),
AND(WEEKDAY($DB$20,2)=6,$CU$14=6,$BX$33&lt;&gt;"HOL"),
AND(WEEKDAY($DB$20,2)=7,$CV$14=7,$BX$35&lt;&gt;"HOL")
)
),$DD$28,
AND($DG$34=AN4,
OR(
AND(WEEKDAY($DB$20,2)=1,$DA$10=1,$BX$23&lt;&gt;"HOL"),
AND(WEEKDAY($DB$20,2)=2,$DB$10=2,$BX$25&lt;&gt;"HOL"),
AND(WEEKDAY($DB$20,2)=3,$DC$10=3,$BX$27&lt;&gt;"HOL"),
AND(WEEKDAY($DB$20,2)=4,$DD$10=4,$BX$29&lt;&gt;"HOL"),
AND(WEEKDAY($DB$20,2)=5,$DE$10=5,$BX$31&lt;&gt;"HOL"),
AND(WEEKDAY($DB$20,2)=6,$DF$10=6,$BX$33&lt;&gt;"HOL"),
AND(WEEKDAY($DB$20,2)=7,$DG$10=7,$BX$35&lt;&gt;"HOL")
)
),$DD$33,
AND($DG$36=AN4,
OR(
AND(WEEKDAY($DB$20,2)=1,$DA$14=1,$BX$23&lt;&gt;"HOL"),
AND(WEEKDAY($DB$20,2)=2,$DB$14=2,$BX$25&lt;&gt;"HOL"),
AND(WEEKDAY($DB$20,2)=3,$DC$14=3,$BX$27&lt;&gt;"HOL"),
AND(WEEKDAY($DB$20,2)=4,$DD$14=4,$BX$29&lt;&gt;"HOL"),
AND(WEEKDAY($DB$20,2)=5,$DE$14=5,$BX$31&lt;&gt;"HOL"),
AND(WEEKDAY($DB$20,2)=6,$DF$14=6,$BX$33&lt;&gt;"HOL"),
AND(WEEKDAY($DB$20,2)=7,$DG$14=7,$BX$35&lt;&gt;"HOL")
)
),$DD$33,
TRUE,""
),
_xlfn.IFS(
AND($DG$24=AN4,
OR(
AND(WEEKDAY($DB$20+1,2)=1,$CE$10=1,$BX$23&lt;&gt;"HOL"),
AND(WEEKDAY($DB$20+1,2)=2,$CF$10=2,$BX$25&lt;&gt;"HOL"),
AND(WEEKDAY($DB$20+1,2)=3,$CG$10=3,$BX$27&lt;&gt;"HOL"),
AND(WEEKDAY($DB$20+1,2)=4,$CH$10=4,$BX$29&lt;&gt;"HOL"),
AND(WEEKDAY($DB$20+1,2)=5,$CI$10=5,$BX$31&lt;&gt;"HOL"),
AND(WEEKDAY($DB$20+1,2)=6,$CJ$10=6,$BX$33&lt;&gt;"HOL"),
AND(WEEKDAY($DB$20+1,2)=7,$CK$10=7,$BX$35&lt;&gt;"HOL")
)
),$DD$23,
AND($DG$26=AN4,
OR(
AND(WEEKDAY($DB$20+1,2)=1,$CE$14=1,$BX$23&lt;&gt;"HOL"),
AND(WEEKDAY($DB$20+1,2)=2,$CF$14=2,$BX$25&lt;&gt;"HOL"),
AND(WEEKDAY($DB$20+1,2)=3,$CG$14=3,$BX$27&lt;&gt;"HOL"),
AND(WEEKDAY($DB$20+1,2)=4,$CH$14=4,$BX$29&lt;&gt;"HOL"),
AND(WEEKDAY($DB$20+1,2)=5,$CI$14=5,$BX$31&lt;&gt;"HOL"),
AND(WEEKDAY($DB$20+1,2)=6,$CJ$14=6,$BX$33&lt;&gt;"HOL"),
AND(WEEKDAY($DB$20+1,2)=7,$CK$14=7,$BX$35&lt;&gt;"HOL")
)
),$DD$23,
AND($DG$29=AN4,
OR(
AND(WEEKDAY($DB$20+1,2)=1,$CP$10=1,$BX$23&lt;&gt;"HOL"),
AND(WEEKDAY($DB$20+1,2)=2,$CQ$10=2,$BX$25&lt;&gt;"HOL"),
AND(WEEKDAY($DB$20+1,2)=3,$CR$10=3,$BX$27&lt;&gt;"HOL"),
AND(WEEKDAY($DB$20+1,2)=4,$CS$10=4,$BX$29&lt;&gt;"HOL"),
AND(WEEKDAY($DB$20+1,2)=5,$CT$10=5,$BX$31&lt;&gt;"HOL"),
AND(WEEKDAY($DB$20+1,2)=6,$CU$10=6,$BX$33&lt;&gt;"HOL"),
AND(WEEKDAY($DB$20+1,2)=7,$CV$10=7,$BX$35&lt;&gt;"HOL")
)
),$DD$28,
AND($DG$31=AN4,
OR(
AND(WEEKDAY($DB$20+1,2)=1,$CP$14=1,$BX$23&lt;&gt;"HOL"),
AND(WEEKDAY($DB$20+1,2)=2,$CQ$14=2,$BX$25&lt;&gt;"HOL"),
AND(WEEKDAY($DB$20+1,2)=3,$CR$14=3,$BX$27&lt;&gt;"HOL"),
AND(WEEKDAY($DB$20+1,2)=4,$CS$14=4,$BX$29&lt;&gt;"HOL"),
AND(WEEKDAY($DB$20+1,2)=5,$CT$14=5,$BX$31&lt;&gt;"HOL"),
AND(WEEKDAY($DB$20+1,2)=6,$CU$14=6,$BX$33&lt;&gt;"HOL"),
AND(WEEKDAY($DB$20+1,2)=7,$CV$14=7,$BX$35&lt;&gt;"HOL")
)
),$DD$28,
AND($DG$34=AN4,
OR(
AND(WEEKDAY($DB$20+1,2)=1,$DA$10=1,$BX$23&lt;&gt;"HOL"),
AND(WEEKDAY($DB$20+1,2)=2,$DB$10=2,$BX$25&lt;&gt;"HOL"),
AND(WEEKDAY($DB$20+1,2)=3,$DC$10=3,$BX$27&lt;&gt;"HOL"),
AND(WEEKDAY($DB$20+1,2)=4,$DD$10=4,$BX$29&lt;&gt;"HOL"),
AND(WEEKDAY($DB$20+1,2)=5,$DE$10=5,$BX$31&lt;&gt;"HOL"),
AND(WEEKDAY($DB$20+1,2)=6,$DF$10=6,$BX$33&lt;&gt;"HOL"),
AND(WEEKDAY($DB$20+1,2)=7,$DG$10=7,$BX$35&lt;&gt;"HOL")
)
),$DD$33,
AND($DG$36=AN4,
OR(
AND(WEEKDAY($DB$20+1,2)=1,$DA$14=1,$BX$23&lt;&gt;"HOL"),
AND(WEEKDAY($DB$20+1,2)=2,$DB$14=2,$BX$25&lt;&gt;"HOL"),
AND(WEEKDAY($DB$20+1,2)=3,$DC$14=3,$BX$27&lt;&gt;"HOL"),
AND(WEEKDAY($DB$20+1,2)=4,$DD$14=4,$BX$29&lt;&gt;"HOL"),
AND(WEEKDAY($DB$20+1,2)=5,$DE$14=5,$BX$31&lt;&gt;"HOL"),
AND(WEEKDAY($DB$20+1,2)=6,$DF$14=6,$BX$33&lt;&gt;"HOL"),
AND(WEEKDAY($DB$20+1,2)=7,$DG$14=7,$BX$35&lt;&gt;"HOL")
)
),$DD$33,
TRUE,""
)
)</f>
        <v>#VALUE!</v>
      </c>
      <c r="AN7" s="2076" t="e" cm="1">
        <f t="array" aca="1" ref="AN7" ca="1">IF(
$C$3="TODAY",
_xlfn.IFS(
AND($DG$23=AN4,
OR(
AND(WEEKDAY($DB$20,2)=1,$CE$10=1,$BX$23&lt;&gt;"HOL"),
AND(WEEKDAY($DB$20,2)=2,$CF$10=2,$BX$25&lt;&gt;"HOL"),
AND(WEEKDAY($DB$20,2)=3,$CG$10=3,$BX$27&lt;&gt;"HOL"),
AND(WEEKDAY($DB$20,2)=4,$CH$10=4,$BX$29&lt;&gt;"HOL"),
AND(WEEKDAY($DB$20,2)=5,$CI$10=5,$BX$31&lt;&gt;"HOL"),
AND(WEEKDAY($DB$20,2)=6,$CJ$10=6,$BX$33&lt;&gt;"HOL"),
AND(WEEKDAY($DB$20,2)=7,$CK$10=7,$BX$35&lt;&gt;"HOL")
)
),$DC$23,
AND($DG$25=AN4,
OR(
AND(WEEKDAY($DB$20,2)=1,$CE$14=1,$BX$23&lt;&gt;"HOL"),
AND(WEEKDAY($DB$20,2)=2,$CF$14=2,$BX$25&lt;&gt;"HOL"),
AND(WEEKDAY($DB$20,2)=3,$CG$14=3,$BX$27&lt;&gt;"HOL"),
AND(WEEKDAY($DB$20,2)=4,$CH$14=4,$BX$29&lt;&gt;"HOL"),
AND(WEEKDAY($DB$20,2)=5,$CI$14=5,$BX$31&lt;&gt;"HOL"),
AND(WEEKDAY($DB$20,2)=6,$CJ$14=6,$BX$33&lt;&gt;"HOL"),
AND(WEEKDAY($DB$20,2)=7,$CK$14=7,$BX$35&lt;&gt;"HOL")
)
),$DC$23,
AND($DG$28=AN4,
OR(
AND(WEEKDAY($DB$20,2)=1,$CP$10=1,$BX$23&lt;&gt;"HOL"),
AND(WEEKDAY($DB$20,2)=2,$CQ$10=2,$BX$25&lt;&gt;"HOL"),
AND(WEEKDAY($DB$20,2)=3,$CR$10=3,$BX$27&lt;&gt;"HOL"),
AND(WEEKDAY($DB$20,2)=4,$CS$10=4,$BX$29&lt;&gt;"HOL"),
AND(WEEKDAY($DB$20,2)=5,$CT$10=5,$BX$31&lt;&gt;"HOL"),
AND(WEEKDAY($DB$20,2)=6,$CU$10=6,$BX$33&lt;&gt;"HOL"),
AND(WEEKDAY($DB$20,2)=7,$CV$10=7,$BX$35&lt;&gt;"HOL")
)
),$DC$28,
AND($DG$30=AN4,
OR(
AND(WEEKDAY($DB$20,2)=1,$CP$14=1,$BX$23&lt;&gt;"HOL"),
AND(WEEKDAY($DB$20,2)=2,$CQ$14=2,$BX$25&lt;&gt;"HOL"),
AND(WEEKDAY($DB$20,2)=3,$CR$14=3,$BX$27&lt;&gt;"HOL"),
AND(WEEKDAY($DB$20,2)=4,$CS$14=4,$BX$29&lt;&gt;"HOL"),
AND(WEEKDAY($DB$20,2)=5,$CT$14=5,$BX$31&lt;&gt;"HOL"),
AND(WEEKDAY($DB$20,2)=6,$CU$14=6,$BX$33&lt;&gt;"HOL"),
AND(WEEKDAY($DB$20,2)=7,$CV$14=7,$BX$35&lt;&gt;"HOL")
)
),$DC$28,
AND($DG$33=AN4,
OR(
AND(WEEKDAY($DB$20,2)=1,$DA$10=1,$BX$23&lt;&gt;"HOL"),
AND(WEEKDAY($DB$20,2)=2,$DB$10=2,$BX$25&lt;&gt;"HOL"),
AND(WEEKDAY($DB$20,2)=3,$DC$10=3,$BX$27&lt;&gt;"HOL"),
AND(WEEKDAY($DB$20,2)=4,$DD$10=4,$BX$29&lt;&gt;"HOL"),
AND(WEEKDAY($DB$20,2)=5,$DE$10=5,$BX$31&lt;&gt;"HOL"),
AND(WEEKDAY($DB$20,2)=6,$DF$10=6,$BX$33&lt;&gt;"HOL"),
AND(WEEKDAY($DB$20,2)=7,$DG$10=7,$BX$35&lt;&gt;"HOL")
)
),$DC$33,
AND($DG$35=AN4,
OR(
AND(WEEKDAY($DB$20,2)=1,$DA$14=1,$BX$23&lt;&gt;"HOL"),
AND(WEEKDAY($DB$20,2)=2,$DB$14=2,$BX$25&lt;&gt;"HOL"),
AND(WEEKDAY($DB$20,2)=3,$DC$14=3,$BX$27&lt;&gt;"HOL"),
AND(WEEKDAY($DB$20,2)=4,$DD$14=4,$BX$29&lt;&gt;"HOL"),
AND(WEEKDAY($DB$20,2)=5,$DE$14=5,$BX$31&lt;&gt;"HOL"),
AND(WEEKDAY($DB$20,2)=6,$DF$14=6,$BX$33&lt;&gt;"HOL"),
AND(WEEKDAY($DB$20,2)=7,$DG$14=7,$BX$35&lt;&gt;"HOL")
)
),$DC$33,
TRUE,""
),
_xlfn.IFS(
AND($DG$23=AN4,
OR(
AND(WEEKDAY($DB$20+1,2)=1,$CE$10=1,$BX$23&lt;&gt;"HOL"),
AND(WEEKDAY($DB$20+1,2)=2,$CF$10=2,$BX$25&lt;&gt;"HOL"),
AND(WEEKDAY($DB$20+1,2)=3,$CG$10=3,$BX$27&lt;&gt;"HOL"),
AND(WEEKDAY($DB$20+1,2)=4,$CH$10=4,$BX$29&lt;&gt;"HOL"),
AND(WEEKDAY($DB$20+1,2)=5,$CI$10=5,$BX$31&lt;&gt;"HOL"),
AND(WEEKDAY($DB$20+1,2)=6,$CJ$10=6,$BX$33&lt;&gt;"HOL"),
AND(WEEKDAY($DB$20+1,2)=7,$CK$10=7,$BX$35&lt;&gt;"HOL")
)
),$DC$23,
AND($DG$25=AN4,
OR(
AND(WEEKDAY($DB$20+1,2)=1,$CE$14=1,$BX$23&lt;&gt;"HOL"),
AND(WEEKDAY($DB$20+1,2)=2,$CF$14=2,$BX$25&lt;&gt;"HOL"),
AND(WEEKDAY($DB$20+1,2)=3,$CG$14=3,$BX$27&lt;&gt;"HOL"),
AND(WEEKDAY($DB$20+1,2)=4,$CH$14=4,$BX$29&lt;&gt;"HOL"),
AND(WEEKDAY($DB$20+1,2)=5,$CI$14=5,$BX$31&lt;&gt;"HOL"),
AND(WEEKDAY($DB$20+1,2)=6,$CJ$14=6,$BX$33&lt;&gt;"HOL"),
AND(WEEKDAY($DB$20+1,2)=7,$CK$14=7,$BX$35&lt;&gt;"HOL")
)
),$DC$23,
AND($DG$28=AN4,
OR(
AND(WEEKDAY($DB$20+1,2)=1,$CP$10=1,$BX$23&lt;&gt;"HOL"),
AND(WEEKDAY($DB$20+1,2)=2,$CQ$10=2,$BX$25&lt;&gt;"HOL"),
AND(WEEKDAY($DB$20+1,2)=3,$CR$10=3,$BX$27&lt;&gt;"HOL"),
AND(WEEKDAY($DB$20+1,2)=4,$CS$10=4,$BX$29&lt;&gt;"HOL"),
AND(WEEKDAY($DB$20+1,2)=5,$CT$10=5,$BX$31&lt;&gt;"HOL"),
AND(WEEKDAY($DB$20+1,2)=6,$CU$10=6,$BX$33&lt;&gt;"HOL"),
AND(WEEKDAY($DB$20+1,2)=7,$CV$10=7,$BX$35&lt;&gt;"HOL")
)
),$DC$28,
AND($DG$30=AN4,
OR(
AND(WEEKDAY($DB$20+1,2)=1,$CP$14=1,$BX$23&lt;&gt;"HOL"),
AND(WEEKDAY($DB$20+1,2)=2,$CQ$14=2,$BX$25&lt;&gt;"HOL"),
AND(WEEKDAY($DB$20+1,2)=3,$CR$14=3,$BX$27&lt;&gt;"HOL"),
AND(WEEKDAY($DB$20+1,2)=4,$CS$14=4,$BX$29&lt;&gt;"HOL"),
AND(WEEKDAY($DB$20+1,2)=5,$CT$14=5,$BX$31&lt;&gt;"HOL"),
AND(WEEKDAY($DB$20+1,2)=6,$CU$14=6,$BX$33&lt;&gt;"HOL"),
AND(WEEKDAY($DB$20+1,2)=7,$CV$14=7,$BX$35&lt;&gt;"HOL")
)
),$DC$28,
AND($DG$33=AN4,
OR(
AND(WEEKDAY($DB$20+1,2)=1,$DA$10=1,$BX$23&lt;&gt;"HOL"),
AND(WEEKDAY($DB$20+1,2)=2,$DB$10=2,$BX$25&lt;&gt;"HOL"),
AND(WEEKDAY($DB$20+1,2)=3,$DC$10=3,$BX$27&lt;&gt;"HOL"),
AND(WEEKDAY($DB$20+1,2)=4,$DD$10=4,$BX$29&lt;&gt;"HOL"),
AND(WEEKDAY($DB$20+1,2)=5,$DE$10=5,$BX$31&lt;&gt;"HOL"),
AND(WEEKDAY($DB$20+1,2)=6,$DF$10=6,$BX$33&lt;&gt;"HOL"),
AND(WEEKDAY($DB$20+1,2)=7,$DG$10=7,$BX$35&lt;&gt;"HOL")
)
),$DC$33,
AND($DG$35=AN4,
OR(
AND(WEEKDAY($DB$20+1,2)=1,$DA$14=1,$BX$23&lt;&gt;"HOL"),
AND(WEEKDAY($DB$20+1,2)=2,$DB$14=2,$BX$25&lt;&gt;"HOL"),
AND(WEEKDAY($DB$20+1,2)=3,$DC$14=3,$BX$27&lt;&gt;"HOL"),
AND(WEEKDAY($DB$20+1,2)=4,$DD$14=4,$BX$29&lt;&gt;"HOL"),
AND(WEEKDAY($DB$20+1,2)=5,$DE$14=5,$BX$31&lt;&gt;"HOL"),
AND(WEEKDAY($DB$20+1,2)=6,$DF$14=6,$BX$33&lt;&gt;"HOL"),
AND(WEEKDAY($DB$20+1,2)=7,$DG$14=7,$BX$35&lt;&gt;"HOL")
)
),$DC$33,
TRUE,""
)
)</f>
        <v>#VALUE!</v>
      </c>
      <c r="AO7" s="2066" t="e" cm="1">
        <f t="array" aca="1" ref="AO7" ca="1">IF(
$C$3="TODAY",
_xlfn.IFS(
AND($DG$24=AP4,
OR(
AND(WEEKDAY($DB$20,2)=1,$CE$10=1,$BX$23&lt;&gt;"HOL"),
AND(WEEKDAY($DB$20,2)=2,$CF$10=2,$BX$25&lt;&gt;"HOL"),
AND(WEEKDAY($DB$20,2)=3,$CG$10=3,$BX$27&lt;&gt;"HOL"),
AND(WEEKDAY($DB$20,2)=4,$CH$10=4,$BX$29&lt;&gt;"HOL"),
AND(WEEKDAY($DB$20,2)=5,$CI$10=5,$BX$31&lt;&gt;"HOL"),
AND(WEEKDAY($DB$20,2)=6,$CJ$10=6,$BX$33&lt;&gt;"HOL"),
AND(WEEKDAY($DB$20,2)=7,$CK$10=7,$BX$35&lt;&gt;"HOL")
)
),$DD$23,
AND($DG$26=AP4,
OR(
AND(WEEKDAY($DB$20,2)=1,$CE$14=1,$BX$23&lt;&gt;"HOL"),
AND(WEEKDAY($DB$20,2)=2,$CF$14=2,$BX$25&lt;&gt;"HOL"),
AND(WEEKDAY($DB$20,2)=3,$CG$14=3,$BX$27&lt;&gt;"HOL"),
AND(WEEKDAY($DB$20,2)=4,$CH$14=4,$BX$29&lt;&gt;"HOL"),
AND(WEEKDAY($DB$20,2)=5,$CI$14=5,$BX$31&lt;&gt;"HOL"),
AND(WEEKDAY($DB$20,2)=6,$CJ$14=6,$BX$33&lt;&gt;"HOL"),
AND(WEEKDAY($DB$20,2)=7,$CK$14=7,$BX$35&lt;&gt;"HOL")
)
),$DD$23,
AND($DG$29=AP4,
OR(
AND(WEEKDAY($DB$20,2)=1,$CP$10=1,$BX$23&lt;&gt;"HOL"),
AND(WEEKDAY($DB$20,2)=2,$CQ$10=2,$BX$25&lt;&gt;"HOL"),
AND(WEEKDAY($DB$20,2)=3,$CR$10=3,$BX$27&lt;&gt;"HOL"),
AND(WEEKDAY($DB$20,2)=4,$CS$10=4,$BX$29&lt;&gt;"HOL"),
AND(WEEKDAY($DB$20,2)=5,$CT$10=5,$BX$31&lt;&gt;"HOL"),
AND(WEEKDAY($DB$20,2)=6,$CU$10=6,$BX$33&lt;&gt;"HOL"),
AND(WEEKDAY($DB$20,2)=7,$CV$10=7,$BX$35&lt;&gt;"HOL")
)
),$DD$28,
AND($DG$31=AP4,
OR(
AND(WEEKDAY($DB$20,2)=1,$CP$14=1,$BX$23&lt;&gt;"HOL"),
AND(WEEKDAY($DB$20,2)=2,$CQ$14=2,$BX$25&lt;&gt;"HOL"),
AND(WEEKDAY($DB$20,2)=3,$CR$14=3,$BX$27&lt;&gt;"HOL"),
AND(WEEKDAY($DB$20,2)=4,$CS$14=4,$BX$29&lt;&gt;"HOL"),
AND(WEEKDAY($DB$20,2)=5,$CT$14=5,$BX$31&lt;&gt;"HOL"),
AND(WEEKDAY($DB$20,2)=6,$CU$14=6,$BX$33&lt;&gt;"HOL"),
AND(WEEKDAY($DB$20,2)=7,$CV$14=7,$BX$35&lt;&gt;"HOL")
)
),$DD$28,
AND($DG$34=AP4,
OR(
AND(WEEKDAY($DB$20,2)=1,$DA$10=1,$BX$23&lt;&gt;"HOL"),
AND(WEEKDAY($DB$20,2)=2,$DB$10=2,$BX$25&lt;&gt;"HOL"),
AND(WEEKDAY($DB$20,2)=3,$DC$10=3,$BX$27&lt;&gt;"HOL"),
AND(WEEKDAY($DB$20,2)=4,$DD$10=4,$BX$29&lt;&gt;"HOL"),
AND(WEEKDAY($DB$20,2)=5,$DE$10=5,$BX$31&lt;&gt;"HOL"),
AND(WEEKDAY($DB$20,2)=6,$DF$10=6,$BX$33&lt;&gt;"HOL"),
AND(WEEKDAY($DB$20,2)=7,$DG$10=7,$BX$35&lt;&gt;"HOL")
)
),$DD$33,
AND($DG$36=AP4,
OR(
AND(WEEKDAY($DB$20,2)=1,$DA$14=1,$BX$23&lt;&gt;"HOL"),
AND(WEEKDAY($DB$20,2)=2,$DB$14=2,$BX$25&lt;&gt;"HOL"),
AND(WEEKDAY($DB$20,2)=3,$DC$14=3,$BX$27&lt;&gt;"HOL"),
AND(WEEKDAY($DB$20,2)=4,$DD$14=4,$BX$29&lt;&gt;"HOL"),
AND(WEEKDAY($DB$20,2)=5,$DE$14=5,$BX$31&lt;&gt;"HOL"),
AND(WEEKDAY($DB$20,2)=6,$DF$14=6,$BX$33&lt;&gt;"HOL"),
AND(WEEKDAY($DB$20,2)=7,$DG$14=7,$BX$35&lt;&gt;"HOL")
)
),$DD$33,
TRUE,""
),
_xlfn.IFS(
AND($DG$24=AP4,
OR(
AND(WEEKDAY($DB$20+1,2)=1,$CE$10=1,$BX$23&lt;&gt;"HOL"),
AND(WEEKDAY($DB$20+1,2)=2,$CF$10=2,$BX$25&lt;&gt;"HOL"),
AND(WEEKDAY($DB$20+1,2)=3,$CG$10=3,$BX$27&lt;&gt;"HOL"),
AND(WEEKDAY($DB$20+1,2)=4,$CH$10=4,$BX$29&lt;&gt;"HOL"),
AND(WEEKDAY($DB$20+1,2)=5,$CI$10=5,$BX$31&lt;&gt;"HOL"),
AND(WEEKDAY($DB$20+1,2)=6,$CJ$10=6,$BX$33&lt;&gt;"HOL"),
AND(WEEKDAY($DB$20+1,2)=7,$CK$10=7,$BX$35&lt;&gt;"HOL")
)
),$DD$23,
AND($DG$26=AP4,
OR(
AND(WEEKDAY($DB$20+1,2)=1,$CE$14=1,$BX$23&lt;&gt;"HOL"),
AND(WEEKDAY($DB$20+1,2)=2,$CF$14=2,$BX$25&lt;&gt;"HOL"),
AND(WEEKDAY($DB$20+1,2)=3,$CG$14=3,$BX$27&lt;&gt;"HOL"),
AND(WEEKDAY($DB$20+1,2)=4,$CH$14=4,$BX$29&lt;&gt;"HOL"),
AND(WEEKDAY($DB$20+1,2)=5,$CI$14=5,$BX$31&lt;&gt;"HOL"),
AND(WEEKDAY($DB$20+1,2)=6,$CJ$14=6,$BX$33&lt;&gt;"HOL"),
AND(WEEKDAY($DB$20+1,2)=7,$CK$14=7,$BX$35&lt;&gt;"HOL")
)
),$DD$23,
AND($DG$29=AP4,
OR(
AND(WEEKDAY($DB$20+1,2)=1,$CP$10=1,$BX$23&lt;&gt;"HOL"),
AND(WEEKDAY($DB$20+1,2)=2,$CQ$10=2,$BX$25&lt;&gt;"HOL"),
AND(WEEKDAY($DB$20+1,2)=3,$CR$10=3,$BX$27&lt;&gt;"HOL"),
AND(WEEKDAY($DB$20+1,2)=4,$CS$10=4,$BX$29&lt;&gt;"HOL"),
AND(WEEKDAY($DB$20+1,2)=5,$CT$10=5,$BX$31&lt;&gt;"HOL"),
AND(WEEKDAY($DB$20+1,2)=6,$CU$10=6,$BX$33&lt;&gt;"HOL"),
AND(WEEKDAY($DB$20+1,2)=7,$CV$10=7,$BX$35&lt;&gt;"HOL")
)
),$DD$28,
AND($DG$31=AP4,
OR(
AND(WEEKDAY($DB$20+1,2)=1,$CP$14=1,$BX$23&lt;&gt;"HOL"),
AND(WEEKDAY($DB$20+1,2)=2,$CQ$14=2,$BX$25&lt;&gt;"HOL"),
AND(WEEKDAY($DB$20+1,2)=3,$CR$14=3,$BX$27&lt;&gt;"HOL"),
AND(WEEKDAY($DB$20+1,2)=4,$CS$14=4,$BX$29&lt;&gt;"HOL"),
AND(WEEKDAY($DB$20+1,2)=5,$CT$14=5,$BX$31&lt;&gt;"HOL"),
AND(WEEKDAY($DB$20+1,2)=6,$CU$14=6,$BX$33&lt;&gt;"HOL"),
AND(WEEKDAY($DB$20+1,2)=7,$CV$14=7,$BX$35&lt;&gt;"HOL")
)
),$DD$28,
AND($DG$34=AP4,
OR(
AND(WEEKDAY($DB$20+1,2)=1,$DA$10=1,$BX$23&lt;&gt;"HOL"),
AND(WEEKDAY($DB$20+1,2)=2,$DB$10=2,$BX$25&lt;&gt;"HOL"),
AND(WEEKDAY($DB$20+1,2)=3,$DC$10=3,$BX$27&lt;&gt;"HOL"),
AND(WEEKDAY($DB$20+1,2)=4,$DD$10=4,$BX$29&lt;&gt;"HOL"),
AND(WEEKDAY($DB$20+1,2)=5,$DE$10=5,$BX$31&lt;&gt;"HOL"),
AND(WEEKDAY($DB$20+1,2)=6,$DF$10=6,$BX$33&lt;&gt;"HOL"),
AND(WEEKDAY($DB$20+1,2)=7,$DG$10=7,$BX$35&lt;&gt;"HOL")
)
),$DD$33,
AND($DG$36=AP4,
OR(
AND(WEEKDAY($DB$20+1,2)=1,$DA$14=1,$BX$23&lt;&gt;"HOL"),
AND(WEEKDAY($DB$20+1,2)=2,$DB$14=2,$BX$25&lt;&gt;"HOL"),
AND(WEEKDAY($DB$20+1,2)=3,$DC$14=3,$BX$27&lt;&gt;"HOL"),
AND(WEEKDAY($DB$20+1,2)=4,$DD$14=4,$BX$29&lt;&gt;"HOL"),
AND(WEEKDAY($DB$20+1,2)=5,$DE$14=5,$BX$31&lt;&gt;"HOL"),
AND(WEEKDAY($DB$20+1,2)=6,$DF$14=6,$BX$33&lt;&gt;"HOL"),
AND(WEEKDAY($DB$20+1,2)=7,$DG$14=7,$BX$35&lt;&gt;"HOL")
)
),$DD$33,
TRUE,""
)
)</f>
        <v>#VALUE!</v>
      </c>
      <c r="AP7" s="1090" t="e" cm="1">
        <f t="array" aca="1" ref="AP7" ca="1">IF(
$C$3="TODAY",
_xlfn.IFS(
AND($DG$23=AP4,
OR(
AND(WEEKDAY($DB$20,2)=1,$CE$10=1,$BX$23&lt;&gt;"HOL"),
AND(WEEKDAY($DB$20,2)=2,$CF$10=2,$BX$25&lt;&gt;"HOL"),
AND(WEEKDAY($DB$20,2)=3,$CG$10=3,$BX$27&lt;&gt;"HOL"),
AND(WEEKDAY($DB$20,2)=4,$CH$10=4,$BX$29&lt;&gt;"HOL"),
AND(WEEKDAY($DB$20,2)=5,$CI$10=5,$BX$31&lt;&gt;"HOL"),
AND(WEEKDAY($DB$20,2)=6,$CJ$10=6,$BX$33&lt;&gt;"HOL"),
AND(WEEKDAY($DB$20,2)=7,$CK$10=7,$BX$35&lt;&gt;"HOL")
)
),$DC$23,
AND($DG$25=AP4,
OR(
AND(WEEKDAY($DB$20,2)=1,$CE$14=1,$BX$23&lt;&gt;"HOL"),
AND(WEEKDAY($DB$20,2)=2,$CF$14=2,$BX$25&lt;&gt;"HOL"),
AND(WEEKDAY($DB$20,2)=3,$CG$14=3,$BX$27&lt;&gt;"HOL"),
AND(WEEKDAY($DB$20,2)=4,$CH$14=4,$BX$29&lt;&gt;"HOL"),
AND(WEEKDAY($DB$20,2)=5,$CI$14=5,$BX$31&lt;&gt;"HOL"),
AND(WEEKDAY($DB$20,2)=6,$CJ$14=6,$BX$33&lt;&gt;"HOL"),
AND(WEEKDAY($DB$20,2)=7,$CK$14=7,$BX$35&lt;&gt;"HOL")
)
),$DC$23,
AND($DG$28=AP4,
OR(
AND(WEEKDAY($DB$20,2)=1,$CP$10=1,$BX$23&lt;&gt;"HOL"),
AND(WEEKDAY($DB$20,2)=2,$CQ$10=2,$BX$25&lt;&gt;"HOL"),
AND(WEEKDAY($DB$20,2)=3,$CR$10=3,$BX$27&lt;&gt;"HOL"),
AND(WEEKDAY($DB$20,2)=4,$CS$10=4,$BX$29&lt;&gt;"HOL"),
AND(WEEKDAY($DB$20,2)=5,$CT$10=5,$BX$31&lt;&gt;"HOL"),
AND(WEEKDAY($DB$20,2)=6,$CU$10=6,$BX$33&lt;&gt;"HOL"),
AND(WEEKDAY($DB$20,2)=7,$CV$10=7,$BX$35&lt;&gt;"HOL")
)
),$DC$28,
AND($DG$30=AP4,
OR(
AND(WEEKDAY($DB$20,2)=1,$CP$14=1,$BX$23&lt;&gt;"HOL"),
AND(WEEKDAY($DB$20,2)=2,$CQ$14=2,$BX$25&lt;&gt;"HOL"),
AND(WEEKDAY($DB$20,2)=3,$CR$14=3,$BX$27&lt;&gt;"HOL"),
AND(WEEKDAY($DB$20,2)=4,$CS$14=4,$BX$29&lt;&gt;"HOL"),
AND(WEEKDAY($DB$20,2)=5,$CT$14=5,$BX$31&lt;&gt;"HOL"),
AND(WEEKDAY($DB$20,2)=6,$CU$14=6,$BX$33&lt;&gt;"HOL"),
AND(WEEKDAY($DB$20,2)=7,$CV$14=7,$BX$35&lt;&gt;"HOL")
)
),$DC$28,
AND($DG$33=AP4,
OR(
AND(WEEKDAY($DB$20,2)=1,$DA$10=1,$BX$23&lt;&gt;"HOL"),
AND(WEEKDAY($DB$20,2)=2,$DB$10=2,$BX$25&lt;&gt;"HOL"),
AND(WEEKDAY($DB$20,2)=3,$DC$10=3,$BX$27&lt;&gt;"HOL"),
AND(WEEKDAY($DB$20,2)=4,$DD$10=4,$BX$29&lt;&gt;"HOL"),
AND(WEEKDAY($DB$20,2)=5,$DE$10=5,$BX$31&lt;&gt;"HOL"),
AND(WEEKDAY($DB$20,2)=6,$DF$10=6,$BX$33&lt;&gt;"HOL"),
AND(WEEKDAY($DB$20,2)=7,$DG$10=7,$BX$35&lt;&gt;"HOL")
)
),$DC$33,
AND($DG$35=AP4,
OR(
AND(WEEKDAY($DB$20,2)=1,$DA$14=1,$BX$23&lt;&gt;"HOL"),
AND(WEEKDAY($DB$20,2)=2,$DB$14=2,$BX$25&lt;&gt;"HOL"),
AND(WEEKDAY($DB$20,2)=3,$DC$14=3,$BX$27&lt;&gt;"HOL"),
AND(WEEKDAY($DB$20,2)=4,$DD$14=4,$BX$29&lt;&gt;"HOL"),
AND(WEEKDAY($DB$20,2)=5,$DE$14=5,$BX$31&lt;&gt;"HOL"),
AND(WEEKDAY($DB$20,2)=6,$DF$14=6,$BX$33&lt;&gt;"HOL"),
AND(WEEKDAY($DB$20,2)=7,$DG$14=7,$BX$35&lt;&gt;"HOL")
)
),$DC$33,
TRUE,""
),
_xlfn.IFS(
AND($DG$23=AP4,
OR(
AND(WEEKDAY($DB$20+1,2)=1,$CE$10=1,$BX$23&lt;&gt;"HOL"),
AND(WEEKDAY($DB$20+1,2)=2,$CF$10=2,$BX$25&lt;&gt;"HOL"),
AND(WEEKDAY($DB$20+1,2)=3,$CG$10=3,$BX$27&lt;&gt;"HOL"),
AND(WEEKDAY($DB$20+1,2)=4,$CH$10=4,$BX$29&lt;&gt;"HOL"),
AND(WEEKDAY($DB$20+1,2)=5,$CI$10=5,$BX$31&lt;&gt;"HOL"),
AND(WEEKDAY($DB$20+1,2)=6,$CJ$10=6,$BX$33&lt;&gt;"HOL"),
AND(WEEKDAY($DB$20+1,2)=7,$CK$10=7,$BX$35&lt;&gt;"HOL")
)
),$DC$23,
AND($DG$25=AP4,
OR(
AND(WEEKDAY($DB$20+1,2)=1,$CE$14=1,$BX$23&lt;&gt;"HOL"),
AND(WEEKDAY($DB$20+1,2)=2,$CF$14=2,$BX$25&lt;&gt;"HOL"),
AND(WEEKDAY($DB$20+1,2)=3,$CG$14=3,$BX$27&lt;&gt;"HOL"),
AND(WEEKDAY($DB$20+1,2)=4,$CH$14=4,$BX$29&lt;&gt;"HOL"),
AND(WEEKDAY($DB$20+1,2)=5,$CI$14=5,$BX$31&lt;&gt;"HOL"),
AND(WEEKDAY($DB$20+1,2)=6,$CJ$14=6,$BX$33&lt;&gt;"HOL"),
AND(WEEKDAY($DB$20+1,2)=7,$CK$14=7,$BX$35&lt;&gt;"HOL")
)
),$DC$23,
AND($DG$28=AP4,
OR(
AND(WEEKDAY($DB$20+1,2)=1,$CP$10=1,$BX$23&lt;&gt;"HOL"),
AND(WEEKDAY($DB$20+1,2)=2,$CQ$10=2,$BX$25&lt;&gt;"HOL"),
AND(WEEKDAY($DB$20+1,2)=3,$CR$10=3,$BX$27&lt;&gt;"HOL"),
AND(WEEKDAY($DB$20+1,2)=4,$CS$10=4,$BX$29&lt;&gt;"HOL"),
AND(WEEKDAY($DB$20+1,2)=5,$CT$10=5,$BX$31&lt;&gt;"HOL"),
AND(WEEKDAY($DB$20+1,2)=6,$CU$10=6,$BX$33&lt;&gt;"HOL"),
AND(WEEKDAY($DB$20+1,2)=7,$CV$10=7,$BX$35&lt;&gt;"HOL")
)
),$DC$28,
AND($DG$30=AP4,
OR(
AND(WEEKDAY($DB$20+1,2)=1,$CP$14=1,$BX$23&lt;&gt;"HOL"),
AND(WEEKDAY($DB$20+1,2)=2,$CQ$14=2,$BX$25&lt;&gt;"HOL"),
AND(WEEKDAY($DB$20+1,2)=3,$CR$14=3,$BX$27&lt;&gt;"HOL"),
AND(WEEKDAY($DB$20+1,2)=4,$CS$14=4,$BX$29&lt;&gt;"HOL"),
AND(WEEKDAY($DB$20+1,2)=5,$CT$14=5,$BX$31&lt;&gt;"HOL"),
AND(WEEKDAY($DB$20+1,2)=6,$CU$14=6,$BX$33&lt;&gt;"HOL"),
AND(WEEKDAY($DB$20+1,2)=7,$CV$14=7,$BX$35&lt;&gt;"HOL")
)
),$DC$28,
AND($DG$33=AP4,
OR(
AND(WEEKDAY($DB$20+1,2)=1,$DA$10=1,$BX$23&lt;&gt;"HOL"),
AND(WEEKDAY($DB$20+1,2)=2,$DB$10=2,$BX$25&lt;&gt;"HOL"),
AND(WEEKDAY($DB$20+1,2)=3,$DC$10=3,$BX$27&lt;&gt;"HOL"),
AND(WEEKDAY($DB$20+1,2)=4,$DD$10=4,$BX$29&lt;&gt;"HOL"),
AND(WEEKDAY($DB$20+1,2)=5,$DE$10=5,$BX$31&lt;&gt;"HOL"),
AND(WEEKDAY($DB$20+1,2)=6,$DF$10=6,$BX$33&lt;&gt;"HOL"),
AND(WEEKDAY($DB$20+1,2)=7,$DG$10=7,$BX$35&lt;&gt;"HOL")
)
),$DC$33,
AND($DG$35=AP4,
OR(
AND(WEEKDAY($DB$20+1,2)=1,$DA$14=1,$BX$23&lt;&gt;"HOL"),
AND(WEEKDAY($DB$20+1,2)=2,$DB$14=2,$BX$25&lt;&gt;"HOL"),
AND(WEEKDAY($DB$20+1,2)=3,$DC$14=3,$BX$27&lt;&gt;"HOL"),
AND(WEEKDAY($DB$20+1,2)=4,$DD$14=4,$BX$29&lt;&gt;"HOL"),
AND(WEEKDAY($DB$20+1,2)=5,$DE$14=5,$BX$31&lt;&gt;"HOL"),
AND(WEEKDAY($DB$20+1,2)=6,$DF$14=6,$BX$33&lt;&gt;"HOL"),
AND(WEEKDAY($DB$20+1,2)=7,$DG$14=7,$BX$35&lt;&gt;"HOL")
)
),$DC$33,
TRUE,""
)
)</f>
        <v>#VALUE!</v>
      </c>
      <c r="AQ7" s="2075" t="e" cm="1">
        <f t="array" aca="1" ref="AQ7" ca="1">IF(
$C$3="TODAY",
_xlfn.IFS(
AND($DG$24=AR4,
OR(
AND(WEEKDAY($DB$20,2)=1,$CE$10=1,$BX$23&lt;&gt;"HOL"),
AND(WEEKDAY($DB$20,2)=2,$CF$10=2,$BX$25&lt;&gt;"HOL"),
AND(WEEKDAY($DB$20,2)=3,$CG$10=3,$BX$27&lt;&gt;"HOL"),
AND(WEEKDAY($DB$20,2)=4,$CH$10=4,$BX$29&lt;&gt;"HOL"),
AND(WEEKDAY($DB$20,2)=5,$CI$10=5,$BX$31&lt;&gt;"HOL"),
AND(WEEKDAY($DB$20,2)=6,$CJ$10=6,$BX$33&lt;&gt;"HOL"),
AND(WEEKDAY($DB$20,2)=7,$CK$10=7,$BX$35&lt;&gt;"HOL")
)
),$DD$23,
AND($DG$26=AR4,
OR(
AND(WEEKDAY($DB$20,2)=1,$CE$14=1,$BX$23&lt;&gt;"HOL"),
AND(WEEKDAY($DB$20,2)=2,$CF$14=2,$BX$25&lt;&gt;"HOL"),
AND(WEEKDAY($DB$20,2)=3,$CG$14=3,$BX$27&lt;&gt;"HOL"),
AND(WEEKDAY($DB$20,2)=4,$CH$14=4,$BX$29&lt;&gt;"HOL"),
AND(WEEKDAY($DB$20,2)=5,$CI$14=5,$BX$31&lt;&gt;"HOL"),
AND(WEEKDAY($DB$20,2)=6,$CJ$14=6,$BX$33&lt;&gt;"HOL"),
AND(WEEKDAY($DB$20,2)=7,$CK$14=7,$BX$35&lt;&gt;"HOL")
)
),$DD$23,
AND($DG$29=AR4,
OR(
AND(WEEKDAY($DB$20,2)=1,$CP$10=1,$BX$23&lt;&gt;"HOL"),
AND(WEEKDAY($DB$20,2)=2,$CQ$10=2,$BX$25&lt;&gt;"HOL"),
AND(WEEKDAY($DB$20,2)=3,$CR$10=3,$BX$27&lt;&gt;"HOL"),
AND(WEEKDAY($DB$20,2)=4,$CS$10=4,$BX$29&lt;&gt;"HOL"),
AND(WEEKDAY($DB$20,2)=5,$CT$10=5,$BX$31&lt;&gt;"HOL"),
AND(WEEKDAY($DB$20,2)=6,$CU$10=6,$BX$33&lt;&gt;"HOL"),
AND(WEEKDAY($DB$20,2)=7,$CV$10=7,$BX$35&lt;&gt;"HOL")
)
),$DD$28,
AND($DG$31=AR4,
OR(
AND(WEEKDAY($DB$20,2)=1,$CP$14=1,$BX$23&lt;&gt;"HOL"),
AND(WEEKDAY($DB$20,2)=2,$CQ$14=2,$BX$25&lt;&gt;"HOL"),
AND(WEEKDAY($DB$20,2)=3,$CR$14=3,$BX$27&lt;&gt;"HOL"),
AND(WEEKDAY($DB$20,2)=4,$CS$14=4,$BX$29&lt;&gt;"HOL"),
AND(WEEKDAY($DB$20,2)=5,$CT$14=5,$BX$31&lt;&gt;"HOL"),
AND(WEEKDAY($DB$20,2)=6,$CU$14=6,$BX$33&lt;&gt;"HOL"),
AND(WEEKDAY($DB$20,2)=7,$CV$14=7,$BX$35&lt;&gt;"HOL")
)
),$DD$28,
AND($DG$34=AR4,
OR(
AND(WEEKDAY($DB$20,2)=1,$DA$10=1,$BX$23&lt;&gt;"HOL"),
AND(WEEKDAY($DB$20,2)=2,$DB$10=2,$BX$25&lt;&gt;"HOL"),
AND(WEEKDAY($DB$20,2)=3,$DC$10=3,$BX$27&lt;&gt;"HOL"),
AND(WEEKDAY($DB$20,2)=4,$DD$10=4,$BX$29&lt;&gt;"HOL"),
AND(WEEKDAY($DB$20,2)=5,$DE$10=5,$BX$31&lt;&gt;"HOL"),
AND(WEEKDAY($DB$20,2)=6,$DF$10=6,$BX$33&lt;&gt;"HOL"),
AND(WEEKDAY($DB$20,2)=7,$DG$10=7,$BX$35&lt;&gt;"HOL")
)
),$DD$33,
AND($DG$36=AR4,
OR(
AND(WEEKDAY($DB$20,2)=1,$DA$14=1,$BX$23&lt;&gt;"HOL"),
AND(WEEKDAY($DB$20,2)=2,$DB$14=2,$BX$25&lt;&gt;"HOL"),
AND(WEEKDAY($DB$20,2)=3,$DC$14=3,$BX$27&lt;&gt;"HOL"),
AND(WEEKDAY($DB$20,2)=4,$DD$14=4,$BX$29&lt;&gt;"HOL"),
AND(WEEKDAY($DB$20,2)=5,$DE$14=5,$BX$31&lt;&gt;"HOL"),
AND(WEEKDAY($DB$20,2)=6,$DF$14=6,$BX$33&lt;&gt;"HOL"),
AND(WEEKDAY($DB$20,2)=7,$DG$14=7,$BX$35&lt;&gt;"HOL")
)
),$DD$33,
TRUE,""
),
_xlfn.IFS(
AND($DG$24=AR4,
OR(
AND(WEEKDAY($DB$20+1,2)=1,$CE$10=1,$BX$23&lt;&gt;"HOL"),
AND(WEEKDAY($DB$20+1,2)=2,$CF$10=2,$BX$25&lt;&gt;"HOL"),
AND(WEEKDAY($DB$20+1,2)=3,$CG$10=3,$BX$27&lt;&gt;"HOL"),
AND(WEEKDAY($DB$20+1,2)=4,$CH$10=4,$BX$29&lt;&gt;"HOL"),
AND(WEEKDAY($DB$20+1,2)=5,$CI$10=5,$BX$31&lt;&gt;"HOL"),
AND(WEEKDAY($DB$20+1,2)=6,$CJ$10=6,$BX$33&lt;&gt;"HOL"),
AND(WEEKDAY($DB$20+1,2)=7,$CK$10=7,$BX$35&lt;&gt;"HOL")
)
),$DD$23,
AND($DG$26=AR4,
OR(
AND(WEEKDAY($DB$20+1,2)=1,$CE$14=1,$BX$23&lt;&gt;"HOL"),
AND(WEEKDAY($DB$20+1,2)=2,$CF$14=2,$BX$25&lt;&gt;"HOL"),
AND(WEEKDAY($DB$20+1,2)=3,$CG$14=3,$BX$27&lt;&gt;"HOL"),
AND(WEEKDAY($DB$20+1,2)=4,$CH$14=4,$BX$29&lt;&gt;"HOL"),
AND(WEEKDAY($DB$20+1,2)=5,$CI$14=5,$BX$31&lt;&gt;"HOL"),
AND(WEEKDAY($DB$20+1,2)=6,$CJ$14=6,$BX$33&lt;&gt;"HOL"),
AND(WEEKDAY($DB$20+1,2)=7,$CK$14=7,$BX$35&lt;&gt;"HOL")
)
),$DD$23,
AND($DG$29=AR4,
OR(
AND(WEEKDAY($DB$20+1,2)=1,$CP$10=1,$BX$23&lt;&gt;"HOL"),
AND(WEEKDAY($DB$20+1,2)=2,$CQ$10=2,$BX$25&lt;&gt;"HOL"),
AND(WEEKDAY($DB$20+1,2)=3,$CR$10=3,$BX$27&lt;&gt;"HOL"),
AND(WEEKDAY($DB$20+1,2)=4,$CS$10=4,$BX$29&lt;&gt;"HOL"),
AND(WEEKDAY($DB$20+1,2)=5,$CT$10=5,$BX$31&lt;&gt;"HOL"),
AND(WEEKDAY($DB$20+1,2)=6,$CU$10=6,$BX$33&lt;&gt;"HOL"),
AND(WEEKDAY($DB$20+1,2)=7,$CV$10=7,$BX$35&lt;&gt;"HOL")
)
),$DD$28,
AND($DG$31=AR4,
OR(
AND(WEEKDAY($DB$20+1,2)=1,$CP$14=1,$BX$23&lt;&gt;"HOL"),
AND(WEEKDAY($DB$20+1,2)=2,$CQ$14=2,$BX$25&lt;&gt;"HOL"),
AND(WEEKDAY($DB$20+1,2)=3,$CR$14=3,$BX$27&lt;&gt;"HOL"),
AND(WEEKDAY($DB$20+1,2)=4,$CS$14=4,$BX$29&lt;&gt;"HOL"),
AND(WEEKDAY($DB$20+1,2)=5,$CT$14=5,$BX$31&lt;&gt;"HOL"),
AND(WEEKDAY($DB$20+1,2)=6,$CU$14=6,$BX$33&lt;&gt;"HOL"),
AND(WEEKDAY($DB$20+1,2)=7,$CV$14=7,$BX$35&lt;&gt;"HOL")
)
),$DD$28,
AND($DG$34=AR4,
OR(
AND(WEEKDAY($DB$20+1,2)=1,$DA$10=1,$BX$23&lt;&gt;"HOL"),
AND(WEEKDAY($DB$20+1,2)=2,$DB$10=2,$BX$25&lt;&gt;"HOL"),
AND(WEEKDAY($DB$20+1,2)=3,$DC$10=3,$BX$27&lt;&gt;"HOL"),
AND(WEEKDAY($DB$20+1,2)=4,$DD$10=4,$BX$29&lt;&gt;"HOL"),
AND(WEEKDAY($DB$20+1,2)=5,$DE$10=5,$BX$31&lt;&gt;"HOL"),
AND(WEEKDAY($DB$20+1,2)=6,$DF$10=6,$BX$33&lt;&gt;"HOL"),
AND(WEEKDAY($DB$20+1,2)=7,$DG$10=7,$BX$35&lt;&gt;"HOL")
)
),$DD$33,
AND($DG$36=AR4,
OR(
AND(WEEKDAY($DB$20+1,2)=1,$DA$14=1,$BX$23&lt;&gt;"HOL"),
AND(WEEKDAY($DB$20+1,2)=2,$DB$14=2,$BX$25&lt;&gt;"HOL"),
AND(WEEKDAY($DB$20+1,2)=3,$DC$14=3,$BX$27&lt;&gt;"HOL"),
AND(WEEKDAY($DB$20+1,2)=4,$DD$14=4,$BX$29&lt;&gt;"HOL"),
AND(WEEKDAY($DB$20+1,2)=5,$DE$14=5,$BX$31&lt;&gt;"HOL"),
AND(WEEKDAY($DB$20+1,2)=6,$DF$14=6,$BX$33&lt;&gt;"HOL"),
AND(WEEKDAY($DB$20+1,2)=7,$DG$14=7,$BX$35&lt;&gt;"HOL")
)
),$DD$33,
TRUE,""
)
)</f>
        <v>#VALUE!</v>
      </c>
      <c r="AR7" s="2076" t="e" cm="1">
        <f t="array" aca="1" ref="AR7" ca="1">IF(
$C$3="TODAY",
_xlfn.IFS(
AND($DG$23=AR4,
OR(
AND(WEEKDAY($DB$20,2)=1,$CE$10=1,$BX$23&lt;&gt;"HOL"),
AND(WEEKDAY($DB$20,2)=2,$CF$10=2,$BX$25&lt;&gt;"HOL"),
AND(WEEKDAY($DB$20,2)=3,$CG$10=3,$BX$27&lt;&gt;"HOL"),
AND(WEEKDAY($DB$20,2)=4,$CH$10=4,$BX$29&lt;&gt;"HOL"),
AND(WEEKDAY($DB$20,2)=5,$CI$10=5,$BX$31&lt;&gt;"HOL"),
AND(WEEKDAY($DB$20,2)=6,$CJ$10=6,$BX$33&lt;&gt;"HOL"),
AND(WEEKDAY($DB$20,2)=7,$CK$10=7,$BX$35&lt;&gt;"HOL")
)
),$DC$23,
AND($DG$25=AR4,
OR(
AND(WEEKDAY($DB$20,2)=1,$CE$14=1,$BX$23&lt;&gt;"HOL"),
AND(WEEKDAY($DB$20,2)=2,$CF$14=2,$BX$25&lt;&gt;"HOL"),
AND(WEEKDAY($DB$20,2)=3,$CG$14=3,$BX$27&lt;&gt;"HOL"),
AND(WEEKDAY($DB$20,2)=4,$CH$14=4,$BX$29&lt;&gt;"HOL"),
AND(WEEKDAY($DB$20,2)=5,$CI$14=5,$BX$31&lt;&gt;"HOL"),
AND(WEEKDAY($DB$20,2)=6,$CJ$14=6,$BX$33&lt;&gt;"HOL"),
AND(WEEKDAY($DB$20,2)=7,$CK$14=7,$BX$35&lt;&gt;"HOL")
)
),$DC$23,
AND($DG$28=AR4,
OR(
AND(WEEKDAY($DB$20,2)=1,$CP$10=1,$BX$23&lt;&gt;"HOL"),
AND(WEEKDAY($DB$20,2)=2,$CQ$10=2,$BX$25&lt;&gt;"HOL"),
AND(WEEKDAY($DB$20,2)=3,$CR$10=3,$BX$27&lt;&gt;"HOL"),
AND(WEEKDAY($DB$20,2)=4,$CS$10=4,$BX$29&lt;&gt;"HOL"),
AND(WEEKDAY($DB$20,2)=5,$CT$10=5,$BX$31&lt;&gt;"HOL"),
AND(WEEKDAY($DB$20,2)=6,$CU$10=6,$BX$33&lt;&gt;"HOL"),
AND(WEEKDAY($DB$20,2)=7,$CV$10=7,$BX$35&lt;&gt;"HOL")
)
),$DC$28,
AND($DG$30=AR4,
OR(
AND(WEEKDAY($DB$20,2)=1,$CP$14=1,$BX$23&lt;&gt;"HOL"),
AND(WEEKDAY($DB$20,2)=2,$CQ$14=2,$BX$25&lt;&gt;"HOL"),
AND(WEEKDAY($DB$20,2)=3,$CR$14=3,$BX$27&lt;&gt;"HOL"),
AND(WEEKDAY($DB$20,2)=4,$CS$14=4,$BX$29&lt;&gt;"HOL"),
AND(WEEKDAY($DB$20,2)=5,$CT$14=5,$BX$31&lt;&gt;"HOL"),
AND(WEEKDAY($DB$20,2)=6,$CU$14=6,$BX$33&lt;&gt;"HOL"),
AND(WEEKDAY($DB$20,2)=7,$CV$14=7,$BX$35&lt;&gt;"HOL")
)
),$DC$28,
AND($DG$33=AR4,
OR(
AND(WEEKDAY($DB$20,2)=1,$DA$10=1,$BX$23&lt;&gt;"HOL"),
AND(WEEKDAY($DB$20,2)=2,$DB$10=2,$BX$25&lt;&gt;"HOL"),
AND(WEEKDAY($DB$20,2)=3,$DC$10=3,$BX$27&lt;&gt;"HOL"),
AND(WEEKDAY($DB$20,2)=4,$DD$10=4,$BX$29&lt;&gt;"HOL"),
AND(WEEKDAY($DB$20,2)=5,$DE$10=5,$BX$31&lt;&gt;"HOL"),
AND(WEEKDAY($DB$20,2)=6,$DF$10=6,$BX$33&lt;&gt;"HOL"),
AND(WEEKDAY($DB$20,2)=7,$DG$10=7,$BX$35&lt;&gt;"HOL")
)
),$DC$33,
AND($DG$35=AR4,
OR(
AND(WEEKDAY($DB$20,2)=1,$DA$14=1,$BX$23&lt;&gt;"HOL"),
AND(WEEKDAY($DB$20,2)=2,$DB$14=2,$BX$25&lt;&gt;"HOL"),
AND(WEEKDAY($DB$20,2)=3,$DC$14=3,$BX$27&lt;&gt;"HOL"),
AND(WEEKDAY($DB$20,2)=4,$DD$14=4,$BX$29&lt;&gt;"HOL"),
AND(WEEKDAY($DB$20,2)=5,$DE$14=5,$BX$31&lt;&gt;"HOL"),
AND(WEEKDAY($DB$20,2)=6,$DF$14=6,$BX$33&lt;&gt;"HOL"),
AND(WEEKDAY($DB$20,2)=7,$DG$14=7,$BX$35&lt;&gt;"HOL")
)
),$DC$33,
TRUE,""
),
_xlfn.IFS(
AND($DG$23=AR4,
OR(
AND(WEEKDAY($DB$20+1,2)=1,$CE$10=1,$BX$23&lt;&gt;"HOL"),
AND(WEEKDAY($DB$20+1,2)=2,$CF$10=2,$BX$25&lt;&gt;"HOL"),
AND(WEEKDAY($DB$20+1,2)=3,$CG$10=3,$BX$27&lt;&gt;"HOL"),
AND(WEEKDAY($DB$20+1,2)=4,$CH$10=4,$BX$29&lt;&gt;"HOL"),
AND(WEEKDAY($DB$20+1,2)=5,$CI$10=5,$BX$31&lt;&gt;"HOL"),
AND(WEEKDAY($DB$20+1,2)=6,$CJ$10=6,$BX$33&lt;&gt;"HOL"),
AND(WEEKDAY($DB$20+1,2)=7,$CK$10=7,$BX$35&lt;&gt;"HOL")
)
),$DC$23,
AND($DG$25=AR4,
OR(
AND(WEEKDAY($DB$20+1,2)=1,$CE$14=1,$BX$23&lt;&gt;"HOL"),
AND(WEEKDAY($DB$20+1,2)=2,$CF$14=2,$BX$25&lt;&gt;"HOL"),
AND(WEEKDAY($DB$20+1,2)=3,$CG$14=3,$BX$27&lt;&gt;"HOL"),
AND(WEEKDAY($DB$20+1,2)=4,$CH$14=4,$BX$29&lt;&gt;"HOL"),
AND(WEEKDAY($DB$20+1,2)=5,$CI$14=5,$BX$31&lt;&gt;"HOL"),
AND(WEEKDAY($DB$20+1,2)=6,$CJ$14=6,$BX$33&lt;&gt;"HOL"),
AND(WEEKDAY($DB$20+1,2)=7,$CK$14=7,$BX$35&lt;&gt;"HOL")
)
),$DC$23,
AND($DG$28=AR4,
OR(
AND(WEEKDAY($DB$20+1,2)=1,$CP$10=1,$BX$23&lt;&gt;"HOL"),
AND(WEEKDAY($DB$20+1,2)=2,$CQ$10=2,$BX$25&lt;&gt;"HOL"),
AND(WEEKDAY($DB$20+1,2)=3,$CR$10=3,$BX$27&lt;&gt;"HOL"),
AND(WEEKDAY($DB$20+1,2)=4,$CS$10=4,$BX$29&lt;&gt;"HOL"),
AND(WEEKDAY($DB$20+1,2)=5,$CT$10=5,$BX$31&lt;&gt;"HOL"),
AND(WEEKDAY($DB$20+1,2)=6,$CU$10=6,$BX$33&lt;&gt;"HOL"),
AND(WEEKDAY($DB$20+1,2)=7,$CV$10=7,$BX$35&lt;&gt;"HOL")
)
),$DC$28,
AND($DG$30=AR4,
OR(
AND(WEEKDAY($DB$20+1,2)=1,$CP$14=1,$BX$23&lt;&gt;"HOL"),
AND(WEEKDAY($DB$20+1,2)=2,$CQ$14=2,$BX$25&lt;&gt;"HOL"),
AND(WEEKDAY($DB$20+1,2)=3,$CR$14=3,$BX$27&lt;&gt;"HOL"),
AND(WEEKDAY($DB$20+1,2)=4,$CS$14=4,$BX$29&lt;&gt;"HOL"),
AND(WEEKDAY($DB$20+1,2)=5,$CT$14=5,$BX$31&lt;&gt;"HOL"),
AND(WEEKDAY($DB$20+1,2)=6,$CU$14=6,$BX$33&lt;&gt;"HOL"),
AND(WEEKDAY($DB$20+1,2)=7,$CV$14=7,$BX$35&lt;&gt;"HOL")
)
),$DC$28,
AND($DG$33=AR4,
OR(
AND(WEEKDAY($DB$20+1,2)=1,$DA$10=1,$BX$23&lt;&gt;"HOL"),
AND(WEEKDAY($DB$20+1,2)=2,$DB$10=2,$BX$25&lt;&gt;"HOL"),
AND(WEEKDAY($DB$20+1,2)=3,$DC$10=3,$BX$27&lt;&gt;"HOL"),
AND(WEEKDAY($DB$20+1,2)=4,$DD$10=4,$BX$29&lt;&gt;"HOL"),
AND(WEEKDAY($DB$20+1,2)=5,$DE$10=5,$BX$31&lt;&gt;"HOL"),
AND(WEEKDAY($DB$20+1,2)=6,$DF$10=6,$BX$33&lt;&gt;"HOL"),
AND(WEEKDAY($DB$20+1,2)=7,$DG$10=7,$BX$35&lt;&gt;"HOL")
)
),$DC$33,
AND($DG$35=AR4,
OR(
AND(WEEKDAY($DB$20+1,2)=1,$DA$14=1,$BX$23&lt;&gt;"HOL"),
AND(WEEKDAY($DB$20+1,2)=2,$DB$14=2,$BX$25&lt;&gt;"HOL"),
AND(WEEKDAY($DB$20+1,2)=3,$DC$14=3,$BX$27&lt;&gt;"HOL"),
AND(WEEKDAY($DB$20+1,2)=4,$DD$14=4,$BX$29&lt;&gt;"HOL"),
AND(WEEKDAY($DB$20+1,2)=5,$DE$14=5,$BX$31&lt;&gt;"HOL"),
AND(WEEKDAY($DB$20+1,2)=6,$DF$14=6,$BX$33&lt;&gt;"HOL"),
AND(WEEKDAY($DB$20+1,2)=7,$DG$14=7,$BX$35&lt;&gt;"HOL")
)
),$DC$33,
TRUE,""
)
)</f>
        <v>#VALUE!</v>
      </c>
      <c r="AS7" s="2066" t="e" cm="1">
        <f t="array" aca="1" ref="AS7" ca="1">IF(
$C$3="TODAY",
_xlfn.IFS(
AND($DG$24=AT4,
OR(
AND(WEEKDAY($DB$20,2)=1,$CE$10=1,$BX$23&lt;&gt;"HOL"),
AND(WEEKDAY($DB$20,2)=2,$CF$10=2,$BX$25&lt;&gt;"HOL"),
AND(WEEKDAY($DB$20,2)=3,$CG$10=3,$BX$27&lt;&gt;"HOL"),
AND(WEEKDAY($DB$20,2)=4,$CH$10=4,$BX$29&lt;&gt;"HOL"),
AND(WEEKDAY($DB$20,2)=5,$CI$10=5,$BX$31&lt;&gt;"HOL"),
AND(WEEKDAY($DB$20,2)=6,$CJ$10=6,$BX$33&lt;&gt;"HOL"),
AND(WEEKDAY($DB$20,2)=7,$CK$10=7,$BX$35&lt;&gt;"HOL")
)
),$DD$23,
AND($DG$26=AT4,
OR(
AND(WEEKDAY($DB$20,2)=1,$CE$14=1,$BX$23&lt;&gt;"HOL"),
AND(WEEKDAY($DB$20,2)=2,$CF$14=2,$BX$25&lt;&gt;"HOL"),
AND(WEEKDAY($DB$20,2)=3,$CG$14=3,$BX$27&lt;&gt;"HOL"),
AND(WEEKDAY($DB$20,2)=4,$CH$14=4,$BX$29&lt;&gt;"HOL"),
AND(WEEKDAY($DB$20,2)=5,$CI$14=5,$BX$31&lt;&gt;"HOL"),
AND(WEEKDAY($DB$20,2)=6,$CJ$14=6,$BX$33&lt;&gt;"HOL"),
AND(WEEKDAY($DB$20,2)=7,$CK$14=7,$BX$35&lt;&gt;"HOL")
)
),$DD$23,
AND($DG$29=AT4,
OR(
AND(WEEKDAY($DB$20,2)=1,$CP$10=1,$BX$23&lt;&gt;"HOL"),
AND(WEEKDAY($DB$20,2)=2,$CQ$10=2,$BX$25&lt;&gt;"HOL"),
AND(WEEKDAY($DB$20,2)=3,$CR$10=3,$BX$27&lt;&gt;"HOL"),
AND(WEEKDAY($DB$20,2)=4,$CS$10=4,$BX$29&lt;&gt;"HOL"),
AND(WEEKDAY($DB$20,2)=5,$CT$10=5,$BX$31&lt;&gt;"HOL"),
AND(WEEKDAY($DB$20,2)=6,$CU$10=6,$BX$33&lt;&gt;"HOL"),
AND(WEEKDAY($DB$20,2)=7,$CV$10=7,$BX$35&lt;&gt;"HOL")
)
),$DD$28,
AND($DG$31=AT4,
OR(
AND(WEEKDAY($DB$20,2)=1,$CP$14=1,$BX$23&lt;&gt;"HOL"),
AND(WEEKDAY($DB$20,2)=2,$CQ$14=2,$BX$25&lt;&gt;"HOL"),
AND(WEEKDAY($DB$20,2)=3,$CR$14=3,$BX$27&lt;&gt;"HOL"),
AND(WEEKDAY($DB$20,2)=4,$CS$14=4,$BX$29&lt;&gt;"HOL"),
AND(WEEKDAY($DB$20,2)=5,$CT$14=5,$BX$31&lt;&gt;"HOL"),
AND(WEEKDAY($DB$20,2)=6,$CU$14=6,$BX$33&lt;&gt;"HOL"),
AND(WEEKDAY($DB$20,2)=7,$CV$14=7,$BX$35&lt;&gt;"HOL")
)
),$DD$28,
AND($DG$34=AT4,
OR(
AND(WEEKDAY($DB$20,2)=1,$DA$10=1,$BX$23&lt;&gt;"HOL"),
AND(WEEKDAY($DB$20,2)=2,$DB$10=2,$BX$25&lt;&gt;"HOL"),
AND(WEEKDAY($DB$20,2)=3,$DC$10=3,$BX$27&lt;&gt;"HOL"),
AND(WEEKDAY($DB$20,2)=4,$DD$10=4,$BX$29&lt;&gt;"HOL"),
AND(WEEKDAY($DB$20,2)=5,$DE$10=5,$BX$31&lt;&gt;"HOL"),
AND(WEEKDAY($DB$20,2)=6,$DF$10=6,$BX$33&lt;&gt;"HOL"),
AND(WEEKDAY($DB$20,2)=7,$DG$10=7,$BX$35&lt;&gt;"HOL")
)
),$DD$33,
AND($DG$36=AT4,
OR(
AND(WEEKDAY($DB$20,2)=1,$DA$14=1,$BX$23&lt;&gt;"HOL"),
AND(WEEKDAY($DB$20,2)=2,$DB$14=2,$BX$25&lt;&gt;"HOL"),
AND(WEEKDAY($DB$20,2)=3,$DC$14=3,$BX$27&lt;&gt;"HOL"),
AND(WEEKDAY($DB$20,2)=4,$DD$14=4,$BX$29&lt;&gt;"HOL"),
AND(WEEKDAY($DB$20,2)=5,$DE$14=5,$BX$31&lt;&gt;"HOL"),
AND(WEEKDAY($DB$20,2)=6,$DF$14=6,$BX$33&lt;&gt;"HOL"),
AND(WEEKDAY($DB$20,2)=7,$DG$14=7,$BX$35&lt;&gt;"HOL")
)
),$DD$33,
TRUE,""
),
_xlfn.IFS(
AND($DG$24=AT4,
OR(
AND(WEEKDAY($DB$20+1,2)=1,$CE$10=1,$BX$23&lt;&gt;"HOL"),
AND(WEEKDAY($DB$20+1,2)=2,$CF$10=2,$BX$25&lt;&gt;"HOL"),
AND(WEEKDAY($DB$20+1,2)=3,$CG$10=3,$BX$27&lt;&gt;"HOL"),
AND(WEEKDAY($DB$20+1,2)=4,$CH$10=4,$BX$29&lt;&gt;"HOL"),
AND(WEEKDAY($DB$20+1,2)=5,$CI$10=5,$BX$31&lt;&gt;"HOL"),
AND(WEEKDAY($DB$20+1,2)=6,$CJ$10=6,$BX$33&lt;&gt;"HOL"),
AND(WEEKDAY($DB$20+1,2)=7,$CK$10=7,$BX$35&lt;&gt;"HOL")
)
),$DD$23,
AND($DG$26=AT4,
OR(
AND(WEEKDAY($DB$20+1,2)=1,$CE$14=1,$BX$23&lt;&gt;"HOL"),
AND(WEEKDAY($DB$20+1,2)=2,$CF$14=2,$BX$25&lt;&gt;"HOL"),
AND(WEEKDAY($DB$20+1,2)=3,$CG$14=3,$BX$27&lt;&gt;"HOL"),
AND(WEEKDAY($DB$20+1,2)=4,$CH$14=4,$BX$29&lt;&gt;"HOL"),
AND(WEEKDAY($DB$20+1,2)=5,$CI$14=5,$BX$31&lt;&gt;"HOL"),
AND(WEEKDAY($DB$20+1,2)=6,$CJ$14=6,$BX$33&lt;&gt;"HOL"),
AND(WEEKDAY($DB$20+1,2)=7,$CK$14=7,$BX$35&lt;&gt;"HOL")
)
),$DD$23,
AND($DG$29=AT4,
OR(
AND(WEEKDAY($DB$20+1,2)=1,$CP$10=1,$BX$23&lt;&gt;"HOL"),
AND(WEEKDAY($DB$20+1,2)=2,$CQ$10=2,$BX$25&lt;&gt;"HOL"),
AND(WEEKDAY($DB$20+1,2)=3,$CR$10=3,$BX$27&lt;&gt;"HOL"),
AND(WEEKDAY($DB$20+1,2)=4,$CS$10=4,$BX$29&lt;&gt;"HOL"),
AND(WEEKDAY($DB$20+1,2)=5,$CT$10=5,$BX$31&lt;&gt;"HOL"),
AND(WEEKDAY($DB$20+1,2)=6,$CU$10=6,$BX$33&lt;&gt;"HOL"),
AND(WEEKDAY($DB$20+1,2)=7,$CV$10=7,$BX$35&lt;&gt;"HOL")
)
),$DD$28,
AND($DG$31=AT4,
OR(
AND(WEEKDAY($DB$20+1,2)=1,$CP$14=1,$BX$23&lt;&gt;"HOL"),
AND(WEEKDAY($DB$20+1,2)=2,$CQ$14=2,$BX$25&lt;&gt;"HOL"),
AND(WEEKDAY($DB$20+1,2)=3,$CR$14=3,$BX$27&lt;&gt;"HOL"),
AND(WEEKDAY($DB$20+1,2)=4,$CS$14=4,$BX$29&lt;&gt;"HOL"),
AND(WEEKDAY($DB$20+1,2)=5,$CT$14=5,$BX$31&lt;&gt;"HOL"),
AND(WEEKDAY($DB$20+1,2)=6,$CU$14=6,$BX$33&lt;&gt;"HOL"),
AND(WEEKDAY($DB$20+1,2)=7,$CV$14=7,$BX$35&lt;&gt;"HOL")
)
),$DD$28,
AND($DG$34=AT4,
OR(
AND(WEEKDAY($DB$20+1,2)=1,$DA$10=1,$BX$23&lt;&gt;"HOL"),
AND(WEEKDAY($DB$20+1,2)=2,$DB$10=2,$BX$25&lt;&gt;"HOL"),
AND(WEEKDAY($DB$20+1,2)=3,$DC$10=3,$BX$27&lt;&gt;"HOL"),
AND(WEEKDAY($DB$20+1,2)=4,$DD$10=4,$BX$29&lt;&gt;"HOL"),
AND(WEEKDAY($DB$20+1,2)=5,$DE$10=5,$BX$31&lt;&gt;"HOL"),
AND(WEEKDAY($DB$20+1,2)=6,$DF$10=6,$BX$33&lt;&gt;"HOL"),
AND(WEEKDAY($DB$20+1,2)=7,$DG$10=7,$BX$35&lt;&gt;"HOL")
)
),$DD$33,
AND($DG$36=AT4,
OR(
AND(WEEKDAY($DB$20+1,2)=1,$DA$14=1,$BX$23&lt;&gt;"HOL"),
AND(WEEKDAY($DB$20+1,2)=2,$DB$14=2,$BX$25&lt;&gt;"HOL"),
AND(WEEKDAY($DB$20+1,2)=3,$DC$14=3,$BX$27&lt;&gt;"HOL"),
AND(WEEKDAY($DB$20+1,2)=4,$DD$14=4,$BX$29&lt;&gt;"HOL"),
AND(WEEKDAY($DB$20+1,2)=5,$DE$14=5,$BX$31&lt;&gt;"HOL"),
AND(WEEKDAY($DB$20+1,2)=6,$DF$14=6,$BX$33&lt;&gt;"HOL"),
AND(WEEKDAY($DB$20+1,2)=7,$DG$14=7,$BX$35&lt;&gt;"HOL")
)
),$DD$33,
TRUE,""
)
)</f>
        <v>#VALUE!</v>
      </c>
      <c r="AT7" s="1090" t="e" cm="1">
        <f t="array" aca="1" ref="AT7" ca="1">IF(
$C$3="TODAY",
_xlfn.IFS(
AND($DG$23=AT4,
OR(
AND(WEEKDAY($DB$20,2)=1,$CE$10=1,$BX$23&lt;&gt;"HOL"),
AND(WEEKDAY($DB$20,2)=2,$CF$10=2,$BX$25&lt;&gt;"HOL"),
AND(WEEKDAY($DB$20,2)=3,$CG$10=3,$BX$27&lt;&gt;"HOL"),
AND(WEEKDAY($DB$20,2)=4,$CH$10=4,$BX$29&lt;&gt;"HOL"),
AND(WEEKDAY($DB$20,2)=5,$CI$10=5,$BX$31&lt;&gt;"HOL"),
AND(WEEKDAY($DB$20,2)=6,$CJ$10=6,$BX$33&lt;&gt;"HOL"),
AND(WEEKDAY($DB$20,2)=7,$CK$10=7,$BX$35&lt;&gt;"HOL")
)
),$DC$23,
AND($DG$25=AT4,
OR(
AND(WEEKDAY($DB$20,2)=1,$CE$14=1,$BX$23&lt;&gt;"HOL"),
AND(WEEKDAY($DB$20,2)=2,$CF$14=2,$BX$25&lt;&gt;"HOL"),
AND(WEEKDAY($DB$20,2)=3,$CG$14=3,$BX$27&lt;&gt;"HOL"),
AND(WEEKDAY($DB$20,2)=4,$CH$14=4,$BX$29&lt;&gt;"HOL"),
AND(WEEKDAY($DB$20,2)=5,$CI$14=5,$BX$31&lt;&gt;"HOL"),
AND(WEEKDAY($DB$20,2)=6,$CJ$14=6,$BX$33&lt;&gt;"HOL"),
AND(WEEKDAY($DB$20,2)=7,$CK$14=7,$BX$35&lt;&gt;"HOL")
)
),$DC$23,
AND($DG$28=AT4,
OR(
AND(WEEKDAY($DB$20,2)=1,$CP$10=1,$BX$23&lt;&gt;"HOL"),
AND(WEEKDAY($DB$20,2)=2,$CQ$10=2,$BX$25&lt;&gt;"HOL"),
AND(WEEKDAY($DB$20,2)=3,$CR$10=3,$BX$27&lt;&gt;"HOL"),
AND(WEEKDAY($DB$20,2)=4,$CS$10=4,$BX$29&lt;&gt;"HOL"),
AND(WEEKDAY($DB$20,2)=5,$CT$10=5,$BX$31&lt;&gt;"HOL"),
AND(WEEKDAY($DB$20,2)=6,$CU$10=6,$BX$33&lt;&gt;"HOL"),
AND(WEEKDAY($DB$20,2)=7,$CV$10=7,$BX$35&lt;&gt;"HOL")
)
),$DC$28,
AND($DG$30=AT4,
OR(
AND(WEEKDAY($DB$20,2)=1,$CP$14=1,$BX$23&lt;&gt;"HOL"),
AND(WEEKDAY($DB$20,2)=2,$CQ$14=2,$BX$25&lt;&gt;"HOL"),
AND(WEEKDAY($DB$20,2)=3,$CR$14=3,$BX$27&lt;&gt;"HOL"),
AND(WEEKDAY($DB$20,2)=4,$CS$14=4,$BX$29&lt;&gt;"HOL"),
AND(WEEKDAY($DB$20,2)=5,$CT$14=5,$BX$31&lt;&gt;"HOL"),
AND(WEEKDAY($DB$20,2)=6,$CU$14=6,$BX$33&lt;&gt;"HOL"),
AND(WEEKDAY($DB$20,2)=7,$CV$14=7,$BX$35&lt;&gt;"HOL")
)
),$DC$28,
AND($DG$33=AT4,
OR(
AND(WEEKDAY($DB$20,2)=1,$DA$10=1,$BX$23&lt;&gt;"HOL"),
AND(WEEKDAY($DB$20,2)=2,$DB$10=2,$BX$25&lt;&gt;"HOL"),
AND(WEEKDAY($DB$20,2)=3,$DC$10=3,$BX$27&lt;&gt;"HOL"),
AND(WEEKDAY($DB$20,2)=4,$DD$10=4,$BX$29&lt;&gt;"HOL"),
AND(WEEKDAY($DB$20,2)=5,$DE$10=5,$BX$31&lt;&gt;"HOL"),
AND(WEEKDAY($DB$20,2)=6,$DF$10=6,$BX$33&lt;&gt;"HOL"),
AND(WEEKDAY($DB$20,2)=7,$DG$10=7,$BX$35&lt;&gt;"HOL")
)
),$DC$33,
AND($DG$35=AT4,
OR(
AND(WEEKDAY($DB$20,2)=1,$DA$14=1,$BX$23&lt;&gt;"HOL"),
AND(WEEKDAY($DB$20,2)=2,$DB$14=2,$BX$25&lt;&gt;"HOL"),
AND(WEEKDAY($DB$20,2)=3,$DC$14=3,$BX$27&lt;&gt;"HOL"),
AND(WEEKDAY($DB$20,2)=4,$DD$14=4,$BX$29&lt;&gt;"HOL"),
AND(WEEKDAY($DB$20,2)=5,$DE$14=5,$BX$31&lt;&gt;"HOL"),
AND(WEEKDAY($DB$20,2)=6,$DF$14=6,$BX$33&lt;&gt;"HOL"),
AND(WEEKDAY($DB$20,2)=7,$DG$14=7,$BX$35&lt;&gt;"HOL")
)
),$DC$33,
TRUE,""
),
_xlfn.IFS(
AND($DG$23=AT4,
OR(
AND(WEEKDAY($DB$20+1,2)=1,$CE$10=1,$BX$23&lt;&gt;"HOL"),
AND(WEEKDAY($DB$20+1,2)=2,$CF$10=2,$BX$25&lt;&gt;"HOL"),
AND(WEEKDAY($DB$20+1,2)=3,$CG$10=3,$BX$27&lt;&gt;"HOL"),
AND(WEEKDAY($DB$20+1,2)=4,$CH$10=4,$BX$29&lt;&gt;"HOL"),
AND(WEEKDAY($DB$20+1,2)=5,$CI$10=5,$BX$31&lt;&gt;"HOL"),
AND(WEEKDAY($DB$20+1,2)=6,$CJ$10=6,$BX$33&lt;&gt;"HOL"),
AND(WEEKDAY($DB$20+1,2)=7,$CK$10=7,$BX$35&lt;&gt;"HOL")
)
),$DC$23,
AND($DG$25=AT4,
OR(
AND(WEEKDAY($DB$20+1,2)=1,$CE$14=1,$BX$23&lt;&gt;"HOL"),
AND(WEEKDAY($DB$20+1,2)=2,$CF$14=2,$BX$25&lt;&gt;"HOL"),
AND(WEEKDAY($DB$20+1,2)=3,$CG$14=3,$BX$27&lt;&gt;"HOL"),
AND(WEEKDAY($DB$20+1,2)=4,$CH$14=4,$BX$29&lt;&gt;"HOL"),
AND(WEEKDAY($DB$20+1,2)=5,$CI$14=5,$BX$31&lt;&gt;"HOL"),
AND(WEEKDAY($DB$20+1,2)=6,$CJ$14=6,$BX$33&lt;&gt;"HOL"),
AND(WEEKDAY($DB$20+1,2)=7,$CK$14=7,$BX$35&lt;&gt;"HOL")
)
),$DC$23,
AND($DG$28=AT4,
OR(
AND(WEEKDAY($DB$20+1,2)=1,$CP$10=1,$BX$23&lt;&gt;"HOL"),
AND(WEEKDAY($DB$20+1,2)=2,$CQ$10=2,$BX$25&lt;&gt;"HOL"),
AND(WEEKDAY($DB$20+1,2)=3,$CR$10=3,$BX$27&lt;&gt;"HOL"),
AND(WEEKDAY($DB$20+1,2)=4,$CS$10=4,$BX$29&lt;&gt;"HOL"),
AND(WEEKDAY($DB$20+1,2)=5,$CT$10=5,$BX$31&lt;&gt;"HOL"),
AND(WEEKDAY($DB$20+1,2)=6,$CU$10=6,$BX$33&lt;&gt;"HOL"),
AND(WEEKDAY($DB$20+1,2)=7,$CV$10=7,$BX$35&lt;&gt;"HOL")
)
),$DC$28,
AND($DG$30=AT4,
OR(
AND(WEEKDAY($DB$20+1,2)=1,$CP$14=1,$BX$23&lt;&gt;"HOL"),
AND(WEEKDAY($DB$20+1,2)=2,$CQ$14=2,$BX$25&lt;&gt;"HOL"),
AND(WEEKDAY($DB$20+1,2)=3,$CR$14=3,$BX$27&lt;&gt;"HOL"),
AND(WEEKDAY($DB$20+1,2)=4,$CS$14=4,$BX$29&lt;&gt;"HOL"),
AND(WEEKDAY($DB$20+1,2)=5,$CT$14=5,$BX$31&lt;&gt;"HOL"),
AND(WEEKDAY($DB$20+1,2)=6,$CU$14=6,$BX$33&lt;&gt;"HOL"),
AND(WEEKDAY($DB$20+1,2)=7,$CV$14=7,$BX$35&lt;&gt;"HOL")
)
),$DC$28,
AND($DG$33=AT4,
OR(
AND(WEEKDAY($DB$20+1,2)=1,$DA$10=1,$BX$23&lt;&gt;"HOL"),
AND(WEEKDAY($DB$20+1,2)=2,$DB$10=2,$BX$25&lt;&gt;"HOL"),
AND(WEEKDAY($DB$20+1,2)=3,$DC$10=3,$BX$27&lt;&gt;"HOL"),
AND(WEEKDAY($DB$20+1,2)=4,$DD$10=4,$BX$29&lt;&gt;"HOL"),
AND(WEEKDAY($DB$20+1,2)=5,$DE$10=5,$BX$31&lt;&gt;"HOL"),
AND(WEEKDAY($DB$20+1,2)=6,$DF$10=6,$BX$33&lt;&gt;"HOL"),
AND(WEEKDAY($DB$20+1,2)=7,$DG$10=7,$BX$35&lt;&gt;"HOL")
)
),$DC$33,
AND($DG$35=AT4,
OR(
AND(WEEKDAY($DB$20+1,2)=1,$DA$14=1,$BX$23&lt;&gt;"HOL"),
AND(WEEKDAY($DB$20+1,2)=2,$DB$14=2,$BX$25&lt;&gt;"HOL"),
AND(WEEKDAY($DB$20+1,2)=3,$DC$14=3,$BX$27&lt;&gt;"HOL"),
AND(WEEKDAY($DB$20+1,2)=4,$DD$14=4,$BX$29&lt;&gt;"HOL"),
AND(WEEKDAY($DB$20+1,2)=5,$DE$14=5,$BX$31&lt;&gt;"HOL"),
AND(WEEKDAY($DB$20+1,2)=6,$DF$14=6,$BX$33&lt;&gt;"HOL"),
AND(WEEKDAY($DB$20+1,2)=7,$DG$14=7,$BX$35&lt;&gt;"HOL")
)
),$DC$33,
TRUE,""
)
)</f>
        <v>#VALUE!</v>
      </c>
      <c r="AU7" s="2075" t="e" cm="1">
        <f t="array" aca="1" ref="AU7" ca="1">IF(
$C$3="TODAY",
_xlfn.IFS(
AND($DG$24=AV4,
OR(
AND(WEEKDAY($DB$20,2)=1,$CE$10=1,$BX$23&lt;&gt;"HOL"),
AND(WEEKDAY($DB$20,2)=2,$CF$10=2,$BX$25&lt;&gt;"HOL"),
AND(WEEKDAY($DB$20,2)=3,$CG$10=3,$BX$27&lt;&gt;"HOL"),
AND(WEEKDAY($DB$20,2)=4,$CH$10=4,$BX$29&lt;&gt;"HOL"),
AND(WEEKDAY($DB$20,2)=5,$CI$10=5,$BX$31&lt;&gt;"HOL"),
AND(WEEKDAY($DB$20,2)=6,$CJ$10=6,$BX$33&lt;&gt;"HOL"),
AND(WEEKDAY($DB$20,2)=7,$CK$10=7,$BX$35&lt;&gt;"HOL")
)
),$DD$23,
AND($DG$26=AV4,
OR(
AND(WEEKDAY($DB$20,2)=1,$CE$14=1,$BX$23&lt;&gt;"HOL"),
AND(WEEKDAY($DB$20,2)=2,$CF$14=2,$BX$25&lt;&gt;"HOL"),
AND(WEEKDAY($DB$20,2)=3,$CG$14=3,$BX$27&lt;&gt;"HOL"),
AND(WEEKDAY($DB$20,2)=4,$CH$14=4,$BX$29&lt;&gt;"HOL"),
AND(WEEKDAY($DB$20,2)=5,$CI$14=5,$BX$31&lt;&gt;"HOL"),
AND(WEEKDAY($DB$20,2)=6,$CJ$14=6,$BX$33&lt;&gt;"HOL"),
AND(WEEKDAY($DB$20,2)=7,$CK$14=7,$BX$35&lt;&gt;"HOL")
)
),$DD$23,
AND($DG$29=AV4,
OR(
AND(WEEKDAY($DB$20,2)=1,$CP$10=1,$BX$23&lt;&gt;"HOL"),
AND(WEEKDAY($DB$20,2)=2,$CQ$10=2,$BX$25&lt;&gt;"HOL"),
AND(WEEKDAY($DB$20,2)=3,$CR$10=3,$BX$27&lt;&gt;"HOL"),
AND(WEEKDAY($DB$20,2)=4,$CS$10=4,$BX$29&lt;&gt;"HOL"),
AND(WEEKDAY($DB$20,2)=5,$CT$10=5,$BX$31&lt;&gt;"HOL"),
AND(WEEKDAY($DB$20,2)=6,$CU$10=6,$BX$33&lt;&gt;"HOL"),
AND(WEEKDAY($DB$20,2)=7,$CV$10=7,$BX$35&lt;&gt;"HOL")
)
),$DD$28,
AND($DG$31=AV4,
OR(
AND(WEEKDAY($DB$20,2)=1,$CP$14=1,$BX$23&lt;&gt;"HOL"),
AND(WEEKDAY($DB$20,2)=2,$CQ$14=2,$BX$25&lt;&gt;"HOL"),
AND(WEEKDAY($DB$20,2)=3,$CR$14=3,$BX$27&lt;&gt;"HOL"),
AND(WEEKDAY($DB$20,2)=4,$CS$14=4,$BX$29&lt;&gt;"HOL"),
AND(WEEKDAY($DB$20,2)=5,$CT$14=5,$BX$31&lt;&gt;"HOL"),
AND(WEEKDAY($DB$20,2)=6,$CU$14=6,$BX$33&lt;&gt;"HOL"),
AND(WEEKDAY($DB$20,2)=7,$CV$14=7,$BX$35&lt;&gt;"HOL")
)
),$DD$28,
AND($DG$34=AV4,
OR(
AND(WEEKDAY($DB$20,2)=1,$DA$10=1,$BX$23&lt;&gt;"HOL"),
AND(WEEKDAY($DB$20,2)=2,$DB$10=2,$BX$25&lt;&gt;"HOL"),
AND(WEEKDAY($DB$20,2)=3,$DC$10=3,$BX$27&lt;&gt;"HOL"),
AND(WEEKDAY($DB$20,2)=4,$DD$10=4,$BX$29&lt;&gt;"HOL"),
AND(WEEKDAY($DB$20,2)=5,$DE$10=5,$BX$31&lt;&gt;"HOL"),
AND(WEEKDAY($DB$20,2)=6,$DF$10=6,$BX$33&lt;&gt;"HOL"),
AND(WEEKDAY($DB$20,2)=7,$DG$10=7,$BX$35&lt;&gt;"HOL")
)
),$DD$33,
AND($DG$36=AV4,
OR(
AND(WEEKDAY($DB$20,2)=1,$DA$14=1,$BX$23&lt;&gt;"HOL"),
AND(WEEKDAY($DB$20,2)=2,$DB$14=2,$BX$25&lt;&gt;"HOL"),
AND(WEEKDAY($DB$20,2)=3,$DC$14=3,$BX$27&lt;&gt;"HOL"),
AND(WEEKDAY($DB$20,2)=4,$DD$14=4,$BX$29&lt;&gt;"HOL"),
AND(WEEKDAY($DB$20,2)=5,$DE$14=5,$BX$31&lt;&gt;"HOL"),
AND(WEEKDAY($DB$20,2)=6,$DF$14=6,$BX$33&lt;&gt;"HOL"),
AND(WEEKDAY($DB$20,2)=7,$DG$14=7,$BX$35&lt;&gt;"HOL")
)
),$DD$33,
TRUE,""
),
_xlfn.IFS(
AND($DG$24=AV4,
OR(
AND(WEEKDAY($DB$20+1,2)=1,$CE$10=1,$BX$23&lt;&gt;"HOL"),
AND(WEEKDAY($DB$20+1,2)=2,$CF$10=2,$BX$25&lt;&gt;"HOL"),
AND(WEEKDAY($DB$20+1,2)=3,$CG$10=3,$BX$27&lt;&gt;"HOL"),
AND(WEEKDAY($DB$20+1,2)=4,$CH$10=4,$BX$29&lt;&gt;"HOL"),
AND(WEEKDAY($DB$20+1,2)=5,$CI$10=5,$BX$31&lt;&gt;"HOL"),
AND(WEEKDAY($DB$20+1,2)=6,$CJ$10=6,$BX$33&lt;&gt;"HOL"),
AND(WEEKDAY($DB$20+1,2)=7,$CK$10=7,$BX$35&lt;&gt;"HOL")
)
),$DD$23,
AND($DG$26=AV4,
OR(
AND(WEEKDAY($DB$20+1,2)=1,$CE$14=1,$BX$23&lt;&gt;"HOL"),
AND(WEEKDAY($DB$20+1,2)=2,$CF$14=2,$BX$25&lt;&gt;"HOL"),
AND(WEEKDAY($DB$20+1,2)=3,$CG$14=3,$BX$27&lt;&gt;"HOL"),
AND(WEEKDAY($DB$20+1,2)=4,$CH$14=4,$BX$29&lt;&gt;"HOL"),
AND(WEEKDAY($DB$20+1,2)=5,$CI$14=5,$BX$31&lt;&gt;"HOL"),
AND(WEEKDAY($DB$20+1,2)=6,$CJ$14=6,$BX$33&lt;&gt;"HOL"),
AND(WEEKDAY($DB$20+1,2)=7,$CK$14=7,$BX$35&lt;&gt;"HOL")
)
),$DD$23,
AND($DG$29=AV4,
OR(
AND(WEEKDAY($DB$20+1,2)=1,$CP$10=1,$BX$23&lt;&gt;"HOL"),
AND(WEEKDAY($DB$20+1,2)=2,$CQ$10=2,$BX$25&lt;&gt;"HOL"),
AND(WEEKDAY($DB$20+1,2)=3,$CR$10=3,$BX$27&lt;&gt;"HOL"),
AND(WEEKDAY($DB$20+1,2)=4,$CS$10=4,$BX$29&lt;&gt;"HOL"),
AND(WEEKDAY($DB$20+1,2)=5,$CT$10=5,$BX$31&lt;&gt;"HOL"),
AND(WEEKDAY($DB$20+1,2)=6,$CU$10=6,$BX$33&lt;&gt;"HOL"),
AND(WEEKDAY($DB$20+1,2)=7,$CV$10=7,$BX$35&lt;&gt;"HOL")
)
),$DD$28,
AND($DG$31=AV4,
OR(
AND(WEEKDAY($DB$20+1,2)=1,$CP$14=1,$BX$23&lt;&gt;"HOL"),
AND(WEEKDAY($DB$20+1,2)=2,$CQ$14=2,$BX$25&lt;&gt;"HOL"),
AND(WEEKDAY($DB$20+1,2)=3,$CR$14=3,$BX$27&lt;&gt;"HOL"),
AND(WEEKDAY($DB$20+1,2)=4,$CS$14=4,$BX$29&lt;&gt;"HOL"),
AND(WEEKDAY($DB$20+1,2)=5,$CT$14=5,$BX$31&lt;&gt;"HOL"),
AND(WEEKDAY($DB$20+1,2)=6,$CU$14=6,$BX$33&lt;&gt;"HOL"),
AND(WEEKDAY($DB$20+1,2)=7,$CV$14=7,$BX$35&lt;&gt;"HOL")
)
),$DD$28,
AND($DG$34=AV4,
OR(
AND(WEEKDAY($DB$20+1,2)=1,$DA$10=1,$BX$23&lt;&gt;"HOL"),
AND(WEEKDAY($DB$20+1,2)=2,$DB$10=2,$BX$25&lt;&gt;"HOL"),
AND(WEEKDAY($DB$20+1,2)=3,$DC$10=3,$BX$27&lt;&gt;"HOL"),
AND(WEEKDAY($DB$20+1,2)=4,$DD$10=4,$BX$29&lt;&gt;"HOL"),
AND(WEEKDAY($DB$20+1,2)=5,$DE$10=5,$BX$31&lt;&gt;"HOL"),
AND(WEEKDAY($DB$20+1,2)=6,$DF$10=6,$BX$33&lt;&gt;"HOL"),
AND(WEEKDAY($DB$20+1,2)=7,$DG$10=7,$BX$35&lt;&gt;"HOL")
)
),$DD$33,
AND($DG$36=AV4,
OR(
AND(WEEKDAY($DB$20+1,2)=1,$DA$14=1,$BX$23&lt;&gt;"HOL"),
AND(WEEKDAY($DB$20+1,2)=2,$DB$14=2,$BX$25&lt;&gt;"HOL"),
AND(WEEKDAY($DB$20+1,2)=3,$DC$14=3,$BX$27&lt;&gt;"HOL"),
AND(WEEKDAY($DB$20+1,2)=4,$DD$14=4,$BX$29&lt;&gt;"HOL"),
AND(WEEKDAY($DB$20+1,2)=5,$DE$14=5,$BX$31&lt;&gt;"HOL"),
AND(WEEKDAY($DB$20+1,2)=6,$DF$14=6,$BX$33&lt;&gt;"HOL"),
AND(WEEKDAY($DB$20+1,2)=7,$DG$14=7,$BX$35&lt;&gt;"HOL")
)
),$DD$33,
TRUE,""
)
)</f>
        <v>#VALUE!</v>
      </c>
      <c r="AV7" s="2076" t="e" cm="1">
        <f t="array" aca="1" ref="AV7" ca="1">IF(
$C$3="TODAY",
_xlfn.IFS(
AND($DG$23=AV4,
OR(
AND(WEEKDAY($DB$20,2)=1,$CE$10=1,$BX$23&lt;&gt;"HOL"),
AND(WEEKDAY($DB$20,2)=2,$CF$10=2,$BX$25&lt;&gt;"HOL"),
AND(WEEKDAY($DB$20,2)=3,$CG$10=3,$BX$27&lt;&gt;"HOL"),
AND(WEEKDAY($DB$20,2)=4,$CH$10=4,$BX$29&lt;&gt;"HOL"),
AND(WEEKDAY($DB$20,2)=5,$CI$10=5,$BX$31&lt;&gt;"HOL"),
AND(WEEKDAY($DB$20,2)=6,$CJ$10=6,$BX$33&lt;&gt;"HOL"),
AND(WEEKDAY($DB$20,2)=7,$CK$10=7,$BX$35&lt;&gt;"HOL")
)
),$DC$23,
AND($DG$25=AV4,
OR(
AND(WEEKDAY($DB$20,2)=1,$CE$14=1,$BX$23&lt;&gt;"HOL"),
AND(WEEKDAY($DB$20,2)=2,$CF$14=2,$BX$25&lt;&gt;"HOL"),
AND(WEEKDAY($DB$20,2)=3,$CG$14=3,$BX$27&lt;&gt;"HOL"),
AND(WEEKDAY($DB$20,2)=4,$CH$14=4,$BX$29&lt;&gt;"HOL"),
AND(WEEKDAY($DB$20,2)=5,$CI$14=5,$BX$31&lt;&gt;"HOL"),
AND(WEEKDAY($DB$20,2)=6,$CJ$14=6,$BX$33&lt;&gt;"HOL"),
AND(WEEKDAY($DB$20,2)=7,$CK$14=7,$BX$35&lt;&gt;"HOL")
)
),$DC$23,
AND($DG$28=AV4,
OR(
AND(WEEKDAY($DB$20,2)=1,$CP$10=1,$BX$23&lt;&gt;"HOL"),
AND(WEEKDAY($DB$20,2)=2,$CQ$10=2,$BX$25&lt;&gt;"HOL"),
AND(WEEKDAY($DB$20,2)=3,$CR$10=3,$BX$27&lt;&gt;"HOL"),
AND(WEEKDAY($DB$20,2)=4,$CS$10=4,$BX$29&lt;&gt;"HOL"),
AND(WEEKDAY($DB$20,2)=5,$CT$10=5,$BX$31&lt;&gt;"HOL"),
AND(WEEKDAY($DB$20,2)=6,$CU$10=6,$BX$33&lt;&gt;"HOL"),
AND(WEEKDAY($DB$20,2)=7,$CV$10=7,$BX$35&lt;&gt;"HOL")
)
),$DC$28,
AND($DG$30=AV4,
OR(
AND(WEEKDAY($DB$20,2)=1,$CP$14=1,$BX$23&lt;&gt;"HOL"),
AND(WEEKDAY($DB$20,2)=2,$CQ$14=2,$BX$25&lt;&gt;"HOL"),
AND(WEEKDAY($DB$20,2)=3,$CR$14=3,$BX$27&lt;&gt;"HOL"),
AND(WEEKDAY($DB$20,2)=4,$CS$14=4,$BX$29&lt;&gt;"HOL"),
AND(WEEKDAY($DB$20,2)=5,$CT$14=5,$BX$31&lt;&gt;"HOL"),
AND(WEEKDAY($DB$20,2)=6,$CU$14=6,$BX$33&lt;&gt;"HOL"),
AND(WEEKDAY($DB$20,2)=7,$CV$14=7,$BX$35&lt;&gt;"HOL")
)
),$DC$28,
AND($DG$33=AV4,
OR(
AND(WEEKDAY($DB$20,2)=1,$DA$10=1,$BX$23&lt;&gt;"HOL"),
AND(WEEKDAY($DB$20,2)=2,$DB$10=2,$BX$25&lt;&gt;"HOL"),
AND(WEEKDAY($DB$20,2)=3,$DC$10=3,$BX$27&lt;&gt;"HOL"),
AND(WEEKDAY($DB$20,2)=4,$DD$10=4,$BX$29&lt;&gt;"HOL"),
AND(WEEKDAY($DB$20,2)=5,$DE$10=5,$BX$31&lt;&gt;"HOL"),
AND(WEEKDAY($DB$20,2)=6,$DF$10=6,$BX$33&lt;&gt;"HOL"),
AND(WEEKDAY($DB$20,2)=7,$DG$10=7,$BX$35&lt;&gt;"HOL")
)
),$DC$33,
AND($DG$35=AV4,
OR(
AND(WEEKDAY($DB$20,2)=1,$DA$14=1,$BX$23&lt;&gt;"HOL"),
AND(WEEKDAY($DB$20,2)=2,$DB$14=2,$BX$25&lt;&gt;"HOL"),
AND(WEEKDAY($DB$20,2)=3,$DC$14=3,$BX$27&lt;&gt;"HOL"),
AND(WEEKDAY($DB$20,2)=4,$DD$14=4,$BX$29&lt;&gt;"HOL"),
AND(WEEKDAY($DB$20,2)=5,$DE$14=5,$BX$31&lt;&gt;"HOL"),
AND(WEEKDAY($DB$20,2)=6,$DF$14=6,$BX$33&lt;&gt;"HOL"),
AND(WEEKDAY($DB$20,2)=7,$DG$14=7,$BX$35&lt;&gt;"HOL")
)
),$DC$33,
TRUE,""
),
_xlfn.IFS(
AND($DG$23=AV4,
OR(
AND(WEEKDAY($DB$20+1,2)=1,$CE$10=1,$BX$23&lt;&gt;"HOL"),
AND(WEEKDAY($DB$20+1,2)=2,$CF$10=2,$BX$25&lt;&gt;"HOL"),
AND(WEEKDAY($DB$20+1,2)=3,$CG$10=3,$BX$27&lt;&gt;"HOL"),
AND(WEEKDAY($DB$20+1,2)=4,$CH$10=4,$BX$29&lt;&gt;"HOL"),
AND(WEEKDAY($DB$20+1,2)=5,$CI$10=5,$BX$31&lt;&gt;"HOL"),
AND(WEEKDAY($DB$20+1,2)=6,$CJ$10=6,$BX$33&lt;&gt;"HOL"),
AND(WEEKDAY($DB$20+1,2)=7,$CK$10=7,$BX$35&lt;&gt;"HOL")
)
),$DC$23,
AND($DG$25=AV4,
OR(
AND(WEEKDAY($DB$20+1,2)=1,$CE$14=1,$BX$23&lt;&gt;"HOL"),
AND(WEEKDAY($DB$20+1,2)=2,$CF$14=2,$BX$25&lt;&gt;"HOL"),
AND(WEEKDAY($DB$20+1,2)=3,$CG$14=3,$BX$27&lt;&gt;"HOL"),
AND(WEEKDAY($DB$20+1,2)=4,$CH$14=4,$BX$29&lt;&gt;"HOL"),
AND(WEEKDAY($DB$20+1,2)=5,$CI$14=5,$BX$31&lt;&gt;"HOL"),
AND(WEEKDAY($DB$20+1,2)=6,$CJ$14=6,$BX$33&lt;&gt;"HOL"),
AND(WEEKDAY($DB$20+1,2)=7,$CK$14=7,$BX$35&lt;&gt;"HOL")
)
),$DC$23,
AND($DG$28=AV4,
OR(
AND(WEEKDAY($DB$20+1,2)=1,$CP$10=1,$BX$23&lt;&gt;"HOL"),
AND(WEEKDAY($DB$20+1,2)=2,$CQ$10=2,$BX$25&lt;&gt;"HOL"),
AND(WEEKDAY($DB$20+1,2)=3,$CR$10=3,$BX$27&lt;&gt;"HOL"),
AND(WEEKDAY($DB$20+1,2)=4,$CS$10=4,$BX$29&lt;&gt;"HOL"),
AND(WEEKDAY($DB$20+1,2)=5,$CT$10=5,$BX$31&lt;&gt;"HOL"),
AND(WEEKDAY($DB$20+1,2)=6,$CU$10=6,$BX$33&lt;&gt;"HOL"),
AND(WEEKDAY($DB$20+1,2)=7,$CV$10=7,$BX$35&lt;&gt;"HOL")
)
),$DC$28,
AND($DG$30=AV4,
OR(
AND(WEEKDAY($DB$20+1,2)=1,$CP$14=1,$BX$23&lt;&gt;"HOL"),
AND(WEEKDAY($DB$20+1,2)=2,$CQ$14=2,$BX$25&lt;&gt;"HOL"),
AND(WEEKDAY($DB$20+1,2)=3,$CR$14=3,$BX$27&lt;&gt;"HOL"),
AND(WEEKDAY($DB$20+1,2)=4,$CS$14=4,$BX$29&lt;&gt;"HOL"),
AND(WEEKDAY($DB$20+1,2)=5,$CT$14=5,$BX$31&lt;&gt;"HOL"),
AND(WEEKDAY($DB$20+1,2)=6,$CU$14=6,$BX$33&lt;&gt;"HOL"),
AND(WEEKDAY($DB$20+1,2)=7,$CV$14=7,$BX$35&lt;&gt;"HOL")
)
),$DC$28,
AND($DG$33=AV4,
OR(
AND(WEEKDAY($DB$20+1,2)=1,$DA$10=1,$BX$23&lt;&gt;"HOL"),
AND(WEEKDAY($DB$20+1,2)=2,$DB$10=2,$BX$25&lt;&gt;"HOL"),
AND(WEEKDAY($DB$20+1,2)=3,$DC$10=3,$BX$27&lt;&gt;"HOL"),
AND(WEEKDAY($DB$20+1,2)=4,$DD$10=4,$BX$29&lt;&gt;"HOL"),
AND(WEEKDAY($DB$20+1,2)=5,$DE$10=5,$BX$31&lt;&gt;"HOL"),
AND(WEEKDAY($DB$20+1,2)=6,$DF$10=6,$BX$33&lt;&gt;"HOL"),
AND(WEEKDAY($DB$20+1,2)=7,$DG$10=7,$BX$35&lt;&gt;"HOL")
)
),$DC$33,
AND($DG$35=AV4,
OR(
AND(WEEKDAY($DB$20+1,2)=1,$DA$14=1,$BX$23&lt;&gt;"HOL"),
AND(WEEKDAY($DB$20+1,2)=2,$DB$14=2,$BX$25&lt;&gt;"HOL"),
AND(WEEKDAY($DB$20+1,2)=3,$DC$14=3,$BX$27&lt;&gt;"HOL"),
AND(WEEKDAY($DB$20+1,2)=4,$DD$14=4,$BX$29&lt;&gt;"HOL"),
AND(WEEKDAY($DB$20+1,2)=5,$DE$14=5,$BX$31&lt;&gt;"HOL"),
AND(WEEKDAY($DB$20+1,2)=6,$DF$14=6,$BX$33&lt;&gt;"HOL"),
AND(WEEKDAY($DB$20+1,2)=7,$DG$14=7,$BX$35&lt;&gt;"HOL")
)
),$DC$33,
TRUE,""
)
)</f>
        <v>#VALUE!</v>
      </c>
      <c r="AW7" s="2066" t="e" cm="1">
        <f t="array" aca="1" ref="AW7" ca="1">IF(
$C$3="TODAY",
_xlfn.IFS(
AND($DG$24=AX4,
OR(
AND(WEEKDAY($DB$20,2)=1,$CE$10=1,$BX$23&lt;&gt;"HOL"),
AND(WEEKDAY($DB$20,2)=2,$CF$10=2,$BX$25&lt;&gt;"HOL"),
AND(WEEKDAY($DB$20,2)=3,$CG$10=3,$BX$27&lt;&gt;"HOL"),
AND(WEEKDAY($DB$20,2)=4,$CH$10=4,$BX$29&lt;&gt;"HOL"),
AND(WEEKDAY($DB$20,2)=5,$CI$10=5,$BX$31&lt;&gt;"HOL"),
AND(WEEKDAY($DB$20,2)=6,$CJ$10=6,$BX$33&lt;&gt;"HOL"),
AND(WEEKDAY($DB$20,2)=7,$CK$10=7,$BX$35&lt;&gt;"HOL")
)
),$DD$23,
AND($DG$26=AX4,
OR(
AND(WEEKDAY($DB$20,2)=1,$CE$14=1,$BX$23&lt;&gt;"HOL"),
AND(WEEKDAY($DB$20,2)=2,$CF$14=2,$BX$25&lt;&gt;"HOL"),
AND(WEEKDAY($DB$20,2)=3,$CG$14=3,$BX$27&lt;&gt;"HOL"),
AND(WEEKDAY($DB$20,2)=4,$CH$14=4,$BX$29&lt;&gt;"HOL"),
AND(WEEKDAY($DB$20,2)=5,$CI$14=5,$BX$31&lt;&gt;"HOL"),
AND(WEEKDAY($DB$20,2)=6,$CJ$14=6,$BX$33&lt;&gt;"HOL"),
AND(WEEKDAY($DB$20,2)=7,$CK$14=7,$BX$35&lt;&gt;"HOL")
)
),$DD$23,
AND($DG$29=AX4,
OR(
AND(WEEKDAY($DB$20,2)=1,$CP$10=1,$BX$23&lt;&gt;"HOL"),
AND(WEEKDAY($DB$20,2)=2,$CQ$10=2,$BX$25&lt;&gt;"HOL"),
AND(WEEKDAY($DB$20,2)=3,$CR$10=3,$BX$27&lt;&gt;"HOL"),
AND(WEEKDAY($DB$20,2)=4,$CS$10=4,$BX$29&lt;&gt;"HOL"),
AND(WEEKDAY($DB$20,2)=5,$CT$10=5,$BX$31&lt;&gt;"HOL"),
AND(WEEKDAY($DB$20,2)=6,$CU$10=6,$BX$33&lt;&gt;"HOL"),
AND(WEEKDAY($DB$20,2)=7,$CV$10=7,$BX$35&lt;&gt;"HOL")
)
),$DD$28,
AND($DG$31=AX4,
OR(
AND(WEEKDAY($DB$20,2)=1,$CP$14=1,$BX$23&lt;&gt;"HOL"),
AND(WEEKDAY($DB$20,2)=2,$CQ$14=2,$BX$25&lt;&gt;"HOL"),
AND(WEEKDAY($DB$20,2)=3,$CR$14=3,$BX$27&lt;&gt;"HOL"),
AND(WEEKDAY($DB$20,2)=4,$CS$14=4,$BX$29&lt;&gt;"HOL"),
AND(WEEKDAY($DB$20,2)=5,$CT$14=5,$BX$31&lt;&gt;"HOL"),
AND(WEEKDAY($DB$20,2)=6,$CU$14=6,$BX$33&lt;&gt;"HOL"),
AND(WEEKDAY($DB$20,2)=7,$CV$14=7,$BX$35&lt;&gt;"HOL")
)
),$DD$28,
AND($DG$34=AX4,
OR(
AND(WEEKDAY($DB$20,2)=1,$DA$10=1,$BX$23&lt;&gt;"HOL"),
AND(WEEKDAY($DB$20,2)=2,$DB$10=2,$BX$25&lt;&gt;"HOL"),
AND(WEEKDAY($DB$20,2)=3,$DC$10=3,$BX$27&lt;&gt;"HOL"),
AND(WEEKDAY($DB$20,2)=4,$DD$10=4,$BX$29&lt;&gt;"HOL"),
AND(WEEKDAY($DB$20,2)=5,$DE$10=5,$BX$31&lt;&gt;"HOL"),
AND(WEEKDAY($DB$20,2)=6,$DF$10=6,$BX$33&lt;&gt;"HOL"),
AND(WEEKDAY($DB$20,2)=7,$DG$10=7,$BX$35&lt;&gt;"HOL")
)
),$DD$33,
AND($DG$36=AX4,
OR(
AND(WEEKDAY($DB$20,2)=1,$DA$14=1,$BX$23&lt;&gt;"HOL"),
AND(WEEKDAY($DB$20,2)=2,$DB$14=2,$BX$25&lt;&gt;"HOL"),
AND(WEEKDAY($DB$20,2)=3,$DC$14=3,$BX$27&lt;&gt;"HOL"),
AND(WEEKDAY($DB$20,2)=4,$DD$14=4,$BX$29&lt;&gt;"HOL"),
AND(WEEKDAY($DB$20,2)=5,$DE$14=5,$BX$31&lt;&gt;"HOL"),
AND(WEEKDAY($DB$20,2)=6,$DF$14=6,$BX$33&lt;&gt;"HOL"),
AND(WEEKDAY($DB$20,2)=7,$DG$14=7,$BX$35&lt;&gt;"HOL")
)
),$DD$33,
TRUE,""
),
_xlfn.IFS(
AND($DG$24=AX4,
OR(
AND(WEEKDAY($DB$20+1,2)=1,$CE$10=1,$BX$23&lt;&gt;"HOL"),
AND(WEEKDAY($DB$20+1,2)=2,$CF$10=2,$BX$25&lt;&gt;"HOL"),
AND(WEEKDAY($DB$20+1,2)=3,$CG$10=3,$BX$27&lt;&gt;"HOL"),
AND(WEEKDAY($DB$20+1,2)=4,$CH$10=4,$BX$29&lt;&gt;"HOL"),
AND(WEEKDAY($DB$20+1,2)=5,$CI$10=5,$BX$31&lt;&gt;"HOL"),
AND(WEEKDAY($DB$20+1,2)=6,$CJ$10=6,$BX$33&lt;&gt;"HOL"),
AND(WEEKDAY($DB$20+1,2)=7,$CK$10=7,$BX$35&lt;&gt;"HOL")
)
),$DD$23,
AND($DG$26=AX4,
OR(
AND(WEEKDAY($DB$20+1,2)=1,$CE$14=1,$BX$23&lt;&gt;"HOL"),
AND(WEEKDAY($DB$20+1,2)=2,$CF$14=2,$BX$25&lt;&gt;"HOL"),
AND(WEEKDAY($DB$20+1,2)=3,$CG$14=3,$BX$27&lt;&gt;"HOL"),
AND(WEEKDAY($DB$20+1,2)=4,$CH$14=4,$BX$29&lt;&gt;"HOL"),
AND(WEEKDAY($DB$20+1,2)=5,$CI$14=5,$BX$31&lt;&gt;"HOL"),
AND(WEEKDAY($DB$20+1,2)=6,$CJ$14=6,$BX$33&lt;&gt;"HOL"),
AND(WEEKDAY($DB$20+1,2)=7,$CK$14=7,$BX$35&lt;&gt;"HOL")
)
),$DD$23,
AND($DG$29=AX4,
OR(
AND(WEEKDAY($DB$20+1,2)=1,$CP$10=1,$BX$23&lt;&gt;"HOL"),
AND(WEEKDAY($DB$20+1,2)=2,$CQ$10=2,$BX$25&lt;&gt;"HOL"),
AND(WEEKDAY($DB$20+1,2)=3,$CR$10=3,$BX$27&lt;&gt;"HOL"),
AND(WEEKDAY($DB$20+1,2)=4,$CS$10=4,$BX$29&lt;&gt;"HOL"),
AND(WEEKDAY($DB$20+1,2)=5,$CT$10=5,$BX$31&lt;&gt;"HOL"),
AND(WEEKDAY($DB$20+1,2)=6,$CU$10=6,$BX$33&lt;&gt;"HOL"),
AND(WEEKDAY($DB$20+1,2)=7,$CV$10=7,$BX$35&lt;&gt;"HOL")
)
),$DD$28,
AND($DG$31=AX4,
OR(
AND(WEEKDAY($DB$20+1,2)=1,$CP$14=1,$BX$23&lt;&gt;"HOL"),
AND(WEEKDAY($DB$20+1,2)=2,$CQ$14=2,$BX$25&lt;&gt;"HOL"),
AND(WEEKDAY($DB$20+1,2)=3,$CR$14=3,$BX$27&lt;&gt;"HOL"),
AND(WEEKDAY($DB$20+1,2)=4,$CS$14=4,$BX$29&lt;&gt;"HOL"),
AND(WEEKDAY($DB$20+1,2)=5,$CT$14=5,$BX$31&lt;&gt;"HOL"),
AND(WEEKDAY($DB$20+1,2)=6,$CU$14=6,$BX$33&lt;&gt;"HOL"),
AND(WEEKDAY($DB$20+1,2)=7,$CV$14=7,$BX$35&lt;&gt;"HOL")
)
),$DD$28,
AND($DG$34=AX4,
OR(
AND(WEEKDAY($DB$20+1,2)=1,$DA$10=1,$BX$23&lt;&gt;"HOL"),
AND(WEEKDAY($DB$20+1,2)=2,$DB$10=2,$BX$25&lt;&gt;"HOL"),
AND(WEEKDAY($DB$20+1,2)=3,$DC$10=3,$BX$27&lt;&gt;"HOL"),
AND(WEEKDAY($DB$20+1,2)=4,$DD$10=4,$BX$29&lt;&gt;"HOL"),
AND(WEEKDAY($DB$20+1,2)=5,$DE$10=5,$BX$31&lt;&gt;"HOL"),
AND(WEEKDAY($DB$20+1,2)=6,$DF$10=6,$BX$33&lt;&gt;"HOL"),
AND(WEEKDAY($DB$20+1,2)=7,$DG$10=7,$BX$35&lt;&gt;"HOL")
)
),$DD$33,
AND($DG$36=AX4,
OR(
AND(WEEKDAY($DB$20+1,2)=1,$DA$14=1,$BX$23&lt;&gt;"HOL"),
AND(WEEKDAY($DB$20+1,2)=2,$DB$14=2,$BX$25&lt;&gt;"HOL"),
AND(WEEKDAY($DB$20+1,2)=3,$DC$14=3,$BX$27&lt;&gt;"HOL"),
AND(WEEKDAY($DB$20+1,2)=4,$DD$14=4,$BX$29&lt;&gt;"HOL"),
AND(WEEKDAY($DB$20+1,2)=5,$DE$14=5,$BX$31&lt;&gt;"HOL"),
AND(WEEKDAY($DB$20+1,2)=6,$DF$14=6,$BX$33&lt;&gt;"HOL"),
AND(WEEKDAY($DB$20+1,2)=7,$DG$14=7,$BX$35&lt;&gt;"HOL")
)
),$DD$33,
TRUE,""
)
)</f>
        <v>#VALUE!</v>
      </c>
      <c r="AX7" s="1090" t="e" cm="1">
        <f t="array" aca="1" ref="AX7" ca="1">IF(
$C$3="TODAY",
_xlfn.IFS(
AND($DG$23=AX4,
OR(
AND(WEEKDAY($DB$20,2)=1,$CE$10=1,$BX$23&lt;&gt;"HOL"),
AND(WEEKDAY($DB$20,2)=2,$CF$10=2,$BX$25&lt;&gt;"HOL"),
AND(WEEKDAY($DB$20,2)=3,$CG$10=3,$BX$27&lt;&gt;"HOL"),
AND(WEEKDAY($DB$20,2)=4,$CH$10=4,$BX$29&lt;&gt;"HOL"),
AND(WEEKDAY($DB$20,2)=5,$CI$10=5,$BX$31&lt;&gt;"HOL"),
AND(WEEKDAY($DB$20,2)=6,$CJ$10=6,$BX$33&lt;&gt;"HOL"),
AND(WEEKDAY($DB$20,2)=7,$CK$10=7,$BX$35&lt;&gt;"HOL")
)
),$DC$23,
AND($DG$25=AX4,
OR(
AND(WEEKDAY($DB$20,2)=1,$CE$14=1,$BX$23&lt;&gt;"HOL"),
AND(WEEKDAY($DB$20,2)=2,$CF$14=2,$BX$25&lt;&gt;"HOL"),
AND(WEEKDAY($DB$20,2)=3,$CG$14=3,$BX$27&lt;&gt;"HOL"),
AND(WEEKDAY($DB$20,2)=4,$CH$14=4,$BX$29&lt;&gt;"HOL"),
AND(WEEKDAY($DB$20,2)=5,$CI$14=5,$BX$31&lt;&gt;"HOL"),
AND(WEEKDAY($DB$20,2)=6,$CJ$14=6,$BX$33&lt;&gt;"HOL"),
AND(WEEKDAY($DB$20,2)=7,$CK$14=7,$BX$35&lt;&gt;"HOL")
)
),$DC$23,
AND($DG$28=AX4,
OR(
AND(WEEKDAY($DB$20,2)=1,$CP$10=1,$BX$23&lt;&gt;"HOL"),
AND(WEEKDAY($DB$20,2)=2,$CQ$10=2,$BX$25&lt;&gt;"HOL"),
AND(WEEKDAY($DB$20,2)=3,$CR$10=3,$BX$27&lt;&gt;"HOL"),
AND(WEEKDAY($DB$20,2)=4,$CS$10=4,$BX$29&lt;&gt;"HOL"),
AND(WEEKDAY($DB$20,2)=5,$CT$10=5,$BX$31&lt;&gt;"HOL"),
AND(WEEKDAY($DB$20,2)=6,$CU$10=6,$BX$33&lt;&gt;"HOL"),
AND(WEEKDAY($DB$20,2)=7,$CV$10=7,$BX$35&lt;&gt;"HOL")
)
),$DC$28,
AND($DG$30=AX4,
OR(
AND(WEEKDAY($DB$20,2)=1,$CP$14=1,$BX$23&lt;&gt;"HOL"),
AND(WEEKDAY($DB$20,2)=2,$CQ$14=2,$BX$25&lt;&gt;"HOL"),
AND(WEEKDAY($DB$20,2)=3,$CR$14=3,$BX$27&lt;&gt;"HOL"),
AND(WEEKDAY($DB$20,2)=4,$CS$14=4,$BX$29&lt;&gt;"HOL"),
AND(WEEKDAY($DB$20,2)=5,$CT$14=5,$BX$31&lt;&gt;"HOL"),
AND(WEEKDAY($DB$20,2)=6,$CU$14=6,$BX$33&lt;&gt;"HOL"),
AND(WEEKDAY($DB$20,2)=7,$CV$14=7,$BX$35&lt;&gt;"HOL")
)
),$DC$28,
AND($DG$33=AX4,
OR(
AND(WEEKDAY($DB$20,2)=1,$DA$10=1,$BX$23&lt;&gt;"HOL"),
AND(WEEKDAY($DB$20,2)=2,$DB$10=2,$BX$25&lt;&gt;"HOL"),
AND(WEEKDAY($DB$20,2)=3,$DC$10=3,$BX$27&lt;&gt;"HOL"),
AND(WEEKDAY($DB$20,2)=4,$DD$10=4,$BX$29&lt;&gt;"HOL"),
AND(WEEKDAY($DB$20,2)=5,$DE$10=5,$BX$31&lt;&gt;"HOL"),
AND(WEEKDAY($DB$20,2)=6,$DF$10=6,$BX$33&lt;&gt;"HOL"),
AND(WEEKDAY($DB$20,2)=7,$DG$10=7,$BX$35&lt;&gt;"HOL")
)
),$DC$33,
AND($DG$35=AX4,
OR(
AND(WEEKDAY($DB$20,2)=1,$DA$14=1,$BX$23&lt;&gt;"HOL"),
AND(WEEKDAY($DB$20,2)=2,$DB$14=2,$BX$25&lt;&gt;"HOL"),
AND(WEEKDAY($DB$20,2)=3,$DC$14=3,$BX$27&lt;&gt;"HOL"),
AND(WEEKDAY($DB$20,2)=4,$DD$14=4,$BX$29&lt;&gt;"HOL"),
AND(WEEKDAY($DB$20,2)=5,$DE$14=5,$BX$31&lt;&gt;"HOL"),
AND(WEEKDAY($DB$20,2)=6,$DF$14=6,$BX$33&lt;&gt;"HOL"),
AND(WEEKDAY($DB$20,2)=7,$DG$14=7,$BX$35&lt;&gt;"HOL")
)
),$DC$33,
TRUE,""
),
_xlfn.IFS(
AND($DG$23=AX4,
OR(
AND(WEEKDAY($DB$20+1,2)=1,$CE$10=1,$BX$23&lt;&gt;"HOL"),
AND(WEEKDAY($DB$20+1,2)=2,$CF$10=2,$BX$25&lt;&gt;"HOL"),
AND(WEEKDAY($DB$20+1,2)=3,$CG$10=3,$BX$27&lt;&gt;"HOL"),
AND(WEEKDAY($DB$20+1,2)=4,$CH$10=4,$BX$29&lt;&gt;"HOL"),
AND(WEEKDAY($DB$20+1,2)=5,$CI$10=5,$BX$31&lt;&gt;"HOL"),
AND(WEEKDAY($DB$20+1,2)=6,$CJ$10=6,$BX$33&lt;&gt;"HOL"),
AND(WEEKDAY($DB$20+1,2)=7,$CK$10=7,$BX$35&lt;&gt;"HOL")
)
),$DC$23,
AND($DG$25=AX4,
OR(
AND(WEEKDAY($DB$20+1,2)=1,$CE$14=1,$BX$23&lt;&gt;"HOL"),
AND(WEEKDAY($DB$20+1,2)=2,$CF$14=2,$BX$25&lt;&gt;"HOL"),
AND(WEEKDAY($DB$20+1,2)=3,$CG$14=3,$BX$27&lt;&gt;"HOL"),
AND(WEEKDAY($DB$20+1,2)=4,$CH$14=4,$BX$29&lt;&gt;"HOL"),
AND(WEEKDAY($DB$20+1,2)=5,$CI$14=5,$BX$31&lt;&gt;"HOL"),
AND(WEEKDAY($DB$20+1,2)=6,$CJ$14=6,$BX$33&lt;&gt;"HOL"),
AND(WEEKDAY($DB$20+1,2)=7,$CK$14=7,$BX$35&lt;&gt;"HOL")
)
),$DC$23,
AND($DG$28=AX4,
OR(
AND(WEEKDAY($DB$20+1,2)=1,$CP$10=1,$BX$23&lt;&gt;"HOL"),
AND(WEEKDAY($DB$20+1,2)=2,$CQ$10=2,$BX$25&lt;&gt;"HOL"),
AND(WEEKDAY($DB$20+1,2)=3,$CR$10=3,$BX$27&lt;&gt;"HOL"),
AND(WEEKDAY($DB$20+1,2)=4,$CS$10=4,$BX$29&lt;&gt;"HOL"),
AND(WEEKDAY($DB$20+1,2)=5,$CT$10=5,$BX$31&lt;&gt;"HOL"),
AND(WEEKDAY($DB$20+1,2)=6,$CU$10=6,$BX$33&lt;&gt;"HOL"),
AND(WEEKDAY($DB$20+1,2)=7,$CV$10=7,$BX$35&lt;&gt;"HOL")
)
),$DC$28,
AND($DG$30=AX4,
OR(
AND(WEEKDAY($DB$20+1,2)=1,$CP$14=1,$BX$23&lt;&gt;"HOL"),
AND(WEEKDAY($DB$20+1,2)=2,$CQ$14=2,$BX$25&lt;&gt;"HOL"),
AND(WEEKDAY($DB$20+1,2)=3,$CR$14=3,$BX$27&lt;&gt;"HOL"),
AND(WEEKDAY($DB$20+1,2)=4,$CS$14=4,$BX$29&lt;&gt;"HOL"),
AND(WEEKDAY($DB$20+1,2)=5,$CT$14=5,$BX$31&lt;&gt;"HOL"),
AND(WEEKDAY($DB$20+1,2)=6,$CU$14=6,$BX$33&lt;&gt;"HOL"),
AND(WEEKDAY($DB$20+1,2)=7,$CV$14=7,$BX$35&lt;&gt;"HOL")
)
),$DC$28,
AND($DG$33=AX4,
OR(
AND(WEEKDAY($DB$20+1,2)=1,$DA$10=1,$BX$23&lt;&gt;"HOL"),
AND(WEEKDAY($DB$20+1,2)=2,$DB$10=2,$BX$25&lt;&gt;"HOL"),
AND(WEEKDAY($DB$20+1,2)=3,$DC$10=3,$BX$27&lt;&gt;"HOL"),
AND(WEEKDAY($DB$20+1,2)=4,$DD$10=4,$BX$29&lt;&gt;"HOL"),
AND(WEEKDAY($DB$20+1,2)=5,$DE$10=5,$BX$31&lt;&gt;"HOL"),
AND(WEEKDAY($DB$20+1,2)=6,$DF$10=6,$BX$33&lt;&gt;"HOL"),
AND(WEEKDAY($DB$20+1,2)=7,$DG$10=7,$BX$35&lt;&gt;"HOL")
)
),$DC$33,
AND($DG$35=AX4,
OR(
AND(WEEKDAY($DB$20+1,2)=1,$DA$14=1,$BX$23&lt;&gt;"HOL"),
AND(WEEKDAY($DB$20+1,2)=2,$DB$14=2,$BX$25&lt;&gt;"HOL"),
AND(WEEKDAY($DB$20+1,2)=3,$DC$14=3,$BX$27&lt;&gt;"HOL"),
AND(WEEKDAY($DB$20+1,2)=4,$DD$14=4,$BX$29&lt;&gt;"HOL"),
AND(WEEKDAY($DB$20+1,2)=5,$DE$14=5,$BX$31&lt;&gt;"HOL"),
AND(WEEKDAY($DB$20+1,2)=6,$DF$14=6,$BX$33&lt;&gt;"HOL"),
AND(WEEKDAY($DB$20+1,2)=7,$DG$14=7,$BX$35&lt;&gt;"HOL")
)
),$DC$33,
TRUE,""
)
)</f>
        <v>#VALUE!</v>
      </c>
      <c r="AY7" s="2075" t="e" cm="1">
        <f t="array" aca="1" ref="AY7" ca="1">IF(
$C$3="TODAY",
_xlfn.IFS(
AND($DG$24=AZ4,
OR(
AND(WEEKDAY($DB$20,2)=1,$CE$10=1,$BX$23&lt;&gt;"HOL"),
AND(WEEKDAY($DB$20,2)=2,$CF$10=2,$BX$25&lt;&gt;"HOL"),
AND(WEEKDAY($DB$20,2)=3,$CG$10=3,$BX$27&lt;&gt;"HOL"),
AND(WEEKDAY($DB$20,2)=4,$CH$10=4,$BX$29&lt;&gt;"HOL"),
AND(WEEKDAY($DB$20,2)=5,$CI$10=5,$BX$31&lt;&gt;"HOL"),
AND(WEEKDAY($DB$20,2)=6,$CJ$10=6,$BX$33&lt;&gt;"HOL"),
AND(WEEKDAY($DB$20,2)=7,$CK$10=7,$BX$35&lt;&gt;"HOL")
)
),$DD$23,
AND($DG$26=AZ4,
OR(
AND(WEEKDAY($DB$20,2)=1,$CE$14=1,$BX$23&lt;&gt;"HOL"),
AND(WEEKDAY($DB$20,2)=2,$CF$14=2,$BX$25&lt;&gt;"HOL"),
AND(WEEKDAY($DB$20,2)=3,$CG$14=3,$BX$27&lt;&gt;"HOL"),
AND(WEEKDAY($DB$20,2)=4,$CH$14=4,$BX$29&lt;&gt;"HOL"),
AND(WEEKDAY($DB$20,2)=5,$CI$14=5,$BX$31&lt;&gt;"HOL"),
AND(WEEKDAY($DB$20,2)=6,$CJ$14=6,$BX$33&lt;&gt;"HOL"),
AND(WEEKDAY($DB$20,2)=7,$CK$14=7,$BX$35&lt;&gt;"HOL")
)
),$DD$23,
AND($DG$29=AZ4,
OR(
AND(WEEKDAY($DB$20,2)=1,$CP$10=1,$BX$23&lt;&gt;"HOL"),
AND(WEEKDAY($DB$20,2)=2,$CQ$10=2,$BX$25&lt;&gt;"HOL"),
AND(WEEKDAY($DB$20,2)=3,$CR$10=3,$BX$27&lt;&gt;"HOL"),
AND(WEEKDAY($DB$20,2)=4,$CS$10=4,$BX$29&lt;&gt;"HOL"),
AND(WEEKDAY($DB$20,2)=5,$CT$10=5,$BX$31&lt;&gt;"HOL"),
AND(WEEKDAY($DB$20,2)=6,$CU$10=6,$BX$33&lt;&gt;"HOL"),
AND(WEEKDAY($DB$20,2)=7,$CV$10=7,$BX$35&lt;&gt;"HOL")
)
),$DD$28,
AND($DG$31=AZ4,
OR(
AND(WEEKDAY($DB$20,2)=1,$CP$14=1,$BX$23&lt;&gt;"HOL"),
AND(WEEKDAY($DB$20,2)=2,$CQ$14=2,$BX$25&lt;&gt;"HOL"),
AND(WEEKDAY($DB$20,2)=3,$CR$14=3,$BX$27&lt;&gt;"HOL"),
AND(WEEKDAY($DB$20,2)=4,$CS$14=4,$BX$29&lt;&gt;"HOL"),
AND(WEEKDAY($DB$20,2)=5,$CT$14=5,$BX$31&lt;&gt;"HOL"),
AND(WEEKDAY($DB$20,2)=6,$CU$14=6,$BX$33&lt;&gt;"HOL"),
AND(WEEKDAY($DB$20,2)=7,$CV$14=7,$BX$35&lt;&gt;"HOL")
)
),$DD$28,
AND($DG$34=AZ4,
OR(
AND(WEEKDAY($DB$20,2)=1,$DA$10=1,$BX$23&lt;&gt;"HOL"),
AND(WEEKDAY($DB$20,2)=2,$DB$10=2,$BX$25&lt;&gt;"HOL"),
AND(WEEKDAY($DB$20,2)=3,$DC$10=3,$BX$27&lt;&gt;"HOL"),
AND(WEEKDAY($DB$20,2)=4,$DD$10=4,$BX$29&lt;&gt;"HOL"),
AND(WEEKDAY($DB$20,2)=5,$DE$10=5,$BX$31&lt;&gt;"HOL"),
AND(WEEKDAY($DB$20,2)=6,$DF$10=6,$BX$33&lt;&gt;"HOL"),
AND(WEEKDAY($DB$20,2)=7,$DG$10=7,$BX$35&lt;&gt;"HOL")
)
),$DD$33,
AND($DG$36=AZ4,
OR(
AND(WEEKDAY($DB$20,2)=1,$DA$14=1,$BX$23&lt;&gt;"HOL"),
AND(WEEKDAY($DB$20,2)=2,$DB$14=2,$BX$25&lt;&gt;"HOL"),
AND(WEEKDAY($DB$20,2)=3,$DC$14=3,$BX$27&lt;&gt;"HOL"),
AND(WEEKDAY($DB$20,2)=4,$DD$14=4,$BX$29&lt;&gt;"HOL"),
AND(WEEKDAY($DB$20,2)=5,$DE$14=5,$BX$31&lt;&gt;"HOL"),
AND(WEEKDAY($DB$20,2)=6,$DF$14=6,$BX$33&lt;&gt;"HOL"),
AND(WEEKDAY($DB$20,2)=7,$DG$14=7,$BX$35&lt;&gt;"HOL")
)
),$DD$33,
TRUE,""
),
_xlfn.IFS(
AND($DG$24=AZ4,
OR(
AND(WEEKDAY($DB$20+1,2)=1,$CE$10=1,$BX$23&lt;&gt;"HOL"),
AND(WEEKDAY($DB$20+1,2)=2,$CF$10=2,$BX$25&lt;&gt;"HOL"),
AND(WEEKDAY($DB$20+1,2)=3,$CG$10=3,$BX$27&lt;&gt;"HOL"),
AND(WEEKDAY($DB$20+1,2)=4,$CH$10=4,$BX$29&lt;&gt;"HOL"),
AND(WEEKDAY($DB$20+1,2)=5,$CI$10=5,$BX$31&lt;&gt;"HOL"),
AND(WEEKDAY($DB$20+1,2)=6,$CJ$10=6,$BX$33&lt;&gt;"HOL"),
AND(WEEKDAY($DB$20+1,2)=7,$CK$10=7,$BX$35&lt;&gt;"HOL")
)
),$DD$23,
AND($DG$26=AZ4,
OR(
AND(WEEKDAY($DB$20+1,2)=1,$CE$14=1,$BX$23&lt;&gt;"HOL"),
AND(WEEKDAY($DB$20+1,2)=2,$CF$14=2,$BX$25&lt;&gt;"HOL"),
AND(WEEKDAY($DB$20+1,2)=3,$CG$14=3,$BX$27&lt;&gt;"HOL"),
AND(WEEKDAY($DB$20+1,2)=4,$CH$14=4,$BX$29&lt;&gt;"HOL"),
AND(WEEKDAY($DB$20+1,2)=5,$CI$14=5,$BX$31&lt;&gt;"HOL"),
AND(WEEKDAY($DB$20+1,2)=6,$CJ$14=6,$BX$33&lt;&gt;"HOL"),
AND(WEEKDAY($DB$20+1,2)=7,$CK$14=7,$BX$35&lt;&gt;"HOL")
)
),$DD$23,
AND($DG$29=AZ4,
OR(
AND(WEEKDAY($DB$20+1,2)=1,$CP$10=1,$BX$23&lt;&gt;"HOL"),
AND(WEEKDAY($DB$20+1,2)=2,$CQ$10=2,$BX$25&lt;&gt;"HOL"),
AND(WEEKDAY($DB$20+1,2)=3,$CR$10=3,$BX$27&lt;&gt;"HOL"),
AND(WEEKDAY($DB$20+1,2)=4,$CS$10=4,$BX$29&lt;&gt;"HOL"),
AND(WEEKDAY($DB$20+1,2)=5,$CT$10=5,$BX$31&lt;&gt;"HOL"),
AND(WEEKDAY($DB$20+1,2)=6,$CU$10=6,$BX$33&lt;&gt;"HOL"),
AND(WEEKDAY($DB$20+1,2)=7,$CV$10=7,$BX$35&lt;&gt;"HOL")
)
),$DD$28,
AND($DG$31=AZ4,
OR(
AND(WEEKDAY($DB$20+1,2)=1,$CP$14=1,$BX$23&lt;&gt;"HOL"),
AND(WEEKDAY($DB$20+1,2)=2,$CQ$14=2,$BX$25&lt;&gt;"HOL"),
AND(WEEKDAY($DB$20+1,2)=3,$CR$14=3,$BX$27&lt;&gt;"HOL"),
AND(WEEKDAY($DB$20+1,2)=4,$CS$14=4,$BX$29&lt;&gt;"HOL"),
AND(WEEKDAY($DB$20+1,2)=5,$CT$14=5,$BX$31&lt;&gt;"HOL"),
AND(WEEKDAY($DB$20+1,2)=6,$CU$14=6,$BX$33&lt;&gt;"HOL"),
AND(WEEKDAY($DB$20+1,2)=7,$CV$14=7,$BX$35&lt;&gt;"HOL")
)
),$DD$28,
AND($DG$34=AZ4,
OR(
AND(WEEKDAY($DB$20+1,2)=1,$DA$10=1,$BX$23&lt;&gt;"HOL"),
AND(WEEKDAY($DB$20+1,2)=2,$DB$10=2,$BX$25&lt;&gt;"HOL"),
AND(WEEKDAY($DB$20+1,2)=3,$DC$10=3,$BX$27&lt;&gt;"HOL"),
AND(WEEKDAY($DB$20+1,2)=4,$DD$10=4,$BX$29&lt;&gt;"HOL"),
AND(WEEKDAY($DB$20+1,2)=5,$DE$10=5,$BX$31&lt;&gt;"HOL"),
AND(WEEKDAY($DB$20+1,2)=6,$DF$10=6,$BX$33&lt;&gt;"HOL"),
AND(WEEKDAY($DB$20+1,2)=7,$DG$10=7,$BX$35&lt;&gt;"HOL")
)
),$DD$33,
AND($DG$36=AZ4,
OR(
AND(WEEKDAY($DB$20+1,2)=1,$DA$14=1,$BX$23&lt;&gt;"HOL"),
AND(WEEKDAY($DB$20+1,2)=2,$DB$14=2,$BX$25&lt;&gt;"HOL"),
AND(WEEKDAY($DB$20+1,2)=3,$DC$14=3,$BX$27&lt;&gt;"HOL"),
AND(WEEKDAY($DB$20+1,2)=4,$DD$14=4,$BX$29&lt;&gt;"HOL"),
AND(WEEKDAY($DB$20+1,2)=5,$DE$14=5,$BX$31&lt;&gt;"HOL"),
AND(WEEKDAY($DB$20+1,2)=6,$DF$14=6,$BX$33&lt;&gt;"HOL"),
AND(WEEKDAY($DB$20+1,2)=7,$DG$14=7,$BX$35&lt;&gt;"HOL")
)
),$DD$33,
TRUE,""
)
)</f>
        <v>#VALUE!</v>
      </c>
      <c r="AZ7" s="2076" t="e" cm="1">
        <f t="array" aca="1" ref="AZ7" ca="1">IF(
$C$3="TODAY",
_xlfn.IFS(
AND($DG$23=AZ4,
OR(
AND(WEEKDAY($DB$20,2)=1,$CE$10=1,$BX$23&lt;&gt;"HOL"),
AND(WEEKDAY($DB$20,2)=2,$CF$10=2,$BX$25&lt;&gt;"HOL"),
AND(WEEKDAY($DB$20,2)=3,$CG$10=3,$BX$27&lt;&gt;"HOL"),
AND(WEEKDAY($DB$20,2)=4,$CH$10=4,$BX$29&lt;&gt;"HOL"),
AND(WEEKDAY($DB$20,2)=5,$CI$10=5,$BX$31&lt;&gt;"HOL"),
AND(WEEKDAY($DB$20,2)=6,$CJ$10=6,$BX$33&lt;&gt;"HOL"),
AND(WEEKDAY($DB$20,2)=7,$CK$10=7,$BX$35&lt;&gt;"HOL")
)
),$DC$23,
AND($DG$25=AZ4,
OR(
AND(WEEKDAY($DB$20,2)=1,$CE$14=1,$BX$23&lt;&gt;"HOL"),
AND(WEEKDAY($DB$20,2)=2,$CF$14=2,$BX$25&lt;&gt;"HOL"),
AND(WEEKDAY($DB$20,2)=3,$CG$14=3,$BX$27&lt;&gt;"HOL"),
AND(WEEKDAY($DB$20,2)=4,$CH$14=4,$BX$29&lt;&gt;"HOL"),
AND(WEEKDAY($DB$20,2)=5,$CI$14=5,$BX$31&lt;&gt;"HOL"),
AND(WEEKDAY($DB$20,2)=6,$CJ$14=6,$BX$33&lt;&gt;"HOL"),
AND(WEEKDAY($DB$20,2)=7,$CK$14=7,$BX$35&lt;&gt;"HOL")
)
),$DC$23,
AND($DG$28=AZ4,
OR(
AND(WEEKDAY($DB$20,2)=1,$CP$10=1,$BX$23&lt;&gt;"HOL"),
AND(WEEKDAY($DB$20,2)=2,$CQ$10=2,$BX$25&lt;&gt;"HOL"),
AND(WEEKDAY($DB$20,2)=3,$CR$10=3,$BX$27&lt;&gt;"HOL"),
AND(WEEKDAY($DB$20,2)=4,$CS$10=4,$BX$29&lt;&gt;"HOL"),
AND(WEEKDAY($DB$20,2)=5,$CT$10=5,$BX$31&lt;&gt;"HOL"),
AND(WEEKDAY($DB$20,2)=6,$CU$10=6,$BX$33&lt;&gt;"HOL"),
AND(WEEKDAY($DB$20,2)=7,$CV$10=7,$BX$35&lt;&gt;"HOL")
)
),$DC$28,
AND($DG$30=AZ4,
OR(
AND(WEEKDAY($DB$20,2)=1,$CP$14=1,$BX$23&lt;&gt;"HOL"),
AND(WEEKDAY($DB$20,2)=2,$CQ$14=2,$BX$25&lt;&gt;"HOL"),
AND(WEEKDAY($DB$20,2)=3,$CR$14=3,$BX$27&lt;&gt;"HOL"),
AND(WEEKDAY($DB$20,2)=4,$CS$14=4,$BX$29&lt;&gt;"HOL"),
AND(WEEKDAY($DB$20,2)=5,$CT$14=5,$BX$31&lt;&gt;"HOL"),
AND(WEEKDAY($DB$20,2)=6,$CU$14=6,$BX$33&lt;&gt;"HOL"),
AND(WEEKDAY($DB$20,2)=7,$CV$14=7,$BX$35&lt;&gt;"HOL")
)
),$DC$28,
AND($DG$33=AZ4,
OR(
AND(WEEKDAY($DB$20,2)=1,$DA$10=1,$BX$23&lt;&gt;"HOL"),
AND(WEEKDAY($DB$20,2)=2,$DB$10=2,$BX$25&lt;&gt;"HOL"),
AND(WEEKDAY($DB$20,2)=3,$DC$10=3,$BX$27&lt;&gt;"HOL"),
AND(WEEKDAY($DB$20,2)=4,$DD$10=4,$BX$29&lt;&gt;"HOL"),
AND(WEEKDAY($DB$20,2)=5,$DE$10=5,$BX$31&lt;&gt;"HOL"),
AND(WEEKDAY($DB$20,2)=6,$DF$10=6,$BX$33&lt;&gt;"HOL"),
AND(WEEKDAY($DB$20,2)=7,$DG$10=7,$BX$35&lt;&gt;"HOL")
)
),$DC$33,
AND($DG$35=AZ4,
OR(
AND(WEEKDAY($DB$20,2)=1,$DA$14=1,$BX$23&lt;&gt;"HOL"),
AND(WEEKDAY($DB$20,2)=2,$DB$14=2,$BX$25&lt;&gt;"HOL"),
AND(WEEKDAY($DB$20,2)=3,$DC$14=3,$BX$27&lt;&gt;"HOL"),
AND(WEEKDAY($DB$20,2)=4,$DD$14=4,$BX$29&lt;&gt;"HOL"),
AND(WEEKDAY($DB$20,2)=5,$DE$14=5,$BX$31&lt;&gt;"HOL"),
AND(WEEKDAY($DB$20,2)=6,$DF$14=6,$BX$33&lt;&gt;"HOL"),
AND(WEEKDAY($DB$20,2)=7,$DG$14=7,$BX$35&lt;&gt;"HOL")
)
),$DC$33,
TRUE,""
),
_xlfn.IFS(
AND($DG$23=AZ4,
OR(
AND(WEEKDAY($DB$20+1,2)=1,$CE$10=1,$BX$23&lt;&gt;"HOL"),
AND(WEEKDAY($DB$20+1,2)=2,$CF$10=2,$BX$25&lt;&gt;"HOL"),
AND(WEEKDAY($DB$20+1,2)=3,$CG$10=3,$BX$27&lt;&gt;"HOL"),
AND(WEEKDAY($DB$20+1,2)=4,$CH$10=4,$BX$29&lt;&gt;"HOL"),
AND(WEEKDAY($DB$20+1,2)=5,$CI$10=5,$BX$31&lt;&gt;"HOL"),
AND(WEEKDAY($DB$20+1,2)=6,$CJ$10=6,$BX$33&lt;&gt;"HOL"),
AND(WEEKDAY($DB$20+1,2)=7,$CK$10=7,$BX$35&lt;&gt;"HOL")
)
),$DC$23,
AND($DG$25=AZ4,
OR(
AND(WEEKDAY($DB$20+1,2)=1,$CE$14=1,$BX$23&lt;&gt;"HOL"),
AND(WEEKDAY($DB$20+1,2)=2,$CF$14=2,$BX$25&lt;&gt;"HOL"),
AND(WEEKDAY($DB$20+1,2)=3,$CG$14=3,$BX$27&lt;&gt;"HOL"),
AND(WEEKDAY($DB$20+1,2)=4,$CH$14=4,$BX$29&lt;&gt;"HOL"),
AND(WEEKDAY($DB$20+1,2)=5,$CI$14=5,$BX$31&lt;&gt;"HOL"),
AND(WEEKDAY($DB$20+1,2)=6,$CJ$14=6,$BX$33&lt;&gt;"HOL"),
AND(WEEKDAY($DB$20+1,2)=7,$CK$14=7,$BX$35&lt;&gt;"HOL")
)
),$DC$23,
AND($DG$28=AZ4,
OR(
AND(WEEKDAY($DB$20+1,2)=1,$CP$10=1,$BX$23&lt;&gt;"HOL"),
AND(WEEKDAY($DB$20+1,2)=2,$CQ$10=2,$BX$25&lt;&gt;"HOL"),
AND(WEEKDAY($DB$20+1,2)=3,$CR$10=3,$BX$27&lt;&gt;"HOL"),
AND(WEEKDAY($DB$20+1,2)=4,$CS$10=4,$BX$29&lt;&gt;"HOL"),
AND(WEEKDAY($DB$20+1,2)=5,$CT$10=5,$BX$31&lt;&gt;"HOL"),
AND(WEEKDAY($DB$20+1,2)=6,$CU$10=6,$BX$33&lt;&gt;"HOL"),
AND(WEEKDAY($DB$20+1,2)=7,$CV$10=7,$BX$35&lt;&gt;"HOL")
)
),$DC$28,
AND($DG$30=AZ4,
OR(
AND(WEEKDAY($DB$20+1,2)=1,$CP$14=1,$BX$23&lt;&gt;"HOL"),
AND(WEEKDAY($DB$20+1,2)=2,$CQ$14=2,$BX$25&lt;&gt;"HOL"),
AND(WEEKDAY($DB$20+1,2)=3,$CR$14=3,$BX$27&lt;&gt;"HOL"),
AND(WEEKDAY($DB$20+1,2)=4,$CS$14=4,$BX$29&lt;&gt;"HOL"),
AND(WEEKDAY($DB$20+1,2)=5,$CT$14=5,$BX$31&lt;&gt;"HOL"),
AND(WEEKDAY($DB$20+1,2)=6,$CU$14=6,$BX$33&lt;&gt;"HOL"),
AND(WEEKDAY($DB$20+1,2)=7,$CV$14=7,$BX$35&lt;&gt;"HOL")
)
),$DC$28,
AND($DG$33=AZ4,
OR(
AND(WEEKDAY($DB$20+1,2)=1,$DA$10=1,$BX$23&lt;&gt;"HOL"),
AND(WEEKDAY($DB$20+1,2)=2,$DB$10=2,$BX$25&lt;&gt;"HOL"),
AND(WEEKDAY($DB$20+1,2)=3,$DC$10=3,$BX$27&lt;&gt;"HOL"),
AND(WEEKDAY($DB$20+1,2)=4,$DD$10=4,$BX$29&lt;&gt;"HOL"),
AND(WEEKDAY($DB$20+1,2)=5,$DE$10=5,$BX$31&lt;&gt;"HOL"),
AND(WEEKDAY($DB$20+1,2)=6,$DF$10=6,$BX$33&lt;&gt;"HOL"),
AND(WEEKDAY($DB$20+1,2)=7,$DG$10=7,$BX$35&lt;&gt;"HOL")
)
),$DC$33,
AND($DG$35=AZ4,
OR(
AND(WEEKDAY($DB$20+1,2)=1,$DA$14=1,$BX$23&lt;&gt;"HOL"),
AND(WEEKDAY($DB$20+1,2)=2,$DB$14=2,$BX$25&lt;&gt;"HOL"),
AND(WEEKDAY($DB$20+1,2)=3,$DC$14=3,$BX$27&lt;&gt;"HOL"),
AND(WEEKDAY($DB$20+1,2)=4,$DD$14=4,$BX$29&lt;&gt;"HOL"),
AND(WEEKDAY($DB$20+1,2)=5,$DE$14=5,$BX$31&lt;&gt;"HOL"),
AND(WEEKDAY($DB$20+1,2)=6,$DF$14=6,$BX$33&lt;&gt;"HOL"),
AND(WEEKDAY($DB$20+1,2)=7,$DG$14=7,$BX$35&lt;&gt;"HOL")
)
),$DC$33,
TRUE,""
)
)</f>
        <v>#VALUE!</v>
      </c>
      <c r="BA7" s="2066" t="e" cm="1">
        <f t="array" aca="1" ref="BA7" ca="1">IF(
$C$3="TODAY",
_xlfn.IFS(
AND($DG$24=BB4,
OR(
AND(WEEKDAY($DB$20,2)=1,$CE$10=1,$BX$23&lt;&gt;"HOL"),
AND(WEEKDAY($DB$20,2)=2,$CF$10=2,$BX$25&lt;&gt;"HOL"),
AND(WEEKDAY($DB$20,2)=3,$CG$10=3,$BX$27&lt;&gt;"HOL"),
AND(WEEKDAY($DB$20,2)=4,$CH$10=4,$BX$29&lt;&gt;"HOL"),
AND(WEEKDAY($DB$20,2)=5,$CI$10=5,$BX$31&lt;&gt;"HOL"),
AND(WEEKDAY($DB$20,2)=6,$CJ$10=6,$BX$33&lt;&gt;"HOL"),
AND(WEEKDAY($DB$20,2)=7,$CK$10=7,$BX$35&lt;&gt;"HOL")
)
),$DD$23,
AND($DG$26=BB4,
OR(
AND(WEEKDAY($DB$20,2)=1,$CE$14=1,$BX$23&lt;&gt;"HOL"),
AND(WEEKDAY($DB$20,2)=2,$CF$14=2,$BX$25&lt;&gt;"HOL"),
AND(WEEKDAY($DB$20,2)=3,$CG$14=3,$BX$27&lt;&gt;"HOL"),
AND(WEEKDAY($DB$20,2)=4,$CH$14=4,$BX$29&lt;&gt;"HOL"),
AND(WEEKDAY($DB$20,2)=5,$CI$14=5,$BX$31&lt;&gt;"HOL"),
AND(WEEKDAY($DB$20,2)=6,$CJ$14=6,$BX$33&lt;&gt;"HOL"),
AND(WEEKDAY($DB$20,2)=7,$CK$14=7,$BX$35&lt;&gt;"HOL")
)
),$DD$23,
AND($DG$29=BB4,
OR(
AND(WEEKDAY($DB$20,2)=1,$CP$10=1,$BX$23&lt;&gt;"HOL"),
AND(WEEKDAY($DB$20,2)=2,$CQ$10=2,$BX$25&lt;&gt;"HOL"),
AND(WEEKDAY($DB$20,2)=3,$CR$10=3,$BX$27&lt;&gt;"HOL"),
AND(WEEKDAY($DB$20,2)=4,$CS$10=4,$BX$29&lt;&gt;"HOL"),
AND(WEEKDAY($DB$20,2)=5,$CT$10=5,$BX$31&lt;&gt;"HOL"),
AND(WEEKDAY($DB$20,2)=6,$CU$10=6,$BX$33&lt;&gt;"HOL"),
AND(WEEKDAY($DB$20,2)=7,$CV$10=7,$BX$35&lt;&gt;"HOL")
)
),$DD$28,
AND($DG$31=BB4,
OR(
AND(WEEKDAY($DB$20,2)=1,$CP$14=1,$BX$23&lt;&gt;"HOL"),
AND(WEEKDAY($DB$20,2)=2,$CQ$14=2,$BX$25&lt;&gt;"HOL"),
AND(WEEKDAY($DB$20,2)=3,$CR$14=3,$BX$27&lt;&gt;"HOL"),
AND(WEEKDAY($DB$20,2)=4,$CS$14=4,$BX$29&lt;&gt;"HOL"),
AND(WEEKDAY($DB$20,2)=5,$CT$14=5,$BX$31&lt;&gt;"HOL"),
AND(WEEKDAY($DB$20,2)=6,$CU$14=6,$BX$33&lt;&gt;"HOL"),
AND(WEEKDAY($DB$20,2)=7,$CV$14=7,$BX$35&lt;&gt;"HOL")
)
),$DD$28,
AND($DG$34=BB4,
OR(
AND(WEEKDAY($DB$20,2)=1,$DA$10=1,$BX$23&lt;&gt;"HOL"),
AND(WEEKDAY($DB$20,2)=2,$DB$10=2,$BX$25&lt;&gt;"HOL"),
AND(WEEKDAY($DB$20,2)=3,$DC$10=3,$BX$27&lt;&gt;"HOL"),
AND(WEEKDAY($DB$20,2)=4,$DD$10=4,$BX$29&lt;&gt;"HOL"),
AND(WEEKDAY($DB$20,2)=5,$DE$10=5,$BX$31&lt;&gt;"HOL"),
AND(WEEKDAY($DB$20,2)=6,$DF$10=6,$BX$33&lt;&gt;"HOL"),
AND(WEEKDAY($DB$20,2)=7,$DG$10=7,$BX$35&lt;&gt;"HOL")
)
),$DD$33,
AND($DG$36=BB4,
OR(
AND(WEEKDAY($DB$20,2)=1,$DA$14=1,$BX$23&lt;&gt;"HOL"),
AND(WEEKDAY($DB$20,2)=2,$DB$14=2,$BX$25&lt;&gt;"HOL"),
AND(WEEKDAY($DB$20,2)=3,$DC$14=3,$BX$27&lt;&gt;"HOL"),
AND(WEEKDAY($DB$20,2)=4,$DD$14=4,$BX$29&lt;&gt;"HOL"),
AND(WEEKDAY($DB$20,2)=5,$DE$14=5,$BX$31&lt;&gt;"HOL"),
AND(WEEKDAY($DB$20,2)=6,$DF$14=6,$BX$33&lt;&gt;"HOL"),
AND(WEEKDAY($DB$20,2)=7,$DG$14=7,$BX$35&lt;&gt;"HOL")
)
),$DD$33,
TRUE,""
),
_xlfn.IFS(
AND($DG$24=BB4,
OR(
AND(WEEKDAY($DB$20+1,2)=1,$CE$10=1,$BX$23&lt;&gt;"HOL"),
AND(WEEKDAY($DB$20+1,2)=2,$CF$10=2,$BX$25&lt;&gt;"HOL"),
AND(WEEKDAY($DB$20+1,2)=3,$CG$10=3,$BX$27&lt;&gt;"HOL"),
AND(WEEKDAY($DB$20+1,2)=4,$CH$10=4,$BX$29&lt;&gt;"HOL"),
AND(WEEKDAY($DB$20+1,2)=5,$CI$10=5,$BX$31&lt;&gt;"HOL"),
AND(WEEKDAY($DB$20+1,2)=6,$CJ$10=6,$BX$33&lt;&gt;"HOL"),
AND(WEEKDAY($DB$20+1,2)=7,$CK$10=7,$BX$35&lt;&gt;"HOL")
)
),$DD$23,
AND($DG$26=BB4,
OR(
AND(WEEKDAY($DB$20+1,2)=1,$CE$14=1,$BX$23&lt;&gt;"HOL"),
AND(WEEKDAY($DB$20+1,2)=2,$CF$14=2,$BX$25&lt;&gt;"HOL"),
AND(WEEKDAY($DB$20+1,2)=3,$CG$14=3,$BX$27&lt;&gt;"HOL"),
AND(WEEKDAY($DB$20+1,2)=4,$CH$14=4,$BX$29&lt;&gt;"HOL"),
AND(WEEKDAY($DB$20+1,2)=5,$CI$14=5,$BX$31&lt;&gt;"HOL"),
AND(WEEKDAY($DB$20+1,2)=6,$CJ$14=6,$BX$33&lt;&gt;"HOL"),
AND(WEEKDAY($DB$20+1,2)=7,$CK$14=7,$BX$35&lt;&gt;"HOL")
)
),$DD$23,
AND($DG$29=BB4,
OR(
AND(WEEKDAY($DB$20+1,2)=1,$CP$10=1,$BX$23&lt;&gt;"HOL"),
AND(WEEKDAY($DB$20+1,2)=2,$CQ$10=2,$BX$25&lt;&gt;"HOL"),
AND(WEEKDAY($DB$20+1,2)=3,$CR$10=3,$BX$27&lt;&gt;"HOL"),
AND(WEEKDAY($DB$20+1,2)=4,$CS$10=4,$BX$29&lt;&gt;"HOL"),
AND(WEEKDAY($DB$20+1,2)=5,$CT$10=5,$BX$31&lt;&gt;"HOL"),
AND(WEEKDAY($DB$20+1,2)=6,$CU$10=6,$BX$33&lt;&gt;"HOL"),
AND(WEEKDAY($DB$20+1,2)=7,$CV$10=7,$BX$35&lt;&gt;"HOL")
)
),$DD$28,
AND($DG$31=BB4,
OR(
AND(WEEKDAY($DB$20+1,2)=1,$CP$14=1,$BX$23&lt;&gt;"HOL"),
AND(WEEKDAY($DB$20+1,2)=2,$CQ$14=2,$BX$25&lt;&gt;"HOL"),
AND(WEEKDAY($DB$20+1,2)=3,$CR$14=3,$BX$27&lt;&gt;"HOL"),
AND(WEEKDAY($DB$20+1,2)=4,$CS$14=4,$BX$29&lt;&gt;"HOL"),
AND(WEEKDAY($DB$20+1,2)=5,$CT$14=5,$BX$31&lt;&gt;"HOL"),
AND(WEEKDAY($DB$20+1,2)=6,$CU$14=6,$BX$33&lt;&gt;"HOL"),
AND(WEEKDAY($DB$20+1,2)=7,$CV$14=7,$BX$35&lt;&gt;"HOL")
)
),$DD$28,
AND($DG$34=BB4,
OR(
AND(WEEKDAY($DB$20+1,2)=1,$DA$10=1,$BX$23&lt;&gt;"HOL"),
AND(WEEKDAY($DB$20+1,2)=2,$DB$10=2,$BX$25&lt;&gt;"HOL"),
AND(WEEKDAY($DB$20+1,2)=3,$DC$10=3,$BX$27&lt;&gt;"HOL"),
AND(WEEKDAY($DB$20+1,2)=4,$DD$10=4,$BX$29&lt;&gt;"HOL"),
AND(WEEKDAY($DB$20+1,2)=5,$DE$10=5,$BX$31&lt;&gt;"HOL"),
AND(WEEKDAY($DB$20+1,2)=6,$DF$10=6,$BX$33&lt;&gt;"HOL"),
AND(WEEKDAY($DB$20+1,2)=7,$DG$10=7,$BX$35&lt;&gt;"HOL")
)
),$DD$33,
AND($DG$36=BB4,
OR(
AND(WEEKDAY($DB$20+1,2)=1,$DA$14=1,$BX$23&lt;&gt;"HOL"),
AND(WEEKDAY($DB$20+1,2)=2,$DB$14=2,$BX$25&lt;&gt;"HOL"),
AND(WEEKDAY($DB$20+1,2)=3,$DC$14=3,$BX$27&lt;&gt;"HOL"),
AND(WEEKDAY($DB$20+1,2)=4,$DD$14=4,$BX$29&lt;&gt;"HOL"),
AND(WEEKDAY($DB$20+1,2)=5,$DE$14=5,$BX$31&lt;&gt;"HOL"),
AND(WEEKDAY($DB$20+1,2)=6,$DF$14=6,$BX$33&lt;&gt;"HOL"),
AND(WEEKDAY($DB$20+1,2)=7,$DG$14=7,$BX$35&lt;&gt;"HOL")
)
),$DD$33,
TRUE,""
)
)</f>
        <v>#VALUE!</v>
      </c>
      <c r="BB7" s="1090" t="e" cm="1">
        <f t="array" aca="1" ref="BB7" ca="1">IF(
$C$3="TODAY",
_xlfn.IFS(
AND($DG$23=BB4,
OR(
AND(WEEKDAY($DB$20,2)=1,$CE$10=1,$BX$23&lt;&gt;"HOL"),
AND(WEEKDAY($DB$20,2)=2,$CF$10=2,$BX$25&lt;&gt;"HOL"),
AND(WEEKDAY($DB$20,2)=3,$CG$10=3,$BX$27&lt;&gt;"HOL"),
AND(WEEKDAY($DB$20,2)=4,$CH$10=4,$BX$29&lt;&gt;"HOL"),
AND(WEEKDAY($DB$20,2)=5,$CI$10=5,$BX$31&lt;&gt;"HOL"),
AND(WEEKDAY($DB$20,2)=6,$CJ$10=6,$BX$33&lt;&gt;"HOL"),
AND(WEEKDAY($DB$20,2)=7,$CK$10=7,$BX$35&lt;&gt;"HOL")
)
),$DC$23,
AND($DG$25=BB4,
OR(
AND(WEEKDAY($DB$20,2)=1,$CE$14=1,$BX$23&lt;&gt;"HOL"),
AND(WEEKDAY($DB$20,2)=2,$CF$14=2,$BX$25&lt;&gt;"HOL"),
AND(WEEKDAY($DB$20,2)=3,$CG$14=3,$BX$27&lt;&gt;"HOL"),
AND(WEEKDAY($DB$20,2)=4,$CH$14=4,$BX$29&lt;&gt;"HOL"),
AND(WEEKDAY($DB$20,2)=5,$CI$14=5,$BX$31&lt;&gt;"HOL"),
AND(WEEKDAY($DB$20,2)=6,$CJ$14=6,$BX$33&lt;&gt;"HOL"),
AND(WEEKDAY($DB$20,2)=7,$CK$14=7,$BX$35&lt;&gt;"HOL")
)
),$DC$23,
AND($DG$28=BB4,
OR(
AND(WEEKDAY($DB$20,2)=1,$CP$10=1,$BX$23&lt;&gt;"HOL"),
AND(WEEKDAY($DB$20,2)=2,$CQ$10=2,$BX$25&lt;&gt;"HOL"),
AND(WEEKDAY($DB$20,2)=3,$CR$10=3,$BX$27&lt;&gt;"HOL"),
AND(WEEKDAY($DB$20,2)=4,$CS$10=4,$BX$29&lt;&gt;"HOL"),
AND(WEEKDAY($DB$20,2)=5,$CT$10=5,$BX$31&lt;&gt;"HOL"),
AND(WEEKDAY($DB$20,2)=6,$CU$10=6,$BX$33&lt;&gt;"HOL"),
AND(WEEKDAY($DB$20,2)=7,$CV$10=7,$BX$35&lt;&gt;"HOL")
)
),$DC$28,
AND($DG$30=BB4,
OR(
AND(WEEKDAY($DB$20,2)=1,$CP$14=1,$BX$23&lt;&gt;"HOL"),
AND(WEEKDAY($DB$20,2)=2,$CQ$14=2,$BX$25&lt;&gt;"HOL"),
AND(WEEKDAY($DB$20,2)=3,$CR$14=3,$BX$27&lt;&gt;"HOL"),
AND(WEEKDAY($DB$20,2)=4,$CS$14=4,$BX$29&lt;&gt;"HOL"),
AND(WEEKDAY($DB$20,2)=5,$CT$14=5,$BX$31&lt;&gt;"HOL"),
AND(WEEKDAY($DB$20,2)=6,$CU$14=6,$BX$33&lt;&gt;"HOL"),
AND(WEEKDAY($DB$20,2)=7,$CV$14=7,$BX$35&lt;&gt;"HOL")
)
),$DC$28,
AND($DG$33=BB4,
OR(
AND(WEEKDAY($DB$20,2)=1,$DA$10=1,$BX$23&lt;&gt;"HOL"),
AND(WEEKDAY($DB$20,2)=2,$DB$10=2,$BX$25&lt;&gt;"HOL"),
AND(WEEKDAY($DB$20,2)=3,$DC$10=3,$BX$27&lt;&gt;"HOL"),
AND(WEEKDAY($DB$20,2)=4,$DD$10=4,$BX$29&lt;&gt;"HOL"),
AND(WEEKDAY($DB$20,2)=5,$DE$10=5,$BX$31&lt;&gt;"HOL"),
AND(WEEKDAY($DB$20,2)=6,$DF$10=6,$BX$33&lt;&gt;"HOL"),
AND(WEEKDAY($DB$20,2)=7,$DG$10=7,$BX$35&lt;&gt;"HOL")
)
),$DC$33,
AND($DG$35=BB4,
OR(
AND(WEEKDAY($DB$20,2)=1,$DA$14=1,$BX$23&lt;&gt;"HOL"),
AND(WEEKDAY($DB$20,2)=2,$DB$14=2,$BX$25&lt;&gt;"HOL"),
AND(WEEKDAY($DB$20,2)=3,$DC$14=3,$BX$27&lt;&gt;"HOL"),
AND(WEEKDAY($DB$20,2)=4,$DD$14=4,$BX$29&lt;&gt;"HOL"),
AND(WEEKDAY($DB$20,2)=5,$DE$14=5,$BX$31&lt;&gt;"HOL"),
AND(WEEKDAY($DB$20,2)=6,$DF$14=6,$BX$33&lt;&gt;"HOL"),
AND(WEEKDAY($DB$20,2)=7,$DG$14=7,$BX$35&lt;&gt;"HOL")
)
),$DC$33,
TRUE,""
),
_xlfn.IFS(
AND($DG$23=BB4,
OR(
AND(WEEKDAY($DB$20+1,2)=1,$CE$10=1,$BX$23&lt;&gt;"HOL"),
AND(WEEKDAY($DB$20+1,2)=2,$CF$10=2,$BX$25&lt;&gt;"HOL"),
AND(WEEKDAY($DB$20+1,2)=3,$CG$10=3,$BX$27&lt;&gt;"HOL"),
AND(WEEKDAY($DB$20+1,2)=4,$CH$10=4,$BX$29&lt;&gt;"HOL"),
AND(WEEKDAY($DB$20+1,2)=5,$CI$10=5,$BX$31&lt;&gt;"HOL"),
AND(WEEKDAY($DB$20+1,2)=6,$CJ$10=6,$BX$33&lt;&gt;"HOL"),
AND(WEEKDAY($DB$20+1,2)=7,$CK$10=7,$BX$35&lt;&gt;"HOL")
)
),$DC$23,
AND($DG$25=BB4,
OR(
AND(WEEKDAY($DB$20+1,2)=1,$CE$14=1,$BX$23&lt;&gt;"HOL"),
AND(WEEKDAY($DB$20+1,2)=2,$CF$14=2,$BX$25&lt;&gt;"HOL"),
AND(WEEKDAY($DB$20+1,2)=3,$CG$14=3,$BX$27&lt;&gt;"HOL"),
AND(WEEKDAY($DB$20+1,2)=4,$CH$14=4,$BX$29&lt;&gt;"HOL"),
AND(WEEKDAY($DB$20+1,2)=5,$CI$14=5,$BX$31&lt;&gt;"HOL"),
AND(WEEKDAY($DB$20+1,2)=6,$CJ$14=6,$BX$33&lt;&gt;"HOL"),
AND(WEEKDAY($DB$20+1,2)=7,$CK$14=7,$BX$35&lt;&gt;"HOL")
)
),$DC$23,
AND($DG$28=BB4,
OR(
AND(WEEKDAY($DB$20+1,2)=1,$CP$10=1,$BX$23&lt;&gt;"HOL"),
AND(WEEKDAY($DB$20+1,2)=2,$CQ$10=2,$BX$25&lt;&gt;"HOL"),
AND(WEEKDAY($DB$20+1,2)=3,$CR$10=3,$BX$27&lt;&gt;"HOL"),
AND(WEEKDAY($DB$20+1,2)=4,$CS$10=4,$BX$29&lt;&gt;"HOL"),
AND(WEEKDAY($DB$20+1,2)=5,$CT$10=5,$BX$31&lt;&gt;"HOL"),
AND(WEEKDAY($DB$20+1,2)=6,$CU$10=6,$BX$33&lt;&gt;"HOL"),
AND(WEEKDAY($DB$20+1,2)=7,$CV$10=7,$BX$35&lt;&gt;"HOL")
)
),$DC$28,
AND($DG$30=BB4,
OR(
AND(WEEKDAY($DB$20+1,2)=1,$CP$14=1,$BX$23&lt;&gt;"HOL"),
AND(WEEKDAY($DB$20+1,2)=2,$CQ$14=2,$BX$25&lt;&gt;"HOL"),
AND(WEEKDAY($DB$20+1,2)=3,$CR$14=3,$BX$27&lt;&gt;"HOL"),
AND(WEEKDAY($DB$20+1,2)=4,$CS$14=4,$BX$29&lt;&gt;"HOL"),
AND(WEEKDAY($DB$20+1,2)=5,$CT$14=5,$BX$31&lt;&gt;"HOL"),
AND(WEEKDAY($DB$20+1,2)=6,$CU$14=6,$BX$33&lt;&gt;"HOL"),
AND(WEEKDAY($DB$20+1,2)=7,$CV$14=7,$BX$35&lt;&gt;"HOL")
)
),$DC$28,
AND($DG$33=BB4,
OR(
AND(WEEKDAY($DB$20+1,2)=1,$DA$10=1,$BX$23&lt;&gt;"HOL"),
AND(WEEKDAY($DB$20+1,2)=2,$DB$10=2,$BX$25&lt;&gt;"HOL"),
AND(WEEKDAY($DB$20+1,2)=3,$DC$10=3,$BX$27&lt;&gt;"HOL"),
AND(WEEKDAY($DB$20+1,2)=4,$DD$10=4,$BX$29&lt;&gt;"HOL"),
AND(WEEKDAY($DB$20+1,2)=5,$DE$10=5,$BX$31&lt;&gt;"HOL"),
AND(WEEKDAY($DB$20+1,2)=6,$DF$10=6,$BX$33&lt;&gt;"HOL"),
AND(WEEKDAY($DB$20+1,2)=7,$DG$10=7,$BX$35&lt;&gt;"HOL")
)
),$DC$33,
AND($DG$35=BB4,
OR(
AND(WEEKDAY($DB$20+1,2)=1,$DA$14=1,$BX$23&lt;&gt;"HOL"),
AND(WEEKDAY($DB$20+1,2)=2,$DB$14=2,$BX$25&lt;&gt;"HOL"),
AND(WEEKDAY($DB$20+1,2)=3,$DC$14=3,$BX$27&lt;&gt;"HOL"),
AND(WEEKDAY($DB$20+1,2)=4,$DD$14=4,$BX$29&lt;&gt;"HOL"),
AND(WEEKDAY($DB$20+1,2)=5,$DE$14=5,$BX$31&lt;&gt;"HOL"),
AND(WEEKDAY($DB$20+1,2)=6,$DF$14=6,$BX$33&lt;&gt;"HOL"),
AND(WEEKDAY($DB$20+1,2)=7,$DG$14=7,$BX$35&lt;&gt;"HOL")
)
),$DC$33,
TRUE,""
)
)</f>
        <v>#VALUE!</v>
      </c>
      <c r="BC7" s="2075" t="e" cm="1">
        <f t="array" aca="1" ref="BC7" ca="1">IF(
$C$3="TODAY",
_xlfn.IFS(
AND($DG$24=BD4,
OR(
AND(WEEKDAY($DB$20,2)=1,$CE$10=1,$BX$23&lt;&gt;"HOL"),
AND(WEEKDAY($DB$20,2)=2,$CF$10=2,$BX$25&lt;&gt;"HOL"),
AND(WEEKDAY($DB$20,2)=3,$CG$10=3,$BX$27&lt;&gt;"HOL"),
AND(WEEKDAY($DB$20,2)=4,$CH$10=4,$BX$29&lt;&gt;"HOL"),
AND(WEEKDAY($DB$20,2)=5,$CI$10=5,$BX$31&lt;&gt;"HOL"),
AND(WEEKDAY($DB$20,2)=6,$CJ$10=6,$BX$33&lt;&gt;"HOL"),
AND(WEEKDAY($DB$20,2)=7,$CK$10=7,$BX$35&lt;&gt;"HOL")
)
),$DD$23,
AND($DG$26=BD4,
OR(
AND(WEEKDAY($DB$20,2)=1,$CE$14=1,$BX$23&lt;&gt;"HOL"),
AND(WEEKDAY($DB$20,2)=2,$CF$14=2,$BX$25&lt;&gt;"HOL"),
AND(WEEKDAY($DB$20,2)=3,$CG$14=3,$BX$27&lt;&gt;"HOL"),
AND(WEEKDAY($DB$20,2)=4,$CH$14=4,$BX$29&lt;&gt;"HOL"),
AND(WEEKDAY($DB$20,2)=5,$CI$14=5,$BX$31&lt;&gt;"HOL"),
AND(WEEKDAY($DB$20,2)=6,$CJ$14=6,$BX$33&lt;&gt;"HOL"),
AND(WEEKDAY($DB$20,2)=7,$CK$14=7,$BX$35&lt;&gt;"HOL")
)
),$DD$23,
AND($DG$29=BD4,
OR(
AND(WEEKDAY($DB$20,2)=1,$CP$10=1,$BX$23&lt;&gt;"HOL"),
AND(WEEKDAY($DB$20,2)=2,$CQ$10=2,$BX$25&lt;&gt;"HOL"),
AND(WEEKDAY($DB$20,2)=3,$CR$10=3,$BX$27&lt;&gt;"HOL"),
AND(WEEKDAY($DB$20,2)=4,$CS$10=4,$BX$29&lt;&gt;"HOL"),
AND(WEEKDAY($DB$20,2)=5,$CT$10=5,$BX$31&lt;&gt;"HOL"),
AND(WEEKDAY($DB$20,2)=6,$CU$10=6,$BX$33&lt;&gt;"HOL"),
AND(WEEKDAY($DB$20,2)=7,$CV$10=7,$BX$35&lt;&gt;"HOL")
)
),$DD$28,
AND($DG$31=BD4,
OR(
AND(WEEKDAY($DB$20,2)=1,$CP$14=1,$BX$23&lt;&gt;"HOL"),
AND(WEEKDAY($DB$20,2)=2,$CQ$14=2,$BX$25&lt;&gt;"HOL"),
AND(WEEKDAY($DB$20,2)=3,$CR$14=3,$BX$27&lt;&gt;"HOL"),
AND(WEEKDAY($DB$20,2)=4,$CS$14=4,$BX$29&lt;&gt;"HOL"),
AND(WEEKDAY($DB$20,2)=5,$CT$14=5,$BX$31&lt;&gt;"HOL"),
AND(WEEKDAY($DB$20,2)=6,$CU$14=6,$BX$33&lt;&gt;"HOL"),
AND(WEEKDAY($DB$20,2)=7,$CV$14=7,$BX$35&lt;&gt;"HOL")
)
),$DD$28,
AND($DG$34=BD4,
OR(
AND(WEEKDAY($DB$20,2)=1,$DA$10=1,$BX$23&lt;&gt;"HOL"),
AND(WEEKDAY($DB$20,2)=2,$DB$10=2,$BX$25&lt;&gt;"HOL"),
AND(WEEKDAY($DB$20,2)=3,$DC$10=3,$BX$27&lt;&gt;"HOL"),
AND(WEEKDAY($DB$20,2)=4,$DD$10=4,$BX$29&lt;&gt;"HOL"),
AND(WEEKDAY($DB$20,2)=5,$DE$10=5,$BX$31&lt;&gt;"HOL"),
AND(WEEKDAY($DB$20,2)=6,$DF$10=6,$BX$33&lt;&gt;"HOL"),
AND(WEEKDAY($DB$20,2)=7,$DG$10=7,$BX$35&lt;&gt;"HOL")
)
),$DD$33,
AND($DG$36=BD4,
OR(
AND(WEEKDAY($DB$20,2)=1,$DA$14=1,$BX$23&lt;&gt;"HOL"),
AND(WEEKDAY($DB$20,2)=2,$DB$14=2,$BX$25&lt;&gt;"HOL"),
AND(WEEKDAY($DB$20,2)=3,$DC$14=3,$BX$27&lt;&gt;"HOL"),
AND(WEEKDAY($DB$20,2)=4,$DD$14=4,$BX$29&lt;&gt;"HOL"),
AND(WEEKDAY($DB$20,2)=5,$DE$14=5,$BX$31&lt;&gt;"HOL"),
AND(WEEKDAY($DB$20,2)=6,$DF$14=6,$BX$33&lt;&gt;"HOL"),
AND(WEEKDAY($DB$20,2)=7,$DG$14=7,$BX$35&lt;&gt;"HOL")
)
),$DD$33,
TRUE,""
),
_xlfn.IFS(
AND($DG$24=BD4,
OR(
AND(WEEKDAY($DB$20+1,2)=1,$CE$10=1,$BX$23&lt;&gt;"HOL"),
AND(WEEKDAY($DB$20+1,2)=2,$CF$10=2,$BX$25&lt;&gt;"HOL"),
AND(WEEKDAY($DB$20+1,2)=3,$CG$10=3,$BX$27&lt;&gt;"HOL"),
AND(WEEKDAY($DB$20+1,2)=4,$CH$10=4,$BX$29&lt;&gt;"HOL"),
AND(WEEKDAY($DB$20+1,2)=5,$CI$10=5,$BX$31&lt;&gt;"HOL"),
AND(WEEKDAY($DB$20+1,2)=6,$CJ$10=6,$BX$33&lt;&gt;"HOL"),
AND(WEEKDAY($DB$20+1,2)=7,$CK$10=7,$BX$35&lt;&gt;"HOL")
)
),$DD$23,
AND($DG$26=BD4,
OR(
AND(WEEKDAY($DB$20+1,2)=1,$CE$14=1,$BX$23&lt;&gt;"HOL"),
AND(WEEKDAY($DB$20+1,2)=2,$CF$14=2,$BX$25&lt;&gt;"HOL"),
AND(WEEKDAY($DB$20+1,2)=3,$CG$14=3,$BX$27&lt;&gt;"HOL"),
AND(WEEKDAY($DB$20+1,2)=4,$CH$14=4,$BX$29&lt;&gt;"HOL"),
AND(WEEKDAY($DB$20+1,2)=5,$CI$14=5,$BX$31&lt;&gt;"HOL"),
AND(WEEKDAY($DB$20+1,2)=6,$CJ$14=6,$BX$33&lt;&gt;"HOL"),
AND(WEEKDAY($DB$20+1,2)=7,$CK$14=7,$BX$35&lt;&gt;"HOL")
)
),$DD$23,
AND($DG$29=BD4,
OR(
AND(WEEKDAY($DB$20+1,2)=1,$CP$10=1,$BX$23&lt;&gt;"HOL"),
AND(WEEKDAY($DB$20+1,2)=2,$CQ$10=2,$BX$25&lt;&gt;"HOL"),
AND(WEEKDAY($DB$20+1,2)=3,$CR$10=3,$BX$27&lt;&gt;"HOL"),
AND(WEEKDAY($DB$20+1,2)=4,$CS$10=4,$BX$29&lt;&gt;"HOL"),
AND(WEEKDAY($DB$20+1,2)=5,$CT$10=5,$BX$31&lt;&gt;"HOL"),
AND(WEEKDAY($DB$20+1,2)=6,$CU$10=6,$BX$33&lt;&gt;"HOL"),
AND(WEEKDAY($DB$20+1,2)=7,$CV$10=7,$BX$35&lt;&gt;"HOL")
)
),$DD$28,
AND($DG$31=BD4,
OR(
AND(WEEKDAY($DB$20+1,2)=1,$CP$14=1,$BX$23&lt;&gt;"HOL"),
AND(WEEKDAY($DB$20+1,2)=2,$CQ$14=2,$BX$25&lt;&gt;"HOL"),
AND(WEEKDAY($DB$20+1,2)=3,$CR$14=3,$BX$27&lt;&gt;"HOL"),
AND(WEEKDAY($DB$20+1,2)=4,$CS$14=4,$BX$29&lt;&gt;"HOL"),
AND(WEEKDAY($DB$20+1,2)=5,$CT$14=5,$BX$31&lt;&gt;"HOL"),
AND(WEEKDAY($DB$20+1,2)=6,$CU$14=6,$BX$33&lt;&gt;"HOL"),
AND(WEEKDAY($DB$20+1,2)=7,$CV$14=7,$BX$35&lt;&gt;"HOL")
)
),$DD$28,
AND($DG$34=BD4,
OR(
AND(WEEKDAY($DB$20+1,2)=1,$DA$10=1,$BX$23&lt;&gt;"HOL"),
AND(WEEKDAY($DB$20+1,2)=2,$DB$10=2,$BX$25&lt;&gt;"HOL"),
AND(WEEKDAY($DB$20+1,2)=3,$DC$10=3,$BX$27&lt;&gt;"HOL"),
AND(WEEKDAY($DB$20+1,2)=4,$DD$10=4,$BX$29&lt;&gt;"HOL"),
AND(WEEKDAY($DB$20+1,2)=5,$DE$10=5,$BX$31&lt;&gt;"HOL"),
AND(WEEKDAY($DB$20+1,2)=6,$DF$10=6,$BX$33&lt;&gt;"HOL"),
AND(WEEKDAY($DB$20+1,2)=7,$DG$10=7,$BX$35&lt;&gt;"HOL")
)
),$DD$33,
AND($DG$36=BD4,
OR(
AND(WEEKDAY($DB$20+1,2)=1,$DA$14=1,$BX$23&lt;&gt;"HOL"),
AND(WEEKDAY($DB$20+1,2)=2,$DB$14=2,$BX$25&lt;&gt;"HOL"),
AND(WEEKDAY($DB$20+1,2)=3,$DC$14=3,$BX$27&lt;&gt;"HOL"),
AND(WEEKDAY($DB$20+1,2)=4,$DD$14=4,$BX$29&lt;&gt;"HOL"),
AND(WEEKDAY($DB$20+1,2)=5,$DE$14=5,$BX$31&lt;&gt;"HOL"),
AND(WEEKDAY($DB$20+1,2)=6,$DF$14=6,$BX$33&lt;&gt;"HOL"),
AND(WEEKDAY($DB$20+1,2)=7,$DG$14=7,$BX$35&lt;&gt;"HOL")
)
),$DD$33,
TRUE,""
)
)</f>
        <v>#VALUE!</v>
      </c>
      <c r="BD7" s="2076" t="e" cm="1">
        <f t="array" aca="1" ref="BD7" ca="1">IF(
$C$3="TODAY",
_xlfn.IFS(
AND($DG$23=BD4,
OR(
AND(WEEKDAY($DB$20,2)=1,$CE$10=1,$BX$23&lt;&gt;"HOL"),
AND(WEEKDAY($DB$20,2)=2,$CF$10=2,$BX$25&lt;&gt;"HOL"),
AND(WEEKDAY($DB$20,2)=3,$CG$10=3,$BX$27&lt;&gt;"HOL"),
AND(WEEKDAY($DB$20,2)=4,$CH$10=4,$BX$29&lt;&gt;"HOL"),
AND(WEEKDAY($DB$20,2)=5,$CI$10=5,$BX$31&lt;&gt;"HOL"),
AND(WEEKDAY($DB$20,2)=6,$CJ$10=6,$BX$33&lt;&gt;"HOL"),
AND(WEEKDAY($DB$20,2)=7,$CK$10=7,$BX$35&lt;&gt;"HOL")
)
),$DC$23,
AND($DG$25=BD4,
OR(
AND(WEEKDAY($DB$20,2)=1,$CE$14=1,$BX$23&lt;&gt;"HOL"),
AND(WEEKDAY($DB$20,2)=2,$CF$14=2,$BX$25&lt;&gt;"HOL"),
AND(WEEKDAY($DB$20,2)=3,$CG$14=3,$BX$27&lt;&gt;"HOL"),
AND(WEEKDAY($DB$20,2)=4,$CH$14=4,$BX$29&lt;&gt;"HOL"),
AND(WEEKDAY($DB$20,2)=5,$CI$14=5,$BX$31&lt;&gt;"HOL"),
AND(WEEKDAY($DB$20,2)=6,$CJ$14=6,$BX$33&lt;&gt;"HOL"),
AND(WEEKDAY($DB$20,2)=7,$CK$14=7,$BX$35&lt;&gt;"HOL")
)
),$DC$23,
AND($DG$28=BD4,
OR(
AND(WEEKDAY($DB$20,2)=1,$CP$10=1,$BX$23&lt;&gt;"HOL"),
AND(WEEKDAY($DB$20,2)=2,$CQ$10=2,$BX$25&lt;&gt;"HOL"),
AND(WEEKDAY($DB$20,2)=3,$CR$10=3,$BX$27&lt;&gt;"HOL"),
AND(WEEKDAY($DB$20,2)=4,$CS$10=4,$BX$29&lt;&gt;"HOL"),
AND(WEEKDAY($DB$20,2)=5,$CT$10=5,$BX$31&lt;&gt;"HOL"),
AND(WEEKDAY($DB$20,2)=6,$CU$10=6,$BX$33&lt;&gt;"HOL"),
AND(WEEKDAY($DB$20,2)=7,$CV$10=7,$BX$35&lt;&gt;"HOL")
)
),$DC$28,
AND($DG$30=BD4,
OR(
AND(WEEKDAY($DB$20,2)=1,$CP$14=1,$BX$23&lt;&gt;"HOL"),
AND(WEEKDAY($DB$20,2)=2,$CQ$14=2,$BX$25&lt;&gt;"HOL"),
AND(WEEKDAY($DB$20,2)=3,$CR$14=3,$BX$27&lt;&gt;"HOL"),
AND(WEEKDAY($DB$20,2)=4,$CS$14=4,$BX$29&lt;&gt;"HOL"),
AND(WEEKDAY($DB$20,2)=5,$CT$14=5,$BX$31&lt;&gt;"HOL"),
AND(WEEKDAY($DB$20,2)=6,$CU$14=6,$BX$33&lt;&gt;"HOL"),
AND(WEEKDAY($DB$20,2)=7,$CV$14=7,$BX$35&lt;&gt;"HOL")
)
),$DC$28,
AND($DG$33=BD4,
OR(
AND(WEEKDAY($DB$20,2)=1,$DA$10=1,$BX$23&lt;&gt;"HOL"),
AND(WEEKDAY($DB$20,2)=2,$DB$10=2,$BX$25&lt;&gt;"HOL"),
AND(WEEKDAY($DB$20,2)=3,$DC$10=3,$BX$27&lt;&gt;"HOL"),
AND(WEEKDAY($DB$20,2)=4,$DD$10=4,$BX$29&lt;&gt;"HOL"),
AND(WEEKDAY($DB$20,2)=5,$DE$10=5,$BX$31&lt;&gt;"HOL"),
AND(WEEKDAY($DB$20,2)=6,$DF$10=6,$BX$33&lt;&gt;"HOL"),
AND(WEEKDAY($DB$20,2)=7,$DG$10=7,$BX$35&lt;&gt;"HOL")
)
),$DC$33,
AND($DG$35=BD4,
OR(
AND(WEEKDAY($DB$20,2)=1,$DA$14=1,$BX$23&lt;&gt;"HOL"),
AND(WEEKDAY($DB$20,2)=2,$DB$14=2,$BX$25&lt;&gt;"HOL"),
AND(WEEKDAY($DB$20,2)=3,$DC$14=3,$BX$27&lt;&gt;"HOL"),
AND(WEEKDAY($DB$20,2)=4,$DD$14=4,$BX$29&lt;&gt;"HOL"),
AND(WEEKDAY($DB$20,2)=5,$DE$14=5,$BX$31&lt;&gt;"HOL"),
AND(WEEKDAY($DB$20,2)=6,$DF$14=6,$BX$33&lt;&gt;"HOL"),
AND(WEEKDAY($DB$20,2)=7,$DG$14=7,$BX$35&lt;&gt;"HOL")
)
),$DC$33,
TRUE,""
),
_xlfn.IFS(
AND($DG$23=BD4,
OR(
AND(WEEKDAY($DB$20+1,2)=1,$CE$10=1,$BX$23&lt;&gt;"HOL"),
AND(WEEKDAY($DB$20+1,2)=2,$CF$10=2,$BX$25&lt;&gt;"HOL"),
AND(WEEKDAY($DB$20+1,2)=3,$CG$10=3,$BX$27&lt;&gt;"HOL"),
AND(WEEKDAY($DB$20+1,2)=4,$CH$10=4,$BX$29&lt;&gt;"HOL"),
AND(WEEKDAY($DB$20+1,2)=5,$CI$10=5,$BX$31&lt;&gt;"HOL"),
AND(WEEKDAY($DB$20+1,2)=6,$CJ$10=6,$BX$33&lt;&gt;"HOL"),
AND(WEEKDAY($DB$20+1,2)=7,$CK$10=7,$BX$35&lt;&gt;"HOL")
)
),$DC$23,
AND($DG$25=BD4,
OR(
AND(WEEKDAY($DB$20+1,2)=1,$CE$14=1,$BX$23&lt;&gt;"HOL"),
AND(WEEKDAY($DB$20+1,2)=2,$CF$14=2,$BX$25&lt;&gt;"HOL"),
AND(WEEKDAY($DB$20+1,2)=3,$CG$14=3,$BX$27&lt;&gt;"HOL"),
AND(WEEKDAY($DB$20+1,2)=4,$CH$14=4,$BX$29&lt;&gt;"HOL"),
AND(WEEKDAY($DB$20+1,2)=5,$CI$14=5,$BX$31&lt;&gt;"HOL"),
AND(WEEKDAY($DB$20+1,2)=6,$CJ$14=6,$BX$33&lt;&gt;"HOL"),
AND(WEEKDAY($DB$20+1,2)=7,$CK$14=7,$BX$35&lt;&gt;"HOL")
)
),$DC$23,
AND($DG$28=BD4,
OR(
AND(WEEKDAY($DB$20+1,2)=1,$CP$10=1,$BX$23&lt;&gt;"HOL"),
AND(WEEKDAY($DB$20+1,2)=2,$CQ$10=2,$BX$25&lt;&gt;"HOL"),
AND(WEEKDAY($DB$20+1,2)=3,$CR$10=3,$BX$27&lt;&gt;"HOL"),
AND(WEEKDAY($DB$20+1,2)=4,$CS$10=4,$BX$29&lt;&gt;"HOL"),
AND(WEEKDAY($DB$20+1,2)=5,$CT$10=5,$BX$31&lt;&gt;"HOL"),
AND(WEEKDAY($DB$20+1,2)=6,$CU$10=6,$BX$33&lt;&gt;"HOL"),
AND(WEEKDAY($DB$20+1,2)=7,$CV$10=7,$BX$35&lt;&gt;"HOL")
)
),$DC$28,
AND($DG$30=BD4,
OR(
AND(WEEKDAY($DB$20+1,2)=1,$CP$14=1,$BX$23&lt;&gt;"HOL"),
AND(WEEKDAY($DB$20+1,2)=2,$CQ$14=2,$BX$25&lt;&gt;"HOL"),
AND(WEEKDAY($DB$20+1,2)=3,$CR$14=3,$BX$27&lt;&gt;"HOL"),
AND(WEEKDAY($DB$20+1,2)=4,$CS$14=4,$BX$29&lt;&gt;"HOL"),
AND(WEEKDAY($DB$20+1,2)=5,$CT$14=5,$BX$31&lt;&gt;"HOL"),
AND(WEEKDAY($DB$20+1,2)=6,$CU$14=6,$BX$33&lt;&gt;"HOL"),
AND(WEEKDAY($DB$20+1,2)=7,$CV$14=7,$BX$35&lt;&gt;"HOL")
)
),$DC$28,
AND($DG$33=BD4,
OR(
AND(WEEKDAY($DB$20+1,2)=1,$DA$10=1,$BX$23&lt;&gt;"HOL"),
AND(WEEKDAY($DB$20+1,2)=2,$DB$10=2,$BX$25&lt;&gt;"HOL"),
AND(WEEKDAY($DB$20+1,2)=3,$DC$10=3,$BX$27&lt;&gt;"HOL"),
AND(WEEKDAY($DB$20+1,2)=4,$DD$10=4,$BX$29&lt;&gt;"HOL"),
AND(WEEKDAY($DB$20+1,2)=5,$DE$10=5,$BX$31&lt;&gt;"HOL"),
AND(WEEKDAY($DB$20+1,2)=6,$DF$10=6,$BX$33&lt;&gt;"HOL"),
AND(WEEKDAY($DB$20+1,2)=7,$DG$10=7,$BX$35&lt;&gt;"HOL")
)
),$DC$33,
AND($DG$35=BD4,
OR(
AND(WEEKDAY($DB$20+1,2)=1,$DA$14=1,$BX$23&lt;&gt;"HOL"),
AND(WEEKDAY($DB$20+1,2)=2,$DB$14=2,$BX$25&lt;&gt;"HOL"),
AND(WEEKDAY($DB$20+1,2)=3,$DC$14=3,$BX$27&lt;&gt;"HOL"),
AND(WEEKDAY($DB$20+1,2)=4,$DD$14=4,$BX$29&lt;&gt;"HOL"),
AND(WEEKDAY($DB$20+1,2)=5,$DE$14=5,$BX$31&lt;&gt;"HOL"),
AND(WEEKDAY($DB$20+1,2)=6,$DF$14=6,$BX$33&lt;&gt;"HOL"),
AND(WEEKDAY($DB$20+1,2)=7,$DG$14=7,$BX$35&lt;&gt;"HOL")
)
),$DC$33,
TRUE,""
)
)</f>
        <v>#VALUE!</v>
      </c>
      <c r="BE7" s="2066" t="e" cm="1">
        <f t="array" aca="1" ref="BE7" ca="1">IF(
$C$3="TODAY",
_xlfn.IFS(
AND($DG$24=BF4,
OR(
AND(WEEKDAY($DB$20,2)=1,$CE$10=1,$BX$23&lt;&gt;"HOL"),
AND(WEEKDAY($DB$20,2)=2,$CF$10=2,$BX$25&lt;&gt;"HOL"),
AND(WEEKDAY($DB$20,2)=3,$CG$10=3,$BX$27&lt;&gt;"HOL"),
AND(WEEKDAY($DB$20,2)=4,$CH$10=4,$BX$29&lt;&gt;"HOL"),
AND(WEEKDAY($DB$20,2)=5,$CI$10=5,$BX$31&lt;&gt;"HOL"),
AND(WEEKDAY($DB$20,2)=6,$CJ$10=6,$BX$33&lt;&gt;"HOL"),
AND(WEEKDAY($DB$20,2)=7,$CK$10=7,$BX$35&lt;&gt;"HOL")
)
),$DD$23,
AND($DG$26=BF4,
OR(
AND(WEEKDAY($DB$20,2)=1,$CE$14=1,$BX$23&lt;&gt;"HOL"),
AND(WEEKDAY($DB$20,2)=2,$CF$14=2,$BX$25&lt;&gt;"HOL"),
AND(WEEKDAY($DB$20,2)=3,$CG$14=3,$BX$27&lt;&gt;"HOL"),
AND(WEEKDAY($DB$20,2)=4,$CH$14=4,$BX$29&lt;&gt;"HOL"),
AND(WEEKDAY($DB$20,2)=5,$CI$14=5,$BX$31&lt;&gt;"HOL"),
AND(WEEKDAY($DB$20,2)=6,$CJ$14=6,$BX$33&lt;&gt;"HOL"),
AND(WEEKDAY($DB$20,2)=7,$CK$14=7,$BX$35&lt;&gt;"HOL")
)
),$DD$23,
AND($DG$29=BF4,
OR(
AND(WEEKDAY($DB$20,2)=1,$CP$10=1,$BX$23&lt;&gt;"HOL"),
AND(WEEKDAY($DB$20,2)=2,$CQ$10=2,$BX$25&lt;&gt;"HOL"),
AND(WEEKDAY($DB$20,2)=3,$CR$10=3,$BX$27&lt;&gt;"HOL"),
AND(WEEKDAY($DB$20,2)=4,$CS$10=4,$BX$29&lt;&gt;"HOL"),
AND(WEEKDAY($DB$20,2)=5,$CT$10=5,$BX$31&lt;&gt;"HOL"),
AND(WEEKDAY($DB$20,2)=6,$CU$10=6,$BX$33&lt;&gt;"HOL"),
AND(WEEKDAY($DB$20,2)=7,$CV$10=7,$BX$35&lt;&gt;"HOL")
)
),$DD$28,
AND($DG$31=BF4,
OR(
AND(WEEKDAY($DB$20,2)=1,$CP$14=1,$BX$23&lt;&gt;"HOL"),
AND(WEEKDAY($DB$20,2)=2,$CQ$14=2,$BX$25&lt;&gt;"HOL"),
AND(WEEKDAY($DB$20,2)=3,$CR$14=3,$BX$27&lt;&gt;"HOL"),
AND(WEEKDAY($DB$20,2)=4,$CS$14=4,$BX$29&lt;&gt;"HOL"),
AND(WEEKDAY($DB$20,2)=5,$CT$14=5,$BX$31&lt;&gt;"HOL"),
AND(WEEKDAY($DB$20,2)=6,$CU$14=6,$BX$33&lt;&gt;"HOL"),
AND(WEEKDAY($DB$20,2)=7,$CV$14=7,$BX$35&lt;&gt;"HOL")
)
),$DD$28,
AND($DG$34=BF4,
OR(
AND(WEEKDAY($DB$20,2)=1,$DA$10=1,$BX$23&lt;&gt;"HOL"),
AND(WEEKDAY($DB$20,2)=2,$DB$10=2,$BX$25&lt;&gt;"HOL"),
AND(WEEKDAY($DB$20,2)=3,$DC$10=3,$BX$27&lt;&gt;"HOL"),
AND(WEEKDAY($DB$20,2)=4,$DD$10=4,$BX$29&lt;&gt;"HOL"),
AND(WEEKDAY($DB$20,2)=5,$DE$10=5,$BX$31&lt;&gt;"HOL"),
AND(WEEKDAY($DB$20,2)=6,$DF$10=6,$BX$33&lt;&gt;"HOL"),
AND(WEEKDAY($DB$20,2)=7,$DG$10=7,$BX$35&lt;&gt;"HOL")
)
),$DD$33,
AND($DG$36=BF4,
OR(
AND(WEEKDAY($DB$20,2)=1,$DA$14=1,$BX$23&lt;&gt;"HOL"),
AND(WEEKDAY($DB$20,2)=2,$DB$14=2,$BX$25&lt;&gt;"HOL"),
AND(WEEKDAY($DB$20,2)=3,$DC$14=3,$BX$27&lt;&gt;"HOL"),
AND(WEEKDAY($DB$20,2)=4,$DD$14=4,$BX$29&lt;&gt;"HOL"),
AND(WEEKDAY($DB$20,2)=5,$DE$14=5,$BX$31&lt;&gt;"HOL"),
AND(WEEKDAY($DB$20,2)=6,$DF$14=6,$BX$33&lt;&gt;"HOL"),
AND(WEEKDAY($DB$20,2)=7,$DG$14=7,$BX$35&lt;&gt;"HOL")
)
),$DD$33,
TRUE,""
),
_xlfn.IFS(
AND($DG$24=BF4,
OR(
AND(WEEKDAY($DB$20+1,2)=1,$CE$10=1,$BX$23&lt;&gt;"HOL"),
AND(WEEKDAY($DB$20+1,2)=2,$CF$10=2,$BX$25&lt;&gt;"HOL"),
AND(WEEKDAY($DB$20+1,2)=3,$CG$10=3,$BX$27&lt;&gt;"HOL"),
AND(WEEKDAY($DB$20+1,2)=4,$CH$10=4,$BX$29&lt;&gt;"HOL"),
AND(WEEKDAY($DB$20+1,2)=5,$CI$10=5,$BX$31&lt;&gt;"HOL"),
AND(WEEKDAY($DB$20+1,2)=6,$CJ$10=6,$BX$33&lt;&gt;"HOL"),
AND(WEEKDAY($DB$20+1,2)=7,$CK$10=7,$BX$35&lt;&gt;"HOL")
)
),$DD$23,
AND($DG$26=BF4,
OR(
AND(WEEKDAY($DB$20+1,2)=1,$CE$14=1,$BX$23&lt;&gt;"HOL"),
AND(WEEKDAY($DB$20+1,2)=2,$CF$14=2,$BX$25&lt;&gt;"HOL"),
AND(WEEKDAY($DB$20+1,2)=3,$CG$14=3,$BX$27&lt;&gt;"HOL"),
AND(WEEKDAY($DB$20+1,2)=4,$CH$14=4,$BX$29&lt;&gt;"HOL"),
AND(WEEKDAY($DB$20+1,2)=5,$CI$14=5,$BX$31&lt;&gt;"HOL"),
AND(WEEKDAY($DB$20+1,2)=6,$CJ$14=6,$BX$33&lt;&gt;"HOL"),
AND(WEEKDAY($DB$20+1,2)=7,$CK$14=7,$BX$35&lt;&gt;"HOL")
)
),$DD$23,
AND($DG$29=BF4,
OR(
AND(WEEKDAY($DB$20+1,2)=1,$CP$10=1,$BX$23&lt;&gt;"HOL"),
AND(WEEKDAY($DB$20+1,2)=2,$CQ$10=2,$BX$25&lt;&gt;"HOL"),
AND(WEEKDAY($DB$20+1,2)=3,$CR$10=3,$BX$27&lt;&gt;"HOL"),
AND(WEEKDAY($DB$20+1,2)=4,$CS$10=4,$BX$29&lt;&gt;"HOL"),
AND(WEEKDAY($DB$20+1,2)=5,$CT$10=5,$BX$31&lt;&gt;"HOL"),
AND(WEEKDAY($DB$20+1,2)=6,$CU$10=6,$BX$33&lt;&gt;"HOL"),
AND(WEEKDAY($DB$20+1,2)=7,$CV$10=7,$BX$35&lt;&gt;"HOL")
)
),$DD$28,
AND($DG$31=BF4,
OR(
AND(WEEKDAY($DB$20+1,2)=1,$CP$14=1,$BX$23&lt;&gt;"HOL"),
AND(WEEKDAY($DB$20+1,2)=2,$CQ$14=2,$BX$25&lt;&gt;"HOL"),
AND(WEEKDAY($DB$20+1,2)=3,$CR$14=3,$BX$27&lt;&gt;"HOL"),
AND(WEEKDAY($DB$20+1,2)=4,$CS$14=4,$BX$29&lt;&gt;"HOL"),
AND(WEEKDAY($DB$20+1,2)=5,$CT$14=5,$BX$31&lt;&gt;"HOL"),
AND(WEEKDAY($DB$20+1,2)=6,$CU$14=6,$BX$33&lt;&gt;"HOL"),
AND(WEEKDAY($DB$20+1,2)=7,$CV$14=7,$BX$35&lt;&gt;"HOL")
)
),$DD$28,
AND($DG$34=BF4,
OR(
AND(WEEKDAY($DB$20+1,2)=1,$DA$10=1,$BX$23&lt;&gt;"HOL"),
AND(WEEKDAY($DB$20+1,2)=2,$DB$10=2,$BX$25&lt;&gt;"HOL"),
AND(WEEKDAY($DB$20+1,2)=3,$DC$10=3,$BX$27&lt;&gt;"HOL"),
AND(WEEKDAY($DB$20+1,2)=4,$DD$10=4,$BX$29&lt;&gt;"HOL"),
AND(WEEKDAY($DB$20+1,2)=5,$DE$10=5,$BX$31&lt;&gt;"HOL"),
AND(WEEKDAY($DB$20+1,2)=6,$DF$10=6,$BX$33&lt;&gt;"HOL"),
AND(WEEKDAY($DB$20+1,2)=7,$DG$10=7,$BX$35&lt;&gt;"HOL")
)
),$DD$33,
AND($DG$36=BF4,
OR(
AND(WEEKDAY($DB$20+1,2)=1,$DA$14=1,$BX$23&lt;&gt;"HOL"),
AND(WEEKDAY($DB$20+1,2)=2,$DB$14=2,$BX$25&lt;&gt;"HOL"),
AND(WEEKDAY($DB$20+1,2)=3,$DC$14=3,$BX$27&lt;&gt;"HOL"),
AND(WEEKDAY($DB$20+1,2)=4,$DD$14=4,$BX$29&lt;&gt;"HOL"),
AND(WEEKDAY($DB$20+1,2)=5,$DE$14=5,$BX$31&lt;&gt;"HOL"),
AND(WEEKDAY($DB$20+1,2)=6,$DF$14=6,$BX$33&lt;&gt;"HOL"),
AND(WEEKDAY($DB$20+1,2)=7,$DG$14=7,$BX$35&lt;&gt;"HOL")
)
),$DD$33,
TRUE,""
)
)</f>
        <v>#VALUE!</v>
      </c>
      <c r="BF7" s="1090" t="e" cm="1">
        <f t="array" aca="1" ref="BF7" ca="1">IF(
$C$3="TODAY",
_xlfn.IFS(
AND($DG$23=BF4,
OR(
AND(WEEKDAY($DB$20,2)=1,$CE$10=1,$BX$23&lt;&gt;"HOL"),
AND(WEEKDAY($DB$20,2)=2,$CF$10=2,$BX$25&lt;&gt;"HOL"),
AND(WEEKDAY($DB$20,2)=3,$CG$10=3,$BX$27&lt;&gt;"HOL"),
AND(WEEKDAY($DB$20,2)=4,$CH$10=4,$BX$29&lt;&gt;"HOL"),
AND(WEEKDAY($DB$20,2)=5,$CI$10=5,$BX$31&lt;&gt;"HOL"),
AND(WEEKDAY($DB$20,2)=6,$CJ$10=6,$BX$33&lt;&gt;"HOL"),
AND(WEEKDAY($DB$20,2)=7,$CK$10=7,$BX$35&lt;&gt;"HOL")
)
),$DC$23,
AND($DG$25=BF4,
OR(
AND(WEEKDAY($DB$20,2)=1,$CE$14=1,$BX$23&lt;&gt;"HOL"),
AND(WEEKDAY($DB$20,2)=2,$CF$14=2,$BX$25&lt;&gt;"HOL"),
AND(WEEKDAY($DB$20,2)=3,$CG$14=3,$BX$27&lt;&gt;"HOL"),
AND(WEEKDAY($DB$20,2)=4,$CH$14=4,$BX$29&lt;&gt;"HOL"),
AND(WEEKDAY($DB$20,2)=5,$CI$14=5,$BX$31&lt;&gt;"HOL"),
AND(WEEKDAY($DB$20,2)=6,$CJ$14=6,$BX$33&lt;&gt;"HOL"),
AND(WEEKDAY($DB$20,2)=7,$CK$14=7,$BX$35&lt;&gt;"HOL")
)
),$DC$23,
AND($DG$28=BF4,
OR(
AND(WEEKDAY($DB$20,2)=1,$CP$10=1,$BX$23&lt;&gt;"HOL"),
AND(WEEKDAY($DB$20,2)=2,$CQ$10=2,$BX$25&lt;&gt;"HOL"),
AND(WEEKDAY($DB$20,2)=3,$CR$10=3,$BX$27&lt;&gt;"HOL"),
AND(WEEKDAY($DB$20,2)=4,$CS$10=4,$BX$29&lt;&gt;"HOL"),
AND(WEEKDAY($DB$20,2)=5,$CT$10=5,$BX$31&lt;&gt;"HOL"),
AND(WEEKDAY($DB$20,2)=6,$CU$10=6,$BX$33&lt;&gt;"HOL"),
AND(WEEKDAY($DB$20,2)=7,$CV$10=7,$BX$35&lt;&gt;"HOL")
)
),$DC$28,
AND($DG$30=BF4,
OR(
AND(WEEKDAY($DB$20,2)=1,$CP$14=1,$BX$23&lt;&gt;"HOL"),
AND(WEEKDAY($DB$20,2)=2,$CQ$14=2,$BX$25&lt;&gt;"HOL"),
AND(WEEKDAY($DB$20,2)=3,$CR$14=3,$BX$27&lt;&gt;"HOL"),
AND(WEEKDAY($DB$20,2)=4,$CS$14=4,$BX$29&lt;&gt;"HOL"),
AND(WEEKDAY($DB$20,2)=5,$CT$14=5,$BX$31&lt;&gt;"HOL"),
AND(WEEKDAY($DB$20,2)=6,$CU$14=6,$BX$33&lt;&gt;"HOL"),
AND(WEEKDAY($DB$20,2)=7,$CV$14=7,$BX$35&lt;&gt;"HOL")
)
),$DC$28,
AND($DG$33=BF4,
OR(
AND(WEEKDAY($DB$20,2)=1,$DA$10=1,$BX$23&lt;&gt;"HOL"),
AND(WEEKDAY($DB$20,2)=2,$DB$10=2,$BX$25&lt;&gt;"HOL"),
AND(WEEKDAY($DB$20,2)=3,$DC$10=3,$BX$27&lt;&gt;"HOL"),
AND(WEEKDAY($DB$20,2)=4,$DD$10=4,$BX$29&lt;&gt;"HOL"),
AND(WEEKDAY($DB$20,2)=5,$DE$10=5,$BX$31&lt;&gt;"HOL"),
AND(WEEKDAY($DB$20,2)=6,$DF$10=6,$BX$33&lt;&gt;"HOL"),
AND(WEEKDAY($DB$20,2)=7,$DG$10=7,$BX$35&lt;&gt;"HOL")
)
),$DC$33,
AND($DG$35=BF4,
OR(
AND(WEEKDAY($DB$20,2)=1,$DA$14=1,$BX$23&lt;&gt;"HOL"),
AND(WEEKDAY($DB$20,2)=2,$DB$14=2,$BX$25&lt;&gt;"HOL"),
AND(WEEKDAY($DB$20,2)=3,$DC$14=3,$BX$27&lt;&gt;"HOL"),
AND(WEEKDAY($DB$20,2)=4,$DD$14=4,$BX$29&lt;&gt;"HOL"),
AND(WEEKDAY($DB$20,2)=5,$DE$14=5,$BX$31&lt;&gt;"HOL"),
AND(WEEKDAY($DB$20,2)=6,$DF$14=6,$BX$33&lt;&gt;"HOL"),
AND(WEEKDAY($DB$20,2)=7,$DG$14=7,$BX$35&lt;&gt;"HOL")
)
),$DC$33,
TRUE,""
),
_xlfn.IFS(
AND($DG$23=BF4,
OR(
AND(WEEKDAY($DB$20+1,2)=1,$CE$10=1,$BX$23&lt;&gt;"HOL"),
AND(WEEKDAY($DB$20+1,2)=2,$CF$10=2,$BX$25&lt;&gt;"HOL"),
AND(WEEKDAY($DB$20+1,2)=3,$CG$10=3,$BX$27&lt;&gt;"HOL"),
AND(WEEKDAY($DB$20+1,2)=4,$CH$10=4,$BX$29&lt;&gt;"HOL"),
AND(WEEKDAY($DB$20+1,2)=5,$CI$10=5,$BX$31&lt;&gt;"HOL"),
AND(WEEKDAY($DB$20+1,2)=6,$CJ$10=6,$BX$33&lt;&gt;"HOL"),
AND(WEEKDAY($DB$20+1,2)=7,$CK$10=7,$BX$35&lt;&gt;"HOL")
)
),$DC$23,
AND($DG$25=BF4,
OR(
AND(WEEKDAY($DB$20+1,2)=1,$CE$14=1,$BX$23&lt;&gt;"HOL"),
AND(WEEKDAY($DB$20+1,2)=2,$CF$14=2,$BX$25&lt;&gt;"HOL"),
AND(WEEKDAY($DB$20+1,2)=3,$CG$14=3,$BX$27&lt;&gt;"HOL"),
AND(WEEKDAY($DB$20+1,2)=4,$CH$14=4,$BX$29&lt;&gt;"HOL"),
AND(WEEKDAY($DB$20+1,2)=5,$CI$14=5,$BX$31&lt;&gt;"HOL"),
AND(WEEKDAY($DB$20+1,2)=6,$CJ$14=6,$BX$33&lt;&gt;"HOL"),
AND(WEEKDAY($DB$20+1,2)=7,$CK$14=7,$BX$35&lt;&gt;"HOL")
)
),$DC$23,
AND($DG$28=BF4,
OR(
AND(WEEKDAY($DB$20+1,2)=1,$CP$10=1,$BX$23&lt;&gt;"HOL"),
AND(WEEKDAY($DB$20+1,2)=2,$CQ$10=2,$BX$25&lt;&gt;"HOL"),
AND(WEEKDAY($DB$20+1,2)=3,$CR$10=3,$BX$27&lt;&gt;"HOL"),
AND(WEEKDAY($DB$20+1,2)=4,$CS$10=4,$BX$29&lt;&gt;"HOL"),
AND(WEEKDAY($DB$20+1,2)=5,$CT$10=5,$BX$31&lt;&gt;"HOL"),
AND(WEEKDAY($DB$20+1,2)=6,$CU$10=6,$BX$33&lt;&gt;"HOL"),
AND(WEEKDAY($DB$20+1,2)=7,$CV$10=7,$BX$35&lt;&gt;"HOL")
)
),$DC$28,
AND($DG$30=BF4,
OR(
AND(WEEKDAY($DB$20+1,2)=1,$CP$14=1,$BX$23&lt;&gt;"HOL"),
AND(WEEKDAY($DB$20+1,2)=2,$CQ$14=2,$BX$25&lt;&gt;"HOL"),
AND(WEEKDAY($DB$20+1,2)=3,$CR$14=3,$BX$27&lt;&gt;"HOL"),
AND(WEEKDAY($DB$20+1,2)=4,$CS$14=4,$BX$29&lt;&gt;"HOL"),
AND(WEEKDAY($DB$20+1,2)=5,$CT$14=5,$BX$31&lt;&gt;"HOL"),
AND(WEEKDAY($DB$20+1,2)=6,$CU$14=6,$BX$33&lt;&gt;"HOL"),
AND(WEEKDAY($DB$20+1,2)=7,$CV$14=7,$BX$35&lt;&gt;"HOL")
)
),$DC$28,
AND($DG$33=BF4,
OR(
AND(WEEKDAY($DB$20+1,2)=1,$DA$10=1,$BX$23&lt;&gt;"HOL"),
AND(WEEKDAY($DB$20+1,2)=2,$DB$10=2,$BX$25&lt;&gt;"HOL"),
AND(WEEKDAY($DB$20+1,2)=3,$DC$10=3,$BX$27&lt;&gt;"HOL"),
AND(WEEKDAY($DB$20+1,2)=4,$DD$10=4,$BX$29&lt;&gt;"HOL"),
AND(WEEKDAY($DB$20+1,2)=5,$DE$10=5,$BX$31&lt;&gt;"HOL"),
AND(WEEKDAY($DB$20+1,2)=6,$DF$10=6,$BX$33&lt;&gt;"HOL"),
AND(WEEKDAY($DB$20+1,2)=7,$DG$10=7,$BX$35&lt;&gt;"HOL")
)
),$DC$33,
AND($DG$35=BF4,
OR(
AND(WEEKDAY($DB$20+1,2)=1,$DA$14=1,$BX$23&lt;&gt;"HOL"),
AND(WEEKDAY($DB$20+1,2)=2,$DB$14=2,$BX$25&lt;&gt;"HOL"),
AND(WEEKDAY($DB$20+1,2)=3,$DC$14=3,$BX$27&lt;&gt;"HOL"),
AND(WEEKDAY($DB$20+1,2)=4,$DD$14=4,$BX$29&lt;&gt;"HOL"),
AND(WEEKDAY($DB$20+1,2)=5,$DE$14=5,$BX$31&lt;&gt;"HOL"),
AND(WEEKDAY($DB$20+1,2)=6,$DF$14=6,$BX$33&lt;&gt;"HOL"),
AND(WEEKDAY($DB$20+1,2)=7,$DG$14=7,$BX$35&lt;&gt;"HOL")
)
),$DC$33,
TRUE,""
)
)</f>
        <v>#VALUE!</v>
      </c>
      <c r="BG7" s="2075" t="e" cm="1">
        <f t="array" aca="1" ref="BG7" ca="1">IF(
$C$3="TODAY",
_xlfn.IFS(
AND($DG$24=BH4,
OR(
AND(WEEKDAY($DB$20,2)=1,$CE$10=1,$BX$23&lt;&gt;"HOL"),
AND(WEEKDAY($DB$20,2)=2,$CF$10=2,$BX$25&lt;&gt;"HOL"),
AND(WEEKDAY($DB$20,2)=3,$CG$10=3,$BX$27&lt;&gt;"HOL"),
AND(WEEKDAY($DB$20,2)=4,$CH$10=4,$BX$29&lt;&gt;"HOL"),
AND(WEEKDAY($DB$20,2)=5,$CI$10=5,$BX$31&lt;&gt;"HOL"),
AND(WEEKDAY($DB$20,2)=6,$CJ$10=6,$BX$33&lt;&gt;"HOL"),
AND(WEEKDAY($DB$20,2)=7,$CK$10=7,$BX$35&lt;&gt;"HOL")
)
),$DD$23,
AND($DG$26=BH4,
OR(
AND(WEEKDAY($DB$20,2)=1,$CE$14=1,$BX$23&lt;&gt;"HOL"),
AND(WEEKDAY($DB$20,2)=2,$CF$14=2,$BX$25&lt;&gt;"HOL"),
AND(WEEKDAY($DB$20,2)=3,$CG$14=3,$BX$27&lt;&gt;"HOL"),
AND(WEEKDAY($DB$20,2)=4,$CH$14=4,$BX$29&lt;&gt;"HOL"),
AND(WEEKDAY($DB$20,2)=5,$CI$14=5,$BX$31&lt;&gt;"HOL"),
AND(WEEKDAY($DB$20,2)=6,$CJ$14=6,$BX$33&lt;&gt;"HOL"),
AND(WEEKDAY($DB$20,2)=7,$CK$14=7,$BX$35&lt;&gt;"HOL")
)
),$DD$23,
AND($DG$29=BH4,
OR(
AND(WEEKDAY($DB$20,2)=1,$CP$10=1,$BX$23&lt;&gt;"HOL"),
AND(WEEKDAY($DB$20,2)=2,$CQ$10=2,$BX$25&lt;&gt;"HOL"),
AND(WEEKDAY($DB$20,2)=3,$CR$10=3,$BX$27&lt;&gt;"HOL"),
AND(WEEKDAY($DB$20,2)=4,$CS$10=4,$BX$29&lt;&gt;"HOL"),
AND(WEEKDAY($DB$20,2)=5,$CT$10=5,$BX$31&lt;&gt;"HOL"),
AND(WEEKDAY($DB$20,2)=6,$CU$10=6,$BX$33&lt;&gt;"HOL"),
AND(WEEKDAY($DB$20,2)=7,$CV$10=7,$BX$35&lt;&gt;"HOL")
)
),$DD$28,
AND($DG$31=BH4,
OR(
AND(WEEKDAY($DB$20,2)=1,$CP$14=1,$BX$23&lt;&gt;"HOL"),
AND(WEEKDAY($DB$20,2)=2,$CQ$14=2,$BX$25&lt;&gt;"HOL"),
AND(WEEKDAY($DB$20,2)=3,$CR$14=3,$BX$27&lt;&gt;"HOL"),
AND(WEEKDAY($DB$20,2)=4,$CS$14=4,$BX$29&lt;&gt;"HOL"),
AND(WEEKDAY($DB$20,2)=5,$CT$14=5,$BX$31&lt;&gt;"HOL"),
AND(WEEKDAY($DB$20,2)=6,$CU$14=6,$BX$33&lt;&gt;"HOL"),
AND(WEEKDAY($DB$20,2)=7,$CV$14=7,$BX$35&lt;&gt;"HOL")
)
),$DD$28,
AND($DG$34=BH4,
OR(
AND(WEEKDAY($DB$20,2)=1,$DA$10=1,$BX$23&lt;&gt;"HOL"),
AND(WEEKDAY($DB$20,2)=2,$DB$10=2,$BX$25&lt;&gt;"HOL"),
AND(WEEKDAY($DB$20,2)=3,$DC$10=3,$BX$27&lt;&gt;"HOL"),
AND(WEEKDAY($DB$20,2)=4,$DD$10=4,$BX$29&lt;&gt;"HOL"),
AND(WEEKDAY($DB$20,2)=5,$DE$10=5,$BX$31&lt;&gt;"HOL"),
AND(WEEKDAY($DB$20,2)=6,$DF$10=6,$BX$33&lt;&gt;"HOL"),
AND(WEEKDAY($DB$20,2)=7,$DG$10=7,$BX$35&lt;&gt;"HOL")
)
),$DD$33,
AND($DG$36=BH4,
OR(
AND(WEEKDAY($DB$20,2)=1,$DA$14=1,$BX$23&lt;&gt;"HOL"),
AND(WEEKDAY($DB$20,2)=2,$DB$14=2,$BX$25&lt;&gt;"HOL"),
AND(WEEKDAY($DB$20,2)=3,$DC$14=3,$BX$27&lt;&gt;"HOL"),
AND(WEEKDAY($DB$20,2)=4,$DD$14=4,$BX$29&lt;&gt;"HOL"),
AND(WEEKDAY($DB$20,2)=5,$DE$14=5,$BX$31&lt;&gt;"HOL"),
AND(WEEKDAY($DB$20,2)=6,$DF$14=6,$BX$33&lt;&gt;"HOL"),
AND(WEEKDAY($DB$20,2)=7,$DG$14=7,$BX$35&lt;&gt;"HOL")
)
),$DD$33,
TRUE,""
),
_xlfn.IFS(
AND($DG$24=BH4,
OR(
AND(WEEKDAY($DB$20+1,2)=1,$CE$10=1,$BX$23&lt;&gt;"HOL"),
AND(WEEKDAY($DB$20+1,2)=2,$CF$10=2,$BX$25&lt;&gt;"HOL"),
AND(WEEKDAY($DB$20+1,2)=3,$CG$10=3,$BX$27&lt;&gt;"HOL"),
AND(WEEKDAY($DB$20+1,2)=4,$CH$10=4,$BX$29&lt;&gt;"HOL"),
AND(WEEKDAY($DB$20+1,2)=5,$CI$10=5,$BX$31&lt;&gt;"HOL"),
AND(WEEKDAY($DB$20+1,2)=6,$CJ$10=6,$BX$33&lt;&gt;"HOL"),
AND(WEEKDAY($DB$20+1,2)=7,$CK$10=7,$BX$35&lt;&gt;"HOL")
)
),$DD$23,
AND($DG$26=BH4,
OR(
AND(WEEKDAY($DB$20+1,2)=1,$CE$14=1,$BX$23&lt;&gt;"HOL"),
AND(WEEKDAY($DB$20+1,2)=2,$CF$14=2,$BX$25&lt;&gt;"HOL"),
AND(WEEKDAY($DB$20+1,2)=3,$CG$14=3,$BX$27&lt;&gt;"HOL"),
AND(WEEKDAY($DB$20+1,2)=4,$CH$14=4,$BX$29&lt;&gt;"HOL"),
AND(WEEKDAY($DB$20+1,2)=5,$CI$14=5,$BX$31&lt;&gt;"HOL"),
AND(WEEKDAY($DB$20+1,2)=6,$CJ$14=6,$BX$33&lt;&gt;"HOL"),
AND(WEEKDAY($DB$20+1,2)=7,$CK$14=7,$BX$35&lt;&gt;"HOL")
)
),$DD$23,
AND($DG$29=BH4,
OR(
AND(WEEKDAY($DB$20+1,2)=1,$CP$10=1,$BX$23&lt;&gt;"HOL"),
AND(WEEKDAY($DB$20+1,2)=2,$CQ$10=2,$BX$25&lt;&gt;"HOL"),
AND(WEEKDAY($DB$20+1,2)=3,$CR$10=3,$BX$27&lt;&gt;"HOL"),
AND(WEEKDAY($DB$20+1,2)=4,$CS$10=4,$BX$29&lt;&gt;"HOL"),
AND(WEEKDAY($DB$20+1,2)=5,$CT$10=5,$BX$31&lt;&gt;"HOL"),
AND(WEEKDAY($DB$20+1,2)=6,$CU$10=6,$BX$33&lt;&gt;"HOL"),
AND(WEEKDAY($DB$20+1,2)=7,$CV$10=7,$BX$35&lt;&gt;"HOL")
)
),$DD$28,
AND($DG$31=BH4,
OR(
AND(WEEKDAY($DB$20+1,2)=1,$CP$14=1,$BX$23&lt;&gt;"HOL"),
AND(WEEKDAY($DB$20+1,2)=2,$CQ$14=2,$BX$25&lt;&gt;"HOL"),
AND(WEEKDAY($DB$20+1,2)=3,$CR$14=3,$BX$27&lt;&gt;"HOL"),
AND(WEEKDAY($DB$20+1,2)=4,$CS$14=4,$BX$29&lt;&gt;"HOL"),
AND(WEEKDAY($DB$20+1,2)=5,$CT$14=5,$BX$31&lt;&gt;"HOL"),
AND(WEEKDAY($DB$20+1,2)=6,$CU$14=6,$BX$33&lt;&gt;"HOL"),
AND(WEEKDAY($DB$20+1,2)=7,$CV$14=7,$BX$35&lt;&gt;"HOL")
)
),$DD$28,
AND($DG$34=BH4,
OR(
AND(WEEKDAY($DB$20+1,2)=1,$DA$10=1,$BX$23&lt;&gt;"HOL"),
AND(WEEKDAY($DB$20+1,2)=2,$DB$10=2,$BX$25&lt;&gt;"HOL"),
AND(WEEKDAY($DB$20+1,2)=3,$DC$10=3,$BX$27&lt;&gt;"HOL"),
AND(WEEKDAY($DB$20+1,2)=4,$DD$10=4,$BX$29&lt;&gt;"HOL"),
AND(WEEKDAY($DB$20+1,2)=5,$DE$10=5,$BX$31&lt;&gt;"HOL"),
AND(WEEKDAY($DB$20+1,2)=6,$DF$10=6,$BX$33&lt;&gt;"HOL"),
AND(WEEKDAY($DB$20+1,2)=7,$DG$10=7,$BX$35&lt;&gt;"HOL")
)
),$DD$33,
AND($DG$36=BH4,
OR(
AND(WEEKDAY($DB$20+1,2)=1,$DA$14=1,$BX$23&lt;&gt;"HOL"),
AND(WEEKDAY($DB$20+1,2)=2,$DB$14=2,$BX$25&lt;&gt;"HOL"),
AND(WEEKDAY($DB$20+1,2)=3,$DC$14=3,$BX$27&lt;&gt;"HOL"),
AND(WEEKDAY($DB$20+1,2)=4,$DD$14=4,$BX$29&lt;&gt;"HOL"),
AND(WEEKDAY($DB$20+1,2)=5,$DE$14=5,$BX$31&lt;&gt;"HOL"),
AND(WEEKDAY($DB$20+1,2)=6,$DF$14=6,$BX$33&lt;&gt;"HOL"),
AND(WEEKDAY($DB$20+1,2)=7,$DG$14=7,$BX$35&lt;&gt;"HOL")
)
),$DD$33,
TRUE,""
)
)</f>
        <v>#VALUE!</v>
      </c>
      <c r="BH7" s="2076" t="e" cm="1">
        <f t="array" aca="1" ref="BH7" ca="1">IF(
$C$3="TODAY",
_xlfn.IFS(
AND($DG$23=BH4,
OR(
AND(WEEKDAY($DB$20,2)=1,$CE$10=1,$BX$23&lt;&gt;"HOL"),
AND(WEEKDAY($DB$20,2)=2,$CF$10=2,$BX$25&lt;&gt;"HOL"),
AND(WEEKDAY($DB$20,2)=3,$CG$10=3,$BX$27&lt;&gt;"HOL"),
AND(WEEKDAY($DB$20,2)=4,$CH$10=4,$BX$29&lt;&gt;"HOL"),
AND(WEEKDAY($DB$20,2)=5,$CI$10=5,$BX$31&lt;&gt;"HOL"),
AND(WEEKDAY($DB$20,2)=6,$CJ$10=6,$BX$33&lt;&gt;"HOL"),
AND(WEEKDAY($DB$20,2)=7,$CK$10=7,$BX$35&lt;&gt;"HOL")
)
),$DC$23,
AND($DG$25=BH4,
OR(
AND(WEEKDAY($DB$20,2)=1,$CE$14=1,$BX$23&lt;&gt;"HOL"),
AND(WEEKDAY($DB$20,2)=2,$CF$14=2,$BX$25&lt;&gt;"HOL"),
AND(WEEKDAY($DB$20,2)=3,$CG$14=3,$BX$27&lt;&gt;"HOL"),
AND(WEEKDAY($DB$20,2)=4,$CH$14=4,$BX$29&lt;&gt;"HOL"),
AND(WEEKDAY($DB$20,2)=5,$CI$14=5,$BX$31&lt;&gt;"HOL"),
AND(WEEKDAY($DB$20,2)=6,$CJ$14=6,$BX$33&lt;&gt;"HOL"),
AND(WEEKDAY($DB$20,2)=7,$CK$14=7,$BX$35&lt;&gt;"HOL")
)
),$DC$23,
AND($DG$28=BH4,
OR(
AND(WEEKDAY($DB$20,2)=1,$CP$10=1,$BX$23&lt;&gt;"HOL"),
AND(WEEKDAY($DB$20,2)=2,$CQ$10=2,$BX$25&lt;&gt;"HOL"),
AND(WEEKDAY($DB$20,2)=3,$CR$10=3,$BX$27&lt;&gt;"HOL"),
AND(WEEKDAY($DB$20,2)=4,$CS$10=4,$BX$29&lt;&gt;"HOL"),
AND(WEEKDAY($DB$20,2)=5,$CT$10=5,$BX$31&lt;&gt;"HOL"),
AND(WEEKDAY($DB$20,2)=6,$CU$10=6,$BX$33&lt;&gt;"HOL"),
AND(WEEKDAY($DB$20,2)=7,$CV$10=7,$BX$35&lt;&gt;"HOL")
)
),$DC$28,
AND($DG$30=BH4,
OR(
AND(WEEKDAY($DB$20,2)=1,$CP$14=1,$BX$23&lt;&gt;"HOL"),
AND(WEEKDAY($DB$20,2)=2,$CQ$14=2,$BX$25&lt;&gt;"HOL"),
AND(WEEKDAY($DB$20,2)=3,$CR$14=3,$BX$27&lt;&gt;"HOL"),
AND(WEEKDAY($DB$20,2)=4,$CS$14=4,$BX$29&lt;&gt;"HOL"),
AND(WEEKDAY($DB$20,2)=5,$CT$14=5,$BX$31&lt;&gt;"HOL"),
AND(WEEKDAY($DB$20,2)=6,$CU$14=6,$BX$33&lt;&gt;"HOL"),
AND(WEEKDAY($DB$20,2)=7,$CV$14=7,$BX$35&lt;&gt;"HOL")
)
),$DC$28,
AND($DG$33=BH4,
OR(
AND(WEEKDAY($DB$20,2)=1,$DA$10=1,$BX$23&lt;&gt;"HOL"),
AND(WEEKDAY($DB$20,2)=2,$DB$10=2,$BX$25&lt;&gt;"HOL"),
AND(WEEKDAY($DB$20,2)=3,$DC$10=3,$BX$27&lt;&gt;"HOL"),
AND(WEEKDAY($DB$20,2)=4,$DD$10=4,$BX$29&lt;&gt;"HOL"),
AND(WEEKDAY($DB$20,2)=5,$DE$10=5,$BX$31&lt;&gt;"HOL"),
AND(WEEKDAY($DB$20,2)=6,$DF$10=6,$BX$33&lt;&gt;"HOL"),
AND(WEEKDAY($DB$20,2)=7,$DG$10=7,$BX$35&lt;&gt;"HOL")
)
),$DC$33,
AND($DG$35=BH4,
OR(
AND(WEEKDAY($DB$20,2)=1,$DA$14=1,$BX$23&lt;&gt;"HOL"),
AND(WEEKDAY($DB$20,2)=2,$DB$14=2,$BX$25&lt;&gt;"HOL"),
AND(WEEKDAY($DB$20,2)=3,$DC$14=3,$BX$27&lt;&gt;"HOL"),
AND(WEEKDAY($DB$20,2)=4,$DD$14=4,$BX$29&lt;&gt;"HOL"),
AND(WEEKDAY($DB$20,2)=5,$DE$14=5,$BX$31&lt;&gt;"HOL"),
AND(WEEKDAY($DB$20,2)=6,$DF$14=6,$BX$33&lt;&gt;"HOL"),
AND(WEEKDAY($DB$20,2)=7,$DG$14=7,$BX$35&lt;&gt;"HOL")
)
),$DC$33,
TRUE,""
),
_xlfn.IFS(
AND($DG$23=BH4,
OR(
AND(WEEKDAY($DB$20+1,2)=1,$CE$10=1,$BX$23&lt;&gt;"HOL"),
AND(WEEKDAY($DB$20+1,2)=2,$CF$10=2,$BX$25&lt;&gt;"HOL"),
AND(WEEKDAY($DB$20+1,2)=3,$CG$10=3,$BX$27&lt;&gt;"HOL"),
AND(WEEKDAY($DB$20+1,2)=4,$CH$10=4,$BX$29&lt;&gt;"HOL"),
AND(WEEKDAY($DB$20+1,2)=5,$CI$10=5,$BX$31&lt;&gt;"HOL"),
AND(WEEKDAY($DB$20+1,2)=6,$CJ$10=6,$BX$33&lt;&gt;"HOL"),
AND(WEEKDAY($DB$20+1,2)=7,$CK$10=7,$BX$35&lt;&gt;"HOL")
)
),$DC$23,
AND($DG$25=BH4,
OR(
AND(WEEKDAY($DB$20+1,2)=1,$CE$14=1,$BX$23&lt;&gt;"HOL"),
AND(WEEKDAY($DB$20+1,2)=2,$CF$14=2,$BX$25&lt;&gt;"HOL"),
AND(WEEKDAY($DB$20+1,2)=3,$CG$14=3,$BX$27&lt;&gt;"HOL"),
AND(WEEKDAY($DB$20+1,2)=4,$CH$14=4,$BX$29&lt;&gt;"HOL"),
AND(WEEKDAY($DB$20+1,2)=5,$CI$14=5,$BX$31&lt;&gt;"HOL"),
AND(WEEKDAY($DB$20+1,2)=6,$CJ$14=6,$BX$33&lt;&gt;"HOL"),
AND(WEEKDAY($DB$20+1,2)=7,$CK$14=7,$BX$35&lt;&gt;"HOL")
)
),$DC$23,
AND($DG$28=BH4,
OR(
AND(WEEKDAY($DB$20+1,2)=1,$CP$10=1,$BX$23&lt;&gt;"HOL"),
AND(WEEKDAY($DB$20+1,2)=2,$CQ$10=2,$BX$25&lt;&gt;"HOL"),
AND(WEEKDAY($DB$20+1,2)=3,$CR$10=3,$BX$27&lt;&gt;"HOL"),
AND(WEEKDAY($DB$20+1,2)=4,$CS$10=4,$BX$29&lt;&gt;"HOL"),
AND(WEEKDAY($DB$20+1,2)=5,$CT$10=5,$BX$31&lt;&gt;"HOL"),
AND(WEEKDAY($DB$20+1,2)=6,$CU$10=6,$BX$33&lt;&gt;"HOL"),
AND(WEEKDAY($DB$20+1,2)=7,$CV$10=7,$BX$35&lt;&gt;"HOL")
)
),$DC$28,
AND($DG$30=BH4,
OR(
AND(WEEKDAY($DB$20+1,2)=1,$CP$14=1,$BX$23&lt;&gt;"HOL"),
AND(WEEKDAY($DB$20+1,2)=2,$CQ$14=2,$BX$25&lt;&gt;"HOL"),
AND(WEEKDAY($DB$20+1,2)=3,$CR$14=3,$BX$27&lt;&gt;"HOL"),
AND(WEEKDAY($DB$20+1,2)=4,$CS$14=4,$BX$29&lt;&gt;"HOL"),
AND(WEEKDAY($DB$20+1,2)=5,$CT$14=5,$BX$31&lt;&gt;"HOL"),
AND(WEEKDAY($DB$20+1,2)=6,$CU$14=6,$BX$33&lt;&gt;"HOL"),
AND(WEEKDAY($DB$20+1,2)=7,$CV$14=7,$BX$35&lt;&gt;"HOL")
)
),$DC$28,
AND($DG$33=BH4,
OR(
AND(WEEKDAY($DB$20+1,2)=1,$DA$10=1,$BX$23&lt;&gt;"HOL"),
AND(WEEKDAY($DB$20+1,2)=2,$DB$10=2,$BX$25&lt;&gt;"HOL"),
AND(WEEKDAY($DB$20+1,2)=3,$DC$10=3,$BX$27&lt;&gt;"HOL"),
AND(WEEKDAY($DB$20+1,2)=4,$DD$10=4,$BX$29&lt;&gt;"HOL"),
AND(WEEKDAY($DB$20+1,2)=5,$DE$10=5,$BX$31&lt;&gt;"HOL"),
AND(WEEKDAY($DB$20+1,2)=6,$DF$10=6,$BX$33&lt;&gt;"HOL"),
AND(WEEKDAY($DB$20+1,2)=7,$DG$10=7,$BX$35&lt;&gt;"HOL")
)
),$DC$33,
AND($DG$35=BH4,
OR(
AND(WEEKDAY($DB$20+1,2)=1,$DA$14=1,$BX$23&lt;&gt;"HOL"),
AND(WEEKDAY($DB$20+1,2)=2,$DB$14=2,$BX$25&lt;&gt;"HOL"),
AND(WEEKDAY($DB$20+1,2)=3,$DC$14=3,$BX$27&lt;&gt;"HOL"),
AND(WEEKDAY($DB$20+1,2)=4,$DD$14=4,$BX$29&lt;&gt;"HOL"),
AND(WEEKDAY($DB$20+1,2)=5,$DE$14=5,$BX$31&lt;&gt;"HOL"),
AND(WEEKDAY($DB$20+1,2)=6,$DF$14=6,$BX$33&lt;&gt;"HOL"),
AND(WEEKDAY($DB$20+1,2)=7,$DG$14=7,$BX$35&lt;&gt;"HOL")
)
),$DC$33,
TRUE,""
)
)</f>
        <v>#VALUE!</v>
      </c>
      <c r="BI7" s="2066" t="e" cm="1">
        <f t="array" aca="1" ref="BI7" ca="1">IF(
$C$3="TODAY",
_xlfn.IFS(
AND($DG$24=BJ4,
OR(
AND(WEEKDAY($DB$20,2)=1,$CE$10=1,$BX$23&lt;&gt;"HOL"),
AND(WEEKDAY($DB$20,2)=2,$CF$10=2,$BX$25&lt;&gt;"HOL"),
AND(WEEKDAY($DB$20,2)=3,$CG$10=3,$BX$27&lt;&gt;"HOL"),
AND(WEEKDAY($DB$20,2)=4,$CH$10=4,$BX$29&lt;&gt;"HOL"),
AND(WEEKDAY($DB$20,2)=5,$CI$10=5,$BX$31&lt;&gt;"HOL"),
AND(WEEKDAY($DB$20,2)=6,$CJ$10=6,$BX$33&lt;&gt;"HOL"),
AND(WEEKDAY($DB$20,2)=7,$CK$10=7,$BX$35&lt;&gt;"HOL")
)
),$DD$23,
AND($DG$26=BJ4,
OR(
AND(WEEKDAY($DB$20,2)=1,$CE$14=1,$BX$23&lt;&gt;"HOL"),
AND(WEEKDAY($DB$20,2)=2,$CF$14=2,$BX$25&lt;&gt;"HOL"),
AND(WEEKDAY($DB$20,2)=3,$CG$14=3,$BX$27&lt;&gt;"HOL"),
AND(WEEKDAY($DB$20,2)=4,$CH$14=4,$BX$29&lt;&gt;"HOL"),
AND(WEEKDAY($DB$20,2)=5,$CI$14=5,$BX$31&lt;&gt;"HOL"),
AND(WEEKDAY($DB$20,2)=6,$CJ$14=6,$BX$33&lt;&gt;"HOL"),
AND(WEEKDAY($DB$20,2)=7,$CK$14=7,$BX$35&lt;&gt;"HOL")
)
),$DD$23,
AND($DG$29=BJ4,
OR(
AND(WEEKDAY($DB$20,2)=1,$CP$10=1,$BX$23&lt;&gt;"HOL"),
AND(WEEKDAY($DB$20,2)=2,$CQ$10=2,$BX$25&lt;&gt;"HOL"),
AND(WEEKDAY($DB$20,2)=3,$CR$10=3,$BX$27&lt;&gt;"HOL"),
AND(WEEKDAY($DB$20,2)=4,$CS$10=4,$BX$29&lt;&gt;"HOL"),
AND(WEEKDAY($DB$20,2)=5,$CT$10=5,$BX$31&lt;&gt;"HOL"),
AND(WEEKDAY($DB$20,2)=6,$CU$10=6,$BX$33&lt;&gt;"HOL"),
AND(WEEKDAY($DB$20,2)=7,$CV$10=7,$BX$35&lt;&gt;"HOL")
)
),$DD$28,
AND($DG$31=BJ4,
OR(
AND(WEEKDAY($DB$20,2)=1,$CP$14=1,$BX$23&lt;&gt;"HOL"),
AND(WEEKDAY($DB$20,2)=2,$CQ$14=2,$BX$25&lt;&gt;"HOL"),
AND(WEEKDAY($DB$20,2)=3,$CR$14=3,$BX$27&lt;&gt;"HOL"),
AND(WEEKDAY($DB$20,2)=4,$CS$14=4,$BX$29&lt;&gt;"HOL"),
AND(WEEKDAY($DB$20,2)=5,$CT$14=5,$BX$31&lt;&gt;"HOL"),
AND(WEEKDAY($DB$20,2)=6,$CU$14=6,$BX$33&lt;&gt;"HOL"),
AND(WEEKDAY($DB$20,2)=7,$CV$14=7,$BX$35&lt;&gt;"HOL")
)
),$DD$28,
AND($DG$34=BJ4,
OR(
AND(WEEKDAY($DB$20,2)=1,$DA$10=1,$BX$23&lt;&gt;"HOL"),
AND(WEEKDAY($DB$20,2)=2,$DB$10=2,$BX$25&lt;&gt;"HOL"),
AND(WEEKDAY($DB$20,2)=3,$DC$10=3,$BX$27&lt;&gt;"HOL"),
AND(WEEKDAY($DB$20,2)=4,$DD$10=4,$BX$29&lt;&gt;"HOL"),
AND(WEEKDAY($DB$20,2)=5,$DE$10=5,$BX$31&lt;&gt;"HOL"),
AND(WEEKDAY($DB$20,2)=6,$DF$10=6,$BX$33&lt;&gt;"HOL"),
AND(WEEKDAY($DB$20,2)=7,$DG$10=7,$BX$35&lt;&gt;"HOL")
)
),$DD$33,
AND($DG$36=BJ4,
OR(
AND(WEEKDAY($DB$20,2)=1,$DA$14=1,$BX$23&lt;&gt;"HOL"),
AND(WEEKDAY($DB$20,2)=2,$DB$14=2,$BX$25&lt;&gt;"HOL"),
AND(WEEKDAY($DB$20,2)=3,$DC$14=3,$BX$27&lt;&gt;"HOL"),
AND(WEEKDAY($DB$20,2)=4,$DD$14=4,$BX$29&lt;&gt;"HOL"),
AND(WEEKDAY($DB$20,2)=5,$DE$14=5,$BX$31&lt;&gt;"HOL"),
AND(WEEKDAY($DB$20,2)=6,$DF$14=6,$BX$33&lt;&gt;"HOL"),
AND(WEEKDAY($DB$20,2)=7,$DG$14=7,$BX$35&lt;&gt;"HOL")
)
),$DD$33,
TRUE,""
),
_xlfn.IFS(
AND($DG$24=BJ4,
OR(
AND(WEEKDAY($DB$20+1,2)=1,$CE$10=1,$BX$23&lt;&gt;"HOL"),
AND(WEEKDAY($DB$20+1,2)=2,$CF$10=2,$BX$25&lt;&gt;"HOL"),
AND(WEEKDAY($DB$20+1,2)=3,$CG$10=3,$BX$27&lt;&gt;"HOL"),
AND(WEEKDAY($DB$20+1,2)=4,$CH$10=4,$BX$29&lt;&gt;"HOL"),
AND(WEEKDAY($DB$20+1,2)=5,$CI$10=5,$BX$31&lt;&gt;"HOL"),
AND(WEEKDAY($DB$20+1,2)=6,$CJ$10=6,$BX$33&lt;&gt;"HOL"),
AND(WEEKDAY($DB$20+1,2)=7,$CK$10=7,$BX$35&lt;&gt;"HOL")
)
),$DD$23,
AND($DG$26=BJ4,
OR(
AND(WEEKDAY($DB$20+1,2)=1,$CE$14=1,$BX$23&lt;&gt;"HOL"),
AND(WEEKDAY($DB$20+1,2)=2,$CF$14=2,$BX$25&lt;&gt;"HOL"),
AND(WEEKDAY($DB$20+1,2)=3,$CG$14=3,$BX$27&lt;&gt;"HOL"),
AND(WEEKDAY($DB$20+1,2)=4,$CH$14=4,$BX$29&lt;&gt;"HOL"),
AND(WEEKDAY($DB$20+1,2)=5,$CI$14=5,$BX$31&lt;&gt;"HOL"),
AND(WEEKDAY($DB$20+1,2)=6,$CJ$14=6,$BX$33&lt;&gt;"HOL"),
AND(WEEKDAY($DB$20+1,2)=7,$CK$14=7,$BX$35&lt;&gt;"HOL")
)
),$DD$23,
AND($DG$29=BJ4,
OR(
AND(WEEKDAY($DB$20+1,2)=1,$CP$10=1,$BX$23&lt;&gt;"HOL"),
AND(WEEKDAY($DB$20+1,2)=2,$CQ$10=2,$BX$25&lt;&gt;"HOL"),
AND(WEEKDAY($DB$20+1,2)=3,$CR$10=3,$BX$27&lt;&gt;"HOL"),
AND(WEEKDAY($DB$20+1,2)=4,$CS$10=4,$BX$29&lt;&gt;"HOL"),
AND(WEEKDAY($DB$20+1,2)=5,$CT$10=5,$BX$31&lt;&gt;"HOL"),
AND(WEEKDAY($DB$20+1,2)=6,$CU$10=6,$BX$33&lt;&gt;"HOL"),
AND(WEEKDAY($DB$20+1,2)=7,$CV$10=7,$BX$35&lt;&gt;"HOL")
)
),$DD$28,
AND($DG$31=BJ4,
OR(
AND(WEEKDAY($DB$20+1,2)=1,$CP$14=1,$BX$23&lt;&gt;"HOL"),
AND(WEEKDAY($DB$20+1,2)=2,$CQ$14=2,$BX$25&lt;&gt;"HOL"),
AND(WEEKDAY($DB$20+1,2)=3,$CR$14=3,$BX$27&lt;&gt;"HOL"),
AND(WEEKDAY($DB$20+1,2)=4,$CS$14=4,$BX$29&lt;&gt;"HOL"),
AND(WEEKDAY($DB$20+1,2)=5,$CT$14=5,$BX$31&lt;&gt;"HOL"),
AND(WEEKDAY($DB$20+1,2)=6,$CU$14=6,$BX$33&lt;&gt;"HOL"),
AND(WEEKDAY($DB$20+1,2)=7,$CV$14=7,$BX$35&lt;&gt;"HOL")
)
),$DD$28,
AND($DG$34=BJ4,
OR(
AND(WEEKDAY($DB$20+1,2)=1,$DA$10=1,$BX$23&lt;&gt;"HOL"),
AND(WEEKDAY($DB$20+1,2)=2,$DB$10=2,$BX$25&lt;&gt;"HOL"),
AND(WEEKDAY($DB$20+1,2)=3,$DC$10=3,$BX$27&lt;&gt;"HOL"),
AND(WEEKDAY($DB$20+1,2)=4,$DD$10=4,$BX$29&lt;&gt;"HOL"),
AND(WEEKDAY($DB$20+1,2)=5,$DE$10=5,$BX$31&lt;&gt;"HOL"),
AND(WEEKDAY($DB$20+1,2)=6,$DF$10=6,$BX$33&lt;&gt;"HOL"),
AND(WEEKDAY($DB$20+1,2)=7,$DG$10=7,$BX$35&lt;&gt;"HOL")
)
),$DD$33,
AND($DG$36=BJ4,
OR(
AND(WEEKDAY($DB$20+1,2)=1,$DA$14=1,$BX$23&lt;&gt;"HOL"),
AND(WEEKDAY($DB$20+1,2)=2,$DB$14=2,$BX$25&lt;&gt;"HOL"),
AND(WEEKDAY($DB$20+1,2)=3,$DC$14=3,$BX$27&lt;&gt;"HOL"),
AND(WEEKDAY($DB$20+1,2)=4,$DD$14=4,$BX$29&lt;&gt;"HOL"),
AND(WEEKDAY($DB$20+1,2)=5,$DE$14=5,$BX$31&lt;&gt;"HOL"),
AND(WEEKDAY($DB$20+1,2)=6,$DF$14=6,$BX$33&lt;&gt;"HOL"),
AND(WEEKDAY($DB$20+1,2)=7,$DG$14=7,$BX$35&lt;&gt;"HOL")
)
),$DD$33,
TRUE,""
)
)</f>
        <v>#VALUE!</v>
      </c>
      <c r="BJ7" s="1090" t="e" cm="1">
        <f t="array" aca="1" ref="BJ7" ca="1">IF(
$C$3="TODAY",
_xlfn.IFS(
AND($DG$23=BJ4,
OR(
AND(WEEKDAY($DB$20,2)=1,$CE$10=1,$BX$23&lt;&gt;"HOL"),
AND(WEEKDAY($DB$20,2)=2,$CF$10=2,$BX$25&lt;&gt;"HOL"),
AND(WEEKDAY($DB$20,2)=3,$CG$10=3,$BX$27&lt;&gt;"HOL"),
AND(WEEKDAY($DB$20,2)=4,$CH$10=4,$BX$29&lt;&gt;"HOL"),
AND(WEEKDAY($DB$20,2)=5,$CI$10=5,$BX$31&lt;&gt;"HOL"),
AND(WEEKDAY($DB$20,2)=6,$CJ$10=6,$BX$33&lt;&gt;"HOL"),
AND(WEEKDAY($DB$20,2)=7,$CK$10=7,$BX$35&lt;&gt;"HOL")
)
),$DC$23,
AND($DG$25=BJ4,
OR(
AND(WEEKDAY($DB$20,2)=1,$CE$14=1,$BX$23&lt;&gt;"HOL"),
AND(WEEKDAY($DB$20,2)=2,$CF$14=2,$BX$25&lt;&gt;"HOL"),
AND(WEEKDAY($DB$20,2)=3,$CG$14=3,$BX$27&lt;&gt;"HOL"),
AND(WEEKDAY($DB$20,2)=4,$CH$14=4,$BX$29&lt;&gt;"HOL"),
AND(WEEKDAY($DB$20,2)=5,$CI$14=5,$BX$31&lt;&gt;"HOL"),
AND(WEEKDAY($DB$20,2)=6,$CJ$14=6,$BX$33&lt;&gt;"HOL"),
AND(WEEKDAY($DB$20,2)=7,$CK$14=7,$BX$35&lt;&gt;"HOL")
)
),$DC$23,
AND($DG$28=BJ4,
OR(
AND(WEEKDAY($DB$20,2)=1,$CP$10=1,$BX$23&lt;&gt;"HOL"),
AND(WEEKDAY($DB$20,2)=2,$CQ$10=2,$BX$25&lt;&gt;"HOL"),
AND(WEEKDAY($DB$20,2)=3,$CR$10=3,$BX$27&lt;&gt;"HOL"),
AND(WEEKDAY($DB$20,2)=4,$CS$10=4,$BX$29&lt;&gt;"HOL"),
AND(WEEKDAY($DB$20,2)=5,$CT$10=5,$BX$31&lt;&gt;"HOL"),
AND(WEEKDAY($DB$20,2)=6,$CU$10=6,$BX$33&lt;&gt;"HOL"),
AND(WEEKDAY($DB$20,2)=7,$CV$10=7,$BX$35&lt;&gt;"HOL")
)
),$DC$28,
AND($DG$30=BJ4,
OR(
AND(WEEKDAY($DB$20,2)=1,$CP$14=1,$BX$23&lt;&gt;"HOL"),
AND(WEEKDAY($DB$20,2)=2,$CQ$14=2,$BX$25&lt;&gt;"HOL"),
AND(WEEKDAY($DB$20,2)=3,$CR$14=3,$BX$27&lt;&gt;"HOL"),
AND(WEEKDAY($DB$20,2)=4,$CS$14=4,$BX$29&lt;&gt;"HOL"),
AND(WEEKDAY($DB$20,2)=5,$CT$14=5,$BX$31&lt;&gt;"HOL"),
AND(WEEKDAY($DB$20,2)=6,$CU$14=6,$BX$33&lt;&gt;"HOL"),
AND(WEEKDAY($DB$20,2)=7,$CV$14=7,$BX$35&lt;&gt;"HOL")
)
),$DC$28,
AND($DG$33=BJ4,
OR(
AND(WEEKDAY($DB$20,2)=1,$DA$10=1,$BX$23&lt;&gt;"HOL"),
AND(WEEKDAY($DB$20,2)=2,$DB$10=2,$BX$25&lt;&gt;"HOL"),
AND(WEEKDAY($DB$20,2)=3,$DC$10=3,$BX$27&lt;&gt;"HOL"),
AND(WEEKDAY($DB$20,2)=4,$DD$10=4,$BX$29&lt;&gt;"HOL"),
AND(WEEKDAY($DB$20,2)=5,$DE$10=5,$BX$31&lt;&gt;"HOL"),
AND(WEEKDAY($DB$20,2)=6,$DF$10=6,$BX$33&lt;&gt;"HOL"),
AND(WEEKDAY($DB$20,2)=7,$DG$10=7,$BX$35&lt;&gt;"HOL")
)
),$DC$33,
AND($DG$35=BJ4,
OR(
AND(WEEKDAY($DB$20,2)=1,$DA$14=1,$BX$23&lt;&gt;"HOL"),
AND(WEEKDAY($DB$20,2)=2,$DB$14=2,$BX$25&lt;&gt;"HOL"),
AND(WEEKDAY($DB$20,2)=3,$DC$14=3,$BX$27&lt;&gt;"HOL"),
AND(WEEKDAY($DB$20,2)=4,$DD$14=4,$BX$29&lt;&gt;"HOL"),
AND(WEEKDAY($DB$20,2)=5,$DE$14=5,$BX$31&lt;&gt;"HOL"),
AND(WEEKDAY($DB$20,2)=6,$DF$14=6,$BX$33&lt;&gt;"HOL"),
AND(WEEKDAY($DB$20,2)=7,$DG$14=7,$BX$35&lt;&gt;"HOL")
)
),$DC$33,
TRUE,""
),
_xlfn.IFS(
AND($DG$23=BJ4,
OR(
AND(WEEKDAY($DB$20+1,2)=1,$CE$10=1,$BX$23&lt;&gt;"HOL"),
AND(WEEKDAY($DB$20+1,2)=2,$CF$10=2,$BX$25&lt;&gt;"HOL"),
AND(WEEKDAY($DB$20+1,2)=3,$CG$10=3,$BX$27&lt;&gt;"HOL"),
AND(WEEKDAY($DB$20+1,2)=4,$CH$10=4,$BX$29&lt;&gt;"HOL"),
AND(WEEKDAY($DB$20+1,2)=5,$CI$10=5,$BX$31&lt;&gt;"HOL"),
AND(WEEKDAY($DB$20+1,2)=6,$CJ$10=6,$BX$33&lt;&gt;"HOL"),
AND(WEEKDAY($DB$20+1,2)=7,$CK$10=7,$BX$35&lt;&gt;"HOL")
)
),$DC$23,
AND($DG$25=BJ4,
OR(
AND(WEEKDAY($DB$20+1,2)=1,$CE$14=1,$BX$23&lt;&gt;"HOL"),
AND(WEEKDAY($DB$20+1,2)=2,$CF$14=2,$BX$25&lt;&gt;"HOL"),
AND(WEEKDAY($DB$20+1,2)=3,$CG$14=3,$BX$27&lt;&gt;"HOL"),
AND(WEEKDAY($DB$20+1,2)=4,$CH$14=4,$BX$29&lt;&gt;"HOL"),
AND(WEEKDAY($DB$20+1,2)=5,$CI$14=5,$BX$31&lt;&gt;"HOL"),
AND(WEEKDAY($DB$20+1,2)=6,$CJ$14=6,$BX$33&lt;&gt;"HOL"),
AND(WEEKDAY($DB$20+1,2)=7,$CK$14=7,$BX$35&lt;&gt;"HOL")
)
),$DC$23,
AND($DG$28=BJ4,
OR(
AND(WEEKDAY($DB$20+1,2)=1,$CP$10=1,$BX$23&lt;&gt;"HOL"),
AND(WEEKDAY($DB$20+1,2)=2,$CQ$10=2,$BX$25&lt;&gt;"HOL"),
AND(WEEKDAY($DB$20+1,2)=3,$CR$10=3,$BX$27&lt;&gt;"HOL"),
AND(WEEKDAY($DB$20+1,2)=4,$CS$10=4,$BX$29&lt;&gt;"HOL"),
AND(WEEKDAY($DB$20+1,2)=5,$CT$10=5,$BX$31&lt;&gt;"HOL"),
AND(WEEKDAY($DB$20+1,2)=6,$CU$10=6,$BX$33&lt;&gt;"HOL"),
AND(WEEKDAY($DB$20+1,2)=7,$CV$10=7,$BX$35&lt;&gt;"HOL")
)
),$DC$28,
AND($DG$30=BJ4,
OR(
AND(WEEKDAY($DB$20+1,2)=1,$CP$14=1,$BX$23&lt;&gt;"HOL"),
AND(WEEKDAY($DB$20+1,2)=2,$CQ$14=2,$BX$25&lt;&gt;"HOL"),
AND(WEEKDAY($DB$20+1,2)=3,$CR$14=3,$BX$27&lt;&gt;"HOL"),
AND(WEEKDAY($DB$20+1,2)=4,$CS$14=4,$BX$29&lt;&gt;"HOL"),
AND(WEEKDAY($DB$20+1,2)=5,$CT$14=5,$BX$31&lt;&gt;"HOL"),
AND(WEEKDAY($DB$20+1,2)=6,$CU$14=6,$BX$33&lt;&gt;"HOL"),
AND(WEEKDAY($DB$20+1,2)=7,$CV$14=7,$BX$35&lt;&gt;"HOL")
)
),$DC$28,
AND($DG$33=BJ4,
OR(
AND(WEEKDAY($DB$20+1,2)=1,$DA$10=1,$BX$23&lt;&gt;"HOL"),
AND(WEEKDAY($DB$20+1,2)=2,$DB$10=2,$BX$25&lt;&gt;"HOL"),
AND(WEEKDAY($DB$20+1,2)=3,$DC$10=3,$BX$27&lt;&gt;"HOL"),
AND(WEEKDAY($DB$20+1,2)=4,$DD$10=4,$BX$29&lt;&gt;"HOL"),
AND(WEEKDAY($DB$20+1,2)=5,$DE$10=5,$BX$31&lt;&gt;"HOL"),
AND(WEEKDAY($DB$20+1,2)=6,$DF$10=6,$BX$33&lt;&gt;"HOL"),
AND(WEEKDAY($DB$20+1,2)=7,$DG$10=7,$BX$35&lt;&gt;"HOL")
)
),$DC$33,
AND($DG$35=BJ4,
OR(
AND(WEEKDAY($DB$20+1,2)=1,$DA$14=1,$BX$23&lt;&gt;"HOL"),
AND(WEEKDAY($DB$20+1,2)=2,$DB$14=2,$BX$25&lt;&gt;"HOL"),
AND(WEEKDAY($DB$20+1,2)=3,$DC$14=3,$BX$27&lt;&gt;"HOL"),
AND(WEEKDAY($DB$20+1,2)=4,$DD$14=4,$BX$29&lt;&gt;"HOL"),
AND(WEEKDAY($DB$20+1,2)=5,$DE$14=5,$BX$31&lt;&gt;"HOL"),
AND(WEEKDAY($DB$20+1,2)=6,$DF$14=6,$BX$33&lt;&gt;"HOL"),
AND(WEEKDAY($DB$20+1,2)=7,$DG$14=7,$BX$35&lt;&gt;"HOL")
)
),$DC$33,
TRUE,""
)
)</f>
        <v>#VALUE!</v>
      </c>
      <c r="BK7" s="2075" t="e" cm="1">
        <f t="array" aca="1" ref="BK7" ca="1">IF(
$C$3="TODAY",
_xlfn.IFS(
AND($DG$24=BL4,
OR(
AND(WEEKDAY($DB$20,2)=1,$CE$10=1,$BX$23&lt;&gt;"HOL"),
AND(WEEKDAY($DB$20,2)=2,$CF$10=2,$BX$25&lt;&gt;"HOL"),
AND(WEEKDAY($DB$20,2)=3,$CG$10=3,$BX$27&lt;&gt;"HOL"),
AND(WEEKDAY($DB$20,2)=4,$CH$10=4,$BX$29&lt;&gt;"HOL"),
AND(WEEKDAY($DB$20,2)=5,$CI$10=5,$BX$31&lt;&gt;"HOL"),
AND(WEEKDAY($DB$20,2)=6,$CJ$10=6,$BX$33&lt;&gt;"HOL"),
AND(WEEKDAY($DB$20,2)=7,$CK$10=7,$BX$35&lt;&gt;"HOL")
)
),$DD$23,
AND($DG$26=BL4,
OR(
AND(WEEKDAY($DB$20,2)=1,$CE$14=1,$BX$23&lt;&gt;"HOL"),
AND(WEEKDAY($DB$20,2)=2,$CF$14=2,$BX$25&lt;&gt;"HOL"),
AND(WEEKDAY($DB$20,2)=3,$CG$14=3,$BX$27&lt;&gt;"HOL"),
AND(WEEKDAY($DB$20,2)=4,$CH$14=4,$BX$29&lt;&gt;"HOL"),
AND(WEEKDAY($DB$20,2)=5,$CI$14=5,$BX$31&lt;&gt;"HOL"),
AND(WEEKDAY($DB$20,2)=6,$CJ$14=6,$BX$33&lt;&gt;"HOL"),
AND(WEEKDAY($DB$20,2)=7,$CK$14=7,$BX$35&lt;&gt;"HOL")
)
),$DD$23,
AND($DG$29=BL4,
OR(
AND(WEEKDAY($DB$20,2)=1,$CP$10=1,$BX$23&lt;&gt;"HOL"),
AND(WEEKDAY($DB$20,2)=2,$CQ$10=2,$BX$25&lt;&gt;"HOL"),
AND(WEEKDAY($DB$20,2)=3,$CR$10=3,$BX$27&lt;&gt;"HOL"),
AND(WEEKDAY($DB$20,2)=4,$CS$10=4,$BX$29&lt;&gt;"HOL"),
AND(WEEKDAY($DB$20,2)=5,$CT$10=5,$BX$31&lt;&gt;"HOL"),
AND(WEEKDAY($DB$20,2)=6,$CU$10=6,$BX$33&lt;&gt;"HOL"),
AND(WEEKDAY($DB$20,2)=7,$CV$10=7,$BX$35&lt;&gt;"HOL")
)
),$DD$28,
AND($DG$31=BL4,
OR(
AND(WEEKDAY($DB$20,2)=1,$CP$14=1,$BX$23&lt;&gt;"HOL"),
AND(WEEKDAY($DB$20,2)=2,$CQ$14=2,$BX$25&lt;&gt;"HOL"),
AND(WEEKDAY($DB$20,2)=3,$CR$14=3,$BX$27&lt;&gt;"HOL"),
AND(WEEKDAY($DB$20,2)=4,$CS$14=4,$BX$29&lt;&gt;"HOL"),
AND(WEEKDAY($DB$20,2)=5,$CT$14=5,$BX$31&lt;&gt;"HOL"),
AND(WEEKDAY($DB$20,2)=6,$CU$14=6,$BX$33&lt;&gt;"HOL"),
AND(WEEKDAY($DB$20,2)=7,$CV$14=7,$BX$35&lt;&gt;"HOL")
)
),$DD$28,
AND($DG$34=BL4,
OR(
AND(WEEKDAY($DB$20,2)=1,$DA$10=1,$BX$23&lt;&gt;"HOL"),
AND(WEEKDAY($DB$20,2)=2,$DB$10=2,$BX$25&lt;&gt;"HOL"),
AND(WEEKDAY($DB$20,2)=3,$DC$10=3,$BX$27&lt;&gt;"HOL"),
AND(WEEKDAY($DB$20,2)=4,$DD$10=4,$BX$29&lt;&gt;"HOL"),
AND(WEEKDAY($DB$20,2)=5,$DE$10=5,$BX$31&lt;&gt;"HOL"),
AND(WEEKDAY($DB$20,2)=6,$DF$10=6,$BX$33&lt;&gt;"HOL"),
AND(WEEKDAY($DB$20,2)=7,$DG$10=7,$BX$35&lt;&gt;"HOL")
)
),$DD$33,
AND($DG$36=BL4,
OR(
AND(WEEKDAY($DB$20,2)=1,$DA$14=1,$BX$23&lt;&gt;"HOL"),
AND(WEEKDAY($DB$20,2)=2,$DB$14=2,$BX$25&lt;&gt;"HOL"),
AND(WEEKDAY($DB$20,2)=3,$DC$14=3,$BX$27&lt;&gt;"HOL"),
AND(WEEKDAY($DB$20,2)=4,$DD$14=4,$BX$29&lt;&gt;"HOL"),
AND(WEEKDAY($DB$20,2)=5,$DE$14=5,$BX$31&lt;&gt;"HOL"),
AND(WEEKDAY($DB$20,2)=6,$DF$14=6,$BX$33&lt;&gt;"HOL"),
AND(WEEKDAY($DB$20,2)=7,$DG$14=7,$BX$35&lt;&gt;"HOL")
)
),$DD$33,
TRUE,""
),
_xlfn.IFS(
AND($DG$24=BL4,
OR(
AND(WEEKDAY($DB$20+1,2)=1,$CE$10=1,$BX$23&lt;&gt;"HOL"),
AND(WEEKDAY($DB$20+1,2)=2,$CF$10=2,$BX$25&lt;&gt;"HOL"),
AND(WEEKDAY($DB$20+1,2)=3,$CG$10=3,$BX$27&lt;&gt;"HOL"),
AND(WEEKDAY($DB$20+1,2)=4,$CH$10=4,$BX$29&lt;&gt;"HOL"),
AND(WEEKDAY($DB$20+1,2)=5,$CI$10=5,$BX$31&lt;&gt;"HOL"),
AND(WEEKDAY($DB$20+1,2)=6,$CJ$10=6,$BX$33&lt;&gt;"HOL"),
AND(WEEKDAY($DB$20+1,2)=7,$CK$10=7,$BX$35&lt;&gt;"HOL")
)
),$DD$23,
AND($DG$26=BL4,
OR(
AND(WEEKDAY($DB$20+1,2)=1,$CE$14=1,$BX$23&lt;&gt;"HOL"),
AND(WEEKDAY($DB$20+1,2)=2,$CF$14=2,$BX$25&lt;&gt;"HOL"),
AND(WEEKDAY($DB$20+1,2)=3,$CG$14=3,$BX$27&lt;&gt;"HOL"),
AND(WEEKDAY($DB$20+1,2)=4,$CH$14=4,$BX$29&lt;&gt;"HOL"),
AND(WEEKDAY($DB$20+1,2)=5,$CI$14=5,$BX$31&lt;&gt;"HOL"),
AND(WEEKDAY($DB$20+1,2)=6,$CJ$14=6,$BX$33&lt;&gt;"HOL"),
AND(WEEKDAY($DB$20+1,2)=7,$CK$14=7,$BX$35&lt;&gt;"HOL")
)
),$DD$23,
AND($DG$29=BL4,
OR(
AND(WEEKDAY($DB$20+1,2)=1,$CP$10=1,$BX$23&lt;&gt;"HOL"),
AND(WEEKDAY($DB$20+1,2)=2,$CQ$10=2,$BX$25&lt;&gt;"HOL"),
AND(WEEKDAY($DB$20+1,2)=3,$CR$10=3,$BX$27&lt;&gt;"HOL"),
AND(WEEKDAY($DB$20+1,2)=4,$CS$10=4,$BX$29&lt;&gt;"HOL"),
AND(WEEKDAY($DB$20+1,2)=5,$CT$10=5,$BX$31&lt;&gt;"HOL"),
AND(WEEKDAY($DB$20+1,2)=6,$CU$10=6,$BX$33&lt;&gt;"HOL"),
AND(WEEKDAY($DB$20+1,2)=7,$CV$10=7,$BX$35&lt;&gt;"HOL")
)
),$DD$28,
AND($DG$31=BL4,
OR(
AND(WEEKDAY($DB$20+1,2)=1,$CP$14=1,$BX$23&lt;&gt;"HOL"),
AND(WEEKDAY($DB$20+1,2)=2,$CQ$14=2,$BX$25&lt;&gt;"HOL"),
AND(WEEKDAY($DB$20+1,2)=3,$CR$14=3,$BX$27&lt;&gt;"HOL"),
AND(WEEKDAY($DB$20+1,2)=4,$CS$14=4,$BX$29&lt;&gt;"HOL"),
AND(WEEKDAY($DB$20+1,2)=5,$CT$14=5,$BX$31&lt;&gt;"HOL"),
AND(WEEKDAY($DB$20+1,2)=6,$CU$14=6,$BX$33&lt;&gt;"HOL"),
AND(WEEKDAY($DB$20+1,2)=7,$CV$14=7,$BX$35&lt;&gt;"HOL")
)
),$DD$28,
AND($DG$34=BL4,
OR(
AND(WEEKDAY($DB$20+1,2)=1,$DA$10=1,$BX$23&lt;&gt;"HOL"),
AND(WEEKDAY($DB$20+1,2)=2,$DB$10=2,$BX$25&lt;&gt;"HOL"),
AND(WEEKDAY($DB$20+1,2)=3,$DC$10=3,$BX$27&lt;&gt;"HOL"),
AND(WEEKDAY($DB$20+1,2)=4,$DD$10=4,$BX$29&lt;&gt;"HOL"),
AND(WEEKDAY($DB$20+1,2)=5,$DE$10=5,$BX$31&lt;&gt;"HOL"),
AND(WEEKDAY($DB$20+1,2)=6,$DF$10=6,$BX$33&lt;&gt;"HOL"),
AND(WEEKDAY($DB$20+1,2)=7,$DG$10=7,$BX$35&lt;&gt;"HOL")
)
),$DD$33,
AND($DG$36=BL4,
OR(
AND(WEEKDAY($DB$20+1,2)=1,$DA$14=1,$BX$23&lt;&gt;"HOL"),
AND(WEEKDAY($DB$20+1,2)=2,$DB$14=2,$BX$25&lt;&gt;"HOL"),
AND(WEEKDAY($DB$20+1,2)=3,$DC$14=3,$BX$27&lt;&gt;"HOL"),
AND(WEEKDAY($DB$20+1,2)=4,$DD$14=4,$BX$29&lt;&gt;"HOL"),
AND(WEEKDAY($DB$20+1,2)=5,$DE$14=5,$BX$31&lt;&gt;"HOL"),
AND(WEEKDAY($DB$20+1,2)=6,$DF$14=6,$BX$33&lt;&gt;"HOL"),
AND(WEEKDAY($DB$20+1,2)=7,$DG$14=7,$BX$35&lt;&gt;"HOL")
)
),$DD$33,
TRUE,""
)
)</f>
        <v>#VALUE!</v>
      </c>
      <c r="BL7" s="2076" t="e" cm="1">
        <f t="array" aca="1" ref="BL7" ca="1">IF(
$C$3="TODAY",
_xlfn.IFS(
AND($DG$23=BL4,
OR(
AND(WEEKDAY($DB$20,2)=1,$CE$10=1,$BX$23&lt;&gt;"HOL"),
AND(WEEKDAY($DB$20,2)=2,$CF$10=2,$BX$25&lt;&gt;"HOL"),
AND(WEEKDAY($DB$20,2)=3,$CG$10=3,$BX$27&lt;&gt;"HOL"),
AND(WEEKDAY($DB$20,2)=4,$CH$10=4,$BX$29&lt;&gt;"HOL"),
AND(WEEKDAY($DB$20,2)=5,$CI$10=5,$BX$31&lt;&gt;"HOL"),
AND(WEEKDAY($DB$20,2)=6,$CJ$10=6,$BX$33&lt;&gt;"HOL"),
AND(WEEKDAY($DB$20,2)=7,$CK$10=7,$BX$35&lt;&gt;"HOL")
)
),$DC$23,
AND($DG$25=BL4,
OR(
AND(WEEKDAY($DB$20,2)=1,$CE$14=1,$BX$23&lt;&gt;"HOL"),
AND(WEEKDAY($DB$20,2)=2,$CF$14=2,$BX$25&lt;&gt;"HOL"),
AND(WEEKDAY($DB$20,2)=3,$CG$14=3,$BX$27&lt;&gt;"HOL"),
AND(WEEKDAY($DB$20,2)=4,$CH$14=4,$BX$29&lt;&gt;"HOL"),
AND(WEEKDAY($DB$20,2)=5,$CI$14=5,$BX$31&lt;&gt;"HOL"),
AND(WEEKDAY($DB$20,2)=6,$CJ$14=6,$BX$33&lt;&gt;"HOL"),
AND(WEEKDAY($DB$20,2)=7,$CK$14=7,$BX$35&lt;&gt;"HOL")
)
),$DC$23,
AND($DG$28=BL4,
OR(
AND(WEEKDAY($DB$20,2)=1,$CP$10=1,$BX$23&lt;&gt;"HOL"),
AND(WEEKDAY($DB$20,2)=2,$CQ$10=2,$BX$25&lt;&gt;"HOL"),
AND(WEEKDAY($DB$20,2)=3,$CR$10=3,$BX$27&lt;&gt;"HOL"),
AND(WEEKDAY($DB$20,2)=4,$CS$10=4,$BX$29&lt;&gt;"HOL"),
AND(WEEKDAY($DB$20,2)=5,$CT$10=5,$BX$31&lt;&gt;"HOL"),
AND(WEEKDAY($DB$20,2)=6,$CU$10=6,$BX$33&lt;&gt;"HOL"),
AND(WEEKDAY($DB$20,2)=7,$CV$10=7,$BX$35&lt;&gt;"HOL")
)
),$DC$28,
AND($DG$30=BL4,
OR(
AND(WEEKDAY($DB$20,2)=1,$CP$14=1,$BX$23&lt;&gt;"HOL"),
AND(WEEKDAY($DB$20,2)=2,$CQ$14=2,$BX$25&lt;&gt;"HOL"),
AND(WEEKDAY($DB$20,2)=3,$CR$14=3,$BX$27&lt;&gt;"HOL"),
AND(WEEKDAY($DB$20,2)=4,$CS$14=4,$BX$29&lt;&gt;"HOL"),
AND(WEEKDAY($DB$20,2)=5,$CT$14=5,$BX$31&lt;&gt;"HOL"),
AND(WEEKDAY($DB$20,2)=6,$CU$14=6,$BX$33&lt;&gt;"HOL"),
AND(WEEKDAY($DB$20,2)=7,$CV$14=7,$BX$35&lt;&gt;"HOL")
)
),$DC$28,
AND($DG$33=BL4,
OR(
AND(WEEKDAY($DB$20,2)=1,$DA$10=1,$BX$23&lt;&gt;"HOL"),
AND(WEEKDAY($DB$20,2)=2,$DB$10=2,$BX$25&lt;&gt;"HOL"),
AND(WEEKDAY($DB$20,2)=3,$DC$10=3,$BX$27&lt;&gt;"HOL"),
AND(WEEKDAY($DB$20,2)=4,$DD$10=4,$BX$29&lt;&gt;"HOL"),
AND(WEEKDAY($DB$20,2)=5,$DE$10=5,$BX$31&lt;&gt;"HOL"),
AND(WEEKDAY($DB$20,2)=6,$DF$10=6,$BX$33&lt;&gt;"HOL"),
AND(WEEKDAY($DB$20,2)=7,$DG$10=7,$BX$35&lt;&gt;"HOL")
)
),$DC$33,
AND($DG$35=BL4,
OR(
AND(WEEKDAY($DB$20,2)=1,$DA$14=1,$BX$23&lt;&gt;"HOL"),
AND(WEEKDAY($DB$20,2)=2,$DB$14=2,$BX$25&lt;&gt;"HOL"),
AND(WEEKDAY($DB$20,2)=3,$DC$14=3,$BX$27&lt;&gt;"HOL"),
AND(WEEKDAY($DB$20,2)=4,$DD$14=4,$BX$29&lt;&gt;"HOL"),
AND(WEEKDAY($DB$20,2)=5,$DE$14=5,$BX$31&lt;&gt;"HOL"),
AND(WEEKDAY($DB$20,2)=6,$DF$14=6,$BX$33&lt;&gt;"HOL"),
AND(WEEKDAY($DB$20,2)=7,$DG$14=7,$BX$35&lt;&gt;"HOL")
)
),$DC$33,
TRUE,""
),
_xlfn.IFS(
AND($DG$23=BL4,
OR(
AND(WEEKDAY($DB$20+1,2)=1,$CE$10=1,$BX$23&lt;&gt;"HOL"),
AND(WEEKDAY($DB$20+1,2)=2,$CF$10=2,$BX$25&lt;&gt;"HOL"),
AND(WEEKDAY($DB$20+1,2)=3,$CG$10=3,$BX$27&lt;&gt;"HOL"),
AND(WEEKDAY($DB$20+1,2)=4,$CH$10=4,$BX$29&lt;&gt;"HOL"),
AND(WEEKDAY($DB$20+1,2)=5,$CI$10=5,$BX$31&lt;&gt;"HOL"),
AND(WEEKDAY($DB$20+1,2)=6,$CJ$10=6,$BX$33&lt;&gt;"HOL"),
AND(WEEKDAY($DB$20+1,2)=7,$CK$10=7,$BX$35&lt;&gt;"HOL")
)
),$DC$23,
AND($DG$25=BL4,
OR(
AND(WEEKDAY($DB$20+1,2)=1,$CE$14=1,$BX$23&lt;&gt;"HOL"),
AND(WEEKDAY($DB$20+1,2)=2,$CF$14=2,$BX$25&lt;&gt;"HOL"),
AND(WEEKDAY($DB$20+1,2)=3,$CG$14=3,$BX$27&lt;&gt;"HOL"),
AND(WEEKDAY($DB$20+1,2)=4,$CH$14=4,$BX$29&lt;&gt;"HOL"),
AND(WEEKDAY($DB$20+1,2)=5,$CI$14=5,$BX$31&lt;&gt;"HOL"),
AND(WEEKDAY($DB$20+1,2)=6,$CJ$14=6,$BX$33&lt;&gt;"HOL"),
AND(WEEKDAY($DB$20+1,2)=7,$CK$14=7,$BX$35&lt;&gt;"HOL")
)
),$DC$23,
AND($DG$28=BL4,
OR(
AND(WEEKDAY($DB$20+1,2)=1,$CP$10=1,$BX$23&lt;&gt;"HOL"),
AND(WEEKDAY($DB$20+1,2)=2,$CQ$10=2,$BX$25&lt;&gt;"HOL"),
AND(WEEKDAY($DB$20+1,2)=3,$CR$10=3,$BX$27&lt;&gt;"HOL"),
AND(WEEKDAY($DB$20+1,2)=4,$CS$10=4,$BX$29&lt;&gt;"HOL"),
AND(WEEKDAY($DB$20+1,2)=5,$CT$10=5,$BX$31&lt;&gt;"HOL"),
AND(WEEKDAY($DB$20+1,2)=6,$CU$10=6,$BX$33&lt;&gt;"HOL"),
AND(WEEKDAY($DB$20+1,2)=7,$CV$10=7,$BX$35&lt;&gt;"HOL")
)
),$DC$28,
AND($DG$30=BL4,
OR(
AND(WEEKDAY($DB$20+1,2)=1,$CP$14=1,$BX$23&lt;&gt;"HOL"),
AND(WEEKDAY($DB$20+1,2)=2,$CQ$14=2,$BX$25&lt;&gt;"HOL"),
AND(WEEKDAY($DB$20+1,2)=3,$CR$14=3,$BX$27&lt;&gt;"HOL"),
AND(WEEKDAY($DB$20+1,2)=4,$CS$14=4,$BX$29&lt;&gt;"HOL"),
AND(WEEKDAY($DB$20+1,2)=5,$CT$14=5,$BX$31&lt;&gt;"HOL"),
AND(WEEKDAY($DB$20+1,2)=6,$CU$14=6,$BX$33&lt;&gt;"HOL"),
AND(WEEKDAY($DB$20+1,2)=7,$CV$14=7,$BX$35&lt;&gt;"HOL")
)
),$DC$28,
AND($DG$33=BL4,
OR(
AND(WEEKDAY($DB$20+1,2)=1,$DA$10=1,$BX$23&lt;&gt;"HOL"),
AND(WEEKDAY($DB$20+1,2)=2,$DB$10=2,$BX$25&lt;&gt;"HOL"),
AND(WEEKDAY($DB$20+1,2)=3,$DC$10=3,$BX$27&lt;&gt;"HOL"),
AND(WEEKDAY($DB$20+1,2)=4,$DD$10=4,$BX$29&lt;&gt;"HOL"),
AND(WEEKDAY($DB$20+1,2)=5,$DE$10=5,$BX$31&lt;&gt;"HOL"),
AND(WEEKDAY($DB$20+1,2)=6,$DF$10=6,$BX$33&lt;&gt;"HOL"),
AND(WEEKDAY($DB$20+1,2)=7,$DG$10=7,$BX$35&lt;&gt;"HOL")
)
),$DC$33,
AND($DG$35=BL4,
OR(
AND(WEEKDAY($DB$20+1,2)=1,$DA$14=1,$BX$23&lt;&gt;"HOL"),
AND(WEEKDAY($DB$20+1,2)=2,$DB$14=2,$BX$25&lt;&gt;"HOL"),
AND(WEEKDAY($DB$20+1,2)=3,$DC$14=3,$BX$27&lt;&gt;"HOL"),
AND(WEEKDAY($DB$20+1,2)=4,$DD$14=4,$BX$29&lt;&gt;"HOL"),
AND(WEEKDAY($DB$20+1,2)=5,$DE$14=5,$BX$31&lt;&gt;"HOL"),
AND(WEEKDAY($DB$20+1,2)=6,$DF$14=6,$BX$33&lt;&gt;"HOL"),
AND(WEEKDAY($DB$20+1,2)=7,$DG$14=7,$BX$35&lt;&gt;"HOL")
)
),$DC$33,
TRUE,""
)
)</f>
        <v>#VALUE!</v>
      </c>
      <c r="BM7" s="2066" t="e" cm="1">
        <f t="array" aca="1" ref="BM7" ca="1">IF(
$C$3="TODAY",
_xlfn.IFS(
AND($DG$24=BN4,
OR(
AND(WEEKDAY($DB$20,2)=1,$CE$10=1,$BX$23&lt;&gt;"HOL"),
AND(WEEKDAY($DB$20,2)=2,$CF$10=2,$BX$25&lt;&gt;"HOL"),
AND(WEEKDAY($DB$20,2)=3,$CG$10=3,$BX$27&lt;&gt;"HOL"),
AND(WEEKDAY($DB$20,2)=4,$CH$10=4,$BX$29&lt;&gt;"HOL"),
AND(WEEKDAY($DB$20,2)=5,$CI$10=5,$BX$31&lt;&gt;"HOL"),
AND(WEEKDAY($DB$20,2)=6,$CJ$10=6,$BX$33&lt;&gt;"HOL"),
AND(WEEKDAY($DB$20,2)=7,$CK$10=7,$BX$35&lt;&gt;"HOL")
)
),$DD$23,
AND($DG$26=BN4,
OR(
AND(WEEKDAY($DB$20,2)=1,$CE$14=1,$BX$23&lt;&gt;"HOL"),
AND(WEEKDAY($DB$20,2)=2,$CF$14=2,$BX$25&lt;&gt;"HOL"),
AND(WEEKDAY($DB$20,2)=3,$CG$14=3,$BX$27&lt;&gt;"HOL"),
AND(WEEKDAY($DB$20,2)=4,$CH$14=4,$BX$29&lt;&gt;"HOL"),
AND(WEEKDAY($DB$20,2)=5,$CI$14=5,$BX$31&lt;&gt;"HOL"),
AND(WEEKDAY($DB$20,2)=6,$CJ$14=6,$BX$33&lt;&gt;"HOL"),
AND(WEEKDAY($DB$20,2)=7,$CK$14=7,$BX$35&lt;&gt;"HOL")
)
),$DD$23,
AND($DG$29=BN4,
OR(
AND(WEEKDAY($DB$20,2)=1,$CP$10=1,$BX$23&lt;&gt;"HOL"),
AND(WEEKDAY($DB$20,2)=2,$CQ$10=2,$BX$25&lt;&gt;"HOL"),
AND(WEEKDAY($DB$20,2)=3,$CR$10=3,$BX$27&lt;&gt;"HOL"),
AND(WEEKDAY($DB$20,2)=4,$CS$10=4,$BX$29&lt;&gt;"HOL"),
AND(WEEKDAY($DB$20,2)=5,$CT$10=5,$BX$31&lt;&gt;"HOL"),
AND(WEEKDAY($DB$20,2)=6,$CU$10=6,$BX$33&lt;&gt;"HOL"),
AND(WEEKDAY($DB$20,2)=7,$CV$10=7,$BX$35&lt;&gt;"HOL")
)
),$DD$28,
AND($DG$31=BN4,
OR(
AND(WEEKDAY($DB$20,2)=1,$CP$14=1,$BX$23&lt;&gt;"HOL"),
AND(WEEKDAY($DB$20,2)=2,$CQ$14=2,$BX$25&lt;&gt;"HOL"),
AND(WEEKDAY($DB$20,2)=3,$CR$14=3,$BX$27&lt;&gt;"HOL"),
AND(WEEKDAY($DB$20,2)=4,$CS$14=4,$BX$29&lt;&gt;"HOL"),
AND(WEEKDAY($DB$20,2)=5,$CT$14=5,$BX$31&lt;&gt;"HOL"),
AND(WEEKDAY($DB$20,2)=6,$CU$14=6,$BX$33&lt;&gt;"HOL"),
AND(WEEKDAY($DB$20,2)=7,$CV$14=7,$BX$35&lt;&gt;"HOL")
)
),$DD$28,
AND($DG$34=BN4,
OR(
AND(WEEKDAY($DB$20,2)=1,$DA$10=1,$BX$23&lt;&gt;"HOL"),
AND(WEEKDAY($DB$20,2)=2,$DB$10=2,$BX$25&lt;&gt;"HOL"),
AND(WEEKDAY($DB$20,2)=3,$DC$10=3,$BX$27&lt;&gt;"HOL"),
AND(WEEKDAY($DB$20,2)=4,$DD$10=4,$BX$29&lt;&gt;"HOL"),
AND(WEEKDAY($DB$20,2)=5,$DE$10=5,$BX$31&lt;&gt;"HOL"),
AND(WEEKDAY($DB$20,2)=6,$DF$10=6,$BX$33&lt;&gt;"HOL"),
AND(WEEKDAY($DB$20,2)=7,$DG$10=7,$BX$35&lt;&gt;"HOL")
)
),$DD$33,
AND($DG$36=BN4,
OR(
AND(WEEKDAY($DB$20,2)=1,$DA$14=1,$BX$23&lt;&gt;"HOL"),
AND(WEEKDAY($DB$20,2)=2,$DB$14=2,$BX$25&lt;&gt;"HOL"),
AND(WEEKDAY($DB$20,2)=3,$DC$14=3,$BX$27&lt;&gt;"HOL"),
AND(WEEKDAY($DB$20,2)=4,$DD$14=4,$BX$29&lt;&gt;"HOL"),
AND(WEEKDAY($DB$20,2)=5,$DE$14=5,$BX$31&lt;&gt;"HOL"),
AND(WEEKDAY($DB$20,2)=6,$DF$14=6,$BX$33&lt;&gt;"HOL"),
AND(WEEKDAY($DB$20,2)=7,$DG$14=7,$BX$35&lt;&gt;"HOL")
)
),$DD$33,
TRUE,""
),
_xlfn.IFS(
AND($DG$24=BN4,
OR(
AND(WEEKDAY($DB$20+1,2)=1,$CE$10=1,$BX$23&lt;&gt;"HOL"),
AND(WEEKDAY($DB$20+1,2)=2,$CF$10=2,$BX$25&lt;&gt;"HOL"),
AND(WEEKDAY($DB$20+1,2)=3,$CG$10=3,$BX$27&lt;&gt;"HOL"),
AND(WEEKDAY($DB$20+1,2)=4,$CH$10=4,$BX$29&lt;&gt;"HOL"),
AND(WEEKDAY($DB$20+1,2)=5,$CI$10=5,$BX$31&lt;&gt;"HOL"),
AND(WEEKDAY($DB$20+1,2)=6,$CJ$10=6,$BX$33&lt;&gt;"HOL"),
AND(WEEKDAY($DB$20+1,2)=7,$CK$10=7,$BX$35&lt;&gt;"HOL")
)
),$DD$23,
AND($DG$26=BN4,
OR(
AND(WEEKDAY($DB$20+1,2)=1,$CE$14=1,$BX$23&lt;&gt;"HOL"),
AND(WEEKDAY($DB$20+1,2)=2,$CF$14=2,$BX$25&lt;&gt;"HOL"),
AND(WEEKDAY($DB$20+1,2)=3,$CG$14=3,$BX$27&lt;&gt;"HOL"),
AND(WEEKDAY($DB$20+1,2)=4,$CH$14=4,$BX$29&lt;&gt;"HOL"),
AND(WEEKDAY($DB$20+1,2)=5,$CI$14=5,$BX$31&lt;&gt;"HOL"),
AND(WEEKDAY($DB$20+1,2)=6,$CJ$14=6,$BX$33&lt;&gt;"HOL"),
AND(WEEKDAY($DB$20+1,2)=7,$CK$14=7,$BX$35&lt;&gt;"HOL")
)
),$DD$23,
AND($DG$29=BN4,
OR(
AND(WEEKDAY($DB$20+1,2)=1,$CP$10=1,$BX$23&lt;&gt;"HOL"),
AND(WEEKDAY($DB$20+1,2)=2,$CQ$10=2,$BX$25&lt;&gt;"HOL"),
AND(WEEKDAY($DB$20+1,2)=3,$CR$10=3,$BX$27&lt;&gt;"HOL"),
AND(WEEKDAY($DB$20+1,2)=4,$CS$10=4,$BX$29&lt;&gt;"HOL"),
AND(WEEKDAY($DB$20+1,2)=5,$CT$10=5,$BX$31&lt;&gt;"HOL"),
AND(WEEKDAY($DB$20+1,2)=6,$CU$10=6,$BX$33&lt;&gt;"HOL"),
AND(WEEKDAY($DB$20+1,2)=7,$CV$10=7,$BX$35&lt;&gt;"HOL")
)
),$DD$28,
AND($DG$31=BN4,
OR(
AND(WEEKDAY($DB$20+1,2)=1,$CP$14=1,$BX$23&lt;&gt;"HOL"),
AND(WEEKDAY($DB$20+1,2)=2,$CQ$14=2,$BX$25&lt;&gt;"HOL"),
AND(WEEKDAY($DB$20+1,2)=3,$CR$14=3,$BX$27&lt;&gt;"HOL"),
AND(WEEKDAY($DB$20+1,2)=4,$CS$14=4,$BX$29&lt;&gt;"HOL"),
AND(WEEKDAY($DB$20+1,2)=5,$CT$14=5,$BX$31&lt;&gt;"HOL"),
AND(WEEKDAY($DB$20+1,2)=6,$CU$14=6,$BX$33&lt;&gt;"HOL"),
AND(WEEKDAY($DB$20+1,2)=7,$CV$14=7,$BX$35&lt;&gt;"HOL")
)
),$DD$28,
AND($DG$34=BN4,
OR(
AND(WEEKDAY($DB$20+1,2)=1,$DA$10=1,$BX$23&lt;&gt;"HOL"),
AND(WEEKDAY($DB$20+1,2)=2,$DB$10=2,$BX$25&lt;&gt;"HOL"),
AND(WEEKDAY($DB$20+1,2)=3,$DC$10=3,$BX$27&lt;&gt;"HOL"),
AND(WEEKDAY($DB$20+1,2)=4,$DD$10=4,$BX$29&lt;&gt;"HOL"),
AND(WEEKDAY($DB$20+1,2)=5,$DE$10=5,$BX$31&lt;&gt;"HOL"),
AND(WEEKDAY($DB$20+1,2)=6,$DF$10=6,$BX$33&lt;&gt;"HOL"),
AND(WEEKDAY($DB$20+1,2)=7,$DG$10=7,$BX$35&lt;&gt;"HOL")
)
),$DD$33,
AND($DG$36=BN4,
OR(
AND(WEEKDAY($DB$20+1,2)=1,$DA$14=1,$BX$23&lt;&gt;"HOL"),
AND(WEEKDAY($DB$20+1,2)=2,$DB$14=2,$BX$25&lt;&gt;"HOL"),
AND(WEEKDAY($DB$20+1,2)=3,$DC$14=3,$BX$27&lt;&gt;"HOL"),
AND(WEEKDAY($DB$20+1,2)=4,$DD$14=4,$BX$29&lt;&gt;"HOL"),
AND(WEEKDAY($DB$20+1,2)=5,$DE$14=5,$BX$31&lt;&gt;"HOL"),
AND(WEEKDAY($DB$20+1,2)=6,$DF$14=6,$BX$33&lt;&gt;"HOL"),
AND(WEEKDAY($DB$20+1,2)=7,$DG$14=7,$BX$35&lt;&gt;"HOL")
)
),$DD$33,
TRUE,""
)
)</f>
        <v>#VALUE!</v>
      </c>
      <c r="BN7" s="1090" t="e" cm="1">
        <f t="array" aca="1" ref="BN7" ca="1">IF(
$C$3="TODAY",
_xlfn.IFS(
AND($DG$23=BN4,
OR(
AND(WEEKDAY($DB$20,2)=1,$CE$10=1,$BX$23&lt;&gt;"HOL"),
AND(WEEKDAY($DB$20,2)=2,$CF$10=2,$BX$25&lt;&gt;"HOL"),
AND(WEEKDAY($DB$20,2)=3,$CG$10=3,$BX$27&lt;&gt;"HOL"),
AND(WEEKDAY($DB$20,2)=4,$CH$10=4,$BX$29&lt;&gt;"HOL"),
AND(WEEKDAY($DB$20,2)=5,$CI$10=5,$BX$31&lt;&gt;"HOL"),
AND(WEEKDAY($DB$20,2)=6,$CJ$10=6,$BX$33&lt;&gt;"HOL"),
AND(WEEKDAY($DB$20,2)=7,$CK$10=7,$BX$35&lt;&gt;"HOL")
)
),$DC$23,
AND($DG$25=BN4,
OR(
AND(WEEKDAY($DB$20,2)=1,$CE$14=1,$BX$23&lt;&gt;"HOL"),
AND(WEEKDAY($DB$20,2)=2,$CF$14=2,$BX$25&lt;&gt;"HOL"),
AND(WEEKDAY($DB$20,2)=3,$CG$14=3,$BX$27&lt;&gt;"HOL"),
AND(WEEKDAY($DB$20,2)=4,$CH$14=4,$BX$29&lt;&gt;"HOL"),
AND(WEEKDAY($DB$20,2)=5,$CI$14=5,$BX$31&lt;&gt;"HOL"),
AND(WEEKDAY($DB$20,2)=6,$CJ$14=6,$BX$33&lt;&gt;"HOL"),
AND(WEEKDAY($DB$20,2)=7,$CK$14=7,$BX$35&lt;&gt;"HOL")
)
),$DC$23,
AND($DG$28=BN4,
OR(
AND(WEEKDAY($DB$20,2)=1,$CP$10=1,$BX$23&lt;&gt;"HOL"),
AND(WEEKDAY($DB$20,2)=2,$CQ$10=2,$BX$25&lt;&gt;"HOL"),
AND(WEEKDAY($DB$20,2)=3,$CR$10=3,$BX$27&lt;&gt;"HOL"),
AND(WEEKDAY($DB$20,2)=4,$CS$10=4,$BX$29&lt;&gt;"HOL"),
AND(WEEKDAY($DB$20,2)=5,$CT$10=5,$BX$31&lt;&gt;"HOL"),
AND(WEEKDAY($DB$20,2)=6,$CU$10=6,$BX$33&lt;&gt;"HOL"),
AND(WEEKDAY($DB$20,2)=7,$CV$10=7,$BX$35&lt;&gt;"HOL")
)
),$DC$28,
AND($DG$30=BN4,
OR(
AND(WEEKDAY($DB$20,2)=1,$CP$14=1,$BX$23&lt;&gt;"HOL"),
AND(WEEKDAY($DB$20,2)=2,$CQ$14=2,$BX$25&lt;&gt;"HOL"),
AND(WEEKDAY($DB$20,2)=3,$CR$14=3,$BX$27&lt;&gt;"HOL"),
AND(WEEKDAY($DB$20,2)=4,$CS$14=4,$BX$29&lt;&gt;"HOL"),
AND(WEEKDAY($DB$20,2)=5,$CT$14=5,$BX$31&lt;&gt;"HOL"),
AND(WEEKDAY($DB$20,2)=6,$CU$14=6,$BX$33&lt;&gt;"HOL"),
AND(WEEKDAY($DB$20,2)=7,$CV$14=7,$BX$35&lt;&gt;"HOL")
)
),$DC$28,
AND($DG$33=BN4,
OR(
AND(WEEKDAY($DB$20,2)=1,$DA$10=1,$BX$23&lt;&gt;"HOL"),
AND(WEEKDAY($DB$20,2)=2,$DB$10=2,$BX$25&lt;&gt;"HOL"),
AND(WEEKDAY($DB$20,2)=3,$DC$10=3,$BX$27&lt;&gt;"HOL"),
AND(WEEKDAY($DB$20,2)=4,$DD$10=4,$BX$29&lt;&gt;"HOL"),
AND(WEEKDAY($DB$20,2)=5,$DE$10=5,$BX$31&lt;&gt;"HOL"),
AND(WEEKDAY($DB$20,2)=6,$DF$10=6,$BX$33&lt;&gt;"HOL"),
AND(WEEKDAY($DB$20,2)=7,$DG$10=7,$BX$35&lt;&gt;"HOL")
)
),$DC$33,
AND($DG$35=BN4,
OR(
AND(WEEKDAY($DB$20,2)=1,$DA$14=1,$BX$23&lt;&gt;"HOL"),
AND(WEEKDAY($DB$20,2)=2,$DB$14=2,$BX$25&lt;&gt;"HOL"),
AND(WEEKDAY($DB$20,2)=3,$DC$14=3,$BX$27&lt;&gt;"HOL"),
AND(WEEKDAY($DB$20,2)=4,$DD$14=4,$BX$29&lt;&gt;"HOL"),
AND(WEEKDAY($DB$20,2)=5,$DE$14=5,$BX$31&lt;&gt;"HOL"),
AND(WEEKDAY($DB$20,2)=6,$DF$14=6,$BX$33&lt;&gt;"HOL"),
AND(WEEKDAY($DB$20,2)=7,$DG$14=7,$BX$35&lt;&gt;"HOL")
)
),$DC$33,
TRUE,""
),
_xlfn.IFS(
AND($DG$23=BN4,
OR(
AND(WEEKDAY($DB$20+1,2)=1,$CE$10=1,$BX$23&lt;&gt;"HOL"),
AND(WEEKDAY($DB$20+1,2)=2,$CF$10=2,$BX$25&lt;&gt;"HOL"),
AND(WEEKDAY($DB$20+1,2)=3,$CG$10=3,$BX$27&lt;&gt;"HOL"),
AND(WEEKDAY($DB$20+1,2)=4,$CH$10=4,$BX$29&lt;&gt;"HOL"),
AND(WEEKDAY($DB$20+1,2)=5,$CI$10=5,$BX$31&lt;&gt;"HOL"),
AND(WEEKDAY($DB$20+1,2)=6,$CJ$10=6,$BX$33&lt;&gt;"HOL"),
AND(WEEKDAY($DB$20+1,2)=7,$CK$10=7,$BX$35&lt;&gt;"HOL")
)
),$DC$23,
AND($DG$25=BN4,
OR(
AND(WEEKDAY($DB$20+1,2)=1,$CE$14=1,$BX$23&lt;&gt;"HOL"),
AND(WEEKDAY($DB$20+1,2)=2,$CF$14=2,$BX$25&lt;&gt;"HOL"),
AND(WEEKDAY($DB$20+1,2)=3,$CG$14=3,$BX$27&lt;&gt;"HOL"),
AND(WEEKDAY($DB$20+1,2)=4,$CH$14=4,$BX$29&lt;&gt;"HOL"),
AND(WEEKDAY($DB$20+1,2)=5,$CI$14=5,$BX$31&lt;&gt;"HOL"),
AND(WEEKDAY($DB$20+1,2)=6,$CJ$14=6,$BX$33&lt;&gt;"HOL"),
AND(WEEKDAY($DB$20+1,2)=7,$CK$14=7,$BX$35&lt;&gt;"HOL")
)
),$DC$23,
AND($DG$28=BN4,
OR(
AND(WEEKDAY($DB$20+1,2)=1,$CP$10=1,$BX$23&lt;&gt;"HOL"),
AND(WEEKDAY($DB$20+1,2)=2,$CQ$10=2,$BX$25&lt;&gt;"HOL"),
AND(WEEKDAY($DB$20+1,2)=3,$CR$10=3,$BX$27&lt;&gt;"HOL"),
AND(WEEKDAY($DB$20+1,2)=4,$CS$10=4,$BX$29&lt;&gt;"HOL"),
AND(WEEKDAY($DB$20+1,2)=5,$CT$10=5,$BX$31&lt;&gt;"HOL"),
AND(WEEKDAY($DB$20+1,2)=6,$CU$10=6,$BX$33&lt;&gt;"HOL"),
AND(WEEKDAY($DB$20+1,2)=7,$CV$10=7,$BX$35&lt;&gt;"HOL")
)
),$DC$28,
AND($DG$30=BN4,
OR(
AND(WEEKDAY($DB$20+1,2)=1,$CP$14=1,$BX$23&lt;&gt;"HOL"),
AND(WEEKDAY($DB$20+1,2)=2,$CQ$14=2,$BX$25&lt;&gt;"HOL"),
AND(WEEKDAY($DB$20+1,2)=3,$CR$14=3,$BX$27&lt;&gt;"HOL"),
AND(WEEKDAY($DB$20+1,2)=4,$CS$14=4,$BX$29&lt;&gt;"HOL"),
AND(WEEKDAY($DB$20+1,2)=5,$CT$14=5,$BX$31&lt;&gt;"HOL"),
AND(WEEKDAY($DB$20+1,2)=6,$CU$14=6,$BX$33&lt;&gt;"HOL"),
AND(WEEKDAY($DB$20+1,2)=7,$CV$14=7,$BX$35&lt;&gt;"HOL")
)
),$DC$28,
AND($DG$33=BN4,
OR(
AND(WEEKDAY($DB$20+1,2)=1,$DA$10=1,$BX$23&lt;&gt;"HOL"),
AND(WEEKDAY($DB$20+1,2)=2,$DB$10=2,$BX$25&lt;&gt;"HOL"),
AND(WEEKDAY($DB$20+1,2)=3,$DC$10=3,$BX$27&lt;&gt;"HOL"),
AND(WEEKDAY($DB$20+1,2)=4,$DD$10=4,$BX$29&lt;&gt;"HOL"),
AND(WEEKDAY($DB$20+1,2)=5,$DE$10=5,$BX$31&lt;&gt;"HOL"),
AND(WEEKDAY($DB$20+1,2)=6,$DF$10=6,$BX$33&lt;&gt;"HOL"),
AND(WEEKDAY($DB$20+1,2)=7,$DG$10=7,$BX$35&lt;&gt;"HOL")
)
),$DC$33,
AND($DG$35=BN4,
OR(
AND(WEEKDAY($DB$20+1,2)=1,$DA$14=1,$BX$23&lt;&gt;"HOL"),
AND(WEEKDAY($DB$20+1,2)=2,$DB$14=2,$BX$25&lt;&gt;"HOL"),
AND(WEEKDAY($DB$20+1,2)=3,$DC$14=3,$BX$27&lt;&gt;"HOL"),
AND(WEEKDAY($DB$20+1,2)=4,$DD$14=4,$BX$29&lt;&gt;"HOL"),
AND(WEEKDAY($DB$20+1,2)=5,$DE$14=5,$BX$31&lt;&gt;"HOL"),
AND(WEEKDAY($DB$20+1,2)=6,$DF$14=6,$BX$33&lt;&gt;"HOL"),
AND(WEEKDAY($DB$20+1,2)=7,$DG$14=7,$BX$35&lt;&gt;"HOL")
)
),$DC$33,
TRUE,""
)
)</f>
        <v>#VALUE!</v>
      </c>
      <c r="BO7" s="2075" t="e" cm="1">
        <f t="array" aca="1" ref="BO7" ca="1">IF(
$C$3="TODAY",
_xlfn.IFS(
AND($DG$24=BP4,
OR(
AND(WEEKDAY($DB$20,2)=1,$CE$10=1,$BX$23&lt;&gt;"HOL"),
AND(WEEKDAY($DB$20,2)=2,$CF$10=2,$BX$25&lt;&gt;"HOL"),
AND(WEEKDAY($DB$20,2)=3,$CG$10=3,$BX$27&lt;&gt;"HOL"),
AND(WEEKDAY($DB$20,2)=4,$CH$10=4,$BX$29&lt;&gt;"HOL"),
AND(WEEKDAY($DB$20,2)=5,$CI$10=5,$BX$31&lt;&gt;"HOL"),
AND(WEEKDAY($DB$20,2)=6,$CJ$10=6,$BX$33&lt;&gt;"HOL"),
AND(WEEKDAY($DB$20,2)=7,$CK$10=7,$BX$35&lt;&gt;"HOL")
)
),$DD$23,
AND($DG$26=BP4,
OR(
AND(WEEKDAY($DB$20,2)=1,$CE$14=1,$BX$23&lt;&gt;"HOL"),
AND(WEEKDAY($DB$20,2)=2,$CF$14=2,$BX$25&lt;&gt;"HOL"),
AND(WEEKDAY($DB$20,2)=3,$CG$14=3,$BX$27&lt;&gt;"HOL"),
AND(WEEKDAY($DB$20,2)=4,$CH$14=4,$BX$29&lt;&gt;"HOL"),
AND(WEEKDAY($DB$20,2)=5,$CI$14=5,$BX$31&lt;&gt;"HOL"),
AND(WEEKDAY($DB$20,2)=6,$CJ$14=6,$BX$33&lt;&gt;"HOL"),
AND(WEEKDAY($DB$20,2)=7,$CK$14=7,$BX$35&lt;&gt;"HOL")
)
),$DD$23,
AND($DG$29=BP4,
OR(
AND(WEEKDAY($DB$20,2)=1,$CP$10=1,$BX$23&lt;&gt;"HOL"),
AND(WEEKDAY($DB$20,2)=2,$CQ$10=2,$BX$25&lt;&gt;"HOL"),
AND(WEEKDAY($DB$20,2)=3,$CR$10=3,$BX$27&lt;&gt;"HOL"),
AND(WEEKDAY($DB$20,2)=4,$CS$10=4,$BX$29&lt;&gt;"HOL"),
AND(WEEKDAY($DB$20,2)=5,$CT$10=5,$BX$31&lt;&gt;"HOL"),
AND(WEEKDAY($DB$20,2)=6,$CU$10=6,$BX$33&lt;&gt;"HOL"),
AND(WEEKDAY($DB$20,2)=7,$CV$10=7,$BX$35&lt;&gt;"HOL")
)
),$DD$28,
AND($DG$31=BP4,
OR(
AND(WEEKDAY($DB$20,2)=1,$CP$14=1,$BX$23&lt;&gt;"HOL"),
AND(WEEKDAY($DB$20,2)=2,$CQ$14=2,$BX$25&lt;&gt;"HOL"),
AND(WEEKDAY($DB$20,2)=3,$CR$14=3,$BX$27&lt;&gt;"HOL"),
AND(WEEKDAY($DB$20,2)=4,$CS$14=4,$BX$29&lt;&gt;"HOL"),
AND(WEEKDAY($DB$20,2)=5,$CT$14=5,$BX$31&lt;&gt;"HOL"),
AND(WEEKDAY($DB$20,2)=6,$CU$14=6,$BX$33&lt;&gt;"HOL"),
AND(WEEKDAY($DB$20,2)=7,$CV$14=7,$BX$35&lt;&gt;"HOL")
)
),$DD$28,
AND($DG$34=BP4,
OR(
AND(WEEKDAY($DB$20,2)=1,$DA$10=1,$BX$23&lt;&gt;"HOL"),
AND(WEEKDAY($DB$20,2)=2,$DB$10=2,$BX$25&lt;&gt;"HOL"),
AND(WEEKDAY($DB$20,2)=3,$DC$10=3,$BX$27&lt;&gt;"HOL"),
AND(WEEKDAY($DB$20,2)=4,$DD$10=4,$BX$29&lt;&gt;"HOL"),
AND(WEEKDAY($DB$20,2)=5,$DE$10=5,$BX$31&lt;&gt;"HOL"),
AND(WEEKDAY($DB$20,2)=6,$DF$10=6,$BX$33&lt;&gt;"HOL"),
AND(WEEKDAY($DB$20,2)=7,$DG$10=7,$BX$35&lt;&gt;"HOL")
)
),$DD$33,
AND($DG$36=BP4,
OR(
AND(WEEKDAY($DB$20,2)=1,$DA$14=1,$BX$23&lt;&gt;"HOL"),
AND(WEEKDAY($DB$20,2)=2,$DB$14=2,$BX$25&lt;&gt;"HOL"),
AND(WEEKDAY($DB$20,2)=3,$DC$14=3,$BX$27&lt;&gt;"HOL"),
AND(WEEKDAY($DB$20,2)=4,$DD$14=4,$BX$29&lt;&gt;"HOL"),
AND(WEEKDAY($DB$20,2)=5,$DE$14=5,$BX$31&lt;&gt;"HOL"),
AND(WEEKDAY($DB$20,2)=6,$DF$14=6,$BX$33&lt;&gt;"HOL"),
AND(WEEKDAY($DB$20,2)=7,$DG$14=7,$BX$35&lt;&gt;"HOL")
)
),$DD$33,
TRUE,""
),
_xlfn.IFS(
AND($DG$24=BP4,
OR(
AND(WEEKDAY($DB$20+1,2)=1,$CE$10=1,$BX$23&lt;&gt;"HOL"),
AND(WEEKDAY($DB$20+1,2)=2,$CF$10=2,$BX$25&lt;&gt;"HOL"),
AND(WEEKDAY($DB$20+1,2)=3,$CG$10=3,$BX$27&lt;&gt;"HOL"),
AND(WEEKDAY($DB$20+1,2)=4,$CH$10=4,$BX$29&lt;&gt;"HOL"),
AND(WEEKDAY($DB$20+1,2)=5,$CI$10=5,$BX$31&lt;&gt;"HOL"),
AND(WEEKDAY($DB$20+1,2)=6,$CJ$10=6,$BX$33&lt;&gt;"HOL"),
AND(WEEKDAY($DB$20+1,2)=7,$CK$10=7,$BX$35&lt;&gt;"HOL")
)
),$DD$23,
AND($DG$26=BP4,
OR(
AND(WEEKDAY($DB$20+1,2)=1,$CE$14=1,$BX$23&lt;&gt;"HOL"),
AND(WEEKDAY($DB$20+1,2)=2,$CF$14=2,$BX$25&lt;&gt;"HOL"),
AND(WEEKDAY($DB$20+1,2)=3,$CG$14=3,$BX$27&lt;&gt;"HOL"),
AND(WEEKDAY($DB$20+1,2)=4,$CH$14=4,$BX$29&lt;&gt;"HOL"),
AND(WEEKDAY($DB$20+1,2)=5,$CI$14=5,$BX$31&lt;&gt;"HOL"),
AND(WEEKDAY($DB$20+1,2)=6,$CJ$14=6,$BX$33&lt;&gt;"HOL"),
AND(WEEKDAY($DB$20+1,2)=7,$CK$14=7,$BX$35&lt;&gt;"HOL")
)
),$DD$23,
AND($DG$29=BP4,
OR(
AND(WEEKDAY($DB$20+1,2)=1,$CP$10=1,$BX$23&lt;&gt;"HOL"),
AND(WEEKDAY($DB$20+1,2)=2,$CQ$10=2,$BX$25&lt;&gt;"HOL"),
AND(WEEKDAY($DB$20+1,2)=3,$CR$10=3,$BX$27&lt;&gt;"HOL"),
AND(WEEKDAY($DB$20+1,2)=4,$CS$10=4,$BX$29&lt;&gt;"HOL"),
AND(WEEKDAY($DB$20+1,2)=5,$CT$10=5,$BX$31&lt;&gt;"HOL"),
AND(WEEKDAY($DB$20+1,2)=6,$CU$10=6,$BX$33&lt;&gt;"HOL"),
AND(WEEKDAY($DB$20+1,2)=7,$CV$10=7,$BX$35&lt;&gt;"HOL")
)
),$DD$28,
AND($DG$31=BP4,
OR(
AND(WEEKDAY($DB$20+1,2)=1,$CP$14=1,$BX$23&lt;&gt;"HOL"),
AND(WEEKDAY($DB$20+1,2)=2,$CQ$14=2,$BX$25&lt;&gt;"HOL"),
AND(WEEKDAY($DB$20+1,2)=3,$CR$14=3,$BX$27&lt;&gt;"HOL"),
AND(WEEKDAY($DB$20+1,2)=4,$CS$14=4,$BX$29&lt;&gt;"HOL"),
AND(WEEKDAY($DB$20+1,2)=5,$CT$14=5,$BX$31&lt;&gt;"HOL"),
AND(WEEKDAY($DB$20+1,2)=6,$CU$14=6,$BX$33&lt;&gt;"HOL"),
AND(WEEKDAY($DB$20+1,2)=7,$CV$14=7,$BX$35&lt;&gt;"HOL")
)
),$DD$28,
AND($DG$34=BP4,
OR(
AND(WEEKDAY($DB$20+1,2)=1,$DA$10=1,$BX$23&lt;&gt;"HOL"),
AND(WEEKDAY($DB$20+1,2)=2,$DB$10=2,$BX$25&lt;&gt;"HOL"),
AND(WEEKDAY($DB$20+1,2)=3,$DC$10=3,$BX$27&lt;&gt;"HOL"),
AND(WEEKDAY($DB$20+1,2)=4,$DD$10=4,$BX$29&lt;&gt;"HOL"),
AND(WEEKDAY($DB$20+1,2)=5,$DE$10=5,$BX$31&lt;&gt;"HOL"),
AND(WEEKDAY($DB$20+1,2)=6,$DF$10=6,$BX$33&lt;&gt;"HOL"),
AND(WEEKDAY($DB$20+1,2)=7,$DG$10=7,$BX$35&lt;&gt;"HOL")
)
),$DD$33,
AND($DG$36=BP4,
OR(
AND(WEEKDAY($DB$20+1,2)=1,$DA$14=1,$BX$23&lt;&gt;"HOL"),
AND(WEEKDAY($DB$20+1,2)=2,$DB$14=2,$BX$25&lt;&gt;"HOL"),
AND(WEEKDAY($DB$20+1,2)=3,$DC$14=3,$BX$27&lt;&gt;"HOL"),
AND(WEEKDAY($DB$20+1,2)=4,$DD$14=4,$BX$29&lt;&gt;"HOL"),
AND(WEEKDAY($DB$20+1,2)=5,$DE$14=5,$BX$31&lt;&gt;"HOL"),
AND(WEEKDAY($DB$20+1,2)=6,$DF$14=6,$BX$33&lt;&gt;"HOL"),
AND(WEEKDAY($DB$20+1,2)=7,$DG$14=7,$BX$35&lt;&gt;"HOL")
)
),$DD$33,
TRUE,""
)
)</f>
        <v>#VALUE!</v>
      </c>
      <c r="BP7" s="2076" t="e" cm="1">
        <f t="array" aca="1" ref="BP7" ca="1">IF(
$C$3="TODAY",
_xlfn.IFS(
AND($DG$23=BP4,
OR(
AND(WEEKDAY($DB$20,2)=1,$CE$10=1,$BX$23&lt;&gt;"HOL"),
AND(WEEKDAY($DB$20,2)=2,$CF$10=2,$BX$25&lt;&gt;"HOL"),
AND(WEEKDAY($DB$20,2)=3,$CG$10=3,$BX$27&lt;&gt;"HOL"),
AND(WEEKDAY($DB$20,2)=4,$CH$10=4,$BX$29&lt;&gt;"HOL"),
AND(WEEKDAY($DB$20,2)=5,$CI$10=5,$BX$31&lt;&gt;"HOL"),
AND(WEEKDAY($DB$20,2)=6,$CJ$10=6,$BX$33&lt;&gt;"HOL"),
AND(WEEKDAY($DB$20,2)=7,$CK$10=7,$BX$35&lt;&gt;"HOL")
)
),$DC$23,
AND($DG$25=BP4,
OR(
AND(WEEKDAY($DB$20,2)=1,$CE$14=1,$BX$23&lt;&gt;"HOL"),
AND(WEEKDAY($DB$20,2)=2,$CF$14=2,$BX$25&lt;&gt;"HOL"),
AND(WEEKDAY($DB$20,2)=3,$CG$14=3,$BX$27&lt;&gt;"HOL"),
AND(WEEKDAY($DB$20,2)=4,$CH$14=4,$BX$29&lt;&gt;"HOL"),
AND(WEEKDAY($DB$20,2)=5,$CI$14=5,$BX$31&lt;&gt;"HOL"),
AND(WEEKDAY($DB$20,2)=6,$CJ$14=6,$BX$33&lt;&gt;"HOL"),
AND(WEEKDAY($DB$20,2)=7,$CK$14=7,$BX$35&lt;&gt;"HOL")
)
),$DC$23,
AND($DG$28=BP4,
OR(
AND(WEEKDAY($DB$20,2)=1,$CP$10=1,$BX$23&lt;&gt;"HOL"),
AND(WEEKDAY($DB$20,2)=2,$CQ$10=2,$BX$25&lt;&gt;"HOL"),
AND(WEEKDAY($DB$20,2)=3,$CR$10=3,$BX$27&lt;&gt;"HOL"),
AND(WEEKDAY($DB$20,2)=4,$CS$10=4,$BX$29&lt;&gt;"HOL"),
AND(WEEKDAY($DB$20,2)=5,$CT$10=5,$BX$31&lt;&gt;"HOL"),
AND(WEEKDAY($DB$20,2)=6,$CU$10=6,$BX$33&lt;&gt;"HOL"),
AND(WEEKDAY($DB$20,2)=7,$CV$10=7,$BX$35&lt;&gt;"HOL")
)
),$DC$28,
AND($DG$30=BP4,
OR(
AND(WEEKDAY($DB$20,2)=1,$CP$14=1,$BX$23&lt;&gt;"HOL"),
AND(WEEKDAY($DB$20,2)=2,$CQ$14=2,$BX$25&lt;&gt;"HOL"),
AND(WEEKDAY($DB$20,2)=3,$CR$14=3,$BX$27&lt;&gt;"HOL"),
AND(WEEKDAY($DB$20,2)=4,$CS$14=4,$BX$29&lt;&gt;"HOL"),
AND(WEEKDAY($DB$20,2)=5,$CT$14=5,$BX$31&lt;&gt;"HOL"),
AND(WEEKDAY($DB$20,2)=6,$CU$14=6,$BX$33&lt;&gt;"HOL"),
AND(WEEKDAY($DB$20,2)=7,$CV$14=7,$BX$35&lt;&gt;"HOL")
)
),$DC$28,
AND($DG$33=BP4,
OR(
AND(WEEKDAY($DB$20,2)=1,$DA$10=1,$BX$23&lt;&gt;"HOL"),
AND(WEEKDAY($DB$20,2)=2,$DB$10=2,$BX$25&lt;&gt;"HOL"),
AND(WEEKDAY($DB$20,2)=3,$DC$10=3,$BX$27&lt;&gt;"HOL"),
AND(WEEKDAY($DB$20,2)=4,$DD$10=4,$BX$29&lt;&gt;"HOL"),
AND(WEEKDAY($DB$20,2)=5,$DE$10=5,$BX$31&lt;&gt;"HOL"),
AND(WEEKDAY($DB$20,2)=6,$DF$10=6,$BX$33&lt;&gt;"HOL"),
AND(WEEKDAY($DB$20,2)=7,$DG$10=7,$BX$35&lt;&gt;"HOL")
)
),$DC$33,
AND($DG$35=BP4,
OR(
AND(WEEKDAY($DB$20,2)=1,$DA$14=1,$BX$23&lt;&gt;"HOL"),
AND(WEEKDAY($DB$20,2)=2,$DB$14=2,$BX$25&lt;&gt;"HOL"),
AND(WEEKDAY($DB$20,2)=3,$DC$14=3,$BX$27&lt;&gt;"HOL"),
AND(WEEKDAY($DB$20,2)=4,$DD$14=4,$BX$29&lt;&gt;"HOL"),
AND(WEEKDAY($DB$20,2)=5,$DE$14=5,$BX$31&lt;&gt;"HOL"),
AND(WEEKDAY($DB$20,2)=6,$DF$14=6,$BX$33&lt;&gt;"HOL"),
AND(WEEKDAY($DB$20,2)=7,$DG$14=7,$BX$35&lt;&gt;"HOL")
)
),$DC$33,
TRUE,""
),
_xlfn.IFS(
AND($DG$23=BP4,
OR(
AND(WEEKDAY($DB$20+1,2)=1,$CE$10=1,$BX$23&lt;&gt;"HOL"),
AND(WEEKDAY($DB$20+1,2)=2,$CF$10=2,$BX$25&lt;&gt;"HOL"),
AND(WEEKDAY($DB$20+1,2)=3,$CG$10=3,$BX$27&lt;&gt;"HOL"),
AND(WEEKDAY($DB$20+1,2)=4,$CH$10=4,$BX$29&lt;&gt;"HOL"),
AND(WEEKDAY($DB$20+1,2)=5,$CI$10=5,$BX$31&lt;&gt;"HOL"),
AND(WEEKDAY($DB$20+1,2)=6,$CJ$10=6,$BX$33&lt;&gt;"HOL"),
AND(WEEKDAY($DB$20+1,2)=7,$CK$10=7,$BX$35&lt;&gt;"HOL")
)
),$DC$23,
AND($DG$25=BP4,
OR(
AND(WEEKDAY($DB$20+1,2)=1,$CE$14=1,$BX$23&lt;&gt;"HOL"),
AND(WEEKDAY($DB$20+1,2)=2,$CF$14=2,$BX$25&lt;&gt;"HOL"),
AND(WEEKDAY($DB$20+1,2)=3,$CG$14=3,$BX$27&lt;&gt;"HOL"),
AND(WEEKDAY($DB$20+1,2)=4,$CH$14=4,$BX$29&lt;&gt;"HOL"),
AND(WEEKDAY($DB$20+1,2)=5,$CI$14=5,$BX$31&lt;&gt;"HOL"),
AND(WEEKDAY($DB$20+1,2)=6,$CJ$14=6,$BX$33&lt;&gt;"HOL"),
AND(WEEKDAY($DB$20+1,2)=7,$CK$14=7,$BX$35&lt;&gt;"HOL")
)
),$DC$23,
AND($DG$28=BP4,
OR(
AND(WEEKDAY($DB$20+1,2)=1,$CP$10=1,$BX$23&lt;&gt;"HOL"),
AND(WEEKDAY($DB$20+1,2)=2,$CQ$10=2,$BX$25&lt;&gt;"HOL"),
AND(WEEKDAY($DB$20+1,2)=3,$CR$10=3,$BX$27&lt;&gt;"HOL"),
AND(WEEKDAY($DB$20+1,2)=4,$CS$10=4,$BX$29&lt;&gt;"HOL"),
AND(WEEKDAY($DB$20+1,2)=5,$CT$10=5,$BX$31&lt;&gt;"HOL"),
AND(WEEKDAY($DB$20+1,2)=6,$CU$10=6,$BX$33&lt;&gt;"HOL"),
AND(WEEKDAY($DB$20+1,2)=7,$CV$10=7,$BX$35&lt;&gt;"HOL")
)
),$DC$28,
AND($DG$30=BP4,
OR(
AND(WEEKDAY($DB$20+1,2)=1,$CP$14=1,$BX$23&lt;&gt;"HOL"),
AND(WEEKDAY($DB$20+1,2)=2,$CQ$14=2,$BX$25&lt;&gt;"HOL"),
AND(WEEKDAY($DB$20+1,2)=3,$CR$14=3,$BX$27&lt;&gt;"HOL"),
AND(WEEKDAY($DB$20+1,2)=4,$CS$14=4,$BX$29&lt;&gt;"HOL"),
AND(WEEKDAY($DB$20+1,2)=5,$CT$14=5,$BX$31&lt;&gt;"HOL"),
AND(WEEKDAY($DB$20+1,2)=6,$CU$14=6,$BX$33&lt;&gt;"HOL"),
AND(WEEKDAY($DB$20+1,2)=7,$CV$14=7,$BX$35&lt;&gt;"HOL")
)
),$DC$28,
AND($DG$33=BP4,
OR(
AND(WEEKDAY($DB$20+1,2)=1,$DA$10=1,$BX$23&lt;&gt;"HOL"),
AND(WEEKDAY($DB$20+1,2)=2,$DB$10=2,$BX$25&lt;&gt;"HOL"),
AND(WEEKDAY($DB$20+1,2)=3,$DC$10=3,$BX$27&lt;&gt;"HOL"),
AND(WEEKDAY($DB$20+1,2)=4,$DD$10=4,$BX$29&lt;&gt;"HOL"),
AND(WEEKDAY($DB$20+1,2)=5,$DE$10=5,$BX$31&lt;&gt;"HOL"),
AND(WEEKDAY($DB$20+1,2)=6,$DF$10=6,$BX$33&lt;&gt;"HOL"),
AND(WEEKDAY($DB$20+1,2)=7,$DG$10=7,$BX$35&lt;&gt;"HOL")
)
),$DC$33,
AND($DG$35=BP4,
OR(
AND(WEEKDAY($DB$20+1,2)=1,$DA$14=1,$BX$23&lt;&gt;"HOL"),
AND(WEEKDAY($DB$20+1,2)=2,$DB$14=2,$BX$25&lt;&gt;"HOL"),
AND(WEEKDAY($DB$20+1,2)=3,$DC$14=3,$BX$27&lt;&gt;"HOL"),
AND(WEEKDAY($DB$20+1,2)=4,$DD$14=4,$BX$29&lt;&gt;"HOL"),
AND(WEEKDAY($DB$20+1,2)=5,$DE$14=5,$BX$31&lt;&gt;"HOL"),
AND(WEEKDAY($DB$20+1,2)=6,$DF$14=6,$BX$33&lt;&gt;"HOL"),
AND(WEEKDAY($DB$20+1,2)=7,$DG$14=7,$BX$35&lt;&gt;"HOL")
)
),$DC$33,
TRUE,""
)
)</f>
        <v>#VALUE!</v>
      </c>
      <c r="BQ7" s="2066" t="e" cm="1">
        <f t="array" aca="1" ref="BQ7" ca="1">IF(
$C$3="TODAY",
_xlfn.IFS(
AND($DG$24=BR4,
OR(
AND(WEEKDAY($DB$20,2)=1,$CE$10=1,$BX$23&lt;&gt;"HOL"),
AND(WEEKDAY($DB$20,2)=2,$CF$10=2,$BX$25&lt;&gt;"HOL"),
AND(WEEKDAY($DB$20,2)=3,$CG$10=3,$BX$27&lt;&gt;"HOL"),
AND(WEEKDAY($DB$20,2)=4,$CH$10=4,$BX$29&lt;&gt;"HOL"),
AND(WEEKDAY($DB$20,2)=5,$CI$10=5,$BX$31&lt;&gt;"HOL"),
AND(WEEKDAY($DB$20,2)=6,$CJ$10=6,$BX$33&lt;&gt;"HOL"),
AND(WEEKDAY($DB$20,2)=7,$CK$10=7,$BX$35&lt;&gt;"HOL")
)
),$DD$23,
AND($DG$26=BR4,
OR(
AND(WEEKDAY($DB$20,2)=1,$CE$14=1,$BX$23&lt;&gt;"HOL"),
AND(WEEKDAY($DB$20,2)=2,$CF$14=2,$BX$25&lt;&gt;"HOL"),
AND(WEEKDAY($DB$20,2)=3,$CG$14=3,$BX$27&lt;&gt;"HOL"),
AND(WEEKDAY($DB$20,2)=4,$CH$14=4,$BX$29&lt;&gt;"HOL"),
AND(WEEKDAY($DB$20,2)=5,$CI$14=5,$BX$31&lt;&gt;"HOL"),
AND(WEEKDAY($DB$20,2)=6,$CJ$14=6,$BX$33&lt;&gt;"HOL"),
AND(WEEKDAY($DB$20,2)=7,$CK$14=7,$BX$35&lt;&gt;"HOL")
)
),$DD$23,
AND($DG$29=BR4,
OR(
AND(WEEKDAY($DB$20,2)=1,$CP$10=1,$BX$23&lt;&gt;"HOL"),
AND(WEEKDAY($DB$20,2)=2,$CQ$10=2,$BX$25&lt;&gt;"HOL"),
AND(WEEKDAY($DB$20,2)=3,$CR$10=3,$BX$27&lt;&gt;"HOL"),
AND(WEEKDAY($DB$20,2)=4,$CS$10=4,$BX$29&lt;&gt;"HOL"),
AND(WEEKDAY($DB$20,2)=5,$CT$10=5,$BX$31&lt;&gt;"HOL"),
AND(WEEKDAY($DB$20,2)=6,$CU$10=6,$BX$33&lt;&gt;"HOL"),
AND(WEEKDAY($DB$20,2)=7,$CV$10=7,$BX$35&lt;&gt;"HOL")
)
),$DD$28,
AND($DG$31=BR4,
OR(
AND(WEEKDAY($DB$20,2)=1,$CP$14=1,$BX$23&lt;&gt;"HOL"),
AND(WEEKDAY($DB$20,2)=2,$CQ$14=2,$BX$25&lt;&gt;"HOL"),
AND(WEEKDAY($DB$20,2)=3,$CR$14=3,$BX$27&lt;&gt;"HOL"),
AND(WEEKDAY($DB$20,2)=4,$CS$14=4,$BX$29&lt;&gt;"HOL"),
AND(WEEKDAY($DB$20,2)=5,$CT$14=5,$BX$31&lt;&gt;"HOL"),
AND(WEEKDAY($DB$20,2)=6,$CU$14=6,$BX$33&lt;&gt;"HOL"),
AND(WEEKDAY($DB$20,2)=7,$CV$14=7,$BX$35&lt;&gt;"HOL")
)
),$DD$28,
AND($DG$34=BR4,
OR(
AND(WEEKDAY($DB$20,2)=1,$DA$10=1,$BX$23&lt;&gt;"HOL"),
AND(WEEKDAY($DB$20,2)=2,$DB$10=2,$BX$25&lt;&gt;"HOL"),
AND(WEEKDAY($DB$20,2)=3,$DC$10=3,$BX$27&lt;&gt;"HOL"),
AND(WEEKDAY($DB$20,2)=4,$DD$10=4,$BX$29&lt;&gt;"HOL"),
AND(WEEKDAY($DB$20,2)=5,$DE$10=5,$BX$31&lt;&gt;"HOL"),
AND(WEEKDAY($DB$20,2)=6,$DF$10=6,$BX$33&lt;&gt;"HOL"),
AND(WEEKDAY($DB$20,2)=7,$DG$10=7,$BX$35&lt;&gt;"HOL")
)
),$DD$33,
AND($DG$36=BR4,
OR(
AND(WEEKDAY($DB$20,2)=1,$DA$14=1,$BX$23&lt;&gt;"HOL"),
AND(WEEKDAY($DB$20,2)=2,$DB$14=2,$BX$25&lt;&gt;"HOL"),
AND(WEEKDAY($DB$20,2)=3,$DC$14=3,$BX$27&lt;&gt;"HOL"),
AND(WEEKDAY($DB$20,2)=4,$DD$14=4,$BX$29&lt;&gt;"HOL"),
AND(WEEKDAY($DB$20,2)=5,$DE$14=5,$BX$31&lt;&gt;"HOL"),
AND(WEEKDAY($DB$20,2)=6,$DF$14=6,$BX$33&lt;&gt;"HOL"),
AND(WEEKDAY($DB$20,2)=7,$DG$14=7,$BX$35&lt;&gt;"HOL")
)
),$DD$33,
TRUE,""
),
_xlfn.IFS(
AND($DG$24=BR4,
OR(
AND(WEEKDAY($DB$20+1,2)=1,$CE$10=1,$BX$23&lt;&gt;"HOL"),
AND(WEEKDAY($DB$20+1,2)=2,$CF$10=2,$BX$25&lt;&gt;"HOL"),
AND(WEEKDAY($DB$20+1,2)=3,$CG$10=3,$BX$27&lt;&gt;"HOL"),
AND(WEEKDAY($DB$20+1,2)=4,$CH$10=4,$BX$29&lt;&gt;"HOL"),
AND(WEEKDAY($DB$20+1,2)=5,$CI$10=5,$BX$31&lt;&gt;"HOL"),
AND(WEEKDAY($DB$20+1,2)=6,$CJ$10=6,$BX$33&lt;&gt;"HOL"),
AND(WEEKDAY($DB$20+1,2)=7,$CK$10=7,$BX$35&lt;&gt;"HOL")
)
),$DD$23,
AND($DG$26=BR4,
OR(
AND(WEEKDAY($DB$20+1,2)=1,$CE$14=1,$BX$23&lt;&gt;"HOL"),
AND(WEEKDAY($DB$20+1,2)=2,$CF$14=2,$BX$25&lt;&gt;"HOL"),
AND(WEEKDAY($DB$20+1,2)=3,$CG$14=3,$BX$27&lt;&gt;"HOL"),
AND(WEEKDAY($DB$20+1,2)=4,$CH$14=4,$BX$29&lt;&gt;"HOL"),
AND(WEEKDAY($DB$20+1,2)=5,$CI$14=5,$BX$31&lt;&gt;"HOL"),
AND(WEEKDAY($DB$20+1,2)=6,$CJ$14=6,$BX$33&lt;&gt;"HOL"),
AND(WEEKDAY($DB$20+1,2)=7,$CK$14=7,$BX$35&lt;&gt;"HOL")
)
),$DD$23,
AND($DG$29=BR4,
OR(
AND(WEEKDAY($DB$20+1,2)=1,$CP$10=1,$BX$23&lt;&gt;"HOL"),
AND(WEEKDAY($DB$20+1,2)=2,$CQ$10=2,$BX$25&lt;&gt;"HOL"),
AND(WEEKDAY($DB$20+1,2)=3,$CR$10=3,$BX$27&lt;&gt;"HOL"),
AND(WEEKDAY($DB$20+1,2)=4,$CS$10=4,$BX$29&lt;&gt;"HOL"),
AND(WEEKDAY($DB$20+1,2)=5,$CT$10=5,$BX$31&lt;&gt;"HOL"),
AND(WEEKDAY($DB$20+1,2)=6,$CU$10=6,$BX$33&lt;&gt;"HOL"),
AND(WEEKDAY($DB$20+1,2)=7,$CV$10=7,$BX$35&lt;&gt;"HOL")
)
),$DD$28,
AND($DG$31=BR4,
OR(
AND(WEEKDAY($DB$20+1,2)=1,$CP$14=1,$BX$23&lt;&gt;"HOL"),
AND(WEEKDAY($DB$20+1,2)=2,$CQ$14=2,$BX$25&lt;&gt;"HOL"),
AND(WEEKDAY($DB$20+1,2)=3,$CR$14=3,$BX$27&lt;&gt;"HOL"),
AND(WEEKDAY($DB$20+1,2)=4,$CS$14=4,$BX$29&lt;&gt;"HOL"),
AND(WEEKDAY($DB$20+1,2)=5,$CT$14=5,$BX$31&lt;&gt;"HOL"),
AND(WEEKDAY($DB$20+1,2)=6,$CU$14=6,$BX$33&lt;&gt;"HOL"),
AND(WEEKDAY($DB$20+1,2)=7,$CV$14=7,$BX$35&lt;&gt;"HOL")
)
),$DD$28,
AND($DG$34=BR4,
OR(
AND(WEEKDAY($DB$20+1,2)=1,$DA$10=1,$BX$23&lt;&gt;"HOL"),
AND(WEEKDAY($DB$20+1,2)=2,$DB$10=2,$BX$25&lt;&gt;"HOL"),
AND(WEEKDAY($DB$20+1,2)=3,$DC$10=3,$BX$27&lt;&gt;"HOL"),
AND(WEEKDAY($DB$20+1,2)=4,$DD$10=4,$BX$29&lt;&gt;"HOL"),
AND(WEEKDAY($DB$20+1,2)=5,$DE$10=5,$BX$31&lt;&gt;"HOL"),
AND(WEEKDAY($DB$20+1,2)=6,$DF$10=6,$BX$33&lt;&gt;"HOL"),
AND(WEEKDAY($DB$20+1,2)=7,$DG$10=7,$BX$35&lt;&gt;"HOL")
)
),$DD$33,
AND($DG$36=BR4,
OR(
AND(WEEKDAY($DB$20+1,2)=1,$DA$14=1,$BX$23&lt;&gt;"HOL"),
AND(WEEKDAY($DB$20+1,2)=2,$DB$14=2,$BX$25&lt;&gt;"HOL"),
AND(WEEKDAY($DB$20+1,2)=3,$DC$14=3,$BX$27&lt;&gt;"HOL"),
AND(WEEKDAY($DB$20+1,2)=4,$DD$14=4,$BX$29&lt;&gt;"HOL"),
AND(WEEKDAY($DB$20+1,2)=5,$DE$14=5,$BX$31&lt;&gt;"HOL"),
AND(WEEKDAY($DB$20+1,2)=6,$DF$14=6,$BX$33&lt;&gt;"HOL"),
AND(WEEKDAY($DB$20+1,2)=7,$DG$14=7,$BX$35&lt;&gt;"HOL")
)
),$DD$33,
TRUE,""
)
)</f>
        <v>#VALUE!</v>
      </c>
      <c r="BR7" s="1090" t="e" cm="1">
        <f t="array" aca="1" ref="BR7" ca="1">IF(
$C$3="TODAY",
_xlfn.IFS(
AND($DG$23=BR4,
OR(
AND(WEEKDAY($DB$20,2)=1,$CE$10=1,$BX$23&lt;&gt;"HOL"),
AND(WEEKDAY($DB$20,2)=2,$CF$10=2,$BX$25&lt;&gt;"HOL"),
AND(WEEKDAY($DB$20,2)=3,$CG$10=3,$BX$27&lt;&gt;"HOL"),
AND(WEEKDAY($DB$20,2)=4,$CH$10=4,$BX$29&lt;&gt;"HOL"),
AND(WEEKDAY($DB$20,2)=5,$CI$10=5,$BX$31&lt;&gt;"HOL"),
AND(WEEKDAY($DB$20,2)=6,$CJ$10=6,$BX$33&lt;&gt;"HOL"),
AND(WEEKDAY($DB$20,2)=7,$CK$10=7,$BX$35&lt;&gt;"HOL")
)
),$DC$23,
AND($DG$25=BR4,
OR(
AND(WEEKDAY($DB$20,2)=1,$CE$14=1,$BX$23&lt;&gt;"HOL"),
AND(WEEKDAY($DB$20,2)=2,$CF$14=2,$BX$25&lt;&gt;"HOL"),
AND(WEEKDAY($DB$20,2)=3,$CG$14=3,$BX$27&lt;&gt;"HOL"),
AND(WEEKDAY($DB$20,2)=4,$CH$14=4,$BX$29&lt;&gt;"HOL"),
AND(WEEKDAY($DB$20,2)=5,$CI$14=5,$BX$31&lt;&gt;"HOL"),
AND(WEEKDAY($DB$20,2)=6,$CJ$14=6,$BX$33&lt;&gt;"HOL"),
AND(WEEKDAY($DB$20,2)=7,$CK$14=7,$BX$35&lt;&gt;"HOL")
)
),$DC$23,
AND($DG$28=BR4,
OR(
AND(WEEKDAY($DB$20,2)=1,$CP$10=1,$BX$23&lt;&gt;"HOL"),
AND(WEEKDAY($DB$20,2)=2,$CQ$10=2,$BX$25&lt;&gt;"HOL"),
AND(WEEKDAY($DB$20,2)=3,$CR$10=3,$BX$27&lt;&gt;"HOL"),
AND(WEEKDAY($DB$20,2)=4,$CS$10=4,$BX$29&lt;&gt;"HOL"),
AND(WEEKDAY($DB$20,2)=5,$CT$10=5,$BX$31&lt;&gt;"HOL"),
AND(WEEKDAY($DB$20,2)=6,$CU$10=6,$BX$33&lt;&gt;"HOL"),
AND(WEEKDAY($DB$20,2)=7,$CV$10=7,$BX$35&lt;&gt;"HOL")
)
),$DC$28,
AND($DG$30=BR4,
OR(
AND(WEEKDAY($DB$20,2)=1,$CP$14=1,$BX$23&lt;&gt;"HOL"),
AND(WEEKDAY($DB$20,2)=2,$CQ$14=2,$BX$25&lt;&gt;"HOL"),
AND(WEEKDAY($DB$20,2)=3,$CR$14=3,$BX$27&lt;&gt;"HOL"),
AND(WEEKDAY($DB$20,2)=4,$CS$14=4,$BX$29&lt;&gt;"HOL"),
AND(WEEKDAY($DB$20,2)=5,$CT$14=5,$BX$31&lt;&gt;"HOL"),
AND(WEEKDAY($DB$20,2)=6,$CU$14=6,$BX$33&lt;&gt;"HOL"),
AND(WEEKDAY($DB$20,2)=7,$CV$14=7,$BX$35&lt;&gt;"HOL")
)
),$DC$28,
AND($DG$33=BR4,
OR(
AND(WEEKDAY($DB$20,2)=1,$DA$10=1,$BX$23&lt;&gt;"HOL"),
AND(WEEKDAY($DB$20,2)=2,$DB$10=2,$BX$25&lt;&gt;"HOL"),
AND(WEEKDAY($DB$20,2)=3,$DC$10=3,$BX$27&lt;&gt;"HOL"),
AND(WEEKDAY($DB$20,2)=4,$DD$10=4,$BX$29&lt;&gt;"HOL"),
AND(WEEKDAY($DB$20,2)=5,$DE$10=5,$BX$31&lt;&gt;"HOL"),
AND(WEEKDAY($DB$20,2)=6,$DF$10=6,$BX$33&lt;&gt;"HOL"),
AND(WEEKDAY($DB$20,2)=7,$DG$10=7,$BX$35&lt;&gt;"HOL")
)
),$DC$33,
AND($DG$35=BR4,
OR(
AND(WEEKDAY($DB$20,2)=1,$DA$14=1,$BX$23&lt;&gt;"HOL"),
AND(WEEKDAY($DB$20,2)=2,$DB$14=2,$BX$25&lt;&gt;"HOL"),
AND(WEEKDAY($DB$20,2)=3,$DC$14=3,$BX$27&lt;&gt;"HOL"),
AND(WEEKDAY($DB$20,2)=4,$DD$14=4,$BX$29&lt;&gt;"HOL"),
AND(WEEKDAY($DB$20,2)=5,$DE$14=5,$BX$31&lt;&gt;"HOL"),
AND(WEEKDAY($DB$20,2)=6,$DF$14=6,$BX$33&lt;&gt;"HOL"),
AND(WEEKDAY($DB$20,2)=7,$DG$14=7,$BX$35&lt;&gt;"HOL")
)
),$DC$33,
TRUE,""
),
_xlfn.IFS(
AND($DG$23=BR4,
OR(
AND(WEEKDAY($DB$20+1,2)=1,$CE$10=1,$BX$23&lt;&gt;"HOL"),
AND(WEEKDAY($DB$20+1,2)=2,$CF$10=2,$BX$25&lt;&gt;"HOL"),
AND(WEEKDAY($DB$20+1,2)=3,$CG$10=3,$BX$27&lt;&gt;"HOL"),
AND(WEEKDAY($DB$20+1,2)=4,$CH$10=4,$BX$29&lt;&gt;"HOL"),
AND(WEEKDAY($DB$20+1,2)=5,$CI$10=5,$BX$31&lt;&gt;"HOL"),
AND(WEEKDAY($DB$20+1,2)=6,$CJ$10=6,$BX$33&lt;&gt;"HOL"),
AND(WEEKDAY($DB$20+1,2)=7,$CK$10=7,$BX$35&lt;&gt;"HOL")
)
),$DC$23,
AND($DG$25=BR4,
OR(
AND(WEEKDAY($DB$20+1,2)=1,$CE$14=1,$BX$23&lt;&gt;"HOL"),
AND(WEEKDAY($DB$20+1,2)=2,$CF$14=2,$BX$25&lt;&gt;"HOL"),
AND(WEEKDAY($DB$20+1,2)=3,$CG$14=3,$BX$27&lt;&gt;"HOL"),
AND(WEEKDAY($DB$20+1,2)=4,$CH$14=4,$BX$29&lt;&gt;"HOL"),
AND(WEEKDAY($DB$20+1,2)=5,$CI$14=5,$BX$31&lt;&gt;"HOL"),
AND(WEEKDAY($DB$20+1,2)=6,$CJ$14=6,$BX$33&lt;&gt;"HOL"),
AND(WEEKDAY($DB$20+1,2)=7,$CK$14=7,$BX$35&lt;&gt;"HOL")
)
),$DC$23,
AND($DG$28=BR4,
OR(
AND(WEEKDAY($DB$20+1,2)=1,$CP$10=1,$BX$23&lt;&gt;"HOL"),
AND(WEEKDAY($DB$20+1,2)=2,$CQ$10=2,$BX$25&lt;&gt;"HOL"),
AND(WEEKDAY($DB$20+1,2)=3,$CR$10=3,$BX$27&lt;&gt;"HOL"),
AND(WEEKDAY($DB$20+1,2)=4,$CS$10=4,$BX$29&lt;&gt;"HOL"),
AND(WEEKDAY($DB$20+1,2)=5,$CT$10=5,$BX$31&lt;&gt;"HOL"),
AND(WEEKDAY($DB$20+1,2)=6,$CU$10=6,$BX$33&lt;&gt;"HOL"),
AND(WEEKDAY($DB$20+1,2)=7,$CV$10=7,$BX$35&lt;&gt;"HOL")
)
),$DC$28,
AND($DG$30=BR4,
OR(
AND(WEEKDAY($DB$20+1,2)=1,$CP$14=1,$BX$23&lt;&gt;"HOL"),
AND(WEEKDAY($DB$20+1,2)=2,$CQ$14=2,$BX$25&lt;&gt;"HOL"),
AND(WEEKDAY($DB$20+1,2)=3,$CR$14=3,$BX$27&lt;&gt;"HOL"),
AND(WEEKDAY($DB$20+1,2)=4,$CS$14=4,$BX$29&lt;&gt;"HOL"),
AND(WEEKDAY($DB$20+1,2)=5,$CT$14=5,$BX$31&lt;&gt;"HOL"),
AND(WEEKDAY($DB$20+1,2)=6,$CU$14=6,$BX$33&lt;&gt;"HOL"),
AND(WEEKDAY($DB$20+1,2)=7,$CV$14=7,$BX$35&lt;&gt;"HOL")
)
),$DC$28,
AND($DG$33=BR4,
OR(
AND(WEEKDAY($DB$20+1,2)=1,$DA$10=1,$BX$23&lt;&gt;"HOL"),
AND(WEEKDAY($DB$20+1,2)=2,$DB$10=2,$BX$25&lt;&gt;"HOL"),
AND(WEEKDAY($DB$20+1,2)=3,$DC$10=3,$BX$27&lt;&gt;"HOL"),
AND(WEEKDAY($DB$20+1,2)=4,$DD$10=4,$BX$29&lt;&gt;"HOL"),
AND(WEEKDAY($DB$20+1,2)=5,$DE$10=5,$BX$31&lt;&gt;"HOL"),
AND(WEEKDAY($DB$20+1,2)=6,$DF$10=6,$BX$33&lt;&gt;"HOL"),
AND(WEEKDAY($DB$20+1,2)=7,$DG$10=7,$BX$35&lt;&gt;"HOL")
)
),$DC$33,
AND($DG$35=BR4,
OR(
AND(WEEKDAY($DB$20+1,2)=1,$DA$14=1,$BX$23&lt;&gt;"HOL"),
AND(WEEKDAY($DB$20+1,2)=2,$DB$14=2,$BX$25&lt;&gt;"HOL"),
AND(WEEKDAY($DB$20+1,2)=3,$DC$14=3,$BX$27&lt;&gt;"HOL"),
AND(WEEKDAY($DB$20+1,2)=4,$DD$14=4,$BX$29&lt;&gt;"HOL"),
AND(WEEKDAY($DB$20+1,2)=5,$DE$14=5,$BX$31&lt;&gt;"HOL"),
AND(WEEKDAY($DB$20+1,2)=6,$DF$14=6,$BX$33&lt;&gt;"HOL"),
AND(WEEKDAY($DB$20+1,2)=7,$DG$14=7,$BX$35&lt;&gt;"HOL")
)
),$DC$33,
TRUE,""
)
)</f>
        <v>#VALUE!</v>
      </c>
      <c r="BS7" s="2075" t="e" cm="1">
        <f t="array" aca="1" ref="BS7" ca="1">IF(
$C$3="TODAY",
_xlfn.IFS(
AND($DG$24=BT4,
OR(
AND(WEEKDAY($DB$20,2)=1,$CE$10=1,$BX$23&lt;&gt;"HOL"),
AND(WEEKDAY($DB$20,2)=2,$CF$10=2,$BX$25&lt;&gt;"HOL"),
AND(WEEKDAY($DB$20,2)=3,$CG$10=3,$BX$27&lt;&gt;"HOL"),
AND(WEEKDAY($DB$20,2)=4,$CH$10=4,$BX$29&lt;&gt;"HOL"),
AND(WEEKDAY($DB$20,2)=5,$CI$10=5,$BX$31&lt;&gt;"HOL"),
AND(WEEKDAY($DB$20,2)=6,$CJ$10=6,$BX$33&lt;&gt;"HOL"),
AND(WEEKDAY($DB$20,2)=7,$CK$10=7,$BX$35&lt;&gt;"HOL")
)
),$DD$23,
AND($DG$26=BT4,
OR(
AND(WEEKDAY($DB$20,2)=1,$CE$14=1,$BX$23&lt;&gt;"HOL"),
AND(WEEKDAY($DB$20,2)=2,$CF$14=2,$BX$25&lt;&gt;"HOL"),
AND(WEEKDAY($DB$20,2)=3,$CG$14=3,$BX$27&lt;&gt;"HOL"),
AND(WEEKDAY($DB$20,2)=4,$CH$14=4,$BX$29&lt;&gt;"HOL"),
AND(WEEKDAY($DB$20,2)=5,$CI$14=5,$BX$31&lt;&gt;"HOL"),
AND(WEEKDAY($DB$20,2)=6,$CJ$14=6,$BX$33&lt;&gt;"HOL"),
AND(WEEKDAY($DB$20,2)=7,$CK$14=7,$BX$35&lt;&gt;"HOL")
)
),$DD$23,
AND($DG$29=BT4,
OR(
AND(WEEKDAY($DB$20,2)=1,$CP$10=1,$BX$23&lt;&gt;"HOL"),
AND(WEEKDAY($DB$20,2)=2,$CQ$10=2,$BX$25&lt;&gt;"HOL"),
AND(WEEKDAY($DB$20,2)=3,$CR$10=3,$BX$27&lt;&gt;"HOL"),
AND(WEEKDAY($DB$20,2)=4,$CS$10=4,$BX$29&lt;&gt;"HOL"),
AND(WEEKDAY($DB$20,2)=5,$CT$10=5,$BX$31&lt;&gt;"HOL"),
AND(WEEKDAY($DB$20,2)=6,$CU$10=6,$BX$33&lt;&gt;"HOL"),
AND(WEEKDAY($DB$20,2)=7,$CV$10=7,$BX$35&lt;&gt;"HOL")
)
),$DD$28,
AND($DG$31=BT4,
OR(
AND(WEEKDAY($DB$20,2)=1,$CP$14=1,$BX$23&lt;&gt;"HOL"),
AND(WEEKDAY($DB$20,2)=2,$CQ$14=2,$BX$25&lt;&gt;"HOL"),
AND(WEEKDAY($DB$20,2)=3,$CR$14=3,$BX$27&lt;&gt;"HOL"),
AND(WEEKDAY($DB$20,2)=4,$CS$14=4,$BX$29&lt;&gt;"HOL"),
AND(WEEKDAY($DB$20,2)=5,$CT$14=5,$BX$31&lt;&gt;"HOL"),
AND(WEEKDAY($DB$20,2)=6,$CU$14=6,$BX$33&lt;&gt;"HOL"),
AND(WEEKDAY($DB$20,2)=7,$CV$14=7,$BX$35&lt;&gt;"HOL")
)
),$DD$28,
AND($DG$34=BT4,
OR(
AND(WEEKDAY($DB$20,2)=1,$DA$10=1,$BX$23&lt;&gt;"HOL"),
AND(WEEKDAY($DB$20,2)=2,$DB$10=2,$BX$25&lt;&gt;"HOL"),
AND(WEEKDAY($DB$20,2)=3,$DC$10=3,$BX$27&lt;&gt;"HOL"),
AND(WEEKDAY($DB$20,2)=4,$DD$10=4,$BX$29&lt;&gt;"HOL"),
AND(WEEKDAY($DB$20,2)=5,$DE$10=5,$BX$31&lt;&gt;"HOL"),
AND(WEEKDAY($DB$20,2)=6,$DF$10=6,$BX$33&lt;&gt;"HOL"),
AND(WEEKDAY($DB$20,2)=7,$DG$10=7,$BX$35&lt;&gt;"HOL")
)
),$DD$33,
AND($DG$36=BT4,
OR(
AND(WEEKDAY($DB$20,2)=1,$DA$14=1,$BX$23&lt;&gt;"HOL"),
AND(WEEKDAY($DB$20,2)=2,$DB$14=2,$BX$25&lt;&gt;"HOL"),
AND(WEEKDAY($DB$20,2)=3,$DC$14=3,$BX$27&lt;&gt;"HOL"),
AND(WEEKDAY($DB$20,2)=4,$DD$14=4,$BX$29&lt;&gt;"HOL"),
AND(WEEKDAY($DB$20,2)=5,$DE$14=5,$BX$31&lt;&gt;"HOL"),
AND(WEEKDAY($DB$20,2)=6,$DF$14=6,$BX$33&lt;&gt;"HOL"),
AND(WEEKDAY($DB$20,2)=7,$DG$14=7,$BX$35&lt;&gt;"HOL")
)
),$DD$33,
TRUE,""
),
_xlfn.IFS(
AND($DG$24=BT4,
OR(
AND(WEEKDAY($DB$20+1,2)=1,$CE$10=1,$BX$23&lt;&gt;"HOL"),
AND(WEEKDAY($DB$20+1,2)=2,$CF$10=2,$BX$25&lt;&gt;"HOL"),
AND(WEEKDAY($DB$20+1,2)=3,$CG$10=3,$BX$27&lt;&gt;"HOL"),
AND(WEEKDAY($DB$20+1,2)=4,$CH$10=4,$BX$29&lt;&gt;"HOL"),
AND(WEEKDAY($DB$20+1,2)=5,$CI$10=5,$BX$31&lt;&gt;"HOL"),
AND(WEEKDAY($DB$20+1,2)=6,$CJ$10=6,$BX$33&lt;&gt;"HOL"),
AND(WEEKDAY($DB$20+1,2)=7,$CK$10=7,$BX$35&lt;&gt;"HOL")
)
),$DD$23,
AND($DG$26=BT4,
OR(
AND(WEEKDAY($DB$20+1,2)=1,$CE$14=1,$BX$23&lt;&gt;"HOL"),
AND(WEEKDAY($DB$20+1,2)=2,$CF$14=2,$BX$25&lt;&gt;"HOL"),
AND(WEEKDAY($DB$20+1,2)=3,$CG$14=3,$BX$27&lt;&gt;"HOL"),
AND(WEEKDAY($DB$20+1,2)=4,$CH$14=4,$BX$29&lt;&gt;"HOL"),
AND(WEEKDAY($DB$20+1,2)=5,$CI$14=5,$BX$31&lt;&gt;"HOL"),
AND(WEEKDAY($DB$20+1,2)=6,$CJ$14=6,$BX$33&lt;&gt;"HOL"),
AND(WEEKDAY($DB$20+1,2)=7,$CK$14=7,$BX$35&lt;&gt;"HOL")
)
),$DD$23,
AND($DG$29=BT4,
OR(
AND(WEEKDAY($DB$20+1,2)=1,$CP$10=1,$BX$23&lt;&gt;"HOL"),
AND(WEEKDAY($DB$20+1,2)=2,$CQ$10=2,$BX$25&lt;&gt;"HOL"),
AND(WEEKDAY($DB$20+1,2)=3,$CR$10=3,$BX$27&lt;&gt;"HOL"),
AND(WEEKDAY($DB$20+1,2)=4,$CS$10=4,$BX$29&lt;&gt;"HOL"),
AND(WEEKDAY($DB$20+1,2)=5,$CT$10=5,$BX$31&lt;&gt;"HOL"),
AND(WEEKDAY($DB$20+1,2)=6,$CU$10=6,$BX$33&lt;&gt;"HOL"),
AND(WEEKDAY($DB$20+1,2)=7,$CV$10=7,$BX$35&lt;&gt;"HOL")
)
),$DD$28,
AND($DG$31=BT4,
OR(
AND(WEEKDAY($DB$20+1,2)=1,$CP$14=1,$BX$23&lt;&gt;"HOL"),
AND(WEEKDAY($DB$20+1,2)=2,$CQ$14=2,$BX$25&lt;&gt;"HOL"),
AND(WEEKDAY($DB$20+1,2)=3,$CR$14=3,$BX$27&lt;&gt;"HOL"),
AND(WEEKDAY($DB$20+1,2)=4,$CS$14=4,$BX$29&lt;&gt;"HOL"),
AND(WEEKDAY($DB$20+1,2)=5,$CT$14=5,$BX$31&lt;&gt;"HOL"),
AND(WEEKDAY($DB$20+1,2)=6,$CU$14=6,$BX$33&lt;&gt;"HOL"),
AND(WEEKDAY($DB$20+1,2)=7,$CV$14=7,$BX$35&lt;&gt;"HOL")
)
),$DD$28,
AND($DG$34=BT4,
OR(
AND(WEEKDAY($DB$20+1,2)=1,$DA$10=1,$BX$23&lt;&gt;"HOL"),
AND(WEEKDAY($DB$20+1,2)=2,$DB$10=2,$BX$25&lt;&gt;"HOL"),
AND(WEEKDAY($DB$20+1,2)=3,$DC$10=3,$BX$27&lt;&gt;"HOL"),
AND(WEEKDAY($DB$20+1,2)=4,$DD$10=4,$BX$29&lt;&gt;"HOL"),
AND(WEEKDAY($DB$20+1,2)=5,$DE$10=5,$BX$31&lt;&gt;"HOL"),
AND(WEEKDAY($DB$20+1,2)=6,$DF$10=6,$BX$33&lt;&gt;"HOL"),
AND(WEEKDAY($DB$20+1,2)=7,$DG$10=7,$BX$35&lt;&gt;"HOL")
)
),$DD$33,
AND($DG$36=BT4,
OR(
AND(WEEKDAY($DB$20+1,2)=1,$DA$14=1,$BX$23&lt;&gt;"HOL"),
AND(WEEKDAY($DB$20+1,2)=2,$DB$14=2,$BX$25&lt;&gt;"HOL"),
AND(WEEKDAY($DB$20+1,2)=3,$DC$14=3,$BX$27&lt;&gt;"HOL"),
AND(WEEKDAY($DB$20+1,2)=4,$DD$14=4,$BX$29&lt;&gt;"HOL"),
AND(WEEKDAY($DB$20+1,2)=5,$DE$14=5,$BX$31&lt;&gt;"HOL"),
AND(WEEKDAY($DB$20+1,2)=6,$DF$14=6,$BX$33&lt;&gt;"HOL"),
AND(WEEKDAY($DB$20+1,2)=7,$DG$14=7,$BX$35&lt;&gt;"HOL")
)
),$DD$33,
TRUE,""
)
)</f>
        <v>#VALUE!</v>
      </c>
      <c r="BT7" s="2076" t="e" cm="1">
        <f t="array" aca="1" ref="BT7" ca="1">IF(
$C$3="TODAY",
_xlfn.IFS(
AND($DG$23=BT4,
OR(
AND(WEEKDAY($DB$20,2)=1,$CE$10=1,$BX$23&lt;&gt;"HOL"),
AND(WEEKDAY($DB$20,2)=2,$CF$10=2,$BX$25&lt;&gt;"HOL"),
AND(WEEKDAY($DB$20,2)=3,$CG$10=3,$BX$27&lt;&gt;"HOL"),
AND(WEEKDAY($DB$20,2)=4,$CH$10=4,$BX$29&lt;&gt;"HOL"),
AND(WEEKDAY($DB$20,2)=5,$CI$10=5,$BX$31&lt;&gt;"HOL"),
AND(WEEKDAY($DB$20,2)=6,$CJ$10=6,$BX$33&lt;&gt;"HOL"),
AND(WEEKDAY($DB$20,2)=7,$CK$10=7,$BX$35&lt;&gt;"HOL")
)
),$DC$23,
AND($DG$25=BT4,
OR(
AND(WEEKDAY($DB$20,2)=1,$CE$14=1,$BX$23&lt;&gt;"HOL"),
AND(WEEKDAY($DB$20,2)=2,$CF$14=2,$BX$25&lt;&gt;"HOL"),
AND(WEEKDAY($DB$20,2)=3,$CG$14=3,$BX$27&lt;&gt;"HOL"),
AND(WEEKDAY($DB$20,2)=4,$CH$14=4,$BX$29&lt;&gt;"HOL"),
AND(WEEKDAY($DB$20,2)=5,$CI$14=5,$BX$31&lt;&gt;"HOL"),
AND(WEEKDAY($DB$20,2)=6,$CJ$14=6,$BX$33&lt;&gt;"HOL"),
AND(WEEKDAY($DB$20,2)=7,$CK$14=7,$BX$35&lt;&gt;"HOL")
)
),$DC$23,
AND($DG$28=BT4,
OR(
AND(WEEKDAY($DB$20,2)=1,$CP$10=1,$BX$23&lt;&gt;"HOL"),
AND(WEEKDAY($DB$20,2)=2,$CQ$10=2,$BX$25&lt;&gt;"HOL"),
AND(WEEKDAY($DB$20,2)=3,$CR$10=3,$BX$27&lt;&gt;"HOL"),
AND(WEEKDAY($DB$20,2)=4,$CS$10=4,$BX$29&lt;&gt;"HOL"),
AND(WEEKDAY($DB$20,2)=5,$CT$10=5,$BX$31&lt;&gt;"HOL"),
AND(WEEKDAY($DB$20,2)=6,$CU$10=6,$BX$33&lt;&gt;"HOL"),
AND(WEEKDAY($DB$20,2)=7,$CV$10=7,$BX$35&lt;&gt;"HOL")
)
),$DC$28,
AND($DG$30=BT4,
OR(
AND(WEEKDAY($DB$20,2)=1,$CP$14=1,$BX$23&lt;&gt;"HOL"),
AND(WEEKDAY($DB$20,2)=2,$CQ$14=2,$BX$25&lt;&gt;"HOL"),
AND(WEEKDAY($DB$20,2)=3,$CR$14=3,$BX$27&lt;&gt;"HOL"),
AND(WEEKDAY($DB$20,2)=4,$CS$14=4,$BX$29&lt;&gt;"HOL"),
AND(WEEKDAY($DB$20,2)=5,$CT$14=5,$BX$31&lt;&gt;"HOL"),
AND(WEEKDAY($DB$20,2)=6,$CU$14=6,$BX$33&lt;&gt;"HOL"),
AND(WEEKDAY($DB$20,2)=7,$CV$14=7,$BX$35&lt;&gt;"HOL")
)
),$DC$28,
AND($DG$33=BT4,
OR(
AND(WEEKDAY($DB$20,2)=1,$DA$10=1,$BX$23&lt;&gt;"HOL"),
AND(WEEKDAY($DB$20,2)=2,$DB$10=2,$BX$25&lt;&gt;"HOL"),
AND(WEEKDAY($DB$20,2)=3,$DC$10=3,$BX$27&lt;&gt;"HOL"),
AND(WEEKDAY($DB$20,2)=4,$DD$10=4,$BX$29&lt;&gt;"HOL"),
AND(WEEKDAY($DB$20,2)=5,$DE$10=5,$BX$31&lt;&gt;"HOL"),
AND(WEEKDAY($DB$20,2)=6,$DF$10=6,$BX$33&lt;&gt;"HOL"),
AND(WEEKDAY($DB$20,2)=7,$DG$10=7,$BX$35&lt;&gt;"HOL")
)
),$DC$33,
AND($DG$35=BT4,
OR(
AND(WEEKDAY($DB$20,2)=1,$DA$14=1,$BX$23&lt;&gt;"HOL"),
AND(WEEKDAY($DB$20,2)=2,$DB$14=2,$BX$25&lt;&gt;"HOL"),
AND(WEEKDAY($DB$20,2)=3,$DC$14=3,$BX$27&lt;&gt;"HOL"),
AND(WEEKDAY($DB$20,2)=4,$DD$14=4,$BX$29&lt;&gt;"HOL"),
AND(WEEKDAY($DB$20,2)=5,$DE$14=5,$BX$31&lt;&gt;"HOL"),
AND(WEEKDAY($DB$20,2)=6,$DF$14=6,$BX$33&lt;&gt;"HOL"),
AND(WEEKDAY($DB$20,2)=7,$DG$14=7,$BX$35&lt;&gt;"HOL")
)
),$DC$33,
TRUE,""
),
_xlfn.IFS(
AND($DG$23=BT4,
OR(
AND(WEEKDAY($DB$20+1,2)=1,$CE$10=1,$BX$23&lt;&gt;"HOL"),
AND(WEEKDAY($DB$20+1,2)=2,$CF$10=2,$BX$25&lt;&gt;"HOL"),
AND(WEEKDAY($DB$20+1,2)=3,$CG$10=3,$BX$27&lt;&gt;"HOL"),
AND(WEEKDAY($DB$20+1,2)=4,$CH$10=4,$BX$29&lt;&gt;"HOL"),
AND(WEEKDAY($DB$20+1,2)=5,$CI$10=5,$BX$31&lt;&gt;"HOL"),
AND(WEEKDAY($DB$20+1,2)=6,$CJ$10=6,$BX$33&lt;&gt;"HOL"),
AND(WEEKDAY($DB$20+1,2)=7,$CK$10=7,$BX$35&lt;&gt;"HOL")
)
),$DC$23,
AND($DG$25=BT4,
OR(
AND(WEEKDAY($DB$20+1,2)=1,$CE$14=1,$BX$23&lt;&gt;"HOL"),
AND(WEEKDAY($DB$20+1,2)=2,$CF$14=2,$BX$25&lt;&gt;"HOL"),
AND(WEEKDAY($DB$20+1,2)=3,$CG$14=3,$BX$27&lt;&gt;"HOL"),
AND(WEEKDAY($DB$20+1,2)=4,$CH$14=4,$BX$29&lt;&gt;"HOL"),
AND(WEEKDAY($DB$20+1,2)=5,$CI$14=5,$BX$31&lt;&gt;"HOL"),
AND(WEEKDAY($DB$20+1,2)=6,$CJ$14=6,$BX$33&lt;&gt;"HOL"),
AND(WEEKDAY($DB$20+1,2)=7,$CK$14=7,$BX$35&lt;&gt;"HOL")
)
),$DC$23,
AND($DG$28=BT4,
OR(
AND(WEEKDAY($DB$20+1,2)=1,$CP$10=1,$BX$23&lt;&gt;"HOL"),
AND(WEEKDAY($DB$20+1,2)=2,$CQ$10=2,$BX$25&lt;&gt;"HOL"),
AND(WEEKDAY($DB$20+1,2)=3,$CR$10=3,$BX$27&lt;&gt;"HOL"),
AND(WEEKDAY($DB$20+1,2)=4,$CS$10=4,$BX$29&lt;&gt;"HOL"),
AND(WEEKDAY($DB$20+1,2)=5,$CT$10=5,$BX$31&lt;&gt;"HOL"),
AND(WEEKDAY($DB$20+1,2)=6,$CU$10=6,$BX$33&lt;&gt;"HOL"),
AND(WEEKDAY($DB$20+1,2)=7,$CV$10=7,$BX$35&lt;&gt;"HOL")
)
),$DC$28,
AND($DG$30=BT4,
OR(
AND(WEEKDAY($DB$20+1,2)=1,$CP$14=1,$BX$23&lt;&gt;"HOL"),
AND(WEEKDAY($DB$20+1,2)=2,$CQ$14=2,$BX$25&lt;&gt;"HOL"),
AND(WEEKDAY($DB$20+1,2)=3,$CR$14=3,$BX$27&lt;&gt;"HOL"),
AND(WEEKDAY($DB$20+1,2)=4,$CS$14=4,$BX$29&lt;&gt;"HOL"),
AND(WEEKDAY($DB$20+1,2)=5,$CT$14=5,$BX$31&lt;&gt;"HOL"),
AND(WEEKDAY($DB$20+1,2)=6,$CU$14=6,$BX$33&lt;&gt;"HOL"),
AND(WEEKDAY($DB$20+1,2)=7,$CV$14=7,$BX$35&lt;&gt;"HOL")
)
),$DC$28,
AND($DG$33=BT4,
OR(
AND(WEEKDAY($DB$20+1,2)=1,$DA$10=1,$BX$23&lt;&gt;"HOL"),
AND(WEEKDAY($DB$20+1,2)=2,$DB$10=2,$BX$25&lt;&gt;"HOL"),
AND(WEEKDAY($DB$20+1,2)=3,$DC$10=3,$BX$27&lt;&gt;"HOL"),
AND(WEEKDAY($DB$20+1,2)=4,$DD$10=4,$BX$29&lt;&gt;"HOL"),
AND(WEEKDAY($DB$20+1,2)=5,$DE$10=5,$BX$31&lt;&gt;"HOL"),
AND(WEEKDAY($DB$20+1,2)=6,$DF$10=6,$BX$33&lt;&gt;"HOL"),
AND(WEEKDAY($DB$20+1,2)=7,$DG$10=7,$BX$35&lt;&gt;"HOL")
)
),$DC$33,
AND($DG$35=BT4,
OR(
AND(WEEKDAY($DB$20+1,2)=1,$DA$14=1,$BX$23&lt;&gt;"HOL"),
AND(WEEKDAY($DB$20+1,2)=2,$DB$14=2,$BX$25&lt;&gt;"HOL"),
AND(WEEKDAY($DB$20+1,2)=3,$DC$14=3,$BX$27&lt;&gt;"HOL"),
AND(WEEKDAY($DB$20+1,2)=4,$DD$14=4,$BX$29&lt;&gt;"HOL"),
AND(WEEKDAY($DB$20+1,2)=5,$DE$14=5,$BX$31&lt;&gt;"HOL"),
AND(WEEKDAY($DB$20+1,2)=6,$DF$14=6,$BX$33&lt;&gt;"HOL"),
AND(WEEKDAY($DB$20+1,2)=7,$DG$14=7,$BX$35&lt;&gt;"HOL")
)
),$DC$33,
TRUE,""
)
)</f>
        <v>#VALUE!</v>
      </c>
      <c r="BU7" s="2066" t="e" cm="1">
        <f t="array" aca="1" ref="BU7" ca="1">IF(
$C$3="TODAY",
_xlfn.IFS(
AND($DG$24=BV4,
OR(
AND(WEEKDAY($DB$20,2)=1,$CE$10=1,$BX$23&lt;&gt;"HOL"),
AND(WEEKDAY($DB$20,2)=2,$CF$10=2,$BX$25&lt;&gt;"HOL"),
AND(WEEKDAY($DB$20,2)=3,$CG$10=3,$BX$27&lt;&gt;"HOL"),
AND(WEEKDAY($DB$20,2)=4,$CH$10=4,$BX$29&lt;&gt;"HOL"),
AND(WEEKDAY($DB$20,2)=5,$CI$10=5,$BX$31&lt;&gt;"HOL"),
AND(WEEKDAY($DB$20,2)=6,$CJ$10=6,$BX$33&lt;&gt;"HOL"),
AND(WEEKDAY($DB$20,2)=7,$CK$10=7,$BX$35&lt;&gt;"HOL")
)
),$DD$23,
AND($DG$26=BV4,
OR(
AND(WEEKDAY($DB$20,2)=1,$CE$14=1,$BX$23&lt;&gt;"HOL"),
AND(WEEKDAY($DB$20,2)=2,$CF$14=2,$BX$25&lt;&gt;"HOL"),
AND(WEEKDAY($DB$20,2)=3,$CG$14=3,$BX$27&lt;&gt;"HOL"),
AND(WEEKDAY($DB$20,2)=4,$CH$14=4,$BX$29&lt;&gt;"HOL"),
AND(WEEKDAY($DB$20,2)=5,$CI$14=5,$BX$31&lt;&gt;"HOL"),
AND(WEEKDAY($DB$20,2)=6,$CJ$14=6,$BX$33&lt;&gt;"HOL"),
AND(WEEKDAY($DB$20,2)=7,$CK$14=7,$BX$35&lt;&gt;"HOL")
)
),$DD$23,
AND($DG$29=BV4,
OR(
AND(WEEKDAY($DB$20,2)=1,$CP$10=1,$BX$23&lt;&gt;"HOL"),
AND(WEEKDAY($DB$20,2)=2,$CQ$10=2,$BX$25&lt;&gt;"HOL"),
AND(WEEKDAY($DB$20,2)=3,$CR$10=3,$BX$27&lt;&gt;"HOL"),
AND(WEEKDAY($DB$20,2)=4,$CS$10=4,$BX$29&lt;&gt;"HOL"),
AND(WEEKDAY($DB$20,2)=5,$CT$10=5,$BX$31&lt;&gt;"HOL"),
AND(WEEKDAY($DB$20,2)=6,$CU$10=6,$BX$33&lt;&gt;"HOL"),
AND(WEEKDAY($DB$20,2)=7,$CV$10=7,$BX$35&lt;&gt;"HOL")
)
),$DD$28,
AND($DG$31=BV4,
OR(
AND(WEEKDAY($DB$20,2)=1,$CP$14=1,$BX$23&lt;&gt;"HOL"),
AND(WEEKDAY($DB$20,2)=2,$CQ$14=2,$BX$25&lt;&gt;"HOL"),
AND(WEEKDAY($DB$20,2)=3,$CR$14=3,$BX$27&lt;&gt;"HOL"),
AND(WEEKDAY($DB$20,2)=4,$CS$14=4,$BX$29&lt;&gt;"HOL"),
AND(WEEKDAY($DB$20,2)=5,$CT$14=5,$BX$31&lt;&gt;"HOL"),
AND(WEEKDAY($DB$20,2)=6,$CU$14=6,$BX$33&lt;&gt;"HOL"),
AND(WEEKDAY($DB$20,2)=7,$CV$14=7,$BX$35&lt;&gt;"HOL")
)
),$DD$28,
AND($DG$34=BV4,
OR(
AND(WEEKDAY($DB$20,2)=1,$DA$10=1,$BX$23&lt;&gt;"HOL"),
AND(WEEKDAY($DB$20,2)=2,$DB$10=2,$BX$25&lt;&gt;"HOL"),
AND(WEEKDAY($DB$20,2)=3,$DC$10=3,$BX$27&lt;&gt;"HOL"),
AND(WEEKDAY($DB$20,2)=4,$DD$10=4,$BX$29&lt;&gt;"HOL"),
AND(WEEKDAY($DB$20,2)=5,$DE$10=5,$BX$31&lt;&gt;"HOL"),
AND(WEEKDAY($DB$20,2)=6,$DF$10=6,$BX$33&lt;&gt;"HOL"),
AND(WEEKDAY($DB$20,2)=7,$DG$10=7,$BX$35&lt;&gt;"HOL")
)
),$DD$33,
AND($DG$36=BV4,
OR(
AND(WEEKDAY($DB$20,2)=1,$DA$14=1,$BX$23&lt;&gt;"HOL"),
AND(WEEKDAY($DB$20,2)=2,$DB$14=2,$BX$25&lt;&gt;"HOL"),
AND(WEEKDAY($DB$20,2)=3,$DC$14=3,$BX$27&lt;&gt;"HOL"),
AND(WEEKDAY($DB$20,2)=4,$DD$14=4,$BX$29&lt;&gt;"HOL"),
AND(WEEKDAY($DB$20,2)=5,$DE$14=5,$BX$31&lt;&gt;"HOL"),
AND(WEEKDAY($DB$20,2)=6,$DF$14=6,$BX$33&lt;&gt;"HOL"),
AND(WEEKDAY($DB$20,2)=7,$DG$14=7,$BX$35&lt;&gt;"HOL")
)
),$DD$33,
TRUE,""
),
_xlfn.IFS(
AND($DG$24=BV4,
OR(
AND(WEEKDAY($DB$20+1,2)=1,$CE$10=1,$BX$23&lt;&gt;"HOL"),
AND(WEEKDAY($DB$20+1,2)=2,$CF$10=2,$BX$25&lt;&gt;"HOL"),
AND(WEEKDAY($DB$20+1,2)=3,$CG$10=3,$BX$27&lt;&gt;"HOL"),
AND(WEEKDAY($DB$20+1,2)=4,$CH$10=4,$BX$29&lt;&gt;"HOL"),
AND(WEEKDAY($DB$20+1,2)=5,$CI$10=5,$BX$31&lt;&gt;"HOL"),
AND(WEEKDAY($DB$20+1,2)=6,$CJ$10=6,$BX$33&lt;&gt;"HOL"),
AND(WEEKDAY($DB$20+1,2)=7,$CK$10=7,$BX$35&lt;&gt;"HOL")
)
),$DD$23,
AND($DG$26=BV4,
OR(
AND(WEEKDAY($DB$20+1,2)=1,$CE$14=1,$BX$23&lt;&gt;"HOL"),
AND(WEEKDAY($DB$20+1,2)=2,$CF$14=2,$BX$25&lt;&gt;"HOL"),
AND(WEEKDAY($DB$20+1,2)=3,$CG$14=3,$BX$27&lt;&gt;"HOL"),
AND(WEEKDAY($DB$20+1,2)=4,$CH$14=4,$BX$29&lt;&gt;"HOL"),
AND(WEEKDAY($DB$20+1,2)=5,$CI$14=5,$BX$31&lt;&gt;"HOL"),
AND(WEEKDAY($DB$20+1,2)=6,$CJ$14=6,$BX$33&lt;&gt;"HOL"),
AND(WEEKDAY($DB$20+1,2)=7,$CK$14=7,$BX$35&lt;&gt;"HOL")
)
),$DD$23,
AND($DG$29=BV4,
OR(
AND(WEEKDAY($DB$20+1,2)=1,$CP$10=1,$BX$23&lt;&gt;"HOL"),
AND(WEEKDAY($DB$20+1,2)=2,$CQ$10=2,$BX$25&lt;&gt;"HOL"),
AND(WEEKDAY($DB$20+1,2)=3,$CR$10=3,$BX$27&lt;&gt;"HOL"),
AND(WEEKDAY($DB$20+1,2)=4,$CS$10=4,$BX$29&lt;&gt;"HOL"),
AND(WEEKDAY($DB$20+1,2)=5,$CT$10=5,$BX$31&lt;&gt;"HOL"),
AND(WEEKDAY($DB$20+1,2)=6,$CU$10=6,$BX$33&lt;&gt;"HOL"),
AND(WEEKDAY($DB$20+1,2)=7,$CV$10=7,$BX$35&lt;&gt;"HOL")
)
),$DD$28,
AND($DG$31=BV4,
OR(
AND(WEEKDAY($DB$20+1,2)=1,$CP$14=1,$BX$23&lt;&gt;"HOL"),
AND(WEEKDAY($DB$20+1,2)=2,$CQ$14=2,$BX$25&lt;&gt;"HOL"),
AND(WEEKDAY($DB$20+1,2)=3,$CR$14=3,$BX$27&lt;&gt;"HOL"),
AND(WEEKDAY($DB$20+1,2)=4,$CS$14=4,$BX$29&lt;&gt;"HOL"),
AND(WEEKDAY($DB$20+1,2)=5,$CT$14=5,$BX$31&lt;&gt;"HOL"),
AND(WEEKDAY($DB$20+1,2)=6,$CU$14=6,$BX$33&lt;&gt;"HOL"),
AND(WEEKDAY($DB$20+1,2)=7,$CV$14=7,$BX$35&lt;&gt;"HOL")
)
),$DD$28,
AND($DG$34=BV4,
OR(
AND(WEEKDAY($DB$20+1,2)=1,$DA$10=1,$BX$23&lt;&gt;"HOL"),
AND(WEEKDAY($DB$20+1,2)=2,$DB$10=2,$BX$25&lt;&gt;"HOL"),
AND(WEEKDAY($DB$20+1,2)=3,$DC$10=3,$BX$27&lt;&gt;"HOL"),
AND(WEEKDAY($DB$20+1,2)=4,$DD$10=4,$BX$29&lt;&gt;"HOL"),
AND(WEEKDAY($DB$20+1,2)=5,$DE$10=5,$BX$31&lt;&gt;"HOL"),
AND(WEEKDAY($DB$20+1,2)=6,$DF$10=6,$BX$33&lt;&gt;"HOL"),
AND(WEEKDAY($DB$20+1,2)=7,$DG$10=7,$BX$35&lt;&gt;"HOL")
)
),$DD$33,
AND($DG$36=BV4,
OR(
AND(WEEKDAY($DB$20+1,2)=1,$DA$14=1,$BX$23&lt;&gt;"HOL"),
AND(WEEKDAY($DB$20+1,2)=2,$DB$14=2,$BX$25&lt;&gt;"HOL"),
AND(WEEKDAY($DB$20+1,2)=3,$DC$14=3,$BX$27&lt;&gt;"HOL"),
AND(WEEKDAY($DB$20+1,2)=4,$DD$14=4,$BX$29&lt;&gt;"HOL"),
AND(WEEKDAY($DB$20+1,2)=5,$DE$14=5,$BX$31&lt;&gt;"HOL"),
AND(WEEKDAY($DB$20+1,2)=6,$DF$14=6,$BX$33&lt;&gt;"HOL"),
AND(WEEKDAY($DB$20+1,2)=7,$DG$14=7,$BX$35&lt;&gt;"HOL")
)
),$DD$33,
TRUE,""
)
)</f>
        <v>#VALUE!</v>
      </c>
      <c r="BV7" s="184"/>
      <c r="BW7" s="185"/>
      <c r="BX7" s="185"/>
      <c r="BY7" s="185"/>
      <c r="BZ7" s="170"/>
      <c r="CA7" s="17"/>
      <c r="CC7" s="2071"/>
      <c r="CD7" s="2072"/>
      <c r="CE7" s="2069"/>
      <c r="CF7" s="2069"/>
      <c r="CG7" s="2069"/>
      <c r="CH7" s="2072" t="str">
        <f>DC23</f>
        <v xml:space="preserve"> &gt;</v>
      </c>
      <c r="CI7" s="2069"/>
      <c r="CJ7" s="2069"/>
      <c r="CK7" s="2069"/>
      <c r="CL7" s="2070"/>
      <c r="CM7" s="187"/>
      <c r="CN7" s="2068"/>
      <c r="CO7" s="2069"/>
      <c r="CP7" s="2069"/>
      <c r="CQ7" s="2069"/>
      <c r="CR7" s="2069"/>
      <c r="CS7" s="2072" t="str">
        <f>DC28</f>
        <v xml:space="preserve"> &gt;&gt;</v>
      </c>
      <c r="CT7" s="2069"/>
      <c r="CU7" s="2069"/>
      <c r="CV7" s="2069"/>
      <c r="CW7" s="2070"/>
      <c r="CY7" s="2068"/>
      <c r="CZ7" s="2069"/>
      <c r="DA7" s="2069"/>
      <c r="DB7" s="2069"/>
      <c r="DC7" s="2069"/>
      <c r="DD7" s="2072" t="s">
        <v>1257</v>
      </c>
      <c r="DE7" s="2069"/>
      <c r="DF7" s="2069"/>
      <c r="DG7" s="2069"/>
      <c r="DH7" s="2070"/>
      <c r="DJ7" s="2637" t="s">
        <v>397</v>
      </c>
      <c r="DK7" s="2638" t="s">
        <v>397</v>
      </c>
      <c r="DL7" s="2638" t="s">
        <v>397</v>
      </c>
      <c r="DM7" s="2638" t="s">
        <v>397</v>
      </c>
      <c r="DN7" s="2638" t="s">
        <v>397</v>
      </c>
      <c r="DO7" s="2638" t="s">
        <v>397</v>
      </c>
      <c r="DP7" s="2639" t="s">
        <v>397</v>
      </c>
      <c r="DS7" s="2644" t="s">
        <v>397</v>
      </c>
      <c r="DU7" s="2644" t="s">
        <v>397</v>
      </c>
      <c r="DW7" s="2644" t="s">
        <v>397</v>
      </c>
      <c r="DY7" s="2644" t="s">
        <v>397</v>
      </c>
      <c r="EC7" s="44" t="s">
        <v>1258</v>
      </c>
      <c r="EI7" s="225" t="s">
        <v>797</v>
      </c>
    </row>
    <row r="8" spans="1:153" ht="17.100000000000001" customHeight="1" x14ac:dyDescent="0.25">
      <c r="A8" s="17"/>
      <c r="B8" s="170"/>
      <c r="C8" s="3880"/>
      <c r="D8" s="3881"/>
      <c r="E8" s="3882"/>
      <c r="F8" s="184"/>
      <c r="G8" s="184"/>
      <c r="H8" s="185"/>
      <c r="I8" s="186"/>
      <c r="J8" s="184"/>
      <c r="K8" s="2075"/>
      <c r="L8" s="2076"/>
      <c r="M8" s="186"/>
      <c r="N8" s="184"/>
      <c r="O8" s="2075"/>
      <c r="P8" s="2076"/>
      <c r="Q8" s="186"/>
      <c r="R8" s="184"/>
      <c r="S8" s="2075"/>
      <c r="T8" s="2076"/>
      <c r="U8" s="186"/>
      <c r="V8" s="184"/>
      <c r="W8" s="2075"/>
      <c r="X8" s="2076"/>
      <c r="Y8" s="186"/>
      <c r="Z8" s="184"/>
      <c r="AA8" s="2075"/>
      <c r="AB8" s="2076"/>
      <c r="AC8" s="186"/>
      <c r="AD8" s="184"/>
      <c r="AE8" s="2075"/>
      <c r="AF8" s="2076"/>
      <c r="AG8" s="186"/>
      <c r="AH8" s="184"/>
      <c r="AI8" s="2075"/>
      <c r="AJ8" s="2076"/>
      <c r="AK8" s="186"/>
      <c r="AL8" s="184"/>
      <c r="AM8" s="2075"/>
      <c r="AN8" s="2076"/>
      <c r="AO8" s="186"/>
      <c r="AP8" s="184"/>
      <c r="AQ8" s="2075"/>
      <c r="AR8" s="2076"/>
      <c r="AS8" s="186"/>
      <c r="AT8" s="184"/>
      <c r="AU8" s="2075"/>
      <c r="AV8" s="2076"/>
      <c r="AW8" s="186"/>
      <c r="AX8" s="184"/>
      <c r="AY8" s="2075"/>
      <c r="AZ8" s="2076"/>
      <c r="BA8" s="186"/>
      <c r="BB8" s="184"/>
      <c r="BC8" s="2075"/>
      <c r="BD8" s="2076"/>
      <c r="BE8" s="186"/>
      <c r="BF8" s="184"/>
      <c r="BG8" s="2075"/>
      <c r="BH8" s="2076"/>
      <c r="BI8" s="186"/>
      <c r="BJ8" s="184"/>
      <c r="BK8" s="2075"/>
      <c r="BL8" s="2076"/>
      <c r="BM8" s="186"/>
      <c r="BN8" s="184"/>
      <c r="BO8" s="2075"/>
      <c r="BP8" s="2076"/>
      <c r="BQ8" s="186"/>
      <c r="BR8" s="184"/>
      <c r="BS8" s="2075"/>
      <c r="BT8" s="2076"/>
      <c r="BU8" s="186"/>
      <c r="BV8" s="184"/>
      <c r="BW8" s="185"/>
      <c r="BX8" s="185"/>
      <c r="BY8" s="185"/>
      <c r="BZ8" s="170"/>
      <c r="CA8" s="17"/>
      <c r="CC8" s="188"/>
      <c r="CD8" s="189"/>
      <c r="CE8" s="99" t="s">
        <v>46</v>
      </c>
      <c r="CF8" s="99" t="s">
        <v>365</v>
      </c>
      <c r="CG8" s="99" t="s">
        <v>45</v>
      </c>
      <c r="CH8" s="99" t="s">
        <v>365</v>
      </c>
      <c r="CI8" s="99" t="s">
        <v>413</v>
      </c>
      <c r="CJ8" s="99" t="s">
        <v>366</v>
      </c>
      <c r="CK8" s="99" t="s">
        <v>366</v>
      </c>
      <c r="CL8" s="190"/>
      <c r="CM8" s="187"/>
      <c r="CN8" s="188"/>
      <c r="CO8" s="189"/>
      <c r="CP8" s="99" t="s">
        <v>46</v>
      </c>
      <c r="CQ8" s="99" t="s">
        <v>365</v>
      </c>
      <c r="CR8" s="99" t="s">
        <v>45</v>
      </c>
      <c r="CS8" s="99" t="s">
        <v>365</v>
      </c>
      <c r="CT8" s="99" t="s">
        <v>413</v>
      </c>
      <c r="CU8" s="99" t="s">
        <v>366</v>
      </c>
      <c r="CV8" s="99" t="s">
        <v>366</v>
      </c>
      <c r="CW8" s="190"/>
      <c r="CY8" s="188"/>
      <c r="CZ8" s="189"/>
      <c r="DA8" s="99" t="s">
        <v>46</v>
      </c>
      <c r="DB8" s="99" t="s">
        <v>365</v>
      </c>
      <c r="DC8" s="99" t="s">
        <v>45</v>
      </c>
      <c r="DD8" s="99" t="s">
        <v>365</v>
      </c>
      <c r="DE8" s="99" t="s">
        <v>413</v>
      </c>
      <c r="DF8" s="99" t="s">
        <v>366</v>
      </c>
      <c r="DG8" s="99" t="s">
        <v>366</v>
      </c>
      <c r="DH8" s="190"/>
      <c r="DJ8" s="2640" t="s">
        <v>46</v>
      </c>
      <c r="DK8" s="262" t="s">
        <v>365</v>
      </c>
      <c r="DL8" s="262" t="s">
        <v>45</v>
      </c>
      <c r="DM8" s="262" t="s">
        <v>365</v>
      </c>
      <c r="DN8" s="262" t="s">
        <v>413</v>
      </c>
      <c r="DO8" s="262" t="s">
        <v>366</v>
      </c>
      <c r="DP8" s="2641" t="s">
        <v>366</v>
      </c>
      <c r="DS8" s="2077" t="str">
        <f>IF($EG8&lt;10,"0"&amp;$EG8&amp;":00",$EG8&amp;":00")</f>
        <v>07:00</v>
      </c>
      <c r="DT8" s="268"/>
      <c r="DU8" s="2077" t="str">
        <f>IF($EG8&lt;10,"0"&amp;$EG8&amp;":00",$EG8&amp;":00")</f>
        <v>07:00</v>
      </c>
      <c r="DV8" s="268"/>
      <c r="DW8" s="2077" t="str">
        <f>IF($EG8&lt;10,"0"&amp;$EG8&amp;":00",$EG8&amp;":00")</f>
        <v>07:00</v>
      </c>
      <c r="DX8" s="268"/>
      <c r="DY8" s="2077" t="str">
        <f>IF($EG8&lt;10,"0"&amp;$EG8&amp;":00",$EG8&amp;":00")</f>
        <v>07:00</v>
      </c>
      <c r="EC8" s="2077" t="str">
        <f>IF($EG8&lt;10,"0"&amp;$EG8&amp;":00",$EG8&amp;":00")</f>
        <v>07:00</v>
      </c>
      <c r="EG8" s="2179">
        <f>I20</f>
        <v>7</v>
      </c>
      <c r="EH8" s="35"/>
      <c r="EI8" s="2180">
        <v>4</v>
      </c>
    </row>
    <row r="9" spans="1:153" ht="17.100000000000001" customHeight="1" x14ac:dyDescent="0.25">
      <c r="A9" s="17"/>
      <c r="B9" s="170"/>
      <c r="C9" s="3880"/>
      <c r="D9" s="3881"/>
      <c r="E9" s="3882"/>
      <c r="F9" s="184"/>
      <c r="G9" s="184"/>
      <c r="H9" s="185"/>
      <c r="I9" s="186"/>
      <c r="J9" s="184"/>
      <c r="K9" s="2075"/>
      <c r="L9" s="2076"/>
      <c r="M9" s="186"/>
      <c r="N9" s="184"/>
      <c r="O9" s="2075"/>
      <c r="P9" s="2076"/>
      <c r="Q9" s="186"/>
      <c r="R9" s="184"/>
      <c r="S9" s="2075"/>
      <c r="T9" s="2076"/>
      <c r="U9" s="186"/>
      <c r="V9" s="184"/>
      <c r="W9" s="2075"/>
      <c r="X9" s="2076"/>
      <c r="Y9" s="186"/>
      <c r="Z9" s="184"/>
      <c r="AA9" s="2075"/>
      <c r="AB9" s="2076"/>
      <c r="AC9" s="186"/>
      <c r="AD9" s="184"/>
      <c r="AE9" s="2075"/>
      <c r="AF9" s="2076"/>
      <c r="AG9" s="186"/>
      <c r="AH9" s="184"/>
      <c r="AI9" s="2075"/>
      <c r="AJ9" s="2076"/>
      <c r="AK9" s="186"/>
      <c r="AL9" s="184"/>
      <c r="AM9" s="2075"/>
      <c r="AN9" s="2076"/>
      <c r="AO9" s="186"/>
      <c r="AP9" s="184"/>
      <c r="AQ9" s="2075"/>
      <c r="AR9" s="2076"/>
      <c r="AS9" s="186"/>
      <c r="AT9" s="184"/>
      <c r="AU9" s="2075"/>
      <c r="AV9" s="2076"/>
      <c r="AW9" s="186"/>
      <c r="AX9" s="184"/>
      <c r="AY9" s="2075"/>
      <c r="AZ9" s="2076"/>
      <c r="BA9" s="186"/>
      <c r="BB9" s="184"/>
      <c r="BC9" s="2075"/>
      <c r="BD9" s="2076"/>
      <c r="BE9" s="186"/>
      <c r="BF9" s="184"/>
      <c r="BG9" s="2075"/>
      <c r="BH9" s="2076"/>
      <c r="BI9" s="186"/>
      <c r="BJ9" s="184"/>
      <c r="BK9" s="2075"/>
      <c r="BL9" s="2076"/>
      <c r="BM9" s="186"/>
      <c r="BN9" s="184"/>
      <c r="BO9" s="2075"/>
      <c r="BP9" s="2076"/>
      <c r="BQ9" s="186"/>
      <c r="BR9" s="184"/>
      <c r="BS9" s="2075"/>
      <c r="BT9" s="2076"/>
      <c r="BU9" s="186"/>
      <c r="BV9" s="184"/>
      <c r="BW9" s="185"/>
      <c r="BX9" s="185"/>
      <c r="BY9" s="185"/>
      <c r="BZ9" s="170"/>
      <c r="CA9" s="17"/>
      <c r="CC9" s="188"/>
      <c r="CD9" s="191" t="s">
        <v>412</v>
      </c>
      <c r="CE9" s="192" t="str">
        <f>S19</f>
        <v>M</v>
      </c>
      <c r="CF9" s="192" t="str">
        <f>U19</f>
        <v>T</v>
      </c>
      <c r="CG9" s="192" t="str">
        <f>W19</f>
        <v>W</v>
      </c>
      <c r="CH9" s="192" t="str">
        <f>Y19</f>
        <v>T</v>
      </c>
      <c r="CI9" s="192" t="str">
        <f>AA19</f>
        <v>F</v>
      </c>
      <c r="CJ9" s="192" t="str">
        <f>AC19</f>
        <v>-</v>
      </c>
      <c r="CK9" s="192" t="str">
        <f>AE19</f>
        <v>-</v>
      </c>
      <c r="CL9" s="190"/>
      <c r="CM9" s="187"/>
      <c r="CN9" s="188"/>
      <c r="CO9" s="191" t="s">
        <v>412</v>
      </c>
      <c r="CP9" s="192" t="str">
        <f>AJ19</f>
        <v>M</v>
      </c>
      <c r="CQ9" s="192" t="str">
        <f>AL19</f>
        <v>T</v>
      </c>
      <c r="CR9" s="192" t="str">
        <f>AN19</f>
        <v>W</v>
      </c>
      <c r="CS9" s="192" t="str">
        <f t="shared" ref="CS9" si="3">AP19</f>
        <v>T</v>
      </c>
      <c r="CT9" s="192" t="str">
        <f>AR19</f>
        <v>F</v>
      </c>
      <c r="CU9" s="192" t="str">
        <f>AT19</f>
        <v>-</v>
      </c>
      <c r="CV9" s="192" t="str">
        <f>AV19</f>
        <v>-</v>
      </c>
      <c r="CW9" s="190"/>
      <c r="CY9" s="188"/>
      <c r="CZ9" s="191" t="s">
        <v>412</v>
      </c>
      <c r="DA9" s="192" t="str">
        <f>BA19</f>
        <v>M</v>
      </c>
      <c r="DB9" s="192" t="str">
        <f>BC19</f>
        <v>T</v>
      </c>
      <c r="DC9" s="192" t="str">
        <f>BE19</f>
        <v>-</v>
      </c>
      <c r="DD9" s="192" t="str">
        <f>BG19</f>
        <v>T</v>
      </c>
      <c r="DE9" s="192" t="str">
        <f>BI19</f>
        <v>F</v>
      </c>
      <c r="DF9" s="192" t="str">
        <f>BK19</f>
        <v>-</v>
      </c>
      <c r="DG9" s="192" t="str">
        <f>BM19</f>
        <v>-</v>
      </c>
      <c r="DH9" s="190"/>
      <c r="DJ9" s="2642" t="s">
        <v>421</v>
      </c>
      <c r="DK9" s="450" t="s">
        <v>422</v>
      </c>
      <c r="DL9" s="450" t="s">
        <v>423</v>
      </c>
      <c r="DM9" s="450" t="s">
        <v>422</v>
      </c>
      <c r="DN9" s="450" t="s">
        <v>419</v>
      </c>
      <c r="DO9" s="450" t="s">
        <v>420</v>
      </c>
      <c r="DP9" s="2643" t="s">
        <v>420</v>
      </c>
      <c r="DS9" s="2078" t="str">
        <f>IF($EG9&lt;10,"0"&amp;$EG9&amp;":30",$EG9&amp;":30")</f>
        <v>07:30</v>
      </c>
      <c r="DT9" s="268"/>
      <c r="DU9" s="2078" t="str">
        <f>IF($EG9&lt;10,"0"&amp;$EG9&amp;":30",$EG9&amp;":30")</f>
        <v>07:30</v>
      </c>
      <c r="DV9" s="268"/>
      <c r="DW9" s="2078" t="str">
        <f>IF($EG9&lt;10,"0"&amp;$EG9&amp;":30",$EG9&amp;":30")</f>
        <v>07:30</v>
      </c>
      <c r="DX9" s="268"/>
      <c r="DY9" s="2078" t="str">
        <f>IF($EG9&lt;10,"0"&amp;$EG9&amp;":30",$EG9&amp;":30")</f>
        <v>07:30</v>
      </c>
      <c r="EC9" s="2078" t="str">
        <f>IF($EG9&lt;10,"0"&amp;$EG9&amp;":30",$EG9&amp;":30")</f>
        <v>07:30</v>
      </c>
      <c r="EG9" s="2179">
        <f>I20</f>
        <v>7</v>
      </c>
      <c r="EH9" s="35"/>
      <c r="EI9" s="2181">
        <v>5</v>
      </c>
    </row>
    <row r="10" spans="1:153" ht="17.100000000000001" customHeight="1" x14ac:dyDescent="0.25">
      <c r="A10" s="17"/>
      <c r="B10" s="170"/>
      <c r="C10" s="3880"/>
      <c r="D10" s="3881"/>
      <c r="E10" s="3882"/>
      <c r="F10" s="184"/>
      <c r="G10" s="184"/>
      <c r="H10" s="185"/>
      <c r="I10" s="186"/>
      <c r="J10" s="184"/>
      <c r="K10" s="2075"/>
      <c r="L10" s="2076"/>
      <c r="M10" s="186"/>
      <c r="N10" s="184"/>
      <c r="O10" s="2075"/>
      <c r="P10" s="2076"/>
      <c r="Q10" s="186"/>
      <c r="R10" s="184"/>
      <c r="S10" s="2075"/>
      <c r="T10" s="2076"/>
      <c r="U10" s="186"/>
      <c r="V10" s="184"/>
      <c r="W10" s="2075"/>
      <c r="X10" s="2076"/>
      <c r="Y10" s="186"/>
      <c r="Z10" s="184"/>
      <c r="AA10" s="2075"/>
      <c r="AB10" s="2076"/>
      <c r="AC10" s="186"/>
      <c r="AD10" s="184"/>
      <c r="AE10" s="2075"/>
      <c r="AF10" s="2076"/>
      <c r="AG10" s="186"/>
      <c r="AH10" s="184"/>
      <c r="AI10" s="2075"/>
      <c r="AJ10" s="2076"/>
      <c r="AK10" s="186"/>
      <c r="AL10" s="184"/>
      <c r="AM10" s="2075"/>
      <c r="AN10" s="2076"/>
      <c r="AO10" s="186"/>
      <c r="AP10" s="184"/>
      <c r="AQ10" s="2075"/>
      <c r="AR10" s="2076"/>
      <c r="AS10" s="186"/>
      <c r="AT10" s="184"/>
      <c r="AU10" s="2075"/>
      <c r="AV10" s="2076"/>
      <c r="AW10" s="186"/>
      <c r="AX10" s="184"/>
      <c r="AY10" s="2075"/>
      <c r="AZ10" s="2076"/>
      <c r="BA10" s="186"/>
      <c r="BB10" s="184"/>
      <c r="BC10" s="2075"/>
      <c r="BD10" s="2076"/>
      <c r="BE10" s="186"/>
      <c r="BF10" s="184"/>
      <c r="BG10" s="2075"/>
      <c r="BH10" s="2076"/>
      <c r="BI10" s="186"/>
      <c r="BJ10" s="184"/>
      <c r="BK10" s="2075"/>
      <c r="BL10" s="2076"/>
      <c r="BM10" s="186"/>
      <c r="BN10" s="184"/>
      <c r="BO10" s="2075"/>
      <c r="BP10" s="2076"/>
      <c r="BQ10" s="186"/>
      <c r="BR10" s="184"/>
      <c r="BS10" s="2075"/>
      <c r="BT10" s="2076"/>
      <c r="BU10" s="186"/>
      <c r="BV10" s="184"/>
      <c r="BW10" s="185"/>
      <c r="BX10" s="185"/>
      <c r="BY10" s="185"/>
      <c r="BZ10" s="170"/>
      <c r="CA10" s="17"/>
      <c r="CC10" s="188"/>
      <c r="CD10" s="189"/>
      <c r="CE10" s="193">
        <f>IF(CE9=CE8,CE11,0)</f>
        <v>1</v>
      </c>
      <c r="CF10" s="193">
        <f t="shared" ref="CF10:CK10" si="4">IF(CF9=CF8,CF11,0)</f>
        <v>2</v>
      </c>
      <c r="CG10" s="193">
        <f t="shared" si="4"/>
        <v>3</v>
      </c>
      <c r="CH10" s="193">
        <f t="shared" si="4"/>
        <v>4</v>
      </c>
      <c r="CI10" s="193">
        <f t="shared" si="4"/>
        <v>5</v>
      </c>
      <c r="CJ10" s="193">
        <f t="shared" si="4"/>
        <v>0</v>
      </c>
      <c r="CK10" s="193">
        <f t="shared" si="4"/>
        <v>0</v>
      </c>
      <c r="CL10" s="190"/>
      <c r="CM10" s="187"/>
      <c r="CN10" s="188"/>
      <c r="CO10" s="189"/>
      <c r="CP10" s="193">
        <f>IF(CP9=CP8,CP11,0)</f>
        <v>1</v>
      </c>
      <c r="CQ10" s="193">
        <f t="shared" ref="CQ10:CV10" si="5">IF(CQ9=CQ8,CQ11,0)</f>
        <v>2</v>
      </c>
      <c r="CR10" s="193">
        <f t="shared" si="5"/>
        <v>3</v>
      </c>
      <c r="CS10" s="193">
        <f t="shared" si="5"/>
        <v>4</v>
      </c>
      <c r="CT10" s="193">
        <f t="shared" si="5"/>
        <v>5</v>
      </c>
      <c r="CU10" s="193">
        <f t="shared" si="5"/>
        <v>0</v>
      </c>
      <c r="CV10" s="193">
        <f t="shared" si="5"/>
        <v>0</v>
      </c>
      <c r="CW10" s="190"/>
      <c r="CY10" s="188"/>
      <c r="CZ10" s="189"/>
      <c r="DA10" s="193">
        <f>IF(DA9=DA8,DA11,0)</f>
        <v>1</v>
      </c>
      <c r="DB10" s="193">
        <f t="shared" ref="DB10:DG10" si="6">IF(DB9=DB8,DB11,0)</f>
        <v>2</v>
      </c>
      <c r="DC10" s="193">
        <f t="shared" si="6"/>
        <v>0</v>
      </c>
      <c r="DD10" s="193">
        <f t="shared" si="6"/>
        <v>4</v>
      </c>
      <c r="DE10" s="193">
        <f t="shared" si="6"/>
        <v>5</v>
      </c>
      <c r="DF10" s="193">
        <f t="shared" si="6"/>
        <v>0</v>
      </c>
      <c r="DG10" s="193">
        <f t="shared" si="6"/>
        <v>0</v>
      </c>
      <c r="DH10" s="190"/>
      <c r="DS10" s="2078" t="str">
        <f>IF($EG10&lt;10,"0"&amp;$EG10&amp;":00",$EG10&amp;":00")</f>
        <v>08:00</v>
      </c>
      <c r="DT10" s="268"/>
      <c r="DU10" s="2078" t="str">
        <f>IF($EG10&lt;10,"0"&amp;$EG10&amp;":00",$EG10&amp;":00")</f>
        <v>08:00</v>
      </c>
      <c r="DV10" s="268"/>
      <c r="DW10" s="2078" t="str">
        <f>IF($EG10&lt;10,"0"&amp;$EG10&amp;":00",$EG10&amp;":00")</f>
        <v>08:00</v>
      </c>
      <c r="DX10" s="268"/>
      <c r="DY10" s="2078" t="str">
        <f>IF($EG10&lt;10,"0"&amp;$EG10&amp;":00",$EG10&amp;":00")</f>
        <v>08:00</v>
      </c>
      <c r="EC10" s="2078" t="str">
        <f t="shared" ref="EC10" si="7">IF($EG10&lt;10,"0"&amp;$EG10&amp;":00",$EG10&amp;":00")</f>
        <v>08:00</v>
      </c>
      <c r="EG10" s="2179">
        <f>IF(EG9=23,0,EG9+1)</f>
        <v>8</v>
      </c>
      <c r="EH10" s="35"/>
      <c r="EI10" s="2181">
        <v>6</v>
      </c>
    </row>
    <row r="11" spans="1:153" ht="17.100000000000001" customHeight="1" x14ac:dyDescent="0.25">
      <c r="A11" s="17"/>
      <c r="B11" s="170"/>
      <c r="C11" s="3880"/>
      <c r="D11" s="3881"/>
      <c r="E11" s="3882"/>
      <c r="F11" s="184"/>
      <c r="G11" s="184"/>
      <c r="H11" s="185"/>
      <c r="I11" s="186"/>
      <c r="J11" s="184"/>
      <c r="K11" s="2075"/>
      <c r="L11" s="2076"/>
      <c r="M11" s="186"/>
      <c r="N11" s="184"/>
      <c r="O11" s="2075"/>
      <c r="P11" s="2076"/>
      <c r="Q11" s="186"/>
      <c r="R11" s="184"/>
      <c r="S11" s="2075"/>
      <c r="T11" s="2076"/>
      <c r="U11" s="186"/>
      <c r="V11" s="184"/>
      <c r="W11" s="2075"/>
      <c r="X11" s="2076"/>
      <c r="Y11" s="186"/>
      <c r="Z11" s="184"/>
      <c r="AA11" s="2075"/>
      <c r="AB11" s="2076"/>
      <c r="AC11" s="186"/>
      <c r="AD11" s="184"/>
      <c r="AE11" s="2075"/>
      <c r="AF11" s="2076"/>
      <c r="AG11" s="186"/>
      <c r="AH11" s="184"/>
      <c r="AI11" s="2075"/>
      <c r="AJ11" s="2076"/>
      <c r="AK11" s="186"/>
      <c r="AL11" s="184"/>
      <c r="AM11" s="2075"/>
      <c r="AN11" s="2076"/>
      <c r="AO11" s="186"/>
      <c r="AP11" s="184"/>
      <c r="AQ11" s="2075"/>
      <c r="AR11" s="2076"/>
      <c r="AS11" s="186"/>
      <c r="AT11" s="184"/>
      <c r="AU11" s="2075"/>
      <c r="AV11" s="2076"/>
      <c r="AW11" s="186"/>
      <c r="AX11" s="184"/>
      <c r="AY11" s="2075"/>
      <c r="AZ11" s="2076"/>
      <c r="BA11" s="186"/>
      <c r="BB11" s="184"/>
      <c r="BC11" s="2075"/>
      <c r="BD11" s="2076"/>
      <c r="BE11" s="186"/>
      <c r="BF11" s="184"/>
      <c r="BG11" s="2075"/>
      <c r="BH11" s="2076"/>
      <c r="BI11" s="186"/>
      <c r="BJ11" s="184"/>
      <c r="BK11" s="2075"/>
      <c r="BL11" s="2076"/>
      <c r="BM11" s="186"/>
      <c r="BN11" s="184"/>
      <c r="BO11" s="2075"/>
      <c r="BP11" s="2076"/>
      <c r="BQ11" s="186"/>
      <c r="BR11" s="184"/>
      <c r="BS11" s="2075"/>
      <c r="BT11" s="2076"/>
      <c r="BU11" s="186"/>
      <c r="BV11" s="184"/>
      <c r="BW11" s="185"/>
      <c r="BX11" s="185"/>
      <c r="BY11" s="185"/>
      <c r="BZ11" s="170"/>
      <c r="CA11" s="17"/>
      <c r="CC11" s="188"/>
      <c r="CD11" s="189"/>
      <c r="CE11" s="194">
        <v>1</v>
      </c>
      <c r="CF11" s="194">
        <v>2</v>
      </c>
      <c r="CG11" s="194">
        <v>3</v>
      </c>
      <c r="CH11" s="194">
        <v>4</v>
      </c>
      <c r="CI11" s="194">
        <v>5</v>
      </c>
      <c r="CJ11" s="194">
        <v>6</v>
      </c>
      <c r="CK11" s="194">
        <v>7</v>
      </c>
      <c r="CL11" s="190"/>
      <c r="CM11" s="187"/>
      <c r="CN11" s="188"/>
      <c r="CO11" s="189"/>
      <c r="CP11" s="194">
        <v>1</v>
      </c>
      <c r="CQ11" s="194">
        <v>2</v>
      </c>
      <c r="CR11" s="194">
        <v>3</v>
      </c>
      <c r="CS11" s="194">
        <v>4</v>
      </c>
      <c r="CT11" s="194">
        <v>5</v>
      </c>
      <c r="CU11" s="194">
        <v>6</v>
      </c>
      <c r="CV11" s="194">
        <v>7</v>
      </c>
      <c r="CW11" s="190"/>
      <c r="CY11" s="188"/>
      <c r="CZ11" s="189"/>
      <c r="DA11" s="194">
        <v>1</v>
      </c>
      <c r="DB11" s="194">
        <v>2</v>
      </c>
      <c r="DC11" s="194">
        <v>3</v>
      </c>
      <c r="DD11" s="194">
        <v>4</v>
      </c>
      <c r="DE11" s="194">
        <v>5</v>
      </c>
      <c r="DF11" s="194">
        <v>6</v>
      </c>
      <c r="DG11" s="194">
        <v>7</v>
      </c>
      <c r="DH11" s="190"/>
      <c r="DS11" s="2078" t="str">
        <f>IF($EG11&lt;10,"0"&amp;$EG11&amp;":30",$EG11&amp;":30")</f>
        <v>08:30</v>
      </c>
      <c r="DT11" s="268"/>
      <c r="DU11" s="2078" t="str">
        <f>IF($EG11&lt;10,"0"&amp;$EG11&amp;":30",$EG11&amp;":30")</f>
        <v>08:30</v>
      </c>
      <c r="DV11" s="268"/>
      <c r="DW11" s="2078" t="str">
        <f>IF($EG11&lt;10,"0"&amp;$EG11&amp;":30",$EG11&amp;":30")</f>
        <v>08:30</v>
      </c>
      <c r="DX11" s="268"/>
      <c r="DY11" s="2078" t="str">
        <f>IF($EG11&lt;10,"0"&amp;$EG11&amp;":30",$EG11&amp;":30")</f>
        <v>08:30</v>
      </c>
      <c r="EC11" s="2078" t="str">
        <f t="shared" ref="EC11" si="8">IF($EG11&lt;10,"0"&amp;$EG11&amp;":30",$EG11&amp;":30")</f>
        <v>08:30</v>
      </c>
      <c r="EG11" s="2179">
        <f>EG10</f>
        <v>8</v>
      </c>
      <c r="EH11" s="35"/>
      <c r="EI11" s="2181">
        <v>7</v>
      </c>
    </row>
    <row r="12" spans="1:153" ht="17.100000000000001" customHeight="1" x14ac:dyDescent="0.25">
      <c r="A12" s="17"/>
      <c r="B12" s="170"/>
      <c r="C12" s="3880"/>
      <c r="D12" s="3881"/>
      <c r="E12" s="3882"/>
      <c r="F12" s="2190"/>
      <c r="G12" s="2190"/>
      <c r="H12" s="2191"/>
      <c r="I12" s="2192"/>
      <c r="J12" s="2189" t="str">
        <f>_xlfn.IFS(
$DG$18=J4,$DE$18,
$DG$19=J4,$DE$19,
$DG$20=J4,$DE$20,
$DG$21=J4,$DE$21,
TRUE,"")</f>
        <v xml:space="preserve"> BFAST </v>
      </c>
      <c r="K12" s="2193"/>
      <c r="L12" s="2194" t="str">
        <f>_xlfn.IFS(
$DG$18=J4+0.3,$DE$18,
$DG$19=J4+0.3,$DE$19,
$DG$20=J4+0.3,$DE$20,
$DG$21=J4+0.3,$DE$21,
TRUE,"")</f>
        <v/>
      </c>
      <c r="M12" s="2195"/>
      <c r="N12" s="2189" t="str">
        <f>_xlfn.IFS(
$DG$18=N4,$DE$18,
$DG$19=N4,$DE$19,
$DG$20=N4,$DE$20,
$DG$21=N4,$DE$21,
TRUE,"")</f>
        <v/>
      </c>
      <c r="O12" s="2193"/>
      <c r="P12" s="2194" t="str">
        <f>_xlfn.IFS(
$DG$18=N4+0.3,$DE$18,
$DG$19=N4+0.3,$DE$19,
$DG$20=N4+0.3,$DE$20,
$DG$21=N4+0.3,$DE$21,
TRUE,"")</f>
        <v/>
      </c>
      <c r="Q12" s="2195"/>
      <c r="R12" s="2189" t="str">
        <f>_xlfn.IFS(
$DG$18=R4,$DE$18,
$DG$19=R4,$DE$19,
$DG$20=R4,$DE$20,
$DG$21=R4,$DE$21,
TRUE,"")</f>
        <v/>
      </c>
      <c r="S12" s="2193"/>
      <c r="T12" s="2194" t="str">
        <f>_xlfn.IFS(
$DG$18=R4+0.3,$DE$18,
$DG$19=R4+0.3,$DE$19,
$DG$20=R4+0.3,$DE$20,
$DG$21=R4+0.3,$DE$21,
TRUE,"")</f>
        <v/>
      </c>
      <c r="U12" s="2195"/>
      <c r="V12" s="2189" t="str">
        <f>_xlfn.IFS(
$DG$18=V4,$DE$18,
$DG$19=V4,$DE$19,
$DG$20=V4,$DE$20,
$DG$21=V4,$DE$21,
TRUE,"")</f>
        <v/>
      </c>
      <c r="W12" s="2193"/>
      <c r="X12" s="2194" t="str">
        <f>_xlfn.IFS(
$DG$18=V4+0.3,$DE$18,
$DG$19=V4+0.3,$DE$19,
$DG$20=V4+0.3,$DE$20,
$DG$21=V4+0.3,$DE$21,
TRUE,"")</f>
        <v/>
      </c>
      <c r="Y12" s="2195"/>
      <c r="Z12" s="2189" t="str">
        <f>_xlfn.IFS(
$DG$18=Z4,$DE$18,
$DG$19=Z4,$DE$19,
$DG$20=Z4,$DE$20,
$DG$21=Z4,$DE$21,
TRUE,"")</f>
        <v/>
      </c>
      <c r="AA12" s="2193"/>
      <c r="AB12" s="2194" t="str">
        <f>_xlfn.IFS(
$DG$18=Z4+0.3,$DE$18,
$DG$19=Z4+0.3,$DE$19,
$DG$20=Z4+0.3,$DE$20,
$DG$21=Z4+0.3,$DE$21,
TRUE,"")</f>
        <v/>
      </c>
      <c r="AC12" s="2195"/>
      <c r="AD12" s="2189" t="str">
        <f>_xlfn.IFS(
$DG$18=AD4,$DE$18,
$DG$19=AD4,$DE$19,
$DG$20=AD4,$DE$20,
$DG$21=AD4,$DE$21,
TRUE,"")</f>
        <v/>
      </c>
      <c r="AE12" s="2193"/>
      <c r="AF12" s="2194" t="str">
        <f>_xlfn.IFS(
$DG$18=AD4+0.3,$DE$18,
$DG$19=AD4+0.3,$DE$19,
$DG$20=AD4+0.3,$DE$20,
$DG$21=AD4+0.3,$DE$21,
TRUE,"")</f>
        <v/>
      </c>
      <c r="AG12" s="2195"/>
      <c r="AH12" s="2189" t="str">
        <f>_xlfn.IFS(
$DG$18=AH4,$DE$18,
$DG$19=AH4,$DE$19,
$DG$20=AH4,$DE$20,
$DG$21=AH4,$DE$21,
TRUE,"")</f>
        <v xml:space="preserve"> LUNCH </v>
      </c>
      <c r="AI12" s="2193"/>
      <c r="AJ12" s="2194" t="str">
        <f>_xlfn.IFS(
$DG$18=AH4+0.3,$DE$18,
$DG$19=AH4+0.3,$DE$19,
$DG$20=AH4+0.3,$DE$20,
$DG$21=AH4+0.3,$DE$21,
TRUE,"")</f>
        <v/>
      </c>
      <c r="AK12" s="2195"/>
      <c r="AL12" s="2189" t="str">
        <f>_xlfn.IFS(
$DG$18=AL4,$DE$18,
$DG$19=AL4,$DE$19,
$DG$20=AL4,$DE$20,
$DG$21=AL4,$DE$21,
TRUE,"")</f>
        <v/>
      </c>
      <c r="AM12" s="2193"/>
      <c r="AN12" s="2194" t="str">
        <f>_xlfn.IFS(
$DG$18=AL4+0.3,$DE$18,
$DG$19=AL4+0.3,$DE$19,
$DG$20=AL4+0.3,$DE$20,
$DG$21=AL4+0.3,$DE$21,
TRUE,"")</f>
        <v/>
      </c>
      <c r="AO12" s="2195"/>
      <c r="AP12" s="2189" t="str">
        <f>_xlfn.IFS(
$DG$18=AP4,$DE$18,
$DG$19=AP4,$DE$19,
$DG$20=AP4,$DE$20,
$DG$21=AP4,$DE$21,
TRUE,"")</f>
        <v/>
      </c>
      <c r="AQ12" s="2193"/>
      <c r="AR12" s="2194" t="str">
        <f>_xlfn.IFS(
$DG$18=AP4+0.3,$DE$18,
$DG$19=AP4+0.3,$DE$19,
$DG$20=AP4+0.3,$DE$20,
$DG$21=AP4+0.3,$DE$21,
TRUE,"")</f>
        <v xml:space="preserve"> SNACK </v>
      </c>
      <c r="AS12" s="2195"/>
      <c r="AT12" s="2189" t="str">
        <f>_xlfn.IFS(
$DG$18=AT4,$DE$18,
$DG$19=AT4,$DE$19,
$DG$20=AT4,$DE$20,
$DG$21=AT4,$DE$21,
TRUE,"")</f>
        <v/>
      </c>
      <c r="AU12" s="2193"/>
      <c r="AV12" s="2194" t="str">
        <f>_xlfn.IFS(
$DG$18=AT4+0.3,$DE$18,
$DG$19=AT4+0.3,$DE$19,
$DG$20=AT4+0.3,$DE$20,
$DG$21=AT4+0.3,$DE$21,
TRUE,"")</f>
        <v/>
      </c>
      <c r="AW12" s="2195"/>
      <c r="AX12" s="2189" t="str">
        <f>_xlfn.IFS(
$DG$18=AX4,$DE$18,
$DG$19=AX4,$DE$19,
$DG$20=AX4,$DE$20,
$DG$21=AX4,$DE$21,
TRUE,"")</f>
        <v/>
      </c>
      <c r="AY12" s="2193"/>
      <c r="AZ12" s="2194" t="str">
        <f>_xlfn.IFS(
$DG$18=AX4+0.3,$DE$18,
$DG$19=AX4+0.3,$DE$19,
$DG$20=AX4+0.3,$DE$20,
$DG$21=AX4+0.3,$DE$21,
TRUE,"")</f>
        <v/>
      </c>
      <c r="BA12" s="2195"/>
      <c r="BB12" s="2189" t="str">
        <f>_xlfn.IFS(
$DG$18=BB4,$DE$18,
$DG$19=BB4,$DE$19,
$DG$20=BB4,$DE$20,
$DG$21=BB4,$DE$21,
TRUE,"")</f>
        <v/>
      </c>
      <c r="BC12" s="2193"/>
      <c r="BD12" s="2194" t="str">
        <f>_xlfn.IFS(
$DG$18=BB4+0.3,$DE$18,
$DG$19=BB4+0.3,$DE$19,
$DG$20=BB4+0.3,$DE$20,
$DG$21=BB4+0.3,$DE$21,
TRUE,"")</f>
        <v/>
      </c>
      <c r="BE12" s="2195"/>
      <c r="BF12" s="2189" t="str">
        <f>_xlfn.IFS(
$DG$18=BF4,$DE$18,
$DG$19=BF4,$DE$19,
$DG$20=BF4,$DE$20,
$DG$21=BF4,$DE$21,
TRUE,"")</f>
        <v xml:space="preserve"> DINNER </v>
      </c>
      <c r="BG12" s="2193"/>
      <c r="BH12" s="2194" t="str">
        <f>_xlfn.IFS(
$DG$18=BF4+0.3,$DE$18,
$DG$19=BF4+0.3,$DE$19,
$DG$20=BF4+0.3,$DE$20,
$DG$21=BF4+0.3,$DE$21,
TRUE,"")</f>
        <v/>
      </c>
      <c r="BI12" s="2195"/>
      <c r="BJ12" s="2189" t="str">
        <f>_xlfn.IFS(
$DG$18=BJ4,$DE$18,
$DG$19=BJ4,$DE$19,
$DG$20=BJ4,$DE$20,
$DG$21=BJ4,$DE$21,
TRUE,"")</f>
        <v/>
      </c>
      <c r="BK12" s="2193"/>
      <c r="BL12" s="2194" t="str">
        <f>_xlfn.IFS(
$DG$18=BJ4+0.3,$DE$18,
$DG$19=BJ4+0.3,$DE$19,
$DG$20=BJ4+0.3,$DE$20,
$DG$21=BJ4+0.3,$DE$21,
TRUE,"")</f>
        <v/>
      </c>
      <c r="BM12" s="2195"/>
      <c r="BN12" s="2189" t="str">
        <f>_xlfn.IFS(
$DG$18=BN4,$DE$18,
$DG$19=BN4,$DE$19,
$DG$20=BN4,$DE$20,
$DG$21=BN4,$DE$21,
TRUE,"")</f>
        <v/>
      </c>
      <c r="BO12" s="2193"/>
      <c r="BP12" s="2194" t="str">
        <f>_xlfn.IFS(
$DG$18=BN4+0.3,$DE$18,
$DG$19=BN4+0.3,$DE$19,
$DG$20=BN4+0.3,$DE$20,
$DG$21=BN4+0.3,$DE$21,
TRUE,"")</f>
        <v/>
      </c>
      <c r="BQ12" s="2195"/>
      <c r="BR12" s="2189" t="str">
        <f>_xlfn.IFS(
$DG$18=BR4,$DE$18,
$DG$19=BR4,$DE$19,
$DG$20=BR4,$DE$20,
$DG$21=BR4,$DE$21,
TRUE,"")</f>
        <v/>
      </c>
      <c r="BS12" s="2193"/>
      <c r="BT12" s="2194" t="str">
        <f>_xlfn.IFS(
$DG$18=BR4+0.3,$DE$18,
$DG$19=BR4+0.3,$DE$19,
$DG$20=BR4+0.3,$DE$20,
$DG$21=BR4+0.3,$DE$21,
TRUE,"")</f>
        <v/>
      </c>
      <c r="BU12" s="2195"/>
      <c r="BV12" s="2190"/>
      <c r="BW12" s="2196"/>
      <c r="BX12" s="2196"/>
      <c r="BY12" s="2196"/>
      <c r="BZ12" s="195"/>
      <c r="CA12" s="17"/>
      <c r="CC12" s="188"/>
      <c r="CD12" s="189"/>
      <c r="CE12" s="99" t="s">
        <v>421</v>
      </c>
      <c r="CF12" s="99" t="s">
        <v>422</v>
      </c>
      <c r="CG12" s="99" t="s">
        <v>423</v>
      </c>
      <c r="CH12" s="99" t="s">
        <v>422</v>
      </c>
      <c r="CI12" s="99" t="s">
        <v>419</v>
      </c>
      <c r="CJ12" s="99" t="s">
        <v>420</v>
      </c>
      <c r="CK12" s="99" t="s">
        <v>420</v>
      </c>
      <c r="CL12" s="190"/>
      <c r="CM12" s="187"/>
      <c r="CN12" s="188"/>
      <c r="CO12" s="189"/>
      <c r="CP12" s="99" t="s">
        <v>421</v>
      </c>
      <c r="CQ12" s="99" t="s">
        <v>422</v>
      </c>
      <c r="CR12" s="99" t="s">
        <v>423</v>
      </c>
      <c r="CS12" s="99" t="s">
        <v>422</v>
      </c>
      <c r="CT12" s="99" t="s">
        <v>419</v>
      </c>
      <c r="CU12" s="99" t="s">
        <v>420</v>
      </c>
      <c r="CV12" s="99" t="s">
        <v>420</v>
      </c>
      <c r="CW12" s="190"/>
      <c r="CY12" s="188"/>
      <c r="CZ12" s="189"/>
      <c r="DA12" s="99" t="s">
        <v>421</v>
      </c>
      <c r="DB12" s="99" t="s">
        <v>422</v>
      </c>
      <c r="DC12" s="99" t="s">
        <v>423</v>
      </c>
      <c r="DD12" s="99" t="s">
        <v>422</v>
      </c>
      <c r="DE12" s="99" t="s">
        <v>419</v>
      </c>
      <c r="DF12" s="99" t="s">
        <v>420</v>
      </c>
      <c r="DG12" s="99" t="s">
        <v>420</v>
      </c>
      <c r="DH12" s="190"/>
      <c r="DS12" s="2078" t="str">
        <f>IF($EG12&lt;10,"0"&amp;$EG12&amp;":00",$EG12&amp;":00")</f>
        <v>09:00</v>
      </c>
      <c r="DT12" s="268"/>
      <c r="DU12" s="2078" t="str">
        <f>IF($EG12&lt;10,"0"&amp;$EG12&amp;":00",$EG12&amp;":00")</f>
        <v>09:00</v>
      </c>
      <c r="DV12" s="268"/>
      <c r="DW12" s="2078" t="str">
        <f>IF($EG12&lt;10,"0"&amp;$EG12&amp;":00",$EG12&amp;":00")</f>
        <v>09:00</v>
      </c>
      <c r="DX12" s="268"/>
      <c r="DY12" s="2078" t="str">
        <f>IF($EG12&lt;10,"0"&amp;$EG12&amp;":00",$EG12&amp;":00")</f>
        <v>09:00</v>
      </c>
      <c r="EC12" s="2078" t="str">
        <f t="shared" ref="EC12" si="9">IF($EG12&lt;10,"0"&amp;$EG12&amp;":00",$EG12&amp;":00")</f>
        <v>09:00</v>
      </c>
      <c r="EG12" s="2179">
        <f t="shared" ref="EG12" si="10">IF(EG11=23,0,EG11+1)</f>
        <v>9</v>
      </c>
      <c r="EH12" s="35"/>
      <c r="EI12" s="2181">
        <v>8</v>
      </c>
    </row>
    <row r="13" spans="1:153" ht="17.100000000000001" customHeight="1" x14ac:dyDescent="0.25">
      <c r="A13" s="17"/>
      <c r="B13" s="170"/>
      <c r="C13" s="3880"/>
      <c r="D13" s="3881"/>
      <c r="E13" s="3882"/>
      <c r="F13" s="2186"/>
      <c r="G13" s="2186"/>
      <c r="H13" s="2187"/>
      <c r="I13" s="2188"/>
      <c r="J13" s="2199" cm="1">
        <f t="array" ref="J13">_xlfn.IFS(OR(J12=$DE$18,J12=$DE$20,H12=$DE$19,H12=$DE$21),1,OR(J12=$DE$19,J12=$DE$21),2,TRUE,0)</f>
        <v>1</v>
      </c>
      <c r="K13" s="2201"/>
      <c r="L13" s="2199" cm="1">
        <f t="array" ref="L13">_xlfn.IFS(OR(L12=$DE$18,L12=$DE$20,J12=$DE$19,J12=$DE$21),1,OR(L12=$DE$19,L12=$DE$21),2,TRUE,0)</f>
        <v>0</v>
      </c>
      <c r="M13" s="2202"/>
      <c r="N13" s="2199" cm="1">
        <f t="array" ref="N13">_xlfn.IFS(OR(N12=$DE$18,N12=$DE$20,L12=$DE$19,L12=$DE$21),1,OR(N12=$DE$19,N12=$DE$21),2,TRUE,0)</f>
        <v>0</v>
      </c>
      <c r="O13" s="2201"/>
      <c r="P13" s="2199" cm="1">
        <f t="array" ref="P13">_xlfn.IFS(OR(P12=$DE$18,P12=$DE$20,N12=$DE$19,N12=$DE$21),1,OR(P12=$DE$19,P12=$DE$21),2,TRUE,0)</f>
        <v>0</v>
      </c>
      <c r="Q13" s="2202"/>
      <c r="R13" s="2199" cm="1">
        <f t="array" ref="R13">_xlfn.IFS(OR(R12=$DE$18,R12=$DE$20,P12=$DE$19,P12=$DE$21),1,OR(R12=$DE$19,R12=$DE$21),2,TRUE,0)</f>
        <v>0</v>
      </c>
      <c r="S13" s="2201"/>
      <c r="T13" s="2199" cm="1">
        <f t="array" ref="T13">_xlfn.IFS(OR(T12=$DE$18,T12=$DE$20,R12=$DE$19,R12=$DE$21),1,OR(T12=$DE$19,T12=$DE$21),2,TRUE,0)</f>
        <v>0</v>
      </c>
      <c r="U13" s="2202"/>
      <c r="V13" s="2199" cm="1">
        <f t="array" ref="V13">_xlfn.IFS(OR(V12=$DE$18,V12=$DE$20,T12=$DE$19,T12=$DE$21),1,OR(V12=$DE$19,V12=$DE$21),2,TRUE,0)</f>
        <v>0</v>
      </c>
      <c r="W13" s="2201"/>
      <c r="X13" s="2199" cm="1">
        <f t="array" ref="X13">_xlfn.IFS(OR(X12=$DE$18,X12=$DE$20,V12=$DE$19,V12=$DE$21),1,OR(X12=$DE$19,X12=$DE$21),2,TRUE,0)</f>
        <v>0</v>
      </c>
      <c r="Y13" s="2202"/>
      <c r="Z13" s="2199" cm="1">
        <f t="array" ref="Z13">_xlfn.IFS(OR(Z12=$DE$18,Z12=$DE$20,X12=$DE$19,X12=$DE$21),1,OR(Z12=$DE$19,Z12=$DE$21),2,TRUE,0)</f>
        <v>0</v>
      </c>
      <c r="AA13" s="2201"/>
      <c r="AB13" s="2199" cm="1">
        <f t="array" ref="AB13">_xlfn.IFS(OR(AB12=$DE$18,AB12=$DE$20,Z12=$DE$19,Z12=$DE$21),1,OR(AB12=$DE$19,AB12=$DE$21),2,TRUE,0)</f>
        <v>0</v>
      </c>
      <c r="AC13" s="2202"/>
      <c r="AD13" s="2199" cm="1">
        <f t="array" ref="AD13">_xlfn.IFS(OR(AD12=$DE$18,AD12=$DE$20,AB12=$DE$19,AB12=$DE$21),1,OR(AD12=$DE$19,AD12=$DE$21),2,TRUE,0)</f>
        <v>0</v>
      </c>
      <c r="AE13" s="2201"/>
      <c r="AF13" s="2199" cm="1">
        <f t="array" ref="AF13">_xlfn.IFS(OR(AF12=$DE$18,AF12=$DE$20,AD12=$DE$19,AD12=$DE$21),1,OR(AF12=$DE$19,AF12=$DE$21),2,TRUE,0)</f>
        <v>0</v>
      </c>
      <c r="AG13" s="2202"/>
      <c r="AH13" s="2199" cm="1">
        <f t="array" ref="AH13">_xlfn.IFS(OR(AH12=$DE$18,AH12=$DE$20,AF12=$DE$19,AF12=$DE$21),1,OR(AH12=$DE$19,AH12=$DE$21),2,TRUE,0)</f>
        <v>2</v>
      </c>
      <c r="AI13" s="2201"/>
      <c r="AJ13" s="2199" cm="1">
        <f t="array" ref="AJ13">_xlfn.IFS(OR(AJ12=$DE$18,AJ12=$DE$20,AH12=$DE$19,AH12=$DE$21),1,OR(AJ12=$DE$19,AJ12=$DE$21),2,TRUE,0)</f>
        <v>1</v>
      </c>
      <c r="AK13" s="2202"/>
      <c r="AL13" s="2199" cm="1">
        <f t="array" ref="AL13">_xlfn.IFS(OR(AL12=$DE$18,AL12=$DE$20,AJ12=$DE$19,AJ12=$DE$21),1,OR(AL12=$DE$19,AL12=$DE$21),2,TRUE,0)</f>
        <v>0</v>
      </c>
      <c r="AM13" s="2201"/>
      <c r="AN13" s="2199" cm="1">
        <f t="array" ref="AN13">_xlfn.IFS(OR(AN12=$DE$18,AN12=$DE$20,AL12=$DE$19,AL12=$DE$21),1,OR(AN12=$DE$19,AN12=$DE$21),2,TRUE,0)</f>
        <v>0</v>
      </c>
      <c r="AO13" s="2202"/>
      <c r="AP13" s="2199" cm="1">
        <f t="array" ref="AP13">_xlfn.IFS(OR(AP12=$DE$18,AP12=$DE$20,AN12=$DE$19,AN12=$DE$21),1,OR(AP12=$DE$19,AP12=$DE$21),2,TRUE,0)</f>
        <v>0</v>
      </c>
      <c r="AQ13" s="2201"/>
      <c r="AR13" s="2199" cm="1">
        <f t="array" ref="AR13">_xlfn.IFS(OR(AR12=$DE$18,AR12=$DE$20,AP12=$DE$19,AP12=$DE$21),1,OR(AR12=$DE$19,AR12=$DE$21),2,TRUE,0)</f>
        <v>1</v>
      </c>
      <c r="AS13" s="2202"/>
      <c r="AT13" s="2199" cm="1">
        <f t="array" ref="AT13">_xlfn.IFS(OR(AT12=$DE$18,AT12=$DE$20,AR12=$DE$19,AR12=$DE$21),1,OR(AT12=$DE$19,AT12=$DE$21),2,TRUE,0)</f>
        <v>0</v>
      </c>
      <c r="AU13" s="2201"/>
      <c r="AV13" s="2199" cm="1">
        <f t="array" ref="AV13">_xlfn.IFS(OR(AV12=$DE$18,AV12=$DE$20,AT12=$DE$19,AT12=$DE$21),1,OR(AV12=$DE$19,AV12=$DE$21),2,TRUE,0)</f>
        <v>0</v>
      </c>
      <c r="AW13" s="2202"/>
      <c r="AX13" s="2199" cm="1">
        <f t="array" ref="AX13">_xlfn.IFS(OR(AX12=$DE$18,AX12=$DE$20,AV12=$DE$19,AV12=$DE$21),1,OR(AX12=$DE$19,AX12=$DE$21),2,TRUE,0)</f>
        <v>0</v>
      </c>
      <c r="AY13" s="2201"/>
      <c r="AZ13" s="2199" cm="1">
        <f t="array" ref="AZ13">_xlfn.IFS(OR(AZ12=$DE$18,AZ12=$DE$20,AX12=$DE$19,AX12=$DE$21),1,OR(AZ12=$DE$19,AZ12=$DE$21),2,TRUE,0)</f>
        <v>0</v>
      </c>
      <c r="BA13" s="2202"/>
      <c r="BB13" s="2199" cm="1">
        <f t="array" ref="BB13">_xlfn.IFS(OR(BB12=$DE$18,BB12=$DE$20,AZ12=$DE$19,AZ12=$DE$21),1,OR(BB12=$DE$19,BB12=$DE$21),2,TRUE,0)</f>
        <v>0</v>
      </c>
      <c r="BC13" s="2201"/>
      <c r="BD13" s="2199" cm="1">
        <f t="array" ref="BD13">_xlfn.IFS(OR(BD12=$DE$18,BD12=$DE$20,BB12=$DE$19,BB12=$DE$21),1,OR(BD12=$DE$19,BD12=$DE$21),2,TRUE,0)</f>
        <v>0</v>
      </c>
      <c r="BE13" s="2202"/>
      <c r="BF13" s="2199" cm="1">
        <f t="array" ref="BF13">_xlfn.IFS(OR(BF12=$DE$18,BF12=$DE$20,BD12=$DE$19,BD12=$DE$21),1,OR(BF12=$DE$19,BF12=$DE$21),2,TRUE,0)</f>
        <v>2</v>
      </c>
      <c r="BG13" s="2201"/>
      <c r="BH13" s="2199" cm="1">
        <f t="array" ref="BH13">_xlfn.IFS(OR(BH12=$DE$18,BH12=$DE$20,BF12=$DE$19,BF12=$DE$21),1,OR(BH12=$DE$19,BH12=$DE$21),2,TRUE,0)</f>
        <v>1</v>
      </c>
      <c r="BI13" s="2202"/>
      <c r="BJ13" s="2199" cm="1">
        <f t="array" ref="BJ13">_xlfn.IFS(OR(BJ12=$DE$18,BJ12=$DE$20,BH12=$DE$19,BH12=$DE$21),1,OR(BJ12=$DE$19,BJ12=$DE$21),2,TRUE,0)</f>
        <v>0</v>
      </c>
      <c r="BK13" s="2201"/>
      <c r="BL13" s="2199" cm="1">
        <f t="array" ref="BL13">_xlfn.IFS(OR(BL12=$DE$18,BL12=$DE$20,BJ12=$DE$19,BJ12=$DE$21),1,OR(BL12=$DE$19,BL12=$DE$21),2,TRUE,0)</f>
        <v>0</v>
      </c>
      <c r="BM13" s="2202"/>
      <c r="BN13" s="2199" cm="1">
        <f t="array" ref="BN13">_xlfn.IFS(OR(BN12=$DE$18,BN12=$DE$20,BL12=$DE$19,BL12=$DE$21),1,OR(BN12=$DE$19,BN12=$DE$21),2,TRUE,0)</f>
        <v>0</v>
      </c>
      <c r="BO13" s="2201"/>
      <c r="BP13" s="2199" cm="1">
        <f t="array" ref="BP13">_xlfn.IFS(OR(BP12=$DE$18,BP12=$DE$20,BN12=$DE$19,BN12=$DE$21),1,OR(BP12=$DE$19,BP12=$DE$21),2,TRUE,0)</f>
        <v>0</v>
      </c>
      <c r="BQ13" s="2202"/>
      <c r="BR13" s="2199" cm="1">
        <f t="array" ref="BR13">_xlfn.IFS(OR(BR12=$DE$18,BR12=$DE$20,BP12=$DE$19,BP12=$DE$21),1,OR(BR12=$DE$19,BR12=$DE$21),2,TRUE,0)</f>
        <v>0</v>
      </c>
      <c r="BS13" s="2201"/>
      <c r="BT13" s="2199" cm="1">
        <f t="array" ref="BT13">_xlfn.IFS(OR(BT12=$DE$18,BT12=$DE$20,BR12=$DE$19,BR12=$DE$21),1,OR(BT12=$DE$19,BT12=$DE$21),2,TRUE,0)</f>
        <v>0</v>
      </c>
      <c r="BU13" s="2202"/>
      <c r="BV13" s="2186"/>
      <c r="BW13" s="2187"/>
      <c r="BX13" s="2187"/>
      <c r="BY13" s="2187"/>
      <c r="BZ13" s="195"/>
      <c r="CA13" s="17"/>
      <c r="CC13" s="188"/>
      <c r="CD13" s="2067" t="s">
        <v>418</v>
      </c>
      <c r="CE13" s="192" t="str">
        <f>S19</f>
        <v>M</v>
      </c>
      <c r="CF13" s="192" t="str">
        <f>U19</f>
        <v>T</v>
      </c>
      <c r="CG13" s="192" t="str">
        <f>W19</f>
        <v>W</v>
      </c>
      <c r="CH13" s="192" t="str">
        <f>Y19</f>
        <v>T</v>
      </c>
      <c r="CI13" s="192" t="str">
        <f>AA19</f>
        <v>F</v>
      </c>
      <c r="CJ13" s="192" t="str">
        <f>AC19</f>
        <v>-</v>
      </c>
      <c r="CK13" s="192" t="str">
        <f>AE19</f>
        <v>-</v>
      </c>
      <c r="CL13" s="190"/>
      <c r="CM13" s="187"/>
      <c r="CN13" s="188"/>
      <c r="CO13" s="2067" t="s">
        <v>418</v>
      </c>
      <c r="CP13" s="192" t="str">
        <f>AJ19</f>
        <v>M</v>
      </c>
      <c r="CQ13" s="192" t="str">
        <f>AL19</f>
        <v>T</v>
      </c>
      <c r="CR13" s="192" t="str">
        <f>AN19</f>
        <v>W</v>
      </c>
      <c r="CS13" s="192" t="str">
        <f t="shared" ref="CS13" si="11">AP19</f>
        <v>T</v>
      </c>
      <c r="CT13" s="192" t="str">
        <f>AR19</f>
        <v>F</v>
      </c>
      <c r="CU13" s="192" t="str">
        <f>AT19</f>
        <v>-</v>
      </c>
      <c r="CV13" s="192" t="str">
        <f>AV19</f>
        <v>-</v>
      </c>
      <c r="CW13" s="190"/>
      <c r="CY13" s="188"/>
      <c r="CZ13" s="2067" t="s">
        <v>418</v>
      </c>
      <c r="DA13" s="192" t="str">
        <f>BA19</f>
        <v>M</v>
      </c>
      <c r="DB13" s="192" t="str">
        <f>BC19</f>
        <v>T</v>
      </c>
      <c r="DC13" s="192" t="str">
        <f>BE19</f>
        <v>-</v>
      </c>
      <c r="DD13" s="192" t="str">
        <f>BG19</f>
        <v>T</v>
      </c>
      <c r="DE13" s="192" t="str">
        <f>BI19</f>
        <v>F</v>
      </c>
      <c r="DF13" s="192" t="str">
        <f>BK19</f>
        <v>-</v>
      </c>
      <c r="DG13" s="192" t="str">
        <f>BM19</f>
        <v>-</v>
      </c>
      <c r="DH13" s="190"/>
      <c r="DS13" s="2078" t="str">
        <f>IF($EG13&lt;10,"0"&amp;$EG13&amp;":30",$EG13&amp;":30")</f>
        <v>09:30</v>
      </c>
      <c r="DT13" s="268"/>
      <c r="DU13" s="2078" t="str">
        <f>IF($EG13&lt;10,"0"&amp;$EG13&amp;":30",$EG13&amp;":30")</f>
        <v>09:30</v>
      </c>
      <c r="DV13" s="268"/>
      <c r="DW13" s="2078" t="str">
        <f>IF($EG13&lt;10,"0"&amp;$EG13&amp;":30",$EG13&amp;":30")</f>
        <v>09:30</v>
      </c>
      <c r="DX13" s="268"/>
      <c r="DY13" s="2078" t="str">
        <f>IF($EG13&lt;10,"0"&amp;$EG13&amp;":30",$EG13&amp;":30")</f>
        <v>09:30</v>
      </c>
      <c r="EC13" s="2078" t="str">
        <f t="shared" ref="EC13" si="12">IF($EG13&lt;10,"0"&amp;$EG13&amp;":30",$EG13&amp;":30")</f>
        <v>09:30</v>
      </c>
      <c r="EG13" s="2179">
        <f t="shared" ref="EG13" si="13">EG12</f>
        <v>9</v>
      </c>
      <c r="EH13" s="35"/>
      <c r="EI13" s="2181">
        <v>9</v>
      </c>
    </row>
    <row r="14" spans="1:153" ht="17.100000000000001" customHeight="1" x14ac:dyDescent="0.25">
      <c r="A14" s="17"/>
      <c r="B14" s="170"/>
      <c r="C14" s="3880"/>
      <c r="D14" s="3881"/>
      <c r="E14" s="3882"/>
      <c r="F14" s="180" t="str">
        <f ca="1">IF($C$3="TODAY",IF( AND( PLANS!$L$3 - INT(PLANS!$L$3) &gt;= CC3/24, PLANS!$L$3 - INT(PLANS!$L$3) &lt; CD3/24), "p", ""),"")</f>
        <v/>
      </c>
      <c r="G14" s="181" t="str">
        <f ca="1">IF($C$3="TODAY",IF( AND( PLANS!$L$3 - INT(PLANS!$L$3) &gt;= CD3/24, PLANS!$L$3 - INT(PLANS!$L$3) &lt; CE3/24), "p", ""),"")</f>
        <v/>
      </c>
      <c r="H14" s="181" t="str">
        <f ca="1">IF($C$3="TODAY",IF( AND( PLANS!$L$3 - INT(PLANS!$L$3) &gt;= CE3/24, PLANS!$L$3 - INT(PLANS!$L$3) &lt; CF3/24), "p", ""),"")</f>
        <v/>
      </c>
      <c r="I14" s="182" t="str">
        <f ca="1">IF($C$3="TODAY",IF( AND( PLANS!$L$3 - INT(PLANS!$L$3) &gt;= CF3/24, PLANS!$L$3 - INT(PLANS!$L$3) &lt; CG3/24), "p", ""),"")</f>
        <v/>
      </c>
      <c r="J14" s="180" t="str">
        <f ca="1">IF($C$3="TODAY",IF( AND( PLANS!$L$3 - INT(PLANS!$L$3) &gt;= CG3/24, PLANS!$L$3 - INT(PLANS!$L$3) &lt; CH3/24), "p", ""),"")</f>
        <v/>
      </c>
      <c r="K14" s="181" t="str">
        <f ca="1">IF($C$3="TODAY",IF( AND( PLANS!$L$3 - INT(PLANS!$L$3) &gt;= CH3/24, PLANS!$L$3 - INT(PLANS!$L$3) &lt; CI3/24), "p", ""),"")</f>
        <v/>
      </c>
      <c r="L14" s="181" t="str">
        <f ca="1">IF($C$3="TODAY",IF( AND( PLANS!$L$3 - INT(PLANS!$L$3) &gt;= CI3/24, PLANS!$L$3 - INT(PLANS!$L$3) &lt; CJ3/24), "p", ""),"")</f>
        <v/>
      </c>
      <c r="M14" s="182" t="str">
        <f ca="1">IF($C$3="TODAY",IF( AND( PLANS!$L$3 - INT(PLANS!$L$3) &gt;= CJ3/24, PLANS!$L$3 - INT(PLANS!$L$3) &lt; CK3/24), "p", ""),"")</f>
        <v/>
      </c>
      <c r="N14" s="180" t="str">
        <f ca="1">IF($C$3="TODAY",IF( AND( PLANS!$L$3 - INT(PLANS!$L$3) &gt;= CK3/24, PLANS!$L$3 - INT(PLANS!$L$3) &lt; CL3/24), "p", ""),"")</f>
        <v/>
      </c>
      <c r="O14" s="181" t="str">
        <f ca="1">IF($C$3="TODAY",IF( AND( PLANS!$L$3 - INT(PLANS!$L$3) &gt;= CL3/24, PLANS!$L$3 - INT(PLANS!$L$3) &lt; CM3/24), "p", ""),"")</f>
        <v/>
      </c>
      <c r="P14" s="181" t="str">
        <f ca="1">IF($C$3="TODAY",IF( AND( PLANS!$L$3 - INT(PLANS!$L$3) &gt;= CM3/24, PLANS!$L$3 - INT(PLANS!$L$3) &lt; CN3/24), "p", ""),"")</f>
        <v/>
      </c>
      <c r="Q14" s="182" t="str">
        <f ca="1">IF($C$3="TODAY",IF( AND( PLANS!$L$3 - INT(PLANS!$L$3) &gt;= CN3/24, PLANS!$L$3 - INT(PLANS!$L$3) &lt; CO3/24), "p", ""),"")</f>
        <v/>
      </c>
      <c r="R14" s="180" t="str">
        <f ca="1">IF($C$3="TODAY",IF( AND( PLANS!$L$3 - INT(PLANS!$L$3) &gt;= CO3/24, PLANS!$L$3 - INT(PLANS!$L$3) &lt; CP3/24), "p", ""),"")</f>
        <v/>
      </c>
      <c r="S14" s="181" t="str">
        <f ca="1">IF($C$3="TODAY",IF( AND( PLANS!$L$3 - INT(PLANS!$L$3) &gt;= CP3/24, PLANS!$L$3 - INT(PLANS!$L$3) &lt; CQ3/24), "p", ""),"")</f>
        <v/>
      </c>
      <c r="T14" s="181" t="str">
        <f ca="1">IF($C$3="TODAY",IF( AND( PLANS!$L$3 - INT(PLANS!$L$3) &gt;= CQ3/24, PLANS!$L$3 - INT(PLANS!$L$3) &lt; CR3/24), "p", ""),"")</f>
        <v/>
      </c>
      <c r="U14" s="182" t="str">
        <f ca="1">IF($C$3="TODAY",IF( AND( PLANS!$L$3 - INT(PLANS!$L$3) &gt;= CR3/24, PLANS!$L$3 - INT(PLANS!$L$3) &lt; CS3/24), "p", ""),"")</f>
        <v/>
      </c>
      <c r="V14" s="180" t="str">
        <f ca="1">IF($C$3="TODAY",IF( AND( PLANS!$L$3 - INT(PLANS!$L$3) &gt;= CS3/24, PLANS!$L$3 - INT(PLANS!$L$3) &lt; CT3/24), "p", ""),"")</f>
        <v/>
      </c>
      <c r="W14" s="181" t="str">
        <f ca="1">IF($C$3="TODAY",IF( AND( PLANS!$L$3 - INT(PLANS!$L$3) &gt;= CT3/24, PLANS!$L$3 - INT(PLANS!$L$3) &lt; CU3/24), "p", ""),"")</f>
        <v/>
      </c>
      <c r="X14" s="181" t="str">
        <f ca="1">IF($C$3="TODAY",IF( AND( PLANS!$L$3 - INT(PLANS!$L$3) &gt;= CU3/24, PLANS!$L$3 - INT(PLANS!$L$3) &lt; CV3/24), "p", ""),"")</f>
        <v/>
      </c>
      <c r="Y14" s="182" t="str">
        <f ca="1">IF($C$3="TODAY",IF( AND( PLANS!$L$3 - INT(PLANS!$L$3) &gt;= CV3/24, PLANS!$L$3 - INT(PLANS!$L$3) &lt; CW3/24), "p", ""),"")</f>
        <v/>
      </c>
      <c r="Z14" s="180" t="str">
        <f ca="1">IF($C$3="TODAY",IF( AND( PLANS!$L$3 - INT(PLANS!$L$3) &gt;= CW3/24, PLANS!$L$3 - INT(PLANS!$L$3) &lt; CX3/24), "p", ""),"")</f>
        <v/>
      </c>
      <c r="AA14" s="181" t="str">
        <f ca="1">IF($C$3="TODAY",IF( AND( PLANS!$L$3 - INT(PLANS!$L$3) &gt;= CX3/24, PLANS!$L$3 - INT(PLANS!$L$3) &lt; CY3/24), "p", ""),"")</f>
        <v/>
      </c>
      <c r="AB14" s="181" t="str">
        <f ca="1">IF($C$3="TODAY",IF( AND( PLANS!$L$3 - INT(PLANS!$L$3) &gt;= CY3/24, PLANS!$L$3 - INT(PLANS!$L$3) &lt; CZ3/24), "p", ""),"")</f>
        <v/>
      </c>
      <c r="AC14" s="182" t="str">
        <f ca="1">IF($C$3="TODAY",IF( AND( PLANS!$L$3 - INT(PLANS!$L$3) &gt;= CZ3/24, PLANS!$L$3 - INT(PLANS!$L$3) &lt; DA3/24), "p", ""),"")</f>
        <v/>
      </c>
      <c r="AD14" s="180" t="str">
        <f ca="1">IF($C$3="TODAY",IF( AND( PLANS!$L$3 - INT(PLANS!$L$3) &gt;= DA3/24, PLANS!$L$3 - INT(PLANS!$L$3) &lt; DB3/24), "p", ""),"")</f>
        <v/>
      </c>
      <c r="AE14" s="181" t="str">
        <f ca="1">IF($C$3="TODAY",IF( AND( PLANS!$L$3 - INT(PLANS!$L$3) &gt;= DB3/24, PLANS!$L$3 - INT(PLANS!$L$3) &lt; DC3/24), "p", ""),"")</f>
        <v/>
      </c>
      <c r="AF14" s="181" t="str">
        <f ca="1">IF($C$3="TODAY",IF( AND( PLANS!$L$3 - INT(PLANS!$L$3) &gt;= DC3/24, PLANS!$L$3 - INT(PLANS!$L$3) &lt; DD3/24), "p", ""),"")</f>
        <v/>
      </c>
      <c r="AG14" s="182" t="str">
        <f ca="1">IF($C$3="TODAY",IF( AND( PLANS!$L$3 - INT(PLANS!$L$3) &gt;= DD3/24, PLANS!$L$3 - INT(PLANS!$L$3) &lt; DE3/24), "p", ""),"")</f>
        <v/>
      </c>
      <c r="AH14" s="180" t="str">
        <f ca="1">IF($C$3="TODAY",IF( AND( PLANS!$L$3 - INT(PLANS!$L$3) &gt;= DE3/24, PLANS!$L$3 - INT(PLANS!$L$3) &lt; DF3/24), "p", ""),"")</f>
        <v/>
      </c>
      <c r="AI14" s="181" t="str">
        <f ca="1">IF($C$3="TODAY",IF( AND( PLANS!$L$3 - INT(PLANS!$L$3) &gt;= DF3/24, PLANS!$L$3 - INT(PLANS!$L$3) &lt; DG3/24), "p", ""),"")</f>
        <v/>
      </c>
      <c r="AJ14" s="181" t="str">
        <f ca="1">IF($C$3="TODAY",IF( AND( PLANS!$L$3 - INT(PLANS!$L$3) &gt;= DG3/24, PLANS!$L$3 - INT(PLANS!$L$3) &lt; DH3/24), "p", ""),"")</f>
        <v/>
      </c>
      <c r="AK14" s="182" t="str">
        <f ca="1">IF($C$3="TODAY",IF( AND( PLANS!$L$3 - INT(PLANS!$L$3) &gt;= DH3/24, PLANS!$L$3 - INT(PLANS!$L$3) &lt; DI3/24), "p", ""),"")</f>
        <v/>
      </c>
      <c r="AL14" s="180" t="str">
        <f ca="1">IF($C$3="TODAY",IF( AND( PLANS!$L$3 - INT(PLANS!$L$3) &gt;= DI3/24, PLANS!$L$3 - INT(PLANS!$L$3) &lt; DJ3/24), "p", ""),"")</f>
        <v/>
      </c>
      <c r="AM14" s="181" t="str">
        <f ca="1">IF($C$3="TODAY",IF( AND( PLANS!$L$3 - INT(PLANS!$L$3) &gt;= DJ3/24, PLANS!$L$3 - INT(PLANS!$L$3) &lt; DK3/24), "p", ""),"")</f>
        <v/>
      </c>
      <c r="AN14" s="181" t="str">
        <f ca="1">IF($C$3="TODAY",IF( AND( PLANS!$L$3 - INT(PLANS!$L$3) &gt;= DK3/24, PLANS!$L$3 - INT(PLANS!$L$3) &lt; DL3/24), "p", ""),"")</f>
        <v/>
      </c>
      <c r="AO14" s="182" t="str">
        <f ca="1">IF($C$3="TODAY",IF( AND( PLANS!$L$3 - INT(PLANS!$L$3) &gt;= DL3/24, PLANS!$L$3 - INT(PLANS!$L$3) &lt; DM3/24), "p", ""),"")</f>
        <v/>
      </c>
      <c r="AP14" s="180" t="str">
        <f ca="1">IF($C$3="TODAY",IF( AND( PLANS!$L$3 - INT(PLANS!$L$3) &gt;= DM3/24, PLANS!$L$3 - INT(PLANS!$L$3) &lt; DN3/24), "p", ""),"")</f>
        <v/>
      </c>
      <c r="AQ14" s="181" t="str">
        <f ca="1">IF($C$3="TODAY",IF( AND( PLANS!$L$3 - INT(PLANS!$L$3) &gt;= DN3/24, PLANS!$L$3 - INT(PLANS!$L$3) &lt; DO3/24), "p", ""),"")</f>
        <v/>
      </c>
      <c r="AR14" s="181" t="str">
        <f ca="1">IF($C$3="TODAY",IF( AND( PLANS!$L$3 - INT(PLANS!$L$3) &gt;= DO3/24, PLANS!$L$3 - INT(PLANS!$L$3) &lt; DP3/24), "p", ""),"")</f>
        <v/>
      </c>
      <c r="AS14" s="182" t="str">
        <f ca="1">IF($C$3="TODAY",IF( AND( PLANS!$L$3 - INT(PLANS!$L$3) &gt;= DP3/24, PLANS!$L$3 - INT(PLANS!$L$3) &lt; DQ3/24), "p", ""),"")</f>
        <v/>
      </c>
      <c r="AT14" s="180" t="str">
        <f ca="1">IF($C$3="TODAY",IF( AND( PLANS!$L$3 - INT(PLANS!$L$3) &gt;= DQ3/24, PLANS!$L$3 - INT(PLANS!$L$3) &lt; DR3/24), "p", ""),"")</f>
        <v/>
      </c>
      <c r="AU14" s="181" t="str">
        <f ca="1">IF($C$3="TODAY",IF( AND( PLANS!$L$3 - INT(PLANS!$L$3) &gt;= DR3/24, PLANS!$L$3 - INT(PLANS!$L$3) &lt; DS3/24), "p", ""),"")</f>
        <v/>
      </c>
      <c r="AV14" s="181" t="str">
        <f ca="1">IF($C$3="TODAY",IF( AND( PLANS!$L$3 - INT(PLANS!$L$3) &gt;= DS3/24, PLANS!$L$3 - INT(PLANS!$L$3) &lt; DT3/24), "p", ""),"")</f>
        <v/>
      </c>
      <c r="AW14" s="182" t="str">
        <f ca="1">IF($C$3="TODAY",IF( AND( PLANS!$L$3 - INT(PLANS!$L$3) &gt;= DT3/24, PLANS!$L$3 - INT(PLANS!$L$3) &lt; DU3/24), "p", ""),"")</f>
        <v/>
      </c>
      <c r="AX14" s="180" t="str">
        <f ca="1">IF($C$3="TODAY",IF( AND( PLANS!$L$3 - INT(PLANS!$L$3) &gt;= DU3/24, PLANS!$L$3 - INT(PLANS!$L$3) &lt; DV3/24), "p", ""),"")</f>
        <v/>
      </c>
      <c r="AY14" s="181" t="str">
        <f ca="1">IF($C$3="TODAY",IF( AND( PLANS!$L$3 - INT(PLANS!$L$3) &gt;= DV3/24, PLANS!$L$3 - INT(PLANS!$L$3) &lt; DW3/24), "p", ""),"")</f>
        <v/>
      </c>
      <c r="AZ14" s="181" t="str">
        <f ca="1">IF($C$3="TODAY",IF( AND( PLANS!$L$3 - INT(PLANS!$L$3) &gt;= DW3/24, PLANS!$L$3 - INT(PLANS!$L$3) &lt; DX3/24), "p", ""),"")</f>
        <v/>
      </c>
      <c r="BA14" s="182" t="str">
        <f ca="1">IF($C$3="TODAY",IF( AND( PLANS!$L$3 - INT(PLANS!$L$3) &gt;= DX3/24, PLANS!$L$3 - INT(PLANS!$L$3) &lt; DY3/24), "p", ""),"")</f>
        <v/>
      </c>
      <c r="BB14" s="180" t="str">
        <f ca="1">IF($C$3="TODAY",IF( AND( PLANS!$L$3 - INT(PLANS!$L$3) &gt;= DY3/24, PLANS!$L$3 - INT(PLANS!$L$3) &lt; DZ3/24), "p", ""),"")</f>
        <v/>
      </c>
      <c r="BC14" s="181" t="str">
        <f ca="1">IF($C$3="TODAY",IF( AND( PLANS!$L$3 - INT(PLANS!$L$3) &gt;= DZ3/24, PLANS!$L$3 - INT(PLANS!$L$3) &lt; EA3/24), "p", ""),"")</f>
        <v/>
      </c>
      <c r="BD14" s="181" t="str">
        <f ca="1">IF($C$3="TODAY",IF( AND( PLANS!$L$3 - INT(PLANS!$L$3) &gt;= EA3/24, PLANS!$L$3 - INT(PLANS!$L$3) &lt; EB3/24), "p", ""),"")</f>
        <v/>
      </c>
      <c r="BE14" s="182" t="str">
        <f ca="1">IF($C$3="TODAY",IF( AND( PLANS!$L$3 - INT(PLANS!$L$3) &gt;= EB3/24, PLANS!$L$3 - INT(PLANS!$L$3) &lt; EC3/24), "p", ""),"")</f>
        <v/>
      </c>
      <c r="BF14" s="180" t="str">
        <f ca="1">IF($C$3="TODAY",IF( AND( PLANS!$L$3 - INT(PLANS!$L$3) &gt;= EC3/24, PLANS!$L$3 - INT(PLANS!$L$3) &lt; ED3/24), "p", ""),"")</f>
        <v/>
      </c>
      <c r="BG14" s="181" t="str">
        <f ca="1">IF($C$3="TODAY",IF( AND( PLANS!$L$3 - INT(PLANS!$L$3) &gt;= ED3/24, PLANS!$L$3 - INT(PLANS!$L$3) &lt; EE3/24), "p", ""),"")</f>
        <v/>
      </c>
      <c r="BH14" s="181" t="str">
        <f ca="1">IF($C$3="TODAY",IF( AND( PLANS!$L$3 - INT(PLANS!$L$3) &gt;= EE3/24, PLANS!$L$3 - INT(PLANS!$L$3) &lt; EF3/24), "p", ""),"")</f>
        <v/>
      </c>
      <c r="BI14" s="182" t="str">
        <f ca="1">IF($C$3="TODAY",IF( AND( PLANS!$L$3 - INT(PLANS!$L$3) &gt;= EF3/24, PLANS!$L$3 - INT(PLANS!$L$3) &lt; EG3/24), "p", ""),"")</f>
        <v/>
      </c>
      <c r="BJ14" s="180" t="str">
        <f ca="1">IF($C$3="TODAY",IF( AND( PLANS!$L$3 - INT(PLANS!$L$3) &gt;= EG3/24, PLANS!$L$3 - INT(PLANS!$L$3) &lt; EH3/24), "p", ""),"")</f>
        <v/>
      </c>
      <c r="BK14" s="181" t="str">
        <f ca="1">IF($C$3="TODAY",IF( AND( PLANS!$L$3 - INT(PLANS!$L$3) &gt;= EH3/24, PLANS!$L$3 - INT(PLANS!$L$3) &lt; EI3/24), "p", ""),"")</f>
        <v/>
      </c>
      <c r="BL14" s="181" t="str">
        <f ca="1">IF($C$3="TODAY",IF( AND( PLANS!$L$3 - INT(PLANS!$L$3) &gt;= EI3/24, PLANS!$L$3 - INT(PLANS!$L$3) &lt; EJ3/24), "p", ""),"")</f>
        <v/>
      </c>
      <c r="BM14" s="182" t="str">
        <f ca="1">IF($C$3="TODAY",IF( AND( PLANS!$L$3 - INT(PLANS!$L$3) &gt;= EJ3/24, PLANS!$L$3 - INT(PLANS!$L$3) &lt; EK3/24), "p", ""),"")</f>
        <v/>
      </c>
      <c r="BN14" s="180" t="str">
        <f ca="1">IF($C$3="TODAY",IF( AND( PLANS!$L$3 - INT(PLANS!$L$3) &gt;= EK3/24, PLANS!$L$3 - INT(PLANS!$L$3) &lt; EL3/24), "p", ""),"")</f>
        <v/>
      </c>
      <c r="BO14" s="181" t="str">
        <f ca="1">IF($C$3="TODAY",IF( AND( PLANS!$L$3 - INT(PLANS!$L$3) &gt;= EL3/24, PLANS!$L$3 - INT(PLANS!$L$3) &lt; EM3/24), "p", ""),"")</f>
        <v/>
      </c>
      <c r="BP14" s="181" t="str">
        <f ca="1">IF($C$3="TODAY",IF( AND( PLANS!$L$3 - INT(PLANS!$L$3) &gt;= EM3/24, PLANS!$L$3 - INT(PLANS!$L$3) &lt; EN3/24), "p", ""),"")</f>
        <v/>
      </c>
      <c r="BQ14" s="182" t="str">
        <f ca="1">IF($C$3="TODAY",IF( AND( PLANS!$L$3 - INT(PLANS!$L$3) &gt;= EN3/24, PLANS!$L$3 - INT(PLANS!$L$3) &lt; EO3/24), "p", ""),"")</f>
        <v/>
      </c>
      <c r="BR14" s="180" t="str">
        <f ca="1">IF($C$3="TODAY",IF( AND( PLANS!$L$3 - INT(PLANS!$L$3) &gt;= EO3/24, PLANS!$L$3 - INT(PLANS!$L$3) &lt; EP3/24), "p", ""),"")</f>
        <v/>
      </c>
      <c r="BS14" s="181" t="str">
        <f ca="1">IF($C$3="TODAY",IF( AND( PLANS!$L$3 - INT(PLANS!$L$3) &gt;= EP3/24, PLANS!$L$3 - INT(PLANS!$L$3) &lt; EQ3/24), "p", ""),"")</f>
        <v/>
      </c>
      <c r="BT14" s="181" t="str">
        <f ca="1">IF($C$3="TODAY",IF( AND( PLANS!$L$3 - INT(PLANS!$L$3) &gt;= EQ3/24, PLANS!$L$3 - INT(PLANS!$L$3) &lt; ER3/24), "p", ""),"")</f>
        <v/>
      </c>
      <c r="BU14" s="182" t="str">
        <f ca="1">IF($C$3="TODAY",IF( AND( PLANS!$L$3 - INT(PLANS!$L$3) &gt;= ER3/24, PLANS!$L$3 - INT(PLANS!$L$3) &lt; ES3/24), "p", ""),"")</f>
        <v/>
      </c>
      <c r="BV14" s="180" t="str">
        <f ca="1">IF($C$3="TODAY",IF( AND( PLANS!$L$3 - INT(PLANS!$L$3) &gt;= ES3/24, PLANS!$L$3 - INT(PLANS!$L$3) &lt; ET3/24), "p", ""),"")</f>
        <v/>
      </c>
      <c r="BW14" s="181" t="str">
        <f ca="1">IF($C$3="TODAY",IF( AND( PLANS!$L$3 - INT(PLANS!$L$3) &gt;= ET3/24, PLANS!$L$3 - INT(PLANS!$L$3) &lt; EU3/24), "p", ""),"")</f>
        <v/>
      </c>
      <c r="BX14" s="181" t="str">
        <f ca="1">IF($C$3="TODAY",IF( AND( PLANS!$L$3 - INT(PLANS!$L$3) &gt;= EU3/24, PLANS!$L$3 - INT(PLANS!$L$3) &lt; EV3/24), "p", ""),"")</f>
        <v/>
      </c>
      <c r="BY14" s="182" t="str">
        <f ca="1">IF($C$3="TODAY",IF( AND( PLANS!$L$3 - INT(PLANS!$L$3) &gt;= EV3/24, PLANS!$L$3 - INT(PLANS!$L$3) &lt; EW3/24), "p", ""),"")</f>
        <v/>
      </c>
      <c r="BZ14" s="195"/>
      <c r="CA14" s="17"/>
      <c r="CC14" s="188"/>
      <c r="CD14" s="189"/>
      <c r="CE14" s="193">
        <f>IF(CE13=CE12,CE15,0)</f>
        <v>0</v>
      </c>
      <c r="CF14" s="193">
        <f t="shared" ref="CF14:CK14" si="14">IF(CF13=CF12,CF15,0)</f>
        <v>0</v>
      </c>
      <c r="CG14" s="193">
        <f t="shared" si="14"/>
        <v>0</v>
      </c>
      <c r="CH14" s="193">
        <f t="shared" si="14"/>
        <v>0</v>
      </c>
      <c r="CI14" s="193">
        <f t="shared" si="14"/>
        <v>0</v>
      </c>
      <c r="CJ14" s="193">
        <f t="shared" si="14"/>
        <v>0</v>
      </c>
      <c r="CK14" s="193">
        <f t="shared" si="14"/>
        <v>0</v>
      </c>
      <c r="CL14" s="190"/>
      <c r="CM14" s="187"/>
      <c r="CN14" s="188"/>
      <c r="CO14" s="189"/>
      <c r="CP14" s="193">
        <f>IF(CP13=CP12,CP15,0)</f>
        <v>0</v>
      </c>
      <c r="CQ14" s="193">
        <f t="shared" ref="CQ14:CV14" si="15">IF(CQ13=CQ12,CQ15,0)</f>
        <v>0</v>
      </c>
      <c r="CR14" s="193">
        <f t="shared" si="15"/>
        <v>0</v>
      </c>
      <c r="CS14" s="193">
        <f t="shared" si="15"/>
        <v>0</v>
      </c>
      <c r="CT14" s="193">
        <f t="shared" si="15"/>
        <v>0</v>
      </c>
      <c r="CU14" s="193">
        <f t="shared" si="15"/>
        <v>0</v>
      </c>
      <c r="CV14" s="193">
        <f t="shared" si="15"/>
        <v>0</v>
      </c>
      <c r="CW14" s="190"/>
      <c r="CY14" s="188"/>
      <c r="CZ14" s="189"/>
      <c r="DA14" s="193">
        <f>IF(DA13=DA12,DA15,0)</f>
        <v>0</v>
      </c>
      <c r="DB14" s="193">
        <f t="shared" ref="DB14:DG14" si="16">IF(DB13=DB12,DB15,0)</f>
        <v>0</v>
      </c>
      <c r="DC14" s="193">
        <f t="shared" si="16"/>
        <v>0</v>
      </c>
      <c r="DD14" s="193">
        <f t="shared" si="16"/>
        <v>0</v>
      </c>
      <c r="DE14" s="193">
        <f t="shared" si="16"/>
        <v>0</v>
      </c>
      <c r="DF14" s="193">
        <f t="shared" si="16"/>
        <v>0</v>
      </c>
      <c r="DG14" s="193">
        <f t="shared" si="16"/>
        <v>0</v>
      </c>
      <c r="DH14" s="190"/>
      <c r="DS14" s="2078" t="str">
        <f>IF($EG14&lt;10,"0"&amp;$EG14&amp;":00",$EG14&amp;":00")</f>
        <v>10:00</v>
      </c>
      <c r="DT14" s="268"/>
      <c r="DU14" s="2078" t="str">
        <f>IF($EG14&lt;10,"0"&amp;$EG14&amp;":00",$EG14&amp;":00")</f>
        <v>10:00</v>
      </c>
      <c r="DV14" s="268"/>
      <c r="DW14" s="2078" t="str">
        <f>IF($EG14&lt;10,"0"&amp;$EG14&amp;":00",$EG14&amp;":00")</f>
        <v>10:00</v>
      </c>
      <c r="DX14" s="268"/>
      <c r="DY14" s="2078" t="str">
        <f>IF($EG14&lt;10,"0"&amp;$EG14&amp;":00",$EG14&amp;":00")</f>
        <v>10:00</v>
      </c>
      <c r="EC14" s="2078" t="str">
        <f t="shared" ref="EC14" si="17">IF($EG14&lt;10,"0"&amp;$EG14&amp;":00",$EG14&amp;":00")</f>
        <v>10:00</v>
      </c>
      <c r="EG14" s="2179">
        <f t="shared" ref="EG14" si="18">IF(EG13=23,0,EG13+1)</f>
        <v>10</v>
      </c>
      <c r="EH14" s="35"/>
      <c r="EI14" s="2181">
        <v>10</v>
      </c>
    </row>
    <row r="15" spans="1:153" ht="17.100000000000001" customHeight="1" x14ac:dyDescent="0.25">
      <c r="A15" s="17"/>
      <c r="B15" s="170"/>
      <c r="C15" s="3880"/>
      <c r="D15" s="3881"/>
      <c r="E15" s="3882"/>
      <c r="F15" s="2186"/>
      <c r="G15" s="2186"/>
      <c r="H15" s="2187"/>
      <c r="I15" s="2188"/>
      <c r="J15" s="2186"/>
      <c r="K15" s="2187"/>
      <c r="L15" s="2187"/>
      <c r="M15" s="2188"/>
      <c r="N15" s="2186"/>
      <c r="O15" s="2187"/>
      <c r="P15" s="2187"/>
      <c r="Q15" s="2188"/>
      <c r="R15" s="2186"/>
      <c r="S15" s="2187"/>
      <c r="T15" s="2187"/>
      <c r="U15" s="2188"/>
      <c r="V15" s="2186"/>
      <c r="W15" s="2187"/>
      <c r="X15" s="2187"/>
      <c r="Y15" s="2188"/>
      <c r="Z15" s="2186"/>
      <c r="AA15" s="2187"/>
      <c r="AB15" s="2187"/>
      <c r="AC15" s="2188"/>
      <c r="AD15" s="2186"/>
      <c r="AE15" s="2187"/>
      <c r="AF15" s="2187"/>
      <c r="AG15" s="2188"/>
      <c r="AH15" s="2186"/>
      <c r="AI15" s="2187"/>
      <c r="AJ15" s="2187"/>
      <c r="AK15" s="2188"/>
      <c r="AL15" s="2186"/>
      <c r="AM15" s="2187"/>
      <c r="AN15" s="2187"/>
      <c r="AO15" s="2188"/>
      <c r="AP15" s="2186"/>
      <c r="AQ15" s="2187"/>
      <c r="AR15" s="2187"/>
      <c r="AS15" s="2188"/>
      <c r="AT15" s="2186"/>
      <c r="AU15" s="2187"/>
      <c r="AV15" s="2187"/>
      <c r="AW15" s="2188"/>
      <c r="AX15" s="2186"/>
      <c r="AY15" s="2187"/>
      <c r="AZ15" s="2187"/>
      <c r="BA15" s="2188"/>
      <c r="BB15" s="2186"/>
      <c r="BC15" s="2187"/>
      <c r="BD15" s="2187"/>
      <c r="BE15" s="2188"/>
      <c r="BF15" s="2186"/>
      <c r="BG15" s="2187"/>
      <c r="BH15" s="2187"/>
      <c r="BI15" s="2188"/>
      <c r="BJ15" s="2186"/>
      <c r="BK15" s="2187"/>
      <c r="BL15" s="2187"/>
      <c r="BM15" s="2188"/>
      <c r="BN15" s="2186"/>
      <c r="BO15" s="2187"/>
      <c r="BP15" s="2187"/>
      <c r="BQ15" s="2188"/>
      <c r="BR15" s="2186"/>
      <c r="BS15" s="2187"/>
      <c r="BT15" s="2187"/>
      <c r="BU15" s="2188"/>
      <c r="BV15" s="2186"/>
      <c r="BW15" s="2187"/>
      <c r="BX15" s="2187"/>
      <c r="BY15" s="2187"/>
      <c r="BZ15" s="195"/>
      <c r="CA15" s="17"/>
      <c r="CC15" s="196"/>
      <c r="CD15" s="197"/>
      <c r="CE15" s="198">
        <v>1</v>
      </c>
      <c r="CF15" s="198">
        <v>2</v>
      </c>
      <c r="CG15" s="198">
        <v>3</v>
      </c>
      <c r="CH15" s="198">
        <v>4</v>
      </c>
      <c r="CI15" s="198">
        <v>5</v>
      </c>
      <c r="CJ15" s="198">
        <v>6</v>
      </c>
      <c r="CK15" s="198">
        <v>7</v>
      </c>
      <c r="CL15" s="199"/>
      <c r="CM15" s="187"/>
      <c r="CN15" s="196"/>
      <c r="CO15" s="197"/>
      <c r="CP15" s="198">
        <v>1</v>
      </c>
      <c r="CQ15" s="198">
        <v>2</v>
      </c>
      <c r="CR15" s="198">
        <v>3</v>
      </c>
      <c r="CS15" s="198">
        <v>4</v>
      </c>
      <c r="CT15" s="198">
        <v>5</v>
      </c>
      <c r="CU15" s="198">
        <v>6</v>
      </c>
      <c r="CV15" s="198">
        <v>7</v>
      </c>
      <c r="CW15" s="199"/>
      <c r="CY15" s="196"/>
      <c r="CZ15" s="197"/>
      <c r="DA15" s="198">
        <v>1</v>
      </c>
      <c r="DB15" s="198">
        <v>2</v>
      </c>
      <c r="DC15" s="198">
        <v>3</v>
      </c>
      <c r="DD15" s="198">
        <v>4</v>
      </c>
      <c r="DE15" s="198">
        <v>5</v>
      </c>
      <c r="DF15" s="198">
        <v>6</v>
      </c>
      <c r="DG15" s="198">
        <v>7</v>
      </c>
      <c r="DH15" s="199"/>
      <c r="DS15" s="2078" t="str">
        <f>IF($EG15&lt;10,"0"&amp;$EG15&amp;":30",$EG15&amp;":30")</f>
        <v>10:30</v>
      </c>
      <c r="DT15" s="268"/>
      <c r="DU15" s="2078" t="str">
        <f>IF($EG15&lt;10,"0"&amp;$EG15&amp;":30",$EG15&amp;":30")</f>
        <v>10:30</v>
      </c>
      <c r="DV15" s="268"/>
      <c r="DW15" s="2078" t="str">
        <f>IF($EG15&lt;10,"0"&amp;$EG15&amp;":30",$EG15&amp;":30")</f>
        <v>10:30</v>
      </c>
      <c r="DX15" s="268"/>
      <c r="DY15" s="2078" t="str">
        <f>IF($EG15&lt;10,"0"&amp;$EG15&amp;":30",$EG15&amp;":30")</f>
        <v>10:30</v>
      </c>
      <c r="EC15" s="2078" t="str">
        <f t="shared" ref="EC15" si="19">IF($EG15&lt;10,"0"&amp;$EG15&amp;":30",$EG15&amp;":30")</f>
        <v>10:30</v>
      </c>
      <c r="EG15" s="2179">
        <f t="shared" ref="EG15" si="20">EG14</f>
        <v>10</v>
      </c>
      <c r="EH15" s="35"/>
      <c r="EI15" s="2181">
        <v>11</v>
      </c>
    </row>
    <row r="16" spans="1:153" ht="17.100000000000001" customHeight="1" x14ac:dyDescent="0.15">
      <c r="A16" s="17"/>
      <c r="B16" s="170"/>
      <c r="C16" s="3880"/>
      <c r="D16" s="3881"/>
      <c r="E16" s="3882"/>
      <c r="F16" s="2186"/>
      <c r="G16" s="2186"/>
      <c r="H16" s="2187"/>
      <c r="I16" s="2188"/>
      <c r="J16" s="2186"/>
      <c r="K16" s="2187"/>
      <c r="L16" s="2187"/>
      <c r="M16" s="2188"/>
      <c r="N16" s="2186"/>
      <c r="O16" s="2187"/>
      <c r="P16" s="2187"/>
      <c r="Q16" s="2188"/>
      <c r="R16" s="2186"/>
      <c r="S16" s="2187"/>
      <c r="T16" s="2187"/>
      <c r="U16" s="2188"/>
      <c r="V16" s="2186"/>
      <c r="W16" s="2187"/>
      <c r="X16" s="2187"/>
      <c r="Y16" s="2188"/>
      <c r="Z16" s="2186"/>
      <c r="AA16" s="2187"/>
      <c r="AB16" s="2187"/>
      <c r="AC16" s="2188"/>
      <c r="AD16" s="2186"/>
      <c r="AE16" s="2187"/>
      <c r="AF16" s="2187"/>
      <c r="AG16" s="2188"/>
      <c r="AH16" s="2186"/>
      <c r="AI16" s="2187"/>
      <c r="AJ16" s="2187"/>
      <c r="AK16" s="2188"/>
      <c r="AL16" s="2186"/>
      <c r="AM16" s="2187"/>
      <c r="AN16" s="2187"/>
      <c r="AO16" s="2188"/>
      <c r="AP16" s="2186"/>
      <c r="AQ16" s="2187"/>
      <c r="AR16" s="2187"/>
      <c r="AS16" s="2188"/>
      <c r="AT16" s="2186"/>
      <c r="AU16" s="2187"/>
      <c r="AV16" s="2187"/>
      <c r="AW16" s="2188"/>
      <c r="AX16" s="2186"/>
      <c r="AY16" s="2187"/>
      <c r="AZ16" s="2187"/>
      <c r="BA16" s="2188"/>
      <c r="BB16" s="2186"/>
      <c r="BC16" s="2187"/>
      <c r="BD16" s="2187"/>
      <c r="BE16" s="2188"/>
      <c r="BF16" s="2186"/>
      <c r="BG16" s="2187"/>
      <c r="BH16" s="2187"/>
      <c r="BI16" s="2188"/>
      <c r="BJ16" s="2186"/>
      <c r="BK16" s="2187"/>
      <c r="BL16" s="2187"/>
      <c r="BM16" s="2188"/>
      <c r="BN16" s="2186"/>
      <c r="BO16" s="2187"/>
      <c r="BP16" s="2187"/>
      <c r="BQ16" s="2188"/>
      <c r="BR16" s="2186"/>
      <c r="BS16" s="2187"/>
      <c r="BT16" s="2187"/>
      <c r="BU16" s="2188"/>
      <c r="BV16" s="2186"/>
      <c r="BW16" s="2187"/>
      <c r="BX16" s="2187"/>
      <c r="BY16" s="2187"/>
      <c r="BZ16" s="195"/>
      <c r="CA16" s="17"/>
      <c r="DS16" s="2078" t="str">
        <f>IF($EG16&lt;10,"0"&amp;$EG16&amp;":00",$EG16&amp;":00")</f>
        <v>11:00</v>
      </c>
      <c r="DT16" s="268"/>
      <c r="DU16" s="2078" t="str">
        <f>IF($EG16&lt;10,"0"&amp;$EG16&amp;":00",$EG16&amp;":00")</f>
        <v>11:00</v>
      </c>
      <c r="DV16" s="268"/>
      <c r="DW16" s="2078" t="str">
        <f>IF($EG16&lt;10,"0"&amp;$EG16&amp;":00",$EG16&amp;":00")</f>
        <v>11:00</v>
      </c>
      <c r="DX16" s="268"/>
      <c r="DY16" s="2078" t="str">
        <f>IF($EG16&lt;10,"0"&amp;$EG16&amp;":00",$EG16&amp;":00")</f>
        <v>11:00</v>
      </c>
      <c r="EC16" s="2078" t="str">
        <f t="shared" ref="EC16" si="21">IF($EG16&lt;10,"0"&amp;$EG16&amp;":00",$EG16&amp;":00")</f>
        <v>11:00</v>
      </c>
      <c r="EG16" s="2179">
        <f t="shared" ref="EG16" si="22">IF(EG15=23,0,EG15+1)</f>
        <v>11</v>
      </c>
      <c r="EH16" s="35"/>
      <c r="EI16" s="2181">
        <v>12</v>
      </c>
    </row>
    <row r="17" spans="1:139" ht="17.100000000000001" customHeight="1" x14ac:dyDescent="0.25">
      <c r="A17" s="17"/>
      <c r="B17" s="170"/>
      <c r="C17" s="3880"/>
      <c r="D17" s="3881"/>
      <c r="E17" s="3882"/>
      <c r="F17" s="2203"/>
      <c r="G17" s="2177"/>
      <c r="H17" s="2178"/>
      <c r="I17" s="2177"/>
      <c r="J17" s="2178"/>
      <c r="K17" s="2177"/>
      <c r="L17" s="2178"/>
      <c r="M17" s="2177"/>
      <c r="N17" s="2178"/>
      <c r="O17" s="2177"/>
      <c r="P17" s="2178"/>
      <c r="Q17" s="2177"/>
      <c r="R17" s="2178"/>
      <c r="S17" s="2177"/>
      <c r="T17" s="2178"/>
      <c r="U17" s="2177"/>
      <c r="V17" s="2178"/>
      <c r="W17" s="2177"/>
      <c r="X17" s="2178"/>
      <c r="Y17" s="2177"/>
      <c r="Z17" s="2178"/>
      <c r="AA17" s="2177"/>
      <c r="AB17" s="2178"/>
      <c r="AC17" s="2177"/>
      <c r="AD17" s="2178"/>
      <c r="AE17" s="2177"/>
      <c r="AF17" s="2178"/>
      <c r="AG17" s="2177"/>
      <c r="AH17" s="2178"/>
      <c r="AI17" s="2177"/>
      <c r="AJ17" s="2178"/>
      <c r="AK17" s="2177"/>
      <c r="AL17" s="2178"/>
      <c r="AM17" s="2177"/>
      <c r="AN17" s="2178"/>
      <c r="AO17" s="2177"/>
      <c r="AP17" s="2177"/>
      <c r="AQ17" s="2177"/>
      <c r="AR17" s="2177"/>
      <c r="AS17" s="2177"/>
      <c r="AT17" s="2177"/>
      <c r="AU17" s="2177"/>
      <c r="AV17" s="2177"/>
      <c r="AW17" s="2177"/>
      <c r="AX17" s="2177"/>
      <c r="AY17" s="2177"/>
      <c r="AZ17" s="2177"/>
      <c r="BA17" s="2177"/>
      <c r="BB17" s="2177"/>
      <c r="BC17" s="2177"/>
      <c r="BD17" s="2177"/>
      <c r="BE17" s="2177"/>
      <c r="BF17" s="2177"/>
      <c r="BG17" s="2177"/>
      <c r="BH17" s="2177" t="s">
        <v>47</v>
      </c>
      <c r="BI17" s="2177"/>
      <c r="BJ17" s="2177"/>
      <c r="BK17" s="2177"/>
      <c r="BL17" s="2177"/>
      <c r="BM17" s="2177"/>
      <c r="BN17" s="2177"/>
      <c r="BO17" s="2177"/>
      <c r="BP17" s="2177"/>
      <c r="BQ17" s="2177"/>
      <c r="BR17" s="2177"/>
      <c r="BS17" s="2177"/>
      <c r="BT17" s="2177"/>
      <c r="BU17" s="2177"/>
      <c r="BV17" s="2177"/>
      <c r="BW17" s="2177"/>
      <c r="BX17" s="2177"/>
      <c r="BY17" s="2177"/>
      <c r="BZ17" s="195"/>
      <c r="CA17" s="17"/>
      <c r="CC17" s="183"/>
      <c r="CD17" s="183"/>
      <c r="CE17" s="183"/>
      <c r="CF17" s="3886"/>
      <c r="CG17" s="3886"/>
      <c r="CH17" s="3886"/>
      <c r="CI17" s="183"/>
      <c r="CJ17" s="183"/>
      <c r="CK17" s="183"/>
      <c r="CL17" s="183"/>
      <c r="CM17" s="183"/>
      <c r="CN17" s="183"/>
      <c r="CO17" s="183"/>
      <c r="CP17" s="183"/>
      <c r="CQ17" s="183"/>
      <c r="CR17" s="183"/>
      <c r="CS17" s="183"/>
      <c r="DJ17" s="28"/>
      <c r="DK17" s="28"/>
      <c r="DL17" s="28"/>
      <c r="DM17" s="28"/>
      <c r="DS17" s="2078" t="str">
        <f>IF($EG17&lt;10,"0"&amp;$EG17&amp;":30",$EG17&amp;":30")</f>
        <v>11:30</v>
      </c>
      <c r="DT17" s="268"/>
      <c r="DU17" s="2078" t="str">
        <f>IF($EG17&lt;10,"0"&amp;$EG17&amp;":30",$EG17&amp;":30")</f>
        <v>11:30</v>
      </c>
      <c r="DV17" s="268"/>
      <c r="DW17" s="2078" t="str">
        <f>IF($EG17&lt;10,"0"&amp;$EG17&amp;":30",$EG17&amp;":30")</f>
        <v>11:30</v>
      </c>
      <c r="DX17" s="268"/>
      <c r="DY17" s="2078" t="str">
        <f>IF($EG17&lt;10,"0"&amp;$EG17&amp;":30",$EG17&amp;":30")</f>
        <v>11:30</v>
      </c>
      <c r="EC17" s="2078" t="str">
        <f t="shared" ref="EC17" si="23">IF($EG17&lt;10,"0"&amp;$EG17&amp;":30",$EG17&amp;":30")</f>
        <v>11:30</v>
      </c>
      <c r="EG17" s="2179">
        <f t="shared" ref="EG17" si="24">EG16</f>
        <v>11</v>
      </c>
      <c r="EH17" s="35"/>
      <c r="EI17" s="2181">
        <v>13</v>
      </c>
    </row>
    <row r="18" spans="1:139" ht="17.100000000000001" customHeight="1" x14ac:dyDescent="0.25">
      <c r="A18" s="17"/>
      <c r="B18" s="170"/>
      <c r="C18" s="3880"/>
      <c r="D18" s="3881"/>
      <c r="E18" s="3881"/>
      <c r="F18" s="2204"/>
      <c r="G18" s="2205"/>
      <c r="H18" s="2204"/>
      <c r="I18" s="2204"/>
      <c r="J18" s="2204"/>
      <c r="K18" s="2204"/>
      <c r="L18" s="2204"/>
      <c r="M18" s="2204"/>
      <c r="N18" s="2204"/>
      <c r="O18" s="2204"/>
      <c r="P18" s="2267"/>
      <c r="Q18" s="2271"/>
      <c r="R18" s="2272"/>
      <c r="S18" s="2271"/>
      <c r="T18" s="2272"/>
      <c r="U18" s="2271"/>
      <c r="V18" s="2272"/>
      <c r="W18" s="2271"/>
      <c r="X18" s="2271" t="s">
        <v>1325</v>
      </c>
      <c r="Y18" s="2272" t="s">
        <v>1321</v>
      </c>
      <c r="Z18" s="2272"/>
      <c r="AA18" s="2271"/>
      <c r="AB18" s="2272"/>
      <c r="AC18" s="2271"/>
      <c r="AD18" s="2272"/>
      <c r="AE18" s="2271"/>
      <c r="AF18" s="2272"/>
      <c r="AG18" s="2273"/>
      <c r="AH18" s="2271"/>
      <c r="AI18" s="2274"/>
      <c r="AJ18" s="2271"/>
      <c r="AK18" s="2274"/>
      <c r="AL18" s="2271"/>
      <c r="AM18" s="2274"/>
      <c r="AN18" s="2271"/>
      <c r="AO18" s="2271" t="s">
        <v>1326</v>
      </c>
      <c r="AP18" s="2274" t="s">
        <v>1329</v>
      </c>
      <c r="AQ18" s="2274"/>
      <c r="AR18" s="2271"/>
      <c r="AS18" s="2274"/>
      <c r="AT18" s="2271"/>
      <c r="AU18" s="2274"/>
      <c r="AV18" s="2271"/>
      <c r="AW18" s="2274"/>
      <c r="AX18" s="2275"/>
      <c r="AY18" s="2271"/>
      <c r="AZ18" s="2274"/>
      <c r="BA18" s="2271"/>
      <c r="BB18" s="2274"/>
      <c r="BC18" s="2271"/>
      <c r="BD18" s="2274"/>
      <c r="BE18" s="2271"/>
      <c r="BF18" s="2271" t="s">
        <v>1327</v>
      </c>
      <c r="BG18" s="2274" t="s">
        <v>1330</v>
      </c>
      <c r="BH18" s="2274"/>
      <c r="BI18" s="2271"/>
      <c r="BJ18" s="2274"/>
      <c r="BK18" s="2271"/>
      <c r="BL18" s="2274"/>
      <c r="BM18" s="2271"/>
      <c r="BN18" s="2274"/>
      <c r="BO18" s="2268"/>
      <c r="BP18" s="2204"/>
      <c r="BQ18" s="2204"/>
      <c r="BR18" s="2204"/>
      <c r="BS18" s="2204"/>
      <c r="BT18" s="2204"/>
      <c r="BU18" s="2204"/>
      <c r="BV18" s="2204"/>
      <c r="BW18" s="2204"/>
      <c r="BX18" s="2206"/>
      <c r="BY18" s="2207"/>
      <c r="BZ18" s="170"/>
      <c r="CA18" s="17"/>
      <c r="CC18" s="183"/>
      <c r="CD18" s="183"/>
      <c r="CE18" s="183"/>
      <c r="CF18" s="3886"/>
      <c r="CG18" s="3886"/>
      <c r="CH18" s="3886"/>
      <c r="CI18" s="183"/>
      <c r="CJ18" s="183"/>
      <c r="CK18" s="183"/>
      <c r="CL18" s="183"/>
      <c r="CM18" s="183"/>
      <c r="CN18" s="183"/>
      <c r="CO18" s="183"/>
      <c r="CP18" s="183"/>
      <c r="CQ18" s="183"/>
      <c r="CR18" s="183"/>
      <c r="CS18" s="183"/>
      <c r="CY18" s="45" t="s">
        <v>93</v>
      </c>
      <c r="DB18" s="2080" t="str">
        <f ca="1">IF('^'!$BK$45="A C T I V E",IF(TIMINGS!$C$3="2MORO",PLANS!$B$1+1,PLANS!$B$1),"")</f>
        <v/>
      </c>
      <c r="DC18" s="2081" t="str">
        <f ca="1">_xlfn.IFS(OR(DB18=1,DB18=21,DB18=31),"st",OR(DB18=2,DB18=22),"nd",OR(DB18=3,DB18=23),"rd",DB18="", "", TRUE,"th")</f>
        <v/>
      </c>
      <c r="DE18" s="3863" t="str">
        <f>IF($L$19=""," BFAST"," "&amp;$L$19)</f>
        <v xml:space="preserve"> BFAST </v>
      </c>
      <c r="DF18" s="3864"/>
      <c r="DG18" s="3849">
        <f>IF(AND($N$19&lt;&gt;"",$N$19&lt;&gt;"-"),VALUE(LEFT($N$19,2)&amp;"."&amp;RIGHT($N$19,2)),"")</f>
        <v>7</v>
      </c>
      <c r="DH18" s="3849"/>
      <c r="DJ18" s="28"/>
      <c r="DK18" s="28"/>
      <c r="DL18" s="28"/>
      <c r="DM18" s="28"/>
      <c r="DS18" s="2078" t="str">
        <f>IF($EG18&lt;10,"0"&amp;$EG18&amp;":00",$EG18&amp;":00")</f>
        <v>12:00</v>
      </c>
      <c r="DT18" s="268"/>
      <c r="DU18" s="2078" t="str">
        <f>IF($EG18&lt;10,"0"&amp;$EG18&amp;":00",$EG18&amp;":00")</f>
        <v>12:00</v>
      </c>
      <c r="DV18" s="268"/>
      <c r="DW18" s="2078" t="str">
        <f>IF($EG18&lt;10,"0"&amp;$EG18&amp;":00",$EG18&amp;":00")</f>
        <v>12:00</v>
      </c>
      <c r="DX18" s="268"/>
      <c r="DY18" s="2078" t="str">
        <f>IF($EG18&lt;10,"0"&amp;$EG18&amp;":00",$EG18&amp;":00")</f>
        <v>12:00</v>
      </c>
      <c r="EC18" s="2078" t="str">
        <f t="shared" ref="EC18" si="25">IF($EG18&lt;10,"0"&amp;$EG18&amp;":00",$EG18&amp;":00")</f>
        <v>12:00</v>
      </c>
      <c r="EG18" s="2179">
        <f t="shared" ref="EG18" si="26">IF(EG17=23,0,EG17+1)</f>
        <v>12</v>
      </c>
      <c r="EH18" s="35"/>
      <c r="EI18" s="2181">
        <v>14</v>
      </c>
    </row>
    <row r="19" spans="1:139" ht="17.100000000000001" customHeight="1" x14ac:dyDescent="0.15">
      <c r="A19" s="17"/>
      <c r="B19" s="170"/>
      <c r="C19" s="3880"/>
      <c r="D19" s="3881"/>
      <c r="E19" s="3881"/>
      <c r="F19" s="2208"/>
      <c r="G19" s="2208"/>
      <c r="H19" s="3891" t="s">
        <v>794</v>
      </c>
      <c r="I19" s="3892"/>
      <c r="J19" s="3893"/>
      <c r="K19" s="2204"/>
      <c r="L19" s="3887" t="s">
        <v>2449</v>
      </c>
      <c r="M19" s="3887"/>
      <c r="N19" s="3853" t="s">
        <v>2450</v>
      </c>
      <c r="O19" s="3853"/>
      <c r="P19" s="2205"/>
      <c r="Q19" s="3856" t="s">
        <v>415</v>
      </c>
      <c r="R19" s="3856"/>
      <c r="S19" s="3868" t="s">
        <v>46</v>
      </c>
      <c r="T19" s="3868"/>
      <c r="U19" s="3868" t="s">
        <v>365</v>
      </c>
      <c r="V19" s="3868"/>
      <c r="W19" s="3868" t="s">
        <v>45</v>
      </c>
      <c r="X19" s="3868"/>
      <c r="Y19" s="3868" t="s">
        <v>365</v>
      </c>
      <c r="Z19" s="3868"/>
      <c r="AA19" s="3868" t="s">
        <v>413</v>
      </c>
      <c r="AB19" s="3868"/>
      <c r="AC19" s="3862" t="s">
        <v>397</v>
      </c>
      <c r="AD19" s="3862"/>
      <c r="AE19" s="3862" t="s">
        <v>397</v>
      </c>
      <c r="AF19" s="3862"/>
      <c r="AG19" s="2269"/>
      <c r="AH19" s="3856" t="s">
        <v>416</v>
      </c>
      <c r="AI19" s="3856"/>
      <c r="AJ19" s="3868" t="s">
        <v>46</v>
      </c>
      <c r="AK19" s="3868"/>
      <c r="AL19" s="3868" t="s">
        <v>365</v>
      </c>
      <c r="AM19" s="3868"/>
      <c r="AN19" s="3868" t="s">
        <v>45</v>
      </c>
      <c r="AO19" s="3868"/>
      <c r="AP19" s="3868" t="s">
        <v>365</v>
      </c>
      <c r="AQ19" s="3868"/>
      <c r="AR19" s="3868" t="s">
        <v>413</v>
      </c>
      <c r="AS19" s="3868"/>
      <c r="AT19" s="3862" t="s">
        <v>397</v>
      </c>
      <c r="AU19" s="3862"/>
      <c r="AV19" s="3862" t="s">
        <v>397</v>
      </c>
      <c r="AW19" s="3862"/>
      <c r="AX19" s="2270"/>
      <c r="AY19" s="3856" t="s">
        <v>416</v>
      </c>
      <c r="AZ19" s="3856"/>
      <c r="BA19" s="3868" t="s">
        <v>46</v>
      </c>
      <c r="BB19" s="3868"/>
      <c r="BC19" s="3868" t="s">
        <v>365</v>
      </c>
      <c r="BD19" s="3868"/>
      <c r="BE19" s="3868" t="s">
        <v>397</v>
      </c>
      <c r="BF19" s="3868"/>
      <c r="BG19" s="3868" t="s">
        <v>365</v>
      </c>
      <c r="BH19" s="3868"/>
      <c r="BI19" s="3868" t="s">
        <v>413</v>
      </c>
      <c r="BJ19" s="3868"/>
      <c r="BK19" s="3862" t="s">
        <v>397</v>
      </c>
      <c r="BL19" s="3862"/>
      <c r="BM19" s="3862" t="s">
        <v>397</v>
      </c>
      <c r="BN19" s="3862"/>
      <c r="BO19" s="2204"/>
      <c r="BP19" s="3888" t="s">
        <v>2447</v>
      </c>
      <c r="BQ19" s="3888"/>
      <c r="BR19" s="3853" t="s">
        <v>2451</v>
      </c>
      <c r="BS19" s="3853"/>
      <c r="BT19" s="2204"/>
      <c r="BU19" s="3865" t="s">
        <v>795</v>
      </c>
      <c r="BV19" s="3866"/>
      <c r="BW19" s="3867"/>
      <c r="BX19" s="2211"/>
      <c r="BY19" s="2211"/>
      <c r="BZ19" s="170"/>
      <c r="CA19" s="17"/>
      <c r="CF19" s="200" t="s">
        <v>315</v>
      </c>
      <c r="CG19" s="200"/>
      <c r="CH19" s="200"/>
      <c r="CK19" s="200" t="s">
        <v>317</v>
      </c>
      <c r="CY19" s="45" t="s">
        <v>780</v>
      </c>
      <c r="DB19" s="3854" t="str">
        <f>MISSIONS!$AK$2</f>
        <v>MTH</v>
      </c>
      <c r="DC19" s="3855"/>
      <c r="DE19" s="3852" t="str">
        <f>IF($L$20=""," LUNCH"," "&amp;$L$20)</f>
        <v xml:space="preserve"> LUNCH </v>
      </c>
      <c r="DF19" s="3852"/>
      <c r="DG19" s="3849">
        <f>IF(AND($N$20&lt;&gt;"",$N$20&lt;&gt;"-"),VALUE(LEFT($N$20,2)&amp;"."&amp;RIGHT($N$20,2)),"")</f>
        <v>13</v>
      </c>
      <c r="DH19" s="3849"/>
      <c r="DJ19" s="28"/>
      <c r="DK19" s="28"/>
      <c r="DL19" s="28"/>
      <c r="DM19" s="28"/>
      <c r="DS19" s="2078" t="str">
        <f>IF($EG19&lt;10,"0"&amp;$EG19&amp;":30",$EG19&amp;":30")</f>
        <v>12:30</v>
      </c>
      <c r="DT19" s="268"/>
      <c r="DU19" s="2078" t="str">
        <f>IF($EG19&lt;10,"0"&amp;$EG19&amp;":30",$EG19&amp;":30")</f>
        <v>12:30</v>
      </c>
      <c r="DV19" s="268"/>
      <c r="DW19" s="2078" t="str">
        <f>IF($EG19&lt;10,"0"&amp;$EG19&amp;":30",$EG19&amp;":30")</f>
        <v>12:30</v>
      </c>
      <c r="DX19" s="268"/>
      <c r="DY19" s="2078" t="str">
        <f>IF($EG19&lt;10,"0"&amp;$EG19&amp;":30",$EG19&amp;":30")</f>
        <v>12:30</v>
      </c>
      <c r="EC19" s="2078" t="str">
        <f t="shared" ref="EC19" si="27">IF($EG19&lt;10,"0"&amp;$EG19&amp;":30",$EG19&amp;":30")</f>
        <v>12:30</v>
      </c>
      <c r="EG19" s="2179">
        <f t="shared" ref="EG19" si="28">EG18</f>
        <v>12</v>
      </c>
      <c r="EH19" s="35"/>
      <c r="EI19" s="2181">
        <v>15</v>
      </c>
    </row>
    <row r="20" spans="1:139" ht="17.100000000000001" customHeight="1" x14ac:dyDescent="0.25">
      <c r="A20" s="17"/>
      <c r="B20" s="170"/>
      <c r="C20" s="3883"/>
      <c r="D20" s="3884"/>
      <c r="E20" s="3884"/>
      <c r="F20" s="2212"/>
      <c r="G20" s="2212"/>
      <c r="H20" s="2213" t="s">
        <v>128</v>
      </c>
      <c r="I20" s="3859">
        <v>7</v>
      </c>
      <c r="J20" s="3859"/>
      <c r="K20" s="2204"/>
      <c r="L20" s="3887" t="s">
        <v>2448</v>
      </c>
      <c r="M20" s="3887"/>
      <c r="N20" s="3853" t="s">
        <v>2351</v>
      </c>
      <c r="O20" s="3853"/>
      <c r="P20" s="2205"/>
      <c r="Q20" s="3857" t="s">
        <v>414</v>
      </c>
      <c r="R20" s="3857"/>
      <c r="S20" s="3858" t="s">
        <v>2443</v>
      </c>
      <c r="T20" s="3859"/>
      <c r="U20" s="2214" t="s">
        <v>128</v>
      </c>
      <c r="V20" s="3858" t="s">
        <v>2351</v>
      </c>
      <c r="W20" s="3859"/>
      <c r="X20" s="3889" t="s">
        <v>1396</v>
      </c>
      <c r="Y20" s="3890"/>
      <c r="Z20" s="2210" t="s">
        <v>337</v>
      </c>
      <c r="AA20" s="3860" t="s">
        <v>1506</v>
      </c>
      <c r="AB20" s="3861"/>
      <c r="AC20" s="2214" t="s">
        <v>128</v>
      </c>
      <c r="AD20" s="3860" t="s">
        <v>2351</v>
      </c>
      <c r="AE20" s="3861"/>
      <c r="AF20" s="2209" t="s">
        <v>525</v>
      </c>
      <c r="AG20" s="2205"/>
      <c r="AH20" s="3857" t="s">
        <v>417</v>
      </c>
      <c r="AI20" s="3857"/>
      <c r="AJ20" s="3858" t="s">
        <v>2444</v>
      </c>
      <c r="AK20" s="3859"/>
      <c r="AL20" s="2214" t="s">
        <v>128</v>
      </c>
      <c r="AM20" s="3858" t="s">
        <v>2431</v>
      </c>
      <c r="AN20" s="3859"/>
      <c r="AO20" s="3889" t="s">
        <v>1396</v>
      </c>
      <c r="AP20" s="3890"/>
      <c r="AQ20" s="2210" t="s">
        <v>337</v>
      </c>
      <c r="AR20" s="3860" t="s">
        <v>2444</v>
      </c>
      <c r="AS20" s="3861"/>
      <c r="AT20" s="2214" t="s">
        <v>128</v>
      </c>
      <c r="AU20" s="3860" t="s">
        <v>2451</v>
      </c>
      <c r="AV20" s="3861"/>
      <c r="AW20" s="2209" t="s">
        <v>525</v>
      </c>
      <c r="AX20" s="2204"/>
      <c r="AY20" s="3857" t="s">
        <v>417</v>
      </c>
      <c r="AZ20" s="3857"/>
      <c r="BA20" s="3858" t="s">
        <v>1331</v>
      </c>
      <c r="BB20" s="3859"/>
      <c r="BC20" s="2214" t="s">
        <v>128</v>
      </c>
      <c r="BD20" s="3858" t="s">
        <v>2446</v>
      </c>
      <c r="BE20" s="3859"/>
      <c r="BF20" s="3889" t="s">
        <v>1396</v>
      </c>
      <c r="BG20" s="3890"/>
      <c r="BH20" s="2210" t="s">
        <v>337</v>
      </c>
      <c r="BI20" s="3860" t="s">
        <v>1331</v>
      </c>
      <c r="BJ20" s="3861"/>
      <c r="BK20" s="2214" t="s">
        <v>128</v>
      </c>
      <c r="BL20" s="3860" t="s">
        <v>2352</v>
      </c>
      <c r="BM20" s="3861"/>
      <c r="BN20" s="2209" t="s">
        <v>525</v>
      </c>
      <c r="BO20" s="2204"/>
      <c r="BP20" s="3888" t="s">
        <v>1328</v>
      </c>
      <c r="BQ20" s="3888"/>
      <c r="BR20" s="3853" t="s">
        <v>2445</v>
      </c>
      <c r="BS20" s="3853"/>
      <c r="BT20" s="2204"/>
      <c r="BU20" s="3850">
        <f>IF(I20&gt;=8,I20-8,I20+16)</f>
        <v>23</v>
      </c>
      <c r="BV20" s="3850"/>
      <c r="BW20" s="2214" t="s">
        <v>796</v>
      </c>
      <c r="BX20" s="2215"/>
      <c r="BY20" s="2215"/>
      <c r="BZ20" s="170"/>
      <c r="CA20" s="17"/>
      <c r="CF20" s="3886" t="e">
        <f ca="1">IF( '^'!$BK$45="A C T I V E",TODAY(), '^'!$CC$58)</f>
        <v>#VALUE!</v>
      </c>
      <c r="CG20" s="3886"/>
      <c r="CH20" s="3886"/>
      <c r="CK20" s="202" t="s">
        <v>316</v>
      </c>
      <c r="CL20" s="203"/>
      <c r="CM20" s="203"/>
      <c r="DB20" s="3851" t="e">
        <f ca="1">IF('^'!$BK$45="A C T I V E",PLANS!$L$3,DB21)</f>
        <v>#VALUE!</v>
      </c>
      <c r="DC20" s="3851"/>
      <c r="DE20" s="3852" t="str">
        <f>IF($BP$19=""," BREAK"," "&amp;$BP$19)</f>
        <v xml:space="preserve"> SNACK </v>
      </c>
      <c r="DF20" s="3852"/>
      <c r="DG20" s="3849">
        <f>IF(AND($BR$19&lt;&gt;"",$BR$19&lt;&gt;"-"),VALUE(LEFT($BR$19,2)&amp;"."&amp;RIGHT($BR$19,2)),"")</f>
        <v>15.3</v>
      </c>
      <c r="DH20" s="3849"/>
      <c r="DJ20" s="28"/>
      <c r="DK20" s="28"/>
      <c r="DL20" s="28"/>
      <c r="DM20" s="28"/>
      <c r="DS20" s="2078" t="str">
        <f>IF($EG20&lt;10,"0"&amp;$EG20&amp;":00",$EG20&amp;":00")</f>
        <v>13:00</v>
      </c>
      <c r="DT20" s="268"/>
      <c r="DU20" s="2078" t="str">
        <f>IF($EG20&lt;10,"0"&amp;$EG20&amp;":00",$EG20&amp;":00")</f>
        <v>13:00</v>
      </c>
      <c r="DV20" s="268"/>
      <c r="DW20" s="2078" t="str">
        <f>IF($EG20&lt;10,"0"&amp;$EG20&amp;":00",$EG20&amp;":00")</f>
        <v>13:00</v>
      </c>
      <c r="DX20" s="268"/>
      <c r="DY20" s="2078" t="str">
        <f>IF($EG20&lt;10,"0"&amp;$EG20&amp;":00",$EG20&amp;":00")</f>
        <v>13:00</v>
      </c>
      <c r="EC20" s="2078" t="str">
        <f t="shared" ref="EC20" si="29">IF($EG20&lt;10,"0"&amp;$EG20&amp;":00",$EG20&amp;":00")</f>
        <v>13:00</v>
      </c>
      <c r="EG20" s="2179">
        <f t="shared" ref="EG20" si="30">IF(EG19=23,0,EG19+1)</f>
        <v>13</v>
      </c>
      <c r="EH20" s="35"/>
      <c r="EI20" s="2182">
        <v>16</v>
      </c>
    </row>
    <row r="21" spans="1:139" ht="17.100000000000001" customHeight="1" x14ac:dyDescent="0.15">
      <c r="A21" s="17"/>
      <c r="B21" s="170"/>
      <c r="C21" s="204"/>
      <c r="D21" s="204"/>
      <c r="E21" s="204"/>
      <c r="F21" s="170"/>
      <c r="G21" s="170"/>
      <c r="H21" s="170"/>
      <c r="I21" s="170"/>
      <c r="J21" s="170"/>
      <c r="K21" s="170"/>
      <c r="L21" s="170"/>
      <c r="M21" s="170"/>
      <c r="N21" s="170"/>
      <c r="O21" s="170"/>
      <c r="P21" s="170"/>
      <c r="Q21" s="170"/>
      <c r="R21" s="170"/>
      <c r="S21" s="170"/>
      <c r="T21" s="170"/>
      <c r="U21" s="170"/>
      <c r="V21" s="170"/>
      <c r="W21" s="170"/>
      <c r="X21" s="170"/>
      <c r="Y21" s="170"/>
      <c r="Z21" s="170"/>
      <c r="AA21" s="170"/>
      <c r="AB21" s="170"/>
      <c r="AC21" s="170"/>
      <c r="AD21" s="170"/>
      <c r="AE21" s="170"/>
      <c r="AF21" s="170"/>
      <c r="AG21" s="170"/>
      <c r="AH21" s="170"/>
      <c r="AI21" s="170"/>
      <c r="AJ21" s="170"/>
      <c r="AK21" s="170"/>
      <c r="AL21" s="170"/>
      <c r="AM21" s="170"/>
      <c r="AN21" s="2017"/>
      <c r="AO21" s="2018"/>
      <c r="AP21" s="2018"/>
      <c r="AQ21" s="2018"/>
      <c r="AR21" s="170"/>
      <c r="AS21" s="170"/>
      <c r="AT21" s="170"/>
      <c r="AU21" s="170"/>
      <c r="AV21" s="170"/>
      <c r="AW21" s="170"/>
      <c r="AX21" s="170"/>
      <c r="AY21" s="170"/>
      <c r="AZ21" s="170"/>
      <c r="BA21" s="170"/>
      <c r="BB21" s="170"/>
      <c r="BC21" s="170"/>
      <c r="BD21" s="170"/>
      <c r="BE21" s="170"/>
      <c r="BF21" s="170"/>
      <c r="BG21" s="170"/>
      <c r="BH21" s="170"/>
      <c r="BI21" s="170"/>
      <c r="BJ21" s="170"/>
      <c r="BK21" s="170"/>
      <c r="BL21" s="170"/>
      <c r="BM21" s="170"/>
      <c r="BN21" s="170"/>
      <c r="BO21" s="170"/>
      <c r="BP21" s="170"/>
      <c r="BQ21" s="170"/>
      <c r="BR21" s="170"/>
      <c r="BS21" s="170"/>
      <c r="BT21" s="170"/>
      <c r="BU21" s="170"/>
      <c r="BV21" s="170"/>
      <c r="BW21" s="170"/>
      <c r="BX21" s="170"/>
      <c r="BY21" s="170"/>
      <c r="BZ21" s="170"/>
      <c r="CA21" s="17"/>
      <c r="CF21" s="3885"/>
      <c r="CG21" s="3885"/>
      <c r="CH21" s="3885"/>
      <c r="CK21" s="101"/>
      <c r="CY21" s="45" t="s">
        <v>456</v>
      </c>
      <c r="DB21" s="3869" t="e">
        <f>'^'!$CC$58</f>
        <v>#VALUE!</v>
      </c>
      <c r="DC21" s="3870"/>
      <c r="DE21" s="3852" t="str">
        <f>IF($BP$20=""," DINNER"," "&amp;$BP$20)</f>
        <v xml:space="preserve"> DINNER </v>
      </c>
      <c r="DF21" s="3852"/>
      <c r="DG21" s="3849">
        <f>IF(AND($BR$20&lt;&gt;"",$BR$20&lt;&gt;"-"),VALUE(LEFT($BR$20,2)&amp;"."&amp;RIGHT($BR$20,2)),"")</f>
        <v>19</v>
      </c>
      <c r="DH21" s="3849"/>
      <c r="DJ21" s="28"/>
      <c r="DK21" s="28"/>
      <c r="DL21" s="28"/>
      <c r="DM21" s="28"/>
      <c r="DS21" s="2078" t="str">
        <f>IF($EG21&lt;10,"0"&amp;$EG21&amp;":30",$EG21&amp;":30")</f>
        <v>13:30</v>
      </c>
      <c r="DT21" s="268"/>
      <c r="DU21" s="2078" t="str">
        <f>IF($EG21&lt;10,"0"&amp;$EG21&amp;":30",$EG21&amp;":30")</f>
        <v>13:30</v>
      </c>
      <c r="DV21" s="268"/>
      <c r="DW21" s="2078" t="str">
        <f>IF($EG21&lt;10,"0"&amp;$EG21&amp;":30",$EG21&amp;":30")</f>
        <v>13:30</v>
      </c>
      <c r="DX21" s="268"/>
      <c r="DY21" s="2078" t="str">
        <f>IF($EG21&lt;10,"0"&amp;$EG21&amp;":30",$EG21&amp;":30")</f>
        <v>13:30</v>
      </c>
      <c r="EC21" s="2078" t="str">
        <f t="shared" ref="EC21" si="31">IF($EG21&lt;10,"0"&amp;$EG21&amp;":30",$EG21&amp;":30")</f>
        <v>13:30</v>
      </c>
      <c r="EG21" s="2179">
        <f t="shared" ref="EG21" si="32">EG20</f>
        <v>13</v>
      </c>
      <c r="EH21" s="35"/>
      <c r="EI21" s="35"/>
    </row>
    <row r="22" spans="1:139" ht="17.100000000000001" customHeight="1" x14ac:dyDescent="0.15">
      <c r="A22" s="17"/>
      <c r="B22" s="170"/>
      <c r="C22" s="3876" t="s">
        <v>456</v>
      </c>
      <c r="D22" s="3876"/>
      <c r="E22" s="3876"/>
      <c r="F22" s="205"/>
      <c r="G22" s="205"/>
      <c r="H22" s="205"/>
      <c r="I22" s="205"/>
      <c r="J22" s="205"/>
      <c r="K22" s="205"/>
      <c r="L22" s="205"/>
      <c r="M22" s="205"/>
      <c r="N22" s="205"/>
      <c r="O22" s="205"/>
      <c r="P22" s="205"/>
      <c r="Q22" s="205"/>
      <c r="R22" s="205"/>
      <c r="S22" s="205"/>
      <c r="T22" s="205"/>
      <c r="U22" s="205"/>
      <c r="V22" s="205"/>
      <c r="W22" s="205"/>
      <c r="X22" s="205"/>
      <c r="Y22" s="205"/>
      <c r="Z22" s="205"/>
      <c r="AA22" s="205"/>
      <c r="AB22" s="205"/>
      <c r="AC22" s="205"/>
      <c r="AD22" s="205"/>
      <c r="AE22" s="205"/>
      <c r="AF22" s="205"/>
      <c r="AG22" s="205"/>
      <c r="AH22" s="205"/>
      <c r="AI22" s="205"/>
      <c r="AJ22" s="205"/>
      <c r="AK22" s="205"/>
      <c r="AL22" s="205"/>
      <c r="AM22" s="205"/>
      <c r="AN22" s="205"/>
      <c r="AO22" s="205"/>
      <c r="AP22" s="205"/>
      <c r="AQ22" s="205"/>
      <c r="AR22" s="205"/>
      <c r="AS22" s="205"/>
      <c r="AT22" s="205"/>
      <c r="AU22" s="205"/>
      <c r="AV22" s="205"/>
      <c r="AW22" s="205"/>
      <c r="AX22" s="205"/>
      <c r="AY22" s="205"/>
      <c r="AZ22" s="205"/>
      <c r="BA22" s="205"/>
      <c r="BB22" s="205"/>
      <c r="BC22" s="205"/>
      <c r="BD22" s="205"/>
      <c r="BE22" s="205"/>
      <c r="BF22" s="205"/>
      <c r="BG22" s="205"/>
      <c r="BH22" s="205"/>
      <c r="BI22" s="205"/>
      <c r="BJ22" s="205"/>
      <c r="BK22" s="205"/>
      <c r="BL22" s="205"/>
      <c r="BM22" s="205"/>
      <c r="BN22" s="205"/>
      <c r="BO22" s="205"/>
      <c r="BP22" s="205"/>
      <c r="BQ22" s="205"/>
      <c r="BR22" s="205"/>
      <c r="BS22" s="205"/>
      <c r="BT22" s="205"/>
      <c r="BU22" s="205"/>
      <c r="BV22" s="278"/>
      <c r="BW22" s="205"/>
      <c r="BX22" s="205"/>
      <c r="BY22" s="206"/>
      <c r="BZ22" s="170"/>
      <c r="CA22" s="17"/>
      <c r="CF22" s="3885"/>
      <c r="CG22" s="3885"/>
      <c r="CH22" s="3885"/>
      <c r="CK22" s="101"/>
      <c r="CY22" s="45" t="s">
        <v>41</v>
      </c>
      <c r="DJ22" s="28"/>
      <c r="DK22" s="28"/>
      <c r="DL22" s="28"/>
      <c r="DM22" s="28"/>
      <c r="DS22" s="2078" t="str">
        <f>IF($EG22&lt;10,"0"&amp;$EG22&amp;":00",$EG22&amp;":00")</f>
        <v>14:00</v>
      </c>
      <c r="DT22" s="268"/>
      <c r="DU22" s="2078" t="str">
        <f>IF($EG22&lt;10,"0"&amp;$EG22&amp;":00",$EG22&amp;":00")</f>
        <v>14:00</v>
      </c>
      <c r="DV22" s="268"/>
      <c r="DW22" s="2078" t="str">
        <f>IF($EG22&lt;10,"0"&amp;$EG22&amp;":00",$EG22&amp;":00")</f>
        <v>14:00</v>
      </c>
      <c r="DX22" s="268"/>
      <c r="DY22" s="2078" t="str">
        <f>IF($EG22&lt;10,"0"&amp;$EG22&amp;":00",$EG22&amp;":00")</f>
        <v>14:00</v>
      </c>
      <c r="EC22" s="2078" t="str">
        <f t="shared" ref="EC22" si="33">IF($EG22&lt;10,"0"&amp;$EG22&amp;":00",$EG22&amp;":00")</f>
        <v>14:00</v>
      </c>
      <c r="EG22" s="2179">
        <f t="shared" ref="EG22" si="34">IF(EG21=23,0,EG21+1)</f>
        <v>14</v>
      </c>
      <c r="EH22" s="35"/>
      <c r="EI22" s="35"/>
    </row>
    <row r="23" spans="1:139" ht="17.100000000000001" customHeight="1" x14ac:dyDescent="0.15">
      <c r="A23" s="17"/>
      <c r="B23" s="170"/>
      <c r="C23" s="3876"/>
      <c r="D23" s="3876"/>
      <c r="E23" s="3876"/>
      <c r="F23" s="205"/>
      <c r="G23" s="207" t="s">
        <v>48</v>
      </c>
      <c r="H23" s="206" t="str">
        <f ca="1">IFERROR(CO23&amp;CP23,"")</f>
        <v/>
      </c>
      <c r="I23" s="208"/>
      <c r="J23" s="269">
        <f>$J$3</f>
        <v>7</v>
      </c>
      <c r="K23" s="273"/>
      <c r="L23" s="273"/>
      <c r="M23" s="273"/>
      <c r="N23" s="269">
        <f>$N$3</f>
        <v>8</v>
      </c>
      <c r="O23" s="273"/>
      <c r="P23" s="273"/>
      <c r="Q23" s="273"/>
      <c r="R23" s="269">
        <f>$R$3</f>
        <v>9</v>
      </c>
      <c r="S23" s="273"/>
      <c r="T23" s="273"/>
      <c r="U23" s="273"/>
      <c r="V23" s="269">
        <f>$V$3</f>
        <v>10</v>
      </c>
      <c r="W23" s="273"/>
      <c r="X23" s="273"/>
      <c r="Y23" s="273"/>
      <c r="Z23" s="273">
        <f>$Z$3</f>
        <v>11</v>
      </c>
      <c r="AA23" s="273"/>
      <c r="AB23" s="273"/>
      <c r="AC23" s="273"/>
      <c r="AD23" s="274">
        <f>$AD$3</f>
        <v>12</v>
      </c>
      <c r="AE23" s="274"/>
      <c r="AF23" s="273"/>
      <c r="AG23" s="273"/>
      <c r="AH23" s="273">
        <f>$AH$3</f>
        <v>13</v>
      </c>
      <c r="AI23" s="273"/>
      <c r="AJ23" s="273"/>
      <c r="AK23" s="273"/>
      <c r="AL23" s="274">
        <f>$AL$3</f>
        <v>14</v>
      </c>
      <c r="AM23" s="274"/>
      <c r="AN23" s="274"/>
      <c r="AO23" s="274"/>
      <c r="AP23" s="273">
        <f>$AP$3</f>
        <v>15</v>
      </c>
      <c r="AQ23" s="273"/>
      <c r="AR23" s="273"/>
      <c r="AS23" s="273"/>
      <c r="AT23" s="273">
        <f>$AT$3</f>
        <v>16</v>
      </c>
      <c r="AU23" s="273"/>
      <c r="AV23" s="274"/>
      <c r="AW23" s="274"/>
      <c r="AX23" s="273">
        <f>$AX$3</f>
        <v>17</v>
      </c>
      <c r="AY23" s="273"/>
      <c r="AZ23" s="273"/>
      <c r="BA23" s="273"/>
      <c r="BB23" s="273">
        <f>$BB$3</f>
        <v>18</v>
      </c>
      <c r="BC23" s="273"/>
      <c r="BD23" s="273"/>
      <c r="BE23" s="273"/>
      <c r="BF23" s="274">
        <f>$BF$3</f>
        <v>19</v>
      </c>
      <c r="BG23" s="274"/>
      <c r="BH23" s="274"/>
      <c r="BI23" s="274"/>
      <c r="BJ23" s="273">
        <f>$BJ$3</f>
        <v>20</v>
      </c>
      <c r="BK23" s="273"/>
      <c r="BL23" s="273"/>
      <c r="BM23" s="273"/>
      <c r="BN23" s="273">
        <f>$BN$3</f>
        <v>21</v>
      </c>
      <c r="BO23" s="273"/>
      <c r="BP23" s="273"/>
      <c r="BQ23" s="273"/>
      <c r="BR23" s="273">
        <f>$BR$3</f>
        <v>22</v>
      </c>
      <c r="BS23" s="273"/>
      <c r="BT23" s="273"/>
      <c r="BU23" s="273"/>
      <c r="BV23" s="279">
        <f>$BV$3</f>
        <v>23</v>
      </c>
      <c r="BW23" s="209"/>
      <c r="BX23" s="209" t="str">
        <f ca="1">IF(CK23=1,"HOL","")</f>
        <v/>
      </c>
      <c r="BY23" s="206"/>
      <c r="BZ23" s="170"/>
      <c r="CA23" s="17"/>
      <c r="CC23" s="3896" t="s">
        <v>308</v>
      </c>
      <c r="CD23" s="3897"/>
      <c r="CE23" s="3897"/>
      <c r="CF23" s="3885" t="e">
        <f ca="1">IF(
$C$22="NEXT",
_xlfn.IFS(
WEEKDAY($CF$20,2)=1,$CF$20+7,
WEEKDAY($CF$20,2)=2,$CF$20+6,
WEEKDAY($CF$20,2)=3,$CF$20+5,
WEEKDAY($CF$20,2)=4,$CF$20+4,
WEEKDAY($CF$20,2)=5,$CF$20+3,
WEEKDAY($CF$20,2)=6,$CF$20+2,
WEEKDAY($CF$20,2)=7,$CF$20+1,
TRUE,""),
_xlfn.IFS(
WEEKDAY($CF$20,2)=1,$CF$20,
WEEKDAY($CF$20,2)=2,$CF$20-1,
WEEKDAY($CF$20,2)=3,$CF$20-2,
WEEKDAY($CF$20,2)=4,$CF$20-3,
WEEKDAY($CF$20,2)=5,$CF$20-4,
WEEKDAY($CF$20,2)=6,$CF$20-5,
WEEKDAY($CF$20,2)=7,$CF$20-6,
TRUE,"")
)</f>
        <v>#VALUE!</v>
      </c>
      <c r="CG23" s="3885"/>
      <c r="CH23" s="3885"/>
      <c r="CK23" s="210">
        <f ca="1">IF(COUNTIF(PLANS!$BE$66:$BZ$92,CF23)&gt;=1,1,0)</f>
        <v>0</v>
      </c>
      <c r="CL23" s="101"/>
      <c r="CO23" s="211" t="e">
        <f ca="1">DAY(CF23)</f>
        <v>#VALUE!</v>
      </c>
      <c r="CP23" s="212" t="e">
        <f ca="1">_xlfn.IFS(OR(CO23=1,CO23=21,CO23=31),"st",OR(CO23=2,CO23=22),"nd",OR(CO23=3,CO23=23),"rd",CO23=0, "", TRUE,"th")</f>
        <v>#VALUE!</v>
      </c>
      <c r="CR23" s="213"/>
      <c r="CS23" s="213"/>
      <c r="CT23" s="213"/>
      <c r="CU23" s="101"/>
      <c r="DC23" s="2183" t="s">
        <v>1325</v>
      </c>
      <c r="DD23" s="2184" t="s">
        <v>1321</v>
      </c>
      <c r="DE23" s="3852" t="s">
        <v>1323</v>
      </c>
      <c r="DF23" s="3852"/>
      <c r="DG23" s="3906">
        <f>IF($S$20&lt;&gt;"",VALUE(LEFT($S$20,2)&amp;"."&amp;RIGHT($S$20,2)),"")</f>
        <v>9</v>
      </c>
      <c r="DH23" s="3906"/>
      <c r="DS23" s="2078" t="str">
        <f>IF($EG23&lt;10,"0"&amp;$EG23&amp;":30",$EG23&amp;":30")</f>
        <v>14:30</v>
      </c>
      <c r="DT23" s="268"/>
      <c r="DU23" s="2078" t="str">
        <f>IF($EG23&lt;10,"0"&amp;$EG23&amp;":30",$EG23&amp;":30")</f>
        <v>14:30</v>
      </c>
      <c r="DV23" s="268"/>
      <c r="DW23" s="2078" t="str">
        <f>IF($EG23&lt;10,"0"&amp;$EG23&amp;":30",$EG23&amp;":30")</f>
        <v>14:30</v>
      </c>
      <c r="DX23" s="268"/>
      <c r="DY23" s="2078" t="str">
        <f>IF($EG23&lt;10,"0"&amp;$EG23&amp;":30",$EG23&amp;":30")</f>
        <v>14:30</v>
      </c>
      <c r="EC23" s="2078" t="str">
        <f t="shared" ref="EC23" si="35">IF($EG23&lt;10,"0"&amp;$EG23&amp;":30",$EG23&amp;":30")</f>
        <v>14:30</v>
      </c>
      <c r="EG23" s="2179">
        <f t="shared" ref="EG23" si="36">EG22</f>
        <v>14</v>
      </c>
      <c r="EH23" s="35"/>
      <c r="EI23" s="35"/>
    </row>
    <row r="24" spans="1:139" ht="17.100000000000001" customHeight="1" x14ac:dyDescent="0.25">
      <c r="A24" s="17"/>
      <c r="B24" s="170"/>
      <c r="C24" s="3876"/>
      <c r="D24" s="3876"/>
      <c r="E24" s="3876"/>
      <c r="F24" s="205"/>
      <c r="G24" s="209"/>
      <c r="H24" s="205"/>
      <c r="I24" s="214"/>
      <c r="J24" s="275"/>
      <c r="K24" s="275"/>
      <c r="L24" s="275"/>
      <c r="M24" s="275"/>
      <c r="N24" s="275"/>
      <c r="O24" s="275"/>
      <c r="P24" s="275"/>
      <c r="Q24" s="275"/>
      <c r="R24" s="275"/>
      <c r="S24" s="275"/>
      <c r="T24" s="275"/>
      <c r="U24" s="275"/>
      <c r="V24" s="275"/>
      <c r="W24" s="275"/>
      <c r="X24" s="275"/>
      <c r="Y24" s="275"/>
      <c r="Z24" s="275"/>
      <c r="AA24" s="275"/>
      <c r="AB24" s="275"/>
      <c r="AC24" s="275"/>
      <c r="AD24" s="275"/>
      <c r="AE24" s="275"/>
      <c r="AF24" s="275"/>
      <c r="AG24" s="275"/>
      <c r="AH24" s="275"/>
      <c r="AI24" s="275"/>
      <c r="AJ24" s="275"/>
      <c r="AK24" s="275"/>
      <c r="AL24" s="275"/>
      <c r="AM24" s="275"/>
      <c r="AN24" s="275"/>
      <c r="AO24" s="275"/>
      <c r="AP24" s="275"/>
      <c r="AQ24" s="275"/>
      <c r="AR24" s="275"/>
      <c r="AS24" s="275"/>
      <c r="AT24" s="275"/>
      <c r="AU24" s="275"/>
      <c r="AV24" s="275"/>
      <c r="AW24" s="275"/>
      <c r="AX24" s="275"/>
      <c r="AY24" s="275"/>
      <c r="AZ24" s="275"/>
      <c r="BA24" s="275"/>
      <c r="BB24" s="275"/>
      <c r="BC24" s="275"/>
      <c r="BD24" s="275"/>
      <c r="BE24" s="275"/>
      <c r="BF24" s="275"/>
      <c r="BG24" s="275"/>
      <c r="BH24" s="275"/>
      <c r="BI24" s="275"/>
      <c r="BJ24" s="275"/>
      <c r="BK24" s="275"/>
      <c r="BL24" s="275"/>
      <c r="BM24" s="275"/>
      <c r="BN24" s="275"/>
      <c r="BO24" s="275"/>
      <c r="BP24" s="275"/>
      <c r="BQ24" s="275"/>
      <c r="BR24" s="275"/>
      <c r="BS24" s="275"/>
      <c r="BT24" s="275"/>
      <c r="BU24" s="275"/>
      <c r="BV24" s="279"/>
      <c r="BW24" s="215"/>
      <c r="BX24" s="216" t="str">
        <f>IF( COUNTIF(PLANS!$BE$66:$BZ$91, CF24)&gt;0, "HOL", "")</f>
        <v/>
      </c>
      <c r="BY24" s="206"/>
      <c r="BZ24" s="170"/>
      <c r="CA24" s="17"/>
      <c r="CC24" s="217"/>
      <c r="CD24" s="217"/>
      <c r="CE24" s="217"/>
      <c r="CF24" s="46"/>
      <c r="CG24" s="46"/>
      <c r="CH24" s="46"/>
      <c r="CK24" s="217"/>
      <c r="CO24" s="211"/>
      <c r="CP24" s="212"/>
      <c r="CX24" s="28"/>
      <c r="DC24" s="2185"/>
      <c r="DD24" s="2185"/>
      <c r="DE24" s="3852"/>
      <c r="DF24" s="3852"/>
      <c r="DG24" s="3906">
        <f>IF($V$20&lt;&gt;"",VALUE(LEFT($V$20,2)&amp;"."&amp;RIGHT($V$20,2)),"")</f>
        <v>13</v>
      </c>
      <c r="DH24" s="3906"/>
      <c r="DS24" s="2078" t="str">
        <f>IF($EG24&lt;10,"0"&amp;$EG24&amp;":00",$EG24&amp;":00")</f>
        <v>15:00</v>
      </c>
      <c r="DT24" s="268"/>
      <c r="DU24" s="2078" t="str">
        <f>IF($EG24&lt;10,"0"&amp;$EG24&amp;":00",$EG24&amp;":00")</f>
        <v>15:00</v>
      </c>
      <c r="DV24" s="268"/>
      <c r="DW24" s="2078" t="str">
        <f>IF($EG24&lt;10,"0"&amp;$EG24&amp;":00",$EG24&amp;":00")</f>
        <v>15:00</v>
      </c>
      <c r="DX24" s="268"/>
      <c r="DY24" s="2078" t="str">
        <f>IF($EG24&lt;10,"0"&amp;$EG24&amp;":00",$EG24&amp;":00")</f>
        <v>15:00</v>
      </c>
      <c r="EC24" s="2078" t="str">
        <f t="shared" ref="EC24" si="37">IF($EG24&lt;10,"0"&amp;$EG24&amp;":00",$EG24&amp;":00")</f>
        <v>15:00</v>
      </c>
      <c r="EG24" s="2179">
        <f t="shared" ref="EG24" si="38">IF(EG23=23,0,EG23+1)</f>
        <v>15</v>
      </c>
      <c r="EH24" s="1625"/>
      <c r="EI24" s="1625"/>
    </row>
    <row r="25" spans="1:139" ht="17.100000000000001" customHeight="1" x14ac:dyDescent="0.15">
      <c r="A25" s="17"/>
      <c r="B25" s="170"/>
      <c r="C25" s="3876"/>
      <c r="D25" s="3876"/>
      <c r="E25" s="3876"/>
      <c r="F25" s="205"/>
      <c r="G25" s="207" t="s">
        <v>49</v>
      </c>
      <c r="H25" s="2073" t="str">
        <f ca="1">IFERROR(CO25&amp;CP25,"")</f>
        <v/>
      </c>
      <c r="I25" s="208"/>
      <c r="J25" s="273">
        <f>$J$3</f>
        <v>7</v>
      </c>
      <c r="K25" s="273"/>
      <c r="L25" s="273"/>
      <c r="M25" s="273"/>
      <c r="N25" s="273">
        <f>$N$3</f>
        <v>8</v>
      </c>
      <c r="O25" s="273"/>
      <c r="P25" s="273"/>
      <c r="Q25" s="273"/>
      <c r="R25" s="273">
        <f>$R$3</f>
        <v>9</v>
      </c>
      <c r="S25" s="273"/>
      <c r="T25" s="273"/>
      <c r="U25" s="273"/>
      <c r="V25" s="273">
        <f>$V$3</f>
        <v>10</v>
      </c>
      <c r="W25" s="273"/>
      <c r="X25" s="273"/>
      <c r="Y25" s="273"/>
      <c r="Z25" s="273">
        <f>$Z$3</f>
        <v>11</v>
      </c>
      <c r="AA25" s="273"/>
      <c r="AB25" s="273"/>
      <c r="AC25" s="273"/>
      <c r="AD25" s="274">
        <f>$AD$3</f>
        <v>12</v>
      </c>
      <c r="AE25" s="274"/>
      <c r="AF25" s="273"/>
      <c r="AG25" s="273"/>
      <c r="AH25" s="273">
        <f>$AH$3</f>
        <v>13</v>
      </c>
      <c r="AI25" s="273"/>
      <c r="AJ25" s="273"/>
      <c r="AK25" s="273"/>
      <c r="AL25" s="274">
        <f>$AL$3</f>
        <v>14</v>
      </c>
      <c r="AM25" s="274"/>
      <c r="AN25" s="274"/>
      <c r="AO25" s="274"/>
      <c r="AP25" s="273">
        <f>$AP$3</f>
        <v>15</v>
      </c>
      <c r="AQ25" s="273"/>
      <c r="AR25" s="273"/>
      <c r="AS25" s="273"/>
      <c r="AT25" s="273">
        <f>$AT$3</f>
        <v>16</v>
      </c>
      <c r="AU25" s="273"/>
      <c r="AV25" s="274"/>
      <c r="AW25" s="274"/>
      <c r="AX25" s="273">
        <f>$AX$3</f>
        <v>17</v>
      </c>
      <c r="AY25" s="273"/>
      <c r="AZ25" s="273"/>
      <c r="BA25" s="273"/>
      <c r="BB25" s="273">
        <f>$BB$3</f>
        <v>18</v>
      </c>
      <c r="BC25" s="273"/>
      <c r="BD25" s="273"/>
      <c r="BE25" s="273"/>
      <c r="BF25" s="274">
        <f>$BF$3</f>
        <v>19</v>
      </c>
      <c r="BG25" s="274"/>
      <c r="BH25" s="274"/>
      <c r="BI25" s="274"/>
      <c r="BJ25" s="273">
        <f>$BJ$3</f>
        <v>20</v>
      </c>
      <c r="BK25" s="273"/>
      <c r="BL25" s="273"/>
      <c r="BM25" s="273"/>
      <c r="BN25" s="273">
        <f>$BN$3</f>
        <v>21</v>
      </c>
      <c r="BO25" s="273"/>
      <c r="BP25" s="273"/>
      <c r="BQ25" s="273"/>
      <c r="BR25" s="273">
        <f>$BR$3</f>
        <v>22</v>
      </c>
      <c r="BS25" s="273"/>
      <c r="BT25" s="273"/>
      <c r="BU25" s="273"/>
      <c r="BV25" s="279">
        <f>$BV$3</f>
        <v>23</v>
      </c>
      <c r="BW25" s="209"/>
      <c r="BX25" s="209" t="str">
        <f ca="1">IF(CK25=1,"HOL","")</f>
        <v/>
      </c>
      <c r="BY25" s="206"/>
      <c r="BZ25" s="170"/>
      <c r="CA25" s="17"/>
      <c r="CC25" s="3896" t="s">
        <v>309</v>
      </c>
      <c r="CD25" s="3897"/>
      <c r="CE25" s="3897"/>
      <c r="CF25" s="3894" t="e">
        <f ca="1">IF(
$C$22="NEXT",
_xlfn.IFS(
WEEKDAY($CF$20,2)=1,$CF$20+8,
WEEKDAY($CF$20,2)=2,$CF$20+7,
WEEKDAY($CF$20,2)=3,$CF$20+6,
WEEKDAY($CF$20,2)=4,$CF$20+5,
WEEKDAY($CF$20,2)=5,$CF$20+4,
WEEKDAY($CF$20,2)=6,$CF$20+3,
WEEKDAY($CF$20,2)=7,$CF$20+2,
TRUE,""),
_xlfn.IFS(
WEEKDAY($CF$20,2)=1,$CF$20+1,
WEEKDAY($CF$20,2)=2,$CF$20,
WEEKDAY($CF$20,2)=3,$CF$20-1,
WEEKDAY($CF$20,2)=4,$CF$20-2,
WEEKDAY($CF$20,2)=5,$CF$20-3,
WEEKDAY($CF$20,2)=6,$CF$20-4,
WEEKDAY($CF$20,2)=7,$CF$20-5,
TRUE,"")
)</f>
        <v>#VALUE!</v>
      </c>
      <c r="CG25" s="3895"/>
      <c r="CH25" s="3895"/>
      <c r="CK25" s="210">
        <f ca="1">IF(COUNTIF(PLANS!$BE$66:$BZ$92,CF25)&gt;=1,1,0)</f>
        <v>0</v>
      </c>
      <c r="CO25" s="211" t="e">
        <f ca="1">DAY(CF25)</f>
        <v>#VALUE!</v>
      </c>
      <c r="CP25" s="212" t="e">
        <f ca="1">_xlfn.IFS(OR(CO25=1,CO25=21,CO25=31),"st",OR(CO25=2,CO25=22),"nd",OR(CO25=3,CO25=23),"rd",CO25=0, "", TRUE,"th")</f>
        <v>#VALUE!</v>
      </c>
      <c r="CX25" s="28"/>
      <c r="CY25" s="28"/>
      <c r="CZ25" s="28"/>
      <c r="DA25" s="28"/>
      <c r="DB25" s="28"/>
      <c r="DC25" s="2185"/>
      <c r="DD25" s="2185"/>
      <c r="DE25" s="3904" t="s">
        <v>1324</v>
      </c>
      <c r="DF25" s="3904"/>
      <c r="DG25" s="3905">
        <f>IF($AA$20&lt;&gt;"",VALUE(LEFT($AA$20,2)&amp;"."&amp;RIGHT($AA$20,2)),"")</f>
        <v>11</v>
      </c>
      <c r="DH25" s="3905"/>
      <c r="DS25" s="2078" t="str">
        <f>IF($EG25&lt;10,"0"&amp;$EG25&amp;":30",$EG25&amp;":30")</f>
        <v>15:30</v>
      </c>
      <c r="DU25" s="2078" t="str">
        <f>IF($EG25&lt;10,"0"&amp;$EG25&amp;":30",$EG25&amp;":30")</f>
        <v>15:30</v>
      </c>
      <c r="DW25" s="2078" t="str">
        <f>IF($EG25&lt;10,"0"&amp;$EG25&amp;":30",$EG25&amp;":30")</f>
        <v>15:30</v>
      </c>
      <c r="DY25" s="2078" t="str">
        <f>IF($EG25&lt;10,"0"&amp;$EG25&amp;":30",$EG25&amp;":30")</f>
        <v>15:30</v>
      </c>
      <c r="EC25" s="2078" t="str">
        <f t="shared" ref="EC25" si="39">IF($EG25&lt;10,"0"&amp;$EG25&amp;":30",$EG25&amp;":30")</f>
        <v>15:30</v>
      </c>
      <c r="EG25" s="2179">
        <f t="shared" ref="EG25" si="40">EG24</f>
        <v>15</v>
      </c>
      <c r="EH25" s="35"/>
      <c r="EI25" s="35"/>
    </row>
    <row r="26" spans="1:139" ht="17.100000000000001" customHeight="1" x14ac:dyDescent="0.25">
      <c r="A26" s="17"/>
      <c r="B26" s="170"/>
      <c r="C26" s="3876"/>
      <c r="D26" s="3876"/>
      <c r="E26" s="3876"/>
      <c r="F26" s="205"/>
      <c r="G26" s="209"/>
      <c r="H26" s="205"/>
      <c r="I26" s="214"/>
      <c r="J26" s="275"/>
      <c r="K26" s="275"/>
      <c r="L26" s="275"/>
      <c r="M26" s="275"/>
      <c r="N26" s="275"/>
      <c r="O26" s="275"/>
      <c r="P26" s="275"/>
      <c r="Q26" s="275"/>
      <c r="R26" s="275"/>
      <c r="S26" s="275"/>
      <c r="T26" s="275"/>
      <c r="U26" s="275"/>
      <c r="V26" s="275"/>
      <c r="W26" s="275"/>
      <c r="X26" s="275"/>
      <c r="Y26" s="275"/>
      <c r="Z26" s="275"/>
      <c r="AA26" s="275"/>
      <c r="AB26" s="275"/>
      <c r="AC26" s="275"/>
      <c r="AD26" s="275"/>
      <c r="AE26" s="275"/>
      <c r="AF26" s="275"/>
      <c r="AG26" s="275"/>
      <c r="AH26" s="275"/>
      <c r="AI26" s="275"/>
      <c r="AJ26" s="275"/>
      <c r="AK26" s="275"/>
      <c r="AL26" s="275"/>
      <c r="AM26" s="275"/>
      <c r="AN26" s="275"/>
      <c r="AO26" s="275"/>
      <c r="AP26" s="275"/>
      <c r="AQ26" s="275"/>
      <c r="AR26" s="275"/>
      <c r="AS26" s="275"/>
      <c r="AT26" s="275"/>
      <c r="AU26" s="275"/>
      <c r="AV26" s="275"/>
      <c r="AW26" s="275"/>
      <c r="AX26" s="275"/>
      <c r="AY26" s="275"/>
      <c r="AZ26" s="275"/>
      <c r="BA26" s="275"/>
      <c r="BB26" s="275"/>
      <c r="BC26" s="275"/>
      <c r="BD26" s="275"/>
      <c r="BE26" s="275"/>
      <c r="BF26" s="275"/>
      <c r="BG26" s="275"/>
      <c r="BH26" s="275"/>
      <c r="BI26" s="275"/>
      <c r="BJ26" s="275"/>
      <c r="BK26" s="275"/>
      <c r="BL26" s="275"/>
      <c r="BM26" s="275"/>
      <c r="BN26" s="275"/>
      <c r="BO26" s="275"/>
      <c r="BP26" s="275"/>
      <c r="BQ26" s="275"/>
      <c r="BR26" s="275"/>
      <c r="BS26" s="275"/>
      <c r="BT26" s="275"/>
      <c r="BU26" s="275"/>
      <c r="BV26" s="279"/>
      <c r="BW26" s="209"/>
      <c r="BX26" s="209" t="str">
        <f>IF( COUNTIF(PLANS!$BE$66:$BZ$91, CF26)&gt;0, "HOL", "")</f>
        <v/>
      </c>
      <c r="BY26" s="206"/>
      <c r="BZ26" s="170"/>
      <c r="CA26" s="17"/>
      <c r="CC26" s="217"/>
      <c r="CD26" s="217"/>
      <c r="CE26" s="217"/>
      <c r="CF26" s="3894"/>
      <c r="CG26" s="3895"/>
      <c r="CH26" s="3895"/>
      <c r="CK26" s="217"/>
      <c r="CO26" s="211"/>
      <c r="CP26" s="212"/>
      <c r="CX26" s="28"/>
      <c r="CY26" s="28"/>
      <c r="CZ26" s="28"/>
      <c r="DA26" s="28"/>
      <c r="DB26" s="28"/>
      <c r="DC26" s="2185"/>
      <c r="DD26" s="2185"/>
      <c r="DE26" s="3904"/>
      <c r="DF26" s="3904"/>
      <c r="DG26" s="3905">
        <f>IF($AD$20&lt;&gt;"",VALUE(LEFT($AD$20,2)&amp;"."&amp;RIGHT($AD$20,2)),"")</f>
        <v>13</v>
      </c>
      <c r="DH26" s="3905"/>
      <c r="DS26" s="2078" t="str">
        <f>IF($EG26&lt;10,"0"&amp;$EG26&amp;":00",$EG26&amp;":00")</f>
        <v>16:00</v>
      </c>
      <c r="DU26" s="2078" t="str">
        <f>IF($EG26&lt;10,"0"&amp;$EG26&amp;":00",$EG26&amp;":00")</f>
        <v>16:00</v>
      </c>
      <c r="DW26" s="2078" t="str">
        <f>IF($EG26&lt;10,"0"&amp;$EG26&amp;":00",$EG26&amp;":00")</f>
        <v>16:00</v>
      </c>
      <c r="DY26" s="2078" t="str">
        <f>IF($EG26&lt;10,"0"&amp;$EG26&amp;":00",$EG26&amp;":00")</f>
        <v>16:00</v>
      </c>
      <c r="EC26" s="2078" t="str">
        <f t="shared" ref="EC26" si="41">IF($EG26&lt;10,"0"&amp;$EG26&amp;":00",$EG26&amp;":00")</f>
        <v>16:00</v>
      </c>
      <c r="EG26" s="2179">
        <f t="shared" ref="EG26" si="42">IF(EG25=23,0,EG25+1)</f>
        <v>16</v>
      </c>
      <c r="EH26" s="35"/>
      <c r="EI26" s="35"/>
    </row>
    <row r="27" spans="1:139" ht="17.100000000000001" customHeight="1" x14ac:dyDescent="0.15">
      <c r="A27" s="17"/>
      <c r="B27" s="170"/>
      <c r="C27" s="3876"/>
      <c r="D27" s="3876"/>
      <c r="E27" s="3876"/>
      <c r="F27" s="205"/>
      <c r="G27" s="207" t="s">
        <v>50</v>
      </c>
      <c r="H27" s="2074" t="str">
        <f ca="1">IFERROR(CO27&amp;CP27,"")</f>
        <v/>
      </c>
      <c r="I27" s="208"/>
      <c r="J27" s="273">
        <f>$J$3</f>
        <v>7</v>
      </c>
      <c r="K27" s="273"/>
      <c r="L27" s="273"/>
      <c r="M27" s="273"/>
      <c r="N27" s="273">
        <f>$N$3</f>
        <v>8</v>
      </c>
      <c r="O27" s="273"/>
      <c r="P27" s="273"/>
      <c r="Q27" s="273"/>
      <c r="R27" s="273">
        <f>$R$3</f>
        <v>9</v>
      </c>
      <c r="S27" s="273"/>
      <c r="T27" s="273"/>
      <c r="U27" s="273"/>
      <c r="V27" s="273">
        <f>$V$3</f>
        <v>10</v>
      </c>
      <c r="W27" s="273"/>
      <c r="X27" s="273"/>
      <c r="Y27" s="273"/>
      <c r="Z27" s="273">
        <f>$Z$3</f>
        <v>11</v>
      </c>
      <c r="AA27" s="273"/>
      <c r="AB27" s="273"/>
      <c r="AC27" s="273"/>
      <c r="AD27" s="274">
        <f>$AD$3</f>
        <v>12</v>
      </c>
      <c r="AE27" s="274"/>
      <c r="AF27" s="273"/>
      <c r="AG27" s="273"/>
      <c r="AH27" s="273">
        <f>$AH$3</f>
        <v>13</v>
      </c>
      <c r="AI27" s="273"/>
      <c r="AJ27" s="273"/>
      <c r="AK27" s="273"/>
      <c r="AL27" s="274">
        <f>$AL$3</f>
        <v>14</v>
      </c>
      <c r="AM27" s="274"/>
      <c r="AN27" s="274"/>
      <c r="AO27" s="274"/>
      <c r="AP27" s="273">
        <f>$AP$3</f>
        <v>15</v>
      </c>
      <c r="AQ27" s="273"/>
      <c r="AR27" s="273"/>
      <c r="AS27" s="273"/>
      <c r="AT27" s="273">
        <f>$AT$3</f>
        <v>16</v>
      </c>
      <c r="AU27" s="273"/>
      <c r="AV27" s="274"/>
      <c r="AW27" s="274"/>
      <c r="AX27" s="273">
        <f>$AX$3</f>
        <v>17</v>
      </c>
      <c r="AY27" s="273"/>
      <c r="AZ27" s="273"/>
      <c r="BA27" s="273"/>
      <c r="BB27" s="273">
        <f>$BB$3</f>
        <v>18</v>
      </c>
      <c r="BC27" s="273"/>
      <c r="BD27" s="273"/>
      <c r="BE27" s="273"/>
      <c r="BF27" s="274">
        <f>$BF$3</f>
        <v>19</v>
      </c>
      <c r="BG27" s="274"/>
      <c r="BH27" s="274"/>
      <c r="BI27" s="274"/>
      <c r="BJ27" s="273">
        <f>$BJ$3</f>
        <v>20</v>
      </c>
      <c r="BK27" s="273"/>
      <c r="BL27" s="273"/>
      <c r="BM27" s="273"/>
      <c r="BN27" s="273">
        <f>$BN$3</f>
        <v>21</v>
      </c>
      <c r="BO27" s="273"/>
      <c r="BP27" s="273"/>
      <c r="BQ27" s="273"/>
      <c r="BR27" s="273">
        <f>$BR$3</f>
        <v>22</v>
      </c>
      <c r="BS27" s="273"/>
      <c r="BT27" s="273"/>
      <c r="BU27" s="273"/>
      <c r="BV27" s="279">
        <f>$BV$3</f>
        <v>23</v>
      </c>
      <c r="BW27" s="209"/>
      <c r="BX27" s="209" t="str">
        <f ca="1">IF(CK27=1,"HOL","")</f>
        <v/>
      </c>
      <c r="BY27" s="206"/>
      <c r="BZ27" s="170"/>
      <c r="CA27" s="17"/>
      <c r="CC27" s="3896" t="s">
        <v>310</v>
      </c>
      <c r="CD27" s="3897"/>
      <c r="CE27" s="3897"/>
      <c r="CF27" s="3894" t="e">
        <f ca="1">IF(
$C$22="NEXT",
_xlfn.IFS(
WEEKDAY($CF$20,2)=1,$CF$20+9,
WEEKDAY($CF$20,2)=2,$CF$20+8,
WEEKDAY($CF$20,2)=3,$CF$20+7,
WEEKDAY($CF$20,2)=4,$CF$20+6,
WEEKDAY($CF$20,2)=5,$CF$20+5,
WEEKDAY($CF$20,2)=6,$CF$20+4,
WEEKDAY($CF$20,2)=7,$CF$20+3,
TRUE,""),
_xlfn.IFS(
WEEKDAY($CF$20,2)=1,$CF$20+2,
WEEKDAY($CF$20,2)=2,$CF$20+1,
WEEKDAY($CF$20,2)=3,$CF$20,
WEEKDAY($CF$20,2)=4,$CF$20-1,
WEEKDAY($CF$20,2)=5,$CF$20-2,
WEEKDAY($CF$20,2)=6,$CF$20-3,
WEEKDAY($CF$20,2)=7,$CF$20-4,
TRUE,"")
)</f>
        <v>#VALUE!</v>
      </c>
      <c r="CG27" s="3895"/>
      <c r="CH27" s="3895"/>
      <c r="CK27" s="210">
        <f ca="1">IF(COUNTIF(PLANS!$BE$66:$BZ$92,CF27)&gt;=1,1,0)</f>
        <v>0</v>
      </c>
      <c r="CO27" s="211" t="e">
        <f ca="1">DAY(CF27)</f>
        <v>#VALUE!</v>
      </c>
      <c r="CP27" s="212" t="e">
        <f ca="1">_xlfn.IFS(OR(CO27=1,CO27=21,CO27=31),"st",OR(CO27=2,CO27=22),"nd",OR(CO27=3,CO27=23),"rd",CO27=0, "", TRUE,"th")</f>
        <v>#VALUE!</v>
      </c>
      <c r="CX27" s="28"/>
      <c r="CY27" s="28"/>
      <c r="CZ27" s="28"/>
      <c r="DA27" s="28"/>
      <c r="DB27" s="28"/>
      <c r="DC27" s="28"/>
      <c r="DD27" s="179"/>
      <c r="DS27" s="2078" t="str">
        <f>IF($EG27&lt;10,"0"&amp;$EG27&amp;":30",$EG27&amp;":30")</f>
        <v>16:30</v>
      </c>
      <c r="DU27" s="2078" t="str">
        <f>IF($EG27&lt;10,"0"&amp;$EG27&amp;":30",$EG27&amp;":30")</f>
        <v>16:30</v>
      </c>
      <c r="DW27" s="2078" t="str">
        <f>IF($EG27&lt;10,"0"&amp;$EG27&amp;":30",$EG27&amp;":30")</f>
        <v>16:30</v>
      </c>
      <c r="DY27" s="2078" t="str">
        <f>IF($EG27&lt;10,"0"&amp;$EG27&amp;":30",$EG27&amp;":30")</f>
        <v>16:30</v>
      </c>
      <c r="EC27" s="2078" t="str">
        <f t="shared" ref="EC27" si="43">IF($EG27&lt;10,"0"&amp;$EG27&amp;":30",$EG27&amp;":30")</f>
        <v>16:30</v>
      </c>
      <c r="EG27" s="2179">
        <f t="shared" ref="EG27" si="44">EG26</f>
        <v>16</v>
      </c>
      <c r="EH27" s="35"/>
      <c r="EI27" s="35"/>
    </row>
    <row r="28" spans="1:139" ht="17.100000000000001" customHeight="1" x14ac:dyDescent="0.25">
      <c r="A28" s="17"/>
      <c r="B28" s="170"/>
      <c r="C28" s="3876"/>
      <c r="D28" s="3876"/>
      <c r="E28" s="3876"/>
      <c r="F28" s="205"/>
      <c r="G28" s="209"/>
      <c r="H28" s="205"/>
      <c r="I28" s="214"/>
      <c r="J28" s="275"/>
      <c r="K28" s="275"/>
      <c r="L28" s="275"/>
      <c r="M28" s="275"/>
      <c r="N28" s="275"/>
      <c r="O28" s="275"/>
      <c r="P28" s="275"/>
      <c r="Q28" s="275"/>
      <c r="R28" s="275"/>
      <c r="S28" s="275"/>
      <c r="T28" s="275"/>
      <c r="U28" s="275"/>
      <c r="V28" s="275"/>
      <c r="W28" s="275"/>
      <c r="X28" s="275"/>
      <c r="Y28" s="275"/>
      <c r="Z28" s="275"/>
      <c r="AA28" s="275"/>
      <c r="AB28" s="275"/>
      <c r="AC28" s="275"/>
      <c r="AD28" s="275"/>
      <c r="AE28" s="275"/>
      <c r="AF28" s="275"/>
      <c r="AG28" s="275"/>
      <c r="AH28" s="275"/>
      <c r="AI28" s="275"/>
      <c r="AJ28" s="275"/>
      <c r="AK28" s="275"/>
      <c r="AL28" s="275"/>
      <c r="AM28" s="275"/>
      <c r="AN28" s="275"/>
      <c r="AO28" s="275"/>
      <c r="AP28" s="275"/>
      <c r="AQ28" s="275"/>
      <c r="AR28" s="275"/>
      <c r="AS28" s="275"/>
      <c r="AT28" s="275"/>
      <c r="AU28" s="275"/>
      <c r="AV28" s="275"/>
      <c r="AW28" s="275"/>
      <c r="AX28" s="275"/>
      <c r="AY28" s="275"/>
      <c r="AZ28" s="275"/>
      <c r="BA28" s="275"/>
      <c r="BB28" s="275"/>
      <c r="BC28" s="275"/>
      <c r="BD28" s="275"/>
      <c r="BE28" s="275"/>
      <c r="BF28" s="275"/>
      <c r="BG28" s="275"/>
      <c r="BH28" s="275"/>
      <c r="BI28" s="275"/>
      <c r="BJ28" s="275"/>
      <c r="BK28" s="275"/>
      <c r="BL28" s="275"/>
      <c r="BM28" s="275"/>
      <c r="BN28" s="275"/>
      <c r="BO28" s="275"/>
      <c r="BP28" s="275"/>
      <c r="BQ28" s="275"/>
      <c r="BR28" s="275"/>
      <c r="BS28" s="275"/>
      <c r="BT28" s="275"/>
      <c r="BU28" s="275"/>
      <c r="BV28" s="279"/>
      <c r="BW28" s="209"/>
      <c r="BX28" s="209" t="str">
        <f>IF( COUNTIF(PLANS!$BE$66:$BZ$91, CF28)&gt;0, "HOL", "")</f>
        <v/>
      </c>
      <c r="BY28" s="206"/>
      <c r="BZ28" s="170"/>
      <c r="CA28" s="17"/>
      <c r="CC28" s="217"/>
      <c r="CD28" s="217"/>
      <c r="CE28" s="217"/>
      <c r="CF28" s="3894"/>
      <c r="CG28" s="3895"/>
      <c r="CH28" s="3895"/>
      <c r="CK28" s="217"/>
      <c r="CO28" s="211"/>
      <c r="CP28" s="212"/>
      <c r="CX28" s="28"/>
      <c r="CY28" s="28"/>
      <c r="CZ28" s="28"/>
      <c r="DA28" s="28"/>
      <c r="DB28" s="28"/>
      <c r="DC28" s="2183" t="s">
        <v>1326</v>
      </c>
      <c r="DD28" s="2184" t="s">
        <v>1329</v>
      </c>
      <c r="DE28" s="3852" t="s">
        <v>1323</v>
      </c>
      <c r="DF28" s="3852"/>
      <c r="DG28" s="3906">
        <f>IF($AJ$20&lt;&gt;"",VALUE(LEFT($AJ$20,2)&amp;"."&amp;RIGHT($AJ$20,2)),"")</f>
        <v>14</v>
      </c>
      <c r="DH28" s="3906"/>
      <c r="DS28" s="2078" t="str">
        <f>IF($EG28&lt;10,"0"&amp;$EG28&amp;":00",$EG28&amp;":00")</f>
        <v>17:00</v>
      </c>
      <c r="DU28" s="2078" t="str">
        <f>IF($EG28&lt;10,"0"&amp;$EG28&amp;":00",$EG28&amp;":00")</f>
        <v>17:00</v>
      </c>
      <c r="DW28" s="2078" t="str">
        <f>IF($EG28&lt;10,"0"&amp;$EG28&amp;":00",$EG28&amp;":00")</f>
        <v>17:00</v>
      </c>
      <c r="DY28" s="2078" t="str">
        <f>IF($EG28&lt;10,"0"&amp;$EG28&amp;":00",$EG28&amp;":00")</f>
        <v>17:00</v>
      </c>
      <c r="EC28" s="2078" t="str">
        <f t="shared" ref="EC28" si="45">IF($EG28&lt;10,"0"&amp;$EG28&amp;":00",$EG28&amp;":00")</f>
        <v>17:00</v>
      </c>
      <c r="EG28" s="2179">
        <f t="shared" ref="EG28" si="46">IF(EG27=23,0,EG27+1)</f>
        <v>17</v>
      </c>
      <c r="EH28" s="35"/>
      <c r="EI28" s="35"/>
    </row>
    <row r="29" spans="1:139" ht="17.100000000000001" customHeight="1" x14ac:dyDescent="0.15">
      <c r="A29" s="17"/>
      <c r="B29" s="170"/>
      <c r="C29" s="3876"/>
      <c r="D29" s="3876"/>
      <c r="E29" s="3876"/>
      <c r="F29" s="205"/>
      <c r="G29" s="207" t="s">
        <v>51</v>
      </c>
      <c r="H29" s="2074" t="str">
        <f ca="1">IFERROR(CO29&amp;CP29,"")</f>
        <v/>
      </c>
      <c r="I29" s="208"/>
      <c r="J29" s="273">
        <f>$J$3</f>
        <v>7</v>
      </c>
      <c r="K29" s="273"/>
      <c r="L29" s="273"/>
      <c r="M29" s="273"/>
      <c r="N29" s="273">
        <f>$N$3</f>
        <v>8</v>
      </c>
      <c r="O29" s="273"/>
      <c r="P29" s="273"/>
      <c r="Q29" s="273"/>
      <c r="R29" s="273">
        <f>$R$3</f>
        <v>9</v>
      </c>
      <c r="S29" s="273"/>
      <c r="T29" s="273"/>
      <c r="U29" s="273"/>
      <c r="V29" s="273">
        <f>$V$3</f>
        <v>10</v>
      </c>
      <c r="W29" s="273"/>
      <c r="X29" s="273"/>
      <c r="Y29" s="273"/>
      <c r="Z29" s="273">
        <f>$Z$3</f>
        <v>11</v>
      </c>
      <c r="AA29" s="273"/>
      <c r="AB29" s="273"/>
      <c r="AC29" s="273"/>
      <c r="AD29" s="274">
        <f>$AD$3</f>
        <v>12</v>
      </c>
      <c r="AE29" s="274"/>
      <c r="AF29" s="273"/>
      <c r="AG29" s="273"/>
      <c r="AH29" s="273">
        <f>$AH$3</f>
        <v>13</v>
      </c>
      <c r="AI29" s="273"/>
      <c r="AJ29" s="273"/>
      <c r="AK29" s="273"/>
      <c r="AL29" s="274">
        <f>$AL$3</f>
        <v>14</v>
      </c>
      <c r="AM29" s="274"/>
      <c r="AN29" s="274"/>
      <c r="AO29" s="274"/>
      <c r="AP29" s="273">
        <f>$AP$3</f>
        <v>15</v>
      </c>
      <c r="AQ29" s="273"/>
      <c r="AR29" s="273"/>
      <c r="AS29" s="273"/>
      <c r="AT29" s="273">
        <f>$AT$3</f>
        <v>16</v>
      </c>
      <c r="AU29" s="273"/>
      <c r="AV29" s="274"/>
      <c r="AW29" s="274"/>
      <c r="AX29" s="273">
        <f>$AX$3</f>
        <v>17</v>
      </c>
      <c r="AY29" s="273"/>
      <c r="AZ29" s="273"/>
      <c r="BA29" s="273"/>
      <c r="BB29" s="273">
        <f>$BB$3</f>
        <v>18</v>
      </c>
      <c r="BC29" s="273"/>
      <c r="BD29" s="273"/>
      <c r="BE29" s="273"/>
      <c r="BF29" s="274">
        <f>$BF$3</f>
        <v>19</v>
      </c>
      <c r="BG29" s="274"/>
      <c r="BH29" s="274"/>
      <c r="BI29" s="274"/>
      <c r="BJ29" s="273">
        <f>$BJ$3</f>
        <v>20</v>
      </c>
      <c r="BK29" s="273"/>
      <c r="BL29" s="273"/>
      <c r="BM29" s="273"/>
      <c r="BN29" s="273">
        <f>$BN$3</f>
        <v>21</v>
      </c>
      <c r="BO29" s="273"/>
      <c r="BP29" s="273"/>
      <c r="BQ29" s="273"/>
      <c r="BR29" s="273">
        <f>$BR$3</f>
        <v>22</v>
      </c>
      <c r="BS29" s="273"/>
      <c r="BT29" s="273"/>
      <c r="BU29" s="273"/>
      <c r="BV29" s="279">
        <f>$BV$3</f>
        <v>23</v>
      </c>
      <c r="BW29" s="209"/>
      <c r="BX29" s="209" t="str">
        <f ca="1">IF(CK29=1,"HOL","")</f>
        <v/>
      </c>
      <c r="BY29" s="206"/>
      <c r="BZ29" s="170"/>
      <c r="CA29" s="17"/>
      <c r="CC29" s="3896" t="s">
        <v>311</v>
      </c>
      <c r="CD29" s="3897"/>
      <c r="CE29" s="3897"/>
      <c r="CF29" s="3894" t="e">
        <f ca="1">IF(
$C$22="NEXT",
_xlfn.IFS(
WEEKDAY($CF$20,2)=1,$CF$20+10,
WEEKDAY($CF$20,2)=2,$CF$20+9,
WEEKDAY($CF$20,2)=3,$CF$20+8,
WEEKDAY($CF$20,2)=4,$CF$20+7,
WEEKDAY($CF$20,2)=5,$CF$20+6,
WEEKDAY($CF$20,2)=6,$CF$20+5,
WEEKDAY($CF$20,2)=7,$CF$20+4,
TRUE,""),
_xlfn.IFS(
WEEKDAY($CF$20,2)=1,$CF$20+3,
WEEKDAY($CF$20,2)=2,$CF$20+2,
WEEKDAY($CF$20,2)=3,$CF$20+1,
WEEKDAY($CF$20,2)=4,$CF$20,
WEEKDAY($CF$20,2)=5,$CF$20-1,
WEEKDAY($CF$20,2)=6,$CF$20-2,
WEEKDAY($CF$20,2)=7,$CF$20-3,
TRUE,"")
)</f>
        <v>#VALUE!</v>
      </c>
      <c r="CG29" s="3895"/>
      <c r="CH29" s="3895"/>
      <c r="CK29" s="210">
        <f ca="1">IF(COUNTIF(PLANS!$BE$66:$BZ$92,CF29)&gt;=1,1,0)</f>
        <v>0</v>
      </c>
      <c r="CO29" s="211" t="e">
        <f ca="1">DAY(CF29)</f>
        <v>#VALUE!</v>
      </c>
      <c r="CP29" s="212" t="e">
        <f ca="1">_xlfn.IFS(OR(CO29=1,CO29=21,CO29=31),"st",OR(CO29=2,CO29=22),"nd",OR(CO29=3,CO29=23),"rd",CO29=0, "", TRUE,"th")</f>
        <v>#VALUE!</v>
      </c>
      <c r="CX29" s="28"/>
      <c r="CY29" s="28"/>
      <c r="CZ29" s="28"/>
      <c r="DA29" s="28"/>
      <c r="DB29" s="28"/>
      <c r="DC29" s="2185"/>
      <c r="DD29" s="2185"/>
      <c r="DE29" s="3852"/>
      <c r="DF29" s="3852"/>
      <c r="DG29" s="3906">
        <f>IF($AM$20&lt;&gt;"",VALUE(LEFT($AM$20,2)&amp;"."&amp;RIGHT($AM$20,2)),"")</f>
        <v>17</v>
      </c>
      <c r="DH29" s="3906"/>
      <c r="DS29" s="2078" t="str">
        <f>IF($EG29&lt;10,"0"&amp;$EG29&amp;":30",$EG29&amp;":30")</f>
        <v>17:30</v>
      </c>
      <c r="DU29" s="2078" t="str">
        <f>IF($EG29&lt;10,"0"&amp;$EG29&amp;":30",$EG29&amp;":30")</f>
        <v>17:30</v>
      </c>
      <c r="DW29" s="2078" t="str">
        <f>IF($EG29&lt;10,"0"&amp;$EG29&amp;":30",$EG29&amp;":30")</f>
        <v>17:30</v>
      </c>
      <c r="DY29" s="2078" t="str">
        <f>IF($EG29&lt;10,"0"&amp;$EG29&amp;":30",$EG29&amp;":30")</f>
        <v>17:30</v>
      </c>
      <c r="EC29" s="2078" t="str">
        <f t="shared" ref="EC29" si="47">IF($EG29&lt;10,"0"&amp;$EG29&amp;":30",$EG29&amp;":30")</f>
        <v>17:30</v>
      </c>
      <c r="EG29" s="2179">
        <f t="shared" ref="EG29" si="48">EG28</f>
        <v>17</v>
      </c>
      <c r="EH29" s="35"/>
      <c r="EI29" s="35"/>
    </row>
    <row r="30" spans="1:139" ht="17.100000000000001" customHeight="1" x14ac:dyDescent="0.25">
      <c r="A30" s="17"/>
      <c r="B30" s="170"/>
      <c r="C30" s="3876"/>
      <c r="D30" s="3876"/>
      <c r="E30" s="3876"/>
      <c r="F30" s="205"/>
      <c r="G30" s="209"/>
      <c r="H30" s="205"/>
      <c r="I30" s="214"/>
      <c r="J30" s="275"/>
      <c r="K30" s="275"/>
      <c r="L30" s="275"/>
      <c r="M30" s="275"/>
      <c r="N30" s="275"/>
      <c r="O30" s="275"/>
      <c r="P30" s="275"/>
      <c r="Q30" s="275"/>
      <c r="R30" s="275"/>
      <c r="S30" s="275"/>
      <c r="T30" s="275"/>
      <c r="U30" s="275"/>
      <c r="V30" s="275"/>
      <c r="W30" s="275"/>
      <c r="X30" s="275"/>
      <c r="Y30" s="275"/>
      <c r="Z30" s="275"/>
      <c r="AA30" s="275"/>
      <c r="AB30" s="275"/>
      <c r="AC30" s="275"/>
      <c r="AD30" s="275"/>
      <c r="AE30" s="275"/>
      <c r="AF30" s="275"/>
      <c r="AG30" s="275"/>
      <c r="AH30" s="275"/>
      <c r="AI30" s="275"/>
      <c r="AJ30" s="275"/>
      <c r="AK30" s="275"/>
      <c r="AL30" s="275"/>
      <c r="AM30" s="275"/>
      <c r="AN30" s="275"/>
      <c r="AO30" s="275"/>
      <c r="AP30" s="275"/>
      <c r="AQ30" s="275"/>
      <c r="AR30" s="275"/>
      <c r="AS30" s="275"/>
      <c r="AT30" s="275"/>
      <c r="AU30" s="275"/>
      <c r="AV30" s="275"/>
      <c r="AW30" s="275"/>
      <c r="AX30" s="275"/>
      <c r="AY30" s="275"/>
      <c r="AZ30" s="275"/>
      <c r="BA30" s="275"/>
      <c r="BB30" s="275"/>
      <c r="BC30" s="275"/>
      <c r="BD30" s="275"/>
      <c r="BE30" s="275"/>
      <c r="BF30" s="275"/>
      <c r="BG30" s="275"/>
      <c r="BH30" s="275"/>
      <c r="BI30" s="275"/>
      <c r="BJ30" s="275"/>
      <c r="BK30" s="275"/>
      <c r="BL30" s="275"/>
      <c r="BM30" s="275"/>
      <c r="BN30" s="275"/>
      <c r="BO30" s="275"/>
      <c r="BP30" s="275"/>
      <c r="BQ30" s="275"/>
      <c r="BR30" s="275"/>
      <c r="BS30" s="275"/>
      <c r="BT30" s="275"/>
      <c r="BU30" s="275"/>
      <c r="BV30" s="279"/>
      <c r="BW30" s="209"/>
      <c r="BX30" s="209" t="str">
        <f>IF( COUNTIF(PLANS!$BE$66:$BZ$91, CF30)&gt;0, "HOL", "")</f>
        <v/>
      </c>
      <c r="BY30" s="206"/>
      <c r="BZ30" s="170"/>
      <c r="CA30" s="17"/>
      <c r="CC30" s="217"/>
      <c r="CD30" s="217"/>
      <c r="CE30" s="217"/>
      <c r="CF30" s="3894"/>
      <c r="CG30" s="3895"/>
      <c r="CH30" s="3895"/>
      <c r="CK30" s="217"/>
      <c r="CO30" s="211"/>
      <c r="CP30" s="212"/>
      <c r="DC30" s="2185"/>
      <c r="DD30" s="2185"/>
      <c r="DE30" s="3904" t="s">
        <v>1324</v>
      </c>
      <c r="DF30" s="3904"/>
      <c r="DG30" s="3905">
        <f>IF($AR$20&lt;&gt;"",VALUE(LEFT($AR$20,2)&amp;"."&amp;RIGHT($AR$20,2)),"")</f>
        <v>14</v>
      </c>
      <c r="DH30" s="3905"/>
      <c r="DS30" s="2078" t="str">
        <f>IF($EG30&lt;10,"0"&amp;$EG30&amp;":00",$EG30&amp;":00")</f>
        <v>18:00</v>
      </c>
      <c r="DU30" s="2078" t="str">
        <f>IF($EG30&lt;10,"0"&amp;$EG30&amp;":00",$EG30&amp;":00")</f>
        <v>18:00</v>
      </c>
      <c r="DW30" s="2078" t="str">
        <f>IF($EG30&lt;10,"0"&amp;$EG30&amp;":00",$EG30&amp;":00")</f>
        <v>18:00</v>
      </c>
      <c r="DY30" s="2078" t="str">
        <f>IF($EG30&lt;10,"0"&amp;$EG30&amp;":00",$EG30&amp;":00")</f>
        <v>18:00</v>
      </c>
      <c r="EC30" s="2078" t="str">
        <f t="shared" ref="EC30" si="49">IF($EG30&lt;10,"0"&amp;$EG30&amp;":00",$EG30&amp;":00")</f>
        <v>18:00</v>
      </c>
      <c r="EG30" s="2179">
        <f t="shared" ref="EG30" si="50">IF(EG29=23,0,EG29+1)</f>
        <v>18</v>
      </c>
      <c r="EH30" s="35"/>
      <c r="EI30" s="35"/>
    </row>
    <row r="31" spans="1:139" ht="17.100000000000001" customHeight="1" x14ac:dyDescent="0.15">
      <c r="A31" s="17"/>
      <c r="B31" s="170"/>
      <c r="C31" s="3876"/>
      <c r="D31" s="3876"/>
      <c r="E31" s="3876"/>
      <c r="F31" s="205"/>
      <c r="G31" s="207" t="s">
        <v>52</v>
      </c>
      <c r="H31" s="2074" t="str">
        <f ca="1">IFERROR(CO31&amp;CP31,"")</f>
        <v/>
      </c>
      <c r="I31" s="208"/>
      <c r="J31" s="273">
        <f>$J$3</f>
        <v>7</v>
      </c>
      <c r="K31" s="273"/>
      <c r="L31" s="273"/>
      <c r="M31" s="273"/>
      <c r="N31" s="273">
        <f>$N$3</f>
        <v>8</v>
      </c>
      <c r="O31" s="273"/>
      <c r="P31" s="273"/>
      <c r="Q31" s="273"/>
      <c r="R31" s="273">
        <f>$R$3</f>
        <v>9</v>
      </c>
      <c r="S31" s="273"/>
      <c r="T31" s="273"/>
      <c r="U31" s="273"/>
      <c r="V31" s="273">
        <f>$V$3</f>
        <v>10</v>
      </c>
      <c r="W31" s="273"/>
      <c r="X31" s="273"/>
      <c r="Y31" s="273"/>
      <c r="Z31" s="273">
        <f>$Z$3</f>
        <v>11</v>
      </c>
      <c r="AA31" s="273"/>
      <c r="AB31" s="273"/>
      <c r="AC31" s="273"/>
      <c r="AD31" s="274">
        <f>$AD$3</f>
        <v>12</v>
      </c>
      <c r="AE31" s="274"/>
      <c r="AF31" s="273"/>
      <c r="AG31" s="273"/>
      <c r="AH31" s="273">
        <f>$AH$3</f>
        <v>13</v>
      </c>
      <c r="AI31" s="273"/>
      <c r="AJ31" s="273"/>
      <c r="AK31" s="273"/>
      <c r="AL31" s="274">
        <f>$AL$3</f>
        <v>14</v>
      </c>
      <c r="AM31" s="274"/>
      <c r="AN31" s="274"/>
      <c r="AO31" s="274"/>
      <c r="AP31" s="273">
        <f>$AP$3</f>
        <v>15</v>
      </c>
      <c r="AQ31" s="273"/>
      <c r="AR31" s="273"/>
      <c r="AS31" s="273"/>
      <c r="AT31" s="273">
        <f>$AT$3</f>
        <v>16</v>
      </c>
      <c r="AU31" s="273"/>
      <c r="AV31" s="274"/>
      <c r="AW31" s="274"/>
      <c r="AX31" s="273">
        <f>$AX$3</f>
        <v>17</v>
      </c>
      <c r="AY31" s="273"/>
      <c r="AZ31" s="273"/>
      <c r="BA31" s="273"/>
      <c r="BB31" s="273">
        <f>$BB$3</f>
        <v>18</v>
      </c>
      <c r="BC31" s="273"/>
      <c r="BD31" s="273"/>
      <c r="BE31" s="273"/>
      <c r="BF31" s="274">
        <f>$BF$3</f>
        <v>19</v>
      </c>
      <c r="BG31" s="274"/>
      <c r="BH31" s="274"/>
      <c r="BI31" s="274"/>
      <c r="BJ31" s="273">
        <f>$BJ$3</f>
        <v>20</v>
      </c>
      <c r="BK31" s="273"/>
      <c r="BL31" s="273"/>
      <c r="BM31" s="273"/>
      <c r="BN31" s="273">
        <f>$BN$3</f>
        <v>21</v>
      </c>
      <c r="BO31" s="273"/>
      <c r="BP31" s="273"/>
      <c r="BQ31" s="273"/>
      <c r="BR31" s="273">
        <f>$BR$3</f>
        <v>22</v>
      </c>
      <c r="BS31" s="273"/>
      <c r="BT31" s="273"/>
      <c r="BU31" s="273"/>
      <c r="BV31" s="279">
        <f>$BV$3</f>
        <v>23</v>
      </c>
      <c r="BW31" s="209"/>
      <c r="BX31" s="209" t="str">
        <f ca="1">IF(CK31=1,"HOL","")</f>
        <v/>
      </c>
      <c r="BY31" s="206"/>
      <c r="BZ31" s="170"/>
      <c r="CA31" s="17"/>
      <c r="CC31" s="3896" t="s">
        <v>312</v>
      </c>
      <c r="CD31" s="3897"/>
      <c r="CE31" s="3897"/>
      <c r="CF31" s="3894" t="e">
        <f ca="1">IF(
$C$22="NEXT",
_xlfn.IFS(
WEEKDAY($CF$20,2)=1,$CF$20+11,
WEEKDAY($CF$20,2)=2,$CF$20+10,
WEEKDAY($CF$20,2)=3,$CF$20+9,
WEEKDAY($CF$20,2)=4,$CF$20+8,
WEEKDAY($CF$20,2)=5,$CF$20+7,
WEEKDAY($CF$20,2)=6,$CF$20+6,
WEEKDAY($CF$20,2)=7,$CF$20+5,
TRUE,""),
_xlfn.IFS(
WEEKDAY($CF$20,2)=1,$CF$20+4,
WEEKDAY($CF$20,2)=2,$CF$20+3,
WEEKDAY($CF$20,2)=3,$CF$20+2,
WEEKDAY($CF$20,2)=4,$CF$20+1,
WEEKDAY($CF$20,2)=5,$CF$20,
WEEKDAY($CF$20,2)=6,$CF$20-1,
WEEKDAY($CF$20,2)=7,$CF$20-2,
TRUE,"")
)</f>
        <v>#VALUE!</v>
      </c>
      <c r="CG31" s="3895"/>
      <c r="CH31" s="3895"/>
      <c r="CK31" s="210">
        <f ca="1">IF(COUNTIF(PLANS!$BE$66:$BZ$92,CF31)&gt;=1,1,0)</f>
        <v>0</v>
      </c>
      <c r="CO31" s="211" t="e">
        <f ca="1">DAY(CF31)</f>
        <v>#VALUE!</v>
      </c>
      <c r="CP31" s="212" t="e">
        <f ca="1">_xlfn.IFS(OR(CO31=1,CO31=21,CO31=31),"st",OR(CO31=2,CO31=22),"nd",OR(CO31=3,CO31=23),"rd",CO31=0, "", TRUE,"th")</f>
        <v>#VALUE!</v>
      </c>
      <c r="DC31" s="2185"/>
      <c r="DD31" s="2185"/>
      <c r="DE31" s="3904"/>
      <c r="DF31" s="3904"/>
      <c r="DG31" s="3905">
        <f>IF($AU$20&lt;&gt;"",VALUE(LEFT($AU$20,2)&amp;"."&amp;RIGHT($AU$20,2)),"")</f>
        <v>15.3</v>
      </c>
      <c r="DH31" s="3905"/>
      <c r="DS31" s="2078" t="str">
        <f>IF($EG31&lt;10,"0"&amp;$EG31&amp;":30",$EG31&amp;":30")</f>
        <v>18:30</v>
      </c>
      <c r="DU31" s="2078" t="str">
        <f>IF($EG31&lt;10,"0"&amp;$EG31&amp;":30",$EG31&amp;":30")</f>
        <v>18:30</v>
      </c>
      <c r="DW31" s="2078" t="str">
        <f>IF($EG31&lt;10,"0"&amp;$EG31&amp;":30",$EG31&amp;":30")</f>
        <v>18:30</v>
      </c>
      <c r="DY31" s="2078" t="str">
        <f>IF($EG31&lt;10,"0"&amp;$EG31&amp;":30",$EG31&amp;":30")</f>
        <v>18:30</v>
      </c>
      <c r="EC31" s="2078" t="str">
        <f t="shared" ref="EC31" si="51">IF($EG31&lt;10,"0"&amp;$EG31&amp;":30",$EG31&amp;":30")</f>
        <v>18:30</v>
      </c>
      <c r="EG31" s="2179">
        <f t="shared" ref="EG31" si="52">EG30</f>
        <v>18</v>
      </c>
      <c r="EH31" s="35"/>
      <c r="EI31" s="35"/>
    </row>
    <row r="32" spans="1:139" ht="17.100000000000001" customHeight="1" x14ac:dyDescent="0.25">
      <c r="A32" s="17"/>
      <c r="B32" s="170"/>
      <c r="C32" s="3876"/>
      <c r="D32" s="3876"/>
      <c r="E32" s="3876"/>
      <c r="F32" s="205"/>
      <c r="G32" s="209"/>
      <c r="H32" s="205"/>
      <c r="I32" s="214"/>
      <c r="J32" s="275"/>
      <c r="K32" s="275"/>
      <c r="L32" s="275"/>
      <c r="M32" s="275"/>
      <c r="N32" s="275"/>
      <c r="O32" s="275"/>
      <c r="P32" s="275"/>
      <c r="Q32" s="275"/>
      <c r="R32" s="275"/>
      <c r="S32" s="275"/>
      <c r="T32" s="275"/>
      <c r="U32" s="275"/>
      <c r="V32" s="275"/>
      <c r="W32" s="275"/>
      <c r="X32" s="275"/>
      <c r="Y32" s="275"/>
      <c r="Z32" s="275"/>
      <c r="AA32" s="275"/>
      <c r="AB32" s="275"/>
      <c r="AC32" s="275"/>
      <c r="AD32" s="275"/>
      <c r="AE32" s="275"/>
      <c r="AF32" s="275"/>
      <c r="AG32" s="275"/>
      <c r="AH32" s="275"/>
      <c r="AI32" s="275"/>
      <c r="AJ32" s="275"/>
      <c r="AK32" s="275"/>
      <c r="AL32" s="275"/>
      <c r="AM32" s="275"/>
      <c r="AN32" s="275"/>
      <c r="AO32" s="275"/>
      <c r="AP32" s="275"/>
      <c r="AQ32" s="275"/>
      <c r="AR32" s="275"/>
      <c r="AS32" s="275"/>
      <c r="AT32" s="275"/>
      <c r="AU32" s="275"/>
      <c r="AV32" s="275"/>
      <c r="AW32" s="275"/>
      <c r="AX32" s="275"/>
      <c r="AY32" s="275"/>
      <c r="AZ32" s="275"/>
      <c r="BA32" s="275"/>
      <c r="BB32" s="275"/>
      <c r="BC32" s="275"/>
      <c r="BD32" s="275"/>
      <c r="BE32" s="275"/>
      <c r="BF32" s="275"/>
      <c r="BG32" s="275"/>
      <c r="BH32" s="275"/>
      <c r="BI32" s="275"/>
      <c r="BJ32" s="275"/>
      <c r="BK32" s="275"/>
      <c r="BL32" s="275"/>
      <c r="BM32" s="275"/>
      <c r="BN32" s="275"/>
      <c r="BO32" s="275"/>
      <c r="BP32" s="275"/>
      <c r="BQ32" s="275"/>
      <c r="BR32" s="275"/>
      <c r="BS32" s="275"/>
      <c r="BT32" s="275"/>
      <c r="BU32" s="275"/>
      <c r="BV32" s="279"/>
      <c r="BW32" s="209"/>
      <c r="BX32" s="209"/>
      <c r="BY32" s="206"/>
      <c r="BZ32" s="170"/>
      <c r="CA32" s="17"/>
      <c r="CC32" s="217"/>
      <c r="CD32" s="217"/>
      <c r="CE32" s="217"/>
      <c r="CF32" s="3894"/>
      <c r="CG32" s="3895"/>
      <c r="CH32" s="3895"/>
      <c r="CK32" s="217"/>
      <c r="CO32" s="211"/>
      <c r="CP32" s="212"/>
      <c r="DS32" s="2078" t="str">
        <f>IF($EG32&lt;10,"0"&amp;$EG32&amp;":00",$EG32&amp;":00")</f>
        <v>19:00</v>
      </c>
      <c r="DU32" s="2078" t="str">
        <f>IF($EG32&lt;10,"0"&amp;$EG32&amp;":00",$EG32&amp;":00")</f>
        <v>19:00</v>
      </c>
      <c r="DW32" s="2078" t="str">
        <f>IF($EG32&lt;10,"0"&amp;$EG32&amp;":00",$EG32&amp;":00")</f>
        <v>19:00</v>
      </c>
      <c r="DY32" s="2078" t="str">
        <f>IF($EG32&lt;10,"0"&amp;$EG32&amp;":00",$EG32&amp;":00")</f>
        <v>19:00</v>
      </c>
      <c r="EC32" s="2078" t="str">
        <f t="shared" ref="EC32" si="53">IF($EG32&lt;10,"0"&amp;$EG32&amp;":00",$EG32&amp;":00")</f>
        <v>19:00</v>
      </c>
      <c r="EG32" s="2179">
        <f t="shared" ref="EG32" si="54">IF(EG31=23,0,EG31+1)</f>
        <v>19</v>
      </c>
      <c r="EH32" s="35"/>
      <c r="EI32" s="35"/>
    </row>
    <row r="33" spans="1:139" ht="17.100000000000001" customHeight="1" x14ac:dyDescent="0.15">
      <c r="A33" s="17"/>
      <c r="B33" s="170"/>
      <c r="C33" s="3876"/>
      <c r="D33" s="3876"/>
      <c r="E33" s="3876"/>
      <c r="F33" s="205"/>
      <c r="G33" s="207" t="s">
        <v>53</v>
      </c>
      <c r="H33" s="2074" t="str">
        <f ca="1">IFERROR(CO33&amp;CP33,"")</f>
        <v/>
      </c>
      <c r="I33" s="208"/>
      <c r="J33" s="269">
        <f>$J$3</f>
        <v>7</v>
      </c>
      <c r="K33" s="273"/>
      <c r="L33" s="273"/>
      <c r="M33" s="273"/>
      <c r="N33" s="273">
        <f>$N$3</f>
        <v>8</v>
      </c>
      <c r="O33" s="273"/>
      <c r="P33" s="273"/>
      <c r="Q33" s="273"/>
      <c r="R33" s="273">
        <f>$R$3</f>
        <v>9</v>
      </c>
      <c r="S33" s="273"/>
      <c r="T33" s="273"/>
      <c r="U33" s="273"/>
      <c r="V33" s="273">
        <f>$V$3</f>
        <v>10</v>
      </c>
      <c r="W33" s="273"/>
      <c r="X33" s="273"/>
      <c r="Y33" s="273"/>
      <c r="Z33" s="273">
        <f>$Z$3</f>
        <v>11</v>
      </c>
      <c r="AA33" s="273"/>
      <c r="AB33" s="273"/>
      <c r="AC33" s="273"/>
      <c r="AD33" s="274">
        <f>$AD$3</f>
        <v>12</v>
      </c>
      <c r="AE33" s="274"/>
      <c r="AF33" s="273"/>
      <c r="AG33" s="273"/>
      <c r="AH33" s="273">
        <f>$AH$3</f>
        <v>13</v>
      </c>
      <c r="AI33" s="273"/>
      <c r="AJ33" s="273"/>
      <c r="AK33" s="273"/>
      <c r="AL33" s="274">
        <f>$AL$3</f>
        <v>14</v>
      </c>
      <c r="AM33" s="274"/>
      <c r="AN33" s="274"/>
      <c r="AO33" s="274"/>
      <c r="AP33" s="273">
        <f>$AP$3</f>
        <v>15</v>
      </c>
      <c r="AQ33" s="273"/>
      <c r="AR33" s="273"/>
      <c r="AS33" s="273"/>
      <c r="AT33" s="273">
        <f>$AT$3</f>
        <v>16</v>
      </c>
      <c r="AU33" s="273"/>
      <c r="AV33" s="274"/>
      <c r="AW33" s="274"/>
      <c r="AX33" s="273">
        <f>$AX$3</f>
        <v>17</v>
      </c>
      <c r="AY33" s="273"/>
      <c r="AZ33" s="273"/>
      <c r="BA33" s="273"/>
      <c r="BB33" s="273">
        <f>$BB$3</f>
        <v>18</v>
      </c>
      <c r="BC33" s="273"/>
      <c r="BD33" s="273"/>
      <c r="BE33" s="273"/>
      <c r="BF33" s="274">
        <f>$BF$3</f>
        <v>19</v>
      </c>
      <c r="BG33" s="274"/>
      <c r="BH33" s="274"/>
      <c r="BI33" s="274"/>
      <c r="BJ33" s="273">
        <f>$BJ$3</f>
        <v>20</v>
      </c>
      <c r="BK33" s="273"/>
      <c r="BL33" s="273"/>
      <c r="BM33" s="273"/>
      <c r="BN33" s="273">
        <f>$BN$3</f>
        <v>21</v>
      </c>
      <c r="BO33" s="273"/>
      <c r="BP33" s="273"/>
      <c r="BQ33" s="273"/>
      <c r="BR33" s="273">
        <f>$BR$3</f>
        <v>22</v>
      </c>
      <c r="BS33" s="273"/>
      <c r="BT33" s="273"/>
      <c r="BU33" s="273"/>
      <c r="BV33" s="279">
        <f>$BV$3</f>
        <v>23</v>
      </c>
      <c r="BW33" s="218"/>
      <c r="BX33" s="209" t="str">
        <f ca="1">IF(CK33=1,"HOL","")</f>
        <v/>
      </c>
      <c r="BY33" s="206"/>
      <c r="BZ33" s="170"/>
      <c r="CA33" s="17"/>
      <c r="CC33" s="3896" t="s">
        <v>313</v>
      </c>
      <c r="CD33" s="3897"/>
      <c r="CE33" s="3897"/>
      <c r="CF33" s="3894" t="e">
        <f ca="1">IF(
$C$22="NEXT",
_xlfn.IFS(
WEEKDAY($CF$20,2)=1,$CF$20+12,
WEEKDAY($CF$20,2)=2,$CF$20+11,
WEEKDAY($CF$20,2)=3,$CF$20+10,
WEEKDAY($CF$20,2)=4,$CF$20+9,
WEEKDAY($CF$20,2)=5,$CF$20+8,
WEEKDAY($CF$20,2)=6,$CF$20+7,
WEEKDAY($CF$20,2)=7,$CF$20+6,
TRUE,""),
_xlfn.IFS(
WEEKDAY($CF$20,2)=1,$CF$20+5,
WEEKDAY($CF$20,2)=2,$CF$20+4,
WEEKDAY($CF$20,2)=3,$CF$20+3,
WEEKDAY($CF$20,2)=4,$CF$20+2,
WEEKDAY($CF$20,2)=5,$CF$20+1,
WEEKDAY($CF$20,2)=6,$CF$20,
WEEKDAY($CF$20,2)=7,$CF$20-1,
TRUE,"")
)</f>
        <v>#VALUE!</v>
      </c>
      <c r="CG33" s="3895"/>
      <c r="CH33" s="3895"/>
      <c r="CK33" s="210">
        <f ca="1">IF(COUNTIF(PLANS!$BE$66:$BZ$92,CF33)&gt;=1,1,0)</f>
        <v>0</v>
      </c>
      <c r="CO33" s="211" t="e">
        <f ca="1">DAY(CF33)</f>
        <v>#VALUE!</v>
      </c>
      <c r="CP33" s="212" t="e">
        <f ca="1">_xlfn.IFS(OR(CO33=1,CO33=21,CO33=31),"st",OR(CO33=2,CO33=22),"nd",OR(CO33=3,CO33=23),"rd",CO33=0, "", TRUE,"th")</f>
        <v>#VALUE!</v>
      </c>
      <c r="DC33" s="2183" t="s">
        <v>1327</v>
      </c>
      <c r="DD33" s="2184" t="s">
        <v>1330</v>
      </c>
      <c r="DE33" s="3852" t="s">
        <v>1323</v>
      </c>
      <c r="DF33" s="3852"/>
      <c r="DG33" s="3906">
        <f>IF($BA$20&lt;&gt;"",VALUE(LEFT($BA$20,2)&amp;"."&amp;RIGHT($BA$20,2)),"")</f>
        <v>20</v>
      </c>
      <c r="DH33" s="3906"/>
      <c r="DS33" s="2078" t="str">
        <f>IF($EG33&lt;10,"0"&amp;$EG33&amp;":30",$EG33&amp;":30")</f>
        <v>19:30</v>
      </c>
      <c r="DU33" s="2078" t="str">
        <f>IF($EG33&lt;10,"0"&amp;$EG33&amp;":30",$EG33&amp;":30")</f>
        <v>19:30</v>
      </c>
      <c r="DW33" s="2078" t="str">
        <f>IF($EG33&lt;10,"0"&amp;$EG33&amp;":30",$EG33&amp;":30")</f>
        <v>19:30</v>
      </c>
      <c r="DY33" s="2078" t="str">
        <f>IF($EG33&lt;10,"0"&amp;$EG33&amp;":30",$EG33&amp;":30")</f>
        <v>19:30</v>
      </c>
      <c r="EC33" s="2078" t="str">
        <f t="shared" ref="EC33" si="55">IF($EG33&lt;10,"0"&amp;$EG33&amp;":30",$EG33&amp;":30")</f>
        <v>19:30</v>
      </c>
      <c r="EG33" s="2179">
        <f t="shared" ref="EG33" si="56">EG32</f>
        <v>19</v>
      </c>
      <c r="EH33" s="35"/>
      <c r="EI33" s="35"/>
    </row>
    <row r="34" spans="1:139" ht="17.100000000000001" customHeight="1" x14ac:dyDescent="0.25">
      <c r="A34" s="17"/>
      <c r="B34" s="170"/>
      <c r="C34" s="3876"/>
      <c r="D34" s="3876"/>
      <c r="E34" s="3876"/>
      <c r="F34" s="205"/>
      <c r="G34" s="209"/>
      <c r="H34" s="205"/>
      <c r="I34" s="214"/>
      <c r="J34" s="275"/>
      <c r="K34" s="275"/>
      <c r="L34" s="275"/>
      <c r="M34" s="275"/>
      <c r="N34" s="275"/>
      <c r="O34" s="275"/>
      <c r="P34" s="275"/>
      <c r="Q34" s="275"/>
      <c r="R34" s="275"/>
      <c r="S34" s="275"/>
      <c r="T34" s="275"/>
      <c r="U34" s="275"/>
      <c r="V34" s="275"/>
      <c r="W34" s="275"/>
      <c r="X34" s="275"/>
      <c r="Y34" s="275"/>
      <c r="Z34" s="275"/>
      <c r="AA34" s="275"/>
      <c r="AB34" s="275"/>
      <c r="AC34" s="275"/>
      <c r="AD34" s="275"/>
      <c r="AE34" s="275"/>
      <c r="AF34" s="275"/>
      <c r="AG34" s="275"/>
      <c r="AH34" s="275"/>
      <c r="AI34" s="275"/>
      <c r="AJ34" s="275"/>
      <c r="AK34" s="275"/>
      <c r="AL34" s="275"/>
      <c r="AM34" s="275"/>
      <c r="AN34" s="275"/>
      <c r="AO34" s="275"/>
      <c r="AP34" s="275"/>
      <c r="AQ34" s="275"/>
      <c r="AR34" s="275"/>
      <c r="AS34" s="275"/>
      <c r="AT34" s="275"/>
      <c r="AU34" s="275"/>
      <c r="AV34" s="275"/>
      <c r="AW34" s="275"/>
      <c r="AX34" s="275"/>
      <c r="AY34" s="275"/>
      <c r="AZ34" s="275"/>
      <c r="BA34" s="275"/>
      <c r="BB34" s="275"/>
      <c r="BC34" s="275"/>
      <c r="BD34" s="275"/>
      <c r="BE34" s="275"/>
      <c r="BF34" s="275"/>
      <c r="BG34" s="275"/>
      <c r="BH34" s="275"/>
      <c r="BI34" s="275"/>
      <c r="BJ34" s="275"/>
      <c r="BK34" s="275"/>
      <c r="BL34" s="275"/>
      <c r="BM34" s="275"/>
      <c r="BN34" s="275"/>
      <c r="BO34" s="275"/>
      <c r="BP34" s="275"/>
      <c r="BQ34" s="275"/>
      <c r="BR34" s="275"/>
      <c r="BS34" s="275"/>
      <c r="BT34" s="275"/>
      <c r="BU34" s="275"/>
      <c r="BV34" s="279"/>
      <c r="BW34" s="219"/>
      <c r="BX34" s="209"/>
      <c r="BY34" s="206"/>
      <c r="BZ34" s="170"/>
      <c r="CA34" s="17"/>
      <c r="CC34" s="217"/>
      <c r="CD34" s="217"/>
      <c r="CE34" s="217"/>
      <c r="CF34" s="3894"/>
      <c r="CG34" s="3895"/>
      <c r="CH34" s="3895"/>
      <c r="CK34" s="217"/>
      <c r="CO34" s="211"/>
      <c r="CP34" s="212"/>
      <c r="DC34" s="2185"/>
      <c r="DD34" s="2185"/>
      <c r="DE34" s="3852"/>
      <c r="DF34" s="3852"/>
      <c r="DG34" s="3906">
        <f>IF($BD$20&lt;&gt;"",VALUE(LEFT($BD$20,2)&amp;"."&amp;RIGHT($BD$20,2)),"")</f>
        <v>22</v>
      </c>
      <c r="DH34" s="3906"/>
      <c r="DS34" s="2078" t="str">
        <f>IF($EG34&lt;10,"0"&amp;$EG34&amp;":00",$EG34&amp;":00")</f>
        <v>20:00</v>
      </c>
      <c r="DU34" s="2078" t="str">
        <f>IF($EG34&lt;10,"0"&amp;$EG34&amp;":00",$EG34&amp;":00")</f>
        <v>20:00</v>
      </c>
      <c r="DW34" s="2078" t="str">
        <f>IF($EG34&lt;10,"0"&amp;$EG34&amp;":00",$EG34&amp;":00")</f>
        <v>20:00</v>
      </c>
      <c r="DY34" s="2078" t="str">
        <f>IF($EG34&lt;10,"0"&amp;$EG34&amp;":00",$EG34&amp;":00")</f>
        <v>20:00</v>
      </c>
      <c r="EC34" s="2078" t="str">
        <f t="shared" ref="EC34" si="57">IF($EG34&lt;10,"0"&amp;$EG34&amp;":00",$EG34&amp;":00")</f>
        <v>20:00</v>
      </c>
      <c r="EG34" s="2179">
        <f t="shared" ref="EG34" si="58">IF(EG33=23,0,EG33+1)</f>
        <v>20</v>
      </c>
      <c r="EH34" s="35"/>
      <c r="EI34" s="35"/>
    </row>
    <row r="35" spans="1:139" ht="17.100000000000001" customHeight="1" x14ac:dyDescent="0.15">
      <c r="A35" s="17"/>
      <c r="B35" s="170"/>
      <c r="C35" s="3876"/>
      <c r="D35" s="3876"/>
      <c r="E35" s="3876"/>
      <c r="F35" s="205"/>
      <c r="G35" s="207" t="s">
        <v>54</v>
      </c>
      <c r="H35" s="2074" t="str">
        <f ca="1">IFERROR(CO35&amp;CP35,"")</f>
        <v/>
      </c>
      <c r="I35" s="208"/>
      <c r="J35" s="273">
        <f>$J$3</f>
        <v>7</v>
      </c>
      <c r="K35" s="273"/>
      <c r="L35" s="273"/>
      <c r="M35" s="273"/>
      <c r="N35" s="273">
        <f>$N$3</f>
        <v>8</v>
      </c>
      <c r="O35" s="273"/>
      <c r="P35" s="273"/>
      <c r="Q35" s="273"/>
      <c r="R35" s="273">
        <f>$R$3</f>
        <v>9</v>
      </c>
      <c r="S35" s="273"/>
      <c r="T35" s="273"/>
      <c r="U35" s="273"/>
      <c r="V35" s="273">
        <f>$V$3</f>
        <v>10</v>
      </c>
      <c r="W35" s="273"/>
      <c r="X35" s="273"/>
      <c r="Y35" s="273"/>
      <c r="Z35" s="273">
        <f>$Z$3</f>
        <v>11</v>
      </c>
      <c r="AA35" s="273"/>
      <c r="AB35" s="273"/>
      <c r="AC35" s="273"/>
      <c r="AD35" s="274">
        <f>$AD$3</f>
        <v>12</v>
      </c>
      <c r="AE35" s="274"/>
      <c r="AF35" s="273"/>
      <c r="AG35" s="273"/>
      <c r="AH35" s="273">
        <f>$AH$3</f>
        <v>13</v>
      </c>
      <c r="AI35" s="273"/>
      <c r="AJ35" s="273"/>
      <c r="AK35" s="273"/>
      <c r="AL35" s="274">
        <f>$AL$3</f>
        <v>14</v>
      </c>
      <c r="AM35" s="274"/>
      <c r="AN35" s="274"/>
      <c r="AO35" s="274"/>
      <c r="AP35" s="273">
        <f>$AP$3</f>
        <v>15</v>
      </c>
      <c r="AQ35" s="273"/>
      <c r="AR35" s="273"/>
      <c r="AS35" s="273"/>
      <c r="AT35" s="273">
        <f>$AT$3</f>
        <v>16</v>
      </c>
      <c r="AU35" s="273"/>
      <c r="AV35" s="274"/>
      <c r="AW35" s="274"/>
      <c r="AX35" s="273">
        <f>$AX$3</f>
        <v>17</v>
      </c>
      <c r="AY35" s="273"/>
      <c r="AZ35" s="273"/>
      <c r="BA35" s="273"/>
      <c r="BB35" s="273">
        <f>$BB$3</f>
        <v>18</v>
      </c>
      <c r="BC35" s="273"/>
      <c r="BD35" s="273"/>
      <c r="BE35" s="273"/>
      <c r="BF35" s="274">
        <f>$BF$3</f>
        <v>19</v>
      </c>
      <c r="BG35" s="274"/>
      <c r="BH35" s="274"/>
      <c r="BI35" s="274"/>
      <c r="BJ35" s="273">
        <f>$BJ$3</f>
        <v>20</v>
      </c>
      <c r="BK35" s="273"/>
      <c r="BL35" s="273"/>
      <c r="BM35" s="273"/>
      <c r="BN35" s="273">
        <f>$BN$3</f>
        <v>21</v>
      </c>
      <c r="BO35" s="273"/>
      <c r="BP35" s="273"/>
      <c r="BQ35" s="273"/>
      <c r="BR35" s="273">
        <f>$BR$3</f>
        <v>22</v>
      </c>
      <c r="BS35" s="273"/>
      <c r="BT35" s="273"/>
      <c r="BU35" s="273"/>
      <c r="BV35" s="279">
        <f>$BV$3</f>
        <v>23</v>
      </c>
      <c r="BW35" s="218"/>
      <c r="BX35" s="209" t="str">
        <f ca="1">IF(CK35=1,"HOL","")</f>
        <v/>
      </c>
      <c r="BY35" s="206"/>
      <c r="BZ35" s="170"/>
      <c r="CA35" s="17"/>
      <c r="CC35" s="3896" t="s">
        <v>314</v>
      </c>
      <c r="CD35" s="3897"/>
      <c r="CE35" s="3897"/>
      <c r="CF35" s="3894" t="e">
        <f ca="1">IF(
$C$22="NEXT",
_xlfn.IFS(
WEEKDAY($CF$20,2)=1,$CF$20+13,
WEEKDAY($CF$20,2)=2,$CF$20+12,
WEEKDAY($CF$20,2)=3,$CF$20+11,
WEEKDAY($CF$20,2)=4,$CF$20+10,
WEEKDAY($CF$20,2)=5,$CF$20+9,
WEEKDAY($CF$20,2)=6,$CF$20+8,
WEEKDAY($CF$20,2)=7,$CF$20+7,
TRUE,""),
_xlfn.IFS(
WEEKDAY($CF$20,2)=1,$CF$20+6,
WEEKDAY($CF$20,2)=2,$CF$20+5,
WEEKDAY($CF$20,2)=3,$CF$20+4,
WEEKDAY($CF$20,2)=4,$CF$20+3,
WEEKDAY($CF$20,2)=5,$CF$20+2,
WEEKDAY($CF$20,2)=6,$CF$20+1,
WEEKDAY($CF$20,2)=7,$CF$20,
TRUE,"")
)</f>
        <v>#VALUE!</v>
      </c>
      <c r="CG35" s="3895"/>
      <c r="CH35" s="3895"/>
      <c r="CK35" s="210">
        <f ca="1">IF(COUNTIF(PLANS!$BE$66:$BZ$92,CF35)&gt;=1,1,0)</f>
        <v>0</v>
      </c>
      <c r="CO35" s="211" t="e">
        <f ca="1">DAY(CF35)</f>
        <v>#VALUE!</v>
      </c>
      <c r="CP35" s="212" t="e">
        <f ca="1">_xlfn.IFS(OR(CO35=1,CO35=21,CO35=31),"st",OR(CO35=2,CO35=22),"nd",OR(CO35=3,CO35=23),"rd",CO35=0, "", TRUE,"th")</f>
        <v>#VALUE!</v>
      </c>
      <c r="DC35" s="2185"/>
      <c r="DD35" s="2185"/>
      <c r="DE35" s="3904" t="s">
        <v>1324</v>
      </c>
      <c r="DF35" s="3904"/>
      <c r="DG35" s="3905">
        <f>IF($BI$20&lt;&gt;"",VALUE(LEFT($BI$20,2)&amp;"."&amp;RIGHT($BI$20,2)),"")</f>
        <v>20</v>
      </c>
      <c r="DH35" s="3905"/>
      <c r="DS35" s="2078" t="str">
        <f>IF($EG35&lt;10,"0"&amp;$EG35&amp;":30",$EG35&amp;":30")</f>
        <v>20:30</v>
      </c>
      <c r="DU35" s="2078" t="str">
        <f>IF($EG35&lt;10,"0"&amp;$EG35&amp;":30",$EG35&amp;":30")</f>
        <v>20:30</v>
      </c>
      <c r="DW35" s="2078" t="str">
        <f>IF($EG35&lt;10,"0"&amp;$EG35&amp;":30",$EG35&amp;":30")</f>
        <v>20:30</v>
      </c>
      <c r="DY35" s="2078" t="str">
        <f>IF($EG35&lt;10,"0"&amp;$EG35&amp;":30",$EG35&amp;":30")</f>
        <v>20:30</v>
      </c>
      <c r="EC35" s="2078" t="str">
        <f t="shared" ref="EC35" si="59">IF($EG35&lt;10,"0"&amp;$EG35&amp;":30",$EG35&amp;":30")</f>
        <v>20:30</v>
      </c>
      <c r="EG35" s="2179">
        <f t="shared" ref="EG35" si="60">EG34</f>
        <v>20</v>
      </c>
      <c r="EH35" s="35"/>
      <c r="EI35" s="35"/>
    </row>
    <row r="36" spans="1:139" ht="17.100000000000001" customHeight="1" x14ac:dyDescent="0.25">
      <c r="A36" s="17"/>
      <c r="B36" s="170"/>
      <c r="C36" s="3876"/>
      <c r="D36" s="3876"/>
      <c r="E36" s="3876"/>
      <c r="F36" s="205"/>
      <c r="G36" s="205"/>
      <c r="H36" s="205"/>
      <c r="I36" s="205"/>
      <c r="J36" s="205"/>
      <c r="K36" s="205"/>
      <c r="L36" s="205"/>
      <c r="M36" s="205"/>
      <c r="N36" s="205"/>
      <c r="O36" s="205"/>
      <c r="P36" s="205"/>
      <c r="Q36" s="205"/>
      <c r="R36" s="205"/>
      <c r="S36" s="205"/>
      <c r="T36" s="205"/>
      <c r="U36" s="205"/>
      <c r="V36" s="205"/>
      <c r="W36" s="205"/>
      <c r="X36" s="205"/>
      <c r="Y36" s="205"/>
      <c r="Z36" s="205"/>
      <c r="AA36" s="205"/>
      <c r="AB36" s="205"/>
      <c r="AC36" s="205"/>
      <c r="AD36" s="205"/>
      <c r="AE36" s="205"/>
      <c r="AF36" s="205"/>
      <c r="AG36" s="205"/>
      <c r="AH36" s="205"/>
      <c r="AI36" s="205"/>
      <c r="AJ36" s="205"/>
      <c r="AK36" s="205"/>
      <c r="AL36" s="205"/>
      <c r="AM36" s="205"/>
      <c r="AN36" s="205"/>
      <c r="AO36" s="205"/>
      <c r="AP36" s="205"/>
      <c r="AQ36" s="205"/>
      <c r="AR36" s="205"/>
      <c r="AS36" s="205"/>
      <c r="AT36" s="205"/>
      <c r="AU36" s="205"/>
      <c r="AV36" s="205"/>
      <c r="AW36" s="205"/>
      <c r="AX36" s="205"/>
      <c r="AY36" s="205"/>
      <c r="AZ36" s="205"/>
      <c r="BA36" s="205"/>
      <c r="BB36" s="205"/>
      <c r="BC36" s="205"/>
      <c r="BD36" s="205"/>
      <c r="BE36" s="205"/>
      <c r="BF36" s="205"/>
      <c r="BG36" s="205"/>
      <c r="BH36" s="205"/>
      <c r="BI36" s="205"/>
      <c r="BJ36" s="205"/>
      <c r="BK36" s="205"/>
      <c r="BL36" s="205"/>
      <c r="BM36" s="205"/>
      <c r="BN36" s="205"/>
      <c r="BO36" s="205"/>
      <c r="BP36" s="205"/>
      <c r="BQ36" s="205"/>
      <c r="BR36" s="205"/>
      <c r="BS36" s="205"/>
      <c r="BT36" s="205"/>
      <c r="BU36" s="205"/>
      <c r="BV36" s="205"/>
      <c r="BW36" s="205"/>
      <c r="BX36" s="205"/>
      <c r="BY36" s="206"/>
      <c r="BZ36" s="170"/>
      <c r="CA36" s="17"/>
      <c r="CK36" s="217"/>
      <c r="CO36" s="210"/>
      <c r="DC36" s="2185"/>
      <c r="DD36" s="2185"/>
      <c r="DE36" s="3904"/>
      <c r="DF36" s="3904"/>
      <c r="DG36" s="3905">
        <f>IF($BL$20&lt;&gt;"",VALUE(LEFT($BL$20,2)&amp;"."&amp;RIGHT($BL$20,2)),"")</f>
        <v>21</v>
      </c>
      <c r="DH36" s="3905"/>
      <c r="DS36" s="2078" t="str">
        <f>IF($EG36&lt;10,"0"&amp;$EG36&amp;":00",$EG36&amp;":00")</f>
        <v>21:00</v>
      </c>
      <c r="DU36" s="2078" t="str">
        <f>IF($EG36&lt;10,"0"&amp;$EG36&amp;":00",$EG36&amp;":00")</f>
        <v>21:00</v>
      </c>
      <c r="DW36" s="2078" t="str">
        <f>IF($EG36&lt;10,"0"&amp;$EG36&amp;":00",$EG36&amp;":00")</f>
        <v>21:00</v>
      </c>
      <c r="DY36" s="2078" t="str">
        <f>IF($EG36&lt;10,"0"&amp;$EG36&amp;":00",$EG36&amp;":00")</f>
        <v>21:00</v>
      </c>
      <c r="EC36" s="2078" t="str">
        <f t="shared" ref="EC36" si="61">IF($EG36&lt;10,"0"&amp;$EG36&amp;":00",$EG36&amp;":00")</f>
        <v>21:00</v>
      </c>
      <c r="EG36" s="2179">
        <f t="shared" ref="EG36" si="62">IF(EG35=23,0,EG35+1)</f>
        <v>21</v>
      </c>
      <c r="EH36" s="35"/>
      <c r="EI36" s="35"/>
    </row>
    <row r="37" spans="1:139" ht="17.100000000000001" customHeight="1" x14ac:dyDescent="0.15">
      <c r="A37" s="17"/>
      <c r="B37" s="170"/>
      <c r="C37" s="220"/>
      <c r="D37" s="220"/>
      <c r="E37" s="220"/>
      <c r="F37" s="170"/>
      <c r="G37" s="170"/>
      <c r="H37" s="170"/>
      <c r="I37" s="170"/>
      <c r="J37" s="170"/>
      <c r="K37" s="170"/>
      <c r="L37" s="170"/>
      <c r="M37" s="170"/>
      <c r="N37" s="170"/>
      <c r="O37" s="170"/>
      <c r="P37" s="170"/>
      <c r="Q37" s="170"/>
      <c r="R37" s="170"/>
      <c r="S37" s="170"/>
      <c r="T37" s="170"/>
      <c r="U37" s="170"/>
      <c r="V37" s="170"/>
      <c r="W37" s="170"/>
      <c r="X37" s="170"/>
      <c r="Y37" s="170"/>
      <c r="Z37" s="170"/>
      <c r="AA37" s="170"/>
      <c r="AB37" s="170"/>
      <c r="AC37" s="170"/>
      <c r="AD37" s="170"/>
      <c r="AE37" s="170"/>
      <c r="AF37" s="170"/>
      <c r="AG37" s="170"/>
      <c r="AH37" s="170"/>
      <c r="AI37" s="170"/>
      <c r="AJ37" s="170"/>
      <c r="AK37" s="170"/>
      <c r="AL37" s="170"/>
      <c r="AM37" s="170"/>
      <c r="AN37" s="170"/>
      <c r="AO37" s="170"/>
      <c r="AP37" s="170"/>
      <c r="AQ37" s="170"/>
      <c r="AR37" s="170"/>
      <c r="AS37" s="170"/>
      <c r="AT37" s="170"/>
      <c r="AU37" s="170"/>
      <c r="AV37" s="170"/>
      <c r="AW37" s="170"/>
      <c r="AX37" s="170"/>
      <c r="AY37" s="170"/>
      <c r="AZ37" s="170"/>
      <c r="BA37" s="170"/>
      <c r="BB37" s="170"/>
      <c r="BC37" s="170"/>
      <c r="BD37" s="170"/>
      <c r="BE37" s="170"/>
      <c r="BF37" s="170"/>
      <c r="BG37" s="170"/>
      <c r="BH37" s="170"/>
      <c r="BI37" s="170"/>
      <c r="BJ37" s="170"/>
      <c r="BK37" s="170"/>
      <c r="BL37" s="170"/>
      <c r="BM37" s="170"/>
      <c r="BN37" s="170"/>
      <c r="BO37" s="170"/>
      <c r="BP37" s="170"/>
      <c r="BQ37" s="170"/>
      <c r="BR37" s="170"/>
      <c r="BS37" s="170"/>
      <c r="BT37" s="170"/>
      <c r="BU37" s="170"/>
      <c r="BV37" s="170"/>
      <c r="BW37" s="221"/>
      <c r="BX37" s="221"/>
      <c r="BY37" s="221"/>
      <c r="BZ37" s="170"/>
      <c r="CA37" s="17"/>
      <c r="CS37" s="222" t="s">
        <v>47</v>
      </c>
      <c r="DS37" s="2078" t="str">
        <f>IF($EG37&lt;10,"0"&amp;$EG37&amp;":30",$EG37&amp;":30")</f>
        <v>21:30</v>
      </c>
      <c r="DU37" s="2078" t="str">
        <f>IF($EG37&lt;10,"0"&amp;$EG37&amp;":30",$EG37&amp;":30")</f>
        <v>21:30</v>
      </c>
      <c r="DW37" s="2078" t="str">
        <f>IF($EG37&lt;10,"0"&amp;$EG37&amp;":30",$EG37&amp;":30")</f>
        <v>21:30</v>
      </c>
      <c r="DY37" s="2078" t="str">
        <f>IF($EG37&lt;10,"0"&amp;$EG37&amp;":30",$EG37&amp;":30")</f>
        <v>21:30</v>
      </c>
      <c r="EC37" s="2078" t="str">
        <f t="shared" ref="EC37" si="63">IF($EG37&lt;10,"0"&amp;$EG37&amp;":30",$EG37&amp;":30")</f>
        <v>21:30</v>
      </c>
      <c r="EG37" s="2179">
        <f t="shared" ref="EG37" si="64">EG36</f>
        <v>21</v>
      </c>
      <c r="EH37" s="35"/>
      <c r="EI37" s="35"/>
    </row>
    <row r="38" spans="1:139" ht="17.100000000000001" customHeight="1" x14ac:dyDescent="0.15">
      <c r="A38" s="81"/>
      <c r="B38" s="223"/>
      <c r="C38" s="224"/>
      <c r="D38" s="223"/>
      <c r="E38" s="224"/>
      <c r="F38" s="31"/>
      <c r="G38" s="224"/>
      <c r="H38" s="31"/>
      <c r="I38" s="31"/>
      <c r="J38" s="223"/>
      <c r="K38" s="224"/>
      <c r="L38" s="223"/>
      <c r="M38" s="224"/>
      <c r="N38" s="223"/>
      <c r="O38" s="224"/>
      <c r="P38" s="223"/>
      <c r="Q38" s="224"/>
      <c r="R38" s="223"/>
      <c r="S38" s="224"/>
      <c r="T38" s="223"/>
      <c r="U38" s="224"/>
      <c r="V38" s="223"/>
      <c r="W38" s="224"/>
      <c r="X38" s="223"/>
      <c r="Y38" s="224"/>
      <c r="Z38" s="223"/>
      <c r="AA38" s="224"/>
      <c r="AB38" s="223"/>
      <c r="AC38" s="224"/>
      <c r="AD38" s="223"/>
      <c r="AE38" s="224"/>
      <c r="AF38" s="223"/>
      <c r="AG38" s="224"/>
      <c r="AH38" s="223"/>
      <c r="AI38" s="224"/>
      <c r="AJ38" s="223"/>
      <c r="AK38" s="224"/>
      <c r="AL38" s="223"/>
      <c r="AM38" s="223"/>
      <c r="AN38" s="31" t="s">
        <v>1</v>
      </c>
      <c r="AO38" s="17"/>
      <c r="AP38" s="17"/>
      <c r="AQ38" s="17"/>
      <c r="AR38" s="17"/>
      <c r="AS38" s="17"/>
      <c r="AT38" s="17"/>
      <c r="AU38" s="17"/>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31"/>
      <c r="BU38" s="17"/>
      <c r="BV38" s="31"/>
      <c r="BW38" s="17"/>
      <c r="BX38" s="17"/>
      <c r="BY38" s="17"/>
      <c r="BZ38" s="17"/>
      <c r="CA38" s="17"/>
      <c r="CC38" s="44"/>
      <c r="CD38" s="225" t="s">
        <v>1397</v>
      </c>
      <c r="CK38" s="226" t="s">
        <v>543</v>
      </c>
      <c r="DS38" s="2078" t="str">
        <f>IF($EG38&lt;10,"0"&amp;$EG38&amp;":00",$EG38&amp;":00")</f>
        <v>22:00</v>
      </c>
      <c r="DU38" s="2078" t="str">
        <f>IF($EG38&lt;10,"0"&amp;$EG38&amp;":00",$EG38&amp;":00")</f>
        <v>22:00</v>
      </c>
      <c r="DW38" s="2078" t="str">
        <f>IF($EG38&lt;10,"0"&amp;$EG38&amp;":00",$EG38&amp;":00")</f>
        <v>22:00</v>
      </c>
      <c r="DY38" s="2078" t="str">
        <f>IF($EG38&lt;10,"0"&amp;$EG38&amp;":00",$EG38&amp;":00")</f>
        <v>22:00</v>
      </c>
      <c r="EC38" s="2078" t="str">
        <f t="shared" ref="EC38:EC40" si="65">IF($EG38&lt;10,"0"&amp;$EG38&amp;":00",$EG38&amp;":00")</f>
        <v>22:00</v>
      </c>
      <c r="EG38" s="2179">
        <f t="shared" ref="EG38:EG40" si="66">IF(EG37=23,0,EG37+1)</f>
        <v>22</v>
      </c>
      <c r="EH38" s="35"/>
      <c r="EI38" s="35"/>
    </row>
    <row r="39" spans="1:139" ht="17.100000000000001" customHeight="1" x14ac:dyDescent="0.15">
      <c r="D39" s="33"/>
      <c r="E39" s="33"/>
      <c r="F39" s="33"/>
      <c r="H39" s="33"/>
      <c r="I39" s="33"/>
      <c r="AN39" s="33" t="s">
        <v>1</v>
      </c>
      <c r="BT39" s="33"/>
      <c r="BV39" s="33"/>
      <c r="DS39" s="2079" t="str">
        <f>IF($EG39&lt;10,"0"&amp;$EG39&amp;":30",$EG39&amp;":30")</f>
        <v>22:30</v>
      </c>
      <c r="DU39" s="2079" t="str">
        <f>IF($EG39&lt;10,"0"&amp;$EG39&amp;":30",$EG39&amp;":30")</f>
        <v>22:30</v>
      </c>
      <c r="DW39" s="2079" t="str">
        <f>IF($EG39&lt;10,"0"&amp;$EG39&amp;":30",$EG39&amp;":30")</f>
        <v>22:30</v>
      </c>
      <c r="DY39" s="2079" t="str">
        <f>IF($EG39&lt;10,"0"&amp;$EG39&amp;":30",$EG39&amp;":30")</f>
        <v>22:30</v>
      </c>
      <c r="EC39" s="2078" t="str">
        <f t="shared" ref="EC39" si="67">IF($EG39&lt;10,"0"&amp;$EG39&amp;":30",$EG39&amp;":30")</f>
        <v>22:30</v>
      </c>
      <c r="EG39" s="2179">
        <f t="shared" ref="EG39:EG41" si="68">EG38</f>
        <v>22</v>
      </c>
      <c r="EH39" s="35"/>
      <c r="EI39" s="35"/>
    </row>
    <row r="40" spans="1:139" ht="17.100000000000001" customHeight="1" x14ac:dyDescent="0.15">
      <c r="D40" s="33"/>
      <c r="E40" s="33"/>
      <c r="F40" s="33"/>
      <c r="H40" s="33"/>
      <c r="I40" s="33"/>
      <c r="AN40" s="33" t="s">
        <v>1</v>
      </c>
      <c r="BT40" s="33"/>
      <c r="BV40" s="33"/>
      <c r="CC40" s="227"/>
      <c r="CD40" s="228"/>
      <c r="CE40" s="228"/>
      <c r="CF40" s="228"/>
      <c r="CG40" s="228"/>
      <c r="CH40" s="228"/>
      <c r="CI40" s="228"/>
      <c r="CJ40" s="228"/>
      <c r="CK40" s="228"/>
      <c r="CL40" s="228"/>
      <c r="CM40" s="228"/>
      <c r="CN40" s="228"/>
      <c r="CO40" s="228"/>
      <c r="CP40" s="228"/>
      <c r="CQ40" s="228"/>
      <c r="CR40" s="228"/>
      <c r="CS40" s="229"/>
      <c r="CV40" s="227"/>
      <c r="CW40" s="228"/>
      <c r="CX40" s="228"/>
      <c r="CY40" s="228"/>
      <c r="CZ40" s="228"/>
      <c r="DA40" s="228"/>
      <c r="DB40" s="228"/>
      <c r="DC40" s="228"/>
      <c r="DD40" s="228"/>
      <c r="DE40" s="228"/>
      <c r="DF40" s="228"/>
      <c r="DG40" s="228"/>
      <c r="DH40" s="228"/>
      <c r="DI40" s="228"/>
      <c r="DJ40" s="228"/>
      <c r="DK40" s="230"/>
      <c r="EC40" s="2079" t="str">
        <f t="shared" si="65"/>
        <v>23:00</v>
      </c>
      <c r="EG40" s="2179">
        <f t="shared" si="66"/>
        <v>23</v>
      </c>
    </row>
    <row r="41" spans="1:139" ht="17.100000000000001" customHeight="1" x14ac:dyDescent="0.15">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3898" t="s">
        <v>55</v>
      </c>
      <c r="AK41" s="3899"/>
      <c r="AL41" s="3899"/>
      <c r="AM41" s="3899"/>
      <c r="AN41" s="3899"/>
      <c r="AO41" s="3899"/>
      <c r="AP41" s="3899"/>
      <c r="AQ41" s="3899"/>
      <c r="AR41" s="3900"/>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CC41" s="232" t="s">
        <v>128</v>
      </c>
      <c r="CD41" s="44" t="str">
        <f ca="1">_xlfn.IFS(  AND(MISSIONS!U5=MISSIONS!$AM$2,MISSIONS!U4=100%),MISSIONS!D4&amp;" 100%",  ISBLANK(MISSIONS!E4),"",  MISSIONS!U5&lt;&gt;MISSIONS!$AM$2, MISSIONS!D4&amp;" "&amp;MISSIONS!E4&amp;" 0%",TRUE,MISSIONS!D4&amp;" "&amp;MISSIONS!E4&amp;" "&amp;ROUND(MISSIONS!U4*100,0)&amp;"%")</f>
        <v/>
      </c>
      <c r="CK41" s="233" t="s">
        <v>128</v>
      </c>
      <c r="CL41" s="44" t="str">
        <f ca="1">_xlfn.IFS(
ISBLANK(MISSIONS!BH4),"",
MISSIONS!BG4=100%,MISSIONS!BX4&amp;" 100%",
AND(MISSIONS!BG5&lt;PLANS!$B$1,MISSIONS!BG5&lt;&gt;"",MISSIONS!BF4=""), MISSIONS!BX4&amp;$CD$38&amp;" "&amp;MISSIONS!BH4&amp;" "&amp;ROUND(MISSIONS!BG4*100,0)&amp;"%",
TRUE, MISSIONS!BX4&amp;CL42&amp;" "&amp;MISSIONS!BH4&amp;" "&amp;ROUND(MISSIONS!BG4*100,0)&amp;"%")</f>
        <v/>
      </c>
      <c r="CS41" s="234" t="s">
        <v>525</v>
      </c>
      <c r="CV41" s="232" t="s">
        <v>128</v>
      </c>
      <c r="CW41" s="44" t="str" cm="1">
        <f t="array" aca="1" ref="CW41" ca="1">_xlfn.IFS(
ISBLANK(MISSIONS!AB14),"",
MISSIONS!AL14=100%,MISSIONS!AA14&amp;" 100%",
AND(MISSIONS!AL15&lt;PLANS!$B$1,MISSIONS!AL15&lt;&gt;"",MISSIONS!AM14=""), MISSIONS!AA14&amp;$CD$38&amp;" "&amp;MISSIONS!AB14&amp;" "&amp;ROUND(MISSIONS!AL14*100,0)&amp;"%",
TRUE, MISSIONS!AA14&amp;CW42&amp;" "&amp;MISSIONS!AB14&amp;" "&amp;ROUND(MISSIONS!AL14*100,0)&amp;"%")</f>
        <v/>
      </c>
      <c r="DD41" s="233" t="s">
        <v>128</v>
      </c>
      <c r="DE41" s="44" t="str" cm="1">
        <f t="array" aca="1" ref="DE41" ca="1">_xlfn.IFS(
ISBLANK(MISSIONS!AQ14),"",
MISSIONS!AP14=100%,MISSIONS!BA14&amp;" 100%",
AND(MISSIONS!AP15&lt;PLANS!$B$1,MISSIONS!AP15&lt;&gt;"",MISSIONS!AO14=""), MISSIONS!BA14&amp;$CD$38&amp;" "&amp;MISSIONS!AQ14&amp;" "&amp;ROUND(MISSIONS!AP14*100,0)&amp;"%",
TRUE, MISSIONS!BA14&amp;DE42&amp;" "&amp;MISSIONS!AQ14&amp;" "&amp;ROUND(MISSIONS!AP14*100,0)&amp;"%")</f>
        <v/>
      </c>
      <c r="DG41" s="233"/>
      <c r="DH41" s="44"/>
      <c r="DK41" s="234" t="s">
        <v>525</v>
      </c>
      <c r="DL41" s="233"/>
      <c r="DM41" s="44"/>
      <c r="EG41" s="2179">
        <f t="shared" si="68"/>
        <v>23</v>
      </c>
    </row>
    <row r="42" spans="1:139" ht="17.100000000000001" customHeight="1" x14ac:dyDescent="0.15">
      <c r="C42" s="231"/>
      <c r="D42" s="235" t="s">
        <v>56</v>
      </c>
      <c r="E42" s="231"/>
      <c r="F42" s="236" t="s">
        <v>57</v>
      </c>
      <c r="G42" s="237"/>
      <c r="H42" s="231"/>
      <c r="I42" s="236" t="s">
        <v>58</v>
      </c>
      <c r="J42" s="238"/>
      <c r="K42" s="238"/>
      <c r="L42" s="237"/>
      <c r="M42" s="231"/>
      <c r="N42" s="236" t="s">
        <v>59</v>
      </c>
      <c r="O42" s="238"/>
      <c r="P42" s="238"/>
      <c r="Q42" s="238"/>
      <c r="R42" s="238"/>
      <c r="S42" s="238"/>
      <c r="T42" s="238"/>
      <c r="U42" s="237"/>
      <c r="V42" s="231"/>
      <c r="W42" s="239"/>
      <c r="X42" s="239"/>
      <c r="Y42" s="231"/>
      <c r="Z42" s="239"/>
      <c r="AA42" s="239"/>
      <c r="AB42" s="239"/>
      <c r="AC42" s="239"/>
      <c r="AD42" s="239"/>
      <c r="AE42" s="239"/>
      <c r="AF42" s="239"/>
      <c r="AG42" s="239"/>
      <c r="AH42" s="239"/>
      <c r="AI42" s="231"/>
      <c r="AJ42" s="3901"/>
      <c r="AK42" s="3902"/>
      <c r="AL42" s="3902"/>
      <c r="AM42" s="3902"/>
      <c r="AN42" s="3902"/>
      <c r="AO42" s="3902"/>
      <c r="AP42" s="3902"/>
      <c r="AQ42" s="3902"/>
      <c r="AR42" s="3903"/>
      <c r="AS42" s="231"/>
      <c r="AT42" s="239"/>
      <c r="AU42" s="239"/>
      <c r="AV42" s="239"/>
      <c r="AW42" s="239"/>
      <c r="AX42" s="239"/>
      <c r="AY42" s="239"/>
      <c r="AZ42" s="239"/>
      <c r="BA42" s="239"/>
      <c r="BB42" s="239"/>
      <c r="BC42" s="231"/>
      <c r="BD42" s="239"/>
      <c r="BE42" s="239"/>
      <c r="BF42" s="231"/>
      <c r="BG42" s="236"/>
      <c r="BH42" s="238"/>
      <c r="BI42" s="238"/>
      <c r="BJ42" s="238"/>
      <c r="BK42" s="238"/>
      <c r="BL42" s="238"/>
      <c r="BM42" s="238"/>
      <c r="BN42" s="240" t="s">
        <v>59</v>
      </c>
      <c r="BO42" s="231"/>
      <c r="BP42" s="236"/>
      <c r="BQ42" s="238"/>
      <c r="BR42" s="238"/>
      <c r="BS42" s="241" t="s">
        <v>58</v>
      </c>
      <c r="BT42" s="231"/>
      <c r="BU42" s="236"/>
      <c r="BV42" s="240" t="s">
        <v>57</v>
      </c>
      <c r="BW42" s="231"/>
      <c r="BX42" s="235" t="s">
        <v>56</v>
      </c>
      <c r="BY42" s="231"/>
      <c r="CC42" s="242"/>
      <c r="CL42" s="786" t="str">
        <f>IF(MISSIONS!BF4="",""," ("&amp;MISSIONS!BF4&amp;")")</f>
        <v/>
      </c>
      <c r="CS42" s="234" t="s">
        <v>525</v>
      </c>
      <c r="CV42" s="242"/>
      <c r="CW42" s="786" t="str">
        <f>IF(MISSIONS!AM14="",""," ("&amp;MISSIONS!AM14&amp;")")</f>
        <v/>
      </c>
      <c r="DE42" s="786" t="str">
        <f>IF(MISSIONS!AO14="",""," ("&amp;MISSIONS!AO14&amp;")")</f>
        <v/>
      </c>
      <c r="DG42" s="233"/>
      <c r="DH42" s="44"/>
      <c r="DK42" s="234" t="s">
        <v>525</v>
      </c>
    </row>
    <row r="43" spans="1:139" ht="17.100000000000001" customHeight="1" x14ac:dyDescent="0.15">
      <c r="C43" s="231"/>
      <c r="D43" s="231"/>
      <c r="E43" s="231"/>
      <c r="F43" s="231"/>
      <c r="G43" s="231"/>
      <c r="H43" s="231"/>
      <c r="I43" s="231"/>
      <c r="J43" s="231"/>
      <c r="K43" s="231"/>
      <c r="L43" s="231"/>
      <c r="M43" s="231"/>
      <c r="N43" s="231"/>
      <c r="O43" s="231"/>
      <c r="P43" s="231"/>
      <c r="Q43" s="231"/>
      <c r="R43" s="231"/>
      <c r="S43" s="231"/>
      <c r="T43" s="231"/>
      <c r="U43" s="231"/>
      <c r="V43" s="231"/>
      <c r="W43" s="231"/>
      <c r="X43" s="231"/>
      <c r="Y43" s="231"/>
      <c r="Z43" s="231"/>
      <c r="AA43" s="231"/>
      <c r="AB43" s="231"/>
      <c r="AC43" s="231"/>
      <c r="AD43" s="231"/>
      <c r="AE43" s="231"/>
      <c r="AF43" s="231"/>
      <c r="AG43" s="231"/>
      <c r="AH43" s="231"/>
      <c r="AI43" s="231"/>
      <c r="AJ43" s="231"/>
      <c r="AK43" s="231"/>
      <c r="AL43" s="231"/>
      <c r="AM43" s="231"/>
      <c r="AN43" s="231"/>
      <c r="AO43" s="231"/>
      <c r="AP43" s="231"/>
      <c r="AQ43" s="231"/>
      <c r="AR43" s="231"/>
      <c r="AS43" s="231"/>
      <c r="AT43" s="231"/>
      <c r="AU43" s="231"/>
      <c r="AV43" s="231"/>
      <c r="AW43" s="231"/>
      <c r="AX43" s="231"/>
      <c r="AY43" s="231"/>
      <c r="AZ43" s="231"/>
      <c r="BA43" s="231"/>
      <c r="BB43" s="231"/>
      <c r="BC43" s="231"/>
      <c r="BD43" s="231"/>
      <c r="BE43" s="231"/>
      <c r="BF43" s="231"/>
      <c r="BG43" s="231"/>
      <c r="BH43" s="231"/>
      <c r="BI43" s="231"/>
      <c r="BJ43" s="231"/>
      <c r="BK43" s="231"/>
      <c r="BL43" s="231"/>
      <c r="BM43" s="231"/>
      <c r="BN43" s="231"/>
      <c r="BO43" s="231"/>
      <c r="BP43" s="231"/>
      <c r="BQ43" s="231"/>
      <c r="BR43" s="231"/>
      <c r="BS43" s="231"/>
      <c r="BT43" s="231"/>
      <c r="BU43" s="231"/>
      <c r="BV43" s="231"/>
      <c r="BW43" s="231"/>
      <c r="BX43" s="231"/>
      <c r="BY43" s="231"/>
      <c r="CC43" s="232" t="s">
        <v>128</v>
      </c>
      <c r="CD43" s="44" t="str">
        <f ca="1">_xlfn.IFS(  AND(MISSIONS!U7=MISSIONS!$AM$2,MISSIONS!U6=100%),MISSIONS!D6&amp;" 100%",  ISBLANK(MISSIONS!E6),"",  MISSIONS!U7&lt;&gt;MISSIONS!$AM$2, MISSIONS!D6&amp;" "&amp;MISSIONS!E6&amp;" 0%",TRUE,MISSIONS!D6&amp;" "&amp;MISSIONS!E6&amp;" "&amp;ROUND(MISSIONS!U6*100,0)&amp;"%")</f>
        <v/>
      </c>
      <c r="CK43" s="233" t="s">
        <v>128</v>
      </c>
      <c r="CL43" s="44" t="str">
        <f ca="1">_xlfn.IFS(
ISBLANK(MISSIONS!BH6),"",
MISSIONS!BG6=100%,MISSIONS!BX6&amp;" 100%",
AND(MISSIONS!BG7&lt;PLANS!$B$1,MISSIONS!BG7&lt;&gt;"",MISSIONS!BF6=""), MISSIONS!BX6&amp;$CD$38&amp;" "&amp;MISSIONS!BH6&amp;" "&amp;ROUND(MISSIONS!BG6*100,0)&amp;"%",
TRUE, MISSIONS!BX6&amp;CL44&amp;" "&amp;MISSIONS!BH6&amp;" "&amp;ROUND(MISSIONS!BG6*100,0)&amp;"%")</f>
        <v/>
      </c>
      <c r="CS43" s="234" t="s">
        <v>525</v>
      </c>
      <c r="CV43" s="232" t="s">
        <v>128</v>
      </c>
      <c r="CW43" s="44" t="str" cm="1">
        <f t="array" aca="1" ref="CW43" ca="1">_xlfn.IFS(
ISBLANK(MISSIONS!AB16),"",
MISSIONS!AL16=100%,MISSIONS!AA16&amp;" 100%",
AND(MISSIONS!AL17&lt;PLANS!$B$1,MISSIONS!AL17&lt;&gt;"",MISSIONS!AM16=""), MISSIONS!AA16&amp;$CD$38&amp;" "&amp;MISSIONS!AB16&amp;" "&amp;ROUND(MISSIONS!AL16*100,0)&amp;"%",
TRUE, MISSIONS!AA16&amp;CW44&amp;" "&amp;MISSIONS!AB16&amp;" "&amp;ROUND(MISSIONS!AL16*100,0)&amp;"%")</f>
        <v/>
      </c>
      <c r="DD43" s="233" t="s">
        <v>128</v>
      </c>
      <c r="DE43" s="44" t="str" cm="1">
        <f t="array" aca="1" ref="DE43" ca="1">_xlfn.IFS(
ISBLANK(MISSIONS!AQ16),"",
MISSIONS!AP16=100%,MISSIONS!BA16&amp;" 100%",
AND(MISSIONS!AP17&lt;PLANS!$B$1,MISSIONS!AP17&lt;&gt;"",MISSIONS!AO16=""), MISSIONS!BA16&amp;$CD$38&amp;" "&amp;MISSIONS!AQ16&amp;" "&amp;ROUND(MISSIONS!AP16*100,0)&amp;"%",
TRUE, MISSIONS!BA16&amp;DE44&amp;" "&amp;MISSIONS!AQ16&amp;" "&amp;ROUND(MISSIONS!AP16*100,0)&amp;"%")</f>
        <v/>
      </c>
      <c r="DG43" s="233"/>
      <c r="DH43" s="44"/>
      <c r="DK43" s="234" t="s">
        <v>525</v>
      </c>
      <c r="DL43" s="233"/>
      <c r="DM43" s="44"/>
    </row>
    <row r="44" spans="1:139" ht="17.100000000000001" customHeight="1" x14ac:dyDescent="0.15">
      <c r="C44" s="231"/>
      <c r="D44" s="243"/>
      <c r="E44" s="244"/>
      <c r="F44" s="244"/>
      <c r="G44" s="244"/>
      <c r="H44" s="244"/>
      <c r="I44" s="244"/>
      <c r="J44" s="244"/>
      <c r="K44" s="244"/>
      <c r="L44" s="244"/>
      <c r="M44" s="244"/>
      <c r="N44" s="244"/>
      <c r="O44" s="244"/>
      <c r="P44" s="244"/>
      <c r="Q44" s="244"/>
      <c r="R44" s="244" t="s">
        <v>1239</v>
      </c>
      <c r="S44" s="244"/>
      <c r="T44" s="244"/>
      <c r="U44" s="244"/>
      <c r="V44" s="244"/>
      <c r="W44" s="244"/>
      <c r="X44" s="244"/>
      <c r="Y44" s="244"/>
      <c r="Z44" s="244"/>
      <c r="AA44" s="244"/>
      <c r="AB44" s="244"/>
      <c r="AC44" s="244"/>
      <c r="AD44" s="244"/>
      <c r="AE44" s="244"/>
      <c r="AF44" s="244"/>
      <c r="AG44" s="244"/>
      <c r="AH44" s="231"/>
      <c r="AI44" s="231"/>
      <c r="AJ44" s="244"/>
      <c r="AK44" s="243" t="s">
        <v>1332</v>
      </c>
      <c r="AL44" s="244"/>
      <c r="AM44" s="244"/>
      <c r="AN44" s="231"/>
      <c r="AO44" s="244"/>
      <c r="AP44" s="243" t="s">
        <v>1341</v>
      </c>
      <c r="AQ44" s="244"/>
      <c r="AR44" s="244"/>
      <c r="AS44" s="231"/>
      <c r="AT44" s="245"/>
      <c r="AU44" s="243"/>
      <c r="AV44" s="243"/>
      <c r="AW44" s="243"/>
      <c r="AX44" s="243"/>
      <c r="AY44" s="243"/>
      <c r="AZ44" s="243"/>
      <c r="BA44" s="243"/>
      <c r="BB44" s="243"/>
      <c r="BC44" s="236"/>
      <c r="BD44" s="246"/>
      <c r="BE44" s="243"/>
      <c r="BF44" s="243"/>
      <c r="BG44" s="243"/>
      <c r="BH44" s="1992" t="s">
        <v>1238</v>
      </c>
      <c r="BI44" s="1992"/>
      <c r="BJ44" s="1993"/>
      <c r="BK44" s="1994"/>
      <c r="BL44" s="243"/>
      <c r="BM44" s="243"/>
      <c r="BN44" s="243"/>
      <c r="BO44" s="243"/>
      <c r="BP44" s="243"/>
      <c r="BQ44" s="243"/>
      <c r="BR44" s="243"/>
      <c r="BS44" s="243"/>
      <c r="BT44" s="243"/>
      <c r="BU44" s="243"/>
      <c r="BV44" s="243"/>
      <c r="BW44" s="243"/>
      <c r="BX44" s="243"/>
      <c r="BY44" s="231"/>
      <c r="CC44" s="242"/>
      <c r="CL44" s="786" t="str">
        <f>IF(MISSIONS!BF6="",""," ("&amp;MISSIONS!BF6&amp;")")</f>
        <v/>
      </c>
      <c r="CS44" s="234" t="s">
        <v>525</v>
      </c>
      <c r="CV44" s="247" t="s">
        <v>525</v>
      </c>
      <c r="CW44" s="786" t="str">
        <f>IF(MISSIONS!AM16="",""," ("&amp;MISSIONS!AM16&amp;")")</f>
        <v/>
      </c>
      <c r="DE44" s="786" t="str">
        <f>IF(MISSIONS!AO16="",""," ("&amp;MISSIONS!AO16&amp;")")</f>
        <v/>
      </c>
      <c r="DG44" s="233"/>
      <c r="DH44" s="44"/>
      <c r="DK44" s="234" t="s">
        <v>525</v>
      </c>
    </row>
    <row r="45" spans="1:139" ht="17.100000000000001" customHeight="1" x14ac:dyDescent="0.15">
      <c r="C45" s="231"/>
      <c r="D45" s="231"/>
      <c r="E45" s="231"/>
      <c r="F45" s="231"/>
      <c r="G45" s="231"/>
      <c r="H45" s="231"/>
      <c r="I45" s="231"/>
      <c r="J45" s="231"/>
      <c r="K45" s="231"/>
      <c r="L45" s="231"/>
      <c r="M45" s="231"/>
      <c r="N45" s="231"/>
      <c r="O45" s="231"/>
      <c r="P45" s="231"/>
      <c r="Q45" s="231"/>
      <c r="R45" s="231"/>
      <c r="S45" s="231"/>
      <c r="T45" s="231"/>
      <c r="U45" s="231"/>
      <c r="V45" s="231"/>
      <c r="W45" s="231"/>
      <c r="X45" s="231"/>
      <c r="Y45" s="231"/>
      <c r="Z45" s="231"/>
      <c r="AA45" s="231"/>
      <c r="AB45" s="231"/>
      <c r="AC45" s="231"/>
      <c r="AD45" s="231"/>
      <c r="AE45" s="231"/>
      <c r="AF45" s="231"/>
      <c r="AG45" s="231"/>
      <c r="AH45" s="231"/>
      <c r="AI45" s="231"/>
      <c r="AJ45" s="231"/>
      <c r="AK45" s="231"/>
      <c r="AL45" s="231"/>
      <c r="AM45" s="231"/>
      <c r="AN45" s="231"/>
      <c r="AO45" s="231"/>
      <c r="AP45" s="231"/>
      <c r="AQ45" s="231"/>
      <c r="AR45" s="231"/>
      <c r="AS45" s="231"/>
      <c r="AT45" s="245"/>
      <c r="AU45" s="245"/>
      <c r="AV45" s="245"/>
      <c r="AW45" s="245"/>
      <c r="AX45" s="245"/>
      <c r="AY45" s="245"/>
      <c r="AZ45" s="245"/>
      <c r="BA45" s="245"/>
      <c r="BB45" s="245"/>
      <c r="BC45" s="245"/>
      <c r="BD45" s="245"/>
      <c r="BE45" s="245"/>
      <c r="BF45" s="245"/>
      <c r="BG45" s="245"/>
      <c r="BH45" s="245"/>
      <c r="BI45" s="245"/>
      <c r="BJ45" s="245"/>
      <c r="BK45" s="245"/>
      <c r="BL45" s="245"/>
      <c r="BM45" s="245"/>
      <c r="BN45" s="245"/>
      <c r="BO45" s="245"/>
      <c r="BP45" s="245"/>
      <c r="BQ45" s="245"/>
      <c r="BR45" s="245"/>
      <c r="BS45" s="245"/>
      <c r="BT45" s="245"/>
      <c r="BU45" s="245"/>
      <c r="BV45" s="245"/>
      <c r="BW45" s="245"/>
      <c r="BX45" s="231"/>
      <c r="BY45" s="231"/>
      <c r="CC45" s="232" t="s">
        <v>128</v>
      </c>
      <c r="CD45" s="44" t="str">
        <f ca="1">_xlfn.IFS(  AND(MISSIONS!U9=MISSIONS!$AM$2,MISSIONS!U8=100%),MISSIONS!D8&amp;" 100%",  ISBLANK(MISSIONS!E8),"",  MISSIONS!U9&lt;&gt;MISSIONS!$AM$2, MISSIONS!D8&amp;" "&amp;MISSIONS!E8&amp;" 0%",TRUE,MISSIONS!D8&amp;" "&amp;MISSIONS!E8&amp;" "&amp;ROUND(MISSIONS!U8*100,0)&amp;"%")</f>
        <v/>
      </c>
      <c r="CK45" s="233" t="s">
        <v>128</v>
      </c>
      <c r="CL45" s="44" t="str">
        <f ca="1">_xlfn.IFS(
ISBLANK(MISSIONS!BH8),"",
MISSIONS!BG8=100%,MISSIONS!BX8&amp;" 100%",
AND(MISSIONS!BG9&lt;PLANS!$B$1,MISSIONS!BG9&lt;&gt;"",MISSIONS!BF8=""), MISSIONS!BX8&amp;$CD$38&amp;" "&amp;MISSIONS!BH8&amp;" "&amp;ROUND(MISSIONS!BG8*100,0)&amp;"%",
TRUE, MISSIONS!BX8&amp;CL46&amp;" "&amp;MISSIONS!BH8&amp;" "&amp;ROUND(MISSIONS!BG8*100,0)&amp;"%")</f>
        <v/>
      </c>
      <c r="CS45" s="234" t="s">
        <v>525</v>
      </c>
      <c r="CV45" s="232" t="s">
        <v>128</v>
      </c>
      <c r="CW45" s="44" t="str" cm="1">
        <f t="array" aca="1" ref="CW45" ca="1">_xlfn.IFS(
ISBLANK(MISSIONS!AB18),"",
MISSIONS!AL18=100%,MISSIONS!AA18&amp;" 100%",
AND(MISSIONS!AL19&lt;PLANS!$B$1,MISSIONS!AL19&lt;&gt;"",MISSIONS!AM18=""), MISSIONS!AA18&amp;$CD$38&amp;" "&amp;MISSIONS!AB18&amp;" "&amp;ROUND(MISSIONS!AL18*100,0)&amp;"%",
TRUE, MISSIONS!AA18&amp;CW46&amp;" "&amp;MISSIONS!AB18&amp;" "&amp;ROUND(MISSIONS!AL18*100,0)&amp;"%")</f>
        <v/>
      </c>
      <c r="DD45" s="233" t="s">
        <v>128</v>
      </c>
      <c r="DE45" s="44" t="str" cm="1">
        <f t="array" aca="1" ref="DE45" ca="1">_xlfn.IFS(
ISBLANK(MISSIONS!AQ18),"",
MISSIONS!AP18=100%,MISSIONS!BA18&amp;" 100%",
AND(MISSIONS!AP19&lt;PLANS!$B$1,MISSIONS!AP19&lt;&gt;"",MISSIONS!AO18=""), MISSIONS!BA18&amp;$CD$38&amp;" "&amp;MISSIONS!AQ18&amp;" "&amp;ROUND(MISSIONS!AP18*100,0)&amp;"%",
TRUE, MISSIONS!BA18&amp;DE46&amp;" "&amp;MISSIONS!AQ18&amp;" "&amp;ROUND(MISSIONS!AP18*100,0)&amp;"%")</f>
        <v/>
      </c>
      <c r="DG45" s="233"/>
      <c r="DH45" s="44"/>
      <c r="DK45" s="234" t="s">
        <v>525</v>
      </c>
      <c r="DL45" s="233"/>
      <c r="DM45" s="44"/>
    </row>
    <row r="46" spans="1:139" ht="17.100000000000001" customHeight="1" x14ac:dyDescent="0.15">
      <c r="C46" s="231"/>
      <c r="D46" s="243" t="s">
        <v>320</v>
      </c>
      <c r="E46" s="244"/>
      <c r="F46" s="248" t="str">
        <f ca="1">IF(MISSIONS!$AP$2=D46,"w", "")</f>
        <v/>
      </c>
      <c r="G46" s="244"/>
      <c r="H46" s="244"/>
      <c r="I46" s="244"/>
      <c r="J46" s="244"/>
      <c r="K46" s="244"/>
      <c r="L46" s="244"/>
      <c r="M46" s="244"/>
      <c r="N46" s="244"/>
      <c r="O46" s="244"/>
      <c r="P46" s="244"/>
      <c r="Q46" s="244"/>
      <c r="R46" s="244"/>
      <c r="S46" s="244"/>
      <c r="T46" s="244"/>
      <c r="U46" s="244"/>
      <c r="V46" s="244"/>
      <c r="W46" s="244"/>
      <c r="X46" s="244"/>
      <c r="Y46" s="244"/>
      <c r="Z46" s="244"/>
      <c r="AA46" s="244"/>
      <c r="AB46" s="244"/>
      <c r="AC46" s="244"/>
      <c r="AD46" s="244"/>
      <c r="AE46" s="248" t="str">
        <f ca="1">IF(MISSIONS!$AP$2=D46,"v", "")</f>
        <v/>
      </c>
      <c r="AF46" s="244"/>
      <c r="AG46" s="249" t="s">
        <v>320</v>
      </c>
      <c r="AH46" s="231"/>
      <c r="AI46" s="231"/>
      <c r="AJ46" s="244"/>
      <c r="AK46" s="244"/>
      <c r="AL46" s="244"/>
      <c r="AM46" s="244"/>
      <c r="AN46" s="231"/>
      <c r="AO46" s="244"/>
      <c r="AP46" s="244"/>
      <c r="AQ46" s="244"/>
      <c r="AR46" s="244"/>
      <c r="AS46" s="231"/>
      <c r="AT46" s="231"/>
      <c r="AU46" s="243" t="s">
        <v>171</v>
      </c>
      <c r="AV46" s="243"/>
      <c r="AW46" s="243"/>
      <c r="AX46" s="249"/>
      <c r="AY46" s="231"/>
      <c r="AZ46" s="243" t="s">
        <v>456</v>
      </c>
      <c r="BA46" s="243"/>
      <c r="BB46" s="243"/>
      <c r="BC46" s="249"/>
      <c r="BD46" s="231"/>
      <c r="BE46" s="243" t="s">
        <v>251</v>
      </c>
      <c r="BF46" s="243"/>
      <c r="BG46" s="243"/>
      <c r="BH46" s="249"/>
      <c r="BI46" s="231"/>
      <c r="BJ46" s="245"/>
      <c r="BK46" s="243"/>
      <c r="BL46" s="243"/>
      <c r="BM46" s="243"/>
      <c r="BN46" s="249" t="s">
        <v>36</v>
      </c>
      <c r="BO46" s="231"/>
      <c r="BP46" s="243"/>
      <c r="BQ46" s="243"/>
      <c r="BR46" s="243"/>
      <c r="BS46" s="249" t="s">
        <v>732</v>
      </c>
      <c r="BT46" s="231"/>
      <c r="BU46" s="243"/>
      <c r="BV46" s="243"/>
      <c r="BW46" s="243"/>
      <c r="BX46" s="249" t="s">
        <v>43</v>
      </c>
      <c r="BY46" s="231"/>
      <c r="CC46" s="242"/>
      <c r="CL46" s="786" t="str">
        <f>IF(MISSIONS!BF8="",""," ("&amp;MISSIONS!BF8&amp;")")</f>
        <v/>
      </c>
      <c r="CS46" s="234" t="s">
        <v>525</v>
      </c>
      <c r="CV46" s="247" t="s">
        <v>525</v>
      </c>
      <c r="CW46" s="786" t="str">
        <f>IF(MISSIONS!AM18="",""," ("&amp;MISSIONS!AM18&amp;")")</f>
        <v/>
      </c>
      <c r="DE46" s="786" t="str">
        <f>IF(MISSIONS!AO18="",""," ("&amp;MISSIONS!AO18&amp;")")</f>
        <v/>
      </c>
      <c r="DG46" s="233"/>
      <c r="DH46" s="44"/>
      <c r="DK46" s="234" t="s">
        <v>525</v>
      </c>
    </row>
    <row r="47" spans="1:139" ht="17.100000000000001" customHeight="1" x14ac:dyDescent="0.15">
      <c r="C47" s="231"/>
      <c r="D47" s="243" t="s">
        <v>321</v>
      </c>
      <c r="E47" s="244"/>
      <c r="F47" s="248" t="str">
        <f ca="1">IF(MISSIONS!$AP$2=D47,"w", "")</f>
        <v/>
      </c>
      <c r="G47" s="244"/>
      <c r="H47" s="244"/>
      <c r="I47" s="244"/>
      <c r="J47" s="244"/>
      <c r="K47" s="244"/>
      <c r="L47" s="244"/>
      <c r="M47" s="244"/>
      <c r="N47" s="244"/>
      <c r="O47" s="244"/>
      <c r="P47" s="244"/>
      <c r="Q47" s="244"/>
      <c r="R47" s="244"/>
      <c r="S47" s="244"/>
      <c r="T47" s="244"/>
      <c r="U47" s="244"/>
      <c r="V47" s="244"/>
      <c r="W47" s="244"/>
      <c r="X47" s="244"/>
      <c r="Y47" s="244"/>
      <c r="Z47" s="244"/>
      <c r="AA47" s="244"/>
      <c r="AB47" s="244"/>
      <c r="AC47" s="244"/>
      <c r="AD47" s="244"/>
      <c r="AE47" s="248" t="str">
        <f ca="1">IF(MISSIONS!$AP$2=D47,"v", "")</f>
        <v/>
      </c>
      <c r="AF47" s="244"/>
      <c r="AG47" s="249" t="s">
        <v>321</v>
      </c>
      <c r="AH47" s="231"/>
      <c r="AI47" s="231"/>
      <c r="AJ47" s="244"/>
      <c r="AK47" s="244"/>
      <c r="AL47" s="244"/>
      <c r="AM47" s="244"/>
      <c r="AN47" s="231"/>
      <c r="AO47" s="244"/>
      <c r="AP47" s="244"/>
      <c r="AQ47" s="244"/>
      <c r="AR47" s="244"/>
      <c r="AS47" s="231"/>
      <c r="AT47" s="231"/>
      <c r="AU47" s="243"/>
      <c r="AV47" s="243"/>
      <c r="AW47" s="243"/>
      <c r="AX47" s="243"/>
      <c r="AY47" s="231"/>
      <c r="AZ47" s="243"/>
      <c r="BA47" s="243"/>
      <c r="BB47" s="243"/>
      <c r="BC47" s="243"/>
      <c r="BD47" s="231"/>
      <c r="BE47" s="243"/>
      <c r="BF47" s="243"/>
      <c r="BG47" s="243"/>
      <c r="BH47" s="243"/>
      <c r="BI47" s="231"/>
      <c r="BJ47" s="245"/>
      <c r="BK47" s="243"/>
      <c r="BL47" s="243"/>
      <c r="BM47" s="243"/>
      <c r="BN47" s="243"/>
      <c r="BO47" s="231"/>
      <c r="BP47" s="243"/>
      <c r="BQ47" s="243"/>
      <c r="BR47" s="243"/>
      <c r="BS47" s="243"/>
      <c r="BT47" s="231"/>
      <c r="BU47" s="243"/>
      <c r="BV47" s="243"/>
      <c r="BW47" s="243"/>
      <c r="BX47" s="243"/>
      <c r="BY47" s="231"/>
      <c r="CC47" s="232" t="s">
        <v>128</v>
      </c>
      <c r="CD47" s="44" t="str">
        <f ca="1">_xlfn.IFS(  AND(MISSIONS!U11=MISSIONS!$AM$2,MISSIONS!U10=100%),MISSIONS!D10&amp;" 100%",  ISBLANK(MISSIONS!E10),"",  MISSIONS!U11&lt;&gt;MISSIONS!$AM$2, MISSIONS!D10&amp;" "&amp;MISSIONS!E10&amp;" 0%",TRUE,MISSIONS!D10&amp;" "&amp;MISSIONS!E10&amp;" "&amp;ROUND(MISSIONS!U10*100,0)&amp;"%")</f>
        <v/>
      </c>
      <c r="CK47" s="233" t="s">
        <v>128</v>
      </c>
      <c r="CL47" s="44" t="str">
        <f ca="1">_xlfn.IFS(
ISBLANK(MISSIONS!BH10),"",
MISSIONS!BG10=100%,MISSIONS!BX10&amp;" 100%",
AND(MISSIONS!BG11&lt;PLANS!$B$1,MISSIONS!BG11&lt;&gt;"",MISSIONS!BF10=""), MISSIONS!BX10&amp;$CD$38&amp;" "&amp;MISSIONS!BH10&amp;" "&amp;ROUND(MISSIONS!BG10*100,0)&amp;"%",
TRUE, MISSIONS!BX10&amp;CL48&amp;" "&amp;MISSIONS!BH10&amp;" "&amp;ROUND(MISSIONS!BG10*100,0)&amp;"%")</f>
        <v/>
      </c>
      <c r="CS47" s="234" t="s">
        <v>525</v>
      </c>
      <c r="CV47" s="232" t="s">
        <v>128</v>
      </c>
      <c r="CW47" s="44" t="str" cm="1">
        <f t="array" aca="1" ref="CW47" ca="1">_xlfn.IFS(
ISBLANK(MISSIONS!AB20),"",
MISSIONS!AL20=100%,MISSIONS!AA20&amp;" 100%",
AND(MISSIONS!AL21&lt;PLANS!$B$1,MISSIONS!AL21&lt;&gt;"",MISSIONS!AM20=""), MISSIONS!AA20&amp;$CD$38&amp;" "&amp;MISSIONS!AB20&amp;" "&amp;ROUND(MISSIONS!AL20*100,0)&amp;"%",
TRUE, MISSIONS!AA20&amp;CW48&amp;" "&amp;MISSIONS!AB20&amp;" "&amp;ROUND(MISSIONS!AL20*100,0)&amp;"%")</f>
        <v/>
      </c>
      <c r="DD47" s="233" t="s">
        <v>128</v>
      </c>
      <c r="DE47" s="44" t="str" cm="1">
        <f t="array" aca="1" ref="DE47" ca="1">_xlfn.IFS(
ISBLANK(MISSIONS!AQ20),"",
MISSIONS!AP20=100%,MISSIONS!BA20&amp;" 100%",
AND(MISSIONS!AP21&lt;PLANS!$B$1,MISSIONS!AP21&lt;&gt;"",MISSIONS!AO20=""), MISSIONS!BA20&amp;$CD$38&amp;" "&amp;MISSIONS!AQ20&amp;" "&amp;ROUND(MISSIONS!AP20*100,0)&amp;"%",
TRUE, MISSIONS!BA20&amp;DE48&amp;" "&amp;MISSIONS!AQ20&amp;" "&amp;ROUND(MISSIONS!AP20*100,0)&amp;"%")</f>
        <v/>
      </c>
      <c r="DK47" s="234" t="s">
        <v>525</v>
      </c>
      <c r="DL47" s="233"/>
      <c r="DM47" s="44"/>
    </row>
    <row r="48" spans="1:139" ht="17.100000000000001" customHeight="1" x14ac:dyDescent="0.15">
      <c r="C48" s="231"/>
      <c r="D48" s="243" t="s">
        <v>322</v>
      </c>
      <c r="E48" s="244"/>
      <c r="F48" s="248" t="str">
        <f ca="1">IF(MISSIONS!$AP$2=D48,"w", "")</f>
        <v/>
      </c>
      <c r="G48" s="244"/>
      <c r="H48" s="244"/>
      <c r="I48" s="244"/>
      <c r="J48" s="244"/>
      <c r="K48" s="244"/>
      <c r="L48" s="244"/>
      <c r="M48" s="244"/>
      <c r="N48" s="244"/>
      <c r="O48" s="244"/>
      <c r="P48" s="244"/>
      <c r="Q48" s="244"/>
      <c r="R48" s="244"/>
      <c r="S48" s="244"/>
      <c r="T48" s="244"/>
      <c r="U48" s="244"/>
      <c r="V48" s="244"/>
      <c r="W48" s="244"/>
      <c r="X48" s="244"/>
      <c r="Y48" s="244"/>
      <c r="Z48" s="244"/>
      <c r="AA48" s="244"/>
      <c r="AB48" s="244"/>
      <c r="AC48" s="244"/>
      <c r="AD48" s="244"/>
      <c r="AE48" s="248" t="str">
        <f ca="1">IF(MISSIONS!$AP$2=D48,"v", "")</f>
        <v/>
      </c>
      <c r="AF48" s="244"/>
      <c r="AG48" s="249" t="s">
        <v>322</v>
      </c>
      <c r="AH48" s="231"/>
      <c r="AI48" s="231"/>
      <c r="AJ48" s="244"/>
      <c r="AK48" s="244"/>
      <c r="AL48" s="244"/>
      <c r="AM48" s="244"/>
      <c r="AN48" s="231"/>
      <c r="AO48" s="244"/>
      <c r="AP48" s="244"/>
      <c r="AQ48" s="244"/>
      <c r="AR48" s="244"/>
      <c r="AS48" s="231"/>
      <c r="AT48" s="231"/>
      <c r="AU48" s="243"/>
      <c r="AV48" s="243"/>
      <c r="AW48" s="243"/>
      <c r="AX48" s="243"/>
      <c r="AY48" s="231"/>
      <c r="AZ48" s="243"/>
      <c r="BA48" s="243"/>
      <c r="BB48" s="243"/>
      <c r="BC48" s="243"/>
      <c r="BD48" s="231"/>
      <c r="BE48" s="243"/>
      <c r="BF48" s="243"/>
      <c r="BG48" s="243"/>
      <c r="BH48" s="243"/>
      <c r="BI48" s="231"/>
      <c r="BJ48" s="245"/>
      <c r="BK48" s="243"/>
      <c r="BL48" s="243"/>
      <c r="BM48" s="243"/>
      <c r="BN48" s="243"/>
      <c r="BO48" s="231"/>
      <c r="BP48" s="243"/>
      <c r="BQ48" s="243"/>
      <c r="BR48" s="243"/>
      <c r="BS48" s="243"/>
      <c r="BT48" s="231"/>
      <c r="BU48" s="243"/>
      <c r="BV48" s="243"/>
      <c r="BW48" s="243"/>
      <c r="BX48" s="243"/>
      <c r="BY48" s="231"/>
      <c r="CC48" s="242"/>
      <c r="CL48" s="786" t="str">
        <f>IF(MISSIONS!BF10="",""," ("&amp;MISSIONS!BF10&amp;")")</f>
        <v/>
      </c>
      <c r="CS48" s="234" t="s">
        <v>525</v>
      </c>
      <c r="CV48" s="247" t="s">
        <v>525</v>
      </c>
      <c r="CW48" s="786" t="str">
        <f>IF(MISSIONS!AM20="",""," ("&amp;MISSIONS!AM20&amp;")")</f>
        <v/>
      </c>
      <c r="DE48" s="786" t="str">
        <f>IF(MISSIONS!AO20="",""," ("&amp;MISSIONS!AO20&amp;")")</f>
        <v/>
      </c>
      <c r="DG48" s="233"/>
      <c r="DH48" s="44"/>
      <c r="DK48" s="234" t="s">
        <v>525</v>
      </c>
    </row>
    <row r="49" spans="3:117" ht="17.100000000000001" customHeight="1" x14ac:dyDescent="0.15">
      <c r="C49" s="231"/>
      <c r="D49" s="243" t="s">
        <v>323</v>
      </c>
      <c r="E49" s="244"/>
      <c r="F49" s="248" t="str">
        <f ca="1">IF(MISSIONS!$AP$2=D49,"w", "")</f>
        <v/>
      </c>
      <c r="G49" s="244"/>
      <c r="H49" s="244"/>
      <c r="I49" s="244"/>
      <c r="J49" s="244"/>
      <c r="K49" s="244"/>
      <c r="L49" s="244"/>
      <c r="M49" s="244"/>
      <c r="N49" s="244"/>
      <c r="O49" s="244"/>
      <c r="P49" s="244"/>
      <c r="Q49" s="244"/>
      <c r="R49" s="244"/>
      <c r="S49" s="244"/>
      <c r="T49" s="244"/>
      <c r="U49" s="244"/>
      <c r="V49" s="244"/>
      <c r="W49" s="244"/>
      <c r="X49" s="244"/>
      <c r="Y49" s="244"/>
      <c r="Z49" s="244"/>
      <c r="AA49" s="244"/>
      <c r="AB49" s="244"/>
      <c r="AC49" s="244"/>
      <c r="AD49" s="244"/>
      <c r="AE49" s="248" t="str">
        <f ca="1">IF(MISSIONS!$AP$2=D49,"v", "")</f>
        <v/>
      </c>
      <c r="AF49" s="244"/>
      <c r="AG49" s="249" t="s">
        <v>323</v>
      </c>
      <c r="AH49" s="231"/>
      <c r="AI49" s="231"/>
      <c r="AJ49" s="244"/>
      <c r="AK49" s="244"/>
      <c r="AL49" s="244"/>
      <c r="AM49" s="244"/>
      <c r="AN49" s="231"/>
      <c r="AO49" s="244"/>
      <c r="AP49" s="244"/>
      <c r="AQ49" s="244"/>
      <c r="AR49" s="244"/>
      <c r="AS49" s="231"/>
      <c r="AT49" s="231"/>
      <c r="AU49" s="243"/>
      <c r="AV49" s="243"/>
      <c r="AW49" s="243"/>
      <c r="AX49" s="243"/>
      <c r="AY49" s="231"/>
      <c r="AZ49" s="243"/>
      <c r="BA49" s="243"/>
      <c r="BB49" s="243"/>
      <c r="BC49" s="243"/>
      <c r="BD49" s="231"/>
      <c r="BE49" s="243"/>
      <c r="BF49" s="243"/>
      <c r="BG49" s="243"/>
      <c r="BH49" s="243"/>
      <c r="BI49" s="231"/>
      <c r="BJ49" s="245"/>
      <c r="BK49" s="243"/>
      <c r="BL49" s="243"/>
      <c r="BM49" s="243"/>
      <c r="BN49" s="243"/>
      <c r="BO49" s="231"/>
      <c r="BP49" s="243"/>
      <c r="BQ49" s="243"/>
      <c r="BR49" s="243"/>
      <c r="BS49" s="243"/>
      <c r="BT49" s="231"/>
      <c r="BU49" s="243"/>
      <c r="BV49" s="243"/>
      <c r="BW49" s="243"/>
      <c r="BX49" s="243"/>
      <c r="BY49" s="231"/>
      <c r="CC49" s="232" t="s">
        <v>128</v>
      </c>
      <c r="CD49" s="44" t="str">
        <f ca="1">_xlfn.IFS(  AND(MISSIONS!U13=MISSIONS!$AM$2,MISSIONS!U12=100%),MISSIONS!D12&amp;" 100%",  ISBLANK(MISSIONS!E12),"",  MISSIONS!U13&lt;&gt;MISSIONS!$AM$2, MISSIONS!D12&amp;" "&amp;MISSIONS!E12&amp;" 0%",TRUE,MISSIONS!D12&amp;" "&amp;MISSIONS!E12&amp;" "&amp;ROUND(MISSIONS!U12*100,0)&amp;"%")</f>
        <v/>
      </c>
      <c r="CK49" s="233" t="s">
        <v>128</v>
      </c>
      <c r="CL49" s="44" t="str">
        <f ca="1">_xlfn.IFS(
ISBLANK(MISSIONS!BH12),"",
MISSIONS!BG12=100%,MISSIONS!BX12&amp;" 100%",
AND(MISSIONS!BG13&lt;PLANS!$B$1,MISSIONS!BG13&lt;&gt;"",MISSIONS!BF12=""), MISSIONS!BX12&amp;$CD$38&amp;" "&amp;MISSIONS!BH12&amp;" "&amp;ROUND(MISSIONS!BG12*100,0)&amp;"%",
TRUE, MISSIONS!BX12&amp;CL50&amp;" "&amp;MISSIONS!BH12&amp;" "&amp;ROUND(MISSIONS!BG12*100,0)&amp;"%")</f>
        <v/>
      </c>
      <c r="CS49" s="234" t="s">
        <v>525</v>
      </c>
      <c r="CV49" s="232" t="s">
        <v>128</v>
      </c>
      <c r="CW49" s="44" t="str" cm="1">
        <f t="array" aca="1" ref="CW49" ca="1">_xlfn.IFS(
ISBLANK(MISSIONS!AB22),"",
MISSIONS!AL22=100%,MISSIONS!AA22&amp;" 100%",
AND(MISSIONS!AL23&lt;PLANS!$B$1,MISSIONS!AL23&lt;&gt;"",MISSIONS!AM22=""), MISSIONS!AA22&amp;$CD$38&amp;" "&amp;MISSIONS!AB22&amp;" "&amp;ROUND(MISSIONS!AL22*100,0)&amp;"%",
TRUE, MISSIONS!AA22&amp;CW50&amp;" "&amp;MISSIONS!AB22&amp;" "&amp;ROUND(MISSIONS!AL22*100,0)&amp;"%")</f>
        <v/>
      </c>
      <c r="DD49" s="233" t="s">
        <v>128</v>
      </c>
      <c r="DE49" s="44" t="str" cm="1">
        <f t="array" aca="1" ref="DE49" ca="1">_xlfn.IFS(
ISBLANK(MISSIONS!AQ22),"",
MISSIONS!AP22=100%,MISSIONS!BA22&amp;" 100%",
AND(MISSIONS!AP23&lt;PLANS!$B$1,MISSIONS!AP23&lt;&gt;"",MISSIONS!AO22=""), MISSIONS!BA22&amp;$CD$38&amp;" "&amp;MISSIONS!AQ22&amp;" "&amp;ROUND(MISSIONS!AP22*100,0)&amp;"%",
TRUE, MISSIONS!BA22&amp;DE50&amp;" "&amp;MISSIONS!AQ22&amp;" "&amp;ROUND(MISSIONS!AP22*100,0)&amp;"%")</f>
        <v/>
      </c>
      <c r="DG49" s="233"/>
      <c r="DH49" s="44"/>
      <c r="DK49" s="234" t="s">
        <v>525</v>
      </c>
      <c r="DL49" s="233"/>
      <c r="DM49" s="44"/>
    </row>
    <row r="50" spans="3:117" ht="17.100000000000001" customHeight="1" x14ac:dyDescent="0.15">
      <c r="C50" s="231"/>
      <c r="D50" s="243" t="s">
        <v>324</v>
      </c>
      <c r="E50" s="244"/>
      <c r="F50" s="248" t="str">
        <f ca="1">IF(MISSIONS!$AP$2=D50,"w", "")</f>
        <v/>
      </c>
      <c r="G50" s="244"/>
      <c r="H50" s="244"/>
      <c r="I50" s="244"/>
      <c r="J50" s="244"/>
      <c r="K50" s="244"/>
      <c r="L50" s="244"/>
      <c r="M50" s="244"/>
      <c r="N50" s="244"/>
      <c r="O50" s="244"/>
      <c r="P50" s="244"/>
      <c r="Q50" s="244"/>
      <c r="R50" s="244"/>
      <c r="S50" s="244"/>
      <c r="T50" s="244"/>
      <c r="U50" s="244"/>
      <c r="V50" s="244"/>
      <c r="W50" s="244"/>
      <c r="X50" s="244"/>
      <c r="Y50" s="244"/>
      <c r="Z50" s="244"/>
      <c r="AA50" s="244"/>
      <c r="AB50" s="244"/>
      <c r="AC50" s="244"/>
      <c r="AD50" s="244"/>
      <c r="AE50" s="248" t="str">
        <f ca="1">IF(MISSIONS!$AP$2=D50,"v", "")</f>
        <v/>
      </c>
      <c r="AF50" s="244"/>
      <c r="AG50" s="249" t="s">
        <v>324</v>
      </c>
      <c r="AH50" s="231"/>
      <c r="AI50" s="231"/>
      <c r="AJ50" s="244"/>
      <c r="AK50" s="244"/>
      <c r="AL50" s="244"/>
      <c r="AM50" s="244"/>
      <c r="AN50" s="231"/>
      <c r="AO50" s="244"/>
      <c r="AP50" s="244"/>
      <c r="AQ50" s="244"/>
      <c r="AR50" s="244"/>
      <c r="AS50" s="231"/>
      <c r="AT50" s="231"/>
      <c r="AU50" s="243"/>
      <c r="AV50" s="243"/>
      <c r="AW50" s="243"/>
      <c r="AX50" s="243"/>
      <c r="AY50" s="231"/>
      <c r="AZ50" s="243"/>
      <c r="BA50" s="243"/>
      <c r="BB50" s="243"/>
      <c r="BC50" s="243"/>
      <c r="BD50" s="231"/>
      <c r="BE50" s="243"/>
      <c r="BF50" s="243"/>
      <c r="BG50" s="243"/>
      <c r="BH50" s="243"/>
      <c r="BI50" s="231"/>
      <c r="BJ50" s="245"/>
      <c r="BK50" s="243"/>
      <c r="BL50" s="243"/>
      <c r="BM50" s="243"/>
      <c r="BN50" s="243"/>
      <c r="BO50" s="231"/>
      <c r="BP50" s="243"/>
      <c r="BQ50" s="243"/>
      <c r="BR50" s="243"/>
      <c r="BS50" s="243"/>
      <c r="BT50" s="231"/>
      <c r="BU50" s="243"/>
      <c r="BV50" s="243"/>
      <c r="BW50" s="243"/>
      <c r="BX50" s="243"/>
      <c r="BY50" s="231"/>
      <c r="CC50" s="242"/>
      <c r="CL50" s="786" t="str">
        <f>IF(MISSIONS!BF12="",""," ("&amp;MISSIONS!BF12&amp;")")</f>
        <v/>
      </c>
      <c r="CS50" s="234" t="s">
        <v>525</v>
      </c>
      <c r="CV50" s="247" t="s">
        <v>525</v>
      </c>
      <c r="CW50" s="786" t="str">
        <f>IF(MISSIONS!AM22="",""," ("&amp;MISSIONS!AM22&amp;")")</f>
        <v/>
      </c>
      <c r="DE50" s="786" t="str">
        <f>IF(MISSIONS!AO22="",""," ("&amp;MISSIONS!AO22&amp;")")</f>
        <v/>
      </c>
      <c r="DG50" s="233"/>
      <c r="DH50" s="44"/>
      <c r="DK50" s="234" t="s">
        <v>525</v>
      </c>
    </row>
    <row r="51" spans="3:117" ht="17.100000000000001" customHeight="1" x14ac:dyDescent="0.15">
      <c r="C51" s="231"/>
      <c r="D51" s="243" t="s">
        <v>325</v>
      </c>
      <c r="E51" s="244"/>
      <c r="F51" s="248" t="str">
        <f ca="1">IF(MISSIONS!$AP$2=D51,"w", "")</f>
        <v/>
      </c>
      <c r="G51" s="244"/>
      <c r="H51" s="244"/>
      <c r="I51" s="244"/>
      <c r="J51" s="244"/>
      <c r="K51" s="244"/>
      <c r="L51" s="244"/>
      <c r="M51" s="244"/>
      <c r="N51" s="244"/>
      <c r="O51" s="244"/>
      <c r="P51" s="244"/>
      <c r="Q51" s="244"/>
      <c r="R51" s="244"/>
      <c r="S51" s="244"/>
      <c r="T51" s="244"/>
      <c r="U51" s="244"/>
      <c r="V51" s="244"/>
      <c r="W51" s="244"/>
      <c r="X51" s="244"/>
      <c r="Y51" s="244"/>
      <c r="Z51" s="244"/>
      <c r="AA51" s="244"/>
      <c r="AB51" s="244"/>
      <c r="AC51" s="244"/>
      <c r="AD51" s="244"/>
      <c r="AE51" s="248" t="str">
        <f ca="1">IF(MISSIONS!$AP$2=D51,"v", "")</f>
        <v/>
      </c>
      <c r="AF51" s="244"/>
      <c r="AG51" s="249" t="s">
        <v>325</v>
      </c>
      <c r="AH51" s="231"/>
      <c r="AI51" s="231"/>
      <c r="AJ51" s="244"/>
      <c r="AK51" s="244"/>
      <c r="AL51" s="244"/>
      <c r="AM51" s="244"/>
      <c r="AN51" s="231"/>
      <c r="AO51" s="244"/>
      <c r="AP51" s="244"/>
      <c r="AQ51" s="244"/>
      <c r="AR51" s="244"/>
      <c r="AS51" s="231"/>
      <c r="AT51" s="231"/>
      <c r="AU51" s="243"/>
      <c r="AV51" s="243"/>
      <c r="AW51" s="243"/>
      <c r="AX51" s="243"/>
      <c r="AY51" s="231"/>
      <c r="AZ51" s="243"/>
      <c r="BA51" s="243"/>
      <c r="BB51" s="243"/>
      <c r="BC51" s="243"/>
      <c r="BD51" s="231"/>
      <c r="BE51" s="243"/>
      <c r="BF51" s="243"/>
      <c r="BG51" s="243"/>
      <c r="BH51" s="243"/>
      <c r="BI51" s="231"/>
      <c r="BJ51" s="245"/>
      <c r="BK51" s="243"/>
      <c r="BL51" s="243"/>
      <c r="BM51" s="243"/>
      <c r="BN51" s="243"/>
      <c r="BO51" s="231"/>
      <c r="BP51" s="243"/>
      <c r="BQ51" s="243"/>
      <c r="BR51" s="243"/>
      <c r="BS51" s="243"/>
      <c r="BT51" s="231"/>
      <c r="BU51" s="243"/>
      <c r="BV51" s="243"/>
      <c r="BW51" s="243"/>
      <c r="BX51" s="243"/>
      <c r="BY51" s="231"/>
      <c r="CC51" s="232" t="s">
        <v>128</v>
      </c>
      <c r="CD51" s="44" t="str">
        <f ca="1">_xlfn.IFS(  AND(MISSIONS!U15=MISSIONS!$AP$2,MISSIONS!U14=100%),MISSIONS!D14&amp;" 100%",  ISBLANK(MISSIONS!E14),"",  MISSIONS!U15&lt;&gt;MISSIONS!$AP$2, MISSIONS!D14&amp;" "&amp;MISSIONS!E14&amp;" 0%",TRUE,MISSIONS!D14&amp;" "&amp;MISSIONS!E14&amp;" "&amp;ROUND(MISSIONS!U14*100,0)&amp;"%")</f>
        <v/>
      </c>
      <c r="CK51" s="233" t="s">
        <v>128</v>
      </c>
      <c r="CL51" s="44" t="str">
        <f ca="1">_xlfn.IFS(
ISBLANK(MISSIONS!BH14),"",
MISSIONS!BG14=100%,MISSIONS!BX14&amp;" 100%",
AND(MISSIONS!BG15&lt;PLANS!$B$1,MISSIONS!BG15&lt;&gt;"",MISSIONS!BF14=""), MISSIONS!BX14&amp;$CD$38&amp;" "&amp;MISSIONS!BH14&amp;" "&amp;ROUND(MISSIONS!BG14*100,0)&amp;"%",
TRUE, MISSIONS!BX14&amp;CL52&amp;" "&amp;MISSIONS!BH14&amp;" "&amp;ROUND(MISSIONS!BG14*100,0)&amp;"%")</f>
        <v/>
      </c>
      <c r="CS51" s="234" t="s">
        <v>525</v>
      </c>
      <c r="CV51" s="232" t="s">
        <v>128</v>
      </c>
      <c r="CW51" s="44" t="str" cm="1">
        <f t="array" aca="1" ref="CW51" ca="1">_xlfn.IFS(
ISBLANK(MISSIONS!AB24),"",
MISSIONS!AL24=100%,MISSIONS!AA24&amp;" 100%",
AND(MISSIONS!AL25&lt;PLANS!$B$1,MISSIONS!AL25&lt;&gt;"",MISSIONS!AM24=""), MISSIONS!AA24&amp;$CD$38&amp;" "&amp;MISSIONS!AB24&amp;" "&amp;ROUND(MISSIONS!AL24*100,0)&amp;"%",
TRUE, MISSIONS!AA24&amp;CW52&amp;" "&amp;MISSIONS!AB24&amp;" "&amp;ROUND(MISSIONS!AL24*100,0)&amp;"%")</f>
        <v/>
      </c>
      <c r="DD51" s="233" t="s">
        <v>128</v>
      </c>
      <c r="DE51" s="44" t="str" cm="1">
        <f t="array" aca="1" ref="DE51" ca="1">_xlfn.IFS(
ISBLANK(MISSIONS!AQ24),"",
MISSIONS!AP24=100%,MISSIONS!BA24&amp;" 100%",
AND(MISSIONS!AP25&lt;PLANS!$B$1,MISSIONS!AP25&lt;&gt;"",MISSIONS!AO24=""), MISSIONS!BA24&amp;$CD$38&amp;" "&amp;MISSIONS!AQ24&amp;" "&amp;ROUND(MISSIONS!AP24*100,0)&amp;"%",
TRUE, MISSIONS!BA24&amp;DE52&amp;" "&amp;MISSIONS!AQ24&amp;" "&amp;ROUND(MISSIONS!AP24*100,0)&amp;"%")</f>
        <v/>
      </c>
      <c r="DG51" s="233"/>
      <c r="DH51" s="44"/>
      <c r="DK51" s="234" t="s">
        <v>525</v>
      </c>
      <c r="DL51" s="233"/>
    </row>
    <row r="52" spans="3:117" ht="17.100000000000001" customHeight="1" x14ac:dyDescent="0.15">
      <c r="C52" s="231"/>
      <c r="D52" s="231"/>
      <c r="E52" s="231"/>
      <c r="F52" s="231"/>
      <c r="G52" s="231"/>
      <c r="H52" s="231"/>
      <c r="I52" s="231"/>
      <c r="J52" s="231"/>
      <c r="K52" s="231"/>
      <c r="L52" s="231"/>
      <c r="M52" s="231"/>
      <c r="N52" s="231"/>
      <c r="O52" s="231"/>
      <c r="P52" s="231"/>
      <c r="Q52" s="231"/>
      <c r="R52" s="231"/>
      <c r="S52" s="231"/>
      <c r="T52" s="231"/>
      <c r="U52" s="231"/>
      <c r="V52" s="231"/>
      <c r="W52" s="231"/>
      <c r="X52" s="231"/>
      <c r="Y52" s="231"/>
      <c r="Z52" s="231"/>
      <c r="AA52" s="231"/>
      <c r="AB52" s="231"/>
      <c r="AC52" s="231"/>
      <c r="AD52" s="231"/>
      <c r="AE52" s="231"/>
      <c r="AF52" s="231"/>
      <c r="AG52" s="231"/>
      <c r="AH52" s="231"/>
      <c r="AI52" s="231"/>
      <c r="AJ52" s="244"/>
      <c r="AK52" s="244"/>
      <c r="AL52" s="244"/>
      <c r="AM52" s="244"/>
      <c r="AN52" s="231"/>
      <c r="AO52" s="244"/>
      <c r="AP52" s="244"/>
      <c r="AQ52" s="244"/>
      <c r="AR52" s="244"/>
      <c r="AS52" s="231"/>
      <c r="AT52" s="231"/>
      <c r="AU52" s="231"/>
      <c r="AV52" s="245"/>
      <c r="AW52" s="231"/>
      <c r="AX52" s="231"/>
      <c r="AY52" s="231"/>
      <c r="AZ52" s="243"/>
      <c r="BA52" s="243"/>
      <c r="BB52" s="243"/>
      <c r="BC52" s="243"/>
      <c r="BD52" s="231"/>
      <c r="BE52" s="244"/>
      <c r="BF52" s="244"/>
      <c r="BG52" s="244"/>
      <c r="BH52" s="244"/>
      <c r="BI52" s="231"/>
      <c r="BJ52" s="245"/>
      <c r="BK52" s="245"/>
      <c r="BL52" s="245"/>
      <c r="BM52" s="245"/>
      <c r="BN52" s="245"/>
      <c r="BO52" s="231"/>
      <c r="BP52" s="243"/>
      <c r="BQ52" s="243"/>
      <c r="BR52" s="243"/>
      <c r="BS52" s="243"/>
      <c r="BT52" s="231"/>
      <c r="BU52" s="244"/>
      <c r="BV52" s="244"/>
      <c r="BW52" s="244"/>
      <c r="BX52" s="244"/>
      <c r="BY52" s="231"/>
      <c r="CC52" s="242"/>
      <c r="CL52" s="786" t="str">
        <f>IF(MISSIONS!BF14="",""," ("&amp;MISSIONS!BF14&amp;")")</f>
        <v/>
      </c>
      <c r="CS52" s="234" t="s">
        <v>525</v>
      </c>
      <c r="CV52" s="247" t="s">
        <v>525</v>
      </c>
      <c r="CW52" s="786" t="str">
        <f>IF(MISSIONS!AM24="",""," ("&amp;MISSIONS!AM24&amp;")")</f>
        <v/>
      </c>
      <c r="DE52" s="786" t="str">
        <f>IF(MISSIONS!AO24="",""," ("&amp;MISSIONS!AO24&amp;")")</f>
        <v/>
      </c>
      <c r="DG52" s="233"/>
      <c r="DH52" s="44"/>
      <c r="DK52" s="234" t="s">
        <v>525</v>
      </c>
    </row>
    <row r="53" spans="3:117" ht="17.100000000000001" customHeight="1" x14ac:dyDescent="0.15">
      <c r="C53" s="231"/>
      <c r="D53" s="231"/>
      <c r="E53" s="231"/>
      <c r="F53" s="231"/>
      <c r="G53" s="231"/>
      <c r="H53" s="231"/>
      <c r="I53" s="231"/>
      <c r="J53" s="231"/>
      <c r="K53" s="231"/>
      <c r="L53" s="231"/>
      <c r="M53" s="231"/>
      <c r="N53" s="231"/>
      <c r="O53" s="231"/>
      <c r="P53" s="231"/>
      <c r="Q53" s="231"/>
      <c r="R53" s="231"/>
      <c r="S53" s="231"/>
      <c r="T53" s="231"/>
      <c r="U53" s="231"/>
      <c r="V53" s="231"/>
      <c r="W53" s="231"/>
      <c r="X53" s="231"/>
      <c r="Y53" s="231"/>
      <c r="Z53" s="231"/>
      <c r="AA53" s="231"/>
      <c r="AB53" s="231"/>
      <c r="AC53" s="231"/>
      <c r="AD53" s="231"/>
      <c r="AE53" s="231"/>
      <c r="AF53" s="231"/>
      <c r="AG53" s="231"/>
      <c r="AH53" s="231"/>
      <c r="AI53" s="231"/>
      <c r="AJ53" s="244"/>
      <c r="AK53" s="244"/>
      <c r="AL53" s="244"/>
      <c r="AM53" s="244"/>
      <c r="AN53" s="231"/>
      <c r="AO53" s="244"/>
      <c r="AP53" s="244"/>
      <c r="AQ53" s="244"/>
      <c r="AR53" s="244"/>
      <c r="AS53" s="231"/>
      <c r="AT53" s="231"/>
      <c r="AU53" s="231"/>
      <c r="AV53" s="231"/>
      <c r="AW53" s="231"/>
      <c r="AX53" s="231"/>
      <c r="AY53" s="231"/>
      <c r="AZ53" s="231"/>
      <c r="BA53" s="231"/>
      <c r="BB53" s="231"/>
      <c r="BC53" s="231"/>
      <c r="BD53" s="231"/>
      <c r="BE53" s="231"/>
      <c r="BF53" s="231"/>
      <c r="BG53" s="231"/>
      <c r="BH53" s="231"/>
      <c r="BI53" s="231"/>
      <c r="BJ53" s="245"/>
      <c r="BK53" s="231"/>
      <c r="BL53" s="231"/>
      <c r="BM53" s="231"/>
      <c r="BN53" s="231"/>
      <c r="BO53" s="231"/>
      <c r="BP53" s="231"/>
      <c r="BQ53" s="231"/>
      <c r="BR53" s="231"/>
      <c r="BS53" s="231"/>
      <c r="BT53" s="231"/>
      <c r="BU53" s="231"/>
      <c r="BV53" s="231"/>
      <c r="BW53" s="231"/>
      <c r="BX53" s="231"/>
      <c r="BY53" s="231"/>
      <c r="CC53" s="232" t="s">
        <v>128</v>
      </c>
      <c r="CD53" s="44" t="str">
        <f ca="1">_xlfn.IFS(  AND(MISSIONS!U17=MISSIONS!$AP$2,MISSIONS!U16=100%),MISSIONS!D16&amp;" 100%",  ISBLANK(MISSIONS!E16),"",  MISSIONS!U17&lt;&gt;MISSIONS!$AP$2, MISSIONS!D16&amp;" "&amp;MISSIONS!E16&amp;" 0%",TRUE,MISSIONS!D16&amp;" "&amp;MISSIONS!E16&amp;" "&amp;ROUND(MISSIONS!U16*100,0)&amp;"%")</f>
        <v/>
      </c>
      <c r="CK53" s="233" t="s">
        <v>128</v>
      </c>
      <c r="CL53" s="44" t="str">
        <f ca="1">_xlfn.IFS(
ISBLANK(MISSIONS!BH16),"",
MISSIONS!BG16=100%,MISSIONS!BX16&amp;" 100%",
AND(MISSIONS!BG17&lt;PLANS!$B$1,MISSIONS!BG17&lt;&gt;"",MISSIONS!BF16=""), MISSIONS!BX16&amp;$CD$38&amp;" "&amp;MISSIONS!BH16&amp;" "&amp;ROUND(MISSIONS!BG16*100,0)&amp;"%",
TRUE, MISSIONS!BX16&amp;CL54&amp;" "&amp;MISSIONS!BH16&amp;" "&amp;ROUND(MISSIONS!BG16*100,0)&amp;"%")</f>
        <v/>
      </c>
      <c r="CS53" s="234" t="s">
        <v>525</v>
      </c>
      <c r="CV53" s="232" t="s">
        <v>128</v>
      </c>
      <c r="CW53" s="44" t="str" cm="1">
        <f t="array" aca="1" ref="CW53" ca="1">_xlfn.IFS(
ISBLANK(MISSIONS!AB26),"",
MISSIONS!AL26=100%,MISSIONS!AA26&amp;" 100%",
AND(MISSIONS!AL27&lt;PLANS!$B$1,MISSIONS!AL27&lt;&gt;"",MISSIONS!AM26=""), MISSIONS!AA26&amp;$CD$38&amp;" "&amp;MISSIONS!AB26&amp;" "&amp;ROUND(MISSIONS!AL26*100,0)&amp;"%",
TRUE, MISSIONS!AA26&amp;CW54&amp;" "&amp;MISSIONS!AB26&amp;" "&amp;ROUND(MISSIONS!AL26*100,0)&amp;"%")</f>
        <v/>
      </c>
      <c r="DD53" s="233" t="s">
        <v>128</v>
      </c>
      <c r="DE53" s="44" t="str" cm="1">
        <f t="array" aca="1" ref="DE53" ca="1">_xlfn.IFS(
ISBLANK(MISSIONS!AQ26),"",
MISSIONS!AP26=100%,MISSIONS!BA26&amp;" 100%",
AND(MISSIONS!AP27&lt;PLANS!$B$1,MISSIONS!AP27&lt;&gt;"",MISSIONS!AO26=""), MISSIONS!BA26&amp;$CD$38&amp;" "&amp;MISSIONS!AQ26&amp;" "&amp;ROUND(MISSIONS!AP26*100,0)&amp;"%",
TRUE, MISSIONS!BA26&amp;DE54&amp;" "&amp;MISSIONS!AQ26&amp;" "&amp;ROUND(MISSIONS!AP26*100,0)&amp;"%")</f>
        <v/>
      </c>
      <c r="DG53" s="233"/>
      <c r="DH53" s="44"/>
      <c r="DK53" s="234" t="s">
        <v>525</v>
      </c>
      <c r="DL53" s="233"/>
    </row>
    <row r="54" spans="3:117" ht="17.100000000000001" customHeight="1" x14ac:dyDescent="0.15">
      <c r="C54" s="231"/>
      <c r="D54" s="243" t="s">
        <v>526</v>
      </c>
      <c r="E54" s="244"/>
      <c r="F54" s="1992"/>
      <c r="G54" s="1995"/>
      <c r="H54" s="244"/>
      <c r="I54" s="244"/>
      <c r="J54" s="243"/>
      <c r="K54" s="244"/>
      <c r="L54" s="231"/>
      <c r="M54" s="231"/>
      <c r="N54" s="231"/>
      <c r="O54" s="244"/>
      <c r="P54" s="244"/>
      <c r="Q54" s="244" t="s">
        <v>1237</v>
      </c>
      <c r="R54" s="244"/>
      <c r="S54" s="244"/>
      <c r="T54" s="244"/>
      <c r="U54" s="243"/>
      <c r="V54" s="244"/>
      <c r="W54" s="231"/>
      <c r="X54" s="231"/>
      <c r="Y54" s="231"/>
      <c r="Z54" s="244"/>
      <c r="AA54" s="244"/>
      <c r="AB54" s="244"/>
      <c r="AC54" s="244"/>
      <c r="AD54" s="244"/>
      <c r="AE54" s="243"/>
      <c r="AF54" s="244"/>
      <c r="AG54" s="249" t="s">
        <v>527</v>
      </c>
      <c r="AH54" s="231"/>
      <c r="AI54" s="231"/>
      <c r="AJ54" s="244"/>
      <c r="AK54" s="244"/>
      <c r="AL54" s="244"/>
      <c r="AM54" s="244"/>
      <c r="AN54" s="231"/>
      <c r="AO54" s="244"/>
      <c r="AP54" s="244"/>
      <c r="AQ54" s="244"/>
      <c r="AR54" s="244"/>
      <c r="AS54" s="231"/>
      <c r="AT54" s="231"/>
      <c r="AU54" s="243">
        <f>MISSIONS!$Y$14</f>
        <v>0</v>
      </c>
      <c r="AV54" s="243"/>
      <c r="AW54" s="243"/>
      <c r="AX54" s="249"/>
      <c r="AY54" s="231"/>
      <c r="AZ54" s="243">
        <f>MISSIONS!$Y$22</f>
        <v>0</v>
      </c>
      <c r="BA54" s="243"/>
      <c r="BB54" s="243"/>
      <c r="BC54" s="249"/>
      <c r="BD54" s="231"/>
      <c r="BE54" s="243">
        <f>MISSIONS!$Y$30</f>
        <v>0</v>
      </c>
      <c r="BF54" s="243"/>
      <c r="BG54" s="243"/>
      <c r="BH54" s="249"/>
      <c r="BI54" s="231"/>
      <c r="BJ54" s="231"/>
      <c r="BK54" s="244"/>
      <c r="BL54" s="243"/>
      <c r="BM54" s="243"/>
      <c r="BN54" s="249">
        <f>MISSIONS!$BB$14</f>
        <v>0</v>
      </c>
      <c r="BO54" s="231"/>
      <c r="BP54" s="244"/>
      <c r="BQ54" s="243"/>
      <c r="BR54" s="243"/>
      <c r="BS54" s="249">
        <f>MISSIONS!$BB$22</f>
        <v>0</v>
      </c>
      <c r="BT54" s="231"/>
      <c r="BU54" s="244"/>
      <c r="BV54" s="243"/>
      <c r="BW54" s="243"/>
      <c r="BX54" s="249">
        <f>MISSIONS!$BB$30</f>
        <v>0</v>
      </c>
      <c r="BY54" s="231"/>
      <c r="CC54" s="242"/>
      <c r="CL54" s="786" t="str">
        <f>IF(MISSIONS!BF16="",""," ("&amp;MISSIONS!BF16&amp;")")</f>
        <v/>
      </c>
      <c r="CS54" s="234" t="s">
        <v>525</v>
      </c>
      <c r="CV54" s="247" t="s">
        <v>525</v>
      </c>
      <c r="CW54" s="786" t="str">
        <f>IF(MISSIONS!AM26="",""," ("&amp;MISSIONS!AM26&amp;")")</f>
        <v/>
      </c>
      <c r="DD54" s="233"/>
      <c r="DE54" s="786" t="str">
        <f>IF(MISSIONS!AO26="",""," ("&amp;MISSIONS!AO26&amp;")")</f>
        <v/>
      </c>
      <c r="DG54" s="46"/>
      <c r="DH54" s="46"/>
      <c r="DK54" s="234" t="s">
        <v>525</v>
      </c>
    </row>
    <row r="55" spans="3:117" ht="17.100000000000001" customHeight="1" x14ac:dyDescent="0.15">
      <c r="C55" s="231"/>
      <c r="D55" s="244"/>
      <c r="E55" s="244"/>
      <c r="F55" s="244"/>
      <c r="G55" s="244"/>
      <c r="H55" s="244"/>
      <c r="I55" s="244"/>
      <c r="J55" s="244"/>
      <c r="K55" s="244"/>
      <c r="L55" s="231"/>
      <c r="M55" s="231"/>
      <c r="N55" s="231"/>
      <c r="O55" s="244"/>
      <c r="P55" s="244"/>
      <c r="Q55" s="244"/>
      <c r="R55" s="244"/>
      <c r="S55" s="244"/>
      <c r="T55" s="244"/>
      <c r="U55" s="244"/>
      <c r="V55" s="244"/>
      <c r="W55" s="231"/>
      <c r="X55" s="231"/>
      <c r="Y55" s="231"/>
      <c r="Z55" s="244"/>
      <c r="AA55" s="244"/>
      <c r="AB55" s="244"/>
      <c r="AC55" s="244"/>
      <c r="AD55" s="244"/>
      <c r="AE55" s="244"/>
      <c r="AF55" s="244"/>
      <c r="AG55" s="244"/>
      <c r="AH55" s="231"/>
      <c r="AI55" s="231"/>
      <c r="AJ55" s="231"/>
      <c r="AK55" s="231"/>
      <c r="AL55" s="231"/>
      <c r="AM55" s="231"/>
      <c r="AN55" s="231"/>
      <c r="AO55" s="231"/>
      <c r="AP55" s="231"/>
      <c r="AQ55" s="231"/>
      <c r="AR55" s="231"/>
      <c r="AS55" s="231"/>
      <c r="AT55" s="231"/>
      <c r="AU55" s="243"/>
      <c r="AV55" s="243"/>
      <c r="AW55" s="243"/>
      <c r="AX55" s="243"/>
      <c r="AY55" s="231"/>
      <c r="AZ55" s="243"/>
      <c r="BA55" s="243"/>
      <c r="BB55" s="243"/>
      <c r="BC55" s="243"/>
      <c r="BD55" s="231"/>
      <c r="BE55" s="243"/>
      <c r="BF55" s="243"/>
      <c r="BG55" s="243"/>
      <c r="BH55" s="243"/>
      <c r="BI55" s="231"/>
      <c r="BJ55" s="231"/>
      <c r="BK55" s="243"/>
      <c r="BL55" s="243"/>
      <c r="BM55" s="243"/>
      <c r="BN55" s="243"/>
      <c r="BO55" s="231"/>
      <c r="BP55" s="243"/>
      <c r="BQ55" s="243"/>
      <c r="BR55" s="243"/>
      <c r="BS55" s="243"/>
      <c r="BT55" s="231"/>
      <c r="BU55" s="243"/>
      <c r="BV55" s="243"/>
      <c r="BW55" s="243"/>
      <c r="BX55" s="243"/>
      <c r="BY55" s="231"/>
      <c r="CC55" s="232" t="s">
        <v>128</v>
      </c>
      <c r="CD55" s="44" t="str">
        <f ca="1">_xlfn.IFS(  AND(MISSIONS!U19=MISSIONS!$AP$2,MISSIONS!U18=100%),MISSIONS!D18&amp;" 100%",  ISBLANK(MISSIONS!E18),"",  MISSIONS!U19&lt;&gt;MISSIONS!$AP$2, MISSIONS!D18&amp;" "&amp;MISSIONS!E18&amp;" 0%",TRUE,MISSIONS!D18&amp;" "&amp;MISSIONS!E18&amp;" "&amp;ROUND(MISSIONS!U18*100,0)&amp;"%")</f>
        <v/>
      </c>
      <c r="CK55" s="233" t="s">
        <v>128</v>
      </c>
      <c r="CL55" s="44" t="str">
        <f ca="1">_xlfn.IFS(
ISBLANK(MISSIONS!BH18),"",
MISSIONS!BG18=100%,MISSIONS!BX18&amp;" 100%",
AND(MISSIONS!BG19&lt;PLANS!$B$1,MISSIONS!BG19&lt;&gt;"",MISSIONS!BF18=""), MISSIONS!BX18&amp;$CD$38&amp;" "&amp;MISSIONS!BH18&amp;" "&amp;ROUND(MISSIONS!BG18*100,0)&amp;"%",
TRUE, MISSIONS!BX18&amp;CL56&amp;" "&amp;MISSIONS!BH18&amp;" "&amp;ROUND(MISSIONS!BG18*100,0)&amp;"%")</f>
        <v/>
      </c>
      <c r="CS55" s="234" t="s">
        <v>525</v>
      </c>
      <c r="CV55" s="232" t="s">
        <v>128</v>
      </c>
      <c r="CW55" s="44" t="str" cm="1">
        <f t="array" aca="1" ref="CW55" ca="1">_xlfn.IFS(
ISBLANK(MISSIONS!AB28),"",
MISSIONS!AL28=100%,MISSIONS!AA28&amp;" 100%",
AND(MISSIONS!AL29&lt;PLANS!$B$1,MISSIONS!AL29&lt;&gt;"",MISSIONS!AM28=""), MISSIONS!AA28&amp;$CD$38&amp;" "&amp;MISSIONS!AB28&amp;" "&amp;ROUND(MISSIONS!AL28*100,0)&amp;"%",
TRUE, MISSIONS!AA28&amp;CW56&amp;" "&amp;MISSIONS!AB28&amp;" "&amp;ROUND(MISSIONS!AL28*100,0)&amp;"%")</f>
        <v/>
      </c>
      <c r="DD55" s="233" t="s">
        <v>128</v>
      </c>
      <c r="DE55" s="44" t="str" cm="1">
        <f t="array" aca="1" ref="DE55" ca="1">_xlfn.IFS(
ISBLANK(MISSIONS!AQ28),"",
MISSIONS!AP28=100%,MISSIONS!BA28&amp;" 100%",
AND(MISSIONS!AP29&lt;PLANS!$B$1,MISSIONS!AP29&lt;&gt;"",MISSIONS!AO28=""), MISSIONS!BA28&amp;$CD$38&amp;" "&amp;MISSIONS!AQ28&amp;" "&amp;ROUND(MISSIONS!AP28*100,0)&amp;"%",
TRUE, MISSIONS!BA28&amp;DE56&amp;" "&amp;MISSIONS!AQ28&amp;" "&amp;ROUND(MISSIONS!AP28*100,0)&amp;"%")</f>
        <v/>
      </c>
      <c r="DG55" s="233"/>
      <c r="DH55" s="44"/>
      <c r="DK55" s="234" t="s">
        <v>525</v>
      </c>
      <c r="DL55" s="233"/>
    </row>
    <row r="56" spans="3:117" ht="17.100000000000001" customHeight="1" x14ac:dyDescent="0.15">
      <c r="C56" s="231"/>
      <c r="D56" s="244"/>
      <c r="E56" s="244"/>
      <c r="F56" s="244"/>
      <c r="G56" s="244"/>
      <c r="H56" s="244"/>
      <c r="I56" s="244"/>
      <c r="J56" s="244"/>
      <c r="K56" s="244"/>
      <c r="L56" s="231"/>
      <c r="M56" s="231"/>
      <c r="N56" s="231"/>
      <c r="O56" s="244"/>
      <c r="P56" s="244"/>
      <c r="Q56" s="244"/>
      <c r="R56" s="244"/>
      <c r="S56" s="244"/>
      <c r="T56" s="244"/>
      <c r="U56" s="244"/>
      <c r="V56" s="244"/>
      <c r="W56" s="231"/>
      <c r="X56" s="231"/>
      <c r="Y56" s="231"/>
      <c r="Z56" s="244"/>
      <c r="AA56" s="244"/>
      <c r="AB56" s="244"/>
      <c r="AC56" s="244"/>
      <c r="AD56" s="244"/>
      <c r="AE56" s="244"/>
      <c r="AF56" s="244"/>
      <c r="AG56" s="244"/>
      <c r="AH56" s="231"/>
      <c r="AI56" s="231"/>
      <c r="AJ56" s="244"/>
      <c r="AK56" s="244"/>
      <c r="AL56" s="244"/>
      <c r="AM56" s="244"/>
      <c r="AN56" s="235" t="s">
        <v>544</v>
      </c>
      <c r="AO56" s="244"/>
      <c r="AP56" s="244"/>
      <c r="AQ56" s="244"/>
      <c r="AR56" s="244"/>
      <c r="AS56" s="231"/>
      <c r="AT56" s="231"/>
      <c r="AU56" s="243"/>
      <c r="AV56" s="243"/>
      <c r="AW56" s="243"/>
      <c r="AX56" s="243"/>
      <c r="AY56" s="231"/>
      <c r="AZ56" s="243"/>
      <c r="BA56" s="243"/>
      <c r="BB56" s="243"/>
      <c r="BC56" s="243"/>
      <c r="BD56" s="231"/>
      <c r="BE56" s="243"/>
      <c r="BF56" s="243"/>
      <c r="BG56" s="243"/>
      <c r="BH56" s="243"/>
      <c r="BI56" s="231"/>
      <c r="BJ56" s="231"/>
      <c r="BK56" s="243"/>
      <c r="BL56" s="243"/>
      <c r="BM56" s="243"/>
      <c r="BN56" s="243"/>
      <c r="BO56" s="231"/>
      <c r="BP56" s="243"/>
      <c r="BQ56" s="243"/>
      <c r="BR56" s="243"/>
      <c r="BS56" s="243"/>
      <c r="BT56" s="231"/>
      <c r="BU56" s="243"/>
      <c r="BV56" s="243"/>
      <c r="BW56" s="243"/>
      <c r="BX56" s="243"/>
      <c r="BY56" s="231"/>
      <c r="CC56" s="242"/>
      <c r="CL56" s="786" t="str">
        <f>IF(MISSIONS!BF18="",""," ("&amp;MISSIONS!BF18&amp;")")</f>
        <v/>
      </c>
      <c r="CS56" s="234" t="s">
        <v>525</v>
      </c>
      <c r="CV56" s="232"/>
      <c r="CW56" s="786" t="str">
        <f>IF(MISSIONS!AM28="",""," ("&amp;MISSIONS!AM28&amp;")")</f>
        <v/>
      </c>
      <c r="DE56" s="786" t="str">
        <f>IF(MISSIONS!AO28="",""," ("&amp;MISSIONS!AO28&amp;")")</f>
        <v/>
      </c>
      <c r="DG56" s="233"/>
      <c r="DH56" s="44"/>
      <c r="DK56" s="234" t="s">
        <v>525</v>
      </c>
      <c r="DL56" s="233"/>
    </row>
    <row r="57" spans="3:117" ht="17.100000000000001" customHeight="1" x14ac:dyDescent="0.15">
      <c r="C57" s="231"/>
      <c r="D57" s="244"/>
      <c r="E57" s="244"/>
      <c r="F57" s="244"/>
      <c r="G57" s="244"/>
      <c r="H57" s="244"/>
      <c r="I57" s="244"/>
      <c r="J57" s="244"/>
      <c r="K57" s="244"/>
      <c r="L57" s="231"/>
      <c r="M57" s="231"/>
      <c r="N57" s="231"/>
      <c r="O57" s="244"/>
      <c r="P57" s="244"/>
      <c r="Q57" s="244"/>
      <c r="R57" s="244"/>
      <c r="S57" s="244"/>
      <c r="T57" s="244"/>
      <c r="U57" s="244"/>
      <c r="V57" s="244"/>
      <c r="W57" s="231"/>
      <c r="X57" s="231"/>
      <c r="Y57" s="231"/>
      <c r="Z57" s="244"/>
      <c r="AA57" s="244"/>
      <c r="AB57" s="244"/>
      <c r="AC57" s="244"/>
      <c r="AD57" s="244"/>
      <c r="AE57" s="244"/>
      <c r="AF57" s="244"/>
      <c r="AG57" s="244"/>
      <c r="AH57" s="231"/>
      <c r="AI57" s="231"/>
      <c r="AJ57" s="244"/>
      <c r="AK57" s="244"/>
      <c r="AL57" s="244"/>
      <c r="AM57" s="244"/>
      <c r="AN57" s="244"/>
      <c r="AO57" s="244"/>
      <c r="AP57" s="244"/>
      <c r="AQ57" s="244"/>
      <c r="AR57" s="244"/>
      <c r="AS57" s="231"/>
      <c r="AT57" s="231"/>
      <c r="AU57" s="243"/>
      <c r="AV57" s="243"/>
      <c r="AW57" s="243"/>
      <c r="AX57" s="243"/>
      <c r="AY57" s="231"/>
      <c r="AZ57" s="243"/>
      <c r="BA57" s="243"/>
      <c r="BB57" s="243"/>
      <c r="BC57" s="243"/>
      <c r="BD57" s="231"/>
      <c r="BE57" s="243"/>
      <c r="BF57" s="243"/>
      <c r="BG57" s="243"/>
      <c r="BH57" s="243"/>
      <c r="BI57" s="231"/>
      <c r="BJ57" s="231"/>
      <c r="BK57" s="243"/>
      <c r="BL57" s="243"/>
      <c r="BM57" s="243"/>
      <c r="BN57" s="243"/>
      <c r="BO57" s="231"/>
      <c r="BP57" s="243"/>
      <c r="BQ57" s="243"/>
      <c r="BR57" s="243"/>
      <c r="BS57" s="243"/>
      <c r="BT57" s="231"/>
      <c r="BU57" s="243"/>
      <c r="BV57" s="243"/>
      <c r="BW57" s="243"/>
      <c r="BX57" s="243"/>
      <c r="BY57" s="231"/>
      <c r="CC57" s="232" t="s">
        <v>128</v>
      </c>
      <c r="CD57" s="44" t="str">
        <f ca="1">_xlfn.IFS(  AND(MISSIONS!U21=MISSIONS!$AP$2,MISSIONS!U20=100%),MISSIONS!D20&amp;" 100%",  ISBLANK(MISSIONS!E20),"",  MISSIONS!U21&lt;&gt;MISSIONS!$AP$2, MISSIONS!D20&amp;" "&amp;MISSIONS!E20&amp;" 0%",TRUE,MISSIONS!D20&amp;" "&amp;MISSIONS!E20&amp;" "&amp;ROUND(MISSIONS!U20*100,0)&amp;"%")</f>
        <v/>
      </c>
      <c r="CK57" s="233" t="s">
        <v>128</v>
      </c>
      <c r="CL57" s="44" t="str">
        <f ca="1">_xlfn.IFS(
ISBLANK(MISSIONS!BH20),"",
MISSIONS!BG20=100%,MISSIONS!BX20&amp;" 100%",
AND(MISSIONS!BG21&lt;PLANS!$B$1,MISSIONS!BG21&lt;&gt;"",MISSIONS!BF20=""), MISSIONS!BX20&amp;$CD$38&amp;" "&amp;MISSIONS!BH20&amp;" "&amp;ROUND(MISSIONS!BG20*100,0)&amp;"%",
TRUE, MISSIONS!BX20&amp;CL58&amp;" "&amp;MISSIONS!BH20&amp;" "&amp;ROUND(MISSIONS!BG20*100,0)&amp;"%")</f>
        <v/>
      </c>
      <c r="CS57" s="234" t="s">
        <v>525</v>
      </c>
      <c r="CV57" s="232" t="s">
        <v>128</v>
      </c>
      <c r="CW57" s="44" t="str" cm="1">
        <f t="array" aca="1" ref="CW57" ca="1">_xlfn.IFS(
ISBLANK(MISSIONS!AB30),"",
MISSIONS!AL30=100%,MISSIONS!AA30&amp;" 100%",
AND(MISSIONS!AL31&lt;PLANS!$B$1,MISSIONS!AL31&lt;&gt;"",MISSIONS!AM30=""), MISSIONS!AA30&amp;$CD$38&amp;" "&amp;MISSIONS!AB30&amp;" "&amp;ROUND(MISSIONS!AL30*100,0)&amp;"%",
TRUE, MISSIONS!AA30&amp;CW58&amp;" "&amp;MISSIONS!AB30&amp;" "&amp;ROUND(MISSIONS!AL30*100,0)&amp;"%")</f>
        <v/>
      </c>
      <c r="DD57" s="233" t="s">
        <v>128</v>
      </c>
      <c r="DE57" s="44" t="str" cm="1">
        <f t="array" aca="1" ref="DE57" ca="1">_xlfn.IFS(
ISBLANK(MISSIONS!AQ30),"",
MISSIONS!AP30=100%,MISSIONS!BA30&amp;" 100%",
AND(MISSIONS!AP31&lt;PLANS!$B$1,MISSIONS!AP31&lt;&gt;"",MISSIONS!AO30=""), MISSIONS!BA30&amp;$CD$38&amp;" "&amp;MISSIONS!AQ30&amp;" "&amp;ROUND(MISSIONS!AP30*100,0)&amp;"%",
TRUE, MISSIONS!BA30&amp;DE58&amp;" "&amp;MISSIONS!AQ30&amp;" "&amp;ROUND(MISSIONS!AP30*100,0)&amp;"%")</f>
        <v/>
      </c>
      <c r="DG57" s="233"/>
      <c r="DH57" s="44"/>
      <c r="DK57" s="234" t="s">
        <v>525</v>
      </c>
      <c r="DL57" s="233"/>
    </row>
    <row r="58" spans="3:117" ht="17.100000000000001" customHeight="1" x14ac:dyDescent="0.15">
      <c r="C58" s="231"/>
      <c r="D58" s="244"/>
      <c r="E58" s="244"/>
      <c r="F58" s="244"/>
      <c r="G58" s="244"/>
      <c r="H58" s="244"/>
      <c r="I58" s="244"/>
      <c r="J58" s="244"/>
      <c r="K58" s="244"/>
      <c r="L58" s="231"/>
      <c r="M58" s="231"/>
      <c r="N58" s="231"/>
      <c r="O58" s="244"/>
      <c r="P58" s="244"/>
      <c r="Q58" s="244"/>
      <c r="R58" s="244"/>
      <c r="S58" s="244"/>
      <c r="T58" s="244"/>
      <c r="U58" s="244"/>
      <c r="V58" s="244"/>
      <c r="W58" s="231"/>
      <c r="X58" s="231"/>
      <c r="Y58" s="231"/>
      <c r="Z58" s="244"/>
      <c r="AA58" s="244"/>
      <c r="AB58" s="244"/>
      <c r="AC58" s="244"/>
      <c r="AD58" s="244"/>
      <c r="AE58" s="244"/>
      <c r="AF58" s="244"/>
      <c r="AG58" s="244"/>
      <c r="AH58" s="231"/>
      <c r="AI58" s="231"/>
      <c r="AJ58" s="244"/>
      <c r="AK58" s="244"/>
      <c r="AL58" s="244"/>
      <c r="AM58" s="244"/>
      <c r="AN58" s="244"/>
      <c r="AO58" s="244"/>
      <c r="AP58" s="244"/>
      <c r="AQ58" s="244"/>
      <c r="AR58" s="244"/>
      <c r="AS58" s="231"/>
      <c r="AT58" s="231"/>
      <c r="AU58" s="243"/>
      <c r="AV58" s="243"/>
      <c r="AW58" s="243"/>
      <c r="AX58" s="243"/>
      <c r="AY58" s="231"/>
      <c r="AZ58" s="243"/>
      <c r="BA58" s="243"/>
      <c r="BB58" s="243"/>
      <c r="BC58" s="243"/>
      <c r="BD58" s="231"/>
      <c r="BE58" s="243"/>
      <c r="BF58" s="243"/>
      <c r="BG58" s="243"/>
      <c r="BH58" s="243"/>
      <c r="BI58" s="231"/>
      <c r="BJ58" s="231"/>
      <c r="BK58" s="243"/>
      <c r="BL58" s="243"/>
      <c r="BM58" s="243"/>
      <c r="BN58" s="243"/>
      <c r="BO58" s="231"/>
      <c r="BP58" s="243"/>
      <c r="BQ58" s="243"/>
      <c r="BR58" s="243"/>
      <c r="BS58" s="243"/>
      <c r="BT58" s="231"/>
      <c r="BU58" s="243"/>
      <c r="BV58" s="243"/>
      <c r="BW58" s="243"/>
      <c r="BX58" s="243"/>
      <c r="BY58" s="231"/>
      <c r="CC58" s="242"/>
      <c r="CL58" s="786" t="str">
        <f>IF(MISSIONS!BF20="",""," ("&amp;MISSIONS!BF20&amp;")")</f>
        <v/>
      </c>
      <c r="CS58" s="234" t="s">
        <v>525</v>
      </c>
      <c r="CV58" s="232"/>
      <c r="CW58" s="786" t="str">
        <f>IF(MISSIONS!AM30="",""," ("&amp;MISSIONS!AM30&amp;")")</f>
        <v/>
      </c>
      <c r="DD58" s="233"/>
      <c r="DE58" s="786" t="str">
        <f>IF(MISSIONS!AO30="",""," ("&amp;MISSIONS!AO30&amp;")")</f>
        <v/>
      </c>
      <c r="DG58" s="233"/>
      <c r="DH58" s="44"/>
      <c r="DK58" s="234" t="s">
        <v>525</v>
      </c>
      <c r="DL58" s="233"/>
      <c r="DM58" s="44"/>
    </row>
    <row r="59" spans="3:117" ht="17.100000000000001" customHeight="1" x14ac:dyDescent="0.15">
      <c r="C59" s="231"/>
      <c r="D59" s="231"/>
      <c r="E59" s="231"/>
      <c r="F59" s="231"/>
      <c r="G59" s="231"/>
      <c r="H59" s="231"/>
      <c r="I59" s="231"/>
      <c r="J59" s="231"/>
      <c r="K59" s="231"/>
      <c r="L59" s="231"/>
      <c r="M59" s="231"/>
      <c r="N59" s="231"/>
      <c r="O59" s="244"/>
      <c r="P59" s="244"/>
      <c r="Q59" s="244"/>
      <c r="R59" s="244"/>
      <c r="S59" s="244"/>
      <c r="T59" s="244"/>
      <c r="U59" s="244"/>
      <c r="V59" s="244"/>
      <c r="W59" s="231"/>
      <c r="X59" s="231"/>
      <c r="Y59" s="231"/>
      <c r="Z59" s="231"/>
      <c r="AA59" s="231"/>
      <c r="AB59" s="231"/>
      <c r="AC59" s="231"/>
      <c r="AD59" s="231"/>
      <c r="AE59" s="231"/>
      <c r="AF59" s="231"/>
      <c r="AG59" s="231"/>
      <c r="AH59" s="231"/>
      <c r="AI59" s="231"/>
      <c r="AJ59" s="244"/>
      <c r="AK59" s="244"/>
      <c r="AL59" s="244"/>
      <c r="AM59" s="244"/>
      <c r="AN59" s="244"/>
      <c r="AO59" s="244"/>
      <c r="AP59" s="244"/>
      <c r="AQ59" s="244"/>
      <c r="AR59" s="244"/>
      <c r="AS59" s="231"/>
      <c r="AT59" s="231"/>
      <c r="AU59" s="231"/>
      <c r="AV59" s="231"/>
      <c r="AW59" s="231"/>
      <c r="AX59" s="231"/>
      <c r="AY59" s="231"/>
      <c r="AZ59" s="231"/>
      <c r="BA59" s="231"/>
      <c r="BB59" s="231"/>
      <c r="BC59" s="231"/>
      <c r="BD59" s="231"/>
      <c r="BE59" s="231"/>
      <c r="BF59" s="231"/>
      <c r="BG59" s="231"/>
      <c r="BH59" s="231"/>
      <c r="BI59" s="231"/>
      <c r="BJ59" s="231"/>
      <c r="BK59" s="231"/>
      <c r="BL59" s="231"/>
      <c r="BM59" s="231"/>
      <c r="BN59" s="231"/>
      <c r="BO59" s="231"/>
      <c r="BP59" s="231"/>
      <c r="BQ59" s="231"/>
      <c r="BR59" s="231"/>
      <c r="BS59" s="231"/>
      <c r="BT59" s="231"/>
      <c r="BU59" s="231"/>
      <c r="BV59" s="231"/>
      <c r="BW59" s="231"/>
      <c r="BX59" s="231"/>
      <c r="BY59" s="231"/>
      <c r="CC59" s="232" t="s">
        <v>128</v>
      </c>
      <c r="CD59" s="44" t="str">
        <f ca="1">_xlfn.IFS(  AND(MISSIONS!U23=MISSIONS!$AP$2,MISSIONS!U22=100%),MISSIONS!D22&amp;" 100%",  ISBLANK(MISSIONS!E22),"",  MISSIONS!U23&lt;&gt;MISSIONS!$AP$2, MISSIONS!D22&amp;" "&amp;MISSIONS!E22&amp;" 0%",TRUE,MISSIONS!D22&amp;" "&amp;MISSIONS!E22&amp;" "&amp;ROUND(MISSIONS!U22*100,0)&amp;"%")</f>
        <v/>
      </c>
      <c r="CK59" s="233" t="s">
        <v>128</v>
      </c>
      <c r="CL59" s="44" t="str">
        <f ca="1">_xlfn.IFS(
ISBLANK(MISSIONS!BH22),"",
MISSIONS!BG22=100%,MISSIONS!BX22&amp;" 100%",
AND(MISSIONS!BG23&lt;PLANS!$B$1,MISSIONS!BG23&lt;&gt;"",MISSIONS!BF22=""), MISSIONS!BX22&amp;$CD$38&amp;" "&amp;MISSIONS!BH22&amp;" "&amp;ROUND(MISSIONS!BG22*100,0)&amp;"%",
TRUE, MISSIONS!BX22&amp;CL60&amp;" "&amp;MISSIONS!BH22&amp;" "&amp;ROUND(MISSIONS!BG22*100,0)&amp;"%")</f>
        <v/>
      </c>
      <c r="CS59" s="234" t="s">
        <v>525</v>
      </c>
      <c r="CV59" s="232" t="s">
        <v>128</v>
      </c>
      <c r="CW59" s="44" t="str" cm="1">
        <f t="array" aca="1" ref="CW59" ca="1">_xlfn.IFS(
ISBLANK(MISSIONS!AB32),"",
MISSIONS!AL32=100%,MISSIONS!AA32&amp;" 100%",
AND(MISSIONS!AL33&lt;PLANS!$B$1,MISSIONS!AL33&lt;&gt;"",MISSIONS!AM32=""), MISSIONS!AA32&amp;$CD$38&amp;" "&amp;MISSIONS!AB32&amp;" "&amp;ROUND(MISSIONS!AL32*100,0)&amp;"%",
TRUE, MISSIONS!AA32&amp;CW60&amp;" "&amp;MISSIONS!AB32&amp;" "&amp;ROUND(MISSIONS!AL32*100,0)&amp;"%")</f>
        <v/>
      </c>
      <c r="DD59" s="233" t="s">
        <v>128</v>
      </c>
      <c r="DE59" s="44" t="str" cm="1">
        <f t="array" aca="1" ref="DE59" ca="1">_xlfn.IFS(
ISBLANK(MISSIONS!AQ32),"",
MISSIONS!AP32=100%,MISSIONS!BA32&amp;" 100%",
AND(MISSIONS!AP33&lt;PLANS!$B$1,MISSIONS!AP33&lt;&gt;"",MISSIONS!AO32=""), MISSIONS!BA32&amp;$CD$38&amp;" "&amp;MISSIONS!AQ32&amp;" "&amp;ROUND(MISSIONS!AP32*100,0)&amp;"%",
TRUE, MISSIONS!BA32&amp;DE60&amp;" "&amp;MISSIONS!AQ32&amp;" "&amp;ROUND(MISSIONS!AP32*100,0)&amp;"%")</f>
        <v/>
      </c>
      <c r="DG59" s="233"/>
      <c r="DH59" s="44"/>
      <c r="DK59" s="234" t="s">
        <v>525</v>
      </c>
      <c r="DL59" s="233"/>
      <c r="DM59" s="44"/>
    </row>
    <row r="60" spans="3:117" ht="17.100000000000001" customHeight="1" x14ac:dyDescent="0.15">
      <c r="C60" s="231"/>
      <c r="D60" s="231"/>
      <c r="E60" s="231"/>
      <c r="F60" s="231"/>
      <c r="G60" s="231"/>
      <c r="H60" s="231"/>
      <c r="I60" s="231"/>
      <c r="J60" s="231"/>
      <c r="K60" s="231"/>
      <c r="L60" s="231"/>
      <c r="M60" s="231"/>
      <c r="N60" s="231"/>
      <c r="O60" s="231"/>
      <c r="P60" s="231"/>
      <c r="Q60" s="231"/>
      <c r="R60" s="231"/>
      <c r="S60" s="231"/>
      <c r="T60" s="231"/>
      <c r="U60" s="231"/>
      <c r="V60" s="231"/>
      <c r="W60" s="231"/>
      <c r="X60" s="231"/>
      <c r="Y60" s="231"/>
      <c r="Z60" s="231"/>
      <c r="AA60" s="231"/>
      <c r="AB60" s="231"/>
      <c r="AC60" s="231"/>
      <c r="AD60" s="231"/>
      <c r="AE60" s="231"/>
      <c r="AF60" s="231"/>
      <c r="AG60" s="231"/>
      <c r="AH60" s="231"/>
      <c r="AI60" s="231"/>
      <c r="AJ60" s="231"/>
      <c r="AK60" s="231"/>
      <c r="AL60" s="231"/>
      <c r="AM60" s="231"/>
      <c r="AN60" s="231"/>
      <c r="AO60" s="231"/>
      <c r="AP60" s="231"/>
      <c r="AQ60" s="231"/>
      <c r="AR60" s="231"/>
      <c r="AS60" s="231"/>
      <c r="AT60" s="231"/>
      <c r="AU60" s="231"/>
      <c r="AV60" s="231"/>
      <c r="AW60" s="231"/>
      <c r="AX60" s="231"/>
      <c r="AY60" s="231"/>
      <c r="AZ60" s="231"/>
      <c r="BA60" s="231"/>
      <c r="BB60" s="231"/>
      <c r="BC60" s="231"/>
      <c r="BD60" s="231"/>
      <c r="BE60" s="231"/>
      <c r="BF60" s="231"/>
      <c r="BG60" s="231"/>
      <c r="BH60" s="231"/>
      <c r="BI60" s="231"/>
      <c r="BJ60" s="231"/>
      <c r="BK60" s="231"/>
      <c r="BL60" s="231"/>
      <c r="BM60" s="231"/>
      <c r="BN60" s="245"/>
      <c r="BO60" s="245"/>
      <c r="BP60" s="245"/>
      <c r="BQ60" s="245"/>
      <c r="BR60" s="245"/>
      <c r="BS60" s="245"/>
      <c r="BT60" s="245"/>
      <c r="BU60" s="245"/>
      <c r="BV60" s="245"/>
      <c r="BW60" s="245"/>
      <c r="BX60" s="231"/>
      <c r="BY60" s="231"/>
      <c r="CC60" s="242"/>
      <c r="CL60" s="786" t="str">
        <f>IF(MISSIONS!BF22="",""," ("&amp;MISSIONS!BF22&amp;")")</f>
        <v/>
      </c>
      <c r="CS60" s="234" t="s">
        <v>525</v>
      </c>
      <c r="CV60" s="242"/>
      <c r="CW60" s="786" t="str">
        <f>IF(MISSIONS!AM32="",""," ("&amp;MISSIONS!AM32&amp;")")</f>
        <v/>
      </c>
      <c r="DD60" s="233"/>
      <c r="DE60" s="786" t="str">
        <f>IF(MISSIONS!AO32="",""," ("&amp;MISSIONS!AO32&amp;")")</f>
        <v/>
      </c>
      <c r="DG60" s="233"/>
      <c r="DH60" s="44"/>
      <c r="DK60" s="234" t="s">
        <v>525</v>
      </c>
    </row>
    <row r="61" spans="3:117" ht="17.100000000000001" customHeight="1" x14ac:dyDescent="0.15">
      <c r="C61" s="231"/>
      <c r="D61" s="243" t="s">
        <v>783</v>
      </c>
      <c r="E61" s="243"/>
      <c r="F61" s="243"/>
      <c r="G61" s="243"/>
      <c r="H61" s="243"/>
      <c r="I61" s="243"/>
      <c r="J61" s="243"/>
      <c r="K61" s="244"/>
      <c r="L61" s="244"/>
      <c r="M61" s="244"/>
      <c r="N61" s="244"/>
      <c r="O61" s="244"/>
      <c r="P61" s="244"/>
      <c r="Q61" s="244"/>
      <c r="R61" s="244"/>
      <c r="S61" s="235"/>
      <c r="T61" s="235"/>
      <c r="U61" s="235"/>
      <c r="V61" s="235"/>
      <c r="W61" s="235"/>
      <c r="X61" s="235" t="s">
        <v>299</v>
      </c>
      <c r="Y61" s="235"/>
      <c r="Z61" s="235"/>
      <c r="AA61" s="235"/>
      <c r="AB61" s="235" t="s">
        <v>772</v>
      </c>
      <c r="AC61" s="235"/>
      <c r="AD61" s="235"/>
      <c r="AE61" s="235"/>
      <c r="AF61" s="235" t="s">
        <v>781</v>
      </c>
      <c r="AG61" s="235"/>
      <c r="AH61" s="235"/>
      <c r="AI61" s="235"/>
      <c r="AJ61" s="235" t="s">
        <v>777</v>
      </c>
      <c r="AK61" s="235"/>
      <c r="AL61" s="235"/>
      <c r="AM61" s="235"/>
      <c r="AN61" s="235" t="s">
        <v>771</v>
      </c>
      <c r="AO61" s="235"/>
      <c r="AP61" s="235"/>
      <c r="AQ61" s="235"/>
      <c r="AR61" s="235" t="s">
        <v>1255</v>
      </c>
      <c r="AS61" s="235"/>
      <c r="AT61" s="235"/>
      <c r="AU61" s="235"/>
      <c r="AV61" s="235" t="s">
        <v>774</v>
      </c>
      <c r="AW61" s="235"/>
      <c r="AX61" s="235"/>
      <c r="AY61" s="235"/>
      <c r="AZ61" s="235" t="s">
        <v>773</v>
      </c>
      <c r="BA61" s="235"/>
      <c r="BB61" s="235"/>
      <c r="BC61" s="235"/>
      <c r="BD61" s="235" t="s">
        <v>1256</v>
      </c>
      <c r="BE61" s="235"/>
      <c r="BF61" s="235"/>
      <c r="BG61" s="235"/>
      <c r="BH61" s="235"/>
      <c r="BI61" s="235"/>
      <c r="BJ61" s="244"/>
      <c r="BK61" s="244"/>
      <c r="BL61" s="244"/>
      <c r="BM61" s="243"/>
      <c r="BN61" s="243"/>
      <c r="BO61" s="244"/>
      <c r="BP61" s="244"/>
      <c r="BQ61" s="244"/>
      <c r="BR61" s="249"/>
      <c r="BS61" s="244"/>
      <c r="BT61" s="244"/>
      <c r="BU61" s="249"/>
      <c r="BV61" s="249"/>
      <c r="BW61" s="249"/>
      <c r="BX61" s="249"/>
      <c r="BY61" s="231"/>
      <c r="CC61" s="232" t="s">
        <v>128</v>
      </c>
      <c r="CD61" s="44" t="str">
        <f ca="1">_xlfn.IFS(  AND(MISSIONS!U25=MISSIONS!$AP$2,MISSIONS!U24=100%),MISSIONS!D24&amp;" 100%",  ISBLANK(MISSIONS!E24),"",  MISSIONS!U25&lt;&gt;MISSIONS!$AP$2, MISSIONS!D24&amp;" "&amp;MISSIONS!E24&amp;" 0%",TRUE,MISSIONS!D24&amp;" "&amp;MISSIONS!E24&amp;" "&amp;ROUND(MISSIONS!U24*100,0)&amp;"%")</f>
        <v/>
      </c>
      <c r="CK61" s="233" t="s">
        <v>128</v>
      </c>
      <c r="CL61" s="44" t="str">
        <f ca="1">_xlfn.IFS(
ISBLANK(MISSIONS!BH24),"",
MISSIONS!BG24=100%,MISSIONS!BX24&amp;" 100%",
AND(MISSIONS!BG25&lt;PLANS!$B$1,MISSIONS!BG25&lt;&gt;"",MISSIONS!BF24=""), MISSIONS!BX24&amp;$CD$38&amp;" "&amp;MISSIONS!BH24&amp;" "&amp;ROUND(MISSIONS!BG24*100,0)&amp;"%",
TRUE, MISSIONS!BX24&amp;CL62&amp;" "&amp;MISSIONS!BH24&amp;" "&amp;ROUND(MISSIONS!BG24*100,0)&amp;"%")</f>
        <v/>
      </c>
      <c r="CS61" s="234" t="s">
        <v>525</v>
      </c>
      <c r="CV61" s="232" t="s">
        <v>128</v>
      </c>
      <c r="CW61" s="44" t="str" cm="1">
        <f t="array" aca="1" ref="CW61" ca="1">_xlfn.IFS(
ISBLANK(MISSIONS!AB34),"",
MISSIONS!AL34=100%,MISSIONS!AA34&amp;" 100%",
AND(MISSIONS!AL35&lt;PLANS!$B$1,MISSIONS!AL35&lt;&gt;"",MISSIONS!AM34=""), MISSIONS!AA34&amp;$CD$38&amp;" "&amp;MISSIONS!AB34&amp;" "&amp;ROUND(MISSIONS!AL34*100,0)&amp;"%",
TRUE, MISSIONS!AA34&amp;CW62&amp;" "&amp;MISSIONS!AB34&amp;" "&amp;ROUND(MISSIONS!AL34*100,0)&amp;"%")</f>
        <v/>
      </c>
      <c r="DD61" s="233" t="s">
        <v>128</v>
      </c>
      <c r="DE61" s="44" t="str" cm="1">
        <f t="array" aca="1" ref="DE61" ca="1">_xlfn.IFS(
ISBLANK(MISSIONS!AQ34),"",
MISSIONS!AP34=100%,MISSIONS!BA34&amp;" 100%",
AND(MISSIONS!AP35&lt;PLANS!$B$1,MISSIONS!AP35&lt;&gt;"",MISSIONS!AO34=""), MISSIONS!BA34&amp;$CD$38&amp;" "&amp;MISSIONS!AQ34&amp;" "&amp;ROUND(MISSIONS!AP34*100,0)&amp;"%",
TRUE, MISSIONS!BA34&amp;DE62&amp;" "&amp;MISSIONS!AQ34&amp;" "&amp;ROUND(MISSIONS!AP34*100,0)&amp;"%")</f>
        <v/>
      </c>
      <c r="DG61" s="233"/>
      <c r="DH61" s="44"/>
      <c r="DK61" s="234" t="s">
        <v>525</v>
      </c>
      <c r="DL61" s="233"/>
    </row>
    <row r="62" spans="3:117" ht="17.100000000000001" customHeight="1" x14ac:dyDescent="0.15">
      <c r="C62" s="231"/>
      <c r="D62" s="231"/>
      <c r="E62" s="231"/>
      <c r="F62" s="231"/>
      <c r="G62" s="231"/>
      <c r="H62" s="231"/>
      <c r="I62" s="231"/>
      <c r="J62" s="231"/>
      <c r="K62" s="231"/>
      <c r="L62" s="231"/>
      <c r="M62" s="231"/>
      <c r="N62" s="231"/>
      <c r="O62" s="231"/>
      <c r="P62" s="231"/>
      <c r="Q62" s="231"/>
      <c r="R62" s="231"/>
      <c r="S62" s="250"/>
      <c r="T62" s="250"/>
      <c r="U62" s="250"/>
      <c r="V62" s="250"/>
      <c r="W62" s="250"/>
      <c r="X62" s="231"/>
      <c r="Y62" s="250"/>
      <c r="Z62" s="250"/>
      <c r="AA62" s="250"/>
      <c r="AB62" s="250"/>
      <c r="AC62" s="250"/>
      <c r="AD62" s="231"/>
      <c r="AE62" s="250"/>
      <c r="AF62" s="250"/>
      <c r="AG62" s="250"/>
      <c r="AH62" s="250"/>
      <c r="AI62" s="250"/>
      <c r="AJ62" s="231"/>
      <c r="AK62" s="250"/>
      <c r="AL62" s="250"/>
      <c r="AM62" s="250"/>
      <c r="AN62" s="250"/>
      <c r="AO62" s="231"/>
      <c r="AP62" s="250"/>
      <c r="AQ62" s="250"/>
      <c r="AR62" s="250"/>
      <c r="AS62" s="250"/>
      <c r="AT62" s="250"/>
      <c r="AU62" s="231"/>
      <c r="AV62" s="250"/>
      <c r="AW62" s="250"/>
      <c r="AX62" s="250"/>
      <c r="AY62" s="250"/>
      <c r="AZ62" s="250"/>
      <c r="BA62" s="231"/>
      <c r="BB62" s="250"/>
      <c r="BC62" s="250"/>
      <c r="BD62" s="250"/>
      <c r="BE62" s="250"/>
      <c r="BF62" s="250"/>
      <c r="BG62" s="231"/>
      <c r="BH62" s="250"/>
      <c r="BI62" s="250"/>
      <c r="BJ62" s="250"/>
      <c r="BK62" s="250"/>
      <c r="BL62" s="250"/>
      <c r="BM62" s="231"/>
      <c r="BN62" s="245"/>
      <c r="BO62" s="245"/>
      <c r="BP62" s="245"/>
      <c r="BQ62" s="245"/>
      <c r="BR62" s="245"/>
      <c r="BS62" s="245"/>
      <c r="BT62" s="245"/>
      <c r="BU62" s="245"/>
      <c r="BV62" s="245"/>
      <c r="BW62" s="245"/>
      <c r="BX62" s="245"/>
      <c r="BY62" s="231"/>
      <c r="CC62" s="242"/>
      <c r="CL62" s="786" t="str">
        <f>IF(MISSIONS!BF24="",""," ("&amp;MISSIONS!BF24&amp;")")</f>
        <v/>
      </c>
      <c r="CS62" s="234" t="s">
        <v>525</v>
      </c>
      <c r="CV62" s="247" t="s">
        <v>525</v>
      </c>
      <c r="CW62" s="786" t="str">
        <f>IF(MISSIONS!AM34="",""," ("&amp;MISSIONS!AM34&amp;")")</f>
        <v/>
      </c>
      <c r="DD62" s="233"/>
      <c r="DE62" s="786" t="str">
        <f>IF(MISSIONS!AO34="",""," ("&amp;MISSIONS!AO34&amp;")")</f>
        <v/>
      </c>
      <c r="DG62" s="233"/>
      <c r="DH62" s="44"/>
      <c r="DK62" s="234" t="s">
        <v>525</v>
      </c>
    </row>
    <row r="63" spans="3:117" ht="17.100000000000001" customHeight="1" x14ac:dyDescent="0.15">
      <c r="C63" s="231"/>
      <c r="D63" s="231"/>
      <c r="E63" s="231"/>
      <c r="F63" s="231"/>
      <c r="G63" s="243" t="s">
        <v>48</v>
      </c>
      <c r="H63" s="244"/>
      <c r="I63" s="231"/>
      <c r="J63" s="269">
        <f>$J$3</f>
        <v>7</v>
      </c>
      <c r="K63" s="264"/>
      <c r="L63" s="264"/>
      <c r="M63" s="264"/>
      <c r="N63" s="269">
        <f>$N$3</f>
        <v>8</v>
      </c>
      <c r="O63" s="264"/>
      <c r="P63" s="264"/>
      <c r="Q63" s="264"/>
      <c r="R63" s="269">
        <f>$R$3</f>
        <v>9</v>
      </c>
      <c r="S63" s="269"/>
      <c r="T63" s="269"/>
      <c r="U63" s="269"/>
      <c r="V63" s="269">
        <f>$V$3</f>
        <v>10</v>
      </c>
      <c r="W63" s="269"/>
      <c r="X63" s="269"/>
      <c r="Y63" s="269"/>
      <c r="Z63" s="269">
        <f>$Z$3</f>
        <v>11</v>
      </c>
      <c r="AA63" s="269"/>
      <c r="AB63" s="269"/>
      <c r="AC63" s="269"/>
      <c r="AD63" s="269">
        <f>$AD$3</f>
        <v>12</v>
      </c>
      <c r="AE63" s="269"/>
      <c r="AF63" s="269"/>
      <c r="AG63" s="269"/>
      <c r="AH63" s="269">
        <f>$AH$3</f>
        <v>13</v>
      </c>
      <c r="AI63" s="269"/>
      <c r="AJ63" s="269"/>
      <c r="AK63" s="269"/>
      <c r="AL63" s="269">
        <f>$AL$3</f>
        <v>14</v>
      </c>
      <c r="AM63" s="269"/>
      <c r="AN63" s="269"/>
      <c r="AO63" s="269"/>
      <c r="AP63" s="269">
        <f>$AP$3</f>
        <v>15</v>
      </c>
      <c r="AQ63" s="269"/>
      <c r="AR63" s="269"/>
      <c r="AS63" s="269"/>
      <c r="AT63" s="269">
        <f>$AT$3</f>
        <v>16</v>
      </c>
      <c r="AU63" s="269"/>
      <c r="AV63" s="269"/>
      <c r="AW63" s="269"/>
      <c r="AX63" s="269">
        <f>$AX$3</f>
        <v>17</v>
      </c>
      <c r="AY63" s="269"/>
      <c r="AZ63" s="269"/>
      <c r="BA63" s="269"/>
      <c r="BB63" s="269">
        <f>$BB$3</f>
        <v>18</v>
      </c>
      <c r="BC63" s="269"/>
      <c r="BD63" s="269"/>
      <c r="BE63" s="269"/>
      <c r="BF63" s="269">
        <f>$BF$3</f>
        <v>19</v>
      </c>
      <c r="BG63" s="269"/>
      <c r="BH63" s="269"/>
      <c r="BI63" s="269"/>
      <c r="BJ63" s="269">
        <f>$BJ$3</f>
        <v>20</v>
      </c>
      <c r="BK63" s="269"/>
      <c r="BL63" s="269"/>
      <c r="BM63" s="269"/>
      <c r="BN63" s="269">
        <f>$BN$3</f>
        <v>21</v>
      </c>
      <c r="BO63" s="269"/>
      <c r="BP63" s="269"/>
      <c r="BQ63" s="269"/>
      <c r="BR63" s="269">
        <f>$BR$3</f>
        <v>22</v>
      </c>
      <c r="BS63" s="264"/>
      <c r="BT63" s="264"/>
      <c r="BU63" s="264"/>
      <c r="BV63" s="265">
        <f>$BV$3</f>
        <v>23</v>
      </c>
      <c r="BW63" s="245"/>
      <c r="BX63" s="245"/>
      <c r="BY63" s="231"/>
      <c r="CC63" s="232" t="s">
        <v>128</v>
      </c>
      <c r="CD63" s="44" t="str">
        <f>_xlfn.IFS(  AND(MISSIONS!U27=MISSIONS!$AK$2,MISSIONS!U26=100%),MISSIONS!D26&amp;" 100%",  ISBLANK(MISSIONS!E26),"",  MISSIONS!U27&lt;&gt;MISSIONS!$AK$2, MISSIONS!D26&amp;" "&amp;MISSIONS!E26&amp;" 0%",TRUE,MISSIONS!D26&amp;" "&amp;MISSIONS!E26&amp;" "&amp;ROUND(MISSIONS!U26*100,0)&amp;"%")</f>
        <v/>
      </c>
      <c r="CK63" s="233" t="s">
        <v>128</v>
      </c>
      <c r="CL63" s="44" t="str">
        <f ca="1">_xlfn.IFS(
ISBLANK(MISSIONS!BH26),"",
MISSIONS!BG26=100%,MISSIONS!BX26&amp;" 100%",
AND(MISSIONS!BG27&lt;PLANS!$B$1,MISSIONS!BG27&lt;&gt;"",MISSIONS!BF26=""), MISSIONS!BX26&amp;$CD$38&amp;" "&amp;MISSIONS!BH26&amp;" "&amp;ROUND(MISSIONS!BG26*100,0)&amp;"%",
TRUE, MISSIONS!BX26&amp;CL64&amp;" "&amp;MISSIONS!BH26&amp;" "&amp;ROUND(MISSIONS!BG26*100,0)&amp;"%")</f>
        <v/>
      </c>
      <c r="CS63" s="234" t="s">
        <v>525</v>
      </c>
      <c r="CV63" s="232" t="s">
        <v>128</v>
      </c>
      <c r="CW63" s="44" t="str" cm="1">
        <f t="array" aca="1" ref="CW63" ca="1">_xlfn.IFS(
ISBLANK(MISSIONS!AB36),"",
MISSIONS!AL36=100%,MISSIONS!AA36&amp;" 100%",
AND(MISSIONS!AL37&lt;PLANS!$B$1,MISSIONS!AL37&lt;&gt;"",MISSIONS!AM36=""), MISSIONS!AA36&amp;$CD$38&amp;" "&amp;MISSIONS!AB36&amp;" "&amp;ROUND(MISSIONS!AL36*100,0)&amp;"%",
TRUE, MISSIONS!AA36&amp;CW64&amp;" "&amp;MISSIONS!AB36&amp;" "&amp;ROUND(MISSIONS!AL36*100,0)&amp;"%")</f>
        <v/>
      </c>
      <c r="DD63" s="233" t="s">
        <v>128</v>
      </c>
      <c r="DE63" s="44" t="str" cm="1">
        <f t="array" aca="1" ref="DE63" ca="1">_xlfn.IFS(
ISBLANK(MISSIONS!AQ36),"",
MISSIONS!AP36=100%,MISSIONS!BA36&amp;" 100%",
AND(MISSIONS!AP37&lt;PLANS!$B$1,MISSIONS!AP37&lt;&gt;"",MISSIONS!AO36=""), MISSIONS!BA36&amp;$CD$38&amp;" "&amp;MISSIONS!AQ36&amp;" "&amp;ROUND(MISSIONS!AP36*100,0)&amp;"%",
TRUE, MISSIONS!BA36&amp;DE64&amp;" "&amp;MISSIONS!AQ36&amp;" "&amp;ROUND(MISSIONS!AP36*100,0)&amp;"%")</f>
        <v/>
      </c>
      <c r="DG63" s="233"/>
      <c r="DH63" s="44"/>
      <c r="DK63" s="234" t="s">
        <v>525</v>
      </c>
      <c r="DL63" s="233"/>
    </row>
    <row r="64" spans="3:117" ht="17.100000000000001" customHeight="1" x14ac:dyDescent="0.15">
      <c r="C64" s="231"/>
      <c r="D64" s="231"/>
      <c r="E64" s="231"/>
      <c r="F64" s="231"/>
      <c r="G64" s="231"/>
      <c r="H64" s="231"/>
      <c r="I64" s="231"/>
      <c r="J64" s="270"/>
      <c r="K64" s="270"/>
      <c r="L64" s="270"/>
      <c r="M64" s="270"/>
      <c r="N64" s="270"/>
      <c r="O64" s="270"/>
      <c r="P64" s="270"/>
      <c r="Q64" s="270"/>
      <c r="R64" s="270"/>
      <c r="S64" s="270"/>
      <c r="T64" s="270"/>
      <c r="U64" s="270"/>
      <c r="V64" s="270"/>
      <c r="W64" s="270"/>
      <c r="X64" s="270"/>
      <c r="Y64" s="270"/>
      <c r="Z64" s="270"/>
      <c r="AA64" s="270"/>
      <c r="AB64" s="270"/>
      <c r="AC64" s="270"/>
      <c r="AD64" s="270"/>
      <c r="AE64" s="270"/>
      <c r="AF64" s="270"/>
      <c r="AG64" s="270"/>
      <c r="AH64" s="270"/>
      <c r="AI64" s="270"/>
      <c r="AJ64" s="270"/>
      <c r="AK64" s="270"/>
      <c r="AL64" s="270"/>
      <c r="AM64" s="270"/>
      <c r="AN64" s="270"/>
      <c r="AO64" s="270"/>
      <c r="AP64" s="270"/>
      <c r="AQ64" s="270"/>
      <c r="AR64" s="270"/>
      <c r="AS64" s="270"/>
      <c r="AT64" s="270"/>
      <c r="AU64" s="270"/>
      <c r="AV64" s="270"/>
      <c r="AW64" s="270"/>
      <c r="AX64" s="270"/>
      <c r="AY64" s="270"/>
      <c r="AZ64" s="270"/>
      <c r="BA64" s="270"/>
      <c r="BB64" s="270"/>
      <c r="BC64" s="270"/>
      <c r="BD64" s="270"/>
      <c r="BE64" s="270"/>
      <c r="BF64" s="270"/>
      <c r="BG64" s="270"/>
      <c r="BH64" s="270"/>
      <c r="BI64" s="270"/>
      <c r="BJ64" s="270"/>
      <c r="BK64" s="270"/>
      <c r="BL64" s="270"/>
      <c r="BM64" s="270"/>
      <c r="BN64" s="270"/>
      <c r="BO64" s="270"/>
      <c r="BP64" s="270"/>
      <c r="BQ64" s="270"/>
      <c r="BR64" s="270"/>
      <c r="BS64" s="270"/>
      <c r="BT64" s="270"/>
      <c r="BU64" s="266"/>
      <c r="BV64" s="267"/>
      <c r="BW64" s="245"/>
      <c r="BX64" s="231"/>
      <c r="BY64" s="231"/>
      <c r="CC64" s="242"/>
      <c r="CL64" s="786" t="str">
        <f>IF(MISSIONS!BF26="",""," ("&amp;MISSIONS!BF26&amp;")")</f>
        <v/>
      </c>
      <c r="CS64" s="234" t="s">
        <v>525</v>
      </c>
      <c r="CV64" s="247" t="s">
        <v>525</v>
      </c>
      <c r="CW64" s="786" t="str">
        <f>IF(MISSIONS!AM36="",""," ("&amp;MISSIONS!AM36&amp;")")</f>
        <v/>
      </c>
      <c r="DE64" s="786" t="str">
        <f>IF(MISSIONS!AO36="",""," ("&amp;MISSIONS!AO36&amp;")")</f>
        <v/>
      </c>
      <c r="DG64" s="233"/>
      <c r="DH64" s="44"/>
      <c r="DK64" s="234" t="s">
        <v>525</v>
      </c>
    </row>
    <row r="65" spans="3:127" ht="17.100000000000001" customHeight="1" x14ac:dyDescent="0.15">
      <c r="C65" s="231"/>
      <c r="D65" s="231"/>
      <c r="E65" s="231"/>
      <c r="F65" s="231"/>
      <c r="G65" s="243" t="s">
        <v>49</v>
      </c>
      <c r="H65" s="244"/>
      <c r="I65" s="231"/>
      <c r="J65" s="269">
        <f>$J$3</f>
        <v>7</v>
      </c>
      <c r="K65" s="264"/>
      <c r="L65" s="264"/>
      <c r="M65" s="264"/>
      <c r="N65" s="269">
        <f>$N$3</f>
        <v>8</v>
      </c>
      <c r="O65" s="264"/>
      <c r="P65" s="264"/>
      <c r="Q65" s="264"/>
      <c r="R65" s="269">
        <f>$R$3</f>
        <v>9</v>
      </c>
      <c r="S65" s="269"/>
      <c r="T65" s="269"/>
      <c r="U65" s="269"/>
      <c r="V65" s="269">
        <f>$V$3</f>
        <v>10</v>
      </c>
      <c r="W65" s="269"/>
      <c r="X65" s="269"/>
      <c r="Y65" s="269"/>
      <c r="Z65" s="269">
        <f>$Z$3</f>
        <v>11</v>
      </c>
      <c r="AA65" s="269"/>
      <c r="AB65" s="269"/>
      <c r="AC65" s="269"/>
      <c r="AD65" s="269">
        <f>$AD$3</f>
        <v>12</v>
      </c>
      <c r="AE65" s="269"/>
      <c r="AF65" s="269"/>
      <c r="AG65" s="269"/>
      <c r="AH65" s="269">
        <f>$AH$3</f>
        <v>13</v>
      </c>
      <c r="AI65" s="269"/>
      <c r="AJ65" s="269"/>
      <c r="AK65" s="269"/>
      <c r="AL65" s="269">
        <f>$AL$3</f>
        <v>14</v>
      </c>
      <c r="AM65" s="269"/>
      <c r="AN65" s="269"/>
      <c r="AO65" s="269"/>
      <c r="AP65" s="269">
        <f>$AP$3</f>
        <v>15</v>
      </c>
      <c r="AQ65" s="269"/>
      <c r="AR65" s="269"/>
      <c r="AS65" s="269"/>
      <c r="AT65" s="269">
        <f>$AT$3</f>
        <v>16</v>
      </c>
      <c r="AU65" s="269"/>
      <c r="AV65" s="269"/>
      <c r="AW65" s="269"/>
      <c r="AX65" s="269">
        <f>$AX$3</f>
        <v>17</v>
      </c>
      <c r="AY65" s="269"/>
      <c r="AZ65" s="269"/>
      <c r="BA65" s="269"/>
      <c r="BB65" s="269">
        <f>$BB$3</f>
        <v>18</v>
      </c>
      <c r="BC65" s="269"/>
      <c r="BD65" s="269"/>
      <c r="BE65" s="269"/>
      <c r="BF65" s="269">
        <f>$BF$3</f>
        <v>19</v>
      </c>
      <c r="BG65" s="269"/>
      <c r="BH65" s="269"/>
      <c r="BI65" s="269"/>
      <c r="BJ65" s="269">
        <f>$BJ$3</f>
        <v>20</v>
      </c>
      <c r="BK65" s="269"/>
      <c r="BL65" s="269"/>
      <c r="BM65" s="269"/>
      <c r="BN65" s="269">
        <f>$BN$3</f>
        <v>21</v>
      </c>
      <c r="BO65" s="269"/>
      <c r="BP65" s="269"/>
      <c r="BQ65" s="269"/>
      <c r="BR65" s="269">
        <f>$BR$3</f>
        <v>22</v>
      </c>
      <c r="BS65" s="264"/>
      <c r="BT65" s="264"/>
      <c r="BU65" s="264"/>
      <c r="BV65" s="265">
        <f>$BV$3</f>
        <v>23</v>
      </c>
      <c r="BW65" s="245"/>
      <c r="BX65" s="231"/>
      <c r="BY65" s="231"/>
      <c r="CC65" s="232" t="s">
        <v>128</v>
      </c>
      <c r="CD65" s="44" t="str">
        <f>_xlfn.IFS(  AND(MISSIONS!U29=MISSIONS!$AK$2,MISSIONS!U28=100%),MISSIONS!D28&amp;" 100%",  ISBLANK(MISSIONS!E28),"",  MISSIONS!U29&lt;&gt;MISSIONS!$AK$2, MISSIONS!D28&amp;" "&amp;MISSIONS!E28&amp;" 0%",TRUE,MISSIONS!D28&amp;" "&amp;MISSIONS!E28&amp;" "&amp;ROUND(MISSIONS!U28*100,0)&amp;"%")</f>
        <v/>
      </c>
      <c r="CK65" s="233" t="s">
        <v>128</v>
      </c>
      <c r="CL65" s="44" t="str">
        <f ca="1">_xlfn.IFS(
ISBLANK(MISSIONS!BH28),"",
MISSIONS!BG28=100%,MISSIONS!BX28&amp;" 100%",
AND(MISSIONS!BG29&lt;PLANS!$B$1,MISSIONS!BG29&lt;&gt;"",MISSIONS!BF28=""), MISSIONS!BX28&amp;$CD$38&amp;" "&amp;MISSIONS!BH28&amp;" "&amp;ROUND(MISSIONS!BG28*100,0)&amp;"%",
TRUE, MISSIONS!BX28&amp;CL66&amp;" "&amp;MISSIONS!BH28&amp;" "&amp;ROUND(MISSIONS!BG28*100,0)&amp;"%")</f>
        <v/>
      </c>
      <c r="CS65" s="234" t="s">
        <v>525</v>
      </c>
      <c r="CV65" s="232"/>
      <c r="CW65" s="44"/>
      <c r="DK65" s="234" t="s">
        <v>525</v>
      </c>
      <c r="DL65" s="233"/>
    </row>
    <row r="66" spans="3:127" ht="17.100000000000001" customHeight="1" x14ac:dyDescent="0.15">
      <c r="C66" s="231"/>
      <c r="D66" s="231"/>
      <c r="E66" s="231"/>
      <c r="F66" s="231"/>
      <c r="G66" s="231"/>
      <c r="H66" s="231"/>
      <c r="I66" s="231"/>
      <c r="J66" s="270"/>
      <c r="K66" s="270"/>
      <c r="L66" s="270"/>
      <c r="M66" s="270"/>
      <c r="N66" s="270"/>
      <c r="O66" s="270"/>
      <c r="P66" s="270"/>
      <c r="Q66" s="270"/>
      <c r="R66" s="270"/>
      <c r="S66" s="270"/>
      <c r="T66" s="270"/>
      <c r="U66" s="270"/>
      <c r="V66" s="270"/>
      <c r="W66" s="270"/>
      <c r="X66" s="270"/>
      <c r="Y66" s="270"/>
      <c r="Z66" s="270"/>
      <c r="AA66" s="270"/>
      <c r="AB66" s="270"/>
      <c r="AC66" s="270"/>
      <c r="AD66" s="270"/>
      <c r="AE66" s="270"/>
      <c r="AF66" s="270"/>
      <c r="AG66" s="270"/>
      <c r="AH66" s="270"/>
      <c r="AI66" s="270"/>
      <c r="AJ66" s="270"/>
      <c r="AK66" s="270"/>
      <c r="AL66" s="270"/>
      <c r="AM66" s="270"/>
      <c r="AN66" s="270"/>
      <c r="AO66" s="270"/>
      <c r="AP66" s="270"/>
      <c r="AQ66" s="270"/>
      <c r="AR66" s="270"/>
      <c r="AS66" s="270"/>
      <c r="AT66" s="270"/>
      <c r="AU66" s="270"/>
      <c r="AV66" s="270"/>
      <c r="AW66" s="270"/>
      <c r="AX66" s="270"/>
      <c r="AY66" s="270"/>
      <c r="AZ66" s="270"/>
      <c r="BA66" s="270"/>
      <c r="BB66" s="270"/>
      <c r="BC66" s="270"/>
      <c r="BD66" s="270"/>
      <c r="BE66" s="270"/>
      <c r="BF66" s="270"/>
      <c r="BG66" s="270"/>
      <c r="BH66" s="270"/>
      <c r="BI66" s="270"/>
      <c r="BJ66" s="270"/>
      <c r="BK66" s="270"/>
      <c r="BL66" s="270"/>
      <c r="BM66" s="270"/>
      <c r="BN66" s="270"/>
      <c r="BO66" s="270"/>
      <c r="BP66" s="270"/>
      <c r="BQ66" s="270"/>
      <c r="BR66" s="270"/>
      <c r="BS66" s="270"/>
      <c r="BT66" s="270"/>
      <c r="BU66" s="266"/>
      <c r="BV66" s="267"/>
      <c r="BW66" s="245"/>
      <c r="BX66" s="231"/>
      <c r="BY66" s="231"/>
      <c r="CC66" s="242"/>
      <c r="CL66" s="786" t="str">
        <f>IF(MISSIONS!BF28="",""," ("&amp;MISSIONS!BF28&amp;")")</f>
        <v/>
      </c>
      <c r="CS66" s="234" t="s">
        <v>525</v>
      </c>
      <c r="CV66" s="247"/>
      <c r="CW66" s="786"/>
      <c r="DG66" s="233"/>
      <c r="DH66" s="44"/>
      <c r="DK66" s="234" t="s">
        <v>525</v>
      </c>
    </row>
    <row r="67" spans="3:127" ht="17.100000000000001" customHeight="1" x14ac:dyDescent="0.15">
      <c r="C67" s="231"/>
      <c r="D67" s="231"/>
      <c r="E67" s="231"/>
      <c r="F67" s="231"/>
      <c r="G67" s="243" t="s">
        <v>50</v>
      </c>
      <c r="H67" s="244"/>
      <c r="I67" s="231"/>
      <c r="J67" s="269">
        <f>$J$3</f>
        <v>7</v>
      </c>
      <c r="K67" s="264"/>
      <c r="L67" s="264"/>
      <c r="M67" s="264"/>
      <c r="N67" s="269">
        <f>$N$3</f>
        <v>8</v>
      </c>
      <c r="O67" s="264"/>
      <c r="P67" s="264"/>
      <c r="Q67" s="264"/>
      <c r="R67" s="269">
        <f>$R$3</f>
        <v>9</v>
      </c>
      <c r="S67" s="269"/>
      <c r="T67" s="269"/>
      <c r="U67" s="269"/>
      <c r="V67" s="269">
        <f>$V$3</f>
        <v>10</v>
      </c>
      <c r="W67" s="269"/>
      <c r="X67" s="269"/>
      <c r="Y67" s="269"/>
      <c r="Z67" s="269">
        <f>$Z$3</f>
        <v>11</v>
      </c>
      <c r="AA67" s="269"/>
      <c r="AB67" s="269"/>
      <c r="AC67" s="269"/>
      <c r="AD67" s="269">
        <f>$AD$3</f>
        <v>12</v>
      </c>
      <c r="AE67" s="269"/>
      <c r="AF67" s="269"/>
      <c r="AG67" s="269"/>
      <c r="AH67" s="269">
        <f>$AH$3</f>
        <v>13</v>
      </c>
      <c r="AI67" s="269"/>
      <c r="AJ67" s="269"/>
      <c r="AK67" s="269"/>
      <c r="AL67" s="269">
        <f>$AL$3</f>
        <v>14</v>
      </c>
      <c r="AM67" s="269"/>
      <c r="AN67" s="269"/>
      <c r="AO67" s="269"/>
      <c r="AP67" s="269">
        <f>$AP$3</f>
        <v>15</v>
      </c>
      <c r="AQ67" s="269"/>
      <c r="AR67" s="269"/>
      <c r="AS67" s="269"/>
      <c r="AT67" s="269">
        <f>$AT$3</f>
        <v>16</v>
      </c>
      <c r="AU67" s="269"/>
      <c r="AV67" s="269"/>
      <c r="AW67" s="269"/>
      <c r="AX67" s="269">
        <f>$AX$3</f>
        <v>17</v>
      </c>
      <c r="AY67" s="269"/>
      <c r="AZ67" s="269"/>
      <c r="BA67" s="269"/>
      <c r="BB67" s="269">
        <f>$BB$3</f>
        <v>18</v>
      </c>
      <c r="BC67" s="269"/>
      <c r="BD67" s="269"/>
      <c r="BE67" s="269"/>
      <c r="BF67" s="269">
        <f>$BF$3</f>
        <v>19</v>
      </c>
      <c r="BG67" s="269"/>
      <c r="BH67" s="269"/>
      <c r="BI67" s="269"/>
      <c r="BJ67" s="269">
        <f>$BJ$3</f>
        <v>20</v>
      </c>
      <c r="BK67" s="269"/>
      <c r="BL67" s="269"/>
      <c r="BM67" s="269"/>
      <c r="BN67" s="269">
        <f>$BN$3</f>
        <v>21</v>
      </c>
      <c r="BO67" s="269"/>
      <c r="BP67" s="269"/>
      <c r="BQ67" s="269"/>
      <c r="BR67" s="269">
        <f>$BR$3</f>
        <v>22</v>
      </c>
      <c r="BS67" s="264"/>
      <c r="BT67" s="264"/>
      <c r="BU67" s="264"/>
      <c r="BV67" s="265">
        <f>$BV$3</f>
        <v>23</v>
      </c>
      <c r="BW67" s="245"/>
      <c r="BX67" s="231"/>
      <c r="BY67" s="231"/>
      <c r="CC67" s="232" t="s">
        <v>128</v>
      </c>
      <c r="CD67" s="44" t="str">
        <f>_xlfn.IFS(  AND(MISSIONS!U31=MISSIONS!$AK$2,MISSIONS!U30=100%),MISSIONS!D30&amp;" 100%",  ISBLANK(MISSIONS!E30),"",  MISSIONS!U31&lt;&gt;MISSIONS!$AK$2, MISSIONS!D30&amp;" "&amp;MISSIONS!E30&amp;" 0%",TRUE,MISSIONS!D30&amp;" "&amp;MISSIONS!E30&amp;" "&amp;ROUND(MISSIONS!U30*100,0)&amp;"%")</f>
        <v/>
      </c>
      <c r="CK67" s="233" t="s">
        <v>128</v>
      </c>
      <c r="CL67" s="44" t="str">
        <f ca="1">_xlfn.IFS(
ISBLANK(MISSIONS!BH30),"",
MISSIONS!BG30=100%,MISSIONS!BX30&amp;" 100%",
AND(MISSIONS!BG31&lt;PLANS!$B$1,MISSIONS!BG31&lt;&gt;"",MISSIONS!BF30=""), MISSIONS!BX30&amp;$CD$38&amp;" "&amp;MISSIONS!BH30&amp;" "&amp;ROUND(MISSIONS!BG30*100,0)&amp;"%",
TRUE, MISSIONS!BX30&amp;CL68&amp;" "&amp;MISSIONS!BH30&amp;" "&amp;ROUND(MISSIONS!BG30*100,0)&amp;"%")</f>
        <v/>
      </c>
      <c r="CS67" s="234" t="s">
        <v>525</v>
      </c>
      <c r="CV67" s="232"/>
      <c r="CW67" s="44"/>
      <c r="DG67" s="233"/>
      <c r="DH67" s="44"/>
      <c r="DK67" s="234" t="s">
        <v>525</v>
      </c>
      <c r="DL67" s="233"/>
    </row>
    <row r="68" spans="3:127" ht="17.100000000000001" customHeight="1" x14ac:dyDescent="0.15">
      <c r="C68" s="231"/>
      <c r="D68" s="231"/>
      <c r="E68" s="231"/>
      <c r="F68" s="231"/>
      <c r="G68" s="231"/>
      <c r="H68" s="231"/>
      <c r="I68" s="231"/>
      <c r="J68" s="270"/>
      <c r="K68" s="270"/>
      <c r="L68" s="270"/>
      <c r="M68" s="270"/>
      <c r="N68" s="270"/>
      <c r="O68" s="270"/>
      <c r="P68" s="270"/>
      <c r="Q68" s="270"/>
      <c r="R68" s="270"/>
      <c r="S68" s="270"/>
      <c r="T68" s="270"/>
      <c r="U68" s="270"/>
      <c r="V68" s="270"/>
      <c r="W68" s="270"/>
      <c r="X68" s="270"/>
      <c r="Y68" s="270"/>
      <c r="Z68" s="270"/>
      <c r="AA68" s="270"/>
      <c r="AB68" s="270"/>
      <c r="AC68" s="270"/>
      <c r="AD68" s="270"/>
      <c r="AE68" s="270"/>
      <c r="AF68" s="270"/>
      <c r="AG68" s="270"/>
      <c r="AH68" s="270"/>
      <c r="AI68" s="270"/>
      <c r="AJ68" s="270"/>
      <c r="AK68" s="270"/>
      <c r="AL68" s="270"/>
      <c r="AM68" s="270"/>
      <c r="AN68" s="270"/>
      <c r="AO68" s="270"/>
      <c r="AP68" s="270"/>
      <c r="AQ68" s="270"/>
      <c r="AR68" s="270"/>
      <c r="AS68" s="270"/>
      <c r="AT68" s="270"/>
      <c r="AU68" s="270"/>
      <c r="AV68" s="270"/>
      <c r="AW68" s="270"/>
      <c r="AX68" s="270"/>
      <c r="AY68" s="270"/>
      <c r="AZ68" s="270"/>
      <c r="BA68" s="270"/>
      <c r="BB68" s="270"/>
      <c r="BC68" s="270"/>
      <c r="BD68" s="270"/>
      <c r="BE68" s="270"/>
      <c r="BF68" s="270"/>
      <c r="BG68" s="270"/>
      <c r="BH68" s="270"/>
      <c r="BI68" s="270"/>
      <c r="BJ68" s="270"/>
      <c r="BK68" s="270"/>
      <c r="BL68" s="270"/>
      <c r="BM68" s="270"/>
      <c r="BN68" s="270"/>
      <c r="BO68" s="270"/>
      <c r="BP68" s="270"/>
      <c r="BQ68" s="270"/>
      <c r="BR68" s="270"/>
      <c r="BS68" s="270"/>
      <c r="BT68" s="270"/>
      <c r="BU68" s="266"/>
      <c r="BV68" s="266"/>
      <c r="BW68" s="231"/>
      <c r="BX68" s="231"/>
      <c r="BY68" s="231"/>
      <c r="CC68" s="242"/>
      <c r="CL68" s="786" t="str">
        <f>IF(MISSIONS!BF30="",""," ("&amp;MISSIONS!BF30&amp;")")</f>
        <v/>
      </c>
      <c r="CS68" s="234" t="s">
        <v>525</v>
      </c>
      <c r="CV68" s="247"/>
      <c r="CW68" s="786"/>
      <c r="DD68" s="233"/>
      <c r="DG68" s="233"/>
      <c r="DH68" s="44"/>
      <c r="DK68" s="234" t="s">
        <v>525</v>
      </c>
    </row>
    <row r="69" spans="3:127" ht="17.100000000000001" customHeight="1" x14ac:dyDescent="0.15">
      <c r="C69" s="231"/>
      <c r="D69" s="231"/>
      <c r="E69" s="231"/>
      <c r="F69" s="231"/>
      <c r="G69" s="243" t="s">
        <v>51</v>
      </c>
      <c r="H69" s="244"/>
      <c r="I69" s="231"/>
      <c r="J69" s="269">
        <f>$J$3</f>
        <v>7</v>
      </c>
      <c r="K69" s="264"/>
      <c r="L69" s="264"/>
      <c r="M69" s="264"/>
      <c r="N69" s="269">
        <f>$N$3</f>
        <v>8</v>
      </c>
      <c r="O69" s="264"/>
      <c r="P69" s="264"/>
      <c r="Q69" s="264"/>
      <c r="R69" s="269">
        <f>$R$3</f>
        <v>9</v>
      </c>
      <c r="S69" s="269"/>
      <c r="T69" s="269"/>
      <c r="U69" s="269"/>
      <c r="V69" s="269">
        <f>$V$3</f>
        <v>10</v>
      </c>
      <c r="W69" s="269"/>
      <c r="X69" s="269"/>
      <c r="Y69" s="269"/>
      <c r="Z69" s="269">
        <f>$Z$3</f>
        <v>11</v>
      </c>
      <c r="AA69" s="269"/>
      <c r="AB69" s="269"/>
      <c r="AC69" s="269"/>
      <c r="AD69" s="269">
        <f>$AD$3</f>
        <v>12</v>
      </c>
      <c r="AE69" s="269"/>
      <c r="AF69" s="269"/>
      <c r="AG69" s="269"/>
      <c r="AH69" s="269">
        <f>$AH$3</f>
        <v>13</v>
      </c>
      <c r="AI69" s="269"/>
      <c r="AJ69" s="269"/>
      <c r="AK69" s="269"/>
      <c r="AL69" s="269">
        <f>$AL$3</f>
        <v>14</v>
      </c>
      <c r="AM69" s="269"/>
      <c r="AN69" s="269"/>
      <c r="AO69" s="269"/>
      <c r="AP69" s="269">
        <f>$AP$3</f>
        <v>15</v>
      </c>
      <c r="AQ69" s="269"/>
      <c r="AR69" s="269"/>
      <c r="AS69" s="269"/>
      <c r="AT69" s="269">
        <f>$AT$3</f>
        <v>16</v>
      </c>
      <c r="AU69" s="269"/>
      <c r="AV69" s="269"/>
      <c r="AW69" s="269"/>
      <c r="AX69" s="269">
        <f>$AX$3</f>
        <v>17</v>
      </c>
      <c r="AY69" s="269"/>
      <c r="AZ69" s="269"/>
      <c r="BA69" s="269"/>
      <c r="BB69" s="269">
        <f>$BB$3</f>
        <v>18</v>
      </c>
      <c r="BC69" s="269"/>
      <c r="BD69" s="269"/>
      <c r="BE69" s="269"/>
      <c r="BF69" s="269">
        <f>$BF$3</f>
        <v>19</v>
      </c>
      <c r="BG69" s="269"/>
      <c r="BH69" s="269"/>
      <c r="BI69" s="269"/>
      <c r="BJ69" s="269">
        <f>$BJ$3</f>
        <v>20</v>
      </c>
      <c r="BK69" s="269"/>
      <c r="BL69" s="269"/>
      <c r="BM69" s="269"/>
      <c r="BN69" s="269">
        <f>$BN$3</f>
        <v>21</v>
      </c>
      <c r="BO69" s="269"/>
      <c r="BP69" s="269"/>
      <c r="BQ69" s="269"/>
      <c r="BR69" s="269">
        <f>$BR$3</f>
        <v>22</v>
      </c>
      <c r="BS69" s="264"/>
      <c r="BT69" s="264"/>
      <c r="BU69" s="264"/>
      <c r="BV69" s="265">
        <f>$BV$3</f>
        <v>23</v>
      </c>
      <c r="BW69" s="231"/>
      <c r="BX69" s="231"/>
      <c r="BY69" s="231"/>
      <c r="CC69" s="232" t="s">
        <v>128</v>
      </c>
      <c r="CD69" s="44" t="str">
        <f>_xlfn.IFS(  AND(MISSIONS!U33=MISSIONS!$AK$2,MISSIONS!U32=100%),MISSIONS!D32&amp;" 100%",  ISBLANK(MISSIONS!E32),"",  MISSIONS!U33&lt;&gt;MISSIONS!$AK$2, MISSIONS!D32&amp;" "&amp;MISSIONS!E32&amp;" 0%",TRUE,MISSIONS!D32&amp;" "&amp;MISSIONS!E32&amp;" "&amp;ROUND(MISSIONS!U32*100,0)&amp;"%")</f>
        <v/>
      </c>
      <c r="CK69" s="233" t="s">
        <v>128</v>
      </c>
      <c r="CL69" s="44" t="str">
        <f ca="1">_xlfn.IFS(
ISBLANK(MISSIONS!BH32),"",
MISSIONS!BG32=100%,MISSIONS!BX32&amp;" 100%",
AND(MISSIONS!BG33&lt;PLANS!$B$1,MISSIONS!BG33&lt;&gt;"",MISSIONS!BF32=""), MISSIONS!BX32&amp;$CD$38&amp;" "&amp;MISSIONS!BH32&amp;" "&amp;ROUND(MISSIONS!BG32*100,0)&amp;"%",
TRUE, MISSIONS!BX32&amp;CL70&amp;" "&amp;MISSIONS!BH32&amp;" "&amp;ROUND(MISSIONS!BG32*100,0)&amp;"%")</f>
        <v/>
      </c>
      <c r="CS69" s="234" t="s">
        <v>525</v>
      </c>
      <c r="CV69" s="232"/>
      <c r="CW69" s="44"/>
      <c r="DD69" s="233"/>
      <c r="DE69" s="44"/>
      <c r="DG69" s="233"/>
      <c r="DH69" s="44"/>
      <c r="DK69" s="234" t="s">
        <v>525</v>
      </c>
      <c r="DL69" s="233"/>
      <c r="DM69" s="44"/>
    </row>
    <row r="70" spans="3:127" ht="17.100000000000001" customHeight="1" x14ac:dyDescent="0.15">
      <c r="C70" s="231"/>
      <c r="D70" s="231"/>
      <c r="E70" s="231"/>
      <c r="F70" s="231"/>
      <c r="G70" s="231"/>
      <c r="H70" s="231"/>
      <c r="I70" s="231"/>
      <c r="J70" s="270"/>
      <c r="K70" s="270"/>
      <c r="L70" s="270"/>
      <c r="M70" s="270"/>
      <c r="N70" s="270"/>
      <c r="O70" s="270"/>
      <c r="P70" s="270"/>
      <c r="Q70" s="270"/>
      <c r="R70" s="270"/>
      <c r="S70" s="270"/>
      <c r="T70" s="270"/>
      <c r="U70" s="270"/>
      <c r="V70" s="270"/>
      <c r="W70" s="270"/>
      <c r="X70" s="270"/>
      <c r="Y70" s="270"/>
      <c r="Z70" s="270"/>
      <c r="AA70" s="270"/>
      <c r="AB70" s="270"/>
      <c r="AC70" s="270"/>
      <c r="AD70" s="270"/>
      <c r="AE70" s="270"/>
      <c r="AF70" s="270"/>
      <c r="AG70" s="270"/>
      <c r="AH70" s="270"/>
      <c r="AI70" s="270"/>
      <c r="AJ70" s="270"/>
      <c r="AK70" s="270"/>
      <c r="AL70" s="270"/>
      <c r="AM70" s="270"/>
      <c r="AN70" s="270"/>
      <c r="AO70" s="270"/>
      <c r="AP70" s="270"/>
      <c r="AQ70" s="270"/>
      <c r="AR70" s="270"/>
      <c r="AS70" s="270"/>
      <c r="AT70" s="270"/>
      <c r="AU70" s="270"/>
      <c r="AV70" s="270"/>
      <c r="AW70" s="270"/>
      <c r="AX70" s="270"/>
      <c r="AY70" s="270"/>
      <c r="AZ70" s="270"/>
      <c r="BA70" s="270"/>
      <c r="BB70" s="270"/>
      <c r="BC70" s="270"/>
      <c r="BD70" s="270"/>
      <c r="BE70" s="270"/>
      <c r="BF70" s="270"/>
      <c r="BG70" s="270"/>
      <c r="BH70" s="270"/>
      <c r="BI70" s="270"/>
      <c r="BJ70" s="270"/>
      <c r="BK70" s="270"/>
      <c r="BL70" s="270"/>
      <c r="BM70" s="270"/>
      <c r="BN70" s="270"/>
      <c r="BO70" s="270"/>
      <c r="BP70" s="270"/>
      <c r="BQ70" s="270"/>
      <c r="BR70" s="270"/>
      <c r="BS70" s="270"/>
      <c r="BT70" s="270"/>
      <c r="BU70" s="266"/>
      <c r="BV70" s="266"/>
      <c r="BW70" s="231"/>
      <c r="BX70" s="231"/>
      <c r="BY70" s="231"/>
      <c r="CC70" s="242"/>
      <c r="CL70" s="786" t="str">
        <f>IF(MISSIONS!BF32="",""," ("&amp;MISSIONS!BF32&amp;")")</f>
        <v/>
      </c>
      <c r="CS70" s="234" t="s">
        <v>525</v>
      </c>
      <c r="CV70" s="247"/>
      <c r="DG70" s="233"/>
      <c r="DH70" s="44"/>
      <c r="DK70" s="234" t="s">
        <v>525</v>
      </c>
    </row>
    <row r="71" spans="3:127" ht="17.100000000000001" customHeight="1" x14ac:dyDescent="0.15">
      <c r="C71" s="231"/>
      <c r="D71" s="231"/>
      <c r="E71" s="231"/>
      <c r="F71" s="231"/>
      <c r="G71" s="243" t="s">
        <v>52</v>
      </c>
      <c r="H71" s="244"/>
      <c r="I71" s="231"/>
      <c r="J71" s="269">
        <f>$J$3</f>
        <v>7</v>
      </c>
      <c r="K71" s="264"/>
      <c r="L71" s="264"/>
      <c r="M71" s="264"/>
      <c r="N71" s="269">
        <f>$N$3</f>
        <v>8</v>
      </c>
      <c r="O71" s="264"/>
      <c r="P71" s="264"/>
      <c r="Q71" s="264"/>
      <c r="R71" s="269">
        <f>$R$3</f>
        <v>9</v>
      </c>
      <c r="S71" s="269"/>
      <c r="T71" s="269"/>
      <c r="U71" s="269"/>
      <c r="V71" s="269">
        <f>$V$3</f>
        <v>10</v>
      </c>
      <c r="W71" s="269"/>
      <c r="X71" s="269"/>
      <c r="Y71" s="269"/>
      <c r="Z71" s="269">
        <f>$Z$3</f>
        <v>11</v>
      </c>
      <c r="AA71" s="269"/>
      <c r="AB71" s="269"/>
      <c r="AC71" s="269"/>
      <c r="AD71" s="269">
        <f>$AD$3</f>
        <v>12</v>
      </c>
      <c r="AE71" s="269"/>
      <c r="AF71" s="269"/>
      <c r="AG71" s="269"/>
      <c r="AH71" s="269">
        <f>$AH$3</f>
        <v>13</v>
      </c>
      <c r="AI71" s="269"/>
      <c r="AJ71" s="269"/>
      <c r="AK71" s="269"/>
      <c r="AL71" s="269">
        <f>$AL$3</f>
        <v>14</v>
      </c>
      <c r="AM71" s="269"/>
      <c r="AN71" s="269"/>
      <c r="AO71" s="269"/>
      <c r="AP71" s="269">
        <f>$AP$3</f>
        <v>15</v>
      </c>
      <c r="AQ71" s="269"/>
      <c r="AR71" s="269"/>
      <c r="AS71" s="269"/>
      <c r="AT71" s="269">
        <f>$AT$3</f>
        <v>16</v>
      </c>
      <c r="AU71" s="269"/>
      <c r="AV71" s="269"/>
      <c r="AW71" s="269"/>
      <c r="AX71" s="269">
        <f>$AX$3</f>
        <v>17</v>
      </c>
      <c r="AY71" s="269"/>
      <c r="AZ71" s="269"/>
      <c r="BA71" s="269"/>
      <c r="BB71" s="269">
        <f>$BB$3</f>
        <v>18</v>
      </c>
      <c r="BC71" s="269"/>
      <c r="BD71" s="269"/>
      <c r="BE71" s="269"/>
      <c r="BF71" s="269">
        <f>$BF$3</f>
        <v>19</v>
      </c>
      <c r="BG71" s="269"/>
      <c r="BH71" s="269"/>
      <c r="BI71" s="269"/>
      <c r="BJ71" s="269">
        <f>$BJ$3</f>
        <v>20</v>
      </c>
      <c r="BK71" s="269"/>
      <c r="BL71" s="269"/>
      <c r="BM71" s="269"/>
      <c r="BN71" s="269">
        <f>$BN$3</f>
        <v>21</v>
      </c>
      <c r="BO71" s="269"/>
      <c r="BP71" s="269"/>
      <c r="BQ71" s="269"/>
      <c r="BR71" s="269">
        <f>$BR$3</f>
        <v>22</v>
      </c>
      <c r="BS71" s="264"/>
      <c r="BT71" s="264"/>
      <c r="BU71" s="264"/>
      <c r="BV71" s="265">
        <f>$BV$3</f>
        <v>23</v>
      </c>
      <c r="BW71" s="231"/>
      <c r="BX71" s="231"/>
      <c r="BY71" s="231"/>
      <c r="CC71" s="232" t="s">
        <v>128</v>
      </c>
      <c r="CD71" s="44" t="str">
        <f>_xlfn.IFS(  AND(MISSIONS!U35=MISSIONS!$AK$2,MISSIONS!U34=100%),MISSIONS!D34&amp;" 100%",  ISBLANK(MISSIONS!E34),"",  MISSIONS!U35&lt;&gt;MISSIONS!$AK$2, MISSIONS!D34&amp;" "&amp;MISSIONS!E34&amp;" 0%",TRUE,MISSIONS!D34&amp;" "&amp;MISSIONS!E34&amp;" "&amp;ROUND(MISSIONS!U34*100,0)&amp;"%")</f>
        <v/>
      </c>
      <c r="CK71" s="233" t="s">
        <v>128</v>
      </c>
      <c r="CL71" s="44" t="str">
        <f ca="1">_xlfn.IFS(
ISBLANK(MISSIONS!BH34),"",
MISSIONS!BG34=100%,MISSIONS!BX34&amp;" 100%",
AND(MISSIONS!BG35&lt;PLANS!$B$1,MISSIONS!BG35&lt;&gt;"",MISSIONS!BF34=""), MISSIONS!BX34&amp;$CD$38&amp;" "&amp;MISSIONS!BH34&amp;" "&amp;ROUND(MISSIONS!BG34*100,0)&amp;"%",
TRUE, MISSIONS!BX34&amp;CL72&amp;" "&amp;MISSIONS!BH34&amp;" "&amp;ROUND(MISSIONS!BG34*100,0)&amp;"%")</f>
        <v/>
      </c>
      <c r="CS71" s="234" t="s">
        <v>525</v>
      </c>
      <c r="CV71" s="232"/>
      <c r="CW71" s="44"/>
      <c r="DD71" s="233"/>
      <c r="DE71" s="44"/>
      <c r="DG71" s="233"/>
      <c r="DH71" s="44"/>
      <c r="DK71" s="234" t="s">
        <v>525</v>
      </c>
      <c r="DL71" s="233"/>
      <c r="DM71" s="44"/>
    </row>
    <row r="72" spans="3:127" ht="17.100000000000001" customHeight="1" x14ac:dyDescent="0.15">
      <c r="C72" s="231"/>
      <c r="D72" s="231"/>
      <c r="E72" s="231"/>
      <c r="F72" s="231"/>
      <c r="G72" s="231"/>
      <c r="H72" s="231"/>
      <c r="I72" s="231"/>
      <c r="J72" s="270"/>
      <c r="K72" s="270"/>
      <c r="L72" s="270"/>
      <c r="M72" s="270"/>
      <c r="N72" s="270"/>
      <c r="O72" s="270"/>
      <c r="P72" s="270"/>
      <c r="Q72" s="270"/>
      <c r="R72" s="270"/>
      <c r="S72" s="270"/>
      <c r="T72" s="270"/>
      <c r="U72" s="270"/>
      <c r="V72" s="270"/>
      <c r="W72" s="270"/>
      <c r="X72" s="270"/>
      <c r="Y72" s="270"/>
      <c r="Z72" s="270"/>
      <c r="AA72" s="270"/>
      <c r="AB72" s="270"/>
      <c r="AC72" s="270"/>
      <c r="AD72" s="270"/>
      <c r="AE72" s="270"/>
      <c r="AF72" s="270"/>
      <c r="AG72" s="270"/>
      <c r="AH72" s="270"/>
      <c r="AI72" s="270"/>
      <c r="AJ72" s="270"/>
      <c r="AK72" s="270"/>
      <c r="AL72" s="270"/>
      <c r="AM72" s="270"/>
      <c r="AN72" s="270"/>
      <c r="AO72" s="270"/>
      <c r="AP72" s="270"/>
      <c r="AQ72" s="270"/>
      <c r="AR72" s="270"/>
      <c r="AS72" s="270"/>
      <c r="AT72" s="270"/>
      <c r="AU72" s="270"/>
      <c r="AV72" s="270"/>
      <c r="AW72" s="270"/>
      <c r="AX72" s="270"/>
      <c r="AY72" s="270"/>
      <c r="AZ72" s="270"/>
      <c r="BA72" s="270"/>
      <c r="BB72" s="270"/>
      <c r="BC72" s="270"/>
      <c r="BD72" s="270"/>
      <c r="BE72" s="270"/>
      <c r="BF72" s="270"/>
      <c r="BG72" s="270"/>
      <c r="BH72" s="270"/>
      <c r="BI72" s="270"/>
      <c r="BJ72" s="270"/>
      <c r="BK72" s="270"/>
      <c r="BL72" s="270"/>
      <c r="BM72" s="270"/>
      <c r="BN72" s="270"/>
      <c r="BO72" s="270"/>
      <c r="BP72" s="270"/>
      <c r="BQ72" s="270"/>
      <c r="BR72" s="270"/>
      <c r="BS72" s="270"/>
      <c r="BT72" s="270"/>
      <c r="BU72" s="266"/>
      <c r="BV72" s="266"/>
      <c r="BW72" s="231"/>
      <c r="BX72" s="231"/>
      <c r="BY72" s="231"/>
      <c r="CC72" s="242"/>
      <c r="CL72" s="786" t="str">
        <f>IF(MISSIONS!BF34="",""," ("&amp;MISSIONS!BF34&amp;")")</f>
        <v/>
      </c>
      <c r="CS72" s="234" t="s">
        <v>525</v>
      </c>
      <c r="CV72" s="247"/>
      <c r="DG72" s="46"/>
      <c r="DH72" s="46"/>
      <c r="DK72" s="234" t="s">
        <v>525</v>
      </c>
    </row>
    <row r="73" spans="3:127" ht="17.100000000000001" customHeight="1" x14ac:dyDescent="0.15">
      <c r="C73" s="231"/>
      <c r="D73" s="231"/>
      <c r="E73" s="231"/>
      <c r="F73" s="231"/>
      <c r="G73" s="243" t="s">
        <v>53</v>
      </c>
      <c r="H73" s="244"/>
      <c r="I73" s="231"/>
      <c r="J73" s="269">
        <f>$J$3</f>
        <v>7</v>
      </c>
      <c r="K73" s="264"/>
      <c r="L73" s="264"/>
      <c r="M73" s="264"/>
      <c r="N73" s="269">
        <f>$N$3</f>
        <v>8</v>
      </c>
      <c r="O73" s="264"/>
      <c r="P73" s="264"/>
      <c r="Q73" s="264"/>
      <c r="R73" s="269">
        <f>$R$3</f>
        <v>9</v>
      </c>
      <c r="S73" s="269"/>
      <c r="T73" s="269"/>
      <c r="U73" s="269"/>
      <c r="V73" s="269">
        <f>$V$3</f>
        <v>10</v>
      </c>
      <c r="W73" s="269"/>
      <c r="X73" s="269"/>
      <c r="Y73" s="269"/>
      <c r="Z73" s="269">
        <f>$Z$3</f>
        <v>11</v>
      </c>
      <c r="AA73" s="269"/>
      <c r="AB73" s="269"/>
      <c r="AC73" s="269"/>
      <c r="AD73" s="269">
        <f>$AD$3</f>
        <v>12</v>
      </c>
      <c r="AE73" s="269"/>
      <c r="AF73" s="269"/>
      <c r="AG73" s="269"/>
      <c r="AH73" s="269">
        <f>$AH$3</f>
        <v>13</v>
      </c>
      <c r="AI73" s="269"/>
      <c r="AJ73" s="269"/>
      <c r="AK73" s="269"/>
      <c r="AL73" s="269">
        <f>$AL$3</f>
        <v>14</v>
      </c>
      <c r="AM73" s="269"/>
      <c r="AN73" s="269"/>
      <c r="AO73" s="269"/>
      <c r="AP73" s="269">
        <f>$AP$3</f>
        <v>15</v>
      </c>
      <c r="AQ73" s="269"/>
      <c r="AR73" s="269"/>
      <c r="AS73" s="269"/>
      <c r="AT73" s="269">
        <f>$AT$3</f>
        <v>16</v>
      </c>
      <c r="AU73" s="269"/>
      <c r="AV73" s="269"/>
      <c r="AW73" s="269"/>
      <c r="AX73" s="269">
        <f>$AX$3</f>
        <v>17</v>
      </c>
      <c r="AY73" s="269"/>
      <c r="AZ73" s="269"/>
      <c r="BA73" s="269"/>
      <c r="BB73" s="269">
        <f>$BB$3</f>
        <v>18</v>
      </c>
      <c r="BC73" s="269"/>
      <c r="BD73" s="269"/>
      <c r="BE73" s="269"/>
      <c r="BF73" s="269">
        <f>$BF$3</f>
        <v>19</v>
      </c>
      <c r="BG73" s="269"/>
      <c r="BH73" s="269"/>
      <c r="BI73" s="269"/>
      <c r="BJ73" s="269">
        <f>$BJ$3</f>
        <v>20</v>
      </c>
      <c r="BK73" s="269"/>
      <c r="BL73" s="269"/>
      <c r="BM73" s="269"/>
      <c r="BN73" s="269">
        <f>$BN$3</f>
        <v>21</v>
      </c>
      <c r="BO73" s="269"/>
      <c r="BP73" s="269"/>
      <c r="BQ73" s="269"/>
      <c r="BR73" s="269">
        <f>$BR$3</f>
        <v>22</v>
      </c>
      <c r="BS73" s="264"/>
      <c r="BT73" s="264"/>
      <c r="BU73" s="264"/>
      <c r="BV73" s="265">
        <f>$BV$3</f>
        <v>23</v>
      </c>
      <c r="BW73" s="231"/>
      <c r="BX73" s="231"/>
      <c r="BY73" s="231"/>
      <c r="CC73" s="232" t="s">
        <v>128</v>
      </c>
      <c r="CD73" s="44" t="str">
        <f>_xlfn.IFS(  AND(MISSIONS!U37=MISSIONS!$AK$2,MISSIONS!U36=100%),MISSIONS!D36&amp;" 100%",  ISBLANK(MISSIONS!E36),"",  MISSIONS!U37&lt;&gt;MISSIONS!$AK$2, MISSIONS!D36&amp;" "&amp;MISSIONS!E36&amp;" 0%",TRUE,MISSIONS!D36&amp;" "&amp;MISSIONS!E36&amp;" "&amp;ROUND(MISSIONS!U36*100,0)&amp;"%")</f>
        <v/>
      </c>
      <c r="CK73" s="233" t="s">
        <v>128</v>
      </c>
      <c r="CL73" s="44" t="str">
        <f ca="1">_xlfn.IFS(
ISBLANK(MISSIONS!BH36),"",
MISSIONS!BG36=100%,MISSIONS!BX36&amp;" 100%",
AND(MISSIONS!BG37&lt;PLANS!$B$1,MISSIONS!BG37&lt;&gt;"",MISSIONS!BF36=""), MISSIONS!BX36&amp;$CD$38&amp;" "&amp;MISSIONS!BH36&amp;" "&amp;ROUND(MISSIONS!BG36*100,0)&amp;"%",
TRUE, MISSIONS!BX36&amp;CL74&amp;" "&amp;MISSIONS!BH36&amp;" "&amp;ROUND(MISSIONS!BG36*100,0)&amp;"%")</f>
        <v/>
      </c>
      <c r="CS73" s="234" t="s">
        <v>525</v>
      </c>
      <c r="CV73" s="232"/>
      <c r="CW73" s="44"/>
      <c r="DD73" s="233"/>
      <c r="DE73" s="44"/>
      <c r="DG73" s="233"/>
      <c r="DH73" s="44"/>
      <c r="DK73" s="234" t="s">
        <v>525</v>
      </c>
      <c r="DL73" s="233"/>
      <c r="DM73" s="44"/>
    </row>
    <row r="74" spans="3:127" ht="17.100000000000001" customHeight="1" x14ac:dyDescent="0.15">
      <c r="C74" s="231"/>
      <c r="D74" s="231"/>
      <c r="E74" s="231"/>
      <c r="F74" s="231"/>
      <c r="G74" s="231"/>
      <c r="H74" s="231"/>
      <c r="I74" s="231"/>
      <c r="J74" s="270"/>
      <c r="K74" s="270"/>
      <c r="L74" s="270"/>
      <c r="M74" s="270"/>
      <c r="N74" s="270"/>
      <c r="O74" s="270"/>
      <c r="P74" s="270"/>
      <c r="Q74" s="270"/>
      <c r="R74" s="270"/>
      <c r="S74" s="270"/>
      <c r="T74" s="270"/>
      <c r="U74" s="270"/>
      <c r="V74" s="270"/>
      <c r="W74" s="270"/>
      <c r="X74" s="270"/>
      <c r="Y74" s="270"/>
      <c r="Z74" s="270"/>
      <c r="AA74" s="270"/>
      <c r="AB74" s="270"/>
      <c r="AC74" s="270"/>
      <c r="AD74" s="270"/>
      <c r="AE74" s="270"/>
      <c r="AF74" s="270"/>
      <c r="AG74" s="270"/>
      <c r="AH74" s="270"/>
      <c r="AI74" s="270"/>
      <c r="AJ74" s="270"/>
      <c r="AK74" s="270"/>
      <c r="AL74" s="270"/>
      <c r="AM74" s="270"/>
      <c r="AN74" s="270"/>
      <c r="AO74" s="270"/>
      <c r="AP74" s="270"/>
      <c r="AQ74" s="270"/>
      <c r="AR74" s="270"/>
      <c r="AS74" s="270"/>
      <c r="AT74" s="270"/>
      <c r="AU74" s="270"/>
      <c r="AV74" s="270"/>
      <c r="AW74" s="270"/>
      <c r="AX74" s="270"/>
      <c r="AY74" s="270"/>
      <c r="AZ74" s="270"/>
      <c r="BA74" s="270"/>
      <c r="BB74" s="270"/>
      <c r="BC74" s="270"/>
      <c r="BD74" s="270"/>
      <c r="BE74" s="270"/>
      <c r="BF74" s="270"/>
      <c r="BG74" s="270"/>
      <c r="BH74" s="270"/>
      <c r="BI74" s="270"/>
      <c r="BJ74" s="270"/>
      <c r="BK74" s="270"/>
      <c r="BL74" s="270"/>
      <c r="BM74" s="270"/>
      <c r="BN74" s="270"/>
      <c r="BO74" s="270"/>
      <c r="BP74" s="270"/>
      <c r="BQ74" s="270"/>
      <c r="BR74" s="270"/>
      <c r="BS74" s="270"/>
      <c r="BT74" s="270"/>
      <c r="BU74" s="266"/>
      <c r="BV74" s="266"/>
      <c r="BW74" s="231"/>
      <c r="BX74" s="231"/>
      <c r="BY74" s="231"/>
      <c r="CC74" s="251"/>
      <c r="CD74" s="252"/>
      <c r="CE74" s="252"/>
      <c r="CF74" s="252"/>
      <c r="CG74" s="252"/>
      <c r="CH74" s="252"/>
      <c r="CI74" s="252"/>
      <c r="CJ74" s="252"/>
      <c r="CK74" s="252"/>
      <c r="CL74" s="2250" t="str">
        <f>IF(MISSIONS!BF36="",""," ("&amp;MISSIONS!BF36&amp;")")</f>
        <v/>
      </c>
      <c r="CM74" s="252"/>
      <c r="CN74" s="252"/>
      <c r="CO74" s="252"/>
      <c r="CP74" s="252"/>
      <c r="CQ74" s="252"/>
      <c r="CR74" s="252"/>
      <c r="CS74" s="253"/>
      <c r="CV74" s="251"/>
      <c r="CW74" s="252"/>
      <c r="CX74" s="252"/>
      <c r="CY74" s="252"/>
      <c r="CZ74" s="252"/>
      <c r="DA74" s="252"/>
      <c r="DB74" s="252"/>
      <c r="DC74" s="252"/>
      <c r="DD74" s="252"/>
      <c r="DE74" s="252"/>
      <c r="DF74" s="252"/>
      <c r="DG74" s="252"/>
      <c r="DH74" s="252"/>
      <c r="DI74" s="252"/>
      <c r="DJ74" s="252"/>
      <c r="DK74" s="254" t="s">
        <v>525</v>
      </c>
    </row>
    <row r="75" spans="3:127" ht="17.100000000000001" customHeight="1" x14ac:dyDescent="0.15">
      <c r="C75" s="231"/>
      <c r="D75" s="231"/>
      <c r="E75" s="231"/>
      <c r="F75" s="231"/>
      <c r="G75" s="243" t="s">
        <v>54</v>
      </c>
      <c r="H75" s="244"/>
      <c r="I75" s="231"/>
      <c r="J75" s="269">
        <f>$J$3</f>
        <v>7</v>
      </c>
      <c r="K75" s="264"/>
      <c r="L75" s="264"/>
      <c r="M75" s="264"/>
      <c r="N75" s="269">
        <f>$N$3</f>
        <v>8</v>
      </c>
      <c r="O75" s="264"/>
      <c r="P75" s="264"/>
      <c r="Q75" s="264"/>
      <c r="R75" s="269">
        <f>$R$3</f>
        <v>9</v>
      </c>
      <c r="S75" s="269"/>
      <c r="T75" s="269"/>
      <c r="U75" s="269"/>
      <c r="V75" s="269">
        <f>$V$3</f>
        <v>10</v>
      </c>
      <c r="W75" s="269"/>
      <c r="X75" s="269"/>
      <c r="Y75" s="269"/>
      <c r="Z75" s="269">
        <f>$Z$3</f>
        <v>11</v>
      </c>
      <c r="AA75" s="269"/>
      <c r="AB75" s="269"/>
      <c r="AC75" s="269"/>
      <c r="AD75" s="269">
        <f>$AD$3</f>
        <v>12</v>
      </c>
      <c r="AE75" s="269"/>
      <c r="AF75" s="269"/>
      <c r="AG75" s="269"/>
      <c r="AH75" s="269">
        <f>$AH$3</f>
        <v>13</v>
      </c>
      <c r="AI75" s="269"/>
      <c r="AJ75" s="269"/>
      <c r="AK75" s="269"/>
      <c r="AL75" s="269">
        <f>$AL$3</f>
        <v>14</v>
      </c>
      <c r="AM75" s="269"/>
      <c r="AN75" s="269"/>
      <c r="AO75" s="269"/>
      <c r="AP75" s="269">
        <f>$AP$3</f>
        <v>15</v>
      </c>
      <c r="AQ75" s="269"/>
      <c r="AR75" s="269"/>
      <c r="AS75" s="269"/>
      <c r="AT75" s="269">
        <f>$AT$3</f>
        <v>16</v>
      </c>
      <c r="AU75" s="269"/>
      <c r="AV75" s="269"/>
      <c r="AW75" s="269"/>
      <c r="AX75" s="269">
        <f>$AX$3</f>
        <v>17</v>
      </c>
      <c r="AY75" s="269"/>
      <c r="AZ75" s="269"/>
      <c r="BA75" s="269"/>
      <c r="BB75" s="269">
        <f>$BB$3</f>
        <v>18</v>
      </c>
      <c r="BC75" s="269"/>
      <c r="BD75" s="269"/>
      <c r="BE75" s="269"/>
      <c r="BF75" s="269">
        <f>$BF$3</f>
        <v>19</v>
      </c>
      <c r="BG75" s="269"/>
      <c r="BH75" s="269"/>
      <c r="BI75" s="269"/>
      <c r="BJ75" s="269">
        <f>$BJ$3</f>
        <v>20</v>
      </c>
      <c r="BK75" s="269"/>
      <c r="BL75" s="269"/>
      <c r="BM75" s="269"/>
      <c r="BN75" s="269">
        <f>$BN$3</f>
        <v>21</v>
      </c>
      <c r="BO75" s="269"/>
      <c r="BP75" s="269"/>
      <c r="BQ75" s="269"/>
      <c r="BR75" s="269">
        <f>$BR$3</f>
        <v>22</v>
      </c>
      <c r="BS75" s="264"/>
      <c r="BT75" s="264"/>
      <c r="BU75" s="264"/>
      <c r="BV75" s="265">
        <f>$BV$3</f>
        <v>23</v>
      </c>
      <c r="BW75" s="231"/>
      <c r="BX75" s="231"/>
      <c r="BY75" s="231"/>
      <c r="DT75" s="255" t="s">
        <v>525</v>
      </c>
    </row>
    <row r="76" spans="3:127" ht="17.100000000000001" customHeight="1" x14ac:dyDescent="0.15">
      <c r="C76" s="231"/>
      <c r="D76" s="231"/>
      <c r="E76" s="231"/>
      <c r="F76" s="231"/>
      <c r="G76" s="231"/>
      <c r="H76" s="231"/>
      <c r="I76" s="231"/>
      <c r="J76" s="231"/>
      <c r="K76" s="231"/>
      <c r="L76" s="231"/>
      <c r="M76" s="231"/>
      <c r="N76" s="231"/>
      <c r="O76" s="231"/>
      <c r="P76" s="231"/>
      <c r="Q76" s="231"/>
      <c r="R76" s="231"/>
      <c r="S76" s="231"/>
      <c r="T76" s="231"/>
      <c r="U76" s="231"/>
      <c r="V76" s="231"/>
      <c r="W76" s="231"/>
      <c r="X76" s="231"/>
      <c r="Y76" s="231"/>
      <c r="Z76" s="231"/>
      <c r="AA76" s="231"/>
      <c r="AB76" s="231"/>
      <c r="AC76" s="231"/>
      <c r="AD76" s="231"/>
      <c r="AE76" s="231"/>
      <c r="AF76" s="231"/>
      <c r="AG76" s="231"/>
      <c r="AH76" s="231"/>
      <c r="AI76" s="231"/>
      <c r="AJ76" s="231"/>
      <c r="AK76" s="231"/>
      <c r="AL76" s="231"/>
      <c r="AM76" s="231"/>
      <c r="AN76" s="231"/>
      <c r="AO76" s="231"/>
      <c r="AP76" s="231"/>
      <c r="AQ76" s="231"/>
      <c r="AR76" s="231"/>
      <c r="AS76" s="231"/>
      <c r="AT76" s="231"/>
      <c r="AU76" s="231"/>
      <c r="AV76" s="231"/>
      <c r="AW76" s="231"/>
      <c r="AX76" s="231"/>
      <c r="AY76" s="231"/>
      <c r="AZ76" s="231"/>
      <c r="BA76" s="231"/>
      <c r="BB76" s="231"/>
      <c r="BC76" s="231"/>
      <c r="BD76" s="231"/>
      <c r="BE76" s="231"/>
      <c r="BF76" s="231"/>
      <c r="BG76" s="231"/>
      <c r="BH76" s="231"/>
      <c r="BI76" s="231"/>
      <c r="BJ76" s="231"/>
      <c r="BK76" s="231"/>
      <c r="BL76" s="231"/>
      <c r="BM76" s="231"/>
      <c r="BN76" s="231"/>
      <c r="BO76" s="231"/>
      <c r="BP76" s="231"/>
      <c r="BQ76" s="231"/>
      <c r="BR76" s="231"/>
      <c r="BS76" s="231"/>
      <c r="BT76" s="231"/>
      <c r="BU76" s="231"/>
      <c r="BV76" s="231"/>
      <c r="BW76" s="231"/>
      <c r="BX76" s="231"/>
      <c r="BY76" s="231"/>
      <c r="CC76" s="227"/>
      <c r="CD76" s="228"/>
      <c r="CE76" s="228"/>
      <c r="CF76" s="228"/>
      <c r="CG76" s="228"/>
      <c r="CH76" s="228"/>
      <c r="CI76" s="228"/>
      <c r="CJ76" s="228"/>
      <c r="CK76" s="228"/>
      <c r="CL76" s="228"/>
      <c r="CM76" s="228"/>
      <c r="CN76" s="228"/>
      <c r="CO76" s="228"/>
      <c r="CP76" s="228"/>
      <c r="CQ76" s="228"/>
      <c r="CR76" s="228"/>
      <c r="CS76" s="228"/>
      <c r="CT76" s="228"/>
      <c r="CU76" s="228"/>
      <c r="CV76" s="228"/>
      <c r="CW76" s="228"/>
      <c r="CX76" s="228"/>
      <c r="CY76" s="228"/>
      <c r="CZ76" s="228"/>
      <c r="DA76" s="228"/>
      <c r="DB76" s="228"/>
      <c r="DC76" s="228"/>
      <c r="DD76" s="228"/>
      <c r="DE76" s="228"/>
      <c r="DF76" s="228"/>
      <c r="DG76" s="228"/>
      <c r="DH76" s="228"/>
      <c r="DI76" s="228"/>
      <c r="DJ76" s="228"/>
      <c r="DK76" s="228"/>
      <c r="DL76" s="228"/>
      <c r="DM76" s="228"/>
      <c r="DN76" s="228"/>
      <c r="DO76" s="228"/>
      <c r="DP76" s="228"/>
      <c r="DQ76" s="256"/>
    </row>
    <row r="77" spans="3:127" ht="17.100000000000001" customHeight="1" x14ac:dyDescent="0.15">
      <c r="CC77" s="232" t="s">
        <v>128</v>
      </c>
      <c r="CD77" s="44" t="str">
        <f>_xlfn.IFS(
ISBLANK(JOURNEY!G13),"",
JOURNEY!G15=JOURNEY!$CC$2,$DW$77,
TRUE, UPPER(JOURNEY!G13))</f>
        <v/>
      </c>
      <c r="CK77" s="233" t="s">
        <v>128</v>
      </c>
      <c r="CL77" s="44" t="str">
        <f>_xlfn.IFS(
ISBLANK(JOURNEY!P13),"",
JOURNEY!P15=JOURNEY!$CC$2,$DW$77,
TRUE, UPPER(JOURNEY!P13))</f>
        <v/>
      </c>
      <c r="CS77" s="233" t="s">
        <v>128</v>
      </c>
      <c r="CT77" s="44" t="str">
        <f>_xlfn.IFS(
ISBLANK(JOURNEY!BF13),"",
JOURNEY!BF15=JOURNEY!$CC$2,$DW$78,
TRUE, UPPER(JOURNEY!BF13))</f>
        <v/>
      </c>
      <c r="DA77" s="233" t="s">
        <v>128</v>
      </c>
      <c r="DB77" s="44" t="str">
        <f>_xlfn.IFS(
ISBLANK(JOURNEY!BO13),"",
JOURNEY!BO15=JOURNEY!$CC$2,$DW$78,
TRUE, UPPER(JOURNEY!BO13))</f>
        <v/>
      </c>
      <c r="DI77" s="233" t="s">
        <v>128</v>
      </c>
      <c r="DJ77" s="44" t="str">
        <f>_xlfn.IFS(
ISBLANK(JOURNEY!AB28),"",
JOURNEY!AQ28=100%,"100%",
TRUE, UPPER(JOURNEY!AB28)&amp;" "&amp;ROUND(JOURNEY!AQ28*100,0)&amp;"%")</f>
        <v/>
      </c>
      <c r="DQ77" s="234" t="s">
        <v>525</v>
      </c>
      <c r="DV77" s="374" t="s">
        <v>855</v>
      </c>
      <c r="DW77" s="225" t="s">
        <v>1124</v>
      </c>
    </row>
    <row r="78" spans="3:127" ht="17.100000000000001" customHeight="1" x14ac:dyDescent="0.15">
      <c r="AN78" s="34" t="s">
        <v>9</v>
      </c>
      <c r="CC78" s="247" t="s">
        <v>525</v>
      </c>
      <c r="CD78" s="44"/>
      <c r="CL78" s="44"/>
      <c r="DQ78" s="234" t="s">
        <v>525</v>
      </c>
      <c r="DV78" s="374" t="s">
        <v>856</v>
      </c>
      <c r="DW78" s="225" t="s">
        <v>1124</v>
      </c>
    </row>
    <row r="79" spans="3:127" ht="17.100000000000001" customHeight="1" x14ac:dyDescent="0.15">
      <c r="C79" s="28"/>
      <c r="D79" s="28"/>
      <c r="E79" s="28"/>
      <c r="F79" s="28"/>
      <c r="G79" s="28"/>
      <c r="H79" s="28"/>
      <c r="I79" s="28"/>
      <c r="J79" s="28"/>
      <c r="K79" s="28"/>
      <c r="L79" s="28"/>
      <c r="M79" s="28"/>
      <c r="N79" s="28"/>
      <c r="O79" s="28"/>
      <c r="P79" s="28"/>
      <c r="Q79" s="28"/>
      <c r="R79" s="28"/>
      <c r="S79" s="28"/>
      <c r="T79" s="28"/>
      <c r="U79" s="28"/>
      <c r="V79" s="28"/>
      <c r="W79" s="28"/>
      <c r="X79" s="28"/>
      <c r="Y79" s="28"/>
      <c r="Z79" s="28"/>
      <c r="AA79" s="28"/>
      <c r="AB79" s="28"/>
      <c r="AC79" s="28"/>
      <c r="AD79" s="28"/>
      <c r="AE79" s="28"/>
      <c r="AF79" s="28"/>
      <c r="AG79" s="28"/>
      <c r="AH79" s="28"/>
      <c r="AI79" s="28"/>
      <c r="AJ79" s="28"/>
      <c r="AK79" s="28"/>
      <c r="AL79" s="28"/>
      <c r="AM79" s="28"/>
      <c r="AN79" s="34" t="s">
        <v>9</v>
      </c>
      <c r="AO79" s="28"/>
      <c r="AP79" s="28"/>
      <c r="AQ79" s="28"/>
      <c r="AR79" s="28"/>
      <c r="AS79" s="28"/>
      <c r="AT79" s="28"/>
      <c r="AU79" s="28"/>
      <c r="AV79" s="28"/>
      <c r="AW79" s="28"/>
      <c r="AX79" s="28"/>
      <c r="AY79" s="28"/>
      <c r="AZ79" s="28"/>
      <c r="BA79" s="28"/>
      <c r="BB79" s="28"/>
      <c r="BC79" s="28"/>
      <c r="CC79" s="232" t="s">
        <v>128</v>
      </c>
      <c r="CD79" s="44" t="str">
        <f>_xlfn.IFS(
ISBLANK(JOURNEY!G19),"",
JOURNEY!G21=JOURNEY!$CC$2,$DW$77,
TRUE, UPPER(JOURNEY!G19))</f>
        <v/>
      </c>
      <c r="CK79" s="233" t="s">
        <v>128</v>
      </c>
      <c r="CL79" s="44" t="str">
        <f>_xlfn.IFS(
ISBLANK(JOURNEY!P19),"",
JOURNEY!P21=JOURNEY!$CC$2,$DW$77,
TRUE, UPPER(JOURNEY!P19))</f>
        <v/>
      </c>
      <c r="CS79" s="233" t="s">
        <v>128</v>
      </c>
      <c r="CT79" s="44" t="str">
        <f>_xlfn.IFS(
ISBLANK(JOURNEY!BF19),"",
JOURNEY!BF21=JOURNEY!$CC$2,$DW$78,
TRUE, UPPER(JOURNEY!BF19))</f>
        <v/>
      </c>
      <c r="DA79" s="233" t="s">
        <v>128</v>
      </c>
      <c r="DB79" s="44" t="str">
        <f>_xlfn.IFS(
ISBLANK(JOURNEY!BO19),"",
JOURNEY!BO21=JOURNEY!$CC$2,$DW$78,
TRUE, UPPER(JOURNEY!BO19))</f>
        <v/>
      </c>
      <c r="DI79" s="233" t="s">
        <v>128</v>
      </c>
      <c r="DJ79" s="44" t="str">
        <f>_xlfn.IFS(
ISBLANK(JOURNEY!AB30),"",
JOURNEY!AQ30=100%,"100%",
TRUE, UPPER(JOURNEY!AB30)&amp;" "&amp;ROUND(JOURNEY!AQ30*100,0)&amp;"%")</f>
        <v/>
      </c>
      <c r="DQ79" s="234" t="s">
        <v>525</v>
      </c>
    </row>
    <row r="80" spans="3:127" ht="17.100000000000001" customHeight="1" x14ac:dyDescent="0.15">
      <c r="C80" s="231"/>
      <c r="D80" s="231"/>
      <c r="E80" s="231"/>
      <c r="F80" s="231"/>
      <c r="G80" s="231"/>
      <c r="H80" s="231"/>
      <c r="I80" s="231"/>
      <c r="J80" s="231"/>
      <c r="K80" s="231"/>
      <c r="L80" s="231"/>
      <c r="M80" s="231"/>
      <c r="N80" s="231"/>
      <c r="O80" s="231"/>
      <c r="P80" s="231"/>
      <c r="Q80" s="231"/>
      <c r="R80" s="231"/>
      <c r="S80" s="231"/>
      <c r="T80" s="231"/>
      <c r="U80" s="231"/>
      <c r="V80" s="231"/>
      <c r="W80" s="231"/>
      <c r="X80" s="231"/>
      <c r="Y80" s="231"/>
      <c r="Z80" s="231"/>
      <c r="AA80" s="231"/>
      <c r="AB80" s="231"/>
      <c r="AC80" s="231"/>
      <c r="AD80" s="231"/>
      <c r="AE80" s="231"/>
      <c r="AF80" s="231"/>
      <c r="AG80" s="231"/>
      <c r="AH80" s="231"/>
      <c r="AI80" s="231"/>
      <c r="AJ80" s="231"/>
      <c r="AK80" s="231"/>
      <c r="AL80" s="231"/>
      <c r="AM80" s="231"/>
      <c r="AN80" s="231"/>
      <c r="AO80" s="231"/>
      <c r="AP80" s="231"/>
      <c r="AQ80" s="231"/>
      <c r="AR80" s="231"/>
      <c r="AS80" s="231"/>
      <c r="AT80" s="231"/>
      <c r="AU80" s="231"/>
      <c r="AV80" s="231"/>
      <c r="AW80" s="231"/>
      <c r="AX80" s="231"/>
      <c r="AY80" s="231"/>
      <c r="AZ80" s="231"/>
      <c r="BA80" s="231"/>
      <c r="BB80" s="231"/>
      <c r="BC80" s="231"/>
      <c r="BD80" s="231"/>
      <c r="BE80" s="231"/>
      <c r="BF80" s="231"/>
      <c r="BG80" s="231"/>
      <c r="BH80" s="231"/>
      <c r="BI80" s="231"/>
      <c r="BJ80" s="231"/>
      <c r="BK80" s="231"/>
      <c r="BL80" s="231"/>
      <c r="BM80" s="231"/>
      <c r="BN80" s="245"/>
      <c r="BO80" s="245"/>
      <c r="BP80" s="245"/>
      <c r="BQ80" s="245"/>
      <c r="BR80" s="245"/>
      <c r="BS80" s="245"/>
      <c r="BT80" s="245"/>
      <c r="BU80" s="245"/>
      <c r="BV80" s="245"/>
      <c r="BW80" s="245"/>
      <c r="BX80" s="231"/>
      <c r="BY80" s="231"/>
      <c r="CC80" s="247" t="s">
        <v>525</v>
      </c>
      <c r="CD80" s="44"/>
      <c r="CL80" s="44"/>
      <c r="DQ80" s="234" t="s">
        <v>525</v>
      </c>
    </row>
    <row r="81" spans="3:121" ht="17.100000000000001" customHeight="1" x14ac:dyDescent="0.15">
      <c r="C81" s="231"/>
      <c r="D81" s="243"/>
      <c r="E81" s="243"/>
      <c r="F81" s="243"/>
      <c r="G81" s="243"/>
      <c r="H81" s="243"/>
      <c r="I81" s="243"/>
      <c r="J81" s="3873" t="s">
        <v>2353</v>
      </c>
      <c r="K81" s="3874"/>
      <c r="L81" s="3874"/>
      <c r="M81" s="3874"/>
      <c r="N81" s="3874"/>
      <c r="O81" s="3874"/>
      <c r="P81" s="3874"/>
      <c r="Q81" s="3874"/>
      <c r="R81" s="3874"/>
      <c r="S81" s="3874"/>
      <c r="T81" s="3874"/>
      <c r="U81" s="3874"/>
      <c r="V81" s="3874"/>
      <c r="W81" s="3874"/>
      <c r="X81" s="3874"/>
      <c r="Y81" s="3874"/>
      <c r="Z81" s="3874"/>
      <c r="AA81" s="3874"/>
      <c r="AB81" s="3874"/>
      <c r="AC81" s="3874"/>
      <c r="AD81" s="3874"/>
      <c r="AE81" s="3874"/>
      <c r="AF81" s="3874"/>
      <c r="AG81" s="3874"/>
      <c r="AH81" s="3874"/>
      <c r="AI81" s="3874"/>
      <c r="AJ81" s="3874"/>
      <c r="AK81" s="3874"/>
      <c r="AL81" s="3874"/>
      <c r="AM81" s="3874"/>
      <c r="AN81" s="3874"/>
      <c r="AO81" s="3874"/>
      <c r="AP81" s="3874"/>
      <c r="AQ81" s="3874"/>
      <c r="AR81" s="3874"/>
      <c r="AS81" s="3874"/>
      <c r="AT81" s="3874"/>
      <c r="AU81" s="3874"/>
      <c r="AV81" s="3874"/>
      <c r="AW81" s="3874"/>
      <c r="AX81" s="3874"/>
      <c r="AY81" s="3874"/>
      <c r="AZ81" s="3874"/>
      <c r="BA81" s="3874"/>
      <c r="BB81" s="3874"/>
      <c r="BC81" s="3874"/>
      <c r="BD81" s="3874"/>
      <c r="BE81" s="3874"/>
      <c r="BF81" s="3874"/>
      <c r="BG81" s="3874"/>
      <c r="BH81" s="3874"/>
      <c r="BI81" s="3874"/>
      <c r="BJ81" s="3874"/>
      <c r="BK81" s="3874"/>
      <c r="BL81" s="3874"/>
      <c r="BM81" s="3874"/>
      <c r="BN81" s="3874"/>
      <c r="BO81" s="3874"/>
      <c r="BP81" s="3874"/>
      <c r="BQ81" s="3874"/>
      <c r="BR81" s="3874"/>
      <c r="BS81" s="3874"/>
      <c r="BT81" s="3874"/>
      <c r="BU81" s="3875"/>
      <c r="BV81" s="249"/>
      <c r="BW81" s="249"/>
      <c r="BX81" s="249"/>
      <c r="BY81" s="231"/>
      <c r="CC81" s="232" t="s">
        <v>128</v>
      </c>
      <c r="CD81" s="44" t="str">
        <f>_xlfn.IFS(
ISBLANK(JOURNEY!G25),"",
JOURNEY!G27=JOURNEY!$CC$2,$DW$77,
TRUE, UPPER(JOURNEY!G25))</f>
        <v/>
      </c>
      <c r="CK81" s="233" t="s">
        <v>128</v>
      </c>
      <c r="CL81" s="44" t="str">
        <f>_xlfn.IFS(
ISBLANK(JOURNEY!P25),"",
JOURNEY!P27=JOURNEY!$CC$2,$DW$77,
TRUE, UPPER(JOURNEY!P25))</f>
        <v/>
      </c>
      <c r="CS81" s="233" t="s">
        <v>128</v>
      </c>
      <c r="CT81" s="44" t="str">
        <f>_xlfn.IFS(
ISBLANK(JOURNEY!BF25),"",
JOURNEY!BF27=JOURNEY!$CC$2,$DW$78,
TRUE, UPPER(JOURNEY!BF25))</f>
        <v/>
      </c>
      <c r="DA81" s="233" t="s">
        <v>128</v>
      </c>
      <c r="DB81" s="44" t="str">
        <f>_xlfn.IFS(
ISBLANK(JOURNEY!BO25),"",
JOURNEY!BO27=JOURNEY!$CC$2,$DW$78,
TRUE, UPPER(JOURNEY!BO25))</f>
        <v/>
      </c>
      <c r="DI81" s="233" t="s">
        <v>128</v>
      </c>
      <c r="DJ81" s="44" t="str">
        <f>_xlfn.IFS(
ISBLANK(JOURNEY!AB32),"",
JOURNEY!AQ32=100%,"100%",
TRUE, UPPER(JOURNEY!AB32)&amp;" "&amp;ROUND(JOURNEY!AQ32*100,0)&amp;"%")</f>
        <v/>
      </c>
      <c r="DQ81" s="234" t="s">
        <v>525</v>
      </c>
    </row>
    <row r="82" spans="3:121" ht="17.100000000000001" customHeight="1" x14ac:dyDescent="0.15">
      <c r="C82" s="231"/>
      <c r="D82" s="231"/>
      <c r="E82" s="231"/>
      <c r="F82" s="231"/>
      <c r="G82" s="231"/>
      <c r="H82" s="231"/>
      <c r="I82" s="231"/>
      <c r="J82" s="231"/>
      <c r="K82" s="231"/>
      <c r="L82" s="231"/>
      <c r="M82" s="231"/>
      <c r="N82" s="231"/>
      <c r="O82" s="231"/>
      <c r="P82" s="231"/>
      <c r="Q82" s="231"/>
      <c r="R82" s="231"/>
      <c r="S82" s="250"/>
      <c r="T82" s="250"/>
      <c r="U82" s="250"/>
      <c r="V82" s="231"/>
      <c r="W82" s="250"/>
      <c r="X82" s="231"/>
      <c r="Y82" s="250"/>
      <c r="Z82" s="231"/>
      <c r="AA82" s="250"/>
      <c r="AB82" s="250"/>
      <c r="AC82" s="250"/>
      <c r="AD82" s="231"/>
      <c r="AE82" s="250"/>
      <c r="AF82" s="250"/>
      <c r="AG82" s="250"/>
      <c r="AH82" s="231"/>
      <c r="AI82" s="250"/>
      <c r="AJ82" s="231"/>
      <c r="AK82" s="250"/>
      <c r="AL82" s="231"/>
      <c r="AM82" s="250"/>
      <c r="AN82" s="250"/>
      <c r="AO82" s="231"/>
      <c r="AP82" s="231"/>
      <c r="AQ82" s="250"/>
      <c r="AR82" s="250"/>
      <c r="AS82" s="250"/>
      <c r="AT82" s="231"/>
      <c r="AU82" s="231"/>
      <c r="AV82" s="250"/>
      <c r="AW82" s="250"/>
      <c r="AX82" s="231"/>
      <c r="AY82" s="250"/>
      <c r="AZ82" s="250"/>
      <c r="BA82" s="231"/>
      <c r="BB82" s="231"/>
      <c r="BC82" s="250"/>
      <c r="BD82" s="250"/>
      <c r="BE82" s="250"/>
      <c r="BF82" s="231"/>
      <c r="BG82" s="231"/>
      <c r="BH82" s="250"/>
      <c r="BI82" s="250"/>
      <c r="BJ82" s="231"/>
      <c r="BK82" s="250"/>
      <c r="BL82" s="250"/>
      <c r="BM82" s="231"/>
      <c r="BN82" s="231"/>
      <c r="BO82" s="245"/>
      <c r="BP82" s="245"/>
      <c r="BQ82" s="245"/>
      <c r="BR82" s="231"/>
      <c r="BS82" s="245"/>
      <c r="BT82" s="245"/>
      <c r="BU82" s="245"/>
      <c r="BV82" s="245"/>
      <c r="BW82" s="245"/>
      <c r="BX82" s="245"/>
      <c r="BY82" s="231"/>
      <c r="CC82" s="232"/>
      <c r="CD82" s="44"/>
      <c r="CL82" s="44"/>
      <c r="DQ82" s="234" t="s">
        <v>525</v>
      </c>
    </row>
    <row r="83" spans="3:121" ht="17.100000000000001" customHeight="1" x14ac:dyDescent="0.15">
      <c r="C83" s="231"/>
      <c r="D83" s="2262" t="s">
        <v>803</v>
      </c>
      <c r="E83" s="2263"/>
      <c r="F83" s="231"/>
      <c r="G83" s="243" t="s">
        <v>48</v>
      </c>
      <c r="H83" s="244"/>
      <c r="I83" s="231"/>
      <c r="J83" s="269">
        <f>D85</f>
        <v>7</v>
      </c>
      <c r="K83" s="264"/>
      <c r="L83" s="264"/>
      <c r="M83" s="264"/>
      <c r="N83" s="269">
        <f>IF(J83=23,0,J83+1)</f>
        <v>8</v>
      </c>
      <c r="O83" s="264"/>
      <c r="P83" s="264"/>
      <c r="Q83" s="264"/>
      <c r="R83" s="269">
        <f>IF(N83=23,0,N83+1)</f>
        <v>9</v>
      </c>
      <c r="S83" s="269"/>
      <c r="T83" s="269"/>
      <c r="U83" s="269"/>
      <c r="V83" s="269">
        <f>IF(R83=23,0,R83+1)</f>
        <v>10</v>
      </c>
      <c r="W83" s="269"/>
      <c r="X83" s="269"/>
      <c r="Y83" s="269"/>
      <c r="Z83" s="269">
        <f>IF(V83=23,0,V83+1)</f>
        <v>11</v>
      </c>
      <c r="AA83" s="269"/>
      <c r="AB83" s="269"/>
      <c r="AC83" s="269"/>
      <c r="AD83" s="269">
        <f>IF(Z83=23,0,Z83+1)</f>
        <v>12</v>
      </c>
      <c r="AE83" s="269"/>
      <c r="AF83" s="269"/>
      <c r="AG83" s="269"/>
      <c r="AH83" s="269">
        <f>IF(AD83=23,0,AD83+1)</f>
        <v>13</v>
      </c>
      <c r="AI83" s="269"/>
      <c r="AJ83" s="269"/>
      <c r="AK83" s="269"/>
      <c r="AL83" s="269">
        <f>IF(AH83=23,0,AH83+1)</f>
        <v>14</v>
      </c>
      <c r="AM83" s="269"/>
      <c r="AN83" s="269"/>
      <c r="AO83" s="269"/>
      <c r="AP83" s="269">
        <f>IF(AL83=23,0,AL83+1)</f>
        <v>15</v>
      </c>
      <c r="AQ83" s="269"/>
      <c r="AR83" s="269"/>
      <c r="AS83" s="269"/>
      <c r="AT83" s="269">
        <f>IF(AP83=23,0,AP83+1)</f>
        <v>16</v>
      </c>
      <c r="AU83" s="269"/>
      <c r="AV83" s="269"/>
      <c r="AW83" s="269"/>
      <c r="AX83" s="269">
        <f>IF(AT83=23,0,AT83+1)</f>
        <v>17</v>
      </c>
      <c r="AY83" s="269"/>
      <c r="AZ83" s="269"/>
      <c r="BA83" s="269"/>
      <c r="BB83" s="269">
        <f>IF(AX83=23,0,AX83+1)</f>
        <v>18</v>
      </c>
      <c r="BC83" s="269"/>
      <c r="BD83" s="269"/>
      <c r="BE83" s="269"/>
      <c r="BF83" s="269">
        <f>IF(BB83=23,0,BB83+1)</f>
        <v>19</v>
      </c>
      <c r="BG83" s="269"/>
      <c r="BH83" s="269"/>
      <c r="BI83" s="269"/>
      <c r="BJ83" s="269">
        <f>IF(BF83=23,0,BF83+1)</f>
        <v>20</v>
      </c>
      <c r="BK83" s="269"/>
      <c r="BL83" s="269"/>
      <c r="BM83" s="269"/>
      <c r="BN83" s="269">
        <f>IF(BJ83=23,0,BJ83+1)</f>
        <v>21</v>
      </c>
      <c r="BO83" s="269"/>
      <c r="BP83" s="269"/>
      <c r="BQ83" s="269"/>
      <c r="BR83" s="269">
        <f>IF(BN83=23,0,BN83+1)</f>
        <v>22</v>
      </c>
      <c r="BS83" s="264"/>
      <c r="BT83" s="264"/>
      <c r="BU83" s="264"/>
      <c r="BV83" s="265">
        <f>IF(BR83=23,0,BR83+1)</f>
        <v>23</v>
      </c>
      <c r="BW83" s="245"/>
      <c r="BX83" s="245"/>
      <c r="BY83" s="231"/>
      <c r="CC83" s="232" t="s">
        <v>128</v>
      </c>
      <c r="CD83" s="44" t="str">
        <f>_xlfn.IFS(
ISBLANK(JOURNEY!G31),"",
JOURNEY!G33=JOURNEY!$CC$2,$DW$77,
TRUE, UPPER(JOURNEY!G31))</f>
        <v/>
      </c>
      <c r="CK83" s="233" t="s">
        <v>128</v>
      </c>
      <c r="CL83" s="44" t="str">
        <f>_xlfn.IFS(
ISBLANK(JOURNEY!P31),"",
JOURNEY!P33=JOURNEY!$CC$2,$DW$77,
TRUE, UPPER(JOURNEY!P31))</f>
        <v/>
      </c>
      <c r="CS83" s="233" t="s">
        <v>128</v>
      </c>
      <c r="CT83" s="44" t="str">
        <f>_xlfn.IFS(
ISBLANK(JOURNEY!BF31),"",
JOURNEY!BF33=JOURNEY!$CC$2,$DW$78,
TRUE, UPPER(JOURNEY!BF31))</f>
        <v/>
      </c>
      <c r="DA83" s="233" t="s">
        <v>128</v>
      </c>
      <c r="DB83" s="44" t="str">
        <f>_xlfn.IFS(
ISBLANK(JOURNEY!BO31),"",
JOURNEY!BO33=JOURNEY!$CC$2,$DW$78,
TRUE, UPPER(JOURNEY!BO31))</f>
        <v/>
      </c>
      <c r="DI83" s="233" t="s">
        <v>128</v>
      </c>
      <c r="DJ83" s="44" t="str">
        <f>_xlfn.IFS(
ISBLANK(JOURNEY!AB34),"",
JOURNEY!AQ34=100%,"100%",
TRUE, UPPER(JOURNEY!AB34)&amp;" "&amp;ROUND(JOURNEY!AQ34*100,0)&amp;"%")</f>
        <v/>
      </c>
      <c r="DQ83" s="234" t="s">
        <v>525</v>
      </c>
    </row>
    <row r="84" spans="3:121" ht="17.100000000000001" customHeight="1" x14ac:dyDescent="0.15">
      <c r="C84" s="231"/>
      <c r="D84" s="2262" t="s">
        <v>804</v>
      </c>
      <c r="E84" s="2263"/>
      <c r="F84" s="231"/>
      <c r="G84" s="231"/>
      <c r="H84" s="231"/>
      <c r="I84" s="231"/>
      <c r="J84" s="270"/>
      <c r="K84" s="270"/>
      <c r="L84" s="270"/>
      <c r="M84" s="270"/>
      <c r="N84" s="270"/>
      <c r="O84" s="270"/>
      <c r="P84" s="270"/>
      <c r="Q84" s="270"/>
      <c r="R84" s="270"/>
      <c r="S84" s="270"/>
      <c r="T84" s="270"/>
      <c r="U84" s="270"/>
      <c r="V84" s="270"/>
      <c r="W84" s="270"/>
      <c r="X84" s="270"/>
      <c r="Y84" s="270"/>
      <c r="Z84" s="270"/>
      <c r="AA84" s="270"/>
      <c r="AB84" s="270"/>
      <c r="AC84" s="270"/>
      <c r="AD84" s="270"/>
      <c r="AE84" s="270"/>
      <c r="AF84" s="270"/>
      <c r="AG84" s="270"/>
      <c r="AH84" s="270"/>
      <c r="AI84" s="270"/>
      <c r="AJ84" s="270"/>
      <c r="AK84" s="270"/>
      <c r="AL84" s="270"/>
      <c r="AM84" s="270"/>
      <c r="AN84" s="270"/>
      <c r="AO84" s="270"/>
      <c r="AP84" s="270"/>
      <c r="AQ84" s="270"/>
      <c r="AR84" s="270"/>
      <c r="AS84" s="270"/>
      <c r="AT84" s="270"/>
      <c r="AU84" s="270"/>
      <c r="AV84" s="270"/>
      <c r="AW84" s="270"/>
      <c r="AX84" s="270"/>
      <c r="AY84" s="270"/>
      <c r="AZ84" s="270"/>
      <c r="BA84" s="270"/>
      <c r="BB84" s="270"/>
      <c r="BC84" s="270"/>
      <c r="BD84" s="270"/>
      <c r="BE84" s="270"/>
      <c r="BF84" s="270"/>
      <c r="BG84" s="270"/>
      <c r="BH84" s="270"/>
      <c r="BI84" s="270"/>
      <c r="BJ84" s="270"/>
      <c r="BK84" s="270"/>
      <c r="BL84" s="270"/>
      <c r="BM84" s="270"/>
      <c r="BN84" s="270"/>
      <c r="BO84" s="270"/>
      <c r="BP84" s="270"/>
      <c r="BQ84" s="270"/>
      <c r="BR84" s="270"/>
      <c r="BS84" s="266"/>
      <c r="BT84" s="266"/>
      <c r="BU84" s="266"/>
      <c r="BV84" s="271"/>
      <c r="BW84" s="245"/>
      <c r="BX84" s="231"/>
      <c r="BY84" s="231"/>
      <c r="CC84" s="247" t="s">
        <v>525</v>
      </c>
      <c r="CD84" s="44"/>
      <c r="DI84" s="233"/>
      <c r="DJ84" s="44"/>
      <c r="DM84" s="255" t="s">
        <v>525</v>
      </c>
      <c r="DQ84" s="234" t="s">
        <v>525</v>
      </c>
    </row>
    <row r="85" spans="3:121" ht="17.100000000000001" customHeight="1" x14ac:dyDescent="0.15">
      <c r="C85" s="231"/>
      <c r="D85" s="3871">
        <v>7</v>
      </c>
      <c r="E85" s="3872"/>
      <c r="F85" s="231"/>
      <c r="G85" s="243" t="s">
        <v>49</v>
      </c>
      <c r="H85" s="244"/>
      <c r="I85" s="231"/>
      <c r="J85" s="269">
        <f>D85</f>
        <v>7</v>
      </c>
      <c r="K85" s="264"/>
      <c r="L85" s="264"/>
      <c r="M85" s="264"/>
      <c r="N85" s="269">
        <f>IF(J85=23,0,J85+1)</f>
        <v>8</v>
      </c>
      <c r="O85" s="264"/>
      <c r="P85" s="264"/>
      <c r="Q85" s="264"/>
      <c r="R85" s="269">
        <f>IF(N85=23,0,N85+1)</f>
        <v>9</v>
      </c>
      <c r="S85" s="269"/>
      <c r="T85" s="269"/>
      <c r="U85" s="269"/>
      <c r="V85" s="269">
        <f>IF(R85=23,0,R85+1)</f>
        <v>10</v>
      </c>
      <c r="W85" s="269"/>
      <c r="X85" s="269"/>
      <c r="Y85" s="269"/>
      <c r="Z85" s="269">
        <f>IF(V85=23,0,V85+1)</f>
        <v>11</v>
      </c>
      <c r="AA85" s="269"/>
      <c r="AB85" s="269"/>
      <c r="AC85" s="269"/>
      <c r="AD85" s="269">
        <f>IF(Z85=23,0,Z85+1)</f>
        <v>12</v>
      </c>
      <c r="AE85" s="269"/>
      <c r="AF85" s="269"/>
      <c r="AG85" s="269"/>
      <c r="AH85" s="269">
        <f>IF(AD85=23,0,AD85+1)</f>
        <v>13</v>
      </c>
      <c r="AI85" s="269"/>
      <c r="AJ85" s="269"/>
      <c r="AK85" s="269"/>
      <c r="AL85" s="269">
        <f>IF(AH85=23,0,AH85+1)</f>
        <v>14</v>
      </c>
      <c r="AM85" s="269"/>
      <c r="AN85" s="269"/>
      <c r="AO85" s="269"/>
      <c r="AP85" s="269">
        <f>IF(AL85=23,0,AL85+1)</f>
        <v>15</v>
      </c>
      <c r="AQ85" s="269"/>
      <c r="AR85" s="269"/>
      <c r="AS85" s="269"/>
      <c r="AT85" s="269">
        <f>IF(AP85=23,0,AP85+1)</f>
        <v>16</v>
      </c>
      <c r="AU85" s="269"/>
      <c r="AV85" s="269"/>
      <c r="AW85" s="269"/>
      <c r="AX85" s="269">
        <f>IF(AT85=23,0,AT85+1)</f>
        <v>17</v>
      </c>
      <c r="AY85" s="269"/>
      <c r="AZ85" s="269"/>
      <c r="BA85" s="269"/>
      <c r="BB85" s="269">
        <f>IF(AX85=23,0,AX85+1)</f>
        <v>18</v>
      </c>
      <c r="BC85" s="269"/>
      <c r="BD85" s="269"/>
      <c r="BE85" s="269"/>
      <c r="BF85" s="269">
        <f>IF(BB85=23,0,BB85+1)</f>
        <v>19</v>
      </c>
      <c r="BG85" s="269"/>
      <c r="BH85" s="269"/>
      <c r="BI85" s="269"/>
      <c r="BJ85" s="269">
        <f>IF(BF85=23,0,BF85+1)</f>
        <v>20</v>
      </c>
      <c r="BK85" s="269"/>
      <c r="BL85" s="269"/>
      <c r="BM85" s="269"/>
      <c r="BN85" s="269">
        <f>IF(BJ85=23,0,BJ85+1)</f>
        <v>21</v>
      </c>
      <c r="BO85" s="269"/>
      <c r="BP85" s="269"/>
      <c r="BQ85" s="269"/>
      <c r="BR85" s="269">
        <f>IF(BN85=23,0,BN85+1)</f>
        <v>22</v>
      </c>
      <c r="BS85" s="264"/>
      <c r="BT85" s="264"/>
      <c r="BU85" s="264"/>
      <c r="BV85" s="265">
        <f>IF(BR85=23,0,BR85+1)</f>
        <v>23</v>
      </c>
      <c r="BW85" s="245"/>
      <c r="BX85" s="231"/>
      <c r="BY85" s="231"/>
      <c r="CC85" s="232"/>
      <c r="DI85" s="233" t="s">
        <v>128</v>
      </c>
      <c r="DJ85" s="44" t="str">
        <f>_xlfn.IFS(
ISBLANK(JOURNEY!AB44),"",
JOURNEY!AQ44=100%,"100%",
TRUE, UPPER(JOURNEY!AB44)&amp;" "&amp;ROUND(JOURNEY!AQ44*100,0)&amp;"%")</f>
        <v/>
      </c>
      <c r="DM85" s="255"/>
      <c r="DQ85" s="234" t="s">
        <v>525</v>
      </c>
    </row>
    <row r="86" spans="3:121" ht="17.100000000000001" customHeight="1" x14ac:dyDescent="0.15">
      <c r="C86" s="231"/>
      <c r="D86" s="231"/>
      <c r="E86" s="231"/>
      <c r="F86" s="231"/>
      <c r="G86" s="231"/>
      <c r="H86" s="231"/>
      <c r="I86" s="231"/>
      <c r="J86" s="270"/>
      <c r="K86" s="270"/>
      <c r="L86" s="270"/>
      <c r="M86" s="270"/>
      <c r="N86" s="270"/>
      <c r="O86" s="270"/>
      <c r="P86" s="270"/>
      <c r="Q86" s="270"/>
      <c r="R86" s="270"/>
      <c r="S86" s="270"/>
      <c r="T86" s="270"/>
      <c r="U86" s="270"/>
      <c r="V86" s="270"/>
      <c r="W86" s="270"/>
      <c r="X86" s="270"/>
      <c r="Y86" s="270"/>
      <c r="Z86" s="270"/>
      <c r="AA86" s="270"/>
      <c r="AB86" s="270"/>
      <c r="AC86" s="270"/>
      <c r="AD86" s="270"/>
      <c r="AE86" s="270"/>
      <c r="AF86" s="270"/>
      <c r="AG86" s="270"/>
      <c r="AH86" s="270"/>
      <c r="AI86" s="270"/>
      <c r="AJ86" s="270"/>
      <c r="AK86" s="270"/>
      <c r="AL86" s="270"/>
      <c r="AM86" s="270"/>
      <c r="AN86" s="270"/>
      <c r="AO86" s="270"/>
      <c r="AP86" s="270"/>
      <c r="AQ86" s="270"/>
      <c r="AR86" s="270"/>
      <c r="AS86" s="270"/>
      <c r="AT86" s="270"/>
      <c r="AU86" s="270"/>
      <c r="AV86" s="270"/>
      <c r="AW86" s="270"/>
      <c r="AX86" s="270"/>
      <c r="AY86" s="270"/>
      <c r="AZ86" s="270"/>
      <c r="BA86" s="270"/>
      <c r="BB86" s="270"/>
      <c r="BC86" s="270"/>
      <c r="BD86" s="270"/>
      <c r="BE86" s="270"/>
      <c r="BF86" s="270"/>
      <c r="BG86" s="270"/>
      <c r="BH86" s="270"/>
      <c r="BI86" s="270"/>
      <c r="BJ86" s="270"/>
      <c r="BK86" s="270"/>
      <c r="BL86" s="270"/>
      <c r="BM86" s="270"/>
      <c r="BN86" s="270"/>
      <c r="BO86" s="270"/>
      <c r="BP86" s="270"/>
      <c r="BQ86" s="270"/>
      <c r="BR86" s="270"/>
      <c r="BS86" s="266"/>
      <c r="BT86" s="266"/>
      <c r="BU86" s="266"/>
      <c r="BV86" s="271"/>
      <c r="BW86" s="245"/>
      <c r="BX86" s="231"/>
      <c r="BY86" s="231"/>
      <c r="CC86" s="232"/>
      <c r="DM86" s="255"/>
      <c r="DQ86" s="234" t="s">
        <v>525</v>
      </c>
    </row>
    <row r="87" spans="3:121" ht="17.100000000000001" customHeight="1" x14ac:dyDescent="0.15">
      <c r="C87" s="231"/>
      <c r="D87" s="231"/>
      <c r="E87" s="231"/>
      <c r="F87" s="231"/>
      <c r="G87" s="243" t="s">
        <v>50</v>
      </c>
      <c r="H87" s="244"/>
      <c r="I87" s="231"/>
      <c r="J87" s="269">
        <f>D85</f>
        <v>7</v>
      </c>
      <c r="K87" s="264"/>
      <c r="L87" s="264"/>
      <c r="M87" s="264"/>
      <c r="N87" s="269">
        <f>IF(J87=23,0,J87+1)</f>
        <v>8</v>
      </c>
      <c r="O87" s="264"/>
      <c r="P87" s="264"/>
      <c r="Q87" s="264"/>
      <c r="R87" s="269">
        <f>IF(N87=23,0,N87+1)</f>
        <v>9</v>
      </c>
      <c r="S87" s="269"/>
      <c r="T87" s="269"/>
      <c r="U87" s="269"/>
      <c r="V87" s="269">
        <f>IF(R87=23,0,R87+1)</f>
        <v>10</v>
      </c>
      <c r="W87" s="269"/>
      <c r="X87" s="269"/>
      <c r="Y87" s="269"/>
      <c r="Z87" s="269">
        <f>IF(V87=23,0,V87+1)</f>
        <v>11</v>
      </c>
      <c r="AA87" s="269"/>
      <c r="AB87" s="269"/>
      <c r="AC87" s="269"/>
      <c r="AD87" s="269">
        <f>IF(Z87=23,0,Z87+1)</f>
        <v>12</v>
      </c>
      <c r="AE87" s="269"/>
      <c r="AF87" s="269"/>
      <c r="AG87" s="269"/>
      <c r="AH87" s="269">
        <f>IF(AD87=23,0,AD87+1)</f>
        <v>13</v>
      </c>
      <c r="AI87" s="269"/>
      <c r="AJ87" s="269"/>
      <c r="AK87" s="269"/>
      <c r="AL87" s="269">
        <f>IF(AH87=23,0,AH87+1)</f>
        <v>14</v>
      </c>
      <c r="AM87" s="269"/>
      <c r="AN87" s="269"/>
      <c r="AO87" s="269"/>
      <c r="AP87" s="269">
        <f>IF(AL87=23,0,AL87+1)</f>
        <v>15</v>
      </c>
      <c r="AQ87" s="269"/>
      <c r="AR87" s="269"/>
      <c r="AS87" s="269"/>
      <c r="AT87" s="269">
        <f>IF(AP87=23,0,AP87+1)</f>
        <v>16</v>
      </c>
      <c r="AU87" s="269"/>
      <c r="AV87" s="269"/>
      <c r="AW87" s="269"/>
      <c r="AX87" s="269">
        <f>IF(AT87=23,0,AT87+1)</f>
        <v>17</v>
      </c>
      <c r="AY87" s="269"/>
      <c r="AZ87" s="269"/>
      <c r="BA87" s="269"/>
      <c r="BB87" s="269">
        <f>IF(AX87=23,0,AX87+1)</f>
        <v>18</v>
      </c>
      <c r="BC87" s="269"/>
      <c r="BD87" s="269"/>
      <c r="BE87" s="269"/>
      <c r="BF87" s="269">
        <f>IF(BB87=23,0,BB87+1)</f>
        <v>19</v>
      </c>
      <c r="BG87" s="269"/>
      <c r="BH87" s="269"/>
      <c r="BI87" s="269"/>
      <c r="BJ87" s="269">
        <f>IF(BF87=23,0,BF87+1)</f>
        <v>20</v>
      </c>
      <c r="BK87" s="269"/>
      <c r="BL87" s="269"/>
      <c r="BM87" s="269"/>
      <c r="BN87" s="269">
        <f>IF(BJ87=23,0,BJ87+1)</f>
        <v>21</v>
      </c>
      <c r="BO87" s="269"/>
      <c r="BP87" s="269"/>
      <c r="BQ87" s="269"/>
      <c r="BR87" s="269">
        <f>IF(BN87=23,0,BN87+1)</f>
        <v>22</v>
      </c>
      <c r="BS87" s="264"/>
      <c r="BT87" s="264"/>
      <c r="BU87" s="264"/>
      <c r="BV87" s="265">
        <f>IF(BR87=23,0,BR87+1)</f>
        <v>23</v>
      </c>
      <c r="BW87" s="245"/>
      <c r="BX87" s="231"/>
      <c r="BY87" s="231"/>
      <c r="CC87" s="232"/>
      <c r="DI87" s="233" t="s">
        <v>128</v>
      </c>
      <c r="DJ87" s="44" t="str">
        <f>_xlfn.IFS(
ISBLANK(JOURNEY!AB46),"",
JOURNEY!AQ46=100%,"100%",
TRUE, UPPER(JOURNEY!AB46)&amp;" "&amp;ROUND(JOURNEY!AQ46*100,0)&amp;"%")</f>
        <v/>
      </c>
      <c r="DM87" s="233"/>
      <c r="DQ87" s="234" t="s">
        <v>525</v>
      </c>
    </row>
    <row r="88" spans="3:121" ht="17.100000000000001" customHeight="1" x14ac:dyDescent="0.15">
      <c r="C88" s="231"/>
      <c r="D88" s="231"/>
      <c r="E88" s="231"/>
      <c r="F88" s="231"/>
      <c r="G88" s="231"/>
      <c r="H88" s="231"/>
      <c r="I88" s="231"/>
      <c r="J88" s="270"/>
      <c r="K88" s="270"/>
      <c r="L88" s="270"/>
      <c r="M88" s="270"/>
      <c r="N88" s="270"/>
      <c r="O88" s="270"/>
      <c r="P88" s="270"/>
      <c r="Q88" s="270"/>
      <c r="R88" s="270"/>
      <c r="S88" s="270"/>
      <c r="T88" s="270"/>
      <c r="U88" s="270"/>
      <c r="V88" s="270"/>
      <c r="W88" s="270"/>
      <c r="X88" s="270"/>
      <c r="Y88" s="270"/>
      <c r="Z88" s="270"/>
      <c r="AA88" s="270"/>
      <c r="AB88" s="270"/>
      <c r="AC88" s="270"/>
      <c r="AD88" s="270"/>
      <c r="AE88" s="270"/>
      <c r="AF88" s="270"/>
      <c r="AG88" s="270"/>
      <c r="AH88" s="270"/>
      <c r="AI88" s="270"/>
      <c r="AJ88" s="270"/>
      <c r="AK88" s="270"/>
      <c r="AL88" s="270"/>
      <c r="AM88" s="270"/>
      <c r="AN88" s="270"/>
      <c r="AO88" s="270"/>
      <c r="AP88" s="270"/>
      <c r="AQ88" s="270"/>
      <c r="AR88" s="270"/>
      <c r="AS88" s="270"/>
      <c r="AT88" s="270"/>
      <c r="AU88" s="270"/>
      <c r="AV88" s="270"/>
      <c r="AW88" s="270"/>
      <c r="AX88" s="270"/>
      <c r="AY88" s="270"/>
      <c r="AZ88" s="270"/>
      <c r="BA88" s="270"/>
      <c r="BB88" s="270"/>
      <c r="BC88" s="270"/>
      <c r="BD88" s="270"/>
      <c r="BE88" s="270"/>
      <c r="BF88" s="270"/>
      <c r="BG88" s="270"/>
      <c r="BH88" s="270"/>
      <c r="BI88" s="270"/>
      <c r="BJ88" s="270"/>
      <c r="BK88" s="270"/>
      <c r="BL88" s="270"/>
      <c r="BM88" s="270"/>
      <c r="BN88" s="270"/>
      <c r="BO88" s="270"/>
      <c r="BP88" s="270"/>
      <c r="BQ88" s="270"/>
      <c r="BR88" s="270"/>
      <c r="BS88" s="266"/>
      <c r="BT88" s="266"/>
      <c r="BU88" s="266"/>
      <c r="BV88" s="272"/>
      <c r="BW88" s="231"/>
      <c r="BX88" s="231"/>
      <c r="BY88" s="231"/>
      <c r="CC88" s="232"/>
      <c r="DM88" s="255"/>
      <c r="DQ88" s="234" t="s">
        <v>525</v>
      </c>
    </row>
    <row r="89" spans="3:121" ht="17.100000000000001" customHeight="1" x14ac:dyDescent="0.15">
      <c r="C89" s="231"/>
      <c r="D89" s="231"/>
      <c r="E89" s="231"/>
      <c r="F89" s="231"/>
      <c r="G89" s="243" t="s">
        <v>51</v>
      </c>
      <c r="H89" s="244"/>
      <c r="I89" s="231"/>
      <c r="J89" s="269">
        <f>D85</f>
        <v>7</v>
      </c>
      <c r="K89" s="264"/>
      <c r="L89" s="264"/>
      <c r="M89" s="264"/>
      <c r="N89" s="269">
        <f>IF(J89=23,0,J89+1)</f>
        <v>8</v>
      </c>
      <c r="O89" s="264"/>
      <c r="P89" s="264"/>
      <c r="Q89" s="264"/>
      <c r="R89" s="269">
        <f>IF(N89=23,0,N89+1)</f>
        <v>9</v>
      </c>
      <c r="S89" s="269"/>
      <c r="T89" s="269"/>
      <c r="U89" s="269"/>
      <c r="V89" s="269">
        <f>IF(R89=23,0,R89+1)</f>
        <v>10</v>
      </c>
      <c r="W89" s="269"/>
      <c r="X89" s="269"/>
      <c r="Y89" s="269"/>
      <c r="Z89" s="269">
        <f>IF(V89=23,0,V89+1)</f>
        <v>11</v>
      </c>
      <c r="AA89" s="269"/>
      <c r="AB89" s="269"/>
      <c r="AC89" s="269"/>
      <c r="AD89" s="269">
        <f>IF(Z89=23,0,Z89+1)</f>
        <v>12</v>
      </c>
      <c r="AE89" s="269"/>
      <c r="AF89" s="269"/>
      <c r="AG89" s="269"/>
      <c r="AH89" s="269">
        <f>IF(AD89=23,0,AD89+1)</f>
        <v>13</v>
      </c>
      <c r="AI89" s="269"/>
      <c r="AJ89" s="269"/>
      <c r="AK89" s="269"/>
      <c r="AL89" s="269">
        <f>IF(AH89=23,0,AH89+1)</f>
        <v>14</v>
      </c>
      <c r="AM89" s="269"/>
      <c r="AN89" s="269"/>
      <c r="AO89" s="269"/>
      <c r="AP89" s="269">
        <f>IF(AL89=23,0,AL89+1)</f>
        <v>15</v>
      </c>
      <c r="AQ89" s="269"/>
      <c r="AR89" s="269"/>
      <c r="AS89" s="269"/>
      <c r="AT89" s="269">
        <f>IF(AP89=23,0,AP89+1)</f>
        <v>16</v>
      </c>
      <c r="AU89" s="269"/>
      <c r="AV89" s="269"/>
      <c r="AW89" s="269"/>
      <c r="AX89" s="269">
        <f>IF(AT89=23,0,AT89+1)</f>
        <v>17</v>
      </c>
      <c r="AY89" s="269"/>
      <c r="AZ89" s="269"/>
      <c r="BA89" s="269"/>
      <c r="BB89" s="269">
        <f>IF(AX89=23,0,AX89+1)</f>
        <v>18</v>
      </c>
      <c r="BC89" s="269"/>
      <c r="BD89" s="269"/>
      <c r="BE89" s="269"/>
      <c r="BF89" s="269">
        <f>IF(BB89=23,0,BB89+1)</f>
        <v>19</v>
      </c>
      <c r="BG89" s="269"/>
      <c r="BH89" s="269"/>
      <c r="BI89" s="269"/>
      <c r="BJ89" s="269">
        <f>IF(BF89=23,0,BF89+1)</f>
        <v>20</v>
      </c>
      <c r="BK89" s="269"/>
      <c r="BL89" s="269"/>
      <c r="BM89" s="269"/>
      <c r="BN89" s="269">
        <f>IF(BJ89=23,0,BJ89+1)</f>
        <v>21</v>
      </c>
      <c r="BO89" s="269"/>
      <c r="BP89" s="269"/>
      <c r="BQ89" s="269"/>
      <c r="BR89" s="269">
        <f>IF(BN89=23,0,BN89+1)</f>
        <v>22</v>
      </c>
      <c r="BS89" s="264"/>
      <c r="BT89" s="264"/>
      <c r="BU89" s="264"/>
      <c r="BV89" s="265">
        <f>IF(BR89=23,0,BR89+1)</f>
        <v>23</v>
      </c>
      <c r="BW89" s="231"/>
      <c r="BX89" s="231"/>
      <c r="BY89" s="231"/>
      <c r="CC89" s="232"/>
      <c r="DI89" s="233" t="s">
        <v>128</v>
      </c>
      <c r="DJ89" s="44" t="str">
        <f>_xlfn.IFS(
ISBLANK(JOURNEY!AB48),"",
JOURNEY!AQ48=100%,"100%",
TRUE, UPPER(JOURNEY!AB48)&amp;" "&amp;ROUND(JOURNEY!AQ48*100,0)&amp;"%")</f>
        <v/>
      </c>
      <c r="DM89" s="255"/>
      <c r="DQ89" s="234" t="s">
        <v>525</v>
      </c>
    </row>
    <row r="90" spans="3:121" ht="17.100000000000001" customHeight="1" x14ac:dyDescent="0.15">
      <c r="C90" s="231"/>
      <c r="D90" s="231"/>
      <c r="E90" s="231"/>
      <c r="F90" s="231"/>
      <c r="G90" s="231"/>
      <c r="H90" s="231"/>
      <c r="I90" s="231"/>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270"/>
      <c r="BG90" s="270"/>
      <c r="BH90" s="270"/>
      <c r="BI90" s="270"/>
      <c r="BJ90" s="270"/>
      <c r="BK90" s="270"/>
      <c r="BL90" s="270"/>
      <c r="BM90" s="270"/>
      <c r="BN90" s="270"/>
      <c r="BO90" s="270"/>
      <c r="BP90" s="270"/>
      <c r="BQ90" s="270"/>
      <c r="BR90" s="270"/>
      <c r="BS90" s="266"/>
      <c r="BT90" s="266"/>
      <c r="BU90" s="266"/>
      <c r="BV90" s="272"/>
      <c r="BW90" s="231"/>
      <c r="BX90" s="231"/>
      <c r="BY90" s="231"/>
      <c r="CC90" s="232"/>
      <c r="DM90" s="255"/>
      <c r="DQ90" s="234" t="s">
        <v>525</v>
      </c>
    </row>
    <row r="91" spans="3:121" ht="17.100000000000001" customHeight="1" x14ac:dyDescent="0.15">
      <c r="C91" s="231"/>
      <c r="D91" s="231"/>
      <c r="E91" s="231"/>
      <c r="F91" s="231"/>
      <c r="G91" s="243" t="s">
        <v>52</v>
      </c>
      <c r="H91" s="244"/>
      <c r="I91" s="231"/>
      <c r="J91" s="269">
        <f>D85</f>
        <v>7</v>
      </c>
      <c r="K91" s="264"/>
      <c r="L91" s="264"/>
      <c r="M91" s="264"/>
      <c r="N91" s="269">
        <f>IF(J91=23,0,J91+1)</f>
        <v>8</v>
      </c>
      <c r="O91" s="264"/>
      <c r="P91" s="264"/>
      <c r="Q91" s="264"/>
      <c r="R91" s="269">
        <f>IF(N91=23,0,N91+1)</f>
        <v>9</v>
      </c>
      <c r="S91" s="269"/>
      <c r="T91" s="269"/>
      <c r="U91" s="269"/>
      <c r="V91" s="269">
        <f>IF(R91=23,0,R91+1)</f>
        <v>10</v>
      </c>
      <c r="W91" s="269"/>
      <c r="X91" s="269"/>
      <c r="Y91" s="269"/>
      <c r="Z91" s="269">
        <f>IF(V91=23,0,V91+1)</f>
        <v>11</v>
      </c>
      <c r="AA91" s="269"/>
      <c r="AB91" s="269"/>
      <c r="AC91" s="269"/>
      <c r="AD91" s="269">
        <f>IF(Z91=23,0,Z91+1)</f>
        <v>12</v>
      </c>
      <c r="AE91" s="269"/>
      <c r="AF91" s="269"/>
      <c r="AG91" s="269"/>
      <c r="AH91" s="269">
        <f>IF(AD91=23,0,AD91+1)</f>
        <v>13</v>
      </c>
      <c r="AI91" s="269"/>
      <c r="AJ91" s="269"/>
      <c r="AK91" s="269"/>
      <c r="AL91" s="269">
        <f>IF(AH91=23,0,AH91+1)</f>
        <v>14</v>
      </c>
      <c r="AM91" s="269"/>
      <c r="AN91" s="269"/>
      <c r="AO91" s="269"/>
      <c r="AP91" s="269">
        <f>IF(AL91=23,0,AL91+1)</f>
        <v>15</v>
      </c>
      <c r="AQ91" s="269"/>
      <c r="AR91" s="269"/>
      <c r="AS91" s="269"/>
      <c r="AT91" s="269">
        <f>IF(AP91=23,0,AP91+1)</f>
        <v>16</v>
      </c>
      <c r="AU91" s="269"/>
      <c r="AV91" s="269"/>
      <c r="AW91" s="269"/>
      <c r="AX91" s="269">
        <f>IF(AT91=23,0,AT91+1)</f>
        <v>17</v>
      </c>
      <c r="AY91" s="269"/>
      <c r="AZ91" s="269"/>
      <c r="BA91" s="269"/>
      <c r="BB91" s="269">
        <f>IF(AX91=23,0,AX91+1)</f>
        <v>18</v>
      </c>
      <c r="BC91" s="269"/>
      <c r="BD91" s="269"/>
      <c r="BE91" s="269"/>
      <c r="BF91" s="269">
        <f>IF(BB91=23,0,BB91+1)</f>
        <v>19</v>
      </c>
      <c r="BG91" s="269"/>
      <c r="BH91" s="269"/>
      <c r="BI91" s="269"/>
      <c r="BJ91" s="269">
        <f>IF(BF91=23,0,BF91+1)</f>
        <v>20</v>
      </c>
      <c r="BK91" s="269"/>
      <c r="BL91" s="269"/>
      <c r="BM91" s="269"/>
      <c r="BN91" s="269">
        <f>IF(BJ91=23,0,BJ91+1)</f>
        <v>21</v>
      </c>
      <c r="BO91" s="269"/>
      <c r="BP91" s="269"/>
      <c r="BQ91" s="269"/>
      <c r="BR91" s="269">
        <f>IF(BN91=23,0,BN91+1)</f>
        <v>22</v>
      </c>
      <c r="BS91" s="264"/>
      <c r="BT91" s="264"/>
      <c r="BU91" s="264"/>
      <c r="BV91" s="265">
        <f>IF(BR91=23,0,BR91+1)</f>
        <v>23</v>
      </c>
      <c r="BW91" s="231"/>
      <c r="BX91" s="231"/>
      <c r="BY91" s="231"/>
      <c r="CC91" s="232"/>
      <c r="DI91" s="233" t="s">
        <v>128</v>
      </c>
      <c r="DJ91" s="44" t="str">
        <f>_xlfn.IFS(
ISBLANK(JOURNEY!AB50),"",
JOURNEY!AQ50=100%,"100%",
TRUE, UPPER(JOURNEY!AB50)&amp;" "&amp;ROUND(JOURNEY!AQ50*100,0)&amp;"%")</f>
        <v/>
      </c>
      <c r="DM91" s="255"/>
      <c r="DQ91" s="234" t="s">
        <v>525</v>
      </c>
    </row>
    <row r="92" spans="3:121" ht="17.100000000000001" customHeight="1" x14ac:dyDescent="0.15">
      <c r="C92" s="231"/>
      <c r="D92" s="231"/>
      <c r="E92" s="231"/>
      <c r="F92" s="231"/>
      <c r="G92" s="231"/>
      <c r="H92" s="231"/>
      <c r="I92" s="231"/>
      <c r="J92" s="270"/>
      <c r="K92" s="270"/>
      <c r="L92" s="270"/>
      <c r="M92" s="270"/>
      <c r="N92" s="270"/>
      <c r="O92" s="270"/>
      <c r="P92" s="270"/>
      <c r="Q92" s="270"/>
      <c r="R92" s="270"/>
      <c r="S92" s="270"/>
      <c r="T92" s="270"/>
      <c r="U92" s="270"/>
      <c r="V92" s="270"/>
      <c r="W92" s="270"/>
      <c r="X92" s="270"/>
      <c r="Y92" s="270"/>
      <c r="Z92" s="270"/>
      <c r="AA92" s="270"/>
      <c r="AB92" s="270"/>
      <c r="AC92" s="270"/>
      <c r="AD92" s="270"/>
      <c r="AE92" s="270"/>
      <c r="AF92" s="270"/>
      <c r="AG92" s="270"/>
      <c r="AH92" s="270"/>
      <c r="AI92" s="270"/>
      <c r="AJ92" s="270"/>
      <c r="AK92" s="270"/>
      <c r="AL92" s="270"/>
      <c r="AM92" s="270"/>
      <c r="AN92" s="270"/>
      <c r="AO92" s="270"/>
      <c r="AP92" s="270"/>
      <c r="AQ92" s="270"/>
      <c r="AR92" s="270"/>
      <c r="AS92" s="270"/>
      <c r="AT92" s="270"/>
      <c r="AU92" s="270"/>
      <c r="AV92" s="270"/>
      <c r="AW92" s="270"/>
      <c r="AX92" s="270"/>
      <c r="AY92" s="270"/>
      <c r="AZ92" s="270"/>
      <c r="BA92" s="270"/>
      <c r="BB92" s="270"/>
      <c r="BC92" s="270"/>
      <c r="BD92" s="270"/>
      <c r="BE92" s="270"/>
      <c r="BF92" s="270"/>
      <c r="BG92" s="270"/>
      <c r="BH92" s="270"/>
      <c r="BI92" s="270"/>
      <c r="BJ92" s="270"/>
      <c r="BK92" s="270"/>
      <c r="BL92" s="270"/>
      <c r="BM92" s="270"/>
      <c r="BN92" s="270"/>
      <c r="BO92" s="270"/>
      <c r="BP92" s="270"/>
      <c r="BQ92" s="270"/>
      <c r="BR92" s="270"/>
      <c r="BS92" s="266"/>
      <c r="BT92" s="266"/>
      <c r="BU92" s="266"/>
      <c r="BV92" s="272"/>
      <c r="BW92" s="231"/>
      <c r="BX92" s="231"/>
      <c r="BY92" s="231"/>
      <c r="CC92" s="232"/>
      <c r="CD92" s="44"/>
      <c r="DI92" s="233"/>
      <c r="DJ92" s="44"/>
      <c r="DM92" s="233"/>
      <c r="DQ92" s="234" t="s">
        <v>525</v>
      </c>
    </row>
    <row r="93" spans="3:121" ht="17.100000000000001" customHeight="1" x14ac:dyDescent="0.15">
      <c r="C93" s="231"/>
      <c r="D93" s="231"/>
      <c r="E93" s="231"/>
      <c r="F93" s="231"/>
      <c r="G93" s="243" t="s">
        <v>53</v>
      </c>
      <c r="H93" s="244"/>
      <c r="I93" s="231"/>
      <c r="J93" s="269">
        <f>D85</f>
        <v>7</v>
      </c>
      <c r="K93" s="264"/>
      <c r="L93" s="264"/>
      <c r="M93" s="264"/>
      <c r="N93" s="269">
        <f>IF(J93=23,0,J93+1)</f>
        <v>8</v>
      </c>
      <c r="O93" s="264"/>
      <c r="P93" s="264"/>
      <c r="Q93" s="264"/>
      <c r="R93" s="269">
        <f>IF(N93=23,0,N93+1)</f>
        <v>9</v>
      </c>
      <c r="S93" s="269"/>
      <c r="T93" s="269"/>
      <c r="U93" s="269"/>
      <c r="V93" s="269">
        <f>IF(R93=23,0,R93+1)</f>
        <v>10</v>
      </c>
      <c r="W93" s="269"/>
      <c r="X93" s="269"/>
      <c r="Y93" s="269"/>
      <c r="Z93" s="269">
        <f>IF(V93=23,0,V93+1)</f>
        <v>11</v>
      </c>
      <c r="AA93" s="269"/>
      <c r="AB93" s="269"/>
      <c r="AC93" s="269"/>
      <c r="AD93" s="269">
        <f>IF(Z93=23,0,Z93+1)</f>
        <v>12</v>
      </c>
      <c r="AE93" s="269"/>
      <c r="AF93" s="269"/>
      <c r="AG93" s="269"/>
      <c r="AH93" s="269">
        <f>IF(AD93=23,0,AD93+1)</f>
        <v>13</v>
      </c>
      <c r="AI93" s="269"/>
      <c r="AJ93" s="269"/>
      <c r="AK93" s="269"/>
      <c r="AL93" s="269">
        <f>IF(AH93=23,0,AH93+1)</f>
        <v>14</v>
      </c>
      <c r="AM93" s="269"/>
      <c r="AN93" s="269"/>
      <c r="AO93" s="269"/>
      <c r="AP93" s="269">
        <f>IF(AL93=23,0,AL93+1)</f>
        <v>15</v>
      </c>
      <c r="AQ93" s="269"/>
      <c r="AR93" s="269"/>
      <c r="AS93" s="269"/>
      <c r="AT93" s="269">
        <f>IF(AP93=23,0,AP93+1)</f>
        <v>16</v>
      </c>
      <c r="AU93" s="269"/>
      <c r="AV93" s="269"/>
      <c r="AW93" s="269"/>
      <c r="AX93" s="269">
        <f>IF(AT93=23,0,AT93+1)</f>
        <v>17</v>
      </c>
      <c r="AY93" s="269"/>
      <c r="AZ93" s="269"/>
      <c r="BA93" s="269"/>
      <c r="BB93" s="269">
        <f>IF(AX93=23,0,AX93+1)</f>
        <v>18</v>
      </c>
      <c r="BC93" s="269"/>
      <c r="BD93" s="269"/>
      <c r="BE93" s="269"/>
      <c r="BF93" s="269">
        <f>IF(BB93=23,0,BB93+1)</f>
        <v>19</v>
      </c>
      <c r="BG93" s="269"/>
      <c r="BH93" s="269"/>
      <c r="BI93" s="269"/>
      <c r="BJ93" s="269">
        <f>IF(BF93=23,0,BF93+1)</f>
        <v>20</v>
      </c>
      <c r="BK93" s="269"/>
      <c r="BL93" s="269"/>
      <c r="BM93" s="269"/>
      <c r="BN93" s="269">
        <f>IF(BJ93=23,0,BJ93+1)</f>
        <v>21</v>
      </c>
      <c r="BO93" s="269"/>
      <c r="BP93" s="269"/>
      <c r="BQ93" s="269"/>
      <c r="BR93" s="269">
        <f>IF(BN93=23,0,BN93+1)</f>
        <v>22</v>
      </c>
      <c r="BS93" s="264"/>
      <c r="BT93" s="264"/>
      <c r="BU93" s="264"/>
      <c r="BV93" s="265">
        <f>IF(BR93=23,0,BR93+1)</f>
        <v>23</v>
      </c>
      <c r="BW93" s="231"/>
      <c r="BX93" s="231"/>
      <c r="BY93" s="231"/>
      <c r="CC93" s="232"/>
      <c r="DI93" s="233" t="s">
        <v>128</v>
      </c>
      <c r="DJ93" s="44" t="str">
        <f>_xlfn.IFS(
ISBLANK(JOURNEY!AB52),"",
JOURNEY!AQ52=100%,"100%",
TRUE, UPPER(JOURNEY!AB52)&amp;" "&amp;ROUND(JOURNEY!AQ52*100,0)&amp;"%")</f>
        <v/>
      </c>
      <c r="DM93" s="255"/>
      <c r="DQ93" s="234" t="s">
        <v>525</v>
      </c>
    </row>
    <row r="94" spans="3:121" ht="17.100000000000001" customHeight="1" x14ac:dyDescent="0.15">
      <c r="C94" s="231"/>
      <c r="D94" s="231"/>
      <c r="E94" s="231"/>
      <c r="F94" s="231"/>
      <c r="G94" s="231"/>
      <c r="H94" s="231"/>
      <c r="I94" s="231"/>
      <c r="J94" s="270"/>
      <c r="K94" s="270"/>
      <c r="L94" s="270"/>
      <c r="M94" s="270"/>
      <c r="N94" s="270"/>
      <c r="O94" s="270"/>
      <c r="P94" s="270"/>
      <c r="Q94" s="270"/>
      <c r="R94" s="270"/>
      <c r="S94" s="270"/>
      <c r="T94" s="270"/>
      <c r="U94" s="270"/>
      <c r="V94" s="270"/>
      <c r="W94" s="270"/>
      <c r="X94" s="270"/>
      <c r="Y94" s="270"/>
      <c r="Z94" s="270"/>
      <c r="AA94" s="270"/>
      <c r="AB94" s="270"/>
      <c r="AC94" s="270"/>
      <c r="AD94" s="270"/>
      <c r="AE94" s="270"/>
      <c r="AF94" s="270"/>
      <c r="AG94" s="270"/>
      <c r="AH94" s="270"/>
      <c r="AI94" s="270"/>
      <c r="AJ94" s="270"/>
      <c r="AK94" s="270"/>
      <c r="AL94" s="270"/>
      <c r="AM94" s="270"/>
      <c r="AN94" s="270"/>
      <c r="AO94" s="270"/>
      <c r="AP94" s="270"/>
      <c r="AQ94" s="270"/>
      <c r="AR94" s="270"/>
      <c r="AS94" s="270"/>
      <c r="AT94" s="270"/>
      <c r="AU94" s="270"/>
      <c r="AV94" s="270"/>
      <c r="AW94" s="270"/>
      <c r="AX94" s="270"/>
      <c r="AY94" s="270"/>
      <c r="AZ94" s="270"/>
      <c r="BA94" s="270"/>
      <c r="BB94" s="270"/>
      <c r="BC94" s="270"/>
      <c r="BD94" s="270"/>
      <c r="BE94" s="270"/>
      <c r="BF94" s="270"/>
      <c r="BG94" s="270"/>
      <c r="BH94" s="270"/>
      <c r="BI94" s="270"/>
      <c r="BJ94" s="270"/>
      <c r="BK94" s="270"/>
      <c r="BL94" s="270"/>
      <c r="BM94" s="270"/>
      <c r="BN94" s="270"/>
      <c r="BO94" s="270"/>
      <c r="BP94" s="270"/>
      <c r="BQ94" s="270"/>
      <c r="BR94" s="270"/>
      <c r="BS94" s="266"/>
      <c r="BT94" s="266"/>
      <c r="BU94" s="266"/>
      <c r="BV94" s="272"/>
      <c r="BW94" s="231"/>
      <c r="BX94" s="231"/>
      <c r="BY94" s="231"/>
      <c r="CC94" s="232"/>
      <c r="DI94" s="233"/>
      <c r="DJ94" s="44"/>
      <c r="DM94" s="255"/>
      <c r="DQ94" s="234" t="s">
        <v>525</v>
      </c>
    </row>
    <row r="95" spans="3:121" ht="17.100000000000001" customHeight="1" x14ac:dyDescent="0.15">
      <c r="C95" s="231"/>
      <c r="D95" s="231"/>
      <c r="E95" s="231"/>
      <c r="F95" s="231"/>
      <c r="G95" s="243" t="s">
        <v>54</v>
      </c>
      <c r="H95" s="244"/>
      <c r="I95" s="231"/>
      <c r="J95" s="269">
        <f>D85</f>
        <v>7</v>
      </c>
      <c r="K95" s="264"/>
      <c r="L95" s="264"/>
      <c r="M95" s="264"/>
      <c r="N95" s="269">
        <f>IF(J95=23,0,J95+1)</f>
        <v>8</v>
      </c>
      <c r="O95" s="264"/>
      <c r="P95" s="264"/>
      <c r="Q95" s="264"/>
      <c r="R95" s="269">
        <f>IF(N95=23,0,N95+1)</f>
        <v>9</v>
      </c>
      <c r="S95" s="269"/>
      <c r="T95" s="269"/>
      <c r="U95" s="269"/>
      <c r="V95" s="269">
        <f>IF(R95=23,0,R95+1)</f>
        <v>10</v>
      </c>
      <c r="W95" s="269"/>
      <c r="X95" s="269"/>
      <c r="Y95" s="269"/>
      <c r="Z95" s="269">
        <f>IF(V95=23,0,V95+1)</f>
        <v>11</v>
      </c>
      <c r="AA95" s="269"/>
      <c r="AB95" s="269"/>
      <c r="AC95" s="269"/>
      <c r="AD95" s="269">
        <f>IF(Z95=23,0,Z95+1)</f>
        <v>12</v>
      </c>
      <c r="AE95" s="269"/>
      <c r="AF95" s="269"/>
      <c r="AG95" s="269"/>
      <c r="AH95" s="269">
        <f>IF(AD95=23,0,AD95+1)</f>
        <v>13</v>
      </c>
      <c r="AI95" s="269"/>
      <c r="AJ95" s="269"/>
      <c r="AK95" s="269"/>
      <c r="AL95" s="269">
        <f>IF(AH95=23,0,AH95+1)</f>
        <v>14</v>
      </c>
      <c r="AM95" s="269"/>
      <c r="AN95" s="269"/>
      <c r="AO95" s="269"/>
      <c r="AP95" s="269">
        <f>IF(AL95=23,0,AL95+1)</f>
        <v>15</v>
      </c>
      <c r="AQ95" s="269"/>
      <c r="AR95" s="269"/>
      <c r="AS95" s="269"/>
      <c r="AT95" s="269">
        <f>IF(AP95=23,0,AP95+1)</f>
        <v>16</v>
      </c>
      <c r="AU95" s="269"/>
      <c r="AV95" s="269"/>
      <c r="AW95" s="269"/>
      <c r="AX95" s="269">
        <f>IF(AT95=23,0,AT95+1)</f>
        <v>17</v>
      </c>
      <c r="AY95" s="269"/>
      <c r="AZ95" s="269"/>
      <c r="BA95" s="269"/>
      <c r="BB95" s="269">
        <f>IF(AX95=23,0,AX95+1)</f>
        <v>18</v>
      </c>
      <c r="BC95" s="269"/>
      <c r="BD95" s="269"/>
      <c r="BE95" s="269"/>
      <c r="BF95" s="269">
        <f>IF(BB95=23,0,BB95+1)</f>
        <v>19</v>
      </c>
      <c r="BG95" s="269"/>
      <c r="BH95" s="269"/>
      <c r="BI95" s="269"/>
      <c r="BJ95" s="269">
        <f>IF(BF95=23,0,BF95+1)</f>
        <v>20</v>
      </c>
      <c r="BK95" s="269"/>
      <c r="BL95" s="269"/>
      <c r="BM95" s="269"/>
      <c r="BN95" s="269">
        <f>IF(BJ95=23,0,BJ95+1)</f>
        <v>21</v>
      </c>
      <c r="BO95" s="269"/>
      <c r="BP95" s="269"/>
      <c r="BQ95" s="269"/>
      <c r="BR95" s="269">
        <f>IF(BN95=23,0,BN95+1)</f>
        <v>22</v>
      </c>
      <c r="BS95" s="264"/>
      <c r="BT95" s="264"/>
      <c r="BU95" s="264"/>
      <c r="BV95" s="265">
        <f>IF(BR95=23,0,BR95+1)</f>
        <v>23</v>
      </c>
      <c r="BW95" s="231"/>
      <c r="BX95" s="231"/>
      <c r="BY95" s="231"/>
      <c r="CC95" s="232"/>
      <c r="CD95" s="44"/>
      <c r="DI95" s="233" t="s">
        <v>128</v>
      </c>
      <c r="DJ95" s="44" t="str">
        <f>_xlfn.IFS(
ISBLANK(JOURNEY!AB54),"",
JOURNEY!AQ54=100%,"100%",
TRUE, UPPER(JOURNEY!AB54)&amp;" "&amp;ROUND(JOURNEY!AQ54*100,0)&amp;"%")</f>
        <v/>
      </c>
      <c r="DM95" s="233"/>
      <c r="DQ95" s="234" t="s">
        <v>525</v>
      </c>
    </row>
    <row r="96" spans="3:121" ht="17.100000000000001" customHeight="1" x14ac:dyDescent="0.15">
      <c r="C96" s="231"/>
      <c r="D96" s="231"/>
      <c r="E96" s="231"/>
      <c r="F96" s="231"/>
      <c r="G96" s="231"/>
      <c r="H96" s="231"/>
      <c r="I96" s="231"/>
      <c r="J96" s="231"/>
      <c r="K96" s="231"/>
      <c r="L96" s="231"/>
      <c r="M96" s="231"/>
      <c r="N96" s="231"/>
      <c r="O96" s="231"/>
      <c r="P96" s="231"/>
      <c r="Q96" s="231"/>
      <c r="R96" s="231"/>
      <c r="S96" s="231"/>
      <c r="T96" s="231"/>
      <c r="U96" s="231"/>
      <c r="V96" s="231"/>
      <c r="W96" s="231"/>
      <c r="X96" s="231"/>
      <c r="Y96" s="231"/>
      <c r="Z96" s="231"/>
      <c r="AA96" s="231"/>
      <c r="AB96" s="231"/>
      <c r="AC96" s="231"/>
      <c r="AD96" s="231"/>
      <c r="AE96" s="231"/>
      <c r="AF96" s="231"/>
      <c r="AG96" s="231"/>
      <c r="AH96" s="231"/>
      <c r="AI96" s="231"/>
      <c r="AJ96" s="231"/>
      <c r="AK96" s="231"/>
      <c r="AL96" s="231"/>
      <c r="AM96" s="231"/>
      <c r="AN96" s="231"/>
      <c r="AO96" s="231"/>
      <c r="AP96" s="231"/>
      <c r="AQ96" s="231"/>
      <c r="AR96" s="231"/>
      <c r="AS96" s="231"/>
      <c r="AT96" s="231"/>
      <c r="AU96" s="231"/>
      <c r="AV96" s="231"/>
      <c r="AW96" s="231"/>
      <c r="AX96" s="231"/>
      <c r="AY96" s="231"/>
      <c r="AZ96" s="231"/>
      <c r="BA96" s="231"/>
      <c r="BB96" s="231"/>
      <c r="BC96" s="231"/>
      <c r="BD96" s="231"/>
      <c r="BE96" s="231"/>
      <c r="BF96" s="231"/>
      <c r="BG96" s="231"/>
      <c r="BH96" s="231"/>
      <c r="BI96" s="231"/>
      <c r="BJ96" s="231"/>
      <c r="BK96" s="231"/>
      <c r="BL96" s="231"/>
      <c r="BM96" s="231"/>
      <c r="BN96" s="231"/>
      <c r="BO96" s="231"/>
      <c r="BP96" s="231"/>
      <c r="BQ96" s="231"/>
      <c r="BR96" s="231"/>
      <c r="BS96" s="231"/>
      <c r="BT96" s="231"/>
      <c r="BU96" s="231"/>
      <c r="BV96" s="231"/>
      <c r="BW96" s="231"/>
      <c r="BX96" s="231"/>
      <c r="BY96" s="231"/>
      <c r="CC96" s="251"/>
      <c r="CD96" s="252"/>
      <c r="CE96" s="252"/>
      <c r="CF96" s="252"/>
      <c r="CG96" s="252"/>
      <c r="CH96" s="252"/>
      <c r="CI96" s="252"/>
      <c r="CJ96" s="252"/>
      <c r="CK96" s="252"/>
      <c r="CL96" s="252"/>
      <c r="CM96" s="252"/>
      <c r="CN96" s="252"/>
      <c r="CO96" s="252"/>
      <c r="CP96" s="252"/>
      <c r="CQ96" s="252"/>
      <c r="CR96" s="252"/>
      <c r="CS96" s="252"/>
      <c r="CT96" s="252"/>
      <c r="CU96" s="252"/>
      <c r="CV96" s="252"/>
      <c r="CW96" s="252"/>
      <c r="CX96" s="252"/>
      <c r="CY96" s="252"/>
      <c r="CZ96" s="252"/>
      <c r="DA96" s="252"/>
      <c r="DB96" s="252"/>
      <c r="DC96" s="252"/>
      <c r="DD96" s="252"/>
      <c r="DE96" s="252"/>
      <c r="DF96" s="252"/>
      <c r="DG96" s="252"/>
      <c r="DH96" s="252"/>
      <c r="DI96" s="252"/>
      <c r="DJ96" s="252"/>
      <c r="DK96" s="252"/>
      <c r="DL96" s="252"/>
      <c r="DM96" s="252"/>
      <c r="DN96" s="252"/>
      <c r="DO96" s="252"/>
      <c r="DP96" s="252"/>
      <c r="DQ96" s="253"/>
    </row>
    <row r="97" spans="2:79" ht="17.100000000000001" customHeight="1" x14ac:dyDescent="0.15">
      <c r="C97" s="231"/>
      <c r="D97" s="243"/>
      <c r="E97" s="243"/>
      <c r="F97" s="243"/>
      <c r="G97" s="243"/>
      <c r="H97" s="243"/>
      <c r="I97" s="243"/>
      <c r="J97" s="3873" t="s">
        <v>2353</v>
      </c>
      <c r="K97" s="3874"/>
      <c r="L97" s="3874"/>
      <c r="M97" s="3874"/>
      <c r="N97" s="3874"/>
      <c r="O97" s="3874"/>
      <c r="P97" s="3874"/>
      <c r="Q97" s="3874"/>
      <c r="R97" s="3874"/>
      <c r="S97" s="3874"/>
      <c r="T97" s="3874"/>
      <c r="U97" s="3874"/>
      <c r="V97" s="3874"/>
      <c r="W97" s="3874"/>
      <c r="X97" s="3874"/>
      <c r="Y97" s="3874"/>
      <c r="Z97" s="3874"/>
      <c r="AA97" s="3874"/>
      <c r="AB97" s="3874"/>
      <c r="AC97" s="3874"/>
      <c r="AD97" s="3874"/>
      <c r="AE97" s="3874"/>
      <c r="AF97" s="3874"/>
      <c r="AG97" s="3874"/>
      <c r="AH97" s="3874"/>
      <c r="AI97" s="3874"/>
      <c r="AJ97" s="3874"/>
      <c r="AK97" s="3874"/>
      <c r="AL97" s="3874"/>
      <c r="AM97" s="3874"/>
      <c r="AN97" s="3874"/>
      <c r="AO97" s="3874"/>
      <c r="AP97" s="3874"/>
      <c r="AQ97" s="3874"/>
      <c r="AR97" s="3874"/>
      <c r="AS97" s="3874"/>
      <c r="AT97" s="3874"/>
      <c r="AU97" s="3874"/>
      <c r="AV97" s="3874"/>
      <c r="AW97" s="3874"/>
      <c r="AX97" s="3874"/>
      <c r="AY97" s="3874"/>
      <c r="AZ97" s="3874"/>
      <c r="BA97" s="3874"/>
      <c r="BB97" s="3874"/>
      <c r="BC97" s="3874"/>
      <c r="BD97" s="3874"/>
      <c r="BE97" s="3874"/>
      <c r="BF97" s="3874"/>
      <c r="BG97" s="3874"/>
      <c r="BH97" s="3874"/>
      <c r="BI97" s="3874"/>
      <c r="BJ97" s="3874"/>
      <c r="BK97" s="3874"/>
      <c r="BL97" s="3874"/>
      <c r="BM97" s="3874"/>
      <c r="BN97" s="3874"/>
      <c r="BO97" s="3874"/>
      <c r="BP97" s="3874"/>
      <c r="BQ97" s="3874"/>
      <c r="BR97" s="3874"/>
      <c r="BS97" s="3874"/>
      <c r="BT97" s="3874"/>
      <c r="BU97" s="3875"/>
      <c r="BV97" s="249"/>
      <c r="BW97" s="249"/>
      <c r="BX97" s="249"/>
      <c r="BY97" s="231"/>
    </row>
    <row r="98" spans="2:79" ht="17.100000000000001" customHeight="1" x14ac:dyDescent="0.15">
      <c r="C98" s="231"/>
      <c r="D98" s="231"/>
      <c r="E98" s="231"/>
      <c r="F98" s="231"/>
      <c r="G98" s="231"/>
      <c r="H98" s="231"/>
      <c r="I98" s="231"/>
      <c r="J98" s="231"/>
      <c r="K98" s="231"/>
      <c r="L98" s="231"/>
      <c r="M98" s="231"/>
      <c r="N98" s="231"/>
      <c r="O98" s="231"/>
      <c r="P98" s="231"/>
      <c r="Q98" s="231"/>
      <c r="R98" s="231"/>
      <c r="S98" s="250"/>
      <c r="T98" s="250"/>
      <c r="U98" s="250"/>
      <c r="V98" s="250"/>
      <c r="W98" s="250"/>
      <c r="X98" s="231"/>
      <c r="Y98" s="250"/>
      <c r="Z98" s="250"/>
      <c r="AA98" s="250"/>
      <c r="AB98" s="250"/>
      <c r="AC98" s="250"/>
      <c r="AD98" s="231"/>
      <c r="AE98" s="250"/>
      <c r="AF98" s="250"/>
      <c r="AG98" s="250"/>
      <c r="AH98" s="250"/>
      <c r="AI98" s="250"/>
      <c r="AJ98" s="231"/>
      <c r="AK98" s="250"/>
      <c r="AL98" s="250"/>
      <c r="AM98" s="250"/>
      <c r="AN98" s="250"/>
      <c r="AO98" s="231"/>
      <c r="AP98" s="250"/>
      <c r="AQ98" s="250"/>
      <c r="AR98" s="250"/>
      <c r="AS98" s="250"/>
      <c r="AT98" s="250"/>
      <c r="AU98" s="231"/>
      <c r="AV98" s="250"/>
      <c r="AW98" s="250"/>
      <c r="AX98" s="250"/>
      <c r="AY98" s="250"/>
      <c r="AZ98" s="250"/>
      <c r="BA98" s="231"/>
      <c r="BB98" s="250"/>
      <c r="BC98" s="250"/>
      <c r="BD98" s="250"/>
      <c r="BE98" s="250"/>
      <c r="BF98" s="250"/>
      <c r="BG98" s="231"/>
      <c r="BH98" s="250"/>
      <c r="BI98" s="250"/>
      <c r="BJ98" s="250"/>
      <c r="BK98" s="250"/>
      <c r="BL98" s="250"/>
      <c r="BM98" s="231"/>
      <c r="BN98" s="245"/>
      <c r="BO98" s="245"/>
      <c r="BP98" s="245"/>
      <c r="BQ98" s="245"/>
      <c r="BR98" s="245"/>
      <c r="BS98" s="245"/>
      <c r="BT98" s="245"/>
      <c r="BU98" s="245"/>
      <c r="BV98" s="245"/>
      <c r="BW98" s="245"/>
      <c r="BX98" s="245"/>
      <c r="BY98" s="231"/>
    </row>
    <row r="99" spans="2:79" ht="17.100000000000001" customHeight="1" x14ac:dyDescent="0.15">
      <c r="B99" s="28"/>
      <c r="C99" s="231"/>
      <c r="D99" s="2262" t="s">
        <v>803</v>
      </c>
      <c r="E99" s="2263"/>
      <c r="F99" s="231"/>
      <c r="G99" s="243" t="s">
        <v>48</v>
      </c>
      <c r="H99" s="244"/>
      <c r="I99" s="231"/>
      <c r="J99" s="269">
        <f>D101</f>
        <v>7</v>
      </c>
      <c r="K99" s="264"/>
      <c r="L99" s="264"/>
      <c r="M99" s="264"/>
      <c r="N99" s="269">
        <f>IF(J99=23,0,J99+1)</f>
        <v>8</v>
      </c>
      <c r="O99" s="264"/>
      <c r="P99" s="264"/>
      <c r="Q99" s="264"/>
      <c r="R99" s="269">
        <f>IF(N99=23,0,N99+1)</f>
        <v>9</v>
      </c>
      <c r="S99" s="269"/>
      <c r="T99" s="269"/>
      <c r="U99" s="269"/>
      <c r="V99" s="269">
        <f>IF(R99=23,0,R99+1)</f>
        <v>10</v>
      </c>
      <c r="W99" s="269"/>
      <c r="X99" s="269"/>
      <c r="Y99" s="269"/>
      <c r="Z99" s="269">
        <f>IF(V99=23,0,V99+1)</f>
        <v>11</v>
      </c>
      <c r="AA99" s="269"/>
      <c r="AB99" s="269"/>
      <c r="AC99" s="269"/>
      <c r="AD99" s="269">
        <f>IF(Z99=23,0,Z99+1)</f>
        <v>12</v>
      </c>
      <c r="AE99" s="269"/>
      <c r="AF99" s="269"/>
      <c r="AG99" s="269"/>
      <c r="AH99" s="269">
        <f>IF(AD99=23,0,AD99+1)</f>
        <v>13</v>
      </c>
      <c r="AI99" s="269"/>
      <c r="AJ99" s="269"/>
      <c r="AK99" s="269"/>
      <c r="AL99" s="269">
        <f>IF(AH99=23,0,AH99+1)</f>
        <v>14</v>
      </c>
      <c r="AM99" s="269"/>
      <c r="AN99" s="269"/>
      <c r="AO99" s="269"/>
      <c r="AP99" s="269">
        <f>IF(AL99=23,0,AL99+1)</f>
        <v>15</v>
      </c>
      <c r="AQ99" s="269"/>
      <c r="AR99" s="269"/>
      <c r="AS99" s="269"/>
      <c r="AT99" s="269">
        <f>IF(AP99=23,0,AP99+1)</f>
        <v>16</v>
      </c>
      <c r="AU99" s="269"/>
      <c r="AV99" s="269"/>
      <c r="AW99" s="269"/>
      <c r="AX99" s="269">
        <f>IF(AT99=23,0,AT99+1)</f>
        <v>17</v>
      </c>
      <c r="AY99" s="269"/>
      <c r="AZ99" s="269"/>
      <c r="BA99" s="269"/>
      <c r="BB99" s="269">
        <f>IF(AX99=23,0,AX99+1)</f>
        <v>18</v>
      </c>
      <c r="BC99" s="269"/>
      <c r="BD99" s="269"/>
      <c r="BE99" s="269"/>
      <c r="BF99" s="269">
        <f>IF(BB99=23,0,BB99+1)</f>
        <v>19</v>
      </c>
      <c r="BG99" s="269"/>
      <c r="BH99" s="269"/>
      <c r="BI99" s="269"/>
      <c r="BJ99" s="269">
        <f>IF(BF99=23,0,BF99+1)</f>
        <v>20</v>
      </c>
      <c r="BK99" s="269"/>
      <c r="BL99" s="269"/>
      <c r="BM99" s="269"/>
      <c r="BN99" s="269">
        <f>IF(BJ99=23,0,BJ99+1)</f>
        <v>21</v>
      </c>
      <c r="BO99" s="269"/>
      <c r="BP99" s="269"/>
      <c r="BQ99" s="269"/>
      <c r="BR99" s="269">
        <f>IF(BN99=23,0,BN99+1)</f>
        <v>22</v>
      </c>
      <c r="BS99" s="264"/>
      <c r="BT99" s="264"/>
      <c r="BU99" s="264"/>
      <c r="BV99" s="265">
        <f>IF(BR99=23,0,BR99+1)</f>
        <v>23</v>
      </c>
      <c r="BW99" s="245"/>
      <c r="BX99" s="245"/>
      <c r="BY99" s="231"/>
      <c r="BZ99" s="28"/>
      <c r="CA99" s="28"/>
    </row>
    <row r="100" spans="2:79" ht="17.100000000000001" customHeight="1" x14ac:dyDescent="0.15">
      <c r="B100" s="28"/>
      <c r="C100" s="231"/>
      <c r="D100" s="2262" t="s">
        <v>804</v>
      </c>
      <c r="E100" s="2263"/>
      <c r="F100" s="231"/>
      <c r="G100" s="231"/>
      <c r="H100" s="231"/>
      <c r="I100" s="231"/>
      <c r="J100" s="270"/>
      <c r="K100" s="270"/>
      <c r="L100" s="270"/>
      <c r="M100" s="270"/>
      <c r="N100" s="270"/>
      <c r="O100" s="270"/>
      <c r="P100" s="270"/>
      <c r="Q100" s="270"/>
      <c r="R100" s="270"/>
      <c r="S100" s="270"/>
      <c r="T100" s="270"/>
      <c r="U100" s="270"/>
      <c r="V100" s="270"/>
      <c r="W100" s="270"/>
      <c r="X100" s="270"/>
      <c r="Y100" s="270"/>
      <c r="Z100" s="270"/>
      <c r="AA100" s="270"/>
      <c r="AB100" s="270"/>
      <c r="AC100" s="270"/>
      <c r="AD100" s="270"/>
      <c r="AE100" s="270"/>
      <c r="AF100" s="270"/>
      <c r="AG100" s="270"/>
      <c r="AH100" s="270"/>
      <c r="AI100" s="270"/>
      <c r="AJ100" s="270"/>
      <c r="AK100" s="270"/>
      <c r="AL100" s="270"/>
      <c r="AM100" s="270"/>
      <c r="AN100" s="270"/>
      <c r="AO100" s="270"/>
      <c r="AP100" s="270"/>
      <c r="AQ100" s="270"/>
      <c r="AR100" s="270"/>
      <c r="AS100" s="270"/>
      <c r="AT100" s="270"/>
      <c r="AU100" s="270"/>
      <c r="AV100" s="270"/>
      <c r="AW100" s="270"/>
      <c r="AX100" s="270"/>
      <c r="AY100" s="270"/>
      <c r="AZ100" s="270"/>
      <c r="BA100" s="270"/>
      <c r="BB100" s="270"/>
      <c r="BC100" s="270"/>
      <c r="BD100" s="270"/>
      <c r="BE100" s="270"/>
      <c r="BF100" s="270"/>
      <c r="BG100" s="270"/>
      <c r="BH100" s="270"/>
      <c r="BI100" s="270"/>
      <c r="BJ100" s="270"/>
      <c r="BK100" s="270"/>
      <c r="BL100" s="270"/>
      <c r="BM100" s="270"/>
      <c r="BN100" s="270"/>
      <c r="BO100" s="270"/>
      <c r="BP100" s="270"/>
      <c r="BQ100" s="270"/>
      <c r="BR100" s="270"/>
      <c r="BS100" s="270"/>
      <c r="BT100" s="270"/>
      <c r="BU100" s="266"/>
      <c r="BV100" s="267"/>
      <c r="BW100" s="245"/>
      <c r="BX100" s="231"/>
      <c r="BY100" s="231"/>
      <c r="BZ100" s="28"/>
      <c r="CA100" s="28"/>
    </row>
    <row r="101" spans="2:79" ht="17.100000000000001" customHeight="1" x14ac:dyDescent="0.15">
      <c r="B101" s="28"/>
      <c r="C101" s="231"/>
      <c r="D101" s="3871">
        <v>7</v>
      </c>
      <c r="E101" s="3872"/>
      <c r="F101" s="231"/>
      <c r="G101" s="243" t="s">
        <v>49</v>
      </c>
      <c r="H101" s="244"/>
      <c r="I101" s="231"/>
      <c r="J101" s="269">
        <f>D101</f>
        <v>7</v>
      </c>
      <c r="K101" s="264"/>
      <c r="L101" s="264"/>
      <c r="M101" s="264"/>
      <c r="N101" s="269">
        <f>IF(J101=23,0,J101+1)</f>
        <v>8</v>
      </c>
      <c r="O101" s="264"/>
      <c r="P101" s="264"/>
      <c r="Q101" s="264"/>
      <c r="R101" s="269">
        <f>IF(N101=23,0,N101+1)</f>
        <v>9</v>
      </c>
      <c r="S101" s="269"/>
      <c r="T101" s="269"/>
      <c r="U101" s="269"/>
      <c r="V101" s="269">
        <f>IF(R101=23,0,R101+1)</f>
        <v>10</v>
      </c>
      <c r="W101" s="269"/>
      <c r="X101" s="269"/>
      <c r="Y101" s="269"/>
      <c r="Z101" s="269">
        <f>IF(V101=23,0,V101+1)</f>
        <v>11</v>
      </c>
      <c r="AA101" s="269"/>
      <c r="AB101" s="269"/>
      <c r="AC101" s="269"/>
      <c r="AD101" s="269">
        <f>IF(Z101=23,0,Z101+1)</f>
        <v>12</v>
      </c>
      <c r="AE101" s="269"/>
      <c r="AF101" s="269"/>
      <c r="AG101" s="269"/>
      <c r="AH101" s="269">
        <f>IF(AD101=23,0,AD101+1)</f>
        <v>13</v>
      </c>
      <c r="AI101" s="269"/>
      <c r="AJ101" s="269"/>
      <c r="AK101" s="269"/>
      <c r="AL101" s="269">
        <f>IF(AH101=23,0,AH101+1)</f>
        <v>14</v>
      </c>
      <c r="AM101" s="269"/>
      <c r="AN101" s="269"/>
      <c r="AO101" s="269"/>
      <c r="AP101" s="269">
        <f>IF(AL101=23,0,AL101+1)</f>
        <v>15</v>
      </c>
      <c r="AQ101" s="269"/>
      <c r="AR101" s="269"/>
      <c r="AS101" s="269"/>
      <c r="AT101" s="269">
        <f>IF(AP101=23,0,AP101+1)</f>
        <v>16</v>
      </c>
      <c r="AU101" s="269"/>
      <c r="AV101" s="269"/>
      <c r="AW101" s="269"/>
      <c r="AX101" s="269">
        <f>IF(AT101=23,0,AT101+1)</f>
        <v>17</v>
      </c>
      <c r="AY101" s="269"/>
      <c r="AZ101" s="269"/>
      <c r="BA101" s="269"/>
      <c r="BB101" s="269">
        <f>IF(AX101=23,0,AX101+1)</f>
        <v>18</v>
      </c>
      <c r="BC101" s="269"/>
      <c r="BD101" s="269"/>
      <c r="BE101" s="269"/>
      <c r="BF101" s="269">
        <f>IF(BB101=23,0,BB101+1)</f>
        <v>19</v>
      </c>
      <c r="BG101" s="269"/>
      <c r="BH101" s="269"/>
      <c r="BI101" s="269"/>
      <c r="BJ101" s="269">
        <f>IF(BF101=23,0,BF101+1)</f>
        <v>20</v>
      </c>
      <c r="BK101" s="269"/>
      <c r="BL101" s="269"/>
      <c r="BM101" s="269"/>
      <c r="BN101" s="269">
        <f>IF(BJ101=23,0,BJ101+1)</f>
        <v>21</v>
      </c>
      <c r="BO101" s="269"/>
      <c r="BP101" s="269"/>
      <c r="BQ101" s="269"/>
      <c r="BR101" s="269">
        <f>IF(BN101=23,0,BN101+1)</f>
        <v>22</v>
      </c>
      <c r="BS101" s="264"/>
      <c r="BT101" s="264"/>
      <c r="BU101" s="264"/>
      <c r="BV101" s="265">
        <f>IF(BR101=23,0,BR101+1)</f>
        <v>23</v>
      </c>
      <c r="BW101" s="245"/>
      <c r="BX101" s="231"/>
      <c r="BY101" s="231"/>
      <c r="BZ101" s="28"/>
      <c r="CA101" s="28"/>
    </row>
    <row r="102" spans="2:79" ht="17.100000000000001" customHeight="1" x14ac:dyDescent="0.15">
      <c r="B102" s="28"/>
      <c r="C102" s="231"/>
      <c r="D102" s="231"/>
      <c r="E102" s="231"/>
      <c r="F102" s="231"/>
      <c r="G102" s="231"/>
      <c r="H102" s="231"/>
      <c r="I102" s="231"/>
      <c r="J102" s="270"/>
      <c r="K102" s="270"/>
      <c r="L102" s="270"/>
      <c r="M102" s="270"/>
      <c r="N102" s="270"/>
      <c r="O102" s="270"/>
      <c r="P102" s="270"/>
      <c r="Q102" s="270"/>
      <c r="R102" s="270"/>
      <c r="S102" s="270"/>
      <c r="T102" s="270"/>
      <c r="U102" s="270"/>
      <c r="V102" s="270"/>
      <c r="W102" s="270"/>
      <c r="X102" s="270"/>
      <c r="Y102" s="270"/>
      <c r="Z102" s="270"/>
      <c r="AA102" s="270"/>
      <c r="AB102" s="270"/>
      <c r="AC102" s="270"/>
      <c r="AD102" s="270"/>
      <c r="AE102" s="270"/>
      <c r="AF102" s="270"/>
      <c r="AG102" s="270"/>
      <c r="AH102" s="270"/>
      <c r="AI102" s="270"/>
      <c r="AJ102" s="270"/>
      <c r="AK102" s="270"/>
      <c r="AL102" s="270"/>
      <c r="AM102" s="270"/>
      <c r="AN102" s="270"/>
      <c r="AO102" s="270"/>
      <c r="AP102" s="270"/>
      <c r="AQ102" s="270"/>
      <c r="AR102" s="270"/>
      <c r="AS102" s="270"/>
      <c r="AT102" s="270"/>
      <c r="AU102" s="270"/>
      <c r="AV102" s="270"/>
      <c r="AW102" s="270"/>
      <c r="AX102" s="270"/>
      <c r="AY102" s="270"/>
      <c r="AZ102" s="270"/>
      <c r="BA102" s="270"/>
      <c r="BB102" s="270"/>
      <c r="BC102" s="270"/>
      <c r="BD102" s="270"/>
      <c r="BE102" s="270"/>
      <c r="BF102" s="270"/>
      <c r="BG102" s="270"/>
      <c r="BH102" s="270"/>
      <c r="BI102" s="270"/>
      <c r="BJ102" s="270"/>
      <c r="BK102" s="270"/>
      <c r="BL102" s="270"/>
      <c r="BM102" s="270"/>
      <c r="BN102" s="270"/>
      <c r="BO102" s="270"/>
      <c r="BP102" s="270"/>
      <c r="BQ102" s="270"/>
      <c r="BR102" s="270"/>
      <c r="BS102" s="270"/>
      <c r="BT102" s="270"/>
      <c r="BU102" s="266"/>
      <c r="BV102" s="267"/>
      <c r="BW102" s="245"/>
      <c r="BX102" s="231"/>
      <c r="BY102" s="231"/>
      <c r="BZ102" s="28"/>
      <c r="CA102" s="28"/>
    </row>
    <row r="103" spans="2:79" ht="17.100000000000001" customHeight="1" x14ac:dyDescent="0.15">
      <c r="B103" s="28"/>
      <c r="C103" s="231"/>
      <c r="D103" s="231"/>
      <c r="E103" s="231"/>
      <c r="F103" s="231"/>
      <c r="G103" s="243" t="s">
        <v>50</v>
      </c>
      <c r="H103" s="244"/>
      <c r="I103" s="231"/>
      <c r="J103" s="269">
        <f>D101</f>
        <v>7</v>
      </c>
      <c r="K103" s="264"/>
      <c r="L103" s="264"/>
      <c r="M103" s="264"/>
      <c r="N103" s="269">
        <f>IF(J103=23,0,J103+1)</f>
        <v>8</v>
      </c>
      <c r="O103" s="264"/>
      <c r="P103" s="264"/>
      <c r="Q103" s="264"/>
      <c r="R103" s="269">
        <f>IF(N103=23,0,N103+1)</f>
        <v>9</v>
      </c>
      <c r="S103" s="269"/>
      <c r="T103" s="269"/>
      <c r="U103" s="269"/>
      <c r="V103" s="269">
        <f>IF(R103=23,0,R103+1)</f>
        <v>10</v>
      </c>
      <c r="W103" s="269"/>
      <c r="X103" s="269"/>
      <c r="Y103" s="269"/>
      <c r="Z103" s="269">
        <f>IF(V103=23,0,V103+1)</f>
        <v>11</v>
      </c>
      <c r="AA103" s="269"/>
      <c r="AB103" s="269"/>
      <c r="AC103" s="269"/>
      <c r="AD103" s="269">
        <f>IF(Z103=23,0,Z103+1)</f>
        <v>12</v>
      </c>
      <c r="AE103" s="269"/>
      <c r="AF103" s="269"/>
      <c r="AG103" s="269"/>
      <c r="AH103" s="269">
        <f>IF(AD103=23,0,AD103+1)</f>
        <v>13</v>
      </c>
      <c r="AI103" s="269"/>
      <c r="AJ103" s="269"/>
      <c r="AK103" s="269"/>
      <c r="AL103" s="269">
        <f>IF(AH103=23,0,AH103+1)</f>
        <v>14</v>
      </c>
      <c r="AM103" s="269"/>
      <c r="AN103" s="269"/>
      <c r="AO103" s="269"/>
      <c r="AP103" s="269">
        <f>IF(AL103=23,0,AL103+1)</f>
        <v>15</v>
      </c>
      <c r="AQ103" s="269"/>
      <c r="AR103" s="269"/>
      <c r="AS103" s="269"/>
      <c r="AT103" s="269">
        <f>IF(AP103=23,0,AP103+1)</f>
        <v>16</v>
      </c>
      <c r="AU103" s="269"/>
      <c r="AV103" s="269"/>
      <c r="AW103" s="269"/>
      <c r="AX103" s="269">
        <f>IF(AT103=23,0,AT103+1)</f>
        <v>17</v>
      </c>
      <c r="AY103" s="269"/>
      <c r="AZ103" s="269"/>
      <c r="BA103" s="269"/>
      <c r="BB103" s="269">
        <f>IF(AX103=23,0,AX103+1)</f>
        <v>18</v>
      </c>
      <c r="BC103" s="269"/>
      <c r="BD103" s="269"/>
      <c r="BE103" s="269"/>
      <c r="BF103" s="269">
        <f>IF(BB103=23,0,BB103+1)</f>
        <v>19</v>
      </c>
      <c r="BG103" s="269"/>
      <c r="BH103" s="269"/>
      <c r="BI103" s="269"/>
      <c r="BJ103" s="269">
        <f>IF(BF103=23,0,BF103+1)</f>
        <v>20</v>
      </c>
      <c r="BK103" s="269"/>
      <c r="BL103" s="269"/>
      <c r="BM103" s="269"/>
      <c r="BN103" s="269">
        <f>IF(BJ103=23,0,BJ103+1)</f>
        <v>21</v>
      </c>
      <c r="BO103" s="269"/>
      <c r="BP103" s="269"/>
      <c r="BQ103" s="269"/>
      <c r="BR103" s="269">
        <f>IF(BN103=23,0,BN103+1)</f>
        <v>22</v>
      </c>
      <c r="BS103" s="264"/>
      <c r="BT103" s="264"/>
      <c r="BU103" s="264"/>
      <c r="BV103" s="265">
        <f>IF(BR103=23,0,BR103+1)</f>
        <v>23</v>
      </c>
      <c r="BW103" s="245"/>
      <c r="BX103" s="231"/>
      <c r="BY103" s="231"/>
      <c r="BZ103" s="28"/>
      <c r="CA103" s="28"/>
    </row>
    <row r="104" spans="2:79" ht="17.100000000000001" customHeight="1" x14ac:dyDescent="0.15">
      <c r="B104" s="28"/>
      <c r="C104" s="231"/>
      <c r="D104" s="231"/>
      <c r="E104" s="231"/>
      <c r="F104" s="231"/>
      <c r="G104" s="231"/>
      <c r="H104" s="231"/>
      <c r="I104" s="231"/>
      <c r="J104" s="270"/>
      <c r="K104" s="270"/>
      <c r="L104" s="270"/>
      <c r="M104" s="270"/>
      <c r="N104" s="270"/>
      <c r="O104" s="270"/>
      <c r="P104" s="270"/>
      <c r="Q104" s="270"/>
      <c r="R104" s="270"/>
      <c r="S104" s="270"/>
      <c r="T104" s="270"/>
      <c r="U104" s="270"/>
      <c r="V104" s="270"/>
      <c r="W104" s="270"/>
      <c r="X104" s="270"/>
      <c r="Y104" s="270"/>
      <c r="Z104" s="270"/>
      <c r="AA104" s="270"/>
      <c r="AB104" s="270"/>
      <c r="AC104" s="270"/>
      <c r="AD104" s="270"/>
      <c r="AE104" s="270"/>
      <c r="AF104" s="270"/>
      <c r="AG104" s="270"/>
      <c r="AH104" s="270"/>
      <c r="AI104" s="270"/>
      <c r="AJ104" s="270"/>
      <c r="AK104" s="270"/>
      <c r="AL104" s="270"/>
      <c r="AM104" s="270"/>
      <c r="AN104" s="270"/>
      <c r="AO104" s="270"/>
      <c r="AP104" s="270"/>
      <c r="AQ104" s="270"/>
      <c r="AR104" s="270"/>
      <c r="AS104" s="270"/>
      <c r="AT104" s="270"/>
      <c r="AU104" s="270"/>
      <c r="AV104" s="270"/>
      <c r="AW104" s="270"/>
      <c r="AX104" s="270"/>
      <c r="AY104" s="270"/>
      <c r="AZ104" s="270"/>
      <c r="BA104" s="270"/>
      <c r="BB104" s="270"/>
      <c r="BC104" s="270"/>
      <c r="BD104" s="270"/>
      <c r="BE104" s="270"/>
      <c r="BF104" s="270"/>
      <c r="BG104" s="270"/>
      <c r="BH104" s="270"/>
      <c r="BI104" s="270"/>
      <c r="BJ104" s="270"/>
      <c r="BK104" s="270"/>
      <c r="BL104" s="270"/>
      <c r="BM104" s="270"/>
      <c r="BN104" s="270"/>
      <c r="BO104" s="270"/>
      <c r="BP104" s="270"/>
      <c r="BQ104" s="270"/>
      <c r="BR104" s="270"/>
      <c r="BS104" s="270"/>
      <c r="BT104" s="270"/>
      <c r="BU104" s="266"/>
      <c r="BV104" s="266"/>
      <c r="BW104" s="231"/>
      <c r="BX104" s="231"/>
      <c r="BY104" s="231"/>
      <c r="BZ104" s="28"/>
      <c r="CA104" s="28"/>
    </row>
    <row r="105" spans="2:79" ht="17.100000000000001" customHeight="1" x14ac:dyDescent="0.15">
      <c r="B105" s="28"/>
      <c r="C105" s="231"/>
      <c r="D105" s="231"/>
      <c r="E105" s="231"/>
      <c r="F105" s="231"/>
      <c r="G105" s="243" t="s">
        <v>51</v>
      </c>
      <c r="H105" s="244"/>
      <c r="I105" s="231"/>
      <c r="J105" s="269">
        <f>D101</f>
        <v>7</v>
      </c>
      <c r="K105" s="264"/>
      <c r="L105" s="264"/>
      <c r="M105" s="264"/>
      <c r="N105" s="269">
        <f>IF(J105=23,0,J105+1)</f>
        <v>8</v>
      </c>
      <c r="O105" s="264"/>
      <c r="P105" s="264"/>
      <c r="Q105" s="264"/>
      <c r="R105" s="269">
        <f>IF(N105=23,0,N105+1)</f>
        <v>9</v>
      </c>
      <c r="S105" s="269"/>
      <c r="T105" s="269"/>
      <c r="U105" s="269"/>
      <c r="V105" s="269">
        <f>IF(R105=23,0,R105+1)</f>
        <v>10</v>
      </c>
      <c r="W105" s="269"/>
      <c r="X105" s="269"/>
      <c r="Y105" s="269"/>
      <c r="Z105" s="269">
        <f>IF(V105=23,0,V105+1)</f>
        <v>11</v>
      </c>
      <c r="AA105" s="269"/>
      <c r="AB105" s="269"/>
      <c r="AC105" s="269"/>
      <c r="AD105" s="269">
        <f>IF(Z105=23,0,Z105+1)</f>
        <v>12</v>
      </c>
      <c r="AE105" s="269"/>
      <c r="AF105" s="269"/>
      <c r="AG105" s="269"/>
      <c r="AH105" s="269">
        <f>IF(AD105=23,0,AD105+1)</f>
        <v>13</v>
      </c>
      <c r="AI105" s="269"/>
      <c r="AJ105" s="269"/>
      <c r="AK105" s="269"/>
      <c r="AL105" s="269">
        <f>IF(AH105=23,0,AH105+1)</f>
        <v>14</v>
      </c>
      <c r="AM105" s="269"/>
      <c r="AN105" s="269"/>
      <c r="AO105" s="269"/>
      <c r="AP105" s="269">
        <f>IF(AL105=23,0,AL105+1)</f>
        <v>15</v>
      </c>
      <c r="AQ105" s="269"/>
      <c r="AR105" s="269"/>
      <c r="AS105" s="269"/>
      <c r="AT105" s="269">
        <f>IF(AP105=23,0,AP105+1)</f>
        <v>16</v>
      </c>
      <c r="AU105" s="269"/>
      <c r="AV105" s="269"/>
      <c r="AW105" s="269"/>
      <c r="AX105" s="269">
        <f>IF(AT105=23,0,AT105+1)</f>
        <v>17</v>
      </c>
      <c r="AY105" s="269"/>
      <c r="AZ105" s="269"/>
      <c r="BA105" s="269"/>
      <c r="BB105" s="269">
        <f>IF(AX105=23,0,AX105+1)</f>
        <v>18</v>
      </c>
      <c r="BC105" s="269"/>
      <c r="BD105" s="269"/>
      <c r="BE105" s="269"/>
      <c r="BF105" s="269">
        <f>IF(BB105=23,0,BB105+1)</f>
        <v>19</v>
      </c>
      <c r="BG105" s="269"/>
      <c r="BH105" s="269"/>
      <c r="BI105" s="269"/>
      <c r="BJ105" s="269">
        <f>IF(BF105=23,0,BF105+1)</f>
        <v>20</v>
      </c>
      <c r="BK105" s="269"/>
      <c r="BL105" s="269"/>
      <c r="BM105" s="269"/>
      <c r="BN105" s="269">
        <f>IF(BJ105=23,0,BJ105+1)</f>
        <v>21</v>
      </c>
      <c r="BO105" s="269"/>
      <c r="BP105" s="269"/>
      <c r="BQ105" s="269"/>
      <c r="BR105" s="269">
        <f>IF(BN105=23,0,BN105+1)</f>
        <v>22</v>
      </c>
      <c r="BS105" s="264"/>
      <c r="BT105" s="264"/>
      <c r="BU105" s="264"/>
      <c r="BV105" s="265">
        <f>IF(BR105=23,0,BR105+1)</f>
        <v>23</v>
      </c>
      <c r="BW105" s="231"/>
      <c r="BX105" s="231"/>
      <c r="BY105" s="231"/>
      <c r="BZ105" s="28"/>
      <c r="CA105" s="28"/>
    </row>
    <row r="106" spans="2:79" ht="17.100000000000001" customHeight="1" x14ac:dyDescent="0.15">
      <c r="B106" s="28"/>
      <c r="C106" s="231"/>
      <c r="D106" s="231"/>
      <c r="E106" s="231"/>
      <c r="F106" s="231"/>
      <c r="G106" s="231"/>
      <c r="H106" s="231"/>
      <c r="I106" s="231"/>
      <c r="J106" s="270"/>
      <c r="K106" s="270"/>
      <c r="L106" s="270"/>
      <c r="M106" s="270"/>
      <c r="N106" s="270"/>
      <c r="O106" s="270"/>
      <c r="P106" s="270"/>
      <c r="Q106" s="270"/>
      <c r="R106" s="270"/>
      <c r="S106" s="270"/>
      <c r="T106" s="270"/>
      <c r="U106" s="270"/>
      <c r="V106" s="270"/>
      <c r="W106" s="270"/>
      <c r="X106" s="270"/>
      <c r="Y106" s="270"/>
      <c r="Z106" s="270"/>
      <c r="AA106" s="270"/>
      <c r="AB106" s="270"/>
      <c r="AC106" s="270"/>
      <c r="AD106" s="270"/>
      <c r="AE106" s="270"/>
      <c r="AF106" s="270"/>
      <c r="AG106" s="270"/>
      <c r="AH106" s="270"/>
      <c r="AI106" s="270"/>
      <c r="AJ106" s="270"/>
      <c r="AK106" s="270"/>
      <c r="AL106" s="270"/>
      <c r="AM106" s="270"/>
      <c r="AN106" s="270"/>
      <c r="AO106" s="270"/>
      <c r="AP106" s="270"/>
      <c r="AQ106" s="270"/>
      <c r="AR106" s="270"/>
      <c r="AS106" s="270"/>
      <c r="AT106" s="270"/>
      <c r="AU106" s="270"/>
      <c r="AV106" s="270"/>
      <c r="AW106" s="270"/>
      <c r="AX106" s="270"/>
      <c r="AY106" s="270"/>
      <c r="AZ106" s="270"/>
      <c r="BA106" s="270"/>
      <c r="BB106" s="270"/>
      <c r="BC106" s="270"/>
      <c r="BD106" s="270"/>
      <c r="BE106" s="270"/>
      <c r="BF106" s="270"/>
      <c r="BG106" s="270"/>
      <c r="BH106" s="270"/>
      <c r="BI106" s="270"/>
      <c r="BJ106" s="270"/>
      <c r="BK106" s="270"/>
      <c r="BL106" s="270"/>
      <c r="BM106" s="270"/>
      <c r="BN106" s="270"/>
      <c r="BO106" s="270"/>
      <c r="BP106" s="270"/>
      <c r="BQ106" s="270"/>
      <c r="BR106" s="270"/>
      <c r="BS106" s="270"/>
      <c r="BT106" s="270"/>
      <c r="BU106" s="266"/>
      <c r="BV106" s="266"/>
      <c r="BW106" s="231"/>
      <c r="BX106" s="231"/>
      <c r="BY106" s="231"/>
      <c r="BZ106" s="28"/>
      <c r="CA106" s="28"/>
    </row>
    <row r="107" spans="2:79" ht="17.100000000000001" customHeight="1" x14ac:dyDescent="0.15">
      <c r="B107" s="28"/>
      <c r="C107" s="231"/>
      <c r="D107" s="231"/>
      <c r="E107" s="231"/>
      <c r="F107" s="231"/>
      <c r="G107" s="243" t="s">
        <v>52</v>
      </c>
      <c r="H107" s="244"/>
      <c r="I107" s="231"/>
      <c r="J107" s="269">
        <f>D101</f>
        <v>7</v>
      </c>
      <c r="K107" s="264"/>
      <c r="L107" s="264"/>
      <c r="M107" s="264"/>
      <c r="N107" s="269">
        <f>IF(J107=23,0,J107+1)</f>
        <v>8</v>
      </c>
      <c r="O107" s="264"/>
      <c r="P107" s="264"/>
      <c r="Q107" s="264"/>
      <c r="R107" s="269">
        <f>IF(N107=23,0,N107+1)</f>
        <v>9</v>
      </c>
      <c r="S107" s="269"/>
      <c r="T107" s="269"/>
      <c r="U107" s="269"/>
      <c r="V107" s="269">
        <f>IF(R107=23,0,R107+1)</f>
        <v>10</v>
      </c>
      <c r="W107" s="269"/>
      <c r="X107" s="269"/>
      <c r="Y107" s="269"/>
      <c r="Z107" s="269">
        <f>IF(V107=23,0,V107+1)</f>
        <v>11</v>
      </c>
      <c r="AA107" s="269"/>
      <c r="AB107" s="269"/>
      <c r="AC107" s="269"/>
      <c r="AD107" s="269">
        <f>IF(Z107=23,0,Z107+1)</f>
        <v>12</v>
      </c>
      <c r="AE107" s="269"/>
      <c r="AF107" s="269"/>
      <c r="AG107" s="269"/>
      <c r="AH107" s="269">
        <f>IF(AD107=23,0,AD107+1)</f>
        <v>13</v>
      </c>
      <c r="AI107" s="269"/>
      <c r="AJ107" s="269"/>
      <c r="AK107" s="269"/>
      <c r="AL107" s="269">
        <f>IF(AH107=23,0,AH107+1)</f>
        <v>14</v>
      </c>
      <c r="AM107" s="269"/>
      <c r="AN107" s="269"/>
      <c r="AO107" s="269"/>
      <c r="AP107" s="269">
        <f>IF(AL107=23,0,AL107+1)</f>
        <v>15</v>
      </c>
      <c r="AQ107" s="269"/>
      <c r="AR107" s="269"/>
      <c r="AS107" s="269"/>
      <c r="AT107" s="269">
        <f>IF(AP107=23,0,AP107+1)</f>
        <v>16</v>
      </c>
      <c r="AU107" s="269"/>
      <c r="AV107" s="269"/>
      <c r="AW107" s="269"/>
      <c r="AX107" s="269">
        <f>IF(AT107=23,0,AT107+1)</f>
        <v>17</v>
      </c>
      <c r="AY107" s="269"/>
      <c r="AZ107" s="269"/>
      <c r="BA107" s="269"/>
      <c r="BB107" s="269">
        <f>IF(AX107=23,0,AX107+1)</f>
        <v>18</v>
      </c>
      <c r="BC107" s="269"/>
      <c r="BD107" s="269"/>
      <c r="BE107" s="269"/>
      <c r="BF107" s="269">
        <f>IF(BB107=23,0,BB107+1)</f>
        <v>19</v>
      </c>
      <c r="BG107" s="269"/>
      <c r="BH107" s="269"/>
      <c r="BI107" s="269"/>
      <c r="BJ107" s="269">
        <f>IF(BF107=23,0,BF107+1)</f>
        <v>20</v>
      </c>
      <c r="BK107" s="269"/>
      <c r="BL107" s="269"/>
      <c r="BM107" s="269"/>
      <c r="BN107" s="269">
        <f>IF(BJ107=23,0,BJ107+1)</f>
        <v>21</v>
      </c>
      <c r="BO107" s="269"/>
      <c r="BP107" s="269"/>
      <c r="BQ107" s="269"/>
      <c r="BR107" s="269">
        <f>IF(BN107=23,0,BN107+1)</f>
        <v>22</v>
      </c>
      <c r="BS107" s="264"/>
      <c r="BT107" s="264"/>
      <c r="BU107" s="264"/>
      <c r="BV107" s="265">
        <f>IF(BR107=23,0,BR107+1)</f>
        <v>23</v>
      </c>
      <c r="BW107" s="231"/>
      <c r="BX107" s="231"/>
      <c r="BY107" s="231"/>
      <c r="BZ107" s="28"/>
      <c r="CA107" s="28"/>
    </row>
    <row r="108" spans="2:79" ht="17.100000000000001" customHeight="1" x14ac:dyDescent="0.15">
      <c r="B108" s="28"/>
      <c r="C108" s="231"/>
      <c r="D108" s="231"/>
      <c r="E108" s="231"/>
      <c r="F108" s="231"/>
      <c r="G108" s="231"/>
      <c r="H108" s="231"/>
      <c r="I108" s="231"/>
      <c r="J108" s="270"/>
      <c r="K108" s="270"/>
      <c r="L108" s="270"/>
      <c r="M108" s="270"/>
      <c r="N108" s="270"/>
      <c r="O108" s="270"/>
      <c r="P108" s="270"/>
      <c r="Q108" s="270"/>
      <c r="R108" s="270"/>
      <c r="S108" s="270"/>
      <c r="T108" s="270"/>
      <c r="U108" s="270"/>
      <c r="V108" s="270"/>
      <c r="W108" s="270"/>
      <c r="X108" s="270"/>
      <c r="Y108" s="270"/>
      <c r="Z108" s="270"/>
      <c r="AA108" s="270"/>
      <c r="AB108" s="270"/>
      <c r="AC108" s="270"/>
      <c r="AD108" s="270"/>
      <c r="AE108" s="270"/>
      <c r="AF108" s="270"/>
      <c r="AG108" s="270"/>
      <c r="AH108" s="270"/>
      <c r="AI108" s="270"/>
      <c r="AJ108" s="270"/>
      <c r="AK108" s="270"/>
      <c r="AL108" s="270"/>
      <c r="AM108" s="270"/>
      <c r="AN108" s="270"/>
      <c r="AO108" s="270"/>
      <c r="AP108" s="270"/>
      <c r="AQ108" s="270"/>
      <c r="AR108" s="270"/>
      <c r="AS108" s="270"/>
      <c r="AT108" s="270"/>
      <c r="AU108" s="270"/>
      <c r="AV108" s="270"/>
      <c r="AW108" s="270"/>
      <c r="AX108" s="270"/>
      <c r="AY108" s="270"/>
      <c r="AZ108" s="270"/>
      <c r="BA108" s="270"/>
      <c r="BB108" s="270"/>
      <c r="BC108" s="270"/>
      <c r="BD108" s="270"/>
      <c r="BE108" s="270"/>
      <c r="BF108" s="270"/>
      <c r="BG108" s="270"/>
      <c r="BH108" s="270"/>
      <c r="BI108" s="270"/>
      <c r="BJ108" s="270"/>
      <c r="BK108" s="270"/>
      <c r="BL108" s="270"/>
      <c r="BM108" s="270"/>
      <c r="BN108" s="270"/>
      <c r="BO108" s="270"/>
      <c r="BP108" s="270"/>
      <c r="BQ108" s="270"/>
      <c r="BR108" s="270"/>
      <c r="BS108" s="270"/>
      <c r="BT108" s="270"/>
      <c r="BU108" s="266"/>
      <c r="BV108" s="266"/>
      <c r="BW108" s="231"/>
      <c r="BX108" s="231"/>
      <c r="BY108" s="231"/>
      <c r="BZ108" s="28"/>
      <c r="CA108" s="28"/>
    </row>
    <row r="109" spans="2:79" ht="17.100000000000001" customHeight="1" x14ac:dyDescent="0.15">
      <c r="B109" s="28"/>
      <c r="C109" s="231"/>
      <c r="D109" s="231"/>
      <c r="E109" s="231"/>
      <c r="F109" s="231"/>
      <c r="G109" s="243" t="s">
        <v>53</v>
      </c>
      <c r="H109" s="244"/>
      <c r="I109" s="231"/>
      <c r="J109" s="269">
        <f>D101</f>
        <v>7</v>
      </c>
      <c r="K109" s="264"/>
      <c r="L109" s="264"/>
      <c r="M109" s="264"/>
      <c r="N109" s="269">
        <f>IF(J109=23,0,J109+1)</f>
        <v>8</v>
      </c>
      <c r="O109" s="264"/>
      <c r="P109" s="264"/>
      <c r="Q109" s="264"/>
      <c r="R109" s="269">
        <f>IF(N109=23,0,N109+1)</f>
        <v>9</v>
      </c>
      <c r="S109" s="269"/>
      <c r="T109" s="269"/>
      <c r="U109" s="269"/>
      <c r="V109" s="269">
        <f>IF(R109=23,0,R109+1)</f>
        <v>10</v>
      </c>
      <c r="W109" s="269"/>
      <c r="X109" s="269"/>
      <c r="Y109" s="269"/>
      <c r="Z109" s="269">
        <f>IF(V109=23,0,V109+1)</f>
        <v>11</v>
      </c>
      <c r="AA109" s="269"/>
      <c r="AB109" s="269"/>
      <c r="AC109" s="269"/>
      <c r="AD109" s="269">
        <f>IF(Z109=23,0,Z109+1)</f>
        <v>12</v>
      </c>
      <c r="AE109" s="269"/>
      <c r="AF109" s="269"/>
      <c r="AG109" s="269"/>
      <c r="AH109" s="269">
        <f>IF(AD109=23,0,AD109+1)</f>
        <v>13</v>
      </c>
      <c r="AI109" s="269"/>
      <c r="AJ109" s="269"/>
      <c r="AK109" s="269"/>
      <c r="AL109" s="269">
        <f>IF(AH109=23,0,AH109+1)</f>
        <v>14</v>
      </c>
      <c r="AM109" s="269"/>
      <c r="AN109" s="269"/>
      <c r="AO109" s="269"/>
      <c r="AP109" s="269">
        <f>IF(AL109=23,0,AL109+1)</f>
        <v>15</v>
      </c>
      <c r="AQ109" s="269"/>
      <c r="AR109" s="269"/>
      <c r="AS109" s="269"/>
      <c r="AT109" s="269">
        <f>IF(AP109=23,0,AP109+1)</f>
        <v>16</v>
      </c>
      <c r="AU109" s="269"/>
      <c r="AV109" s="269"/>
      <c r="AW109" s="269"/>
      <c r="AX109" s="269">
        <f>IF(AT109=23,0,AT109+1)</f>
        <v>17</v>
      </c>
      <c r="AY109" s="269"/>
      <c r="AZ109" s="269"/>
      <c r="BA109" s="269"/>
      <c r="BB109" s="269">
        <f>IF(AX109=23,0,AX109+1)</f>
        <v>18</v>
      </c>
      <c r="BC109" s="269"/>
      <c r="BD109" s="269"/>
      <c r="BE109" s="269"/>
      <c r="BF109" s="269">
        <f>IF(BB109=23,0,BB109+1)</f>
        <v>19</v>
      </c>
      <c r="BG109" s="269"/>
      <c r="BH109" s="269"/>
      <c r="BI109" s="269"/>
      <c r="BJ109" s="269">
        <f>IF(BF109=23,0,BF109+1)</f>
        <v>20</v>
      </c>
      <c r="BK109" s="269"/>
      <c r="BL109" s="269"/>
      <c r="BM109" s="269"/>
      <c r="BN109" s="269">
        <f>IF(BJ109=23,0,BJ109+1)</f>
        <v>21</v>
      </c>
      <c r="BO109" s="269"/>
      <c r="BP109" s="269"/>
      <c r="BQ109" s="269"/>
      <c r="BR109" s="269">
        <f>IF(BN109=23,0,BN109+1)</f>
        <v>22</v>
      </c>
      <c r="BS109" s="264"/>
      <c r="BT109" s="264"/>
      <c r="BU109" s="264"/>
      <c r="BV109" s="265">
        <f>IF(BR109=23,0,BR109+1)</f>
        <v>23</v>
      </c>
      <c r="BW109" s="231"/>
      <c r="BX109" s="231"/>
      <c r="BY109" s="231"/>
      <c r="BZ109" s="28"/>
      <c r="CA109" s="28"/>
    </row>
    <row r="110" spans="2:79" ht="17.100000000000001" customHeight="1" x14ac:dyDescent="0.15">
      <c r="B110" s="28"/>
      <c r="C110" s="231"/>
      <c r="D110" s="231"/>
      <c r="E110" s="231"/>
      <c r="F110" s="231"/>
      <c r="G110" s="231"/>
      <c r="H110" s="231"/>
      <c r="I110" s="231"/>
      <c r="J110" s="270"/>
      <c r="K110" s="270"/>
      <c r="L110" s="270"/>
      <c r="M110" s="270"/>
      <c r="N110" s="270"/>
      <c r="O110" s="270"/>
      <c r="P110" s="270"/>
      <c r="Q110" s="270"/>
      <c r="R110" s="270"/>
      <c r="S110" s="270"/>
      <c r="T110" s="270"/>
      <c r="U110" s="270"/>
      <c r="V110" s="270"/>
      <c r="W110" s="270"/>
      <c r="X110" s="270"/>
      <c r="Y110" s="270"/>
      <c r="Z110" s="270"/>
      <c r="AA110" s="270"/>
      <c r="AB110" s="270"/>
      <c r="AC110" s="270"/>
      <c r="AD110" s="270"/>
      <c r="AE110" s="270"/>
      <c r="AF110" s="270"/>
      <c r="AG110" s="270"/>
      <c r="AH110" s="270"/>
      <c r="AI110" s="270"/>
      <c r="AJ110" s="270"/>
      <c r="AK110" s="270"/>
      <c r="AL110" s="270"/>
      <c r="AM110" s="270"/>
      <c r="AN110" s="270"/>
      <c r="AO110" s="270"/>
      <c r="AP110" s="270"/>
      <c r="AQ110" s="270"/>
      <c r="AR110" s="270"/>
      <c r="AS110" s="270"/>
      <c r="AT110" s="270"/>
      <c r="AU110" s="270"/>
      <c r="AV110" s="270"/>
      <c r="AW110" s="270"/>
      <c r="AX110" s="270"/>
      <c r="AY110" s="270"/>
      <c r="AZ110" s="270"/>
      <c r="BA110" s="270"/>
      <c r="BB110" s="270"/>
      <c r="BC110" s="270"/>
      <c r="BD110" s="270"/>
      <c r="BE110" s="270"/>
      <c r="BF110" s="270"/>
      <c r="BG110" s="270"/>
      <c r="BH110" s="270"/>
      <c r="BI110" s="270"/>
      <c r="BJ110" s="270"/>
      <c r="BK110" s="270"/>
      <c r="BL110" s="270"/>
      <c r="BM110" s="270"/>
      <c r="BN110" s="270"/>
      <c r="BO110" s="270"/>
      <c r="BP110" s="270"/>
      <c r="BQ110" s="270"/>
      <c r="BR110" s="270"/>
      <c r="BS110" s="270"/>
      <c r="BT110" s="270"/>
      <c r="BU110" s="266"/>
      <c r="BV110" s="266"/>
      <c r="BW110" s="231"/>
      <c r="BX110" s="231"/>
      <c r="BY110" s="231"/>
      <c r="BZ110" s="28"/>
      <c r="CA110" s="28"/>
    </row>
    <row r="111" spans="2:79" ht="17.100000000000001" customHeight="1" x14ac:dyDescent="0.15">
      <c r="B111" s="28"/>
      <c r="C111" s="231"/>
      <c r="D111" s="231"/>
      <c r="E111" s="231"/>
      <c r="F111" s="231"/>
      <c r="G111" s="243" t="s">
        <v>54</v>
      </c>
      <c r="H111" s="244"/>
      <c r="I111" s="231"/>
      <c r="J111" s="269">
        <f>D101</f>
        <v>7</v>
      </c>
      <c r="K111" s="264"/>
      <c r="L111" s="264"/>
      <c r="M111" s="264"/>
      <c r="N111" s="269">
        <f>IF(J111=23,0,J111+1)</f>
        <v>8</v>
      </c>
      <c r="O111" s="264"/>
      <c r="P111" s="264"/>
      <c r="Q111" s="264"/>
      <c r="R111" s="269">
        <f>IF(N111=23,0,N111+1)</f>
        <v>9</v>
      </c>
      <c r="S111" s="269"/>
      <c r="T111" s="269"/>
      <c r="U111" s="269"/>
      <c r="V111" s="269">
        <f>IF(R111=23,0,R111+1)</f>
        <v>10</v>
      </c>
      <c r="W111" s="269"/>
      <c r="X111" s="269"/>
      <c r="Y111" s="269"/>
      <c r="Z111" s="269">
        <f>IF(V111=23,0,V111+1)</f>
        <v>11</v>
      </c>
      <c r="AA111" s="269"/>
      <c r="AB111" s="269"/>
      <c r="AC111" s="269"/>
      <c r="AD111" s="269">
        <f>IF(Z111=23,0,Z111+1)</f>
        <v>12</v>
      </c>
      <c r="AE111" s="269"/>
      <c r="AF111" s="269"/>
      <c r="AG111" s="269"/>
      <c r="AH111" s="269">
        <f>IF(AD111=23,0,AD111+1)</f>
        <v>13</v>
      </c>
      <c r="AI111" s="269"/>
      <c r="AJ111" s="269"/>
      <c r="AK111" s="269"/>
      <c r="AL111" s="269">
        <f>IF(AH111=23,0,AH111+1)</f>
        <v>14</v>
      </c>
      <c r="AM111" s="269"/>
      <c r="AN111" s="269"/>
      <c r="AO111" s="269"/>
      <c r="AP111" s="269">
        <f>IF(AL111=23,0,AL111+1)</f>
        <v>15</v>
      </c>
      <c r="AQ111" s="269"/>
      <c r="AR111" s="269"/>
      <c r="AS111" s="269"/>
      <c r="AT111" s="269">
        <f>IF(AP111=23,0,AP111+1)</f>
        <v>16</v>
      </c>
      <c r="AU111" s="269"/>
      <c r="AV111" s="269"/>
      <c r="AW111" s="269"/>
      <c r="AX111" s="269">
        <f>IF(AT111=23,0,AT111+1)</f>
        <v>17</v>
      </c>
      <c r="AY111" s="269"/>
      <c r="AZ111" s="269"/>
      <c r="BA111" s="269"/>
      <c r="BB111" s="269">
        <f>IF(AX111=23,0,AX111+1)</f>
        <v>18</v>
      </c>
      <c r="BC111" s="269"/>
      <c r="BD111" s="269"/>
      <c r="BE111" s="269"/>
      <c r="BF111" s="269">
        <f>IF(BB111=23,0,BB111+1)</f>
        <v>19</v>
      </c>
      <c r="BG111" s="269"/>
      <c r="BH111" s="269"/>
      <c r="BI111" s="269"/>
      <c r="BJ111" s="269">
        <f>IF(BF111=23,0,BF111+1)</f>
        <v>20</v>
      </c>
      <c r="BK111" s="269"/>
      <c r="BL111" s="269"/>
      <c r="BM111" s="269"/>
      <c r="BN111" s="269">
        <f>IF(BJ111=23,0,BJ111+1)</f>
        <v>21</v>
      </c>
      <c r="BO111" s="269"/>
      <c r="BP111" s="269"/>
      <c r="BQ111" s="269"/>
      <c r="BR111" s="269">
        <f>IF(BN111=23,0,BN111+1)</f>
        <v>22</v>
      </c>
      <c r="BS111" s="264"/>
      <c r="BT111" s="264"/>
      <c r="BU111" s="264"/>
      <c r="BV111" s="265">
        <f>IF(BR111=23,0,BR111+1)</f>
        <v>23</v>
      </c>
      <c r="BW111" s="231"/>
      <c r="BX111" s="231"/>
      <c r="BY111" s="231"/>
      <c r="BZ111" s="28"/>
      <c r="CA111" s="28"/>
    </row>
    <row r="112" spans="2:79" ht="17.100000000000001" customHeight="1" x14ac:dyDescent="0.15">
      <c r="B112" s="28"/>
      <c r="C112" s="231"/>
      <c r="D112" s="231"/>
      <c r="E112" s="231"/>
      <c r="F112" s="231"/>
      <c r="G112" s="231"/>
      <c r="H112" s="231"/>
      <c r="I112" s="231"/>
      <c r="J112" s="270"/>
      <c r="K112" s="270"/>
      <c r="L112" s="270"/>
      <c r="M112" s="270"/>
      <c r="N112" s="270"/>
      <c r="O112" s="270"/>
      <c r="P112" s="270"/>
      <c r="Q112" s="270"/>
      <c r="R112" s="270"/>
      <c r="S112" s="270"/>
      <c r="T112" s="270"/>
      <c r="U112" s="270"/>
      <c r="V112" s="270"/>
      <c r="W112" s="270"/>
      <c r="X112" s="270"/>
      <c r="Y112" s="270"/>
      <c r="Z112" s="270"/>
      <c r="AA112" s="270"/>
      <c r="AB112" s="270"/>
      <c r="AC112" s="270"/>
      <c r="AD112" s="270"/>
      <c r="AE112" s="270"/>
      <c r="AF112" s="270"/>
      <c r="AG112" s="270"/>
      <c r="AH112" s="270"/>
      <c r="AI112" s="270"/>
      <c r="AJ112" s="270"/>
      <c r="AK112" s="270"/>
      <c r="AL112" s="270"/>
      <c r="AM112" s="270"/>
      <c r="AN112" s="270"/>
      <c r="AO112" s="270"/>
      <c r="AP112" s="270"/>
      <c r="AQ112" s="270"/>
      <c r="AR112" s="270"/>
      <c r="AS112" s="270"/>
      <c r="AT112" s="270"/>
      <c r="AU112" s="270"/>
      <c r="AV112" s="270"/>
      <c r="AW112" s="270"/>
      <c r="AX112" s="270"/>
      <c r="AY112" s="270"/>
      <c r="AZ112" s="270"/>
      <c r="BA112" s="270"/>
      <c r="BB112" s="270"/>
      <c r="BC112" s="270"/>
      <c r="BD112" s="270"/>
      <c r="BE112" s="270"/>
      <c r="BF112" s="270"/>
      <c r="BG112" s="270"/>
      <c r="BH112" s="270"/>
      <c r="BI112" s="270"/>
      <c r="BJ112" s="270"/>
      <c r="BK112" s="270"/>
      <c r="BL112" s="270"/>
      <c r="BM112" s="270"/>
      <c r="BN112" s="270"/>
      <c r="BO112" s="270"/>
      <c r="BP112" s="270"/>
      <c r="BQ112" s="270"/>
      <c r="BR112" s="270"/>
      <c r="BS112" s="270"/>
      <c r="BT112" s="270"/>
      <c r="BU112" s="266"/>
      <c r="BV112" s="266"/>
      <c r="BW112" s="231"/>
      <c r="BX112" s="231"/>
      <c r="BY112" s="231"/>
      <c r="BZ112" s="28"/>
      <c r="CA112" s="28"/>
    </row>
    <row r="113" spans="2:79" ht="17.100000000000001" customHeight="1" x14ac:dyDescent="0.15">
      <c r="B113" s="28"/>
      <c r="C113" s="231"/>
      <c r="D113" s="243"/>
      <c r="E113" s="243"/>
      <c r="F113" s="243"/>
      <c r="G113" s="243"/>
      <c r="H113" s="243"/>
      <c r="I113" s="243"/>
      <c r="J113" s="3873" t="s">
        <v>2353</v>
      </c>
      <c r="K113" s="3874"/>
      <c r="L113" s="3874"/>
      <c r="M113" s="3874"/>
      <c r="N113" s="3874"/>
      <c r="O113" s="3874"/>
      <c r="P113" s="3874"/>
      <c r="Q113" s="3874"/>
      <c r="R113" s="3874"/>
      <c r="S113" s="3874"/>
      <c r="T113" s="3874"/>
      <c r="U113" s="3874"/>
      <c r="V113" s="3874"/>
      <c r="W113" s="3874"/>
      <c r="X113" s="3874"/>
      <c r="Y113" s="3874"/>
      <c r="Z113" s="3874"/>
      <c r="AA113" s="3874"/>
      <c r="AB113" s="3874"/>
      <c r="AC113" s="3874"/>
      <c r="AD113" s="3874"/>
      <c r="AE113" s="3874"/>
      <c r="AF113" s="3874"/>
      <c r="AG113" s="3874"/>
      <c r="AH113" s="3874"/>
      <c r="AI113" s="3874"/>
      <c r="AJ113" s="3874"/>
      <c r="AK113" s="3874"/>
      <c r="AL113" s="3874"/>
      <c r="AM113" s="3874"/>
      <c r="AN113" s="3874"/>
      <c r="AO113" s="3874"/>
      <c r="AP113" s="3874"/>
      <c r="AQ113" s="3874"/>
      <c r="AR113" s="3874"/>
      <c r="AS113" s="3874"/>
      <c r="AT113" s="3874"/>
      <c r="AU113" s="3874"/>
      <c r="AV113" s="3874"/>
      <c r="AW113" s="3874"/>
      <c r="AX113" s="3874"/>
      <c r="AY113" s="3874"/>
      <c r="AZ113" s="3874"/>
      <c r="BA113" s="3874"/>
      <c r="BB113" s="3874"/>
      <c r="BC113" s="3874"/>
      <c r="BD113" s="3874"/>
      <c r="BE113" s="3874"/>
      <c r="BF113" s="3874"/>
      <c r="BG113" s="3874"/>
      <c r="BH113" s="3874"/>
      <c r="BI113" s="3874"/>
      <c r="BJ113" s="3874"/>
      <c r="BK113" s="3874"/>
      <c r="BL113" s="3874"/>
      <c r="BM113" s="3874"/>
      <c r="BN113" s="3874"/>
      <c r="BO113" s="3874"/>
      <c r="BP113" s="3874"/>
      <c r="BQ113" s="3874"/>
      <c r="BR113" s="3874"/>
      <c r="BS113" s="3874"/>
      <c r="BT113" s="3874"/>
      <c r="BU113" s="3875"/>
      <c r="BV113" s="276"/>
      <c r="BW113" s="249"/>
      <c r="BX113" s="249"/>
      <c r="BY113" s="231"/>
      <c r="BZ113" s="28"/>
      <c r="CA113" s="28"/>
    </row>
    <row r="114" spans="2:79" ht="17.100000000000001" customHeight="1" x14ac:dyDescent="0.15">
      <c r="B114" s="28"/>
      <c r="C114" s="231"/>
      <c r="D114" s="231"/>
      <c r="E114" s="231"/>
      <c r="F114" s="231"/>
      <c r="G114" s="231"/>
      <c r="H114" s="231"/>
      <c r="I114" s="231"/>
      <c r="J114" s="270"/>
      <c r="K114" s="270"/>
      <c r="L114" s="270"/>
      <c r="M114" s="270"/>
      <c r="N114" s="270"/>
      <c r="O114" s="270"/>
      <c r="P114" s="270"/>
      <c r="Q114" s="270"/>
      <c r="R114" s="270"/>
      <c r="S114" s="270"/>
      <c r="T114" s="270"/>
      <c r="U114" s="270"/>
      <c r="V114" s="270"/>
      <c r="W114" s="270"/>
      <c r="X114" s="270"/>
      <c r="Y114" s="270"/>
      <c r="Z114" s="270"/>
      <c r="AA114" s="270"/>
      <c r="AB114" s="270"/>
      <c r="AC114" s="270"/>
      <c r="AD114" s="270"/>
      <c r="AE114" s="270"/>
      <c r="AF114" s="270"/>
      <c r="AG114" s="270"/>
      <c r="AH114" s="270"/>
      <c r="AI114" s="270"/>
      <c r="AJ114" s="270"/>
      <c r="AK114" s="270"/>
      <c r="AL114" s="270"/>
      <c r="AM114" s="270"/>
      <c r="AN114" s="270"/>
      <c r="AO114" s="270"/>
      <c r="AP114" s="270"/>
      <c r="AQ114" s="270"/>
      <c r="AR114" s="270"/>
      <c r="AS114" s="270"/>
      <c r="AT114" s="270"/>
      <c r="AU114" s="270"/>
      <c r="AV114" s="270"/>
      <c r="AW114" s="270"/>
      <c r="AX114" s="270"/>
      <c r="AY114" s="270"/>
      <c r="AZ114" s="270"/>
      <c r="BA114" s="270"/>
      <c r="BB114" s="270"/>
      <c r="BC114" s="270"/>
      <c r="BD114" s="270"/>
      <c r="BE114" s="270"/>
      <c r="BF114" s="270"/>
      <c r="BG114" s="270"/>
      <c r="BH114" s="270"/>
      <c r="BI114" s="270"/>
      <c r="BJ114" s="270"/>
      <c r="BK114" s="270"/>
      <c r="BL114" s="270"/>
      <c r="BM114" s="270"/>
      <c r="BN114" s="277"/>
      <c r="BO114" s="277"/>
      <c r="BP114" s="277"/>
      <c r="BQ114" s="277"/>
      <c r="BR114" s="277"/>
      <c r="BS114" s="277"/>
      <c r="BT114" s="277"/>
      <c r="BU114" s="267"/>
      <c r="BV114" s="267"/>
      <c r="BW114" s="245"/>
      <c r="BX114" s="245"/>
      <c r="BY114" s="231"/>
      <c r="BZ114" s="28"/>
      <c r="CA114" s="28"/>
    </row>
    <row r="115" spans="2:79" ht="17.100000000000001" customHeight="1" x14ac:dyDescent="0.15">
      <c r="B115" s="28"/>
      <c r="C115" s="231"/>
      <c r="D115" s="2262" t="s">
        <v>803</v>
      </c>
      <c r="E115" s="2263"/>
      <c r="F115" s="231"/>
      <c r="G115" s="243" t="s">
        <v>48</v>
      </c>
      <c r="H115" s="244"/>
      <c r="I115" s="231"/>
      <c r="J115" s="269">
        <f>D117</f>
        <v>7</v>
      </c>
      <c r="K115" s="264"/>
      <c r="L115" s="264"/>
      <c r="M115" s="264"/>
      <c r="N115" s="269">
        <f>IF(J115=23,0,J115+1)</f>
        <v>8</v>
      </c>
      <c r="O115" s="264"/>
      <c r="P115" s="264"/>
      <c r="Q115" s="264"/>
      <c r="R115" s="269">
        <f>IF(N115=23,0,N115+1)</f>
        <v>9</v>
      </c>
      <c r="S115" s="269"/>
      <c r="T115" s="269"/>
      <c r="U115" s="269"/>
      <c r="V115" s="269">
        <f>IF(R115=23,0,R115+1)</f>
        <v>10</v>
      </c>
      <c r="W115" s="269"/>
      <c r="X115" s="269"/>
      <c r="Y115" s="269"/>
      <c r="Z115" s="269">
        <f>IF(V115=23,0,V115+1)</f>
        <v>11</v>
      </c>
      <c r="AA115" s="269"/>
      <c r="AB115" s="269"/>
      <c r="AC115" s="269"/>
      <c r="AD115" s="269">
        <f>IF(Z115=23,0,Z115+1)</f>
        <v>12</v>
      </c>
      <c r="AE115" s="269"/>
      <c r="AF115" s="269"/>
      <c r="AG115" s="269"/>
      <c r="AH115" s="269">
        <f>IF(AD115=23,0,AD115+1)</f>
        <v>13</v>
      </c>
      <c r="AI115" s="269"/>
      <c r="AJ115" s="269"/>
      <c r="AK115" s="269"/>
      <c r="AL115" s="269">
        <f>IF(AH115=23,0,AH115+1)</f>
        <v>14</v>
      </c>
      <c r="AM115" s="269"/>
      <c r="AN115" s="269"/>
      <c r="AO115" s="269"/>
      <c r="AP115" s="269">
        <f>IF(AL115=23,0,AL115+1)</f>
        <v>15</v>
      </c>
      <c r="AQ115" s="269"/>
      <c r="AR115" s="269"/>
      <c r="AS115" s="269"/>
      <c r="AT115" s="269">
        <f>IF(AP115=23,0,AP115+1)</f>
        <v>16</v>
      </c>
      <c r="AU115" s="269"/>
      <c r="AV115" s="269"/>
      <c r="AW115" s="269"/>
      <c r="AX115" s="269">
        <f>IF(AT115=23,0,AT115+1)</f>
        <v>17</v>
      </c>
      <c r="AY115" s="269"/>
      <c r="AZ115" s="269"/>
      <c r="BA115" s="269"/>
      <c r="BB115" s="269">
        <f>IF(AX115=23,0,AX115+1)</f>
        <v>18</v>
      </c>
      <c r="BC115" s="269"/>
      <c r="BD115" s="269"/>
      <c r="BE115" s="269"/>
      <c r="BF115" s="269">
        <f>IF(BB115=23,0,BB115+1)</f>
        <v>19</v>
      </c>
      <c r="BG115" s="269"/>
      <c r="BH115" s="269"/>
      <c r="BI115" s="269"/>
      <c r="BJ115" s="269">
        <f>IF(BF115=23,0,BF115+1)</f>
        <v>20</v>
      </c>
      <c r="BK115" s="269"/>
      <c r="BL115" s="269"/>
      <c r="BM115" s="269"/>
      <c r="BN115" s="269">
        <f>IF(BJ115=23,0,BJ115+1)</f>
        <v>21</v>
      </c>
      <c r="BO115" s="269"/>
      <c r="BP115" s="269"/>
      <c r="BQ115" s="269"/>
      <c r="BR115" s="269">
        <f>IF(BN115=23,0,BN115+1)</f>
        <v>22</v>
      </c>
      <c r="BS115" s="264"/>
      <c r="BT115" s="264"/>
      <c r="BU115" s="264"/>
      <c r="BV115" s="265">
        <f>IF(BR115=23,0,BR115+1)</f>
        <v>23</v>
      </c>
      <c r="BW115" s="245"/>
      <c r="BX115" s="245"/>
      <c r="BY115" s="231"/>
      <c r="BZ115" s="28"/>
      <c r="CA115" s="28"/>
    </row>
    <row r="116" spans="2:79" ht="17.100000000000001" customHeight="1" x14ac:dyDescent="0.15">
      <c r="B116" s="28"/>
      <c r="C116" s="231"/>
      <c r="D116" s="2262" t="s">
        <v>804</v>
      </c>
      <c r="E116" s="2263"/>
      <c r="F116" s="231"/>
      <c r="G116" s="231"/>
      <c r="H116" s="231"/>
      <c r="I116" s="231"/>
      <c r="J116" s="270"/>
      <c r="K116" s="270"/>
      <c r="L116" s="270"/>
      <c r="M116" s="270"/>
      <c r="N116" s="270"/>
      <c r="O116" s="270"/>
      <c r="P116" s="270"/>
      <c r="Q116" s="270"/>
      <c r="R116" s="270"/>
      <c r="S116" s="270"/>
      <c r="T116" s="270"/>
      <c r="U116" s="270"/>
      <c r="V116" s="270"/>
      <c r="W116" s="270"/>
      <c r="X116" s="270"/>
      <c r="Y116" s="270"/>
      <c r="Z116" s="270"/>
      <c r="AA116" s="270"/>
      <c r="AB116" s="270"/>
      <c r="AC116" s="270"/>
      <c r="AD116" s="270"/>
      <c r="AE116" s="270"/>
      <c r="AF116" s="270"/>
      <c r="AG116" s="270"/>
      <c r="AH116" s="270"/>
      <c r="AI116" s="270"/>
      <c r="AJ116" s="270"/>
      <c r="AK116" s="270"/>
      <c r="AL116" s="270"/>
      <c r="AM116" s="270"/>
      <c r="AN116" s="270"/>
      <c r="AO116" s="270"/>
      <c r="AP116" s="270"/>
      <c r="AQ116" s="270"/>
      <c r="AR116" s="270"/>
      <c r="AS116" s="270"/>
      <c r="AT116" s="270"/>
      <c r="AU116" s="270"/>
      <c r="AV116" s="270"/>
      <c r="AW116" s="270"/>
      <c r="AX116" s="270"/>
      <c r="AY116" s="270"/>
      <c r="AZ116" s="270"/>
      <c r="BA116" s="270"/>
      <c r="BB116" s="270"/>
      <c r="BC116" s="270"/>
      <c r="BD116" s="270"/>
      <c r="BE116" s="270"/>
      <c r="BF116" s="270"/>
      <c r="BG116" s="270"/>
      <c r="BH116" s="270"/>
      <c r="BI116" s="270"/>
      <c r="BJ116" s="270"/>
      <c r="BK116" s="270"/>
      <c r="BL116" s="270"/>
      <c r="BM116" s="270"/>
      <c r="BN116" s="270"/>
      <c r="BO116" s="270"/>
      <c r="BP116" s="270"/>
      <c r="BQ116" s="270"/>
      <c r="BR116" s="270"/>
      <c r="BS116" s="270"/>
      <c r="BT116" s="270"/>
      <c r="BU116" s="266"/>
      <c r="BV116" s="267"/>
      <c r="BW116" s="245"/>
      <c r="BX116" s="231"/>
      <c r="BY116" s="231"/>
      <c r="BZ116" s="28"/>
      <c r="CA116" s="28"/>
    </row>
    <row r="117" spans="2:79" ht="17.100000000000001" customHeight="1" x14ac:dyDescent="0.15">
      <c r="B117" s="28"/>
      <c r="C117" s="231"/>
      <c r="D117" s="3871">
        <v>7</v>
      </c>
      <c r="E117" s="3872"/>
      <c r="F117" s="231"/>
      <c r="G117" s="243" t="s">
        <v>49</v>
      </c>
      <c r="H117" s="244"/>
      <c r="I117" s="231"/>
      <c r="J117" s="269">
        <f>D117</f>
        <v>7</v>
      </c>
      <c r="K117" s="264"/>
      <c r="L117" s="264"/>
      <c r="M117" s="264"/>
      <c r="N117" s="269">
        <f>IF(J117=23,0,J117+1)</f>
        <v>8</v>
      </c>
      <c r="O117" s="264"/>
      <c r="P117" s="264"/>
      <c r="Q117" s="264"/>
      <c r="R117" s="269">
        <f>IF(N117=23,0,N117+1)</f>
        <v>9</v>
      </c>
      <c r="S117" s="269"/>
      <c r="T117" s="269"/>
      <c r="U117" s="269"/>
      <c r="V117" s="269">
        <f>IF(R117=23,0,R117+1)</f>
        <v>10</v>
      </c>
      <c r="W117" s="269"/>
      <c r="X117" s="269"/>
      <c r="Y117" s="269"/>
      <c r="Z117" s="269">
        <f>IF(V117=23,0,V117+1)</f>
        <v>11</v>
      </c>
      <c r="AA117" s="269"/>
      <c r="AB117" s="269"/>
      <c r="AC117" s="269"/>
      <c r="AD117" s="269">
        <f>IF(Z117=23,0,Z117+1)</f>
        <v>12</v>
      </c>
      <c r="AE117" s="269"/>
      <c r="AF117" s="269"/>
      <c r="AG117" s="269"/>
      <c r="AH117" s="269">
        <f>IF(AD117=23,0,AD117+1)</f>
        <v>13</v>
      </c>
      <c r="AI117" s="269"/>
      <c r="AJ117" s="269"/>
      <c r="AK117" s="269"/>
      <c r="AL117" s="269">
        <f>IF(AH117=23,0,AH117+1)</f>
        <v>14</v>
      </c>
      <c r="AM117" s="269"/>
      <c r="AN117" s="269"/>
      <c r="AO117" s="269"/>
      <c r="AP117" s="269">
        <f>IF(AL117=23,0,AL117+1)</f>
        <v>15</v>
      </c>
      <c r="AQ117" s="269"/>
      <c r="AR117" s="269"/>
      <c r="AS117" s="269"/>
      <c r="AT117" s="269">
        <f>IF(AP117=23,0,AP117+1)</f>
        <v>16</v>
      </c>
      <c r="AU117" s="269"/>
      <c r="AV117" s="269"/>
      <c r="AW117" s="269"/>
      <c r="AX117" s="269">
        <f>IF(AT117=23,0,AT117+1)</f>
        <v>17</v>
      </c>
      <c r="AY117" s="269"/>
      <c r="AZ117" s="269"/>
      <c r="BA117" s="269"/>
      <c r="BB117" s="269">
        <f>IF(AX117=23,0,AX117+1)</f>
        <v>18</v>
      </c>
      <c r="BC117" s="269"/>
      <c r="BD117" s="269"/>
      <c r="BE117" s="269"/>
      <c r="BF117" s="269">
        <f>IF(BB117=23,0,BB117+1)</f>
        <v>19</v>
      </c>
      <c r="BG117" s="269"/>
      <c r="BH117" s="269"/>
      <c r="BI117" s="269"/>
      <c r="BJ117" s="269">
        <f>IF(BF117=23,0,BF117+1)</f>
        <v>20</v>
      </c>
      <c r="BK117" s="269"/>
      <c r="BL117" s="269"/>
      <c r="BM117" s="269"/>
      <c r="BN117" s="269">
        <f>IF(BJ117=23,0,BJ117+1)</f>
        <v>21</v>
      </c>
      <c r="BO117" s="269"/>
      <c r="BP117" s="269"/>
      <c r="BQ117" s="269"/>
      <c r="BR117" s="269">
        <f>IF(BN117=23,0,BN117+1)</f>
        <v>22</v>
      </c>
      <c r="BS117" s="264"/>
      <c r="BT117" s="264"/>
      <c r="BU117" s="264"/>
      <c r="BV117" s="265">
        <f>IF(BR117=23,0,BR117+1)</f>
        <v>23</v>
      </c>
      <c r="BW117" s="245"/>
      <c r="BX117" s="231"/>
      <c r="BY117" s="231"/>
      <c r="BZ117" s="28"/>
      <c r="CA117" s="28"/>
    </row>
    <row r="118" spans="2:79" ht="17.100000000000001" customHeight="1" x14ac:dyDescent="0.15">
      <c r="B118" s="28"/>
      <c r="C118" s="231"/>
      <c r="D118" s="231"/>
      <c r="E118" s="231"/>
      <c r="F118" s="231"/>
      <c r="G118" s="231"/>
      <c r="H118" s="231"/>
      <c r="I118" s="231"/>
      <c r="J118" s="270"/>
      <c r="K118" s="270"/>
      <c r="L118" s="270"/>
      <c r="M118" s="270"/>
      <c r="N118" s="270"/>
      <c r="O118" s="270"/>
      <c r="P118" s="270"/>
      <c r="Q118" s="270"/>
      <c r="R118" s="270"/>
      <c r="S118" s="270"/>
      <c r="T118" s="270"/>
      <c r="U118" s="270"/>
      <c r="V118" s="270"/>
      <c r="W118" s="270"/>
      <c r="X118" s="270"/>
      <c r="Y118" s="270"/>
      <c r="Z118" s="270"/>
      <c r="AA118" s="270"/>
      <c r="AB118" s="270"/>
      <c r="AC118" s="270"/>
      <c r="AD118" s="270"/>
      <c r="AE118" s="270"/>
      <c r="AF118" s="270"/>
      <c r="AG118" s="270"/>
      <c r="AH118" s="270"/>
      <c r="AI118" s="270"/>
      <c r="AJ118" s="270"/>
      <c r="AK118" s="270"/>
      <c r="AL118" s="270"/>
      <c r="AM118" s="270"/>
      <c r="AN118" s="270"/>
      <c r="AO118" s="270"/>
      <c r="AP118" s="270"/>
      <c r="AQ118" s="270"/>
      <c r="AR118" s="270"/>
      <c r="AS118" s="270"/>
      <c r="AT118" s="270"/>
      <c r="AU118" s="270"/>
      <c r="AV118" s="270"/>
      <c r="AW118" s="270"/>
      <c r="AX118" s="270"/>
      <c r="AY118" s="270"/>
      <c r="AZ118" s="270"/>
      <c r="BA118" s="270"/>
      <c r="BB118" s="270"/>
      <c r="BC118" s="270"/>
      <c r="BD118" s="270"/>
      <c r="BE118" s="270"/>
      <c r="BF118" s="270"/>
      <c r="BG118" s="270"/>
      <c r="BH118" s="270"/>
      <c r="BI118" s="270"/>
      <c r="BJ118" s="270"/>
      <c r="BK118" s="270"/>
      <c r="BL118" s="270"/>
      <c r="BM118" s="270"/>
      <c r="BN118" s="270"/>
      <c r="BO118" s="270"/>
      <c r="BP118" s="270"/>
      <c r="BQ118" s="270"/>
      <c r="BR118" s="270"/>
      <c r="BS118" s="270"/>
      <c r="BT118" s="270"/>
      <c r="BU118" s="266"/>
      <c r="BV118" s="267"/>
      <c r="BW118" s="245"/>
      <c r="BX118" s="231"/>
      <c r="BY118" s="231"/>
      <c r="BZ118" s="28"/>
      <c r="CA118" s="28"/>
    </row>
    <row r="119" spans="2:79" ht="17.100000000000001" customHeight="1" x14ac:dyDescent="0.15">
      <c r="B119" s="28"/>
      <c r="C119" s="231"/>
      <c r="D119" s="231"/>
      <c r="E119" s="231"/>
      <c r="F119" s="231"/>
      <c r="G119" s="243" t="s">
        <v>50</v>
      </c>
      <c r="H119" s="244"/>
      <c r="I119" s="231"/>
      <c r="J119" s="269">
        <f>D117</f>
        <v>7</v>
      </c>
      <c r="K119" s="264"/>
      <c r="L119" s="264"/>
      <c r="M119" s="264"/>
      <c r="N119" s="269">
        <f>IF(J119=23,0,J119+1)</f>
        <v>8</v>
      </c>
      <c r="O119" s="264"/>
      <c r="P119" s="264"/>
      <c r="Q119" s="264"/>
      <c r="R119" s="269">
        <f>IF(N119=23,0,N119+1)</f>
        <v>9</v>
      </c>
      <c r="S119" s="269"/>
      <c r="T119" s="269"/>
      <c r="U119" s="269"/>
      <c r="V119" s="269">
        <f>IF(R119=23,0,R119+1)</f>
        <v>10</v>
      </c>
      <c r="W119" s="269"/>
      <c r="X119" s="269"/>
      <c r="Y119" s="269"/>
      <c r="Z119" s="269">
        <f>IF(V119=23,0,V119+1)</f>
        <v>11</v>
      </c>
      <c r="AA119" s="269"/>
      <c r="AB119" s="269"/>
      <c r="AC119" s="269"/>
      <c r="AD119" s="269">
        <f>IF(Z119=23,0,Z119+1)</f>
        <v>12</v>
      </c>
      <c r="AE119" s="269"/>
      <c r="AF119" s="269"/>
      <c r="AG119" s="269"/>
      <c r="AH119" s="269">
        <f>IF(AD119=23,0,AD119+1)</f>
        <v>13</v>
      </c>
      <c r="AI119" s="269"/>
      <c r="AJ119" s="269"/>
      <c r="AK119" s="269"/>
      <c r="AL119" s="269">
        <f>IF(AH119=23,0,AH119+1)</f>
        <v>14</v>
      </c>
      <c r="AM119" s="269"/>
      <c r="AN119" s="269"/>
      <c r="AO119" s="269"/>
      <c r="AP119" s="269">
        <f>IF(AL119=23,0,AL119+1)</f>
        <v>15</v>
      </c>
      <c r="AQ119" s="269"/>
      <c r="AR119" s="269"/>
      <c r="AS119" s="269"/>
      <c r="AT119" s="269">
        <f>IF(AP119=23,0,AP119+1)</f>
        <v>16</v>
      </c>
      <c r="AU119" s="269"/>
      <c r="AV119" s="269"/>
      <c r="AW119" s="269"/>
      <c r="AX119" s="269">
        <f>IF(AT119=23,0,AT119+1)</f>
        <v>17</v>
      </c>
      <c r="AY119" s="269"/>
      <c r="AZ119" s="269"/>
      <c r="BA119" s="269"/>
      <c r="BB119" s="269">
        <f>IF(AX119=23,0,AX119+1)</f>
        <v>18</v>
      </c>
      <c r="BC119" s="269"/>
      <c r="BD119" s="269"/>
      <c r="BE119" s="269"/>
      <c r="BF119" s="269">
        <f>IF(BB119=23,0,BB119+1)</f>
        <v>19</v>
      </c>
      <c r="BG119" s="269"/>
      <c r="BH119" s="269"/>
      <c r="BI119" s="269"/>
      <c r="BJ119" s="269">
        <f>IF(BF119=23,0,BF119+1)</f>
        <v>20</v>
      </c>
      <c r="BK119" s="269"/>
      <c r="BL119" s="269"/>
      <c r="BM119" s="269"/>
      <c r="BN119" s="269">
        <f>IF(BJ119=23,0,BJ119+1)</f>
        <v>21</v>
      </c>
      <c r="BO119" s="269"/>
      <c r="BP119" s="269"/>
      <c r="BQ119" s="269"/>
      <c r="BR119" s="269">
        <f>IF(BN119=23,0,BN119+1)</f>
        <v>22</v>
      </c>
      <c r="BS119" s="264"/>
      <c r="BT119" s="264"/>
      <c r="BU119" s="264"/>
      <c r="BV119" s="265">
        <f>IF(BR119=23,0,BR119+1)</f>
        <v>23</v>
      </c>
      <c r="BW119" s="245"/>
      <c r="BX119" s="231"/>
      <c r="BY119" s="231"/>
      <c r="BZ119" s="28"/>
      <c r="CA119" s="28"/>
    </row>
    <row r="120" spans="2:79" ht="17.100000000000001" customHeight="1" x14ac:dyDescent="0.15">
      <c r="B120" s="28"/>
      <c r="C120" s="231"/>
      <c r="D120" s="231"/>
      <c r="E120" s="231"/>
      <c r="F120" s="231"/>
      <c r="G120" s="231"/>
      <c r="H120" s="231"/>
      <c r="I120" s="231"/>
      <c r="J120" s="270"/>
      <c r="K120" s="270"/>
      <c r="L120" s="270"/>
      <c r="M120" s="270"/>
      <c r="N120" s="270"/>
      <c r="O120" s="270"/>
      <c r="P120" s="270"/>
      <c r="Q120" s="270"/>
      <c r="R120" s="270"/>
      <c r="S120" s="270"/>
      <c r="T120" s="270"/>
      <c r="U120" s="270"/>
      <c r="V120" s="270"/>
      <c r="W120" s="270"/>
      <c r="X120" s="270"/>
      <c r="Y120" s="270"/>
      <c r="Z120" s="270"/>
      <c r="AA120" s="270"/>
      <c r="AB120" s="270"/>
      <c r="AC120" s="270"/>
      <c r="AD120" s="270"/>
      <c r="AE120" s="270"/>
      <c r="AF120" s="270"/>
      <c r="AG120" s="270"/>
      <c r="AH120" s="270"/>
      <c r="AI120" s="270"/>
      <c r="AJ120" s="270"/>
      <c r="AK120" s="270"/>
      <c r="AL120" s="270"/>
      <c r="AM120" s="270"/>
      <c r="AN120" s="270"/>
      <c r="AO120" s="270"/>
      <c r="AP120" s="270"/>
      <c r="AQ120" s="270"/>
      <c r="AR120" s="270"/>
      <c r="AS120" s="270"/>
      <c r="AT120" s="270"/>
      <c r="AU120" s="270"/>
      <c r="AV120" s="270"/>
      <c r="AW120" s="270"/>
      <c r="AX120" s="270"/>
      <c r="AY120" s="270"/>
      <c r="AZ120" s="270"/>
      <c r="BA120" s="270"/>
      <c r="BB120" s="270"/>
      <c r="BC120" s="270"/>
      <c r="BD120" s="270"/>
      <c r="BE120" s="270"/>
      <c r="BF120" s="270"/>
      <c r="BG120" s="270"/>
      <c r="BH120" s="270"/>
      <c r="BI120" s="270"/>
      <c r="BJ120" s="270"/>
      <c r="BK120" s="270"/>
      <c r="BL120" s="270"/>
      <c r="BM120" s="270"/>
      <c r="BN120" s="270"/>
      <c r="BO120" s="270"/>
      <c r="BP120" s="270"/>
      <c r="BQ120" s="270"/>
      <c r="BR120" s="270"/>
      <c r="BS120" s="270"/>
      <c r="BT120" s="270"/>
      <c r="BU120" s="266"/>
      <c r="BV120" s="266"/>
      <c r="BW120" s="231"/>
      <c r="BX120" s="231"/>
      <c r="BY120" s="231"/>
      <c r="BZ120" s="28"/>
      <c r="CA120" s="28"/>
    </row>
    <row r="121" spans="2:79" ht="17.100000000000001" customHeight="1" x14ac:dyDescent="0.15">
      <c r="B121" s="28"/>
      <c r="C121" s="231"/>
      <c r="D121" s="231"/>
      <c r="E121" s="231"/>
      <c r="F121" s="231"/>
      <c r="G121" s="243" t="s">
        <v>51</v>
      </c>
      <c r="H121" s="244"/>
      <c r="I121" s="231"/>
      <c r="J121" s="269">
        <f>D117</f>
        <v>7</v>
      </c>
      <c r="K121" s="264"/>
      <c r="L121" s="264"/>
      <c r="M121" s="264"/>
      <c r="N121" s="269">
        <f>IF(J121=23,0,J121+1)</f>
        <v>8</v>
      </c>
      <c r="O121" s="264"/>
      <c r="P121" s="264"/>
      <c r="Q121" s="264"/>
      <c r="R121" s="269">
        <f>IF(N121=23,0,N121+1)</f>
        <v>9</v>
      </c>
      <c r="S121" s="269"/>
      <c r="T121" s="269"/>
      <c r="U121" s="269"/>
      <c r="V121" s="269">
        <f>IF(R121=23,0,R121+1)</f>
        <v>10</v>
      </c>
      <c r="W121" s="269"/>
      <c r="X121" s="269"/>
      <c r="Y121" s="269"/>
      <c r="Z121" s="269">
        <f>IF(V121=23,0,V121+1)</f>
        <v>11</v>
      </c>
      <c r="AA121" s="269"/>
      <c r="AB121" s="269"/>
      <c r="AC121" s="269"/>
      <c r="AD121" s="269">
        <f>IF(Z121=23,0,Z121+1)</f>
        <v>12</v>
      </c>
      <c r="AE121" s="269"/>
      <c r="AF121" s="269"/>
      <c r="AG121" s="269"/>
      <c r="AH121" s="269">
        <f>IF(AD121=23,0,AD121+1)</f>
        <v>13</v>
      </c>
      <c r="AI121" s="269"/>
      <c r="AJ121" s="269"/>
      <c r="AK121" s="269"/>
      <c r="AL121" s="269">
        <f>IF(AH121=23,0,AH121+1)</f>
        <v>14</v>
      </c>
      <c r="AM121" s="269"/>
      <c r="AN121" s="269"/>
      <c r="AO121" s="269"/>
      <c r="AP121" s="269">
        <f>IF(AL121=23,0,AL121+1)</f>
        <v>15</v>
      </c>
      <c r="AQ121" s="269"/>
      <c r="AR121" s="269"/>
      <c r="AS121" s="269"/>
      <c r="AT121" s="269">
        <f>IF(AP121=23,0,AP121+1)</f>
        <v>16</v>
      </c>
      <c r="AU121" s="269"/>
      <c r="AV121" s="269"/>
      <c r="AW121" s="269"/>
      <c r="AX121" s="269">
        <f>IF(AT121=23,0,AT121+1)</f>
        <v>17</v>
      </c>
      <c r="AY121" s="269"/>
      <c r="AZ121" s="269"/>
      <c r="BA121" s="269"/>
      <c r="BB121" s="269">
        <f>IF(AX121=23,0,AX121+1)</f>
        <v>18</v>
      </c>
      <c r="BC121" s="269"/>
      <c r="BD121" s="269"/>
      <c r="BE121" s="269"/>
      <c r="BF121" s="269">
        <f>IF(BB121=23,0,BB121+1)</f>
        <v>19</v>
      </c>
      <c r="BG121" s="269"/>
      <c r="BH121" s="269"/>
      <c r="BI121" s="269"/>
      <c r="BJ121" s="269">
        <f>IF(BF121=23,0,BF121+1)</f>
        <v>20</v>
      </c>
      <c r="BK121" s="269"/>
      <c r="BL121" s="269"/>
      <c r="BM121" s="269"/>
      <c r="BN121" s="269">
        <f>IF(BJ121=23,0,BJ121+1)</f>
        <v>21</v>
      </c>
      <c r="BO121" s="269"/>
      <c r="BP121" s="269"/>
      <c r="BQ121" s="269"/>
      <c r="BR121" s="269">
        <f>IF(BN121=23,0,BN121+1)</f>
        <v>22</v>
      </c>
      <c r="BS121" s="264"/>
      <c r="BT121" s="264"/>
      <c r="BU121" s="264"/>
      <c r="BV121" s="265">
        <f>IF(BR121=23,0,BR121+1)</f>
        <v>23</v>
      </c>
      <c r="BW121" s="231"/>
      <c r="BX121" s="231"/>
      <c r="BY121" s="231"/>
      <c r="BZ121" s="28"/>
      <c r="CA121" s="28"/>
    </row>
    <row r="122" spans="2:79" ht="17.100000000000001" customHeight="1" x14ac:dyDescent="0.15">
      <c r="B122" s="28"/>
      <c r="C122" s="231"/>
      <c r="D122" s="231"/>
      <c r="E122" s="231"/>
      <c r="F122" s="231"/>
      <c r="G122" s="231"/>
      <c r="H122" s="231"/>
      <c r="I122" s="231"/>
      <c r="J122" s="270"/>
      <c r="K122" s="270"/>
      <c r="L122" s="270"/>
      <c r="M122" s="270"/>
      <c r="N122" s="270"/>
      <c r="O122" s="270"/>
      <c r="P122" s="270"/>
      <c r="Q122" s="270"/>
      <c r="R122" s="270"/>
      <c r="S122" s="270"/>
      <c r="T122" s="270"/>
      <c r="U122" s="270"/>
      <c r="V122" s="270"/>
      <c r="W122" s="270"/>
      <c r="X122" s="270"/>
      <c r="Y122" s="270"/>
      <c r="Z122" s="270"/>
      <c r="AA122" s="270"/>
      <c r="AB122" s="270"/>
      <c r="AC122" s="270"/>
      <c r="AD122" s="270"/>
      <c r="AE122" s="270"/>
      <c r="AF122" s="270"/>
      <c r="AG122" s="270"/>
      <c r="AH122" s="270"/>
      <c r="AI122" s="270"/>
      <c r="AJ122" s="270"/>
      <c r="AK122" s="270"/>
      <c r="AL122" s="270"/>
      <c r="AM122" s="270"/>
      <c r="AN122" s="270"/>
      <c r="AO122" s="270"/>
      <c r="AP122" s="270"/>
      <c r="AQ122" s="270"/>
      <c r="AR122" s="270"/>
      <c r="AS122" s="270"/>
      <c r="AT122" s="270"/>
      <c r="AU122" s="270"/>
      <c r="AV122" s="270"/>
      <c r="AW122" s="270"/>
      <c r="AX122" s="270"/>
      <c r="AY122" s="270"/>
      <c r="AZ122" s="270"/>
      <c r="BA122" s="270"/>
      <c r="BB122" s="270"/>
      <c r="BC122" s="270"/>
      <c r="BD122" s="270"/>
      <c r="BE122" s="270"/>
      <c r="BF122" s="270"/>
      <c r="BG122" s="270"/>
      <c r="BH122" s="270"/>
      <c r="BI122" s="270"/>
      <c r="BJ122" s="270"/>
      <c r="BK122" s="270"/>
      <c r="BL122" s="270"/>
      <c r="BM122" s="270"/>
      <c r="BN122" s="270"/>
      <c r="BO122" s="270"/>
      <c r="BP122" s="270"/>
      <c r="BQ122" s="270"/>
      <c r="BR122" s="270"/>
      <c r="BS122" s="270"/>
      <c r="BT122" s="270"/>
      <c r="BU122" s="266"/>
      <c r="BV122" s="266"/>
      <c r="BW122" s="231"/>
      <c r="BX122" s="231"/>
      <c r="BY122" s="231"/>
      <c r="BZ122" s="28"/>
      <c r="CA122" s="28"/>
    </row>
    <row r="123" spans="2:79" ht="17.100000000000001" customHeight="1" x14ac:dyDescent="0.15">
      <c r="B123" s="28"/>
      <c r="C123" s="231"/>
      <c r="D123" s="231"/>
      <c r="E123" s="231"/>
      <c r="F123" s="231"/>
      <c r="G123" s="243" t="s">
        <v>52</v>
      </c>
      <c r="H123" s="244"/>
      <c r="I123" s="231"/>
      <c r="J123" s="269">
        <f>D117</f>
        <v>7</v>
      </c>
      <c r="K123" s="264"/>
      <c r="L123" s="264"/>
      <c r="M123" s="264"/>
      <c r="N123" s="269">
        <f>IF(J123=23,0,J123+1)</f>
        <v>8</v>
      </c>
      <c r="O123" s="264"/>
      <c r="P123" s="264"/>
      <c r="Q123" s="264"/>
      <c r="R123" s="269">
        <f>IF(N123=23,0,N123+1)</f>
        <v>9</v>
      </c>
      <c r="S123" s="269"/>
      <c r="T123" s="269"/>
      <c r="U123" s="269"/>
      <c r="V123" s="269">
        <f>IF(R123=23,0,R123+1)</f>
        <v>10</v>
      </c>
      <c r="W123" s="269"/>
      <c r="X123" s="269"/>
      <c r="Y123" s="269"/>
      <c r="Z123" s="269">
        <f>IF(V123=23,0,V123+1)</f>
        <v>11</v>
      </c>
      <c r="AA123" s="269"/>
      <c r="AB123" s="269"/>
      <c r="AC123" s="269"/>
      <c r="AD123" s="269">
        <f>IF(Z123=23,0,Z123+1)</f>
        <v>12</v>
      </c>
      <c r="AE123" s="269"/>
      <c r="AF123" s="269"/>
      <c r="AG123" s="269"/>
      <c r="AH123" s="269">
        <f>IF(AD123=23,0,AD123+1)</f>
        <v>13</v>
      </c>
      <c r="AI123" s="269"/>
      <c r="AJ123" s="269"/>
      <c r="AK123" s="269"/>
      <c r="AL123" s="269">
        <f>IF(AH123=23,0,AH123+1)</f>
        <v>14</v>
      </c>
      <c r="AM123" s="269"/>
      <c r="AN123" s="269"/>
      <c r="AO123" s="269"/>
      <c r="AP123" s="269">
        <f>IF(AL123=23,0,AL123+1)</f>
        <v>15</v>
      </c>
      <c r="AQ123" s="269"/>
      <c r="AR123" s="269"/>
      <c r="AS123" s="269"/>
      <c r="AT123" s="269">
        <f>IF(AP123=23,0,AP123+1)</f>
        <v>16</v>
      </c>
      <c r="AU123" s="269"/>
      <c r="AV123" s="269"/>
      <c r="AW123" s="269"/>
      <c r="AX123" s="269">
        <f>IF(AT123=23,0,AT123+1)</f>
        <v>17</v>
      </c>
      <c r="AY123" s="269"/>
      <c r="AZ123" s="269"/>
      <c r="BA123" s="269"/>
      <c r="BB123" s="269">
        <f>IF(AX123=23,0,AX123+1)</f>
        <v>18</v>
      </c>
      <c r="BC123" s="269"/>
      <c r="BD123" s="269"/>
      <c r="BE123" s="269"/>
      <c r="BF123" s="269">
        <f>IF(BB123=23,0,BB123+1)</f>
        <v>19</v>
      </c>
      <c r="BG123" s="269"/>
      <c r="BH123" s="269"/>
      <c r="BI123" s="269"/>
      <c r="BJ123" s="269">
        <f>IF(BF123=23,0,BF123+1)</f>
        <v>20</v>
      </c>
      <c r="BK123" s="269"/>
      <c r="BL123" s="269"/>
      <c r="BM123" s="269"/>
      <c r="BN123" s="269">
        <f>IF(BJ123=23,0,BJ123+1)</f>
        <v>21</v>
      </c>
      <c r="BO123" s="269"/>
      <c r="BP123" s="269"/>
      <c r="BQ123" s="269"/>
      <c r="BR123" s="269">
        <f>IF(BN123=23,0,BN123+1)</f>
        <v>22</v>
      </c>
      <c r="BS123" s="264"/>
      <c r="BT123" s="264"/>
      <c r="BU123" s="264"/>
      <c r="BV123" s="265">
        <f>IF(BR123=23,0,BR123+1)</f>
        <v>23</v>
      </c>
      <c r="BW123" s="231"/>
      <c r="BX123" s="231"/>
      <c r="BY123" s="231"/>
      <c r="BZ123" s="28"/>
      <c r="CA123" s="28"/>
    </row>
    <row r="124" spans="2:79" ht="17.100000000000001" customHeight="1" x14ac:dyDescent="0.15">
      <c r="B124" s="28"/>
      <c r="C124" s="231"/>
      <c r="D124" s="231"/>
      <c r="E124" s="231"/>
      <c r="F124" s="231"/>
      <c r="G124" s="231"/>
      <c r="H124" s="231"/>
      <c r="I124" s="231"/>
      <c r="J124" s="270"/>
      <c r="K124" s="270"/>
      <c r="L124" s="270"/>
      <c r="M124" s="270"/>
      <c r="N124" s="270"/>
      <c r="O124" s="270"/>
      <c r="P124" s="270"/>
      <c r="Q124" s="270"/>
      <c r="R124" s="270"/>
      <c r="S124" s="270"/>
      <c r="T124" s="270"/>
      <c r="U124" s="270"/>
      <c r="V124" s="270"/>
      <c r="W124" s="270"/>
      <c r="X124" s="270"/>
      <c r="Y124" s="270"/>
      <c r="Z124" s="270"/>
      <c r="AA124" s="270"/>
      <c r="AB124" s="270"/>
      <c r="AC124" s="270"/>
      <c r="AD124" s="270"/>
      <c r="AE124" s="270"/>
      <c r="AF124" s="270"/>
      <c r="AG124" s="270"/>
      <c r="AH124" s="270"/>
      <c r="AI124" s="270"/>
      <c r="AJ124" s="270"/>
      <c r="AK124" s="270"/>
      <c r="AL124" s="270"/>
      <c r="AM124" s="270"/>
      <c r="AN124" s="270"/>
      <c r="AO124" s="270"/>
      <c r="AP124" s="270"/>
      <c r="AQ124" s="270"/>
      <c r="AR124" s="270"/>
      <c r="AS124" s="270"/>
      <c r="AT124" s="270"/>
      <c r="AU124" s="270"/>
      <c r="AV124" s="270"/>
      <c r="AW124" s="270"/>
      <c r="AX124" s="270"/>
      <c r="AY124" s="270"/>
      <c r="AZ124" s="270"/>
      <c r="BA124" s="270"/>
      <c r="BB124" s="270"/>
      <c r="BC124" s="270"/>
      <c r="BD124" s="270"/>
      <c r="BE124" s="270"/>
      <c r="BF124" s="270"/>
      <c r="BG124" s="270"/>
      <c r="BH124" s="270"/>
      <c r="BI124" s="270"/>
      <c r="BJ124" s="270"/>
      <c r="BK124" s="270"/>
      <c r="BL124" s="270"/>
      <c r="BM124" s="270"/>
      <c r="BN124" s="270"/>
      <c r="BO124" s="270"/>
      <c r="BP124" s="270"/>
      <c r="BQ124" s="270"/>
      <c r="BR124" s="270"/>
      <c r="BS124" s="270"/>
      <c r="BT124" s="270"/>
      <c r="BU124" s="266"/>
      <c r="BV124" s="266"/>
      <c r="BW124" s="231"/>
      <c r="BX124" s="231"/>
      <c r="BY124" s="231"/>
      <c r="BZ124" s="28"/>
      <c r="CA124" s="28"/>
    </row>
    <row r="125" spans="2:79" ht="17.100000000000001" customHeight="1" x14ac:dyDescent="0.15">
      <c r="B125" s="28"/>
      <c r="C125" s="231"/>
      <c r="D125" s="231"/>
      <c r="E125" s="231"/>
      <c r="F125" s="231"/>
      <c r="G125" s="243" t="s">
        <v>53</v>
      </c>
      <c r="H125" s="244"/>
      <c r="I125" s="231"/>
      <c r="J125" s="269">
        <f>D117</f>
        <v>7</v>
      </c>
      <c r="K125" s="264"/>
      <c r="L125" s="264"/>
      <c r="M125" s="264"/>
      <c r="N125" s="269">
        <f>IF(J125=23,0,J125+1)</f>
        <v>8</v>
      </c>
      <c r="O125" s="264"/>
      <c r="P125" s="264"/>
      <c r="Q125" s="264"/>
      <c r="R125" s="269">
        <f>IF(N125=23,0,N125+1)</f>
        <v>9</v>
      </c>
      <c r="S125" s="269"/>
      <c r="T125" s="269"/>
      <c r="U125" s="269"/>
      <c r="V125" s="269">
        <f>IF(R125=23,0,R125+1)</f>
        <v>10</v>
      </c>
      <c r="W125" s="269"/>
      <c r="X125" s="269"/>
      <c r="Y125" s="269"/>
      <c r="Z125" s="269">
        <f>IF(V125=23,0,V125+1)</f>
        <v>11</v>
      </c>
      <c r="AA125" s="269"/>
      <c r="AB125" s="269"/>
      <c r="AC125" s="269"/>
      <c r="AD125" s="269">
        <f>IF(Z125=23,0,Z125+1)</f>
        <v>12</v>
      </c>
      <c r="AE125" s="269"/>
      <c r="AF125" s="269"/>
      <c r="AG125" s="269"/>
      <c r="AH125" s="269">
        <f>IF(AD125=23,0,AD125+1)</f>
        <v>13</v>
      </c>
      <c r="AI125" s="269"/>
      <c r="AJ125" s="269"/>
      <c r="AK125" s="269"/>
      <c r="AL125" s="269">
        <f>IF(AH125=23,0,AH125+1)</f>
        <v>14</v>
      </c>
      <c r="AM125" s="269"/>
      <c r="AN125" s="269"/>
      <c r="AO125" s="269"/>
      <c r="AP125" s="269">
        <f>IF(AL125=23,0,AL125+1)</f>
        <v>15</v>
      </c>
      <c r="AQ125" s="269"/>
      <c r="AR125" s="269"/>
      <c r="AS125" s="269"/>
      <c r="AT125" s="269">
        <f>IF(AP125=23,0,AP125+1)</f>
        <v>16</v>
      </c>
      <c r="AU125" s="269"/>
      <c r="AV125" s="269"/>
      <c r="AW125" s="269"/>
      <c r="AX125" s="269">
        <f>IF(AT125=23,0,AT125+1)</f>
        <v>17</v>
      </c>
      <c r="AY125" s="269"/>
      <c r="AZ125" s="269"/>
      <c r="BA125" s="269"/>
      <c r="BB125" s="269">
        <f>IF(AX125=23,0,AX125+1)</f>
        <v>18</v>
      </c>
      <c r="BC125" s="269"/>
      <c r="BD125" s="269"/>
      <c r="BE125" s="269"/>
      <c r="BF125" s="269">
        <f>IF(BB125=23,0,BB125+1)</f>
        <v>19</v>
      </c>
      <c r="BG125" s="269"/>
      <c r="BH125" s="269"/>
      <c r="BI125" s="269"/>
      <c r="BJ125" s="269">
        <f>IF(BF125=23,0,BF125+1)</f>
        <v>20</v>
      </c>
      <c r="BK125" s="269"/>
      <c r="BL125" s="269"/>
      <c r="BM125" s="269"/>
      <c r="BN125" s="269">
        <f>IF(BJ125=23,0,BJ125+1)</f>
        <v>21</v>
      </c>
      <c r="BO125" s="269"/>
      <c r="BP125" s="269"/>
      <c r="BQ125" s="269"/>
      <c r="BR125" s="269">
        <f>IF(BN125=23,0,BN125+1)</f>
        <v>22</v>
      </c>
      <c r="BS125" s="264"/>
      <c r="BT125" s="264"/>
      <c r="BU125" s="264"/>
      <c r="BV125" s="265">
        <f>IF(BR125=23,0,BR125+1)</f>
        <v>23</v>
      </c>
      <c r="BW125" s="231"/>
      <c r="BX125" s="231"/>
      <c r="BY125" s="231"/>
      <c r="BZ125" s="28"/>
      <c r="CA125" s="28"/>
    </row>
    <row r="126" spans="2:79" ht="17.100000000000001" customHeight="1" x14ac:dyDescent="0.15">
      <c r="B126" s="28"/>
      <c r="C126" s="231"/>
      <c r="D126" s="231"/>
      <c r="E126" s="231"/>
      <c r="F126" s="231"/>
      <c r="G126" s="231"/>
      <c r="H126" s="231"/>
      <c r="I126" s="231"/>
      <c r="J126" s="270"/>
      <c r="K126" s="270"/>
      <c r="L126" s="270"/>
      <c r="M126" s="270"/>
      <c r="N126" s="270"/>
      <c r="O126" s="270"/>
      <c r="P126" s="270"/>
      <c r="Q126" s="270"/>
      <c r="R126" s="270"/>
      <c r="S126" s="270"/>
      <c r="T126" s="270"/>
      <c r="U126" s="270"/>
      <c r="V126" s="270"/>
      <c r="W126" s="270"/>
      <c r="X126" s="270"/>
      <c r="Y126" s="270"/>
      <c r="Z126" s="270"/>
      <c r="AA126" s="270"/>
      <c r="AB126" s="270"/>
      <c r="AC126" s="270"/>
      <c r="AD126" s="270"/>
      <c r="AE126" s="270"/>
      <c r="AF126" s="270"/>
      <c r="AG126" s="270"/>
      <c r="AH126" s="270"/>
      <c r="AI126" s="270"/>
      <c r="AJ126" s="270"/>
      <c r="AK126" s="270"/>
      <c r="AL126" s="270"/>
      <c r="AM126" s="270"/>
      <c r="AN126" s="270"/>
      <c r="AO126" s="270"/>
      <c r="AP126" s="270"/>
      <c r="AQ126" s="270"/>
      <c r="AR126" s="270"/>
      <c r="AS126" s="270"/>
      <c r="AT126" s="270"/>
      <c r="AU126" s="270"/>
      <c r="AV126" s="270"/>
      <c r="AW126" s="270"/>
      <c r="AX126" s="270"/>
      <c r="AY126" s="270"/>
      <c r="AZ126" s="270"/>
      <c r="BA126" s="270"/>
      <c r="BB126" s="270"/>
      <c r="BC126" s="270"/>
      <c r="BD126" s="270"/>
      <c r="BE126" s="270"/>
      <c r="BF126" s="270"/>
      <c r="BG126" s="270"/>
      <c r="BH126" s="270"/>
      <c r="BI126" s="270"/>
      <c r="BJ126" s="270"/>
      <c r="BK126" s="270"/>
      <c r="BL126" s="270"/>
      <c r="BM126" s="270"/>
      <c r="BN126" s="270"/>
      <c r="BO126" s="270"/>
      <c r="BP126" s="270"/>
      <c r="BQ126" s="270"/>
      <c r="BR126" s="270"/>
      <c r="BS126" s="270"/>
      <c r="BT126" s="270"/>
      <c r="BU126" s="266"/>
      <c r="BV126" s="266"/>
      <c r="BW126" s="231"/>
      <c r="BX126" s="231"/>
      <c r="BY126" s="231"/>
      <c r="BZ126" s="28"/>
      <c r="CA126" s="28"/>
    </row>
    <row r="127" spans="2:79" ht="17.100000000000001" customHeight="1" x14ac:dyDescent="0.15">
      <c r="B127" s="28"/>
      <c r="C127" s="231"/>
      <c r="D127" s="231"/>
      <c r="E127" s="231"/>
      <c r="F127" s="231"/>
      <c r="G127" s="243" t="s">
        <v>54</v>
      </c>
      <c r="H127" s="244"/>
      <c r="I127" s="231"/>
      <c r="J127" s="269">
        <f>D117</f>
        <v>7</v>
      </c>
      <c r="K127" s="264"/>
      <c r="L127" s="264"/>
      <c r="M127" s="264"/>
      <c r="N127" s="269">
        <f>IF(J127=23,0,J127+1)</f>
        <v>8</v>
      </c>
      <c r="O127" s="264"/>
      <c r="P127" s="264"/>
      <c r="Q127" s="264"/>
      <c r="R127" s="269">
        <f>IF(N127=23,0,N127+1)</f>
        <v>9</v>
      </c>
      <c r="S127" s="269"/>
      <c r="T127" s="269"/>
      <c r="U127" s="269"/>
      <c r="V127" s="269">
        <f>IF(R127=23,0,R127+1)</f>
        <v>10</v>
      </c>
      <c r="W127" s="269"/>
      <c r="X127" s="269"/>
      <c r="Y127" s="269"/>
      <c r="Z127" s="269">
        <f>IF(V127=23,0,V127+1)</f>
        <v>11</v>
      </c>
      <c r="AA127" s="269"/>
      <c r="AB127" s="269"/>
      <c r="AC127" s="269"/>
      <c r="AD127" s="269">
        <f>IF(Z127=23,0,Z127+1)</f>
        <v>12</v>
      </c>
      <c r="AE127" s="269"/>
      <c r="AF127" s="269"/>
      <c r="AG127" s="269"/>
      <c r="AH127" s="269">
        <f>IF(AD127=23,0,AD127+1)</f>
        <v>13</v>
      </c>
      <c r="AI127" s="269"/>
      <c r="AJ127" s="269"/>
      <c r="AK127" s="269"/>
      <c r="AL127" s="269">
        <f>IF(AH127=23,0,AH127+1)</f>
        <v>14</v>
      </c>
      <c r="AM127" s="269"/>
      <c r="AN127" s="269"/>
      <c r="AO127" s="269"/>
      <c r="AP127" s="269">
        <f>IF(AL127=23,0,AL127+1)</f>
        <v>15</v>
      </c>
      <c r="AQ127" s="269"/>
      <c r="AR127" s="269"/>
      <c r="AS127" s="269"/>
      <c r="AT127" s="269">
        <f>IF(AP127=23,0,AP127+1)</f>
        <v>16</v>
      </c>
      <c r="AU127" s="269"/>
      <c r="AV127" s="269"/>
      <c r="AW127" s="269"/>
      <c r="AX127" s="269">
        <f>IF(AT127=23,0,AT127+1)</f>
        <v>17</v>
      </c>
      <c r="AY127" s="269"/>
      <c r="AZ127" s="269"/>
      <c r="BA127" s="269"/>
      <c r="BB127" s="269">
        <f>IF(AX127=23,0,AX127+1)</f>
        <v>18</v>
      </c>
      <c r="BC127" s="269"/>
      <c r="BD127" s="269"/>
      <c r="BE127" s="269"/>
      <c r="BF127" s="269">
        <f>IF(BB127=23,0,BB127+1)</f>
        <v>19</v>
      </c>
      <c r="BG127" s="269"/>
      <c r="BH127" s="269"/>
      <c r="BI127" s="269"/>
      <c r="BJ127" s="269">
        <f>IF(BF127=23,0,BF127+1)</f>
        <v>20</v>
      </c>
      <c r="BK127" s="269"/>
      <c r="BL127" s="269"/>
      <c r="BM127" s="269"/>
      <c r="BN127" s="269">
        <f>IF(BJ127=23,0,BJ127+1)</f>
        <v>21</v>
      </c>
      <c r="BO127" s="269"/>
      <c r="BP127" s="269"/>
      <c r="BQ127" s="269"/>
      <c r="BR127" s="269">
        <f>IF(BN127=23,0,BN127+1)</f>
        <v>22</v>
      </c>
      <c r="BS127" s="264"/>
      <c r="BT127" s="264"/>
      <c r="BU127" s="264"/>
      <c r="BV127" s="265">
        <f>IF(BR127=23,0,BR127+1)</f>
        <v>23</v>
      </c>
      <c r="BW127" s="231"/>
      <c r="BX127" s="231"/>
      <c r="BY127" s="231"/>
      <c r="BZ127" s="28"/>
      <c r="CA127" s="28"/>
    </row>
    <row r="128" spans="2:79" ht="17.100000000000001" customHeight="1" x14ac:dyDescent="0.15">
      <c r="B128" s="28"/>
      <c r="C128" s="231"/>
      <c r="D128" s="231"/>
      <c r="E128" s="231"/>
      <c r="F128" s="231"/>
      <c r="G128" s="231"/>
      <c r="H128" s="231"/>
      <c r="I128" s="231"/>
      <c r="J128" s="231"/>
      <c r="K128" s="231"/>
      <c r="L128" s="231"/>
      <c r="M128" s="231"/>
      <c r="N128" s="231"/>
      <c r="O128" s="231"/>
      <c r="P128" s="231"/>
      <c r="Q128" s="231"/>
      <c r="R128" s="231"/>
      <c r="S128" s="231"/>
      <c r="T128" s="231"/>
      <c r="U128" s="231"/>
      <c r="V128" s="231"/>
      <c r="W128" s="231"/>
      <c r="X128" s="231"/>
      <c r="Y128" s="231"/>
      <c r="Z128" s="231"/>
      <c r="AA128" s="231"/>
      <c r="AB128" s="231"/>
      <c r="AC128" s="231"/>
      <c r="AD128" s="231"/>
      <c r="AE128" s="231"/>
      <c r="AF128" s="231"/>
      <c r="AG128" s="231"/>
      <c r="AH128" s="231"/>
      <c r="AI128" s="231"/>
      <c r="AJ128" s="231"/>
      <c r="AK128" s="231"/>
      <c r="AL128" s="231"/>
      <c r="AM128" s="231"/>
      <c r="AN128" s="231"/>
      <c r="AO128" s="231"/>
      <c r="AP128" s="231"/>
      <c r="AQ128" s="231"/>
      <c r="AR128" s="231"/>
      <c r="AS128" s="231"/>
      <c r="AT128" s="231"/>
      <c r="AU128" s="231"/>
      <c r="AV128" s="231"/>
      <c r="AW128" s="231"/>
      <c r="AX128" s="231"/>
      <c r="AY128" s="231"/>
      <c r="AZ128" s="231"/>
      <c r="BA128" s="231"/>
      <c r="BB128" s="231"/>
      <c r="BC128" s="231"/>
      <c r="BD128" s="231"/>
      <c r="BE128" s="231"/>
      <c r="BF128" s="231"/>
      <c r="BG128" s="231"/>
      <c r="BH128" s="231"/>
      <c r="BI128" s="231"/>
      <c r="BJ128" s="231"/>
      <c r="BK128" s="231"/>
      <c r="BL128" s="231"/>
      <c r="BM128" s="231"/>
      <c r="BN128" s="231"/>
      <c r="BO128" s="231"/>
      <c r="BP128" s="231"/>
      <c r="BQ128" s="231"/>
      <c r="BR128" s="231"/>
      <c r="BS128" s="231"/>
      <c r="BT128" s="231"/>
      <c r="BU128" s="231"/>
      <c r="BV128" s="231"/>
      <c r="BW128" s="231"/>
      <c r="BX128" s="231"/>
      <c r="BY128" s="231"/>
      <c r="BZ128" s="28"/>
      <c r="CA128" s="28"/>
    </row>
    <row r="129" spans="2:79" ht="17.100000000000001" customHeight="1" x14ac:dyDescent="0.15">
      <c r="B129" s="28"/>
      <c r="C129" s="231"/>
      <c r="D129" s="243"/>
      <c r="E129" s="243"/>
      <c r="F129" s="243"/>
      <c r="G129" s="243"/>
      <c r="H129" s="243"/>
      <c r="I129" s="243"/>
      <c r="J129" s="3873" t="s">
        <v>2353</v>
      </c>
      <c r="K129" s="3874"/>
      <c r="L129" s="3874"/>
      <c r="M129" s="3874"/>
      <c r="N129" s="3874"/>
      <c r="O129" s="3874"/>
      <c r="P129" s="3874"/>
      <c r="Q129" s="3874"/>
      <c r="R129" s="3874"/>
      <c r="S129" s="3874"/>
      <c r="T129" s="3874"/>
      <c r="U129" s="3874"/>
      <c r="V129" s="3874"/>
      <c r="W129" s="3874"/>
      <c r="X129" s="3874"/>
      <c r="Y129" s="3874"/>
      <c r="Z129" s="3874"/>
      <c r="AA129" s="3874"/>
      <c r="AB129" s="3874"/>
      <c r="AC129" s="3874"/>
      <c r="AD129" s="3874"/>
      <c r="AE129" s="3874"/>
      <c r="AF129" s="3874"/>
      <c r="AG129" s="3874"/>
      <c r="AH129" s="3874"/>
      <c r="AI129" s="3874"/>
      <c r="AJ129" s="3874"/>
      <c r="AK129" s="3874"/>
      <c r="AL129" s="3874"/>
      <c r="AM129" s="3874"/>
      <c r="AN129" s="3874"/>
      <c r="AO129" s="3874"/>
      <c r="AP129" s="3874"/>
      <c r="AQ129" s="3874"/>
      <c r="AR129" s="3874"/>
      <c r="AS129" s="3874"/>
      <c r="AT129" s="3874"/>
      <c r="AU129" s="3874"/>
      <c r="AV129" s="3874"/>
      <c r="AW129" s="3874"/>
      <c r="AX129" s="3874"/>
      <c r="AY129" s="3874"/>
      <c r="AZ129" s="3874"/>
      <c r="BA129" s="3874"/>
      <c r="BB129" s="3874"/>
      <c r="BC129" s="3874"/>
      <c r="BD129" s="3874"/>
      <c r="BE129" s="3874"/>
      <c r="BF129" s="3874"/>
      <c r="BG129" s="3874"/>
      <c r="BH129" s="3874"/>
      <c r="BI129" s="3874"/>
      <c r="BJ129" s="3874"/>
      <c r="BK129" s="3874"/>
      <c r="BL129" s="3874"/>
      <c r="BM129" s="3874"/>
      <c r="BN129" s="3874"/>
      <c r="BO129" s="3874"/>
      <c r="BP129" s="3874"/>
      <c r="BQ129" s="3874"/>
      <c r="BR129" s="3874"/>
      <c r="BS129" s="3874"/>
      <c r="BT129" s="3874"/>
      <c r="BU129" s="3875"/>
      <c r="BV129" s="276"/>
      <c r="BW129" s="249"/>
      <c r="BX129" s="249"/>
      <c r="BY129" s="231"/>
      <c r="BZ129" s="28"/>
      <c r="CA129" s="28"/>
    </row>
    <row r="130" spans="2:79" ht="17.100000000000001" customHeight="1" x14ac:dyDescent="0.15">
      <c r="B130" s="28"/>
      <c r="C130" s="231"/>
      <c r="D130" s="231"/>
      <c r="E130" s="231"/>
      <c r="F130" s="231"/>
      <c r="G130" s="231"/>
      <c r="H130" s="231"/>
      <c r="I130" s="231"/>
      <c r="J130" s="270"/>
      <c r="K130" s="270"/>
      <c r="L130" s="270"/>
      <c r="M130" s="270"/>
      <c r="N130" s="270"/>
      <c r="O130" s="270"/>
      <c r="P130" s="270"/>
      <c r="Q130" s="270"/>
      <c r="R130" s="270"/>
      <c r="S130" s="270"/>
      <c r="T130" s="270"/>
      <c r="U130" s="270"/>
      <c r="V130" s="270"/>
      <c r="W130" s="270"/>
      <c r="X130" s="270"/>
      <c r="Y130" s="270"/>
      <c r="Z130" s="270"/>
      <c r="AA130" s="270"/>
      <c r="AB130" s="270"/>
      <c r="AC130" s="270"/>
      <c r="AD130" s="270"/>
      <c r="AE130" s="270"/>
      <c r="AF130" s="270"/>
      <c r="AG130" s="270"/>
      <c r="AH130" s="270"/>
      <c r="AI130" s="270"/>
      <c r="AJ130" s="270"/>
      <c r="AK130" s="270"/>
      <c r="AL130" s="270"/>
      <c r="AM130" s="270"/>
      <c r="AN130" s="270"/>
      <c r="AO130" s="270"/>
      <c r="AP130" s="270"/>
      <c r="AQ130" s="270"/>
      <c r="AR130" s="270"/>
      <c r="AS130" s="270"/>
      <c r="AT130" s="270"/>
      <c r="AU130" s="270"/>
      <c r="AV130" s="270"/>
      <c r="AW130" s="270"/>
      <c r="AX130" s="270"/>
      <c r="AY130" s="270"/>
      <c r="AZ130" s="270"/>
      <c r="BA130" s="270"/>
      <c r="BB130" s="270"/>
      <c r="BC130" s="270"/>
      <c r="BD130" s="270"/>
      <c r="BE130" s="270"/>
      <c r="BF130" s="270"/>
      <c r="BG130" s="270"/>
      <c r="BH130" s="270"/>
      <c r="BI130" s="270"/>
      <c r="BJ130" s="270"/>
      <c r="BK130" s="270"/>
      <c r="BL130" s="270"/>
      <c r="BM130" s="270"/>
      <c r="BN130" s="277"/>
      <c r="BO130" s="277"/>
      <c r="BP130" s="277"/>
      <c r="BQ130" s="277"/>
      <c r="BR130" s="277"/>
      <c r="BS130" s="277"/>
      <c r="BT130" s="277"/>
      <c r="BU130" s="267"/>
      <c r="BV130" s="267"/>
      <c r="BW130" s="245"/>
      <c r="BX130" s="245"/>
      <c r="BY130" s="231"/>
      <c r="BZ130" s="28"/>
      <c r="CA130" s="28"/>
    </row>
    <row r="131" spans="2:79" ht="17.100000000000001" customHeight="1" x14ac:dyDescent="0.15">
      <c r="B131" s="28"/>
      <c r="C131" s="231"/>
      <c r="D131" s="2262" t="s">
        <v>803</v>
      </c>
      <c r="E131" s="2263"/>
      <c r="F131" s="231"/>
      <c r="G131" s="243" t="s">
        <v>48</v>
      </c>
      <c r="H131" s="244"/>
      <c r="I131" s="231"/>
      <c r="J131" s="269">
        <f>D133</f>
        <v>7</v>
      </c>
      <c r="K131" s="264"/>
      <c r="L131" s="264"/>
      <c r="M131" s="264"/>
      <c r="N131" s="269">
        <f>IF(J131=23,0,J131+1)</f>
        <v>8</v>
      </c>
      <c r="O131" s="264"/>
      <c r="P131" s="264"/>
      <c r="Q131" s="264"/>
      <c r="R131" s="269">
        <f>IF(N131=23,0,N131+1)</f>
        <v>9</v>
      </c>
      <c r="S131" s="269"/>
      <c r="T131" s="269"/>
      <c r="U131" s="269"/>
      <c r="V131" s="269">
        <f>IF(R131=23,0,R131+1)</f>
        <v>10</v>
      </c>
      <c r="W131" s="269"/>
      <c r="X131" s="269"/>
      <c r="Y131" s="269"/>
      <c r="Z131" s="269">
        <f>IF(V131=23,0,V131+1)</f>
        <v>11</v>
      </c>
      <c r="AA131" s="269"/>
      <c r="AB131" s="269"/>
      <c r="AC131" s="269"/>
      <c r="AD131" s="269">
        <f>IF(Z131=23,0,Z131+1)</f>
        <v>12</v>
      </c>
      <c r="AE131" s="269"/>
      <c r="AF131" s="269"/>
      <c r="AG131" s="269"/>
      <c r="AH131" s="269">
        <f>IF(AD131=23,0,AD131+1)</f>
        <v>13</v>
      </c>
      <c r="AI131" s="269"/>
      <c r="AJ131" s="269"/>
      <c r="AK131" s="269"/>
      <c r="AL131" s="269">
        <f>IF(AH131=23,0,AH131+1)</f>
        <v>14</v>
      </c>
      <c r="AM131" s="269"/>
      <c r="AN131" s="269"/>
      <c r="AO131" s="269"/>
      <c r="AP131" s="269">
        <f>IF(AL131=23,0,AL131+1)</f>
        <v>15</v>
      </c>
      <c r="AQ131" s="269"/>
      <c r="AR131" s="269"/>
      <c r="AS131" s="269"/>
      <c r="AT131" s="269">
        <f>IF(AP131=23,0,AP131+1)</f>
        <v>16</v>
      </c>
      <c r="AU131" s="269"/>
      <c r="AV131" s="269"/>
      <c r="AW131" s="269"/>
      <c r="AX131" s="269">
        <f>IF(AT131=23,0,AT131+1)</f>
        <v>17</v>
      </c>
      <c r="AY131" s="269"/>
      <c r="AZ131" s="269"/>
      <c r="BA131" s="269"/>
      <c r="BB131" s="269">
        <f>IF(AX131=23,0,AX131+1)</f>
        <v>18</v>
      </c>
      <c r="BC131" s="269"/>
      <c r="BD131" s="269"/>
      <c r="BE131" s="269"/>
      <c r="BF131" s="269">
        <f>IF(BB131=23,0,BB131+1)</f>
        <v>19</v>
      </c>
      <c r="BG131" s="269"/>
      <c r="BH131" s="269"/>
      <c r="BI131" s="269"/>
      <c r="BJ131" s="269">
        <f>IF(BF131=23,0,BF131+1)</f>
        <v>20</v>
      </c>
      <c r="BK131" s="269"/>
      <c r="BL131" s="269"/>
      <c r="BM131" s="269"/>
      <c r="BN131" s="269">
        <f>IF(BJ131=23,0,BJ131+1)</f>
        <v>21</v>
      </c>
      <c r="BO131" s="269"/>
      <c r="BP131" s="269"/>
      <c r="BQ131" s="269"/>
      <c r="BR131" s="269">
        <f>IF(BN131=23,0,BN131+1)</f>
        <v>22</v>
      </c>
      <c r="BS131" s="264"/>
      <c r="BT131" s="264"/>
      <c r="BU131" s="264"/>
      <c r="BV131" s="265">
        <f>IF(BR131=23,0,BR131+1)</f>
        <v>23</v>
      </c>
      <c r="BW131" s="245"/>
      <c r="BX131" s="245"/>
      <c r="BY131" s="231"/>
      <c r="BZ131" s="28"/>
      <c r="CA131" s="28"/>
    </row>
    <row r="132" spans="2:79" ht="17.100000000000001" customHeight="1" x14ac:dyDescent="0.15">
      <c r="B132" s="28"/>
      <c r="C132" s="231"/>
      <c r="D132" s="2262" t="s">
        <v>804</v>
      </c>
      <c r="E132" s="2263"/>
      <c r="F132" s="231"/>
      <c r="G132" s="231"/>
      <c r="H132" s="231"/>
      <c r="I132" s="231"/>
      <c r="J132" s="270"/>
      <c r="K132" s="270"/>
      <c r="L132" s="270"/>
      <c r="M132" s="270"/>
      <c r="N132" s="270"/>
      <c r="O132" s="270"/>
      <c r="P132" s="270"/>
      <c r="Q132" s="270"/>
      <c r="R132" s="270"/>
      <c r="S132" s="270"/>
      <c r="T132" s="270"/>
      <c r="U132" s="270"/>
      <c r="V132" s="270"/>
      <c r="W132" s="270"/>
      <c r="X132" s="270"/>
      <c r="Y132" s="270"/>
      <c r="Z132" s="270"/>
      <c r="AA132" s="270"/>
      <c r="AB132" s="270"/>
      <c r="AC132" s="270"/>
      <c r="AD132" s="270"/>
      <c r="AE132" s="270"/>
      <c r="AF132" s="270"/>
      <c r="AG132" s="270"/>
      <c r="AH132" s="270"/>
      <c r="AI132" s="270"/>
      <c r="AJ132" s="270"/>
      <c r="AK132" s="270"/>
      <c r="AL132" s="270"/>
      <c r="AM132" s="270"/>
      <c r="AN132" s="270"/>
      <c r="AO132" s="270"/>
      <c r="AP132" s="270"/>
      <c r="AQ132" s="270"/>
      <c r="AR132" s="270"/>
      <c r="AS132" s="270"/>
      <c r="AT132" s="270"/>
      <c r="AU132" s="270"/>
      <c r="AV132" s="270"/>
      <c r="AW132" s="270"/>
      <c r="AX132" s="270"/>
      <c r="AY132" s="270"/>
      <c r="AZ132" s="270"/>
      <c r="BA132" s="270"/>
      <c r="BB132" s="270"/>
      <c r="BC132" s="270"/>
      <c r="BD132" s="270"/>
      <c r="BE132" s="270"/>
      <c r="BF132" s="270"/>
      <c r="BG132" s="270"/>
      <c r="BH132" s="270"/>
      <c r="BI132" s="270"/>
      <c r="BJ132" s="270"/>
      <c r="BK132" s="270"/>
      <c r="BL132" s="270"/>
      <c r="BM132" s="270"/>
      <c r="BN132" s="270"/>
      <c r="BO132" s="270"/>
      <c r="BP132" s="270"/>
      <c r="BQ132" s="270"/>
      <c r="BR132" s="270"/>
      <c r="BS132" s="270"/>
      <c r="BT132" s="270"/>
      <c r="BU132" s="266"/>
      <c r="BV132" s="267"/>
      <c r="BW132" s="245"/>
      <c r="BX132" s="231"/>
      <c r="BY132" s="231"/>
      <c r="BZ132" s="28"/>
      <c r="CA132" s="28"/>
    </row>
    <row r="133" spans="2:79" ht="17.100000000000001" customHeight="1" x14ac:dyDescent="0.15">
      <c r="B133" s="28"/>
      <c r="C133" s="231"/>
      <c r="D133" s="3871">
        <v>7</v>
      </c>
      <c r="E133" s="3872"/>
      <c r="F133" s="231"/>
      <c r="G133" s="243" t="s">
        <v>49</v>
      </c>
      <c r="H133" s="244"/>
      <c r="I133" s="231"/>
      <c r="J133" s="269">
        <f>D133</f>
        <v>7</v>
      </c>
      <c r="K133" s="264"/>
      <c r="L133" s="264"/>
      <c r="M133" s="264"/>
      <c r="N133" s="269">
        <f>IF(J133=23,0,J133+1)</f>
        <v>8</v>
      </c>
      <c r="O133" s="264"/>
      <c r="P133" s="264"/>
      <c r="Q133" s="264"/>
      <c r="R133" s="269">
        <f>IF(N133=23,0,N133+1)</f>
        <v>9</v>
      </c>
      <c r="S133" s="269"/>
      <c r="T133" s="269"/>
      <c r="U133" s="269"/>
      <c r="V133" s="269">
        <f>IF(R133=23,0,R133+1)</f>
        <v>10</v>
      </c>
      <c r="W133" s="269"/>
      <c r="X133" s="269"/>
      <c r="Y133" s="269"/>
      <c r="Z133" s="269">
        <f>IF(V133=23,0,V133+1)</f>
        <v>11</v>
      </c>
      <c r="AA133" s="269"/>
      <c r="AB133" s="269"/>
      <c r="AC133" s="269"/>
      <c r="AD133" s="269">
        <f>IF(Z133=23,0,Z133+1)</f>
        <v>12</v>
      </c>
      <c r="AE133" s="269"/>
      <c r="AF133" s="269"/>
      <c r="AG133" s="269"/>
      <c r="AH133" s="269">
        <f>IF(AD133=23,0,AD133+1)</f>
        <v>13</v>
      </c>
      <c r="AI133" s="269"/>
      <c r="AJ133" s="269"/>
      <c r="AK133" s="269"/>
      <c r="AL133" s="269">
        <f>IF(AH133=23,0,AH133+1)</f>
        <v>14</v>
      </c>
      <c r="AM133" s="269"/>
      <c r="AN133" s="269"/>
      <c r="AO133" s="269"/>
      <c r="AP133" s="269">
        <f>IF(AL133=23,0,AL133+1)</f>
        <v>15</v>
      </c>
      <c r="AQ133" s="269"/>
      <c r="AR133" s="269"/>
      <c r="AS133" s="269"/>
      <c r="AT133" s="269">
        <f>IF(AP133=23,0,AP133+1)</f>
        <v>16</v>
      </c>
      <c r="AU133" s="269"/>
      <c r="AV133" s="269"/>
      <c r="AW133" s="269"/>
      <c r="AX133" s="269">
        <f>IF(AT133=23,0,AT133+1)</f>
        <v>17</v>
      </c>
      <c r="AY133" s="269"/>
      <c r="AZ133" s="269"/>
      <c r="BA133" s="269"/>
      <c r="BB133" s="269">
        <f>IF(AX133=23,0,AX133+1)</f>
        <v>18</v>
      </c>
      <c r="BC133" s="269"/>
      <c r="BD133" s="269"/>
      <c r="BE133" s="269"/>
      <c r="BF133" s="269">
        <f>IF(BB133=23,0,BB133+1)</f>
        <v>19</v>
      </c>
      <c r="BG133" s="269"/>
      <c r="BH133" s="269"/>
      <c r="BI133" s="269"/>
      <c r="BJ133" s="269">
        <f>IF(BF133=23,0,BF133+1)</f>
        <v>20</v>
      </c>
      <c r="BK133" s="269"/>
      <c r="BL133" s="269"/>
      <c r="BM133" s="269"/>
      <c r="BN133" s="269">
        <f>IF(BJ133=23,0,BJ133+1)</f>
        <v>21</v>
      </c>
      <c r="BO133" s="269"/>
      <c r="BP133" s="269"/>
      <c r="BQ133" s="269"/>
      <c r="BR133" s="269">
        <f>IF(BN133=23,0,BN133+1)</f>
        <v>22</v>
      </c>
      <c r="BS133" s="264"/>
      <c r="BT133" s="264"/>
      <c r="BU133" s="264"/>
      <c r="BV133" s="265">
        <f>IF(BR133=23,0,BR133+1)</f>
        <v>23</v>
      </c>
      <c r="BW133" s="245"/>
      <c r="BX133" s="231"/>
      <c r="BY133" s="231"/>
      <c r="BZ133" s="28"/>
      <c r="CA133" s="28"/>
    </row>
    <row r="134" spans="2:79" ht="17.100000000000001" customHeight="1" x14ac:dyDescent="0.15">
      <c r="B134" s="28"/>
      <c r="C134" s="231"/>
      <c r="D134" s="231"/>
      <c r="E134" s="231"/>
      <c r="F134" s="231"/>
      <c r="G134" s="231"/>
      <c r="H134" s="231"/>
      <c r="I134" s="231"/>
      <c r="J134" s="270"/>
      <c r="K134" s="270"/>
      <c r="L134" s="270"/>
      <c r="M134" s="270"/>
      <c r="N134" s="270"/>
      <c r="O134" s="270"/>
      <c r="P134" s="270"/>
      <c r="Q134" s="270"/>
      <c r="R134" s="270"/>
      <c r="S134" s="270"/>
      <c r="T134" s="270"/>
      <c r="U134" s="270"/>
      <c r="V134" s="270"/>
      <c r="W134" s="270"/>
      <c r="X134" s="270"/>
      <c r="Y134" s="270"/>
      <c r="Z134" s="270"/>
      <c r="AA134" s="270"/>
      <c r="AB134" s="270"/>
      <c r="AC134" s="270"/>
      <c r="AD134" s="270"/>
      <c r="AE134" s="270"/>
      <c r="AF134" s="270"/>
      <c r="AG134" s="270"/>
      <c r="AH134" s="270"/>
      <c r="AI134" s="270"/>
      <c r="AJ134" s="270"/>
      <c r="AK134" s="270"/>
      <c r="AL134" s="270"/>
      <c r="AM134" s="270"/>
      <c r="AN134" s="270"/>
      <c r="AO134" s="270"/>
      <c r="AP134" s="270"/>
      <c r="AQ134" s="270"/>
      <c r="AR134" s="270"/>
      <c r="AS134" s="270"/>
      <c r="AT134" s="270"/>
      <c r="AU134" s="270"/>
      <c r="AV134" s="270"/>
      <c r="AW134" s="270"/>
      <c r="AX134" s="270"/>
      <c r="AY134" s="270"/>
      <c r="AZ134" s="270"/>
      <c r="BA134" s="270"/>
      <c r="BB134" s="270"/>
      <c r="BC134" s="270"/>
      <c r="BD134" s="270"/>
      <c r="BE134" s="270"/>
      <c r="BF134" s="270"/>
      <c r="BG134" s="270"/>
      <c r="BH134" s="270"/>
      <c r="BI134" s="270"/>
      <c r="BJ134" s="270"/>
      <c r="BK134" s="270"/>
      <c r="BL134" s="270"/>
      <c r="BM134" s="270"/>
      <c r="BN134" s="270"/>
      <c r="BO134" s="270"/>
      <c r="BP134" s="270"/>
      <c r="BQ134" s="270"/>
      <c r="BR134" s="270"/>
      <c r="BS134" s="270"/>
      <c r="BT134" s="270"/>
      <c r="BU134" s="266"/>
      <c r="BV134" s="267"/>
      <c r="BW134" s="245"/>
      <c r="BX134" s="231"/>
      <c r="BY134" s="231"/>
      <c r="BZ134" s="28"/>
      <c r="CA134" s="28"/>
    </row>
    <row r="135" spans="2:79" ht="17.100000000000001" customHeight="1" x14ac:dyDescent="0.15">
      <c r="B135" s="28"/>
      <c r="C135" s="231"/>
      <c r="D135" s="231"/>
      <c r="E135" s="231"/>
      <c r="F135" s="231"/>
      <c r="G135" s="243" t="s">
        <v>50</v>
      </c>
      <c r="H135" s="244"/>
      <c r="I135" s="231"/>
      <c r="J135" s="269">
        <f>D133</f>
        <v>7</v>
      </c>
      <c r="K135" s="264"/>
      <c r="L135" s="264"/>
      <c r="M135" s="264"/>
      <c r="N135" s="269">
        <f>IF(J135=23,0,J135+1)</f>
        <v>8</v>
      </c>
      <c r="O135" s="264"/>
      <c r="P135" s="264"/>
      <c r="Q135" s="264"/>
      <c r="R135" s="269">
        <f>IF(N135=23,0,N135+1)</f>
        <v>9</v>
      </c>
      <c r="S135" s="269"/>
      <c r="T135" s="269"/>
      <c r="U135" s="269"/>
      <c r="V135" s="269">
        <f>IF(R135=23,0,R135+1)</f>
        <v>10</v>
      </c>
      <c r="W135" s="269"/>
      <c r="X135" s="269"/>
      <c r="Y135" s="269"/>
      <c r="Z135" s="269">
        <f>IF(V135=23,0,V135+1)</f>
        <v>11</v>
      </c>
      <c r="AA135" s="269"/>
      <c r="AB135" s="269"/>
      <c r="AC135" s="269"/>
      <c r="AD135" s="269">
        <f>IF(Z135=23,0,Z135+1)</f>
        <v>12</v>
      </c>
      <c r="AE135" s="269"/>
      <c r="AF135" s="269"/>
      <c r="AG135" s="269"/>
      <c r="AH135" s="269">
        <f>IF(AD135=23,0,AD135+1)</f>
        <v>13</v>
      </c>
      <c r="AI135" s="269"/>
      <c r="AJ135" s="269"/>
      <c r="AK135" s="269"/>
      <c r="AL135" s="269">
        <f>IF(AH135=23,0,AH135+1)</f>
        <v>14</v>
      </c>
      <c r="AM135" s="269"/>
      <c r="AN135" s="269"/>
      <c r="AO135" s="269"/>
      <c r="AP135" s="269">
        <f>IF(AL135=23,0,AL135+1)</f>
        <v>15</v>
      </c>
      <c r="AQ135" s="269"/>
      <c r="AR135" s="269"/>
      <c r="AS135" s="269"/>
      <c r="AT135" s="269">
        <f>IF(AP135=23,0,AP135+1)</f>
        <v>16</v>
      </c>
      <c r="AU135" s="269"/>
      <c r="AV135" s="269"/>
      <c r="AW135" s="269"/>
      <c r="AX135" s="269">
        <f>IF(AT135=23,0,AT135+1)</f>
        <v>17</v>
      </c>
      <c r="AY135" s="269"/>
      <c r="AZ135" s="269"/>
      <c r="BA135" s="269"/>
      <c r="BB135" s="269">
        <f>IF(AX135=23,0,AX135+1)</f>
        <v>18</v>
      </c>
      <c r="BC135" s="269"/>
      <c r="BD135" s="269"/>
      <c r="BE135" s="269"/>
      <c r="BF135" s="269">
        <f>IF(BB135=23,0,BB135+1)</f>
        <v>19</v>
      </c>
      <c r="BG135" s="269"/>
      <c r="BH135" s="269"/>
      <c r="BI135" s="269"/>
      <c r="BJ135" s="269">
        <f>IF(BF135=23,0,BF135+1)</f>
        <v>20</v>
      </c>
      <c r="BK135" s="269"/>
      <c r="BL135" s="269"/>
      <c r="BM135" s="269"/>
      <c r="BN135" s="269">
        <f>IF(BJ135=23,0,BJ135+1)</f>
        <v>21</v>
      </c>
      <c r="BO135" s="269"/>
      <c r="BP135" s="269"/>
      <c r="BQ135" s="269"/>
      <c r="BR135" s="269">
        <f>IF(BN135=23,0,BN135+1)</f>
        <v>22</v>
      </c>
      <c r="BS135" s="264"/>
      <c r="BT135" s="264"/>
      <c r="BU135" s="264"/>
      <c r="BV135" s="265">
        <f>IF(BR135=23,0,BR135+1)</f>
        <v>23</v>
      </c>
      <c r="BW135" s="245"/>
      <c r="BX135" s="231"/>
      <c r="BY135" s="231"/>
      <c r="BZ135" s="28"/>
      <c r="CA135" s="28"/>
    </row>
    <row r="136" spans="2:79" ht="17.100000000000001" customHeight="1" x14ac:dyDescent="0.15">
      <c r="B136" s="28"/>
      <c r="C136" s="231"/>
      <c r="D136" s="231"/>
      <c r="E136" s="231"/>
      <c r="F136" s="231"/>
      <c r="G136" s="231"/>
      <c r="H136" s="231"/>
      <c r="I136" s="231"/>
      <c r="J136" s="270"/>
      <c r="K136" s="270"/>
      <c r="L136" s="270"/>
      <c r="M136" s="270"/>
      <c r="N136" s="270"/>
      <c r="O136" s="270"/>
      <c r="P136" s="270"/>
      <c r="Q136" s="270"/>
      <c r="R136" s="270"/>
      <c r="S136" s="270"/>
      <c r="T136" s="270"/>
      <c r="U136" s="270"/>
      <c r="V136" s="270"/>
      <c r="W136" s="270"/>
      <c r="X136" s="270"/>
      <c r="Y136" s="270"/>
      <c r="Z136" s="270"/>
      <c r="AA136" s="270"/>
      <c r="AB136" s="270"/>
      <c r="AC136" s="270"/>
      <c r="AD136" s="270"/>
      <c r="AE136" s="270"/>
      <c r="AF136" s="270"/>
      <c r="AG136" s="270"/>
      <c r="AH136" s="270"/>
      <c r="AI136" s="270"/>
      <c r="AJ136" s="270"/>
      <c r="AK136" s="270"/>
      <c r="AL136" s="270"/>
      <c r="AM136" s="270"/>
      <c r="AN136" s="270"/>
      <c r="AO136" s="270"/>
      <c r="AP136" s="270"/>
      <c r="AQ136" s="270"/>
      <c r="AR136" s="270"/>
      <c r="AS136" s="270"/>
      <c r="AT136" s="270"/>
      <c r="AU136" s="270"/>
      <c r="AV136" s="270"/>
      <c r="AW136" s="270"/>
      <c r="AX136" s="270"/>
      <c r="AY136" s="270"/>
      <c r="AZ136" s="270"/>
      <c r="BA136" s="270"/>
      <c r="BB136" s="270"/>
      <c r="BC136" s="270"/>
      <c r="BD136" s="270"/>
      <c r="BE136" s="270"/>
      <c r="BF136" s="270"/>
      <c r="BG136" s="270"/>
      <c r="BH136" s="270"/>
      <c r="BI136" s="270"/>
      <c r="BJ136" s="270"/>
      <c r="BK136" s="270"/>
      <c r="BL136" s="270"/>
      <c r="BM136" s="270"/>
      <c r="BN136" s="270"/>
      <c r="BO136" s="270"/>
      <c r="BP136" s="270"/>
      <c r="BQ136" s="270"/>
      <c r="BR136" s="270"/>
      <c r="BS136" s="270"/>
      <c r="BT136" s="270"/>
      <c r="BU136" s="266"/>
      <c r="BV136" s="266"/>
      <c r="BW136" s="231"/>
      <c r="BX136" s="231"/>
      <c r="BY136" s="231"/>
      <c r="BZ136" s="28"/>
      <c r="CA136" s="28"/>
    </row>
    <row r="137" spans="2:79" ht="17.100000000000001" customHeight="1" x14ac:dyDescent="0.15">
      <c r="B137" s="28"/>
      <c r="C137" s="231"/>
      <c r="D137" s="231"/>
      <c r="E137" s="231"/>
      <c r="F137" s="231"/>
      <c r="G137" s="243" t="s">
        <v>51</v>
      </c>
      <c r="H137" s="244"/>
      <c r="I137" s="231"/>
      <c r="J137" s="269">
        <f>D133</f>
        <v>7</v>
      </c>
      <c r="K137" s="264"/>
      <c r="L137" s="264"/>
      <c r="M137" s="264"/>
      <c r="N137" s="269">
        <f>IF(J137=23,0,J137+1)</f>
        <v>8</v>
      </c>
      <c r="O137" s="264"/>
      <c r="P137" s="264"/>
      <c r="Q137" s="264"/>
      <c r="R137" s="269">
        <f>IF(N137=23,0,N137+1)</f>
        <v>9</v>
      </c>
      <c r="S137" s="269"/>
      <c r="T137" s="269"/>
      <c r="U137" s="269"/>
      <c r="V137" s="269">
        <f>IF(R137=23,0,R137+1)</f>
        <v>10</v>
      </c>
      <c r="W137" s="269"/>
      <c r="X137" s="269"/>
      <c r="Y137" s="269"/>
      <c r="Z137" s="269">
        <f>IF(V137=23,0,V137+1)</f>
        <v>11</v>
      </c>
      <c r="AA137" s="269"/>
      <c r="AB137" s="269"/>
      <c r="AC137" s="269"/>
      <c r="AD137" s="269">
        <f>IF(Z137=23,0,Z137+1)</f>
        <v>12</v>
      </c>
      <c r="AE137" s="269"/>
      <c r="AF137" s="269"/>
      <c r="AG137" s="269"/>
      <c r="AH137" s="269">
        <f>IF(AD137=23,0,AD137+1)</f>
        <v>13</v>
      </c>
      <c r="AI137" s="269"/>
      <c r="AJ137" s="269"/>
      <c r="AK137" s="269"/>
      <c r="AL137" s="269">
        <f>IF(AH137=23,0,AH137+1)</f>
        <v>14</v>
      </c>
      <c r="AM137" s="269"/>
      <c r="AN137" s="269"/>
      <c r="AO137" s="269"/>
      <c r="AP137" s="269">
        <f>IF(AL137=23,0,AL137+1)</f>
        <v>15</v>
      </c>
      <c r="AQ137" s="269"/>
      <c r="AR137" s="269"/>
      <c r="AS137" s="269"/>
      <c r="AT137" s="269">
        <f>IF(AP137=23,0,AP137+1)</f>
        <v>16</v>
      </c>
      <c r="AU137" s="269"/>
      <c r="AV137" s="269"/>
      <c r="AW137" s="269"/>
      <c r="AX137" s="269">
        <f>IF(AT137=23,0,AT137+1)</f>
        <v>17</v>
      </c>
      <c r="AY137" s="269"/>
      <c r="AZ137" s="269"/>
      <c r="BA137" s="269"/>
      <c r="BB137" s="269">
        <f>IF(AX137=23,0,AX137+1)</f>
        <v>18</v>
      </c>
      <c r="BC137" s="269"/>
      <c r="BD137" s="269"/>
      <c r="BE137" s="269"/>
      <c r="BF137" s="269">
        <f>IF(BB137=23,0,BB137+1)</f>
        <v>19</v>
      </c>
      <c r="BG137" s="269"/>
      <c r="BH137" s="269"/>
      <c r="BI137" s="269"/>
      <c r="BJ137" s="269">
        <f>IF(BF137=23,0,BF137+1)</f>
        <v>20</v>
      </c>
      <c r="BK137" s="269"/>
      <c r="BL137" s="269"/>
      <c r="BM137" s="269"/>
      <c r="BN137" s="269">
        <f>IF(BJ137=23,0,BJ137+1)</f>
        <v>21</v>
      </c>
      <c r="BO137" s="269"/>
      <c r="BP137" s="269"/>
      <c r="BQ137" s="269"/>
      <c r="BR137" s="269">
        <f>IF(BN137=23,0,BN137+1)</f>
        <v>22</v>
      </c>
      <c r="BS137" s="264"/>
      <c r="BT137" s="264"/>
      <c r="BU137" s="264"/>
      <c r="BV137" s="265">
        <f>IF(BR137=23,0,BR137+1)</f>
        <v>23</v>
      </c>
      <c r="BW137" s="231"/>
      <c r="BX137" s="231"/>
      <c r="BY137" s="231"/>
      <c r="BZ137" s="28"/>
      <c r="CA137" s="28"/>
    </row>
    <row r="138" spans="2:79" ht="17.100000000000001" customHeight="1" x14ac:dyDescent="0.15">
      <c r="B138" s="28"/>
      <c r="C138" s="231"/>
      <c r="D138" s="231"/>
      <c r="E138" s="231"/>
      <c r="F138" s="231"/>
      <c r="G138" s="231"/>
      <c r="H138" s="231"/>
      <c r="I138" s="231"/>
      <c r="J138" s="270"/>
      <c r="K138" s="270"/>
      <c r="L138" s="270"/>
      <c r="M138" s="270"/>
      <c r="N138" s="270"/>
      <c r="O138" s="270"/>
      <c r="P138" s="270"/>
      <c r="Q138" s="270"/>
      <c r="R138" s="270"/>
      <c r="S138" s="270"/>
      <c r="T138" s="270"/>
      <c r="U138" s="270"/>
      <c r="V138" s="270"/>
      <c r="W138" s="270"/>
      <c r="X138" s="270"/>
      <c r="Y138" s="270"/>
      <c r="Z138" s="270"/>
      <c r="AA138" s="270"/>
      <c r="AB138" s="270"/>
      <c r="AC138" s="270"/>
      <c r="AD138" s="270"/>
      <c r="AE138" s="270"/>
      <c r="AF138" s="270"/>
      <c r="AG138" s="270"/>
      <c r="AH138" s="270"/>
      <c r="AI138" s="270"/>
      <c r="AJ138" s="270"/>
      <c r="AK138" s="270"/>
      <c r="AL138" s="270"/>
      <c r="AM138" s="270"/>
      <c r="AN138" s="270"/>
      <c r="AO138" s="270"/>
      <c r="AP138" s="270"/>
      <c r="AQ138" s="270"/>
      <c r="AR138" s="270"/>
      <c r="AS138" s="270"/>
      <c r="AT138" s="270"/>
      <c r="AU138" s="270"/>
      <c r="AV138" s="270"/>
      <c r="AW138" s="270"/>
      <c r="AX138" s="270"/>
      <c r="AY138" s="270"/>
      <c r="AZ138" s="270"/>
      <c r="BA138" s="270"/>
      <c r="BB138" s="270"/>
      <c r="BC138" s="270"/>
      <c r="BD138" s="270"/>
      <c r="BE138" s="270"/>
      <c r="BF138" s="270"/>
      <c r="BG138" s="270"/>
      <c r="BH138" s="270"/>
      <c r="BI138" s="270"/>
      <c r="BJ138" s="270"/>
      <c r="BK138" s="270"/>
      <c r="BL138" s="270"/>
      <c r="BM138" s="270"/>
      <c r="BN138" s="270"/>
      <c r="BO138" s="270"/>
      <c r="BP138" s="270"/>
      <c r="BQ138" s="270"/>
      <c r="BR138" s="270"/>
      <c r="BS138" s="270"/>
      <c r="BT138" s="270"/>
      <c r="BU138" s="266"/>
      <c r="BV138" s="266"/>
      <c r="BW138" s="231"/>
      <c r="BX138" s="231"/>
      <c r="BY138" s="231"/>
      <c r="BZ138" s="28"/>
      <c r="CA138" s="28"/>
    </row>
    <row r="139" spans="2:79" ht="17.100000000000001" customHeight="1" x14ac:dyDescent="0.15">
      <c r="B139" s="28"/>
      <c r="C139" s="231"/>
      <c r="D139" s="231"/>
      <c r="E139" s="231"/>
      <c r="F139" s="231"/>
      <c r="G139" s="243" t="s">
        <v>52</v>
      </c>
      <c r="H139" s="244"/>
      <c r="I139" s="231"/>
      <c r="J139" s="269">
        <f>D133</f>
        <v>7</v>
      </c>
      <c r="K139" s="264"/>
      <c r="L139" s="264"/>
      <c r="M139" s="264"/>
      <c r="N139" s="269">
        <f>IF(J139=23,0,J139+1)</f>
        <v>8</v>
      </c>
      <c r="O139" s="264"/>
      <c r="P139" s="264"/>
      <c r="Q139" s="264"/>
      <c r="R139" s="269">
        <f>IF(N139=23,0,N139+1)</f>
        <v>9</v>
      </c>
      <c r="S139" s="269"/>
      <c r="T139" s="269"/>
      <c r="U139" s="269"/>
      <c r="V139" s="269">
        <f>IF(R139=23,0,R139+1)</f>
        <v>10</v>
      </c>
      <c r="W139" s="269"/>
      <c r="X139" s="269"/>
      <c r="Y139" s="269"/>
      <c r="Z139" s="269">
        <f>IF(V139=23,0,V139+1)</f>
        <v>11</v>
      </c>
      <c r="AA139" s="269"/>
      <c r="AB139" s="269"/>
      <c r="AC139" s="269"/>
      <c r="AD139" s="269">
        <f>IF(Z139=23,0,Z139+1)</f>
        <v>12</v>
      </c>
      <c r="AE139" s="269"/>
      <c r="AF139" s="269"/>
      <c r="AG139" s="269"/>
      <c r="AH139" s="269">
        <f>IF(AD139=23,0,AD139+1)</f>
        <v>13</v>
      </c>
      <c r="AI139" s="269"/>
      <c r="AJ139" s="269"/>
      <c r="AK139" s="269"/>
      <c r="AL139" s="269">
        <f>IF(AH139=23,0,AH139+1)</f>
        <v>14</v>
      </c>
      <c r="AM139" s="269"/>
      <c r="AN139" s="269"/>
      <c r="AO139" s="269"/>
      <c r="AP139" s="269">
        <f>IF(AL139=23,0,AL139+1)</f>
        <v>15</v>
      </c>
      <c r="AQ139" s="269"/>
      <c r="AR139" s="269"/>
      <c r="AS139" s="269"/>
      <c r="AT139" s="269">
        <f>IF(AP139=23,0,AP139+1)</f>
        <v>16</v>
      </c>
      <c r="AU139" s="269"/>
      <c r="AV139" s="269"/>
      <c r="AW139" s="269"/>
      <c r="AX139" s="269">
        <f>IF(AT139=23,0,AT139+1)</f>
        <v>17</v>
      </c>
      <c r="AY139" s="269"/>
      <c r="AZ139" s="269"/>
      <c r="BA139" s="269"/>
      <c r="BB139" s="269">
        <f>IF(AX139=23,0,AX139+1)</f>
        <v>18</v>
      </c>
      <c r="BC139" s="269"/>
      <c r="BD139" s="269"/>
      <c r="BE139" s="269"/>
      <c r="BF139" s="269">
        <f>IF(BB139=23,0,BB139+1)</f>
        <v>19</v>
      </c>
      <c r="BG139" s="269"/>
      <c r="BH139" s="269"/>
      <c r="BI139" s="269"/>
      <c r="BJ139" s="269">
        <f>IF(BF139=23,0,BF139+1)</f>
        <v>20</v>
      </c>
      <c r="BK139" s="269"/>
      <c r="BL139" s="269"/>
      <c r="BM139" s="269"/>
      <c r="BN139" s="269">
        <f>IF(BJ139=23,0,BJ139+1)</f>
        <v>21</v>
      </c>
      <c r="BO139" s="269"/>
      <c r="BP139" s="269"/>
      <c r="BQ139" s="269"/>
      <c r="BR139" s="269">
        <f>IF(BN139=23,0,BN139+1)</f>
        <v>22</v>
      </c>
      <c r="BS139" s="264"/>
      <c r="BT139" s="264"/>
      <c r="BU139" s="264"/>
      <c r="BV139" s="265">
        <f>IF(BR139=23,0,BR139+1)</f>
        <v>23</v>
      </c>
      <c r="BW139" s="231"/>
      <c r="BX139" s="231"/>
      <c r="BY139" s="231"/>
      <c r="BZ139" s="28"/>
      <c r="CA139" s="28"/>
    </row>
    <row r="140" spans="2:79" ht="17.100000000000001" customHeight="1" x14ac:dyDescent="0.15">
      <c r="B140" s="28"/>
      <c r="C140" s="231"/>
      <c r="D140" s="231"/>
      <c r="E140" s="231"/>
      <c r="F140" s="231"/>
      <c r="G140" s="231"/>
      <c r="H140" s="231"/>
      <c r="I140" s="231"/>
      <c r="J140" s="270"/>
      <c r="K140" s="270"/>
      <c r="L140" s="270"/>
      <c r="M140" s="270"/>
      <c r="N140" s="270"/>
      <c r="O140" s="270"/>
      <c r="P140" s="270"/>
      <c r="Q140" s="270"/>
      <c r="R140" s="270"/>
      <c r="S140" s="270"/>
      <c r="T140" s="270"/>
      <c r="U140" s="270"/>
      <c r="V140" s="270"/>
      <c r="W140" s="270"/>
      <c r="X140" s="270"/>
      <c r="Y140" s="270"/>
      <c r="Z140" s="270"/>
      <c r="AA140" s="270"/>
      <c r="AB140" s="270"/>
      <c r="AC140" s="270"/>
      <c r="AD140" s="270"/>
      <c r="AE140" s="270"/>
      <c r="AF140" s="270"/>
      <c r="AG140" s="270"/>
      <c r="AH140" s="270"/>
      <c r="AI140" s="270"/>
      <c r="AJ140" s="270"/>
      <c r="AK140" s="270"/>
      <c r="AL140" s="270"/>
      <c r="AM140" s="270"/>
      <c r="AN140" s="270"/>
      <c r="AO140" s="270"/>
      <c r="AP140" s="270"/>
      <c r="AQ140" s="270"/>
      <c r="AR140" s="270"/>
      <c r="AS140" s="270"/>
      <c r="AT140" s="270"/>
      <c r="AU140" s="270"/>
      <c r="AV140" s="270"/>
      <c r="AW140" s="270"/>
      <c r="AX140" s="270"/>
      <c r="AY140" s="270"/>
      <c r="AZ140" s="270"/>
      <c r="BA140" s="270"/>
      <c r="BB140" s="270"/>
      <c r="BC140" s="270"/>
      <c r="BD140" s="270"/>
      <c r="BE140" s="270"/>
      <c r="BF140" s="270"/>
      <c r="BG140" s="270"/>
      <c r="BH140" s="270"/>
      <c r="BI140" s="270"/>
      <c r="BJ140" s="270"/>
      <c r="BK140" s="270"/>
      <c r="BL140" s="270"/>
      <c r="BM140" s="270"/>
      <c r="BN140" s="270"/>
      <c r="BO140" s="270"/>
      <c r="BP140" s="270"/>
      <c r="BQ140" s="270"/>
      <c r="BR140" s="270"/>
      <c r="BS140" s="270"/>
      <c r="BT140" s="270"/>
      <c r="BU140" s="266"/>
      <c r="BV140" s="266"/>
      <c r="BW140" s="231"/>
      <c r="BX140" s="231"/>
      <c r="BY140" s="231"/>
      <c r="BZ140" s="28"/>
      <c r="CA140" s="28"/>
    </row>
    <row r="141" spans="2:79" ht="17.100000000000001" customHeight="1" x14ac:dyDescent="0.15">
      <c r="B141" s="28"/>
      <c r="C141" s="231"/>
      <c r="D141" s="231"/>
      <c r="E141" s="231"/>
      <c r="F141" s="231"/>
      <c r="G141" s="243" t="s">
        <v>53</v>
      </c>
      <c r="H141" s="244"/>
      <c r="I141" s="231"/>
      <c r="J141" s="269">
        <f>D133</f>
        <v>7</v>
      </c>
      <c r="K141" s="264"/>
      <c r="L141" s="264"/>
      <c r="M141" s="264"/>
      <c r="N141" s="269">
        <f>IF(J141=23,0,J141+1)</f>
        <v>8</v>
      </c>
      <c r="O141" s="264"/>
      <c r="P141" s="264"/>
      <c r="Q141" s="264"/>
      <c r="R141" s="269">
        <f>IF(N141=23,0,N141+1)</f>
        <v>9</v>
      </c>
      <c r="S141" s="269"/>
      <c r="T141" s="269"/>
      <c r="U141" s="269"/>
      <c r="V141" s="269">
        <f>IF(R141=23,0,R141+1)</f>
        <v>10</v>
      </c>
      <c r="W141" s="269"/>
      <c r="X141" s="269"/>
      <c r="Y141" s="269"/>
      <c r="Z141" s="269">
        <f>IF(V141=23,0,V141+1)</f>
        <v>11</v>
      </c>
      <c r="AA141" s="269"/>
      <c r="AB141" s="269"/>
      <c r="AC141" s="269"/>
      <c r="AD141" s="269">
        <f>IF(Z141=23,0,Z141+1)</f>
        <v>12</v>
      </c>
      <c r="AE141" s="269"/>
      <c r="AF141" s="269"/>
      <c r="AG141" s="269"/>
      <c r="AH141" s="269">
        <f>IF(AD141=23,0,AD141+1)</f>
        <v>13</v>
      </c>
      <c r="AI141" s="269"/>
      <c r="AJ141" s="269"/>
      <c r="AK141" s="269"/>
      <c r="AL141" s="269">
        <f>IF(AH141=23,0,AH141+1)</f>
        <v>14</v>
      </c>
      <c r="AM141" s="269"/>
      <c r="AN141" s="269"/>
      <c r="AO141" s="269"/>
      <c r="AP141" s="269">
        <f>IF(AL141=23,0,AL141+1)</f>
        <v>15</v>
      </c>
      <c r="AQ141" s="269"/>
      <c r="AR141" s="269"/>
      <c r="AS141" s="269"/>
      <c r="AT141" s="269">
        <f>IF(AP141=23,0,AP141+1)</f>
        <v>16</v>
      </c>
      <c r="AU141" s="269"/>
      <c r="AV141" s="269"/>
      <c r="AW141" s="269"/>
      <c r="AX141" s="269">
        <f>IF(AT141=23,0,AT141+1)</f>
        <v>17</v>
      </c>
      <c r="AY141" s="269"/>
      <c r="AZ141" s="269"/>
      <c r="BA141" s="269"/>
      <c r="BB141" s="269">
        <f>IF(AX141=23,0,AX141+1)</f>
        <v>18</v>
      </c>
      <c r="BC141" s="269"/>
      <c r="BD141" s="269"/>
      <c r="BE141" s="269"/>
      <c r="BF141" s="269">
        <f>IF(BB141=23,0,BB141+1)</f>
        <v>19</v>
      </c>
      <c r="BG141" s="269"/>
      <c r="BH141" s="269"/>
      <c r="BI141" s="269"/>
      <c r="BJ141" s="269">
        <f>IF(BF141=23,0,BF141+1)</f>
        <v>20</v>
      </c>
      <c r="BK141" s="269"/>
      <c r="BL141" s="269"/>
      <c r="BM141" s="269"/>
      <c r="BN141" s="269">
        <f>IF(BJ141=23,0,BJ141+1)</f>
        <v>21</v>
      </c>
      <c r="BO141" s="269"/>
      <c r="BP141" s="269"/>
      <c r="BQ141" s="269"/>
      <c r="BR141" s="269">
        <f>IF(BN141=23,0,BN141+1)</f>
        <v>22</v>
      </c>
      <c r="BS141" s="264"/>
      <c r="BT141" s="264"/>
      <c r="BU141" s="264"/>
      <c r="BV141" s="265">
        <f>IF(BR141=23,0,BR141+1)</f>
        <v>23</v>
      </c>
      <c r="BW141" s="231"/>
      <c r="BX141" s="231"/>
      <c r="BY141" s="231"/>
      <c r="BZ141" s="28"/>
      <c r="CA141" s="28"/>
    </row>
    <row r="142" spans="2:79" ht="17.100000000000001" customHeight="1" x14ac:dyDescent="0.15">
      <c r="B142" s="28"/>
      <c r="C142" s="231"/>
      <c r="D142" s="231"/>
      <c r="E142" s="231"/>
      <c r="F142" s="231"/>
      <c r="G142" s="231"/>
      <c r="H142" s="231"/>
      <c r="I142" s="231"/>
      <c r="J142" s="270"/>
      <c r="K142" s="270"/>
      <c r="L142" s="270"/>
      <c r="M142" s="270"/>
      <c r="N142" s="270"/>
      <c r="O142" s="270"/>
      <c r="P142" s="270"/>
      <c r="Q142" s="270"/>
      <c r="R142" s="270"/>
      <c r="S142" s="270"/>
      <c r="T142" s="270"/>
      <c r="U142" s="270"/>
      <c r="V142" s="270"/>
      <c r="W142" s="270"/>
      <c r="X142" s="270"/>
      <c r="Y142" s="270"/>
      <c r="Z142" s="270"/>
      <c r="AA142" s="270"/>
      <c r="AB142" s="270"/>
      <c r="AC142" s="270"/>
      <c r="AD142" s="270"/>
      <c r="AE142" s="270"/>
      <c r="AF142" s="270"/>
      <c r="AG142" s="270"/>
      <c r="AH142" s="270"/>
      <c r="AI142" s="270"/>
      <c r="AJ142" s="270"/>
      <c r="AK142" s="270"/>
      <c r="AL142" s="270"/>
      <c r="AM142" s="270"/>
      <c r="AN142" s="270"/>
      <c r="AO142" s="270"/>
      <c r="AP142" s="270"/>
      <c r="AQ142" s="270"/>
      <c r="AR142" s="270"/>
      <c r="AS142" s="270"/>
      <c r="AT142" s="270"/>
      <c r="AU142" s="270"/>
      <c r="AV142" s="270"/>
      <c r="AW142" s="270"/>
      <c r="AX142" s="270"/>
      <c r="AY142" s="270"/>
      <c r="AZ142" s="270"/>
      <c r="BA142" s="270"/>
      <c r="BB142" s="270"/>
      <c r="BC142" s="270"/>
      <c r="BD142" s="270"/>
      <c r="BE142" s="270"/>
      <c r="BF142" s="270"/>
      <c r="BG142" s="270"/>
      <c r="BH142" s="270"/>
      <c r="BI142" s="270"/>
      <c r="BJ142" s="270"/>
      <c r="BK142" s="270"/>
      <c r="BL142" s="270"/>
      <c r="BM142" s="270"/>
      <c r="BN142" s="270"/>
      <c r="BO142" s="270"/>
      <c r="BP142" s="270"/>
      <c r="BQ142" s="270"/>
      <c r="BR142" s="270"/>
      <c r="BS142" s="270"/>
      <c r="BT142" s="270"/>
      <c r="BU142" s="266"/>
      <c r="BV142" s="266"/>
      <c r="BW142" s="231"/>
      <c r="BX142" s="231"/>
      <c r="BY142" s="231"/>
      <c r="BZ142" s="28"/>
      <c r="CA142" s="28"/>
    </row>
    <row r="143" spans="2:79" ht="17.100000000000001" customHeight="1" x14ac:dyDescent="0.15">
      <c r="B143" s="28"/>
      <c r="C143" s="231"/>
      <c r="D143" s="231"/>
      <c r="E143" s="231"/>
      <c r="F143" s="231"/>
      <c r="G143" s="243" t="s">
        <v>54</v>
      </c>
      <c r="H143" s="244"/>
      <c r="I143" s="231"/>
      <c r="J143" s="269">
        <f>D133</f>
        <v>7</v>
      </c>
      <c r="K143" s="264"/>
      <c r="L143" s="264"/>
      <c r="M143" s="264"/>
      <c r="N143" s="269">
        <f>IF(J143=23,0,J143+1)</f>
        <v>8</v>
      </c>
      <c r="O143" s="264"/>
      <c r="P143" s="264"/>
      <c r="Q143" s="264"/>
      <c r="R143" s="269">
        <f>IF(N143=23,0,N143+1)</f>
        <v>9</v>
      </c>
      <c r="S143" s="269"/>
      <c r="T143" s="269"/>
      <c r="U143" s="269"/>
      <c r="V143" s="269">
        <f>IF(R143=23,0,R143+1)</f>
        <v>10</v>
      </c>
      <c r="W143" s="269"/>
      <c r="X143" s="269"/>
      <c r="Y143" s="269"/>
      <c r="Z143" s="269">
        <f>IF(V143=23,0,V143+1)</f>
        <v>11</v>
      </c>
      <c r="AA143" s="269"/>
      <c r="AB143" s="269"/>
      <c r="AC143" s="269"/>
      <c r="AD143" s="269">
        <f>IF(Z143=23,0,Z143+1)</f>
        <v>12</v>
      </c>
      <c r="AE143" s="269"/>
      <c r="AF143" s="269"/>
      <c r="AG143" s="269"/>
      <c r="AH143" s="269">
        <f>IF(AD143=23,0,AD143+1)</f>
        <v>13</v>
      </c>
      <c r="AI143" s="269"/>
      <c r="AJ143" s="269"/>
      <c r="AK143" s="269"/>
      <c r="AL143" s="269">
        <f>IF(AH143=23,0,AH143+1)</f>
        <v>14</v>
      </c>
      <c r="AM143" s="269"/>
      <c r="AN143" s="269"/>
      <c r="AO143" s="269"/>
      <c r="AP143" s="269">
        <f>IF(AL143=23,0,AL143+1)</f>
        <v>15</v>
      </c>
      <c r="AQ143" s="269"/>
      <c r="AR143" s="269"/>
      <c r="AS143" s="269"/>
      <c r="AT143" s="269">
        <f>IF(AP143=23,0,AP143+1)</f>
        <v>16</v>
      </c>
      <c r="AU143" s="269"/>
      <c r="AV143" s="269"/>
      <c r="AW143" s="269"/>
      <c r="AX143" s="269">
        <f>IF(AT143=23,0,AT143+1)</f>
        <v>17</v>
      </c>
      <c r="AY143" s="269"/>
      <c r="AZ143" s="269"/>
      <c r="BA143" s="269"/>
      <c r="BB143" s="269">
        <f>IF(AX143=23,0,AX143+1)</f>
        <v>18</v>
      </c>
      <c r="BC143" s="269"/>
      <c r="BD143" s="269"/>
      <c r="BE143" s="269"/>
      <c r="BF143" s="269">
        <f>IF(BB143=23,0,BB143+1)</f>
        <v>19</v>
      </c>
      <c r="BG143" s="269"/>
      <c r="BH143" s="269"/>
      <c r="BI143" s="269"/>
      <c r="BJ143" s="269">
        <f>IF(BF143=23,0,BF143+1)</f>
        <v>20</v>
      </c>
      <c r="BK143" s="269"/>
      <c r="BL143" s="269"/>
      <c r="BM143" s="269"/>
      <c r="BN143" s="269">
        <f>IF(BJ143=23,0,BJ143+1)</f>
        <v>21</v>
      </c>
      <c r="BO143" s="269"/>
      <c r="BP143" s="269"/>
      <c r="BQ143" s="269"/>
      <c r="BR143" s="269">
        <f>IF(BN143=23,0,BN143+1)</f>
        <v>22</v>
      </c>
      <c r="BS143" s="264"/>
      <c r="BT143" s="264"/>
      <c r="BU143" s="264"/>
      <c r="BV143" s="265">
        <f>IF(BR143=23,0,BR143+1)</f>
        <v>23</v>
      </c>
      <c r="BW143" s="231"/>
      <c r="BX143" s="231"/>
      <c r="BY143" s="231"/>
      <c r="BZ143" s="28"/>
      <c r="CA143" s="28"/>
    </row>
    <row r="144" spans="2:79" ht="17.100000000000001" customHeight="1" x14ac:dyDescent="0.15">
      <c r="B144" s="28"/>
      <c r="C144" s="231"/>
      <c r="D144" s="231"/>
      <c r="E144" s="231"/>
      <c r="F144" s="231"/>
      <c r="G144" s="231"/>
      <c r="H144" s="231"/>
      <c r="I144" s="231"/>
      <c r="J144" s="231"/>
      <c r="K144" s="231"/>
      <c r="L144" s="231"/>
      <c r="M144" s="231"/>
      <c r="N144" s="231"/>
      <c r="O144" s="231"/>
      <c r="P144" s="231"/>
      <c r="Q144" s="231"/>
      <c r="R144" s="231"/>
      <c r="S144" s="231"/>
      <c r="T144" s="231"/>
      <c r="U144" s="231"/>
      <c r="V144" s="231"/>
      <c r="W144" s="231"/>
      <c r="X144" s="231"/>
      <c r="Y144" s="231"/>
      <c r="Z144" s="231"/>
      <c r="AA144" s="231"/>
      <c r="AB144" s="231"/>
      <c r="AC144" s="231"/>
      <c r="AD144" s="231"/>
      <c r="AE144" s="231"/>
      <c r="AF144" s="231"/>
      <c r="AG144" s="231"/>
      <c r="AH144" s="231"/>
      <c r="AI144" s="231"/>
      <c r="AJ144" s="231"/>
      <c r="AK144" s="231"/>
      <c r="AL144" s="231"/>
      <c r="AM144" s="231"/>
      <c r="AN144" s="231"/>
      <c r="AO144" s="231"/>
      <c r="AP144" s="231"/>
      <c r="AQ144" s="231"/>
      <c r="AR144" s="231"/>
      <c r="AS144" s="231"/>
      <c r="AT144" s="231"/>
      <c r="AU144" s="231"/>
      <c r="AV144" s="231"/>
      <c r="AW144" s="231"/>
      <c r="AX144" s="231"/>
      <c r="AY144" s="231"/>
      <c r="AZ144" s="231"/>
      <c r="BA144" s="231"/>
      <c r="BB144" s="231"/>
      <c r="BC144" s="231"/>
      <c r="BD144" s="231"/>
      <c r="BE144" s="231"/>
      <c r="BF144" s="231"/>
      <c r="BG144" s="231"/>
      <c r="BH144" s="231"/>
      <c r="BI144" s="231"/>
      <c r="BJ144" s="231"/>
      <c r="BK144" s="231"/>
      <c r="BL144" s="231"/>
      <c r="BM144" s="231"/>
      <c r="BN144" s="231"/>
      <c r="BO144" s="231"/>
      <c r="BP144" s="231"/>
      <c r="BQ144" s="231"/>
      <c r="BR144" s="231"/>
      <c r="BS144" s="231"/>
      <c r="BT144" s="231"/>
      <c r="BU144" s="231"/>
      <c r="BV144" s="231"/>
      <c r="BW144" s="231"/>
      <c r="BX144" s="231"/>
      <c r="BY144" s="231"/>
      <c r="BZ144" s="28"/>
      <c r="CA144" s="28"/>
    </row>
    <row r="145" spans="2:79" ht="17.100000000000001" customHeight="1" x14ac:dyDescent="0.15">
      <c r="B145" s="28"/>
      <c r="BZ145" s="28"/>
      <c r="CA145" s="28"/>
    </row>
    <row r="146" spans="2:79" ht="17.100000000000001" customHeight="1" x14ac:dyDescent="0.15">
      <c r="B146" s="28"/>
      <c r="C146" s="28"/>
      <c r="D146" s="28"/>
      <c r="E146" s="28"/>
      <c r="F146" s="28"/>
      <c r="G146" s="28"/>
      <c r="H146" s="28"/>
      <c r="I146" s="28"/>
      <c r="J146" s="28"/>
      <c r="K146" s="28"/>
      <c r="L146" s="28"/>
      <c r="M146" s="28"/>
      <c r="N146" s="28"/>
      <c r="O146" s="28"/>
      <c r="P146" s="28"/>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row>
    <row r="147" spans="2:79" ht="17.100000000000001" customHeight="1" x14ac:dyDescent="0.15">
      <c r="B147" s="28"/>
      <c r="C147" s="28"/>
      <c r="D147" s="28"/>
      <c r="E147" s="28"/>
      <c r="F147" s="28"/>
      <c r="G147" s="28"/>
      <c r="H147" s="28"/>
      <c r="I147" s="28"/>
      <c r="J147" s="28"/>
      <c r="K147" s="28"/>
      <c r="L147" s="28"/>
      <c r="M147" s="28"/>
      <c r="N147" s="28"/>
      <c r="O147" s="28"/>
      <c r="P147" s="28"/>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row>
    <row r="148" spans="2:79" ht="17.100000000000001" customHeight="1" x14ac:dyDescent="0.15">
      <c r="B148" s="28"/>
      <c r="C148" s="28"/>
      <c r="D148" s="28"/>
      <c r="E148" s="28"/>
      <c r="F148" s="28"/>
      <c r="G148" s="28"/>
      <c r="H148" s="28"/>
      <c r="I148" s="28"/>
      <c r="J148" s="28"/>
      <c r="K148" s="28"/>
      <c r="L148" s="28"/>
      <c r="M148" s="28"/>
      <c r="N148" s="28"/>
      <c r="O148" s="28"/>
      <c r="P148" s="28"/>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row>
    <row r="149" spans="2:79" ht="17.100000000000001" customHeight="1" x14ac:dyDescent="0.15">
      <c r="B149" s="28"/>
      <c r="C149" s="28"/>
      <c r="D149" s="28"/>
      <c r="E149" s="28"/>
      <c r="F149" s="28"/>
      <c r="G149" s="28"/>
      <c r="H149" s="28"/>
      <c r="I149" s="28"/>
      <c r="J149" s="28"/>
      <c r="K149" s="28"/>
      <c r="L149" s="28"/>
      <c r="M149" s="28"/>
      <c r="N149" s="28"/>
      <c r="O149" s="28"/>
      <c r="P149" s="28"/>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row>
    <row r="150" spans="2:79" ht="17.100000000000001" customHeight="1" x14ac:dyDescent="0.15">
      <c r="B150" s="28"/>
      <c r="C150" s="28"/>
      <c r="D150" s="28"/>
      <c r="E150" s="28"/>
      <c r="F150" s="28"/>
      <c r="G150" s="28"/>
      <c r="H150" s="28"/>
      <c r="I150" s="28"/>
      <c r="J150" s="28"/>
      <c r="K150" s="28"/>
      <c r="L150" s="28"/>
      <c r="M150" s="28"/>
      <c r="N150" s="28"/>
      <c r="O150" s="28"/>
      <c r="P150" s="28"/>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row>
    <row r="151" spans="2:79" ht="17.100000000000001" customHeight="1" x14ac:dyDescent="0.15">
      <c r="B151" s="28"/>
      <c r="C151" s="28"/>
      <c r="D151" s="28"/>
      <c r="E151" s="28"/>
      <c r="F151" s="28"/>
      <c r="G151" s="28"/>
      <c r="H151" s="28"/>
      <c r="I151" s="28"/>
      <c r="J151" s="28"/>
      <c r="K151" s="28"/>
      <c r="L151" s="28"/>
      <c r="M151" s="28"/>
      <c r="N151" s="28"/>
      <c r="O151" s="28"/>
      <c r="P151" s="28"/>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row>
    <row r="152" spans="2:79" ht="17.100000000000001" customHeight="1" x14ac:dyDescent="0.15">
      <c r="B152" s="28"/>
      <c r="C152" s="28"/>
      <c r="D152" s="28"/>
      <c r="E152" s="28"/>
      <c r="F152" s="28"/>
      <c r="G152" s="28"/>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row>
    <row r="153" spans="2:79" ht="17.100000000000001" customHeight="1" x14ac:dyDescent="0.15">
      <c r="B153" s="28"/>
      <c r="C153" s="28"/>
      <c r="D153" s="28"/>
      <c r="E153" s="28"/>
      <c r="F153" s="28"/>
      <c r="G153" s="28"/>
      <c r="H153" s="28"/>
      <c r="I153" s="28"/>
      <c r="J153" s="28"/>
      <c r="K153" s="28"/>
      <c r="L153" s="28"/>
      <c r="M153" s="28"/>
      <c r="N153" s="28"/>
      <c r="O153" s="28"/>
      <c r="P153" s="28"/>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row>
    <row r="154" spans="2:79" ht="17.100000000000001" customHeight="1" x14ac:dyDescent="0.15">
      <c r="B154" s="28"/>
      <c r="C154" s="28"/>
      <c r="D154" s="28"/>
      <c r="E154" s="28"/>
      <c r="F154" s="28"/>
      <c r="G154" s="28"/>
      <c r="H154" s="28"/>
      <c r="I154" s="28"/>
      <c r="J154" s="28"/>
      <c r="K154" s="28"/>
      <c r="L154" s="28"/>
      <c r="M154" s="28"/>
      <c r="N154" s="28"/>
      <c r="O154" s="28"/>
      <c r="P154" s="28"/>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row>
    <row r="155" spans="2:79" ht="17.100000000000001" customHeight="1" x14ac:dyDescent="0.15">
      <c r="B155" s="28"/>
      <c r="C155" s="28"/>
      <c r="D155" s="28"/>
      <c r="E155" s="28"/>
      <c r="F155" s="28"/>
      <c r="G155" s="28"/>
      <c r="H155" s="28"/>
      <c r="I155" s="28"/>
      <c r="J155" s="28"/>
      <c r="K155" s="28"/>
      <c r="L155" s="28"/>
      <c r="M155" s="28"/>
      <c r="N155" s="28"/>
      <c r="O155" s="28"/>
      <c r="P155" s="28"/>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row>
    <row r="156" spans="2:79" ht="17.100000000000001" customHeight="1" x14ac:dyDescent="0.15">
      <c r="B156" s="28"/>
      <c r="C156" s="28"/>
      <c r="D156" s="28"/>
      <c r="E156" s="28"/>
      <c r="F156" s="28"/>
      <c r="G156" s="28"/>
      <c r="H156" s="28"/>
      <c r="I156" s="28"/>
      <c r="J156" s="28"/>
      <c r="K156" s="28"/>
      <c r="L156" s="28"/>
      <c r="M156" s="28"/>
      <c r="N156" s="28"/>
      <c r="O156" s="28"/>
      <c r="P156" s="28"/>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row>
    <row r="157" spans="2:79" ht="17.100000000000001" customHeight="1" x14ac:dyDescent="0.15">
      <c r="B157" s="28"/>
      <c r="C157" s="28"/>
      <c r="D157" s="28"/>
      <c r="E157" s="28"/>
      <c r="F157" s="28"/>
      <c r="G157" s="28"/>
      <c r="H157" s="28"/>
      <c r="I157" s="28"/>
      <c r="J157" s="28"/>
      <c r="K157" s="28"/>
      <c r="L157" s="28"/>
      <c r="M157" s="28"/>
      <c r="N157" s="28"/>
      <c r="O157" s="28"/>
      <c r="P157" s="28"/>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row>
    <row r="158" spans="2:79" ht="17.100000000000001" customHeight="1" x14ac:dyDescent="0.15">
      <c r="B158" s="28"/>
      <c r="C158" s="28"/>
      <c r="D158" s="28"/>
      <c r="E158" s="28"/>
      <c r="F158" s="28"/>
      <c r="G158" s="28"/>
      <c r="H158" s="28"/>
      <c r="I158" s="28"/>
      <c r="J158" s="28"/>
      <c r="K158" s="28"/>
      <c r="L158" s="28"/>
      <c r="M158" s="28"/>
      <c r="N158" s="28"/>
      <c r="O158" s="28"/>
      <c r="P158" s="28"/>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row>
    <row r="159" spans="2:79" ht="17.100000000000001" customHeight="1" x14ac:dyDescent="0.15">
      <c r="B159" s="28"/>
      <c r="C159" s="28"/>
      <c r="D159" s="28"/>
      <c r="E159" s="28"/>
      <c r="F159" s="28"/>
      <c r="G159" s="28"/>
      <c r="H159" s="28"/>
      <c r="I159" s="28"/>
      <c r="J159" s="28"/>
      <c r="K159" s="28"/>
      <c r="L159" s="28"/>
      <c r="M159" s="28"/>
      <c r="N159" s="28"/>
      <c r="O159" s="28"/>
      <c r="P159" s="28"/>
      <c r="Q159" s="28"/>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row>
    <row r="160" spans="2:79" ht="17.100000000000001" customHeight="1" x14ac:dyDescent="0.15">
      <c r="B160" s="28"/>
      <c r="C160" s="28"/>
      <c r="D160" s="28"/>
      <c r="E160" s="28"/>
      <c r="F160" s="28"/>
      <c r="G160" s="28"/>
      <c r="H160" s="28"/>
      <c r="I160" s="28"/>
      <c r="J160" s="28"/>
      <c r="K160" s="28"/>
      <c r="L160" s="28"/>
      <c r="M160" s="28"/>
      <c r="N160" s="28"/>
      <c r="O160" s="28"/>
      <c r="P160" s="28"/>
      <c r="Q160" s="28"/>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row>
    <row r="161" spans="2:79" ht="17.100000000000001" customHeight="1" x14ac:dyDescent="0.15">
      <c r="B161" s="28"/>
      <c r="C161" s="28"/>
      <c r="D161" s="28"/>
      <c r="E161" s="28"/>
      <c r="F161" s="28"/>
      <c r="G161" s="28"/>
      <c r="H161" s="28"/>
      <c r="I161" s="28"/>
      <c r="J161" s="28"/>
      <c r="K161" s="28"/>
      <c r="L161" s="28"/>
      <c r="M161" s="28"/>
      <c r="N161" s="28"/>
      <c r="O161" s="28"/>
      <c r="P161" s="28"/>
      <c r="Q161" s="28"/>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row>
    <row r="162" spans="2:79" ht="17.100000000000001" customHeight="1" x14ac:dyDescent="0.15">
      <c r="B162" s="28"/>
      <c r="C162" s="28"/>
      <c r="D162" s="28"/>
      <c r="E162" s="28"/>
      <c r="F162" s="28"/>
      <c r="G162" s="28"/>
      <c r="H162" s="28"/>
      <c r="I162" s="28"/>
      <c r="J162" s="28"/>
      <c r="K162" s="28"/>
      <c r="L162" s="28"/>
      <c r="M162" s="28"/>
      <c r="N162" s="28"/>
      <c r="O162" s="28"/>
      <c r="P162" s="28"/>
      <c r="Q162" s="28"/>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row>
    <row r="163" spans="2:79" ht="17.100000000000001" customHeight="1" x14ac:dyDescent="0.15">
      <c r="B163" s="28"/>
      <c r="C163" s="28"/>
      <c r="D163" s="28"/>
      <c r="E163" s="28"/>
      <c r="F163" s="28"/>
      <c r="G163" s="28"/>
      <c r="H163" s="28"/>
      <c r="I163" s="28"/>
      <c r="J163" s="28"/>
      <c r="K163" s="28"/>
      <c r="L163" s="28"/>
      <c r="M163" s="28"/>
      <c r="N163" s="28"/>
      <c r="O163" s="28"/>
      <c r="P163" s="28"/>
      <c r="Q163" s="28"/>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row>
    <row r="164" spans="2:79" ht="17.100000000000001" customHeight="1" x14ac:dyDescent="0.15">
      <c r="B164" s="28"/>
      <c r="C164" s="28"/>
      <c r="D164" s="28"/>
      <c r="E164" s="28"/>
      <c r="F164" s="28"/>
      <c r="G164" s="28"/>
      <c r="H164" s="28"/>
      <c r="I164" s="28"/>
      <c r="J164" s="28"/>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row>
    <row r="165" spans="2:79" ht="17.100000000000001" customHeight="1" x14ac:dyDescent="0.15">
      <c r="B165" s="28"/>
      <c r="C165" s="28"/>
      <c r="D165" s="28"/>
      <c r="E165" s="28"/>
      <c r="F165" s="28"/>
      <c r="G165" s="28"/>
      <c r="H165" s="28"/>
      <c r="I165" s="28"/>
      <c r="J165" s="28"/>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row>
    <row r="166" spans="2:79" ht="17.100000000000001" customHeight="1" x14ac:dyDescent="0.15">
      <c r="B166" s="28"/>
      <c r="C166" s="28"/>
      <c r="D166" s="28"/>
      <c r="E166" s="28"/>
      <c r="F166" s="28"/>
      <c r="G166" s="28"/>
      <c r="H166" s="28"/>
      <c r="I166" s="28"/>
      <c r="J166" s="28"/>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row>
    <row r="167" spans="2:79" ht="17.100000000000001" customHeight="1" x14ac:dyDescent="0.15">
      <c r="B167" s="28"/>
      <c r="C167" s="28"/>
      <c r="D167" s="28"/>
      <c r="E167" s="28"/>
      <c r="F167" s="28"/>
      <c r="G167" s="28"/>
      <c r="H167" s="28"/>
      <c r="I167" s="28"/>
      <c r="J167" s="28"/>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row>
    <row r="168" spans="2:79" ht="17.100000000000001" customHeight="1" x14ac:dyDescent="0.15">
      <c r="B168" s="28"/>
      <c r="C168" s="28"/>
      <c r="D168" s="28"/>
      <c r="E168" s="28"/>
      <c r="F168" s="28"/>
      <c r="G168" s="28"/>
      <c r="H168" s="28"/>
      <c r="I168" s="28"/>
      <c r="J168" s="28"/>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row>
    <row r="169" spans="2:79" ht="17.100000000000001" customHeight="1" x14ac:dyDescent="0.15">
      <c r="B169" s="28"/>
      <c r="C169" s="28"/>
      <c r="D169" s="28"/>
      <c r="E169" s="28"/>
      <c r="F169" s="28"/>
      <c r="G169" s="28"/>
      <c r="H169" s="28"/>
      <c r="I169" s="28"/>
      <c r="J169" s="28"/>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row>
    <row r="170" spans="2:79" ht="17.100000000000001" customHeight="1" x14ac:dyDescent="0.15">
      <c r="B170" s="28"/>
      <c r="C170" s="28"/>
      <c r="D170" s="28"/>
      <c r="E170" s="28"/>
      <c r="F170" s="28"/>
      <c r="G170" s="28"/>
      <c r="H170" s="28"/>
      <c r="I170" s="28"/>
      <c r="J170" s="28"/>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row>
    <row r="171" spans="2:79" ht="17.100000000000001" customHeight="1" x14ac:dyDescent="0.15">
      <c r="B171" s="28"/>
      <c r="C171" s="28"/>
      <c r="D171" s="28"/>
      <c r="E171" s="28"/>
      <c r="F171" s="28"/>
      <c r="G171" s="28"/>
      <c r="H171" s="28"/>
      <c r="I171" s="28"/>
      <c r="J171" s="28"/>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row>
    <row r="172" spans="2:79" ht="17.100000000000001" customHeight="1" x14ac:dyDescent="0.15">
      <c r="B172" s="28"/>
      <c r="C172" s="28"/>
      <c r="D172" s="28"/>
      <c r="E172" s="28"/>
      <c r="F172" s="28"/>
      <c r="G172" s="28"/>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row>
    <row r="173" spans="2:79" ht="17.100000000000001" customHeight="1" x14ac:dyDescent="0.15">
      <c r="B173" s="28"/>
      <c r="C173" s="28"/>
      <c r="D173" s="28"/>
      <c r="E173" s="28"/>
      <c r="F173" s="28"/>
      <c r="G173" s="28"/>
      <c r="H173" s="28"/>
      <c r="I173" s="28"/>
      <c r="J173" s="28"/>
      <c r="K173" s="28"/>
      <c r="L173" s="28"/>
      <c r="M173" s="28"/>
      <c r="N173" s="28"/>
      <c r="O173" s="28"/>
      <c r="P173" s="28"/>
      <c r="Q173" s="28"/>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row>
    <row r="174" spans="2:79" ht="17.100000000000001" customHeight="1" x14ac:dyDescent="0.15">
      <c r="B174" s="28"/>
      <c r="C174" s="28"/>
      <c r="D174" s="28"/>
      <c r="E174" s="28"/>
      <c r="F174" s="28"/>
      <c r="G174" s="28"/>
      <c r="H174" s="28"/>
      <c r="I174" s="28"/>
      <c r="J174" s="28"/>
      <c r="K174" s="28"/>
      <c r="L174" s="28"/>
      <c r="M174" s="28"/>
      <c r="N174" s="28"/>
      <c r="O174" s="28"/>
      <c r="P174" s="28"/>
      <c r="Q174" s="28"/>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row>
    <row r="175" spans="2:79" ht="17.100000000000001" customHeight="1" x14ac:dyDescent="0.15">
      <c r="B175" s="28"/>
      <c r="C175" s="28"/>
      <c r="D175" s="28"/>
      <c r="E175" s="28"/>
      <c r="F175" s="28"/>
      <c r="G175" s="28"/>
      <c r="H175" s="28"/>
      <c r="I175" s="28"/>
      <c r="J175" s="28"/>
      <c r="K175" s="28"/>
      <c r="L175" s="28"/>
      <c r="M175" s="28"/>
      <c r="N175" s="28"/>
      <c r="O175" s="28"/>
      <c r="P175" s="28"/>
      <c r="Q175" s="28"/>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row>
    <row r="176" spans="2:79" ht="17.100000000000001" customHeight="1" x14ac:dyDescent="0.15">
      <c r="B176" s="28"/>
      <c r="C176" s="28"/>
      <c r="D176" s="28"/>
      <c r="E176" s="28"/>
      <c r="F176" s="28"/>
      <c r="G176" s="28"/>
      <c r="H176" s="28"/>
      <c r="I176" s="28"/>
      <c r="J176" s="28"/>
      <c r="K176" s="28"/>
      <c r="L176" s="28"/>
      <c r="M176" s="28"/>
      <c r="N176" s="28"/>
      <c r="O176" s="28"/>
      <c r="P176" s="28"/>
      <c r="Q176" s="28"/>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row>
    <row r="177" spans="2:79" ht="17.100000000000001" customHeight="1" x14ac:dyDescent="0.15">
      <c r="B177" s="28"/>
      <c r="C177" s="28"/>
      <c r="D177" s="28"/>
      <c r="E177" s="28"/>
      <c r="F177" s="28"/>
      <c r="G177" s="28"/>
      <c r="H177" s="28"/>
      <c r="I177" s="28"/>
      <c r="J177" s="28"/>
      <c r="K177" s="28"/>
      <c r="L177" s="28"/>
      <c r="M177" s="28"/>
      <c r="N177" s="28"/>
      <c r="O177" s="28"/>
      <c r="P177" s="28"/>
      <c r="Q177" s="28"/>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row>
    <row r="178" spans="2:79" ht="17.100000000000001" customHeight="1" x14ac:dyDescent="0.15">
      <c r="B178" s="28"/>
      <c r="C178" s="28"/>
      <c r="D178" s="28"/>
      <c r="E178" s="28"/>
      <c r="F178" s="28"/>
      <c r="G178" s="28"/>
      <c r="H178" s="28"/>
      <c r="I178" s="28"/>
      <c r="J178" s="28"/>
      <c r="K178" s="28"/>
      <c r="L178" s="28"/>
      <c r="M178" s="28"/>
      <c r="N178" s="28"/>
      <c r="O178" s="28"/>
      <c r="P178" s="28"/>
      <c r="Q178" s="28"/>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row>
    <row r="179" spans="2:79" ht="17.100000000000001" customHeight="1" x14ac:dyDescent="0.15">
      <c r="B179" s="28"/>
      <c r="C179" s="28"/>
      <c r="D179" s="28"/>
      <c r="E179" s="28"/>
      <c r="F179" s="28"/>
      <c r="G179" s="28"/>
      <c r="H179" s="28"/>
      <c r="I179" s="28"/>
      <c r="J179" s="28"/>
      <c r="K179" s="28"/>
      <c r="L179" s="28"/>
      <c r="M179" s="28"/>
      <c r="N179" s="28"/>
      <c r="O179" s="28"/>
      <c r="P179" s="28"/>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row>
    <row r="180" spans="2:79" ht="17.100000000000001" customHeight="1" x14ac:dyDescent="0.15">
      <c r="B180" s="28"/>
      <c r="C180" s="28"/>
      <c r="D180" s="28"/>
      <c r="E180" s="28"/>
      <c r="F180" s="28"/>
      <c r="G180" s="28"/>
      <c r="H180" s="28"/>
      <c r="I180" s="28"/>
      <c r="J180" s="28"/>
      <c r="K180" s="28"/>
      <c r="L180" s="28"/>
      <c r="M180" s="28"/>
      <c r="N180" s="28"/>
      <c r="O180" s="28"/>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row>
    <row r="181" spans="2:79" ht="17.100000000000001" customHeight="1" x14ac:dyDescent="0.15">
      <c r="B181" s="28"/>
      <c r="C181" s="28"/>
      <c r="D181" s="28"/>
      <c r="E181" s="28"/>
      <c r="F181" s="28"/>
      <c r="G181" s="28"/>
      <c r="H181" s="28"/>
      <c r="I181" s="28"/>
      <c r="J181" s="28"/>
      <c r="K181" s="28"/>
      <c r="L181" s="28"/>
      <c r="M181" s="28"/>
      <c r="N181" s="28"/>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row>
    <row r="182" spans="2:79" ht="17.100000000000001" customHeight="1" x14ac:dyDescent="0.15">
      <c r="B182" s="28"/>
      <c r="C182" s="28"/>
      <c r="D182" s="28"/>
      <c r="E182" s="28"/>
      <c r="F182" s="28"/>
      <c r="G182" s="28"/>
      <c r="H182" s="28"/>
      <c r="I182" s="28"/>
      <c r="J182" s="28"/>
      <c r="K182" s="28"/>
      <c r="L182" s="28"/>
      <c r="M182" s="28"/>
      <c r="N182" s="28"/>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row>
    <row r="183" spans="2:79" ht="17.100000000000001" customHeight="1" x14ac:dyDescent="0.15">
      <c r="B183" s="28"/>
      <c r="C183" s="28"/>
      <c r="D183" s="28"/>
      <c r="E183" s="28"/>
      <c r="F183" s="28"/>
      <c r="G183" s="28"/>
      <c r="H183" s="28"/>
      <c r="I183" s="28"/>
      <c r="J183" s="28"/>
      <c r="K183" s="28"/>
      <c r="L183" s="28"/>
      <c r="M183" s="28"/>
      <c r="N183" s="28"/>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row>
    <row r="184" spans="2:79" ht="17.100000000000001" customHeight="1" x14ac:dyDescent="0.15">
      <c r="B184" s="28"/>
      <c r="C184" s="28"/>
      <c r="D184" s="28"/>
      <c r="E184" s="28"/>
      <c r="F184" s="28"/>
      <c r="G184" s="28"/>
      <c r="H184" s="28"/>
      <c r="I184" s="28"/>
      <c r="J184" s="28"/>
      <c r="K184" s="28"/>
      <c r="L184" s="28"/>
      <c r="M184" s="28"/>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row>
    <row r="185" spans="2:79" ht="17.100000000000001" customHeight="1" x14ac:dyDescent="0.15">
      <c r="B185" s="28"/>
      <c r="C185" s="28"/>
      <c r="D185" s="28"/>
      <c r="E185" s="28"/>
      <c r="F185" s="28"/>
      <c r="G185" s="28"/>
      <c r="H185" s="28"/>
      <c r="I185" s="28"/>
      <c r="J185" s="28"/>
      <c r="K185" s="28"/>
      <c r="L185" s="28"/>
      <c r="M185" s="28"/>
      <c r="N185" s="28"/>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row>
    <row r="186" spans="2:79" ht="17.100000000000001" customHeight="1" x14ac:dyDescent="0.15">
      <c r="B186" s="28"/>
      <c r="C186" s="28"/>
      <c r="D186" s="28"/>
      <c r="E186" s="28"/>
      <c r="F186" s="28"/>
      <c r="G186" s="28"/>
      <c r="H186" s="28"/>
      <c r="I186" s="28"/>
      <c r="J186" s="28"/>
      <c r="K186" s="28"/>
      <c r="L186" s="28"/>
      <c r="M186" s="28"/>
      <c r="N186" s="28"/>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row>
    <row r="187" spans="2:79" ht="17.100000000000001" customHeight="1" x14ac:dyDescent="0.15">
      <c r="B187" s="28"/>
      <c r="C187" s="28"/>
      <c r="D187" s="28"/>
      <c r="E187" s="28"/>
      <c r="F187" s="28"/>
      <c r="G187" s="28"/>
      <c r="H187" s="28"/>
      <c r="I187" s="28"/>
      <c r="J187" s="28"/>
      <c r="K187" s="28"/>
      <c r="L187" s="28"/>
      <c r="M187" s="28"/>
      <c r="N187" s="28"/>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row>
    <row r="188" spans="2:79" ht="17.100000000000001" customHeight="1" x14ac:dyDescent="0.15">
      <c r="B188" s="28"/>
      <c r="C188" s="28"/>
      <c r="D188" s="28"/>
      <c r="E188" s="28"/>
      <c r="F188" s="28"/>
      <c r="G188" s="28"/>
      <c r="H188" s="28"/>
      <c r="I188" s="28"/>
      <c r="J188" s="28"/>
      <c r="K188" s="28"/>
      <c r="L188" s="28"/>
      <c r="M188" s="28"/>
      <c r="N188" s="28"/>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row>
    <row r="189" spans="2:79" ht="17.100000000000001" customHeight="1" x14ac:dyDescent="0.15">
      <c r="B189" s="28"/>
      <c r="C189" s="28"/>
      <c r="D189" s="28"/>
      <c r="E189" s="28"/>
      <c r="F189" s="28"/>
      <c r="G189" s="28"/>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row>
    <row r="190" spans="2:79" ht="17.100000000000001" customHeight="1" x14ac:dyDescent="0.15">
      <c r="B190" s="28"/>
      <c r="C190" s="28"/>
      <c r="D190" s="28"/>
      <c r="E190" s="28"/>
      <c r="F190" s="28"/>
      <c r="G190" s="28"/>
      <c r="H190" s="28"/>
      <c r="I190" s="28"/>
      <c r="J190" s="28"/>
      <c r="K190" s="28"/>
      <c r="L190" s="28"/>
      <c r="M190" s="28"/>
      <c r="N190" s="28"/>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row>
    <row r="191" spans="2:79" ht="17.100000000000001" customHeight="1" x14ac:dyDescent="0.15">
      <c r="B191" s="28"/>
      <c r="C191" s="28"/>
      <c r="D191" s="28"/>
      <c r="E191" s="28"/>
      <c r="F191" s="28"/>
      <c r="G191" s="28"/>
      <c r="H191" s="28"/>
      <c r="I191" s="28"/>
      <c r="J191" s="28"/>
      <c r="K191" s="28"/>
      <c r="L191" s="28"/>
      <c r="M191" s="28"/>
      <c r="N191" s="28"/>
      <c r="O191" s="28"/>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row>
    <row r="192" spans="2:79" ht="17.100000000000001" customHeight="1" x14ac:dyDescent="0.15">
      <c r="B192" s="28"/>
      <c r="C192" s="28"/>
      <c r="D192" s="28"/>
      <c r="E192" s="28"/>
      <c r="F192" s="28"/>
      <c r="G192" s="28"/>
      <c r="H192" s="28"/>
      <c r="I192" s="28"/>
      <c r="J192" s="28"/>
      <c r="K192" s="28"/>
      <c r="L192" s="28"/>
      <c r="M192" s="28"/>
      <c r="N192" s="28"/>
      <c r="O192" s="28"/>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row>
    <row r="193" spans="2:79" ht="17.100000000000001" customHeight="1" x14ac:dyDescent="0.15">
      <c r="B193" s="28"/>
      <c r="C193" s="28"/>
      <c r="D193" s="28"/>
      <c r="E193" s="28"/>
      <c r="F193" s="28"/>
      <c r="G193" s="28"/>
      <c r="H193" s="28"/>
      <c r="I193" s="28"/>
      <c r="J193" s="28"/>
      <c r="K193" s="28"/>
      <c r="L193" s="28"/>
      <c r="M193" s="28"/>
      <c r="N193" s="28"/>
      <c r="O193" s="28"/>
      <c r="P193" s="28"/>
      <c r="Q193" s="28"/>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row>
    <row r="194" spans="2:79" ht="17.100000000000001" customHeight="1" x14ac:dyDescent="0.15">
      <c r="B194" s="28"/>
      <c r="C194" s="28"/>
      <c r="D194" s="28"/>
      <c r="E194" s="28"/>
      <c r="F194" s="28"/>
      <c r="G194" s="28"/>
      <c r="H194" s="28"/>
      <c r="I194" s="28"/>
      <c r="J194" s="28"/>
      <c r="K194" s="28"/>
      <c r="L194" s="28"/>
      <c r="M194" s="28"/>
      <c r="N194" s="28"/>
      <c r="O194" s="28"/>
      <c r="P194" s="28"/>
      <c r="Q194" s="28"/>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row>
    <row r="195" spans="2:79" ht="17.100000000000001" customHeight="1" x14ac:dyDescent="0.15">
      <c r="B195" s="28"/>
      <c r="C195" s="28"/>
      <c r="D195" s="28"/>
      <c r="E195" s="28"/>
      <c r="F195" s="28"/>
      <c r="G195" s="28"/>
      <c r="H195" s="28"/>
      <c r="I195" s="28"/>
      <c r="J195" s="28"/>
      <c r="K195" s="28"/>
      <c r="L195" s="28"/>
      <c r="M195" s="28"/>
      <c r="N195" s="28"/>
      <c r="O195" s="28"/>
      <c r="P195" s="28"/>
      <c r="Q195" s="28"/>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row>
    <row r="196" spans="2:79" ht="17.100000000000001" customHeight="1" x14ac:dyDescent="0.15">
      <c r="B196" s="28"/>
      <c r="C196" s="28"/>
      <c r="D196" s="28"/>
      <c r="E196" s="28"/>
      <c r="F196" s="28"/>
      <c r="G196" s="28"/>
      <c r="H196" s="28"/>
      <c r="I196" s="28"/>
      <c r="J196" s="28"/>
      <c r="K196" s="28"/>
      <c r="L196" s="28"/>
      <c r="M196" s="28"/>
      <c r="N196" s="28"/>
      <c r="O196" s="28"/>
      <c r="P196" s="28"/>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row>
    <row r="197" spans="2:79" ht="17.100000000000001" customHeight="1" x14ac:dyDescent="0.15">
      <c r="B197" s="28"/>
      <c r="C197" s="28"/>
      <c r="D197" s="28"/>
      <c r="E197" s="28"/>
      <c r="F197" s="28"/>
      <c r="G197" s="28"/>
      <c r="H197" s="28"/>
      <c r="I197" s="28"/>
      <c r="J197" s="28"/>
      <c r="K197" s="28"/>
      <c r="L197" s="28"/>
      <c r="M197" s="28"/>
      <c r="N197" s="28"/>
      <c r="O197" s="28"/>
      <c r="P197" s="28"/>
      <c r="Q197" s="28"/>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row>
    <row r="198" spans="2:79" ht="17.100000000000001" customHeight="1" x14ac:dyDescent="0.15">
      <c r="B198" s="28"/>
      <c r="C198" s="28"/>
      <c r="D198" s="28"/>
      <c r="E198" s="28"/>
      <c r="F198" s="28"/>
      <c r="G198" s="28"/>
      <c r="H198" s="28"/>
      <c r="I198" s="28"/>
      <c r="J198" s="28"/>
      <c r="K198" s="28"/>
      <c r="L198" s="28"/>
      <c r="M198" s="28"/>
      <c r="N198" s="28"/>
      <c r="O198" s="28"/>
      <c r="P198" s="28"/>
      <c r="Q198" s="28"/>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row>
    <row r="199" spans="2:79" ht="17.100000000000001" customHeight="1" x14ac:dyDescent="0.15">
      <c r="B199" s="28"/>
      <c r="C199" s="28"/>
      <c r="D199" s="28"/>
      <c r="E199" s="28"/>
      <c r="F199" s="28"/>
      <c r="G199" s="28"/>
      <c r="H199" s="28"/>
      <c r="I199" s="28"/>
      <c r="J199" s="28"/>
      <c r="K199" s="28"/>
      <c r="L199" s="28"/>
      <c r="M199" s="28"/>
      <c r="N199" s="28"/>
      <c r="O199" s="28"/>
      <c r="P199" s="28"/>
      <c r="Q199" s="28"/>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row>
    <row r="200" spans="2:79" ht="17.100000000000001" customHeight="1" x14ac:dyDescent="0.15">
      <c r="B200" s="28"/>
      <c r="C200" s="28"/>
      <c r="D200" s="28"/>
      <c r="E200" s="28"/>
      <c r="F200" s="28"/>
      <c r="G200" s="28"/>
      <c r="H200" s="28"/>
      <c r="I200" s="28"/>
      <c r="J200" s="28"/>
      <c r="K200" s="28"/>
      <c r="L200" s="28"/>
      <c r="M200" s="28"/>
      <c r="N200" s="28"/>
      <c r="O200" s="28"/>
      <c r="P200" s="28"/>
      <c r="Q200" s="28"/>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row>
    <row r="201" spans="2:79" ht="17.100000000000001" customHeight="1" x14ac:dyDescent="0.15">
      <c r="B201" s="28"/>
      <c r="C201" s="28"/>
      <c r="D201" s="28"/>
      <c r="E201" s="28"/>
      <c r="F201" s="28"/>
      <c r="G201" s="28"/>
      <c r="H201" s="28"/>
      <c r="I201" s="28"/>
      <c r="J201" s="28"/>
      <c r="K201" s="28"/>
      <c r="L201" s="28"/>
      <c r="M201" s="28"/>
      <c r="N201" s="28"/>
      <c r="O201" s="28"/>
      <c r="P201" s="28"/>
      <c r="Q201" s="28"/>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row>
    <row r="202" spans="2:79" ht="17.100000000000001" customHeight="1" x14ac:dyDescent="0.15">
      <c r="B202" s="28"/>
      <c r="C202" s="28"/>
      <c r="D202" s="28"/>
      <c r="E202" s="28"/>
      <c r="F202" s="28"/>
      <c r="G202" s="28"/>
      <c r="H202" s="28"/>
      <c r="I202" s="28"/>
      <c r="J202" s="28"/>
      <c r="K202" s="28"/>
      <c r="L202" s="28"/>
      <c r="M202" s="28"/>
      <c r="N202" s="28"/>
      <c r="O202" s="28"/>
      <c r="P202" s="28"/>
      <c r="Q202" s="28"/>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row>
    <row r="203" spans="2:79" ht="17.100000000000001" customHeight="1" x14ac:dyDescent="0.15">
      <c r="B203" s="28"/>
      <c r="C203" s="28"/>
      <c r="D203" s="28"/>
      <c r="E203" s="28"/>
      <c r="F203" s="28"/>
      <c r="G203" s="28"/>
      <c r="H203" s="28"/>
      <c r="I203" s="28"/>
      <c r="J203" s="28"/>
      <c r="K203" s="28"/>
      <c r="L203" s="28"/>
      <c r="M203" s="28"/>
      <c r="N203" s="28"/>
      <c r="O203" s="28"/>
      <c r="P203" s="28"/>
      <c r="Q203" s="28"/>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row>
    <row r="204" spans="2:79" ht="17.100000000000001" customHeight="1" x14ac:dyDescent="0.15">
      <c r="B204" s="28"/>
      <c r="C204" s="28"/>
      <c r="D204" s="28"/>
      <c r="E204" s="28"/>
      <c r="F204" s="28"/>
      <c r="G204" s="28"/>
      <c r="H204" s="28"/>
      <c r="I204" s="28"/>
      <c r="J204" s="28"/>
      <c r="K204" s="28"/>
      <c r="L204" s="28"/>
      <c r="M204" s="28"/>
      <c r="N204" s="28"/>
      <c r="O204" s="28"/>
      <c r="P204" s="28"/>
      <c r="Q204" s="28"/>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row>
    <row r="205" spans="2:79" ht="17.100000000000001" customHeight="1" x14ac:dyDescent="0.15">
      <c r="B205" s="28"/>
      <c r="C205" s="28"/>
      <c r="D205" s="28"/>
      <c r="E205" s="28"/>
      <c r="F205" s="28"/>
      <c r="G205" s="28"/>
      <c r="H205" s="28"/>
      <c r="I205" s="28"/>
      <c r="J205" s="28"/>
      <c r="K205" s="28"/>
      <c r="L205" s="28"/>
      <c r="M205" s="28"/>
      <c r="N205" s="28"/>
      <c r="O205" s="28"/>
      <c r="P205" s="28"/>
      <c r="Q205" s="28"/>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row>
    <row r="206" spans="2:79" ht="17.100000000000001" customHeight="1" x14ac:dyDescent="0.15">
      <c r="B206" s="28"/>
      <c r="C206" s="28"/>
      <c r="D206" s="28"/>
      <c r="E206" s="28"/>
      <c r="F206" s="28"/>
      <c r="G206" s="28"/>
      <c r="H206" s="28"/>
      <c r="I206" s="28"/>
      <c r="J206" s="28"/>
      <c r="K206" s="28"/>
      <c r="L206" s="28"/>
      <c r="M206" s="28"/>
      <c r="N206" s="28"/>
      <c r="O206" s="28"/>
      <c r="P206" s="28"/>
      <c r="Q206" s="28"/>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row>
    <row r="207" spans="2:79" ht="17.100000000000001" customHeight="1" x14ac:dyDescent="0.15">
      <c r="B207" s="28"/>
      <c r="C207" s="28"/>
      <c r="D207" s="28"/>
      <c r="E207" s="28"/>
      <c r="F207" s="28"/>
      <c r="G207" s="28"/>
      <c r="H207" s="28"/>
      <c r="I207" s="28"/>
      <c r="J207" s="28"/>
      <c r="K207" s="28"/>
      <c r="L207" s="28"/>
      <c r="M207" s="28"/>
      <c r="N207" s="28"/>
      <c r="O207" s="28"/>
      <c r="P207" s="28"/>
      <c r="Q207" s="28"/>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row>
    <row r="208" spans="2:79" ht="17.100000000000001" customHeight="1" x14ac:dyDescent="0.15">
      <c r="B208" s="28"/>
      <c r="C208" s="28"/>
      <c r="D208" s="28"/>
      <c r="E208" s="28"/>
      <c r="F208" s="28"/>
      <c r="G208" s="28"/>
      <c r="H208" s="28"/>
      <c r="I208" s="28"/>
      <c r="J208" s="28"/>
      <c r="K208" s="28"/>
      <c r="L208" s="28"/>
      <c r="M208" s="28"/>
      <c r="N208" s="28"/>
      <c r="O208" s="28"/>
      <c r="P208" s="28"/>
      <c r="Q208" s="28"/>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row>
    <row r="209" spans="2:79" ht="17.100000000000001" customHeight="1" x14ac:dyDescent="0.15">
      <c r="B209" s="28"/>
      <c r="C209" s="28"/>
      <c r="D209" s="28"/>
      <c r="E209" s="28"/>
      <c r="F209" s="28"/>
      <c r="G209" s="28"/>
      <c r="H209" s="28"/>
      <c r="I209" s="28"/>
      <c r="J209" s="28"/>
      <c r="K209" s="28"/>
      <c r="L209" s="28"/>
      <c r="M209" s="28"/>
      <c r="N209" s="28"/>
      <c r="O209" s="28"/>
      <c r="P209" s="28"/>
      <c r="Q209" s="28"/>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row>
    <row r="210" spans="2:79" ht="17.100000000000001" customHeight="1" x14ac:dyDescent="0.15">
      <c r="B210" s="28"/>
      <c r="C210" s="28"/>
      <c r="D210" s="28"/>
      <c r="E210" s="28"/>
      <c r="F210" s="28"/>
      <c r="G210" s="28"/>
      <c r="H210" s="28"/>
      <c r="I210" s="28"/>
      <c r="J210" s="28"/>
      <c r="K210" s="28"/>
      <c r="L210" s="28"/>
      <c r="M210" s="28"/>
      <c r="N210" s="28"/>
      <c r="O210" s="28"/>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row>
    <row r="211" spans="2:79" ht="17.100000000000001" customHeight="1" x14ac:dyDescent="0.15">
      <c r="B211" s="28"/>
      <c r="C211" s="28"/>
      <c r="D211" s="28"/>
      <c r="E211" s="28"/>
      <c r="F211" s="28"/>
      <c r="G211" s="28"/>
      <c r="H211" s="28"/>
      <c r="I211" s="28"/>
      <c r="J211" s="28"/>
      <c r="K211" s="28"/>
      <c r="L211" s="28"/>
      <c r="M211" s="28"/>
      <c r="N211" s="28"/>
      <c r="O211" s="28"/>
      <c r="P211" s="28"/>
      <c r="Q211" s="28"/>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row>
    <row r="212" spans="2:79" ht="17.100000000000001" customHeight="1" x14ac:dyDescent="0.15">
      <c r="B212" s="28"/>
      <c r="C212" s="28"/>
      <c r="D212" s="28"/>
      <c r="E212" s="28"/>
      <c r="F212" s="28"/>
      <c r="G212" s="28"/>
      <c r="H212" s="28"/>
      <c r="I212" s="28"/>
      <c r="J212" s="28"/>
      <c r="K212" s="28"/>
      <c r="L212" s="28"/>
      <c r="M212" s="28"/>
      <c r="N212" s="28"/>
      <c r="O212" s="28"/>
      <c r="P212" s="28"/>
      <c r="Q212" s="28"/>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row>
    <row r="213" spans="2:79" ht="17.100000000000001" customHeight="1" x14ac:dyDescent="0.15">
      <c r="B213" s="28"/>
      <c r="C213" s="28"/>
      <c r="D213" s="28"/>
      <c r="E213" s="28"/>
      <c r="F213" s="28"/>
      <c r="G213" s="28"/>
      <c r="H213" s="28"/>
      <c r="I213" s="28"/>
      <c r="J213" s="28"/>
      <c r="K213" s="28"/>
      <c r="L213" s="28"/>
      <c r="M213" s="28"/>
      <c r="N213" s="28"/>
      <c r="O213" s="28"/>
      <c r="P213" s="28"/>
      <c r="Q213" s="28"/>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row>
    <row r="214" spans="2:79" ht="17.100000000000001" customHeight="1" x14ac:dyDescent="0.15">
      <c r="B214" s="28"/>
      <c r="C214" s="28"/>
      <c r="D214" s="28"/>
      <c r="E214" s="28"/>
      <c r="F214" s="28"/>
      <c r="G214" s="28"/>
      <c r="H214" s="28"/>
      <c r="I214" s="28"/>
      <c r="J214" s="28"/>
      <c r="K214" s="28"/>
      <c r="L214" s="28"/>
      <c r="M214" s="28"/>
      <c r="N214" s="28"/>
      <c r="O214" s="28"/>
      <c r="P214" s="28"/>
      <c r="Q214" s="28"/>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row>
    <row r="215" spans="2:79" ht="17.100000000000001" customHeight="1" x14ac:dyDescent="0.15">
      <c r="B215" s="28"/>
      <c r="BZ215" s="28"/>
      <c r="CA215" s="28"/>
    </row>
    <row r="216" spans="2:79" ht="17.100000000000001" customHeight="1" x14ac:dyDescent="0.15">
      <c r="B216" s="28"/>
      <c r="BZ216" s="28"/>
      <c r="CA216" s="28"/>
    </row>
    <row r="217" spans="2:79" ht="17.100000000000001" customHeight="1" x14ac:dyDescent="0.15">
      <c r="B217" s="28"/>
      <c r="BZ217" s="28"/>
      <c r="CA217" s="28"/>
    </row>
    <row r="218" spans="2:79" ht="17.100000000000001" customHeight="1" x14ac:dyDescent="0.15">
      <c r="B218" s="28"/>
      <c r="BZ218" s="28"/>
      <c r="CA218" s="28"/>
    </row>
    <row r="219" spans="2:79" ht="17.100000000000001" customHeight="1" x14ac:dyDescent="0.15">
      <c r="B219" s="28"/>
      <c r="BZ219" s="28"/>
      <c r="CA219" s="28"/>
    </row>
    <row r="220" spans="2:79" ht="17.100000000000001" customHeight="1" x14ac:dyDescent="0.15">
      <c r="B220" s="28"/>
      <c r="BZ220" s="28"/>
      <c r="CA220" s="28"/>
    </row>
    <row r="221" spans="2:79" ht="17.100000000000001" customHeight="1" x14ac:dyDescent="0.15">
      <c r="B221" s="28"/>
      <c r="BZ221" s="28"/>
      <c r="CA221" s="28"/>
    </row>
    <row r="222" spans="2:79" ht="17.100000000000001" customHeight="1" x14ac:dyDescent="0.15">
      <c r="B222" s="28"/>
      <c r="BZ222" s="28"/>
      <c r="CA222" s="28"/>
    </row>
    <row r="223" spans="2:79" ht="17.100000000000001" customHeight="1" x14ac:dyDescent="0.15">
      <c r="B223" s="28"/>
      <c r="BZ223" s="28"/>
      <c r="CA223" s="28"/>
    </row>
    <row r="224" spans="2:79" ht="17.100000000000001" customHeight="1" x14ac:dyDescent="0.15">
      <c r="B224" s="28"/>
      <c r="BZ224" s="28"/>
      <c r="CA224" s="28"/>
    </row>
    <row r="225" spans="2:79" ht="17.100000000000001" customHeight="1" x14ac:dyDescent="0.15">
      <c r="B225" s="28"/>
      <c r="BZ225" s="28"/>
      <c r="CA225" s="28"/>
    </row>
    <row r="226" spans="2:79" ht="17.100000000000001" customHeight="1" x14ac:dyDescent="0.15">
      <c r="B226" s="28"/>
      <c r="BZ226" s="28"/>
      <c r="CA226" s="28"/>
    </row>
    <row r="227" spans="2:79" ht="17.100000000000001" customHeight="1" x14ac:dyDescent="0.15">
      <c r="B227" s="28"/>
      <c r="BZ227" s="28"/>
      <c r="CA227" s="28"/>
    </row>
    <row r="228" spans="2:79" ht="17.100000000000001" customHeight="1" x14ac:dyDescent="0.15">
      <c r="B228" s="28"/>
      <c r="BZ228" s="28"/>
      <c r="CA228" s="28"/>
    </row>
    <row r="229" spans="2:79" ht="17.100000000000001" customHeight="1" x14ac:dyDescent="0.15">
      <c r="B229" s="28"/>
      <c r="BZ229" s="28"/>
      <c r="CA229" s="28"/>
    </row>
    <row r="230" spans="2:79" ht="17.100000000000001" customHeight="1" x14ac:dyDescent="0.15">
      <c r="B230" s="28"/>
      <c r="BZ230" s="28"/>
      <c r="CA230" s="28"/>
    </row>
    <row r="231" spans="2:79" ht="17.100000000000001" customHeight="1" x14ac:dyDescent="0.15">
      <c r="B231" s="28"/>
      <c r="BZ231" s="28"/>
      <c r="CA231" s="28"/>
    </row>
    <row r="232" spans="2:79" ht="17.100000000000001" customHeight="1" x14ac:dyDescent="0.15">
      <c r="B232" s="28"/>
      <c r="BZ232" s="28"/>
      <c r="CA232" s="28"/>
    </row>
  </sheetData>
  <sheetProtection sheet="1" scenarios="1"/>
  <mergeCells count="124">
    <mergeCell ref="DE35:DF35"/>
    <mergeCell ref="DG35:DH35"/>
    <mergeCell ref="DE36:DF36"/>
    <mergeCell ref="DG36:DH36"/>
    <mergeCell ref="DE31:DF31"/>
    <mergeCell ref="DG31:DH31"/>
    <mergeCell ref="DE33:DF33"/>
    <mergeCell ref="DG33:DH33"/>
    <mergeCell ref="DE34:DF34"/>
    <mergeCell ref="DG34:DH34"/>
    <mergeCell ref="DE30:DF30"/>
    <mergeCell ref="DG30:DH30"/>
    <mergeCell ref="DE26:DF26"/>
    <mergeCell ref="DE23:DF23"/>
    <mergeCell ref="DE24:DF24"/>
    <mergeCell ref="DE25:DF25"/>
    <mergeCell ref="DG25:DH25"/>
    <mergeCell ref="DG26:DH26"/>
    <mergeCell ref="DG23:DH23"/>
    <mergeCell ref="DG24:DH24"/>
    <mergeCell ref="DE28:DF28"/>
    <mergeCell ref="DG28:DH28"/>
    <mergeCell ref="DE29:DF29"/>
    <mergeCell ref="DG29:DH29"/>
    <mergeCell ref="AJ41:AR42"/>
    <mergeCell ref="CF35:CH35"/>
    <mergeCell ref="CF28:CH28"/>
    <mergeCell ref="CC33:CE33"/>
    <mergeCell ref="CC35:CE35"/>
    <mergeCell ref="CF29:CH29"/>
    <mergeCell ref="CF30:CH30"/>
    <mergeCell ref="CF32:CH32"/>
    <mergeCell ref="CF34:CH34"/>
    <mergeCell ref="CF33:CH33"/>
    <mergeCell ref="CF25:CH25"/>
    <mergeCell ref="CC23:CE23"/>
    <mergeCell ref="CC25:CE25"/>
    <mergeCell ref="CF26:CH26"/>
    <mergeCell ref="CC27:CE27"/>
    <mergeCell ref="CC29:CE29"/>
    <mergeCell ref="CC31:CE31"/>
    <mergeCell ref="CF27:CH27"/>
    <mergeCell ref="CF31:CH31"/>
    <mergeCell ref="C3:E20"/>
    <mergeCell ref="I20:J20"/>
    <mergeCell ref="CF22:CH22"/>
    <mergeCell ref="CF21:CH21"/>
    <mergeCell ref="CF17:CH17"/>
    <mergeCell ref="CF18:CH18"/>
    <mergeCell ref="CF20:CH20"/>
    <mergeCell ref="CF23:CH23"/>
    <mergeCell ref="AD20:AE20"/>
    <mergeCell ref="L19:M19"/>
    <mergeCell ref="L20:M20"/>
    <mergeCell ref="BP19:BQ19"/>
    <mergeCell ref="BP20:BQ20"/>
    <mergeCell ref="S19:T19"/>
    <mergeCell ref="U19:V19"/>
    <mergeCell ref="W19:X19"/>
    <mergeCell ref="AC19:AD19"/>
    <mergeCell ref="AA19:AB19"/>
    <mergeCell ref="Y19:Z19"/>
    <mergeCell ref="X20:Y20"/>
    <mergeCell ref="AO20:AP20"/>
    <mergeCell ref="BF20:BG20"/>
    <mergeCell ref="H19:J19"/>
    <mergeCell ref="Q20:R20"/>
    <mergeCell ref="D101:E101"/>
    <mergeCell ref="D117:E117"/>
    <mergeCell ref="D85:E85"/>
    <mergeCell ref="D133:E133"/>
    <mergeCell ref="J81:BU81"/>
    <mergeCell ref="J97:BU97"/>
    <mergeCell ref="J113:BU113"/>
    <mergeCell ref="J129:BU129"/>
    <mergeCell ref="DE19:DF19"/>
    <mergeCell ref="N19:O19"/>
    <mergeCell ref="N20:O20"/>
    <mergeCell ref="AE19:AF19"/>
    <mergeCell ref="S20:T20"/>
    <mergeCell ref="V20:W20"/>
    <mergeCell ref="AA20:AB20"/>
    <mergeCell ref="AJ19:AK19"/>
    <mergeCell ref="BK19:BL19"/>
    <mergeCell ref="BI19:BJ19"/>
    <mergeCell ref="BG19:BH19"/>
    <mergeCell ref="BE19:BF19"/>
    <mergeCell ref="BC19:BD19"/>
    <mergeCell ref="BA19:BB19"/>
    <mergeCell ref="C22:E36"/>
    <mergeCell ref="Q19:R19"/>
    <mergeCell ref="DE21:DF21"/>
    <mergeCell ref="DG21:DH21"/>
    <mergeCell ref="DG20:DH20"/>
    <mergeCell ref="AH19:AI19"/>
    <mergeCell ref="AH20:AI20"/>
    <mergeCell ref="DG19:DH19"/>
    <mergeCell ref="AJ20:AK20"/>
    <mergeCell ref="AM20:AN20"/>
    <mergeCell ref="AR20:AS20"/>
    <mergeCell ref="AU20:AV20"/>
    <mergeCell ref="AV19:AW19"/>
    <mergeCell ref="AT19:AU19"/>
    <mergeCell ref="AR19:AS19"/>
    <mergeCell ref="AP19:AQ19"/>
    <mergeCell ref="AN19:AO19"/>
    <mergeCell ref="AL19:AM19"/>
    <mergeCell ref="DB21:DC21"/>
    <mergeCell ref="DG18:DH18"/>
    <mergeCell ref="BU20:BV20"/>
    <mergeCell ref="DB20:DC20"/>
    <mergeCell ref="DE20:DF20"/>
    <mergeCell ref="BR19:BS19"/>
    <mergeCell ref="BR20:BS20"/>
    <mergeCell ref="DB19:DC19"/>
    <mergeCell ref="AY19:AZ19"/>
    <mergeCell ref="AY20:AZ20"/>
    <mergeCell ref="BA20:BB20"/>
    <mergeCell ref="BD20:BE20"/>
    <mergeCell ref="BI20:BJ20"/>
    <mergeCell ref="BL20:BM20"/>
    <mergeCell ref="BM19:BN19"/>
    <mergeCell ref="DE18:DF18"/>
    <mergeCell ref="BU19:BW19"/>
  </mergeCells>
  <phoneticPr fontId="39" type="noConversion"/>
  <conditionalFormatting sqref="C3:E20">
    <cfRule type="expression" dxfId="4974" priority="945">
      <formula>$C$3="2MORO"</formula>
    </cfRule>
  </conditionalFormatting>
  <conditionalFormatting sqref="C22:E36">
    <cfRule type="expression" dxfId="4973" priority="1826">
      <formula>$C$22="NEXT"</formula>
    </cfRule>
  </conditionalFormatting>
  <conditionalFormatting sqref="DB20:DC21">
    <cfRule type="expression" dxfId="4972" priority="944">
      <formula>$C$3="2MORO"</formula>
    </cfRule>
  </conditionalFormatting>
  <conditionalFormatting sqref="AU54">
    <cfRule type="expression" dxfId="4971" priority="938">
      <formula>AU54=0</formula>
    </cfRule>
  </conditionalFormatting>
  <conditionalFormatting sqref="AZ54">
    <cfRule type="expression" dxfId="4970" priority="939">
      <formula>AZ54=0</formula>
    </cfRule>
  </conditionalFormatting>
  <conditionalFormatting sqref="BE54">
    <cfRule type="expression" dxfId="4969" priority="940">
      <formula>BE54=0</formula>
    </cfRule>
  </conditionalFormatting>
  <conditionalFormatting sqref="BN54">
    <cfRule type="expression" dxfId="4968" priority="941">
      <formula>BN54=0</formula>
    </cfRule>
  </conditionalFormatting>
  <conditionalFormatting sqref="BS54">
    <cfRule type="expression" dxfId="4967" priority="942">
      <formula>BS54=0</formula>
    </cfRule>
  </conditionalFormatting>
  <conditionalFormatting sqref="BX23:BX35">
    <cfRule type="expression" dxfId="4966" priority="1741">
      <formula>$C$22="NEXT"</formula>
    </cfRule>
  </conditionalFormatting>
  <conditionalFormatting sqref="BX54">
    <cfRule type="expression" dxfId="4965" priority="943">
      <formula>BX54=0</formula>
    </cfRule>
  </conditionalFormatting>
  <conditionalFormatting sqref="F23">
    <cfRule type="expression" dxfId="4964" priority="39740">
      <formula>WEEKDAY($DB$20,2)=1</formula>
    </cfRule>
  </conditionalFormatting>
  <conditionalFormatting sqref="F25">
    <cfRule type="expression" dxfId="4963" priority="39741">
      <formula>WEEKDAY($DB$20,2)=2</formula>
    </cfRule>
  </conditionalFormatting>
  <conditionalFormatting sqref="F27">
    <cfRule type="expression" dxfId="4962" priority="39742">
      <formula>WEEKDAY($DB$20,2)=3</formula>
    </cfRule>
  </conditionalFormatting>
  <conditionalFormatting sqref="F29">
    <cfRule type="expression" dxfId="4961" priority="39743">
      <formula>WEEKDAY($DB$20,2)=4</formula>
    </cfRule>
  </conditionalFormatting>
  <conditionalFormatting sqref="F31">
    <cfRule type="expression" dxfId="4960" priority="39744">
      <formula>WEEKDAY($DB$20,2)=5</formula>
    </cfRule>
  </conditionalFormatting>
  <conditionalFormatting sqref="G23:H23">
    <cfRule type="expression" dxfId="4959" priority="39745">
      <formula>OR(AND(AND(WEEKDAY($DB$20,2)=7,ISBLANK($C$37)),$C$3="2MORO"),$C$22="NEXT")</formula>
    </cfRule>
  </conditionalFormatting>
  <conditionalFormatting sqref="G25:H25">
    <cfRule type="expression" dxfId="4958" priority="39746">
      <formula>OR(AND(AND(WEEKDAY($DB$20,2)=1,ISBLANK($C$37)),$C$3="2MORO"),$C$22="NEXT")</formula>
    </cfRule>
  </conditionalFormatting>
  <conditionalFormatting sqref="G27:H27">
    <cfRule type="expression" dxfId="4957" priority="39747">
      <formula>OR(AND(AND(WEEKDAY($DB$20,2)=2,ISBLANK($C$37)),$C$3="2MORO"),$C$22="NEXT")</formula>
    </cfRule>
  </conditionalFormatting>
  <conditionalFormatting sqref="G29:H29">
    <cfRule type="expression" dxfId="4956" priority="39748">
      <formula>OR(AND(AND(WEEKDAY($DB$20,2)=3,ISBLANK($C$37)),$C$3="2MORO"),$C$22="NEXT")</formula>
    </cfRule>
  </conditionalFormatting>
  <conditionalFormatting sqref="G31:H31">
    <cfRule type="expression" dxfId="4955" priority="39749">
      <formula>OR(AND(AND(WEEKDAY($DB$20,2)=4,ISBLANK($C$37)),$C$3="2MORO"),$C$22="NEXT")</formula>
    </cfRule>
  </conditionalFormatting>
  <conditionalFormatting sqref="G33:H33">
    <cfRule type="expression" dxfId="4954" priority="39750">
      <formula>OR(AND(AND(WEEKDAY($DB$20,2)=5,ISBLANK($C$37)),$C$3="2MORO"),$C$22="NEXT")</formula>
    </cfRule>
  </conditionalFormatting>
  <conditionalFormatting sqref="G35:H35">
    <cfRule type="expression" dxfId="4953" priority="39751">
      <formula>OR(AND(AND(WEEKDAY($DB$20,2)=6,ISBLANK($C$37)),$C$3="2MORO"),$C$22="NEXT")</formula>
    </cfRule>
  </conditionalFormatting>
  <conditionalFormatting sqref="BX23">
    <cfRule type="expression" dxfId="4952" priority="39752">
      <formula>AND(WEEKDAY($DB$20,2)=7,$C$3="2MORO")</formula>
    </cfRule>
  </conditionalFormatting>
  <conditionalFormatting sqref="BX25">
    <cfRule type="expression" dxfId="4951" priority="39753">
      <formula>AND(WEEKDAY($DB$20,2)=1,$C$3="2MORO")</formula>
    </cfRule>
  </conditionalFormatting>
  <conditionalFormatting sqref="BX27">
    <cfRule type="expression" dxfId="4950" priority="39754">
      <formula>AND(WEEKDAY($DB$20,2)=2,$C$3="2MORO")</formula>
    </cfRule>
  </conditionalFormatting>
  <conditionalFormatting sqref="BX29">
    <cfRule type="expression" dxfId="4949" priority="39755">
      <formula>AND(WEEKDAY($DB$20,2)=3,$C$3="2MORO")</formula>
    </cfRule>
  </conditionalFormatting>
  <conditionalFormatting sqref="BX31">
    <cfRule type="expression" dxfId="4948" priority="39756">
      <formula>AND(WEEKDAY($DB$20,2)=4,$C$3="2MORO")</formula>
    </cfRule>
  </conditionalFormatting>
  <conditionalFormatting sqref="BX33">
    <cfRule type="expression" dxfId="4947" priority="39757">
      <formula>AND(WEEKDAY($DB$20,2)=5,$C$3="2MORO")</formula>
    </cfRule>
  </conditionalFormatting>
  <conditionalFormatting sqref="BX35">
    <cfRule type="expression" dxfId="4946" priority="39758">
      <formula>AND(WEEKDAY($DB$20,2)=6,$C$3="2MORO")</formula>
    </cfRule>
  </conditionalFormatting>
  <conditionalFormatting sqref="L7:L12">
    <cfRule type="expression" dxfId="4945" priority="272">
      <formula>AND(L$6&lt;&gt;0,L$13=0)</formula>
    </cfRule>
  </conditionalFormatting>
  <conditionalFormatting sqref="J8:J11">
    <cfRule type="expression" dxfId="4944" priority="263">
      <formula>OR(J$13=1,J$13=2)</formula>
    </cfRule>
  </conditionalFormatting>
  <conditionalFormatting sqref="K7:K12">
    <cfRule type="expression" dxfId="4943" priority="268">
      <formula>J$13=2</formula>
    </cfRule>
    <cfRule type="expression" dxfId="4942" priority="270">
      <formula>AND(J$6&lt;&gt;0,J$13=0)</formula>
    </cfRule>
  </conditionalFormatting>
  <conditionalFormatting sqref="K7:K11">
    <cfRule type="expression" dxfId="4941" priority="269">
      <formula>OR(J$13=1,J$13=2)</formula>
    </cfRule>
  </conditionalFormatting>
  <conditionalFormatting sqref="L7:L11">
    <cfRule type="expression" dxfId="4940" priority="267">
      <formula>OR(L$13=1,L$13=2)</formula>
    </cfRule>
  </conditionalFormatting>
  <conditionalFormatting sqref="M7:M11">
    <cfRule type="expression" dxfId="4939" priority="264">
      <formula>OR(L$13=1,L$13=2)</formula>
    </cfRule>
  </conditionalFormatting>
  <conditionalFormatting sqref="L12">
    <cfRule type="expression" dxfId="4938" priority="265">
      <formula>J$13=2</formula>
    </cfRule>
  </conditionalFormatting>
  <conditionalFormatting sqref="M7">
    <cfRule type="expression" dxfId="4937" priority="262">
      <formula>AND(L$6&lt;&gt;0,L$13&lt;&gt;0)</formula>
    </cfRule>
  </conditionalFormatting>
  <conditionalFormatting sqref="J8:J12">
    <cfRule type="expression" dxfId="4936" priority="271">
      <formula>AND(J$6&lt;&gt;0,J$13=0)</formula>
    </cfRule>
  </conditionalFormatting>
  <conditionalFormatting sqref="M7:M12">
    <cfRule type="expression" dxfId="4935" priority="266">
      <formula>AND(L$6&lt;&gt;0,L$13=0)</formula>
    </cfRule>
  </conditionalFormatting>
  <conditionalFormatting sqref="J12">
    <cfRule type="expression" dxfId="4934" priority="261">
      <formula>H$13=2</formula>
    </cfRule>
  </conditionalFormatting>
  <conditionalFormatting sqref="J7">
    <cfRule type="expression" dxfId="4933" priority="258">
      <formula>AND(J$6&lt;&gt;0,J$13&lt;&gt;0)</formula>
    </cfRule>
    <cfRule type="expression" dxfId="4932" priority="259">
      <formula>OR(J$13=1,J$13=2)</formula>
    </cfRule>
  </conditionalFormatting>
  <conditionalFormatting sqref="J7">
    <cfRule type="expression" dxfId="4931" priority="260">
      <formula>AND(J$6&lt;&gt;0,J$13=0)</formula>
    </cfRule>
  </conditionalFormatting>
  <conditionalFormatting sqref="L7">
    <cfRule type="expression" dxfId="4930" priority="257">
      <formula>AND(L$6&lt;&gt;0,L$13&lt;&gt;0)</formula>
    </cfRule>
  </conditionalFormatting>
  <conditionalFormatting sqref="K7">
    <cfRule type="expression" dxfId="4929" priority="256">
      <formula>AND(J$6&lt;&gt;0,J$13&lt;&gt;0)</formula>
    </cfRule>
  </conditionalFormatting>
  <conditionalFormatting sqref="P7:P12">
    <cfRule type="expression" dxfId="4928" priority="255">
      <formula>AND(P$6&lt;&gt;0,P$13=0)</formula>
    </cfRule>
  </conditionalFormatting>
  <conditionalFormatting sqref="N8:N11">
    <cfRule type="expression" dxfId="4927" priority="246">
      <formula>OR(N$13=1,N$13=2)</formula>
    </cfRule>
  </conditionalFormatting>
  <conditionalFormatting sqref="O7:O12">
    <cfRule type="expression" dxfId="4926" priority="251">
      <formula>N$13=2</formula>
    </cfRule>
    <cfRule type="expression" dxfId="4925" priority="253">
      <formula>AND(N$6&lt;&gt;0,N$13=0)</formula>
    </cfRule>
  </conditionalFormatting>
  <conditionalFormatting sqref="O7:O11">
    <cfRule type="expression" dxfId="4924" priority="252">
      <formula>OR(N$13=1,N$13=2)</formula>
    </cfRule>
  </conditionalFormatting>
  <conditionalFormatting sqref="P7:P11">
    <cfRule type="expression" dxfId="4923" priority="250">
      <formula>OR(P$13=1,P$13=2)</formula>
    </cfRule>
  </conditionalFormatting>
  <conditionalFormatting sqref="Q7:Q11">
    <cfRule type="expression" dxfId="4922" priority="247">
      <formula>OR(P$13=1,P$13=2)</formula>
    </cfRule>
  </conditionalFormatting>
  <conditionalFormatting sqref="P12">
    <cfRule type="expression" dxfId="4921" priority="248">
      <formula>N$13=2</formula>
    </cfRule>
  </conditionalFormatting>
  <conditionalFormatting sqref="Q7">
    <cfRule type="expression" dxfId="4920" priority="245">
      <formula>AND(P$6&lt;&gt;0,P$13&lt;&gt;0)</formula>
    </cfRule>
  </conditionalFormatting>
  <conditionalFormatting sqref="N8:N12">
    <cfRule type="expression" dxfId="4919" priority="254">
      <formula>AND(N$6&lt;&gt;0,N$13=0)</formula>
    </cfRule>
  </conditionalFormatting>
  <conditionalFormatting sqref="Q7:Q12">
    <cfRule type="expression" dxfId="4918" priority="249">
      <formula>AND(P$6&lt;&gt;0,P$13=0)</formula>
    </cfRule>
  </conditionalFormatting>
  <conditionalFormatting sqref="N12">
    <cfRule type="expression" dxfId="4917" priority="244">
      <formula>L$13=2</formula>
    </cfRule>
  </conditionalFormatting>
  <conditionalFormatting sqref="N7">
    <cfRule type="expression" dxfId="4916" priority="241">
      <formula>AND(N$6&lt;&gt;0,N$13&lt;&gt;0)</formula>
    </cfRule>
    <cfRule type="expression" dxfId="4915" priority="242">
      <formula>OR(N$13=1,N$13=2)</formula>
    </cfRule>
  </conditionalFormatting>
  <conditionalFormatting sqref="N7">
    <cfRule type="expression" dxfId="4914" priority="243">
      <formula>AND(N$6&lt;&gt;0,N$13=0)</formula>
    </cfRule>
  </conditionalFormatting>
  <conditionalFormatting sqref="P7">
    <cfRule type="expression" dxfId="4913" priority="240">
      <formula>AND(P$6&lt;&gt;0,P$13&lt;&gt;0)</formula>
    </cfRule>
  </conditionalFormatting>
  <conditionalFormatting sqref="O7">
    <cfRule type="expression" dxfId="4912" priority="239">
      <formula>AND(N$6&lt;&gt;0,N$13&lt;&gt;0)</formula>
    </cfRule>
  </conditionalFormatting>
  <conditionalFormatting sqref="T7:T12">
    <cfRule type="expression" dxfId="4911" priority="238">
      <formula>AND(T$6&lt;&gt;0,T$13=0)</formula>
    </cfRule>
  </conditionalFormatting>
  <conditionalFormatting sqref="R8:R11">
    <cfRule type="expression" dxfId="4910" priority="229">
      <formula>OR(R$13=1,R$13=2)</formula>
    </cfRule>
  </conditionalFormatting>
  <conditionalFormatting sqref="S7:S12">
    <cfRule type="expression" dxfId="4909" priority="234">
      <formula>R$13=2</formula>
    </cfRule>
    <cfRule type="expression" dxfId="4908" priority="236">
      <formula>AND(R$6&lt;&gt;0,R$13=0)</formula>
    </cfRule>
  </conditionalFormatting>
  <conditionalFormatting sqref="S7:S11">
    <cfRule type="expression" dxfId="4907" priority="235">
      <formula>OR(R$13=1,R$13=2)</formula>
    </cfRule>
  </conditionalFormatting>
  <conditionalFormatting sqref="T7:T11">
    <cfRule type="expression" dxfId="4906" priority="233">
      <formula>OR(T$13=1,T$13=2)</formula>
    </cfRule>
  </conditionalFormatting>
  <conditionalFormatting sqref="U7:U11">
    <cfRule type="expression" dxfId="4905" priority="230">
      <formula>OR(T$13=1,T$13=2)</formula>
    </cfRule>
  </conditionalFormatting>
  <conditionalFormatting sqref="T12">
    <cfRule type="expression" dxfId="4904" priority="231">
      <formula>R$13=2</formula>
    </cfRule>
  </conditionalFormatting>
  <conditionalFormatting sqref="U7">
    <cfRule type="expression" dxfId="4903" priority="228">
      <formula>AND(T$6&lt;&gt;0,T$13&lt;&gt;0)</formula>
    </cfRule>
  </conditionalFormatting>
  <conditionalFormatting sqref="R8:R12">
    <cfRule type="expression" dxfId="4902" priority="237">
      <formula>AND(R$6&lt;&gt;0,R$13=0)</formula>
    </cfRule>
  </conditionalFormatting>
  <conditionalFormatting sqref="U7:U12">
    <cfRule type="expression" dxfId="4901" priority="232">
      <formula>AND(T$6&lt;&gt;0,T$13=0)</formula>
    </cfRule>
  </conditionalFormatting>
  <conditionalFormatting sqref="R12">
    <cfRule type="expression" dxfId="4900" priority="227">
      <formula>P$13=2</formula>
    </cfRule>
  </conditionalFormatting>
  <conditionalFormatting sqref="R7">
    <cfRule type="expression" dxfId="4899" priority="224">
      <formula>AND(R$6&lt;&gt;0,R$13&lt;&gt;0)</formula>
    </cfRule>
    <cfRule type="expression" dxfId="4898" priority="225">
      <formula>OR(R$13=1,R$13=2)</formula>
    </cfRule>
  </conditionalFormatting>
  <conditionalFormatting sqref="R7">
    <cfRule type="expression" dxfId="4897" priority="226">
      <formula>AND(R$6&lt;&gt;0,R$13=0)</formula>
    </cfRule>
  </conditionalFormatting>
  <conditionalFormatting sqref="T7">
    <cfRule type="expression" dxfId="4896" priority="223">
      <formula>AND(T$6&lt;&gt;0,T$13&lt;&gt;0)</formula>
    </cfRule>
  </conditionalFormatting>
  <conditionalFormatting sqref="S7">
    <cfRule type="expression" dxfId="4895" priority="222">
      <formula>AND(R$6&lt;&gt;0,R$13&lt;&gt;0)</formula>
    </cfRule>
  </conditionalFormatting>
  <conditionalFormatting sqref="X7:X12">
    <cfRule type="expression" dxfId="4894" priority="221">
      <formula>AND(X$6&lt;&gt;0,X$13=0)</formula>
    </cfRule>
  </conditionalFormatting>
  <conditionalFormatting sqref="V8:V11">
    <cfRule type="expression" dxfId="4893" priority="212">
      <formula>OR(V$13=1,V$13=2)</formula>
    </cfRule>
  </conditionalFormatting>
  <conditionalFormatting sqref="W7:W12">
    <cfRule type="expression" dxfId="4892" priority="217">
      <formula>V$13=2</formula>
    </cfRule>
    <cfRule type="expression" dxfId="4891" priority="219">
      <formula>AND(V$6&lt;&gt;0,V$13=0)</formula>
    </cfRule>
  </conditionalFormatting>
  <conditionalFormatting sqref="W7:W11">
    <cfRule type="expression" dxfId="4890" priority="218">
      <formula>OR(V$13=1,V$13=2)</formula>
    </cfRule>
  </conditionalFormatting>
  <conditionalFormatting sqref="X7:X11">
    <cfRule type="expression" dxfId="4889" priority="216">
      <formula>OR(X$13=1,X$13=2)</formula>
    </cfRule>
  </conditionalFormatting>
  <conditionalFormatting sqref="Y7:Y11">
    <cfRule type="expression" dxfId="4888" priority="213">
      <formula>OR(X$13=1,X$13=2)</formula>
    </cfRule>
  </conditionalFormatting>
  <conditionalFormatting sqref="X12">
    <cfRule type="expression" dxfId="4887" priority="214">
      <formula>V$13=2</formula>
    </cfRule>
  </conditionalFormatting>
  <conditionalFormatting sqref="Y7">
    <cfRule type="expression" dxfId="4886" priority="211">
      <formula>AND(X$6&lt;&gt;0,X$13&lt;&gt;0)</formula>
    </cfRule>
  </conditionalFormatting>
  <conditionalFormatting sqref="V8:V12">
    <cfRule type="expression" dxfId="4885" priority="220">
      <formula>AND(V$6&lt;&gt;0,V$13=0)</formula>
    </cfRule>
  </conditionalFormatting>
  <conditionalFormatting sqref="Y7:Y12">
    <cfRule type="expression" dxfId="4884" priority="215">
      <formula>AND(X$6&lt;&gt;0,X$13=0)</formula>
    </cfRule>
  </conditionalFormatting>
  <conditionalFormatting sqref="V12">
    <cfRule type="expression" dxfId="4883" priority="210">
      <formula>T$13=2</formula>
    </cfRule>
  </conditionalFormatting>
  <conditionalFormatting sqref="V7">
    <cfRule type="expression" dxfId="4882" priority="207">
      <formula>AND(V$6&lt;&gt;0,V$13&lt;&gt;0)</formula>
    </cfRule>
    <cfRule type="expression" dxfId="4881" priority="208">
      <formula>OR(V$13=1,V$13=2)</formula>
    </cfRule>
  </conditionalFormatting>
  <conditionalFormatting sqref="V7">
    <cfRule type="expression" dxfId="4880" priority="209">
      <formula>AND(V$6&lt;&gt;0,V$13=0)</formula>
    </cfRule>
  </conditionalFormatting>
  <conditionalFormatting sqref="X7">
    <cfRule type="expression" dxfId="4879" priority="206">
      <formula>AND(X$6&lt;&gt;0,X$13&lt;&gt;0)</formula>
    </cfRule>
  </conditionalFormatting>
  <conditionalFormatting sqref="W7">
    <cfRule type="expression" dxfId="4878" priority="205">
      <formula>AND(V$6&lt;&gt;0,V$13&lt;&gt;0)</formula>
    </cfRule>
  </conditionalFormatting>
  <conditionalFormatting sqref="AB7:AB12">
    <cfRule type="expression" dxfId="4877" priority="204">
      <formula>AND(AB$6&lt;&gt;0,AB$13=0)</formula>
    </cfRule>
  </conditionalFormatting>
  <conditionalFormatting sqref="Z8:Z11">
    <cfRule type="expression" dxfId="4876" priority="195">
      <formula>OR(Z$13=1,Z$13=2)</formula>
    </cfRule>
  </conditionalFormatting>
  <conditionalFormatting sqref="AA7:AA12">
    <cfRule type="expression" dxfId="4875" priority="200">
      <formula>Z$13=2</formula>
    </cfRule>
    <cfRule type="expression" dxfId="4874" priority="202">
      <formula>AND(Z$6&lt;&gt;0,Z$13=0)</formula>
    </cfRule>
  </conditionalFormatting>
  <conditionalFormatting sqref="AA7:AA11">
    <cfRule type="expression" dxfId="4873" priority="201">
      <formula>OR(Z$13=1,Z$13=2)</formula>
    </cfRule>
  </conditionalFormatting>
  <conditionalFormatting sqref="AB7:AB11">
    <cfRule type="expression" dxfId="4872" priority="199">
      <formula>OR(AB$13=1,AB$13=2)</formula>
    </cfRule>
  </conditionalFormatting>
  <conditionalFormatting sqref="AC7:AC11">
    <cfRule type="expression" dxfId="4871" priority="196">
      <formula>OR(AB$13=1,AB$13=2)</formula>
    </cfRule>
  </conditionalFormatting>
  <conditionalFormatting sqref="AB12">
    <cfRule type="expression" dxfId="4870" priority="197">
      <formula>Z$13=2</formula>
    </cfRule>
  </conditionalFormatting>
  <conditionalFormatting sqref="AC7">
    <cfRule type="expression" dxfId="4869" priority="194">
      <formula>AND(AB$6&lt;&gt;0,AB$13&lt;&gt;0)</formula>
    </cfRule>
  </conditionalFormatting>
  <conditionalFormatting sqref="Z8:Z12">
    <cfRule type="expression" dxfId="4868" priority="203">
      <formula>AND(Z$6&lt;&gt;0,Z$13=0)</formula>
    </cfRule>
  </conditionalFormatting>
  <conditionalFormatting sqref="AC7:AC12">
    <cfRule type="expression" dxfId="4867" priority="198">
      <formula>AND(AB$6&lt;&gt;0,AB$13=0)</formula>
    </cfRule>
  </conditionalFormatting>
  <conditionalFormatting sqref="Z12">
    <cfRule type="expression" dxfId="4866" priority="193">
      <formula>X$13=2</formula>
    </cfRule>
  </conditionalFormatting>
  <conditionalFormatting sqref="Z7">
    <cfRule type="expression" dxfId="4865" priority="190">
      <formula>AND(Z$6&lt;&gt;0,Z$13&lt;&gt;0)</formula>
    </cfRule>
    <cfRule type="expression" dxfId="4864" priority="191">
      <formula>OR(Z$13=1,Z$13=2)</formula>
    </cfRule>
  </conditionalFormatting>
  <conditionalFormatting sqref="Z7">
    <cfRule type="expression" dxfId="4863" priority="192">
      <formula>AND(Z$6&lt;&gt;0,Z$13=0)</formula>
    </cfRule>
  </conditionalFormatting>
  <conditionalFormatting sqref="AB7">
    <cfRule type="expression" dxfId="4862" priority="189">
      <formula>AND(AB$6&lt;&gt;0,AB$13&lt;&gt;0)</formula>
    </cfRule>
  </conditionalFormatting>
  <conditionalFormatting sqref="AA7">
    <cfRule type="expression" dxfId="4861" priority="188">
      <formula>AND(Z$6&lt;&gt;0,Z$13&lt;&gt;0)</formula>
    </cfRule>
  </conditionalFormatting>
  <conditionalFormatting sqref="AF7:AF12">
    <cfRule type="expression" dxfId="4860" priority="187">
      <formula>AND(AF$6&lt;&gt;0,AF$13=0)</formula>
    </cfRule>
  </conditionalFormatting>
  <conditionalFormatting sqref="AD8:AD11">
    <cfRule type="expression" dxfId="4859" priority="178">
      <formula>OR(AD$13=1,AD$13=2)</formula>
    </cfRule>
  </conditionalFormatting>
  <conditionalFormatting sqref="AE7:AE12">
    <cfRule type="expression" dxfId="4858" priority="183">
      <formula>AD$13=2</formula>
    </cfRule>
    <cfRule type="expression" dxfId="4857" priority="185">
      <formula>AND(AD$6&lt;&gt;0,AD$13=0)</formula>
    </cfRule>
  </conditionalFormatting>
  <conditionalFormatting sqref="AE7:AE11">
    <cfRule type="expression" dxfId="4856" priority="184">
      <formula>OR(AD$13=1,AD$13=2)</formula>
    </cfRule>
  </conditionalFormatting>
  <conditionalFormatting sqref="AF7:AF11">
    <cfRule type="expression" dxfId="4855" priority="182">
      <formula>OR(AF$13=1,AF$13=2)</formula>
    </cfRule>
  </conditionalFormatting>
  <conditionalFormatting sqref="AG7:AG11">
    <cfRule type="expression" dxfId="4854" priority="179">
      <formula>OR(AF$13=1,AF$13=2)</formula>
    </cfRule>
  </conditionalFormatting>
  <conditionalFormatting sqref="AF12">
    <cfRule type="expression" dxfId="4853" priority="180">
      <formula>AD$13=2</formula>
    </cfRule>
  </conditionalFormatting>
  <conditionalFormatting sqref="AG7">
    <cfRule type="expression" dxfId="4852" priority="177">
      <formula>AND(AF$6&lt;&gt;0,AF$13&lt;&gt;0)</formula>
    </cfRule>
  </conditionalFormatting>
  <conditionalFormatting sqref="AD8:AD12">
    <cfRule type="expression" dxfId="4851" priority="186">
      <formula>AND(AD$6&lt;&gt;0,AD$13=0)</formula>
    </cfRule>
  </conditionalFormatting>
  <conditionalFormatting sqref="AG7:AG12">
    <cfRule type="expression" dxfId="4850" priority="181">
      <formula>AND(AF$6&lt;&gt;0,AF$13=0)</formula>
    </cfRule>
  </conditionalFormatting>
  <conditionalFormatting sqref="AD12">
    <cfRule type="expression" dxfId="4849" priority="176">
      <formula>AB$13=2</formula>
    </cfRule>
  </conditionalFormatting>
  <conditionalFormatting sqref="AD7">
    <cfRule type="expression" dxfId="4848" priority="173">
      <formula>AND(AD$6&lt;&gt;0,AD$13&lt;&gt;0)</formula>
    </cfRule>
    <cfRule type="expression" dxfId="4847" priority="174">
      <formula>OR(AD$13=1,AD$13=2)</formula>
    </cfRule>
  </conditionalFormatting>
  <conditionalFormatting sqref="AD7">
    <cfRule type="expression" dxfId="4846" priority="175">
      <formula>AND(AD$6&lt;&gt;0,AD$13=0)</formula>
    </cfRule>
  </conditionalFormatting>
  <conditionalFormatting sqref="AF7">
    <cfRule type="expression" dxfId="4845" priority="172">
      <formula>AND(AF$6&lt;&gt;0,AF$13&lt;&gt;0)</formula>
    </cfRule>
  </conditionalFormatting>
  <conditionalFormatting sqref="AE7">
    <cfRule type="expression" dxfId="4844" priority="171">
      <formula>AND(AD$6&lt;&gt;0,AD$13&lt;&gt;0)</formula>
    </cfRule>
  </conditionalFormatting>
  <conditionalFormatting sqref="AJ7:AJ12">
    <cfRule type="expression" dxfId="4843" priority="170">
      <formula>AND(AJ$6&lt;&gt;0,AJ$13=0)</formula>
    </cfRule>
  </conditionalFormatting>
  <conditionalFormatting sqref="AH8:AH11">
    <cfRule type="expression" dxfId="4842" priority="161">
      <formula>OR(AH$13=1,AH$13=2)</formula>
    </cfRule>
  </conditionalFormatting>
  <conditionalFormatting sqref="AI7:AI12">
    <cfRule type="expression" dxfId="4841" priority="166">
      <formula>AH$13=2</formula>
    </cfRule>
    <cfRule type="expression" dxfId="4840" priority="168">
      <formula>AND(AH$6&lt;&gt;0,AH$13=0)</formula>
    </cfRule>
  </conditionalFormatting>
  <conditionalFormatting sqref="AI7:AI11">
    <cfRule type="expression" dxfId="4839" priority="167">
      <formula>OR(AH$13=1,AH$13=2)</formula>
    </cfRule>
  </conditionalFormatting>
  <conditionalFormatting sqref="AJ7:AJ11">
    <cfRule type="expression" dxfId="4838" priority="165">
      <formula>OR(AJ$13=1,AJ$13=2)</formula>
    </cfRule>
  </conditionalFormatting>
  <conditionalFormatting sqref="AK7:AK11">
    <cfRule type="expression" dxfId="4837" priority="162">
      <formula>OR(AJ$13=1,AJ$13=2)</formula>
    </cfRule>
  </conditionalFormatting>
  <conditionalFormatting sqref="AJ12">
    <cfRule type="expression" dxfId="4836" priority="163">
      <formula>AH$13=2</formula>
    </cfRule>
  </conditionalFormatting>
  <conditionalFormatting sqref="AK7">
    <cfRule type="expression" dxfId="4835" priority="160">
      <formula>AND(AJ$6&lt;&gt;0,AJ$13&lt;&gt;0)</formula>
    </cfRule>
  </conditionalFormatting>
  <conditionalFormatting sqref="AH8:AH12">
    <cfRule type="expression" dxfId="4834" priority="169">
      <formula>AND(AH$6&lt;&gt;0,AH$13=0)</formula>
    </cfRule>
  </conditionalFormatting>
  <conditionalFormatting sqref="AK7:AK12">
    <cfRule type="expression" dxfId="4833" priority="164">
      <formula>AND(AJ$6&lt;&gt;0,AJ$13=0)</formula>
    </cfRule>
  </conditionalFormatting>
  <conditionalFormatting sqref="AH12">
    <cfRule type="expression" dxfId="4832" priority="159">
      <formula>AF$13=2</formula>
    </cfRule>
  </conditionalFormatting>
  <conditionalFormatting sqref="AH7">
    <cfRule type="expression" dxfId="4831" priority="156">
      <formula>AND(AH$6&lt;&gt;0,AH$13&lt;&gt;0)</formula>
    </cfRule>
    <cfRule type="expression" dxfId="4830" priority="157">
      <formula>OR(AH$13=1,AH$13=2)</formula>
    </cfRule>
  </conditionalFormatting>
  <conditionalFormatting sqref="AH7">
    <cfRule type="expression" dxfId="4829" priority="158">
      <formula>AND(AH$6&lt;&gt;0,AH$13=0)</formula>
    </cfRule>
  </conditionalFormatting>
  <conditionalFormatting sqref="AJ7">
    <cfRule type="expression" dxfId="4828" priority="155">
      <formula>AND(AJ$6&lt;&gt;0,AJ$13&lt;&gt;0)</formula>
    </cfRule>
  </conditionalFormatting>
  <conditionalFormatting sqref="AI7">
    <cfRule type="expression" dxfId="4827" priority="154">
      <formula>AND(AH$6&lt;&gt;0,AH$13&lt;&gt;0)</formula>
    </cfRule>
  </conditionalFormatting>
  <conditionalFormatting sqref="AN7:AN12">
    <cfRule type="expression" dxfId="4826" priority="153">
      <formula>AND(AN$6&lt;&gt;0,AN$13=0)</formula>
    </cfRule>
  </conditionalFormatting>
  <conditionalFormatting sqref="AL8:AL11">
    <cfRule type="expression" dxfId="4825" priority="144">
      <formula>OR(AL$13=1,AL$13=2)</formula>
    </cfRule>
  </conditionalFormatting>
  <conditionalFormatting sqref="AM7:AM12">
    <cfRule type="expression" dxfId="4824" priority="149">
      <formula>AL$13=2</formula>
    </cfRule>
    <cfRule type="expression" dxfId="4823" priority="151">
      <formula>AND(AL$6&lt;&gt;0,AL$13=0)</formula>
    </cfRule>
  </conditionalFormatting>
  <conditionalFormatting sqref="AM7:AM11">
    <cfRule type="expression" dxfId="4822" priority="150">
      <formula>OR(AL$13=1,AL$13=2)</formula>
    </cfRule>
  </conditionalFormatting>
  <conditionalFormatting sqref="AN7:AN11">
    <cfRule type="expression" dxfId="4821" priority="148">
      <formula>OR(AN$13=1,AN$13=2)</formula>
    </cfRule>
  </conditionalFormatting>
  <conditionalFormatting sqref="AO7:AO11">
    <cfRule type="expression" dxfId="4820" priority="145">
      <formula>OR(AN$13=1,AN$13=2)</formula>
    </cfRule>
  </conditionalFormatting>
  <conditionalFormatting sqref="AN12">
    <cfRule type="expression" dxfId="4819" priority="146">
      <formula>AL$13=2</formula>
    </cfRule>
  </conditionalFormatting>
  <conditionalFormatting sqref="AO7">
    <cfRule type="expression" dxfId="4818" priority="143">
      <formula>AND(AN$6&lt;&gt;0,AN$13&lt;&gt;0)</formula>
    </cfRule>
  </conditionalFormatting>
  <conditionalFormatting sqref="AL8:AL12">
    <cfRule type="expression" dxfId="4817" priority="152">
      <formula>AND(AL$6&lt;&gt;0,AL$13=0)</formula>
    </cfRule>
  </conditionalFormatting>
  <conditionalFormatting sqref="AO7:AO12">
    <cfRule type="expression" dxfId="4816" priority="147">
      <formula>AND(AN$6&lt;&gt;0,AN$13=0)</formula>
    </cfRule>
  </conditionalFormatting>
  <conditionalFormatting sqref="AL12">
    <cfRule type="expression" dxfId="4815" priority="142">
      <formula>AJ$13=2</formula>
    </cfRule>
  </conditionalFormatting>
  <conditionalFormatting sqref="AL7">
    <cfRule type="expression" dxfId="4814" priority="139">
      <formula>AND(AL$6&lt;&gt;0,AL$13&lt;&gt;0)</formula>
    </cfRule>
    <cfRule type="expression" dxfId="4813" priority="140">
      <formula>OR(AL$13=1,AL$13=2)</formula>
    </cfRule>
  </conditionalFormatting>
  <conditionalFormatting sqref="AL7">
    <cfRule type="expression" dxfId="4812" priority="141">
      <formula>AND(AL$6&lt;&gt;0,AL$13=0)</formula>
    </cfRule>
  </conditionalFormatting>
  <conditionalFormatting sqref="AN7">
    <cfRule type="expression" dxfId="4811" priority="138">
      <formula>AND(AN$6&lt;&gt;0,AN$13&lt;&gt;0)</formula>
    </cfRule>
  </conditionalFormatting>
  <conditionalFormatting sqref="AM7">
    <cfRule type="expression" dxfId="4810" priority="137">
      <formula>AND(AL$6&lt;&gt;0,AL$13&lt;&gt;0)</formula>
    </cfRule>
  </conditionalFormatting>
  <conditionalFormatting sqref="AR7:AR12">
    <cfRule type="expression" dxfId="4809" priority="136">
      <formula>AND(AR$6&lt;&gt;0,AR$13=0)</formula>
    </cfRule>
  </conditionalFormatting>
  <conditionalFormatting sqref="AP8:AP11">
    <cfRule type="expression" dxfId="4808" priority="127">
      <formula>OR(AP$13=1,AP$13=2)</formula>
    </cfRule>
  </conditionalFormatting>
  <conditionalFormatting sqref="AQ7:AQ12">
    <cfRule type="expression" dxfId="4807" priority="132">
      <formula>AP$13=2</formula>
    </cfRule>
    <cfRule type="expression" dxfId="4806" priority="134">
      <formula>AND(AP$6&lt;&gt;0,AP$13=0)</formula>
    </cfRule>
  </conditionalFormatting>
  <conditionalFormatting sqref="AQ7:AQ11">
    <cfRule type="expression" dxfId="4805" priority="133">
      <formula>OR(AP$13=1,AP$13=2)</formula>
    </cfRule>
  </conditionalFormatting>
  <conditionalFormatting sqref="AR7:AR11">
    <cfRule type="expression" dxfId="4804" priority="131">
      <formula>OR(AR$13=1,AR$13=2)</formula>
    </cfRule>
  </conditionalFormatting>
  <conditionalFormatting sqref="AS7:AS11">
    <cfRule type="expression" dxfId="4803" priority="128">
      <formula>OR(AR$13=1,AR$13=2)</formula>
    </cfRule>
  </conditionalFormatting>
  <conditionalFormatting sqref="AR12">
    <cfRule type="expression" dxfId="4802" priority="129">
      <formula>AP$13=2</formula>
    </cfRule>
  </conditionalFormatting>
  <conditionalFormatting sqref="AS7">
    <cfRule type="expression" dxfId="4801" priority="126">
      <formula>AND(AR$6&lt;&gt;0,AR$13&lt;&gt;0)</formula>
    </cfRule>
  </conditionalFormatting>
  <conditionalFormatting sqref="AP8:AP12">
    <cfRule type="expression" dxfId="4800" priority="135">
      <formula>AND(AP$6&lt;&gt;0,AP$13=0)</formula>
    </cfRule>
  </conditionalFormatting>
  <conditionalFormatting sqref="AS7:AS12">
    <cfRule type="expression" dxfId="4799" priority="130">
      <formula>AND(AR$6&lt;&gt;0,AR$13=0)</formula>
    </cfRule>
  </conditionalFormatting>
  <conditionalFormatting sqref="AP12">
    <cfRule type="expression" dxfId="4798" priority="125">
      <formula>AN$13=2</formula>
    </cfRule>
  </conditionalFormatting>
  <conditionalFormatting sqref="AP7">
    <cfRule type="expression" dxfId="4797" priority="122">
      <formula>AND(AP$6&lt;&gt;0,AP$13&lt;&gt;0)</formula>
    </cfRule>
    <cfRule type="expression" dxfId="4796" priority="123">
      <formula>OR(AP$13=1,AP$13=2)</formula>
    </cfRule>
  </conditionalFormatting>
  <conditionalFormatting sqref="AP7">
    <cfRule type="expression" dxfId="4795" priority="124">
      <formula>AND(AP$6&lt;&gt;0,AP$13=0)</formula>
    </cfRule>
  </conditionalFormatting>
  <conditionalFormatting sqref="AR7">
    <cfRule type="expression" dxfId="4794" priority="121">
      <formula>AND(AR$6&lt;&gt;0,AR$13&lt;&gt;0)</formula>
    </cfRule>
  </conditionalFormatting>
  <conditionalFormatting sqref="AQ7">
    <cfRule type="expression" dxfId="4793" priority="120">
      <formula>AND(AP$6&lt;&gt;0,AP$13&lt;&gt;0)</formula>
    </cfRule>
  </conditionalFormatting>
  <conditionalFormatting sqref="AV7:AV12">
    <cfRule type="expression" dxfId="4792" priority="119">
      <formula>AND(AV$6&lt;&gt;0,AV$13=0)</formula>
    </cfRule>
  </conditionalFormatting>
  <conditionalFormatting sqref="AT8:AT11">
    <cfRule type="expression" dxfId="4791" priority="110">
      <formula>OR(AT$13=1,AT$13=2)</formula>
    </cfRule>
  </conditionalFormatting>
  <conditionalFormatting sqref="AU7:AU12">
    <cfRule type="expression" dxfId="4790" priority="115">
      <formula>AT$13=2</formula>
    </cfRule>
    <cfRule type="expression" dxfId="4789" priority="117">
      <formula>AND(AT$6&lt;&gt;0,AT$13=0)</formula>
    </cfRule>
  </conditionalFormatting>
  <conditionalFormatting sqref="AU7:AU11">
    <cfRule type="expression" dxfId="4788" priority="116">
      <formula>OR(AT$13=1,AT$13=2)</formula>
    </cfRule>
  </conditionalFormatting>
  <conditionalFormatting sqref="AV7:AV11">
    <cfRule type="expression" dxfId="4787" priority="114">
      <formula>OR(AV$13=1,AV$13=2)</formula>
    </cfRule>
  </conditionalFormatting>
  <conditionalFormatting sqref="AW7:AW11">
    <cfRule type="expression" dxfId="4786" priority="111">
      <formula>OR(AV$13=1,AV$13=2)</formula>
    </cfRule>
  </conditionalFormatting>
  <conditionalFormatting sqref="AV12">
    <cfRule type="expression" dxfId="4785" priority="112">
      <formula>AT$13=2</formula>
    </cfRule>
  </conditionalFormatting>
  <conditionalFormatting sqref="AW7">
    <cfRule type="expression" dxfId="4784" priority="109">
      <formula>AND(AV$6&lt;&gt;0,AV$13&lt;&gt;0)</formula>
    </cfRule>
  </conditionalFormatting>
  <conditionalFormatting sqref="AT8:AT12">
    <cfRule type="expression" dxfId="4783" priority="118">
      <formula>AND(AT$6&lt;&gt;0,AT$13=0)</formula>
    </cfRule>
  </conditionalFormatting>
  <conditionalFormatting sqref="AW7:AW12">
    <cfRule type="expression" dxfId="4782" priority="113">
      <formula>AND(AV$6&lt;&gt;0,AV$13=0)</formula>
    </cfRule>
  </conditionalFormatting>
  <conditionalFormatting sqref="AT12">
    <cfRule type="expression" dxfId="4781" priority="108">
      <formula>AR$13=2</formula>
    </cfRule>
  </conditionalFormatting>
  <conditionalFormatting sqref="AT7">
    <cfRule type="expression" dxfId="4780" priority="105">
      <formula>AND(AT$6&lt;&gt;0,AT$13&lt;&gt;0)</formula>
    </cfRule>
    <cfRule type="expression" dxfId="4779" priority="106">
      <formula>OR(AT$13=1,AT$13=2)</formula>
    </cfRule>
  </conditionalFormatting>
  <conditionalFormatting sqref="AT7">
    <cfRule type="expression" dxfId="4778" priority="107">
      <formula>AND(AT$6&lt;&gt;0,AT$13=0)</formula>
    </cfRule>
  </conditionalFormatting>
  <conditionalFormatting sqref="AV7">
    <cfRule type="expression" dxfId="4777" priority="104">
      <formula>AND(AV$6&lt;&gt;0,AV$13&lt;&gt;0)</formula>
    </cfRule>
  </conditionalFormatting>
  <conditionalFormatting sqref="AU7">
    <cfRule type="expression" dxfId="4776" priority="103">
      <formula>AND(AT$6&lt;&gt;0,AT$13&lt;&gt;0)</formula>
    </cfRule>
  </conditionalFormatting>
  <conditionalFormatting sqref="AZ7:AZ12">
    <cfRule type="expression" dxfId="4775" priority="102">
      <formula>AND(AZ$6&lt;&gt;0,AZ$13=0)</formula>
    </cfRule>
  </conditionalFormatting>
  <conditionalFormatting sqref="AX8:AX11">
    <cfRule type="expression" dxfId="4774" priority="93">
      <formula>OR(AX$13=1,AX$13=2)</formula>
    </cfRule>
  </conditionalFormatting>
  <conditionalFormatting sqref="AY7:AY12">
    <cfRule type="expression" dxfId="4773" priority="98">
      <formula>AX$13=2</formula>
    </cfRule>
    <cfRule type="expression" dxfId="4772" priority="100">
      <formula>AND(AX$6&lt;&gt;0,AX$13=0)</formula>
    </cfRule>
  </conditionalFormatting>
  <conditionalFormatting sqref="AY7:AY11">
    <cfRule type="expression" dxfId="4771" priority="99">
      <formula>OR(AX$13=1,AX$13=2)</formula>
    </cfRule>
  </conditionalFormatting>
  <conditionalFormatting sqref="AZ7:AZ11">
    <cfRule type="expression" dxfId="4770" priority="97">
      <formula>OR(AZ$13=1,AZ$13=2)</formula>
    </cfRule>
  </conditionalFormatting>
  <conditionalFormatting sqref="BA7:BA11">
    <cfRule type="expression" dxfId="4769" priority="94">
      <formula>OR(AZ$13=1,AZ$13=2)</formula>
    </cfRule>
  </conditionalFormatting>
  <conditionalFormatting sqref="AZ12">
    <cfRule type="expression" dxfId="4768" priority="95">
      <formula>AX$13=2</formula>
    </cfRule>
  </conditionalFormatting>
  <conditionalFormatting sqref="BA7">
    <cfRule type="expression" dxfId="4767" priority="92">
      <formula>AND(AZ$6&lt;&gt;0,AZ$13&lt;&gt;0)</formula>
    </cfRule>
  </conditionalFormatting>
  <conditionalFormatting sqref="AX8:AX12">
    <cfRule type="expression" dxfId="4766" priority="101">
      <formula>AND(AX$6&lt;&gt;0,AX$13=0)</formula>
    </cfRule>
  </conditionalFormatting>
  <conditionalFormatting sqref="BA7:BA12">
    <cfRule type="expression" dxfId="4765" priority="96">
      <formula>AND(AZ$6&lt;&gt;0,AZ$13=0)</formula>
    </cfRule>
  </conditionalFormatting>
  <conditionalFormatting sqref="AX12">
    <cfRule type="expression" dxfId="4764" priority="91">
      <formula>AV$13=2</formula>
    </cfRule>
  </conditionalFormatting>
  <conditionalFormatting sqref="AX7">
    <cfRule type="expression" dxfId="4763" priority="88">
      <formula>AND(AX$6&lt;&gt;0,AX$13&lt;&gt;0)</formula>
    </cfRule>
    <cfRule type="expression" dxfId="4762" priority="89">
      <formula>OR(AX$13=1,AX$13=2)</formula>
    </cfRule>
  </conditionalFormatting>
  <conditionalFormatting sqref="AX7">
    <cfRule type="expression" dxfId="4761" priority="90">
      <formula>AND(AX$6&lt;&gt;0,AX$13=0)</formula>
    </cfRule>
  </conditionalFormatting>
  <conditionalFormatting sqref="AZ7">
    <cfRule type="expression" dxfId="4760" priority="87">
      <formula>AND(AZ$6&lt;&gt;0,AZ$13&lt;&gt;0)</formula>
    </cfRule>
  </conditionalFormatting>
  <conditionalFormatting sqref="AY7">
    <cfRule type="expression" dxfId="4759" priority="86">
      <formula>AND(AX$6&lt;&gt;0,AX$13&lt;&gt;0)</formula>
    </cfRule>
  </conditionalFormatting>
  <conditionalFormatting sqref="BD7:BD12">
    <cfRule type="expression" dxfId="4758" priority="85">
      <formula>AND(BD$6&lt;&gt;0,BD$13=0)</formula>
    </cfRule>
  </conditionalFormatting>
  <conditionalFormatting sqref="BB8:BB11">
    <cfRule type="expression" dxfId="4757" priority="76">
      <formula>OR(BB$13=1,BB$13=2)</formula>
    </cfRule>
  </conditionalFormatting>
  <conditionalFormatting sqref="BC7:BC12">
    <cfRule type="expression" dxfId="4756" priority="81">
      <formula>BB$13=2</formula>
    </cfRule>
    <cfRule type="expression" dxfId="4755" priority="83">
      <formula>AND(BB$6&lt;&gt;0,BB$13=0)</formula>
    </cfRule>
  </conditionalFormatting>
  <conditionalFormatting sqref="BC7:BC11">
    <cfRule type="expression" dxfId="4754" priority="82">
      <formula>OR(BB$13=1,BB$13=2)</formula>
    </cfRule>
  </conditionalFormatting>
  <conditionalFormatting sqref="BD7:BD11">
    <cfRule type="expression" dxfId="4753" priority="80">
      <formula>OR(BD$13=1,BD$13=2)</formula>
    </cfRule>
  </conditionalFormatting>
  <conditionalFormatting sqref="BE7:BE11">
    <cfRule type="expression" dxfId="4752" priority="77">
      <formula>OR(BD$13=1,BD$13=2)</formula>
    </cfRule>
  </conditionalFormatting>
  <conditionalFormatting sqref="BD12">
    <cfRule type="expression" dxfId="4751" priority="78">
      <formula>BB$13=2</formula>
    </cfRule>
  </conditionalFormatting>
  <conditionalFormatting sqref="BE7">
    <cfRule type="expression" dxfId="4750" priority="75">
      <formula>AND(BD$6&lt;&gt;0,BD$13&lt;&gt;0)</formula>
    </cfRule>
  </conditionalFormatting>
  <conditionalFormatting sqref="BB8:BB12">
    <cfRule type="expression" dxfId="4749" priority="84">
      <formula>AND(BB$6&lt;&gt;0,BB$13=0)</formula>
    </cfRule>
  </conditionalFormatting>
  <conditionalFormatting sqref="BE7:BE12">
    <cfRule type="expression" dxfId="4748" priority="79">
      <formula>AND(BD$6&lt;&gt;0,BD$13=0)</formula>
    </cfRule>
  </conditionalFormatting>
  <conditionalFormatting sqref="BB12">
    <cfRule type="expression" dxfId="4747" priority="74">
      <formula>AZ$13=2</formula>
    </cfRule>
  </conditionalFormatting>
  <conditionalFormatting sqref="BB7">
    <cfRule type="expression" dxfId="4746" priority="71">
      <formula>AND(BB$6&lt;&gt;0,BB$13&lt;&gt;0)</formula>
    </cfRule>
    <cfRule type="expression" dxfId="4745" priority="72">
      <formula>OR(BB$13=1,BB$13=2)</formula>
    </cfRule>
  </conditionalFormatting>
  <conditionalFormatting sqref="BB7">
    <cfRule type="expression" dxfId="4744" priority="73">
      <formula>AND(BB$6&lt;&gt;0,BB$13=0)</formula>
    </cfRule>
  </conditionalFormatting>
  <conditionalFormatting sqref="BD7">
    <cfRule type="expression" dxfId="4743" priority="70">
      <formula>AND(BD$6&lt;&gt;0,BD$13&lt;&gt;0)</formula>
    </cfRule>
  </conditionalFormatting>
  <conditionalFormatting sqref="BC7">
    <cfRule type="expression" dxfId="4742" priority="69">
      <formula>AND(BB$6&lt;&gt;0,BB$13&lt;&gt;0)</formula>
    </cfRule>
  </conditionalFormatting>
  <conditionalFormatting sqref="BH7:BH12">
    <cfRule type="expression" dxfId="4741" priority="68">
      <formula>AND(BH$6&lt;&gt;0,BH$13=0)</formula>
    </cfRule>
  </conditionalFormatting>
  <conditionalFormatting sqref="BF8:BF11">
    <cfRule type="expression" dxfId="4740" priority="59">
      <formula>OR(BF$13=1,BF$13=2)</formula>
    </cfRule>
  </conditionalFormatting>
  <conditionalFormatting sqref="BG7:BG12">
    <cfRule type="expression" dxfId="4739" priority="64">
      <formula>BF$13=2</formula>
    </cfRule>
    <cfRule type="expression" dxfId="4738" priority="66">
      <formula>AND(BF$6&lt;&gt;0,BF$13=0)</formula>
    </cfRule>
  </conditionalFormatting>
  <conditionalFormatting sqref="BG7:BG11">
    <cfRule type="expression" dxfId="4737" priority="65">
      <formula>OR(BF$13=1,BF$13=2)</formula>
    </cfRule>
  </conditionalFormatting>
  <conditionalFormatting sqref="BH7:BH11">
    <cfRule type="expression" dxfId="4736" priority="63">
      <formula>OR(BH$13=1,BH$13=2)</formula>
    </cfRule>
  </conditionalFormatting>
  <conditionalFormatting sqref="BI7:BI11">
    <cfRule type="expression" dxfId="4735" priority="60">
      <formula>OR(BH$13=1,BH$13=2)</formula>
    </cfRule>
  </conditionalFormatting>
  <conditionalFormatting sqref="BH12">
    <cfRule type="expression" dxfId="4734" priority="61">
      <formula>BF$13=2</formula>
    </cfRule>
  </conditionalFormatting>
  <conditionalFormatting sqref="BI7">
    <cfRule type="expression" dxfId="4733" priority="58">
      <formula>AND(BH$6&lt;&gt;0,BH$13&lt;&gt;0)</formula>
    </cfRule>
  </conditionalFormatting>
  <conditionalFormatting sqref="BF8:BF12">
    <cfRule type="expression" dxfId="4732" priority="67">
      <formula>AND(BF$6&lt;&gt;0,BF$13=0)</formula>
    </cfRule>
  </conditionalFormatting>
  <conditionalFormatting sqref="BI7:BI12">
    <cfRule type="expression" dxfId="4731" priority="62">
      <formula>AND(BH$6&lt;&gt;0,BH$13=0)</formula>
    </cfRule>
  </conditionalFormatting>
  <conditionalFormatting sqref="BF12">
    <cfRule type="expression" dxfId="4730" priority="57">
      <formula>BD$13=2</formula>
    </cfRule>
  </conditionalFormatting>
  <conditionalFormatting sqref="BF7">
    <cfRule type="expression" dxfId="4729" priority="54">
      <formula>AND(BF$6&lt;&gt;0,BF$13&lt;&gt;0)</formula>
    </cfRule>
    <cfRule type="expression" dxfId="4728" priority="55">
      <formula>OR(BF$13=1,BF$13=2)</formula>
    </cfRule>
  </conditionalFormatting>
  <conditionalFormatting sqref="BF7">
    <cfRule type="expression" dxfId="4727" priority="56">
      <formula>AND(BF$6&lt;&gt;0,BF$13=0)</formula>
    </cfRule>
  </conditionalFormatting>
  <conditionalFormatting sqref="BH7">
    <cfRule type="expression" dxfId="4726" priority="53">
      <formula>AND(BH$6&lt;&gt;0,BH$13&lt;&gt;0)</formula>
    </cfRule>
  </conditionalFormatting>
  <conditionalFormatting sqref="BG7">
    <cfRule type="expression" dxfId="4725" priority="52">
      <formula>AND(BF$6&lt;&gt;0,BF$13&lt;&gt;0)</formula>
    </cfRule>
  </conditionalFormatting>
  <conditionalFormatting sqref="BL7:BL12">
    <cfRule type="expression" dxfId="4724" priority="51">
      <formula>AND(BL$6&lt;&gt;0,BL$13=0)</formula>
    </cfRule>
  </conditionalFormatting>
  <conditionalFormatting sqref="BJ8:BJ11">
    <cfRule type="expression" dxfId="4723" priority="42">
      <formula>OR(BJ$13=1,BJ$13=2)</formula>
    </cfRule>
  </conditionalFormatting>
  <conditionalFormatting sqref="BK7:BK12">
    <cfRule type="expression" dxfId="4722" priority="47">
      <formula>BJ$13=2</formula>
    </cfRule>
    <cfRule type="expression" dxfId="4721" priority="49">
      <formula>AND(BJ$6&lt;&gt;0,BJ$13=0)</formula>
    </cfRule>
  </conditionalFormatting>
  <conditionalFormatting sqref="BK7:BK11">
    <cfRule type="expression" dxfId="4720" priority="48">
      <formula>OR(BJ$13=1,BJ$13=2)</formula>
    </cfRule>
  </conditionalFormatting>
  <conditionalFormatting sqref="BL7:BL11">
    <cfRule type="expression" dxfId="4719" priority="46">
      <formula>OR(BL$13=1,BL$13=2)</formula>
    </cfRule>
  </conditionalFormatting>
  <conditionalFormatting sqref="BM7:BM11">
    <cfRule type="expression" dxfId="4718" priority="43">
      <formula>OR(BL$13=1,BL$13=2)</formula>
    </cfRule>
  </conditionalFormatting>
  <conditionalFormatting sqref="BL12">
    <cfRule type="expression" dxfId="4717" priority="44">
      <formula>BJ$13=2</formula>
    </cfRule>
  </conditionalFormatting>
  <conditionalFormatting sqref="BM7">
    <cfRule type="expression" dxfId="4716" priority="41">
      <formula>AND(BL$6&lt;&gt;0,BL$13&lt;&gt;0)</formula>
    </cfRule>
  </conditionalFormatting>
  <conditionalFormatting sqref="BJ8:BJ12">
    <cfRule type="expression" dxfId="4715" priority="50">
      <formula>AND(BJ$6&lt;&gt;0,BJ$13=0)</formula>
    </cfRule>
  </conditionalFormatting>
  <conditionalFormatting sqref="BM7:BM12">
    <cfRule type="expression" dxfId="4714" priority="45">
      <formula>AND(BL$6&lt;&gt;0,BL$13=0)</formula>
    </cfRule>
  </conditionalFormatting>
  <conditionalFormatting sqref="BJ12">
    <cfRule type="expression" dxfId="4713" priority="40">
      <formula>BH$13=2</formula>
    </cfRule>
  </conditionalFormatting>
  <conditionalFormatting sqref="BJ7">
    <cfRule type="expression" dxfId="4712" priority="37">
      <formula>AND(BJ$6&lt;&gt;0,BJ$13&lt;&gt;0)</formula>
    </cfRule>
    <cfRule type="expression" dxfId="4711" priority="38">
      <formula>OR(BJ$13=1,BJ$13=2)</formula>
    </cfRule>
  </conditionalFormatting>
  <conditionalFormatting sqref="BJ7">
    <cfRule type="expression" dxfId="4710" priority="39">
      <formula>AND(BJ$6&lt;&gt;0,BJ$13=0)</formula>
    </cfRule>
  </conditionalFormatting>
  <conditionalFormatting sqref="BL7">
    <cfRule type="expression" dxfId="4709" priority="36">
      <formula>AND(BL$6&lt;&gt;0,BL$13&lt;&gt;0)</formula>
    </cfRule>
  </conditionalFormatting>
  <conditionalFormatting sqref="BK7">
    <cfRule type="expression" dxfId="4708" priority="35">
      <formula>AND(BJ$6&lt;&gt;0,BJ$13&lt;&gt;0)</formula>
    </cfRule>
  </conditionalFormatting>
  <conditionalFormatting sqref="BP7:BP12">
    <cfRule type="expression" dxfId="4707" priority="34">
      <formula>AND(BP$6&lt;&gt;0,BP$13=0)</formula>
    </cfRule>
  </conditionalFormatting>
  <conditionalFormatting sqref="BN8:BN11">
    <cfRule type="expression" dxfId="4706" priority="25">
      <formula>OR(BN$13=1,BN$13=2)</formula>
    </cfRule>
  </conditionalFormatting>
  <conditionalFormatting sqref="BO7:BO12">
    <cfRule type="expression" dxfId="4705" priority="30">
      <formula>BN$13=2</formula>
    </cfRule>
    <cfRule type="expression" dxfId="4704" priority="32">
      <formula>AND(BN$6&lt;&gt;0,BN$13=0)</formula>
    </cfRule>
  </conditionalFormatting>
  <conditionalFormatting sqref="BO7:BO11">
    <cfRule type="expression" dxfId="4703" priority="31">
      <formula>OR(BN$13=1,BN$13=2)</formula>
    </cfRule>
  </conditionalFormatting>
  <conditionalFormatting sqref="BP7:BP11">
    <cfRule type="expression" dxfId="4702" priority="29">
      <formula>OR(BP$13=1,BP$13=2)</formula>
    </cfRule>
  </conditionalFormatting>
  <conditionalFormatting sqref="BQ7:BQ11">
    <cfRule type="expression" dxfId="4701" priority="26">
      <formula>OR(BP$13=1,BP$13=2)</formula>
    </cfRule>
  </conditionalFormatting>
  <conditionalFormatting sqref="BP12">
    <cfRule type="expression" dxfId="4700" priority="27">
      <formula>BN$13=2</formula>
    </cfRule>
  </conditionalFormatting>
  <conditionalFormatting sqref="BQ7">
    <cfRule type="expression" dxfId="4699" priority="24">
      <formula>AND(BP$6&lt;&gt;0,BP$13&lt;&gt;0)</formula>
    </cfRule>
  </conditionalFormatting>
  <conditionalFormatting sqref="BN8:BN12">
    <cfRule type="expression" dxfId="4698" priority="33">
      <formula>AND(BN$6&lt;&gt;0,BN$13=0)</formula>
    </cfRule>
  </conditionalFormatting>
  <conditionalFormatting sqref="BQ7:BQ12">
    <cfRule type="expression" dxfId="4697" priority="28">
      <formula>AND(BP$6&lt;&gt;0,BP$13=0)</formula>
    </cfRule>
  </conditionalFormatting>
  <conditionalFormatting sqref="BN12">
    <cfRule type="expression" dxfId="4696" priority="23">
      <formula>BL$13=2</formula>
    </cfRule>
  </conditionalFormatting>
  <conditionalFormatting sqref="BN7">
    <cfRule type="expression" dxfId="4695" priority="20">
      <formula>AND(BN$6&lt;&gt;0,BN$13&lt;&gt;0)</formula>
    </cfRule>
    <cfRule type="expression" dxfId="4694" priority="21">
      <formula>OR(BN$13=1,BN$13=2)</formula>
    </cfRule>
  </conditionalFormatting>
  <conditionalFormatting sqref="BN7">
    <cfRule type="expression" dxfId="4693" priority="22">
      <formula>AND(BN$6&lt;&gt;0,BN$13=0)</formula>
    </cfRule>
  </conditionalFormatting>
  <conditionalFormatting sqref="BP7">
    <cfRule type="expression" dxfId="4692" priority="19">
      <formula>AND(BP$6&lt;&gt;0,BP$13&lt;&gt;0)</formula>
    </cfRule>
  </conditionalFormatting>
  <conditionalFormatting sqref="BO7">
    <cfRule type="expression" dxfId="4691" priority="18">
      <formula>AND(BN$6&lt;&gt;0,BN$13&lt;&gt;0)</formula>
    </cfRule>
  </conditionalFormatting>
  <conditionalFormatting sqref="BT7:BT12">
    <cfRule type="expression" dxfId="4690" priority="17">
      <formula>AND(BT$6&lt;&gt;0,BT$13=0)</formula>
    </cfRule>
  </conditionalFormatting>
  <conditionalFormatting sqref="BR8:BR11">
    <cfRule type="expression" dxfId="4689" priority="8">
      <formula>OR(BR$13=1,BR$13=2)</formula>
    </cfRule>
  </conditionalFormatting>
  <conditionalFormatting sqref="BS7:BS12">
    <cfRule type="expression" dxfId="4688" priority="13">
      <formula>BR$13=2</formula>
    </cfRule>
    <cfRule type="expression" dxfId="4687" priority="15">
      <formula>AND(BR$6&lt;&gt;0,BR$13=0)</formula>
    </cfRule>
  </conditionalFormatting>
  <conditionalFormatting sqref="BS7:BS11">
    <cfRule type="expression" dxfId="4686" priority="14">
      <formula>OR(BR$13=1,BR$13=2)</formula>
    </cfRule>
  </conditionalFormatting>
  <conditionalFormatting sqref="BT7:BT11">
    <cfRule type="expression" dxfId="4685" priority="12">
      <formula>OR(BT$13=1,BT$13=2)</formula>
    </cfRule>
  </conditionalFormatting>
  <conditionalFormatting sqref="BU7:BU11">
    <cfRule type="expression" dxfId="4684" priority="9">
      <formula>OR(BT$13=1,BT$13=2)</formula>
    </cfRule>
  </conditionalFormatting>
  <conditionalFormatting sqref="BT12">
    <cfRule type="expression" dxfId="4683" priority="10">
      <formula>BR$13=2</formula>
    </cfRule>
  </conditionalFormatting>
  <conditionalFormatting sqref="BU7">
    <cfRule type="expression" dxfId="4682" priority="7">
      <formula>AND(BT$6&lt;&gt;0,BT$13&lt;&gt;0)</formula>
    </cfRule>
  </conditionalFormatting>
  <conditionalFormatting sqref="BR8:BR12">
    <cfRule type="expression" dxfId="4681" priority="16">
      <formula>AND(BR$6&lt;&gt;0,BR$13=0)</formula>
    </cfRule>
  </conditionalFormatting>
  <conditionalFormatting sqref="BU7:BU12">
    <cfRule type="expression" dxfId="4680" priority="11">
      <formula>AND(BT$6&lt;&gt;0,BT$13=0)</formula>
    </cfRule>
  </conditionalFormatting>
  <conditionalFormatting sqref="BR12">
    <cfRule type="expression" dxfId="4679" priority="6">
      <formula>BP$13=2</formula>
    </cfRule>
  </conditionalFormatting>
  <conditionalFormatting sqref="BR7">
    <cfRule type="expression" dxfId="4678" priority="3">
      <formula>AND(BR$6&lt;&gt;0,BR$13&lt;&gt;0)</formula>
    </cfRule>
    <cfRule type="expression" dxfId="4677" priority="4">
      <formula>OR(BR$13=1,BR$13=2)</formula>
    </cfRule>
  </conditionalFormatting>
  <conditionalFormatting sqref="BR7">
    <cfRule type="expression" dxfId="4676" priority="5">
      <formula>AND(BR$6&lt;&gt;0,BR$13=0)</formula>
    </cfRule>
  </conditionalFormatting>
  <conditionalFormatting sqref="BT7">
    <cfRule type="expression" dxfId="4675" priority="2">
      <formula>AND(BT$6&lt;&gt;0,BT$13&lt;&gt;0)</formula>
    </cfRule>
  </conditionalFormatting>
  <conditionalFormatting sqref="BS7">
    <cfRule type="expression" dxfId="4674" priority="1">
      <formula>AND(BR$6&lt;&gt;0,BR$13&lt;&gt;0)</formula>
    </cfRule>
  </conditionalFormatting>
  <dataValidations count="55">
    <dataValidation type="list" showInputMessage="1" showErrorMessage="1" promptTitle="The Day" prompt="Choose to plan for today or tomorrow. " sqref="C3:E20" xr:uid="{9DDFEDF2-62D9-4B25-BB2F-B1682A74CB8E}">
      <formula1>$CY$18:$CY$19</formula1>
    </dataValidation>
    <dataValidation type="list" showInputMessage="1" showErrorMessage="1" promptTitle="The Week" prompt="Choose to plan for this week or next week." sqref="C22:E36" xr:uid="{5FFE37FC-4CB1-4A46-8AE4-4E3F39ED6211}">
      <formula1>$CY$21:$CY$22</formula1>
    </dataValidation>
    <dataValidation type="list" showInputMessage="1" showErrorMessage="1" sqref="AE19 AV19 BM19" xr:uid="{CF590FDC-8818-4D82-94AD-9AAE249AC103}">
      <formula1>$DP$7:$DP$9</formula1>
    </dataValidation>
    <dataValidation type="list" showInputMessage="1" showErrorMessage="1" sqref="U19 AL19 BC19" xr:uid="{4B83908B-ECB9-42BE-896F-8A2E04703CBF}">
      <formula1>$DK$7:$DK$9</formula1>
    </dataValidation>
    <dataValidation type="list" showInputMessage="1" showErrorMessage="1" sqref="S19 AJ19 BA19" xr:uid="{698A4063-4090-4A0E-A6EA-3E74B50AA5DF}">
      <formula1>$DJ$7:$DJ$9</formula1>
    </dataValidation>
    <dataValidation type="list" showInputMessage="1" showErrorMessage="1" sqref="W19 AN19 BE19" xr:uid="{56711FA4-9FB0-4C2C-A21B-76E38939BE8C}">
      <formula1>$DL$7:$DL$9</formula1>
    </dataValidation>
    <dataValidation type="list" showInputMessage="1" showErrorMessage="1" sqref="Y19 AP19 BG19" xr:uid="{CB75A9E4-30A9-4E1A-A9B3-E9BC27342747}">
      <formula1>$DM$7:$DM$9</formula1>
    </dataValidation>
    <dataValidation type="list" showInputMessage="1" showErrorMessage="1" sqref="AA19 AR19 BI19" xr:uid="{10EA13F9-4915-41A4-B980-240CD2376B68}">
      <formula1>$DN$7:$DN$9</formula1>
    </dataValidation>
    <dataValidation type="list" showInputMessage="1" showErrorMessage="1" sqref="AC19 AT19 BK19" xr:uid="{14D7A0C9-6224-484B-A7C6-A610163D40CF}">
      <formula1>$DO$7:$DO$9</formula1>
    </dataValidation>
    <dataValidation type="list" showInputMessage="1" showErrorMessage="1" sqref="I20:J20" xr:uid="{59022186-3FE6-42B2-BA8A-F005DF29A403}">
      <formula1>$EI$8:$EI$20</formula1>
    </dataValidation>
    <dataValidation type="list" allowBlank="1" showInputMessage="1" showErrorMessage="1" sqref="D85:E85 D101:E101 D117:E117 D133:E133" xr:uid="{69E706F8-E32C-4C8F-AC79-1085EC312E7B}">
      <formula1>$EI$8:$EI$20</formula1>
    </dataValidation>
    <dataValidation type="list" allowBlank="1" showInputMessage="1" showErrorMessage="1" sqref="BR20:BS20" xr:uid="{A31EEF7C-9FFD-41A9-813C-0416819F8695}">
      <formula1>$DY$7:$DY$39</formula1>
    </dataValidation>
    <dataValidation allowBlank="1" showInputMessage="1" showErrorMessage="1" promptTitle="Begin Day" prompt="Set the start time for the day." sqref="H20 H19:J19 D83:E84 D99:E100 D115:E116 D131:E132" xr:uid="{3D59E6C8-1671-4CC2-A1A7-344BAC428BD2}"/>
    <dataValidation allowBlank="1" showInputMessage="1" showErrorMessage="1" promptTitle="Dinner" prompt="Select a time." sqref="BP20:BQ20" xr:uid="{4C618DEC-0F29-443E-AEE8-B6D87A0833DB}"/>
    <dataValidation allowBlank="1" showInputMessage="1" showErrorMessage="1" promptTitle="Breakfast" prompt="Select a time." sqref="L19:M19" xr:uid="{6EA1DAD5-EC21-4C2C-888A-0CE53F96167D}"/>
    <dataValidation allowBlank="1" showInputMessage="1" showErrorMessage="1" promptTitle="Lunch" prompt="Select a time." sqref="L20:M20" xr:uid="{9DCB495F-779B-4BA3-811A-35EFE084F9A7}"/>
    <dataValidation allowBlank="1" showInputMessage="1" showErrorMessage="1" promptTitle="Break" prompt="Select a time." sqref="BP19:BQ19" xr:uid="{0459CAC1-2053-4BF1-A44B-C6631CB2506B}"/>
    <dataValidation allowBlank="1" showInputMessage="1" showErrorMessage="1" promptTitle="First Part of the Day" prompt="Choose days, hours and alternative hours for productive work, study, creation, etc." sqref="X18:Y18" xr:uid="{3229F9A3-D453-4213-95B5-68AA290A6FC9}"/>
    <dataValidation allowBlank="1" showInputMessage="1" showErrorMessage="1" promptTitle="Second Part of the Day" prompt="Choose days, hours and alternative hours for productive work, study, creation, etc." sqref="AO18:AP18" xr:uid="{6BA81C32-D63A-489D-B6C7-5E105835CB52}"/>
    <dataValidation allowBlank="1" showInputMessage="1" showErrorMessage="1" promptTitle="Third Part of the Day" prompt="Choose days, hours and alternative hours for productive work, study, creation, etc." sqref="BF18:BG18" xr:uid="{79F8C8EC-9A76-4D8B-83DD-B1CFDBC8799B}"/>
    <dataValidation allowBlank="1" showInputMessage="1" showErrorMessage="1" promptTitle="First Part Days" prompt="Select days to include._x000a_  -   = not active_x000a_  D  = active _x000a_ [D] = active with alternate hours" sqref="Q19:R19" xr:uid="{998353DE-9E51-4F62-A2E4-F5983683BAFA}"/>
    <dataValidation allowBlank="1" showInputMessage="1" showErrorMessage="1" promptTitle="Third Part Days" prompt="Select days to include._x000a_  -   = not active_x000a_  D  = active _x000a_ [D] = active with alternate hours" sqref="AY19:AZ19" xr:uid="{DF268D23-2321-474F-A08C-369662AF087D}"/>
    <dataValidation allowBlank="1" showInputMessage="1" showErrorMessage="1" promptTitle="Second Part Days" prompt="Select days to include._x000a_  -   = not active_x000a_  D  = active _x000a_ [D] = active with alternate hours" sqref="AH19:AI19" xr:uid="{E10E051A-4F67-491E-813D-11D8D0FC2787}"/>
    <dataValidation allowBlank="1" showInputMessage="1" showErrorMessage="1" promptTitle="First Part Hours" prompt="Select start and end times." sqref="Q20:R20 U20" xr:uid="{87421E4F-9438-4151-A4B8-C5E49F3A37A3}"/>
    <dataValidation allowBlank="1" showInputMessage="1" showErrorMessage="1" promptTitle="Second Part Hours" prompt="Select start and end times." sqref="AH20:AI20 AL20" xr:uid="{9FC2BF71-7C0D-44CE-97EB-776617FB14E1}"/>
    <dataValidation allowBlank="1" showInputMessage="1" showErrorMessage="1" promptTitle="Third Part Hours" prompt="Select start and end times." sqref="AY20:AZ20 BC20" xr:uid="{998D8E77-AAF2-4540-8A58-5585A4B50F10}"/>
    <dataValidation allowBlank="1" showInputMessage="1" showErrorMessage="1" promptTitle="Third Part Alternate Hours" prompt="Select start and end times." sqref="BF20:BH20 BK20 BN20" xr:uid="{E33DFDD8-68BD-442A-8C27-A4AB9F2A15AB}"/>
    <dataValidation allowBlank="1" showInputMessage="1" showErrorMessage="1" promptTitle="Second Part Alternate Hours" prompt="Select start and end times." sqref="AO20:AQ20 AT20 AW20" xr:uid="{6A34487F-465E-400A-ABC0-2E52AF5C3613}"/>
    <dataValidation allowBlank="1" showInputMessage="1" showErrorMessage="1" promptTitle="First Part Alternate Hours" prompt="Select start and end times." sqref="AF20 AC20 X20:Z20" xr:uid="{ECF1F041-C52F-4E52-9116-8C77E544AE08}"/>
    <dataValidation allowBlank="1" showInputMessage="1" showErrorMessage="1" promptTitle="Day Ends" prompt="The end time for the day." sqref="BU19:BW20" xr:uid="{797365CF-D881-4B36-9CA9-CF5497543F19}"/>
    <dataValidation allowBlank="1" showInputMessage="1" showErrorMessage="1" promptTitle="The Week Info" prompt="Enter a title and/or description._x000a__x000a_Plan out a week to come or keep a record of a week past. " sqref="J129:BU129 J113:BU113 J97:BU97 J81:BU81" xr:uid="{F8DA50BD-7CFA-4E89-A448-EE192C8B6F8A}"/>
    <dataValidation allowBlank="1" showInputMessage="1" showErrorMessage="1" promptTitle="Daily Flow" prompt="Plan out the week. " sqref="D61:BX61" xr:uid="{69FA021D-37CD-4BA4-ABDE-A652A725C536}"/>
    <dataValidation allowBlank="1" showInputMessage="1" showErrorMessage="1" promptTitle="Connections" prompt="Timeblocks automatically updated from activities entered in the Journey sheet._x000a__x000a_Copy and paste shapes to use in day and week planning. " sqref="Z54:AG54" xr:uid="{AF705435-FC5E-47BC-BFC9-720FBB86F957}"/>
    <dataValidation allowBlank="1" showInputMessage="1" showErrorMessage="1" promptTitle="Narratives" prompt="Timeblocks automatically updated from books, audiobooks, etc. entered in the Journey sheet._x000a__x000a_Copy and paste shapes to use in day and week planning. " sqref="O54:V54" xr:uid="{4AF52EE1-5428-4F50-B25C-2CA3989D3C51}"/>
    <dataValidation allowBlank="1" showInputMessage="1" showErrorMessage="1" promptTitle="Adventures" prompt="Timeblocks automatically updated from activities entered in the Journey sheet._x000a__x000a_Copy and paste shapes to use in day and week planning. " sqref="D54:K54" xr:uid="{AE8C0087-2F86-4DFF-B0F5-113188094CDE}"/>
    <dataValidation allowBlank="1" showInputMessage="1" showErrorMessage="1" promptTitle="Plans" prompt="Timeblocks automatically updated from events entered in the Plans sheet. _x000a__x000a_Copy and paste shapes to use in day and week planning. _x000a__x000a_Current week highlighted with arrows." sqref="D44:AG44 AF46:AG51 D46:E51" xr:uid="{832C0A80-FDD0-40F1-9AD2-AA8AF2340C7B}"/>
    <dataValidation allowBlank="1" showInputMessage="1" showErrorMessage="1" promptTitle="Missions" prompt="Timeblocks automatically updated from the Missions sheet._x000a__x000a_Copy and paste shapes to use in day and week planning. " sqref="AU44:BX44" xr:uid="{57EC66B8-41CE-4A7B-8F95-5FC859189FC5}"/>
    <dataValidation allowBlank="1" showInputMessage="1" showErrorMessage="1" promptTitle="Repeating Week Missions" prompt="Timeblocks automatically updated from information entered in the Missions sheet._x000a__x000a_Copy and paste shapes to use in day and week planning. " sqref="AZ46:BC46" xr:uid="{6370F3A0-6098-4A06-A918-B23BF627830B}"/>
    <dataValidation allowBlank="1" showInputMessage="1" showErrorMessage="1" promptTitle="Repeating Day Missions" prompt="Timeblocks automatically updated from information entered in the Missions sheet._x000a__x000a_Copy and paste shapes to use in day and week planning. " sqref="AU46:AX46" xr:uid="{A335D4DC-B385-4E0A-933E-CACDC0B23E60}"/>
    <dataValidation allowBlank="1" showInputMessage="1" showErrorMessage="1" promptTitle="Skill Missions" prompt="Timeblocks automatically updated from information entered in the Missions sheet._x000a__x000a_Copy and paste shapes to use in day and week planning. " sqref="BU54:BX54 BE54:BH54 BK54:BN54 BP54:BS54 AU54:AX54 AZ54:BC54" xr:uid="{5E2FC58D-2562-4960-ADE7-6E2FA3B9AB17}"/>
    <dataValidation allowBlank="1" showInputMessage="1" showErrorMessage="1" promptTitle="Repeating Month Missions" prompt="Timeblocks automatically updated from information entered in the Missions sheet._x000a__x000a_Copy and paste shapes to use in day and week planning. " sqref="BE46:BH46" xr:uid="{C2F69137-F594-4A52-AAA1-67AB430C9324}"/>
    <dataValidation allowBlank="1" showInputMessage="1" showErrorMessage="1" promptTitle="Singular Later Missions" prompt="Timeblocks automatically updated from information entered in the Missions sheet._x000a__x000a_Copy and paste shapes to use in day and week planning. " sqref="BU46:BX46" xr:uid="{4DE9CB28-338D-40F3-8406-C7A5768BEDDA}"/>
    <dataValidation allowBlank="1" showInputMessage="1" showErrorMessage="1" promptTitle="Singular Now Missions" prompt="Timeblocks automatically updated from information entered in the Missions sheet._x000a__x000a_Copy and paste shapes to use in day and week planning. " sqref="BK46:BN46" xr:uid="{AC4A19AA-D7AB-4D15-BBD5-D276C0C2224F}"/>
    <dataValidation allowBlank="1" showInputMessage="1" showErrorMessage="1" promptTitle="Singular Soon Missions" prompt="Timeblocks automatically updated from information entered in the Missions sheet._x000a__x000a_Copy and paste shapes to use in day and week planning. " sqref="BP46:BS46" xr:uid="{45029D06-0C55-436C-91E7-A0EDD3CEC920}"/>
    <dataValidation allowBlank="1" showInputMessage="1" showErrorMessage="1" promptTitle="Miscellaneous" prompt="Place any custom shapes to reuse below. " sqref="AJ56:AR56" xr:uid="{8BF0C8A6-1FD8-462F-8E84-A145FA4C4315}"/>
    <dataValidation allowBlank="1" showInputMessage="1" showErrorMessage="1" promptTitle="Mind" prompt="Timeblocks for chosen skills. _x000a__x000a_Copy and paste shapes to use in day and week planning. " sqref="AJ44:AM44" xr:uid="{55B364C9-4C45-4B25-857C-37B1274ABB8F}"/>
    <dataValidation allowBlank="1" showInputMessage="1" showErrorMessage="1" promptTitle="Body" prompt="Timeblocks for chosen skills. _x000a__x000a_Copy and paste shapes to use in day and week planning. " sqref="AO44:AR44" xr:uid="{3030F436-8ABD-4024-BC74-8AA8AF07410E}"/>
    <dataValidation allowBlank="1" showInputMessage="1" showErrorMessage="1" promptTitle="The Week" prompt="Plan out a week to come or keep a record of a week past. " sqref="BV129:BX129 D113:I113 BV113:BX113 D97:I97 BV97:BX97 D129:I129 BV81:BX81 D81:I81" xr:uid="{6136568C-3188-417F-9A83-3C69DA089564}"/>
    <dataValidation type="list" allowBlank="1" showInputMessage="1" showErrorMessage="1" sqref="N19:O19" xr:uid="{A9FDACE9-9730-4786-A605-89DCC04E6201}">
      <formula1>$DS$7:$DS$39</formula1>
    </dataValidation>
    <dataValidation type="list" allowBlank="1" showInputMessage="1" showErrorMessage="1" sqref="N20:O20" xr:uid="{223E349E-3C23-4F14-8FAC-5938AD3A27CD}">
      <formula1>$DU$7:$DU$39</formula1>
    </dataValidation>
    <dataValidation type="list" allowBlank="1" showInputMessage="1" showErrorMessage="1" sqref="BR19:BS19" xr:uid="{860E8EE8-720F-48F8-99E7-0A17363C884B}">
      <formula1>$DW$7:$DW$39</formula1>
    </dataValidation>
    <dataValidation allowBlank="1" showInputMessage="1" showErrorMessage="1" promptTitle=" TIMINGS" prompt="This is the schedule for time blocking._x000a_ _x000a_Here you can:_x000a_• set day start, breaks and productive hours_x000a_• organise actions for the day &amp; week_x000a_• rearrange or replan actions_x000a_ _x000a_Select individual cells for specific information and instructions._x000a_" sqref="CA1" xr:uid="{2F8E739E-4AD2-4D14-B7B5-F545FA16BAB9}"/>
    <dataValidation allowBlank="1" showInputMessage="1" showErrorMessage="1" promptTitle=" HUD = Overview" prompt=" LOGS = Journal           PLANS = Calendar_x000a_ NOTES = Ideas           [TIMINGS = Schedule]_x000a__x000a_ MISSIONS = Tasks_x000a_ ACTIONS = Input_x000a_ PROGRESS = Output_x000a_ JOURNEY = Status_x000a__x000a_ BOUNTY = Rewards   MONEY = Finance_x000a_ VICTORY = Success    RESPITE = Media_x000a_ GUIDE = History" sqref="A1" xr:uid="{F68544A8-1AFD-45FE-8F5C-A9EA0EB4FF23}"/>
    <dataValidation allowBlank="1" showInputMessage="1" showErrorMessage="1" promptTitle="Planning" prompt="Use the shape templates for timeblocking the day and the week. _x000a__x000a_Create an ideal daily flow in the area below, to then use as the default week plan." sqref="AJ41:AR42" xr:uid="{22637CF1-168C-4055-9A47-03596F3C6DE3}"/>
    <dataValidation type="list" allowBlank="1" showInputMessage="1" showErrorMessage="1" sqref="BL20:BM20 BI20:BJ20 BD20:BE20 BA20:BB20 AU20:AV20 AR20:AS20 AM20:AN20 AJ20:AK20 AD20:AE20 AA20:AB20 V20:W20 S20:T20" xr:uid="{2B424548-10BD-4179-A70E-92C565B53D63}">
      <formula1>$EC$8:$EC$40</formula1>
    </dataValidation>
  </dataValidations>
  <printOptions horizontalCentered="1" verticalCentered="1" gridLines="1"/>
  <pageMargins left="0.39370078740157483" right="0.39370078740157483" top="0.39370078740157483" bottom="0.39370078740157483" header="0" footer="0"/>
  <pageSetup paperSize="9" scale="50" fitToWidth="0" fitToHeight="0" orientation="landscape" r:id="rId1"/>
  <headerFooter>
    <oddHeader>&amp;C&amp;"Lucida Console,Bold"GAMEPLAN</oddHeader>
  </headerFooter>
  <drawing r:id="rId2"/>
  <extLst>
    <ext xmlns:x14="http://schemas.microsoft.com/office/spreadsheetml/2009/9/main" uri="{78C0D931-6437-407d-A8EE-F0AAD7539E65}">
      <x14:conditionalFormattings>
        <x14:conditionalFormatting xmlns:xm="http://schemas.microsoft.com/office/excel/2006/main">
          <x14:cfRule type="expression" priority="51849" id="{00000000-000E-0000-0400-000090020000}">
            <xm:f>AND(PLANS!$B$1&lt;&gt;32,WEEKDAY($DB$20,2)=1,$C$22="WEEK")</xm:f>
            <x14:dxf>
              <font>
                <color theme="0"/>
              </font>
              <fill>
                <patternFill>
                  <bgColor theme="1" tint="4.9989318521683403E-2"/>
                </patternFill>
              </fill>
            </x14:dxf>
          </x14:cfRule>
          <xm:sqref>G23:H23</xm:sqref>
        </x14:conditionalFormatting>
        <x14:conditionalFormatting xmlns:xm="http://schemas.microsoft.com/office/excel/2006/main">
          <x14:cfRule type="expression" priority="51850" id="{00000000-000E-0000-0400-000091020000}">
            <xm:f>AND(PLANS!$B$1&lt;&gt;32,WEEKDAY($DB$20,2)=2,$C$22="WEEK")</xm:f>
            <x14:dxf>
              <font>
                <color theme="0"/>
              </font>
              <fill>
                <patternFill>
                  <bgColor theme="1" tint="4.9989318521683403E-2"/>
                </patternFill>
              </fill>
            </x14:dxf>
          </x14:cfRule>
          <xm:sqref>G25:H25</xm:sqref>
        </x14:conditionalFormatting>
        <x14:conditionalFormatting xmlns:xm="http://schemas.microsoft.com/office/excel/2006/main">
          <x14:cfRule type="expression" priority="51851" id="{00000000-000E-0000-0400-000092020000}">
            <xm:f>AND(PLANS!$B$1&lt;&gt;32,WEEKDAY($DB$20,2)=3,$C$22="WEEK")</xm:f>
            <x14:dxf>
              <font>
                <color theme="0"/>
              </font>
              <fill>
                <patternFill>
                  <bgColor theme="1" tint="4.9989318521683403E-2"/>
                </patternFill>
              </fill>
            </x14:dxf>
          </x14:cfRule>
          <xm:sqref>G27:H27</xm:sqref>
        </x14:conditionalFormatting>
        <x14:conditionalFormatting xmlns:xm="http://schemas.microsoft.com/office/excel/2006/main">
          <x14:cfRule type="expression" priority="51852" id="{00000000-000E-0000-0400-000093020000}">
            <xm:f>AND(PLANS!$B$1&lt;&gt;32,WEEKDAY($DB$20,2)=4,$C$22="WEEK")</xm:f>
            <x14:dxf>
              <font>
                <color theme="0"/>
              </font>
              <fill>
                <patternFill>
                  <bgColor theme="1" tint="4.9989318521683403E-2"/>
                </patternFill>
              </fill>
            </x14:dxf>
          </x14:cfRule>
          <xm:sqref>G29:H29</xm:sqref>
        </x14:conditionalFormatting>
        <x14:conditionalFormatting xmlns:xm="http://schemas.microsoft.com/office/excel/2006/main">
          <x14:cfRule type="expression" priority="51853" id="{00000000-000E-0000-0400-000094020000}">
            <xm:f>AND(PLANS!$B$1&lt;&gt;32,WEEKDAY($DB$20,2)=5,$C$22="WEEK")</xm:f>
            <x14:dxf>
              <font>
                <color theme="0"/>
              </font>
              <fill>
                <patternFill>
                  <bgColor theme="1" tint="4.9989318521683403E-2"/>
                </patternFill>
              </fill>
            </x14:dxf>
          </x14:cfRule>
          <xm:sqref>G31:H31</xm:sqref>
        </x14:conditionalFormatting>
        <x14:conditionalFormatting xmlns:xm="http://schemas.microsoft.com/office/excel/2006/main">
          <x14:cfRule type="expression" priority="51854" id="{00000000-000E-0000-0400-000096020000}">
            <xm:f>AND(PLANS!$B$1&lt;&gt;32,WEEKDAY($DB$20,2)=6,$C$22="WEEK")</xm:f>
            <x14:dxf>
              <font>
                <color theme="0"/>
              </font>
              <fill>
                <patternFill>
                  <bgColor theme="1" tint="4.9989318521683403E-2"/>
                </patternFill>
              </fill>
            </x14:dxf>
          </x14:cfRule>
          <xm:sqref>G33:H33</xm:sqref>
        </x14:conditionalFormatting>
        <x14:conditionalFormatting xmlns:xm="http://schemas.microsoft.com/office/excel/2006/main">
          <x14:cfRule type="expression" priority="51855" id="{00000000-000E-0000-0400-000095020000}">
            <xm:f>AND(PLANS!$B$1&lt;&gt;32,WEEKDAY($DB$20,2)=7,$C$22="WEEK")</xm:f>
            <x14:dxf>
              <font>
                <color theme="0"/>
              </font>
              <fill>
                <patternFill>
                  <bgColor theme="1" tint="4.9989318521683403E-2"/>
                </patternFill>
              </fill>
            </x14:dxf>
          </x14:cfRule>
          <xm:sqref>G35:H35</xm:sqref>
        </x14:conditionalFormatting>
        <x14:conditionalFormatting xmlns:xm="http://schemas.microsoft.com/office/excel/2006/main">
          <x14:cfRule type="expression" priority="51863" id="{00000000-000E-0000-0400-0000A4020000}">
            <xm:f>AND(PLANS!$B$1&lt;&gt;32,WEEKDAY($DB$20,2)=1,$C$22="WEEK")</xm:f>
            <x14:dxf>
              <font>
                <color theme="1" tint="0.24994659260841701"/>
              </font>
              <fill>
                <patternFill>
                  <bgColor theme="1" tint="4.9989318521683403E-2"/>
                </patternFill>
              </fill>
            </x14:dxf>
          </x14:cfRule>
          <xm:sqref>I23:BX23</xm:sqref>
        </x14:conditionalFormatting>
        <x14:conditionalFormatting xmlns:xm="http://schemas.microsoft.com/office/excel/2006/main">
          <x14:cfRule type="expression" priority="51864" id="{00000000-000E-0000-0400-0000A3020000}">
            <xm:f>AND(PLANS!$B$1&lt;&gt;32,WEEKDAY($DB$20,2)=2,$C$22="WEEK")</xm:f>
            <x14:dxf>
              <font>
                <color theme="1" tint="0.24994659260841701"/>
              </font>
              <fill>
                <patternFill>
                  <bgColor theme="1" tint="4.9989318521683403E-2"/>
                </patternFill>
              </fill>
            </x14:dxf>
          </x14:cfRule>
          <xm:sqref>I25:BX25</xm:sqref>
        </x14:conditionalFormatting>
        <x14:conditionalFormatting xmlns:xm="http://schemas.microsoft.com/office/excel/2006/main">
          <x14:cfRule type="expression" priority="51865" id="{00000000-000E-0000-0400-0000A5020000}">
            <xm:f>AND(PLANS!$B$1&lt;&gt;32,WEEKDAY($DB$20,2)=3,$C$22="WEEK")</xm:f>
            <x14:dxf>
              <font>
                <color theme="1" tint="0.24994659260841701"/>
              </font>
              <fill>
                <patternFill>
                  <bgColor theme="1" tint="4.9989318521683403E-2"/>
                </patternFill>
              </fill>
            </x14:dxf>
          </x14:cfRule>
          <xm:sqref>I27:BX27</xm:sqref>
        </x14:conditionalFormatting>
        <x14:conditionalFormatting xmlns:xm="http://schemas.microsoft.com/office/excel/2006/main">
          <x14:cfRule type="expression" priority="51866" id="{00000000-000E-0000-0400-0000A2020000}">
            <xm:f>AND(PLANS!$B$1&lt;&gt;32,WEEKDAY($DB$20,2)=4,$C$22="WEEK")</xm:f>
            <x14:dxf>
              <font>
                <color theme="1" tint="0.24994659260841701"/>
              </font>
              <fill>
                <patternFill>
                  <bgColor theme="1" tint="4.9989318521683403E-2"/>
                </patternFill>
              </fill>
            </x14:dxf>
          </x14:cfRule>
          <xm:sqref>I29:BX29</xm:sqref>
        </x14:conditionalFormatting>
        <x14:conditionalFormatting xmlns:xm="http://schemas.microsoft.com/office/excel/2006/main">
          <x14:cfRule type="expression" priority="51867" id="{00000000-000E-0000-0400-0000A1020000}">
            <xm:f>AND(PLANS!$B$1&lt;&gt;32,WEEKDAY($DB$20,2)=5,$C$22="WEEK")</xm:f>
            <x14:dxf>
              <font>
                <color theme="1" tint="0.24994659260841701"/>
              </font>
              <fill>
                <patternFill>
                  <bgColor theme="1" tint="4.9989318521683403E-2"/>
                </patternFill>
              </fill>
            </x14:dxf>
          </x14:cfRule>
          <xm:sqref>I31:BX31</xm:sqref>
        </x14:conditionalFormatting>
        <x14:conditionalFormatting xmlns:xm="http://schemas.microsoft.com/office/excel/2006/main">
          <x14:cfRule type="expression" priority="51868" id="{00000000-000E-0000-0400-0000A0020000}">
            <xm:f>AND(PLANS!$B$1&lt;&gt;32,WEEKDAY($DB$20,2)=6,$C$22="WEEK")</xm:f>
            <x14:dxf>
              <font>
                <color theme="1" tint="0.24994659260841701"/>
              </font>
              <fill>
                <patternFill>
                  <bgColor theme="1" tint="4.9989318521683403E-2"/>
                </patternFill>
              </fill>
            </x14:dxf>
          </x14:cfRule>
          <xm:sqref>I33:BX33</xm:sqref>
        </x14:conditionalFormatting>
        <x14:conditionalFormatting xmlns:xm="http://schemas.microsoft.com/office/excel/2006/main">
          <x14:cfRule type="expression" priority="51869" id="{00000000-000E-0000-0400-00009F020000}">
            <xm:f>AND(PLANS!$B$1&lt;&gt;32,WEEKDAY($DB$20,2)=7,$C$22="WEEK")</xm:f>
            <x14:dxf>
              <font>
                <color theme="1" tint="0.24994659260841701"/>
              </font>
              <fill>
                <patternFill>
                  <bgColor theme="1" tint="4.9989318521683403E-2"/>
                </patternFill>
              </fill>
            </x14:dxf>
          </x14:cfRule>
          <xm:sqref>I35:BX35</xm:sqref>
        </x14:conditionalFormatting>
        <x14:conditionalFormatting xmlns:xm="http://schemas.microsoft.com/office/excel/2006/main">
          <x14:cfRule type="expression" priority="51856" id="{00000000-000E-0000-0400-000063020000}">
            <xm:f>AND(PLANS!$B$1&lt;&gt;32,WEEKDAY($DB$20,2)=1,ISBLANK($C$37))</xm:f>
            <x14:dxf>
              <font>
                <color theme="0"/>
              </font>
            </x14:dxf>
          </x14:cfRule>
          <xm:sqref>BW23:BX23</xm:sqref>
        </x14:conditionalFormatting>
        <x14:conditionalFormatting xmlns:xm="http://schemas.microsoft.com/office/excel/2006/main">
          <x14:cfRule type="expression" priority="51857" id="{00000000-000E-0000-0400-00005F020000}">
            <xm:f>AND(PLANS!$B$1&lt;&gt;32,WEEKDAY($DB$20,2)=2,ISBLANK($C$37))</xm:f>
            <x14:dxf>
              <font>
                <color theme="0"/>
              </font>
            </x14:dxf>
          </x14:cfRule>
          <xm:sqref>BW25:BX25</xm:sqref>
        </x14:conditionalFormatting>
        <x14:conditionalFormatting xmlns:xm="http://schemas.microsoft.com/office/excel/2006/main">
          <x14:cfRule type="expression" priority="51858" id="{00000000-000E-0000-0400-000060020000}">
            <xm:f>AND(PLANS!$B$1&lt;&gt;32,WEEKDAY($DB$20,2)=3,ISBLANK($C$37))</xm:f>
            <x14:dxf>
              <font>
                <color theme="0"/>
              </font>
            </x14:dxf>
          </x14:cfRule>
          <xm:sqref>BW27:BX27</xm:sqref>
        </x14:conditionalFormatting>
        <x14:conditionalFormatting xmlns:xm="http://schemas.microsoft.com/office/excel/2006/main">
          <x14:cfRule type="expression" priority="51859" id="{00000000-000E-0000-0400-000061020000}">
            <xm:f>AND(PLANS!$B$1&lt;&gt;32,WEEKDAY($DB$20,2)=4,ISBLANK($C$37))</xm:f>
            <x14:dxf>
              <font>
                <color theme="0"/>
              </font>
            </x14:dxf>
          </x14:cfRule>
          <xm:sqref>BW29:BX29</xm:sqref>
        </x14:conditionalFormatting>
        <x14:conditionalFormatting xmlns:xm="http://schemas.microsoft.com/office/excel/2006/main">
          <x14:cfRule type="expression" priority="51860" id="{00000000-000E-0000-0400-000062020000}">
            <xm:f>AND(PLANS!$B$1&lt;&gt;32,WEEKDAY($DB$20,2)=5,ISBLANK($C$37))</xm:f>
            <x14:dxf>
              <font>
                <color theme="0"/>
              </font>
            </x14:dxf>
          </x14:cfRule>
          <xm:sqref>BW31:BX31</xm:sqref>
        </x14:conditionalFormatting>
        <x14:conditionalFormatting xmlns:xm="http://schemas.microsoft.com/office/excel/2006/main">
          <x14:cfRule type="expression" priority="51861" id="{00000000-000E-0000-0400-00005E020000}">
            <xm:f>AND(PLANS!$B$1&lt;&gt;32,WEEKDAY($DB$20,2)=6,ISBLANK($C$37))</xm:f>
            <x14:dxf>
              <font>
                <color theme="0"/>
              </font>
            </x14:dxf>
          </x14:cfRule>
          <xm:sqref>BW33:BX33</xm:sqref>
        </x14:conditionalFormatting>
        <x14:conditionalFormatting xmlns:xm="http://schemas.microsoft.com/office/excel/2006/main">
          <x14:cfRule type="expression" priority="51862" id="{00000000-000E-0000-0400-00005D020000}">
            <xm:f>AND(PLANS!$B$1&lt;&gt;32,WEEKDAY($DB$20,2)=7,ISBLANK($C$37))</xm:f>
            <x14:dxf>
              <font>
                <color theme="0"/>
              </font>
            </x14:dxf>
          </x14:cfRule>
          <xm:sqref>BW35:BX35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A4E35-2E69-4AEC-BFE9-A2E0E38996AF}">
  <sheetPr codeName="Sheet4"/>
  <dimension ref="A1:GV327"/>
  <sheetViews>
    <sheetView showGridLines="0" showRowColHeaders="0" zoomScaleNormal="100" workbookViewId="0"/>
  </sheetViews>
  <sheetFormatPr defaultColWidth="3.42578125" defaultRowHeight="17.100000000000001" customHeight="1" x14ac:dyDescent="0.15"/>
  <cols>
    <col min="1" max="38" width="3.42578125" style="19"/>
    <col min="39" max="39" width="3.42578125" style="19" customWidth="1"/>
    <col min="40" max="47" width="3.42578125" style="19"/>
    <col min="48" max="48" width="3.7109375" style="19" bestFit="1" customWidth="1"/>
    <col min="49" max="78" width="3.42578125" style="19"/>
    <col min="79" max="79" width="3.42578125" style="19" customWidth="1"/>
    <col min="80" max="204" width="3.42578125" style="19" hidden="1" customWidth="1"/>
    <col min="205" max="16384" width="3.42578125" style="19"/>
  </cols>
  <sheetData>
    <row r="1" spans="1:197" ht="17.100000000000001" customHeight="1" thickBot="1" x14ac:dyDescent="0.25">
      <c r="A1" s="2694" t="s">
        <v>1706</v>
      </c>
      <c r="B1" s="47">
        <f ca="1">PLANS!$B$1</f>
        <v>32</v>
      </c>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465" t="str">
        <f>AK2</f>
        <v>MTH</v>
      </c>
      <c r="AL1" s="47"/>
      <c r="AM1" s="47"/>
      <c r="AN1" s="1075"/>
      <c r="AO1" s="47"/>
      <c r="AP1" s="47"/>
      <c r="AQ1" s="47" t="str">
        <f ca="1">AP2</f>
        <v>WK0</v>
      </c>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8" t="s">
        <v>782</v>
      </c>
      <c r="CZ1" s="2164"/>
      <c r="DA1" s="421"/>
    </row>
    <row r="2" spans="1:197" ht="17.100000000000001" customHeight="1" thickBot="1" x14ac:dyDescent="0.35">
      <c r="A2" s="47"/>
      <c r="B2" s="3981" t="str" cm="1">
        <f t="array" aca="1" ref="B2" ca="1">_xlfn.IFS(A3=0,"",A3=1,"MON",A3=2,"TUE",A3=3,"WED",A3=4,"THU",A3=5,"FRI",A3=6,"SAT",A3=7,"SUN",TRUE,"DAY")</f>
        <v>DAY</v>
      </c>
      <c r="C2" s="3982"/>
      <c r="D2" s="3977" t="s">
        <v>33</v>
      </c>
      <c r="E2" s="3978"/>
      <c r="F2" s="3978"/>
      <c r="G2" s="3978"/>
      <c r="H2" s="3978"/>
      <c r="I2" s="3978"/>
      <c r="J2" s="3978"/>
      <c r="K2" s="3978"/>
      <c r="L2" s="3978"/>
      <c r="M2" s="3978"/>
      <c r="N2" s="4119" t="s">
        <v>34</v>
      </c>
      <c r="O2" s="4119"/>
      <c r="P2" s="4119"/>
      <c r="Q2" s="4119"/>
      <c r="R2" s="4119"/>
      <c r="S2" s="4119"/>
      <c r="T2" s="4119"/>
      <c r="U2" s="4120"/>
      <c r="V2" s="3958" t="s">
        <v>895</v>
      </c>
      <c r="W2" s="17"/>
      <c r="X2" s="17"/>
      <c r="Y2" s="17"/>
      <c r="Z2" s="17"/>
      <c r="AA2" s="17"/>
      <c r="AB2" s="17"/>
      <c r="AC2" s="17"/>
      <c r="AD2" s="17"/>
      <c r="AE2" s="17"/>
      <c r="AF2" s="17"/>
      <c r="AG2" s="17"/>
      <c r="AH2" s="3354"/>
      <c r="AI2" s="1077"/>
      <c r="AJ2" s="1077"/>
      <c r="AK2" s="3954" t="str">
        <f>_xlfn.IFS(PLANS!$F$3="JANUARY","JAN",PLANS!$F$3="FEBRUARY","FEB",PLANS!$F$3="MARCH","MAR",PLANS!$F$3="APRIL","APR",PLANS!$F$3="MAY","MAY",PLANS!$F$3="JUNE","JUN",PLANS!$F$3="JULY","JUL",PLANS!$F$3="AUGUST","AUG",PLANS!$F$3="SEPTEMBER","SEP",PLANS!$F$3="OCTOBER","OCT",PLANS!$F$3="NOVEMBER","NOV",PLANS!$F$3="DECEMBER","DEC",TRUE,"MTH")</f>
        <v>MTH</v>
      </c>
      <c r="AL2" s="3954"/>
      <c r="AM2" s="4117" t="str">
        <f ca="1">IF('^'!$BK$45="A C T I V E",TODAY(),"00")</f>
        <v>00</v>
      </c>
      <c r="AN2" s="4117"/>
      <c r="AO2" s="4117"/>
      <c r="AP2" s="3957" t="str">
        <f ca="1">IFERROR(
_xlfn.SINGLE(_xlfn.IFS(
$B$1&lt;=PLANS!$CE$4,"WK1",
$B$1&lt;=PLANS!$CE$10,"WK2",
$B$1&lt;=PLANS!$CE$16,"WK3",
$B$1&lt;=PLANS!$CE$22,"WK4",
$B$1&lt;=PLANS!$CE$28,"WK5",
$B$1&lt;=PLANS!$CE$34,"WK6",
TRUE,"WK0")),
"WK0")</f>
        <v>WK0</v>
      </c>
      <c r="AQ2" s="3957"/>
      <c r="AR2" s="1076"/>
      <c r="AS2" s="1076"/>
      <c r="AT2" s="1076"/>
      <c r="AU2" s="1076"/>
      <c r="AV2" s="1076"/>
      <c r="AW2" s="1076"/>
      <c r="AX2" s="1076"/>
      <c r="AY2" s="1076"/>
      <c r="AZ2" s="1076"/>
      <c r="BA2" s="1076"/>
      <c r="BB2" s="1076"/>
      <c r="BC2" s="1076"/>
      <c r="BD2" s="17"/>
      <c r="BE2" s="17"/>
      <c r="BF2" s="4114" t="s">
        <v>812</v>
      </c>
      <c r="BG2" s="4121" t="s">
        <v>34</v>
      </c>
      <c r="BH2" s="4122"/>
      <c r="BI2" s="4122"/>
      <c r="BJ2" s="4122"/>
      <c r="BK2" s="4122"/>
      <c r="BL2" s="4122"/>
      <c r="BM2" s="4122"/>
      <c r="BN2" s="4122"/>
      <c r="BO2" s="3978" t="s">
        <v>694</v>
      </c>
      <c r="BP2" s="3978"/>
      <c r="BQ2" s="3978"/>
      <c r="BR2" s="3978"/>
      <c r="BS2" s="3978"/>
      <c r="BT2" s="3978"/>
      <c r="BU2" s="3978"/>
      <c r="BV2" s="3978"/>
      <c r="BW2" s="3978"/>
      <c r="BX2" s="3978"/>
      <c r="BY2" s="4100" t="str">
        <f ca="1">PLANS!L3</f>
        <v>00:00</v>
      </c>
      <c r="BZ2" s="4101"/>
      <c r="CA2" s="91"/>
    </row>
    <row r="3" spans="1:197" ht="17.100000000000001" customHeight="1" thickBot="1" x14ac:dyDescent="0.2">
      <c r="A3" s="311">
        <f ca="1">IF('^'!$BK$45="A C T I V E",WEEKDAY(PLANS!$L$3,2),8)</f>
        <v>8</v>
      </c>
      <c r="B3" s="3983"/>
      <c r="C3" s="3984"/>
      <c r="D3" s="3979"/>
      <c r="E3" s="3980"/>
      <c r="F3" s="3980"/>
      <c r="G3" s="3980"/>
      <c r="H3" s="3980"/>
      <c r="I3" s="3980"/>
      <c r="J3" s="3980"/>
      <c r="K3" s="3980"/>
      <c r="L3" s="3980"/>
      <c r="M3" s="3980"/>
      <c r="N3" s="3955" t="s">
        <v>1260</v>
      </c>
      <c r="O3" s="3955"/>
      <c r="P3" s="3955"/>
      <c r="Q3" s="3955"/>
      <c r="R3" s="3955"/>
      <c r="S3" s="3955"/>
      <c r="T3" s="3955"/>
      <c r="U3" s="3956"/>
      <c r="V3" s="3959"/>
      <c r="W3" s="17"/>
      <c r="X3" s="17"/>
      <c r="Y3" s="120"/>
      <c r="Z3" s="120"/>
      <c r="AA3" s="120"/>
      <c r="AB3" s="120"/>
      <c r="AC3" s="120"/>
      <c r="AD3" s="120"/>
      <c r="AE3" s="120"/>
      <c r="AF3" s="120"/>
      <c r="AG3" s="120"/>
      <c r="AH3" s="120"/>
      <c r="AI3" s="120"/>
      <c r="AJ3" s="120"/>
      <c r="AK3" s="2085"/>
      <c r="AL3" s="2086"/>
      <c r="AM3" s="2086"/>
      <c r="AN3" s="2086"/>
      <c r="AO3" s="2086"/>
      <c r="AP3" s="2086"/>
      <c r="AQ3" s="2087"/>
      <c r="AR3" s="120"/>
      <c r="AS3" s="120"/>
      <c r="AT3" s="120"/>
      <c r="AU3" s="120"/>
      <c r="AV3" s="120"/>
      <c r="AW3" s="120"/>
      <c r="AX3" s="120"/>
      <c r="AY3" s="120"/>
      <c r="AZ3" s="120"/>
      <c r="BA3" s="120"/>
      <c r="BB3" s="120"/>
      <c r="BC3" s="120"/>
      <c r="BD3" s="17"/>
      <c r="BE3" s="17"/>
      <c r="BF3" s="4114"/>
      <c r="BG3" s="4131" t="s">
        <v>35</v>
      </c>
      <c r="BH3" s="4132"/>
      <c r="BI3" s="4132"/>
      <c r="BJ3" s="4132"/>
      <c r="BK3" s="4132"/>
      <c r="BL3" s="4132"/>
      <c r="BM3" s="4132"/>
      <c r="BN3" s="4132"/>
      <c r="BO3" s="3980"/>
      <c r="BP3" s="3980"/>
      <c r="BQ3" s="3980"/>
      <c r="BR3" s="3980"/>
      <c r="BS3" s="3980"/>
      <c r="BT3" s="3980"/>
      <c r="BU3" s="3980"/>
      <c r="BV3" s="3980"/>
      <c r="BW3" s="3980"/>
      <c r="BX3" s="3980"/>
      <c r="BY3" s="4102"/>
      <c r="BZ3" s="4103"/>
      <c r="CA3" s="91"/>
      <c r="CF3" s="227"/>
      <c r="CG3" s="228"/>
      <c r="CH3" s="228"/>
      <c r="CI3" s="228"/>
      <c r="CJ3" s="228"/>
      <c r="CK3" s="228"/>
      <c r="CL3" s="228"/>
      <c r="CM3" s="228"/>
      <c r="CN3" s="228"/>
      <c r="CO3" s="228"/>
      <c r="CP3" s="228"/>
      <c r="CQ3" s="228"/>
      <c r="CR3" s="228"/>
      <c r="CS3" s="228"/>
      <c r="CT3" s="228"/>
      <c r="CU3" s="228"/>
      <c r="CV3" s="228"/>
      <c r="CW3" s="228"/>
      <c r="CX3" s="228"/>
      <c r="CY3" s="228"/>
      <c r="CZ3" s="228"/>
      <c r="DA3" s="228"/>
      <c r="DB3" s="228"/>
      <c r="DC3" s="228"/>
      <c r="DD3" s="228"/>
      <c r="DE3" s="228"/>
      <c r="DF3" s="228"/>
      <c r="DG3" s="228"/>
      <c r="DH3" s="228"/>
      <c r="DI3" s="228"/>
      <c r="DJ3" s="228"/>
      <c r="DK3" s="228"/>
      <c r="DL3" s="228"/>
      <c r="DM3" s="228"/>
      <c r="DN3" s="228"/>
      <c r="DO3" s="228"/>
      <c r="DP3" s="228"/>
      <c r="DQ3" s="228"/>
      <c r="DR3" s="228"/>
      <c r="DS3" s="228"/>
      <c r="DT3" s="228"/>
      <c r="DU3" s="228"/>
      <c r="DV3" s="228"/>
      <c r="DW3" s="228"/>
      <c r="DX3" s="228"/>
      <c r="DY3" s="228"/>
      <c r="DZ3" s="256"/>
      <c r="EG3" s="1618"/>
      <c r="EH3" s="1619"/>
      <c r="EI3" s="1619"/>
      <c r="EJ3" s="1619"/>
      <c r="EK3" s="1619"/>
      <c r="EL3" s="1616"/>
      <c r="EM3" s="1620"/>
      <c r="EN3" s="1620"/>
      <c r="EO3" s="333"/>
      <c r="EP3" s="333"/>
      <c r="EQ3" s="1620"/>
      <c r="ER3" s="1621"/>
      <c r="ES3" s="333"/>
      <c r="ET3" s="1622"/>
      <c r="EZ3" s="497" t="s">
        <v>1151</v>
      </c>
      <c r="FN3" s="497" t="s">
        <v>1150</v>
      </c>
      <c r="FT3" s="227"/>
      <c r="FU3" s="1615"/>
      <c r="FV3" s="1615"/>
      <c r="FW3" s="1615"/>
      <c r="FX3" s="1615"/>
      <c r="FY3" s="1616" t="s">
        <v>174</v>
      </c>
      <c r="FZ3" s="228"/>
      <c r="GA3" s="228"/>
      <c r="GB3" s="1603" t="s">
        <v>1136</v>
      </c>
      <c r="GC3" s="333"/>
      <c r="GD3" s="228"/>
      <c r="GE3" s="1617" t="s">
        <v>1140</v>
      </c>
      <c r="GF3" s="333"/>
      <c r="GG3" s="256"/>
      <c r="GN3" s="1757" t="s">
        <v>1647</v>
      </c>
    </row>
    <row r="4" spans="1:197" ht="17.100000000000001" customHeight="1" x14ac:dyDescent="0.2">
      <c r="A4" s="17"/>
      <c r="B4" s="3944" t="s">
        <v>171</v>
      </c>
      <c r="C4" s="3945"/>
      <c r="D4" s="3951" t="s">
        <v>38</v>
      </c>
      <c r="E4" s="3908"/>
      <c r="F4" s="3908"/>
      <c r="G4" s="3908"/>
      <c r="H4" s="3908"/>
      <c r="I4" s="3908"/>
      <c r="J4" s="3908"/>
      <c r="K4" s="3908"/>
      <c r="L4" s="3908"/>
      <c r="M4" s="3908"/>
      <c r="N4" s="3908"/>
      <c r="O4" s="3908"/>
      <c r="P4" s="3908"/>
      <c r="Q4" s="3908"/>
      <c r="R4" s="3908"/>
      <c r="S4" s="3908"/>
      <c r="T4" s="3909"/>
      <c r="U4" s="280"/>
      <c r="V4" s="2230">
        <v>0</v>
      </c>
      <c r="W4" s="1594"/>
      <c r="X4" s="17"/>
      <c r="Y4" s="1076"/>
      <c r="Z4" s="4130" t="s">
        <v>750</v>
      </c>
      <c r="AA4" s="4130"/>
      <c r="AB4" s="4130"/>
      <c r="AC4" s="4130"/>
      <c r="AD4" s="4130"/>
      <c r="AE4" s="4130"/>
      <c r="AF4" s="4130"/>
      <c r="AG4" s="120"/>
      <c r="AH4" s="120"/>
      <c r="AI4" s="1078"/>
      <c r="AJ4" s="1076"/>
      <c r="AK4" s="2088"/>
      <c r="AL4" s="4118" t="s">
        <v>71</v>
      </c>
      <c r="AM4" s="4118"/>
      <c r="AN4" s="4118"/>
      <c r="AO4" s="4118"/>
      <c r="AP4" s="4118"/>
      <c r="AQ4" s="2089"/>
      <c r="AR4" s="1076"/>
      <c r="AS4" s="1076"/>
      <c r="AT4" s="120"/>
      <c r="AU4" s="120"/>
      <c r="AV4" s="4129" t="s">
        <v>748</v>
      </c>
      <c r="AW4" s="4129"/>
      <c r="AX4" s="4129"/>
      <c r="AY4" s="4129"/>
      <c r="AZ4" s="4129"/>
      <c r="BA4" s="4129"/>
      <c r="BB4" s="4129"/>
      <c r="BC4" s="1076"/>
      <c r="BD4" s="17"/>
      <c r="BE4" s="17"/>
      <c r="BF4" s="3986"/>
      <c r="BG4" s="281"/>
      <c r="BH4" s="3960"/>
      <c r="BI4" s="3960"/>
      <c r="BJ4" s="3960"/>
      <c r="BK4" s="3960"/>
      <c r="BL4" s="3960"/>
      <c r="BM4" s="3960"/>
      <c r="BN4" s="3960"/>
      <c r="BO4" s="3960"/>
      <c r="BP4" s="3960"/>
      <c r="BQ4" s="3960"/>
      <c r="BR4" s="3960"/>
      <c r="BS4" s="3960"/>
      <c r="BT4" s="3960"/>
      <c r="BU4" s="3960"/>
      <c r="BV4" s="3960"/>
      <c r="BW4" s="3960"/>
      <c r="BX4" s="4037" t="s">
        <v>726</v>
      </c>
      <c r="BY4" s="3944" t="s">
        <v>36</v>
      </c>
      <c r="BZ4" s="3945"/>
      <c r="CA4" s="91"/>
      <c r="CC4" s="295" t="str">
        <f>BX4</f>
        <v>N-1</v>
      </c>
      <c r="CD4" s="296">
        <f>BG4</f>
        <v>0</v>
      </c>
      <c r="CF4" s="242"/>
      <c r="CG4" s="297">
        <f ca="1">IF(AND(U5=$AM$2,U4=100%),1,0)</f>
        <v>0</v>
      </c>
      <c r="CH4" s="39">
        <f ca="1">IF(AND(U5=$AM$2,U4&gt;0%),1,0)</f>
        <v>0</v>
      </c>
      <c r="CI4" s="1608">
        <f>IF(V4&gt;=CU4,1,0)</f>
        <v>0</v>
      </c>
      <c r="CN4" s="298"/>
      <c r="CO4" s="298" t="s">
        <v>457</v>
      </c>
      <c r="CR4" s="262">
        <f>$L$43</f>
        <v>0</v>
      </c>
      <c r="CS4" s="297">
        <f ca="1">IF( OR(PLANS!$B$1=32,$DA$7=1,CR4=0),0,IF( AND( OR(U5&lt;&gt;$AM$2,AND(U5=$AM$2,U4&lt;&gt;100%)),PLANS!$L$3-INT(PLANS!$L$3)&gt;$DA$5/24 ),1,0))</f>
        <v>0</v>
      </c>
      <c r="CT4" s="1608">
        <f>IF(E4&lt;&gt;"",IF(U5&lt;&gt;$AM$2,IF((CU4-V4)&gt;PROGRESS!$CC$9,1,0),IF((CU4-V4)&gt;PROGRESS!$CC$10,1,0)),0)</f>
        <v>0</v>
      </c>
      <c r="CU4" s="415">
        <f>$W$43</f>
        <v>20</v>
      </c>
      <c r="CV4" s="435" t="s">
        <v>304</v>
      </c>
      <c r="DA4" s="298" t="s">
        <v>1294</v>
      </c>
      <c r="DD4" s="1608">
        <f>IF(AND(BG4=100%,BF4&lt;&gt;""),1,0)</f>
        <v>0</v>
      </c>
      <c r="DE4" s="297">
        <f>IF(AND(BG4=100%,BF4=""),1,0)</f>
        <v>0</v>
      </c>
      <c r="DF4" s="39">
        <f>IF(BG4&gt;0%,1,0)</f>
        <v>0</v>
      </c>
      <c r="DL4" s="101"/>
      <c r="DM4" s="1557" t="s">
        <v>460</v>
      </c>
      <c r="DQ4" s="297">
        <f ca="1">IF(AND(BH4&lt;&gt;"",BG5&lt;&gt;"",BF4="",BG4&lt;&gt;100%,BG5&lt;PLANS!$B$1),1,0)</f>
        <v>0</v>
      </c>
      <c r="DS4" s="2216">
        <f>IF(BH4="",0, IF(AND(BF4="",BG4&lt;&gt;100%,BG5=$EC$37),1,0) )</f>
        <v>0</v>
      </c>
      <c r="DY4" s="298" t="s">
        <v>467</v>
      </c>
      <c r="DZ4" s="299"/>
      <c r="EB4" s="28"/>
      <c r="EC4" s="28"/>
      <c r="EG4" s="1623"/>
      <c r="EH4" s="1552"/>
      <c r="EI4" s="1552"/>
      <c r="EJ4" s="1552"/>
      <c r="EK4" s="1552"/>
      <c r="EL4" s="35"/>
      <c r="EM4" s="35"/>
      <c r="EN4" s="35"/>
      <c r="EO4" s="497"/>
      <c r="EP4" s="35"/>
      <c r="EQ4" s="689" t="s">
        <v>1171</v>
      </c>
      <c r="ER4" s="46"/>
      <c r="ES4" s="35"/>
      <c r="ET4" s="1624"/>
      <c r="EU4" s="28"/>
      <c r="EV4" s="28"/>
      <c r="EW4" s="28"/>
      <c r="EX4" s="28"/>
      <c r="EZ4" s="306">
        <f>SUM(EL5,EL17,EL29)</f>
        <v>0</v>
      </c>
      <c r="FN4" s="306">
        <f>SUM(FY5,FY17,FY29)</f>
        <v>0</v>
      </c>
      <c r="FT4" s="242"/>
      <c r="FU4" s="326"/>
      <c r="FV4" s="326"/>
      <c r="FW4" s="326"/>
      <c r="FX4" s="326"/>
      <c r="GB4" s="46"/>
      <c r="GE4" s="1176"/>
      <c r="GG4" s="299"/>
    </row>
    <row r="5" spans="1:197" ht="17.100000000000001" customHeight="1" thickBot="1" x14ac:dyDescent="0.25">
      <c r="A5" s="17"/>
      <c r="B5" s="3946"/>
      <c r="C5" s="3947"/>
      <c r="D5" s="3952" t="s">
        <v>38</v>
      </c>
      <c r="E5" s="3911"/>
      <c r="F5" s="3911"/>
      <c r="G5" s="3911"/>
      <c r="H5" s="3911"/>
      <c r="I5" s="3911"/>
      <c r="J5" s="3911"/>
      <c r="K5" s="3911"/>
      <c r="L5" s="3911"/>
      <c r="M5" s="3911"/>
      <c r="N5" s="3911"/>
      <c r="O5" s="3911"/>
      <c r="P5" s="3911"/>
      <c r="Q5" s="3911"/>
      <c r="R5" s="3911"/>
      <c r="S5" s="3911"/>
      <c r="T5" s="3912"/>
      <c r="U5" s="2096">
        <v>0</v>
      </c>
      <c r="V5" s="2232" t="str">
        <f>"/"&amp;CU4</f>
        <v>/20</v>
      </c>
      <c r="W5" s="1595"/>
      <c r="X5" s="17"/>
      <c r="Y5" s="1079"/>
      <c r="Z5" s="1076"/>
      <c r="AA5" s="1080"/>
      <c r="AB5" s="1078"/>
      <c r="AC5" s="1078"/>
      <c r="AD5" s="1081"/>
      <c r="AE5" s="1082"/>
      <c r="AF5" s="1082"/>
      <c r="AG5" s="120"/>
      <c r="AH5" s="120"/>
      <c r="AI5" s="1078"/>
      <c r="AJ5" s="1076"/>
      <c r="AK5" s="2088"/>
      <c r="AL5" s="4104"/>
      <c r="AM5" s="4104"/>
      <c r="AN5" s="4104"/>
      <c r="AO5" s="4104"/>
      <c r="AP5" s="4104"/>
      <c r="AQ5" s="2089"/>
      <c r="AR5" s="1076"/>
      <c r="AS5" s="1076"/>
      <c r="AT5" s="120"/>
      <c r="AU5" s="120"/>
      <c r="AV5" s="1082"/>
      <c r="AW5" s="1082"/>
      <c r="AX5" s="1083"/>
      <c r="AY5" s="1078"/>
      <c r="AZ5" s="1078"/>
      <c r="BA5" s="1080"/>
      <c r="BB5" s="1076"/>
      <c r="BC5" s="1076"/>
      <c r="BD5" s="17"/>
      <c r="BE5" s="17"/>
      <c r="BF5" s="3986"/>
      <c r="BG5" s="282"/>
      <c r="BH5" s="3960"/>
      <c r="BI5" s="3960"/>
      <c r="BJ5" s="3960"/>
      <c r="BK5" s="3960"/>
      <c r="BL5" s="3960"/>
      <c r="BM5" s="3960"/>
      <c r="BN5" s="3960"/>
      <c r="BO5" s="3960"/>
      <c r="BP5" s="3960"/>
      <c r="BQ5" s="3960"/>
      <c r="BR5" s="3960"/>
      <c r="BS5" s="3960"/>
      <c r="BT5" s="3960"/>
      <c r="BU5" s="3960"/>
      <c r="BV5" s="3960"/>
      <c r="BW5" s="3960"/>
      <c r="BX5" s="4043"/>
      <c r="BY5" s="3946"/>
      <c r="BZ5" s="3947"/>
      <c r="CA5" s="91"/>
      <c r="CC5" s="301" t="str">
        <f>D4</f>
        <v>D-1</v>
      </c>
      <c r="CD5" s="302">
        <f>U4</f>
        <v>0</v>
      </c>
      <c r="CF5" s="242"/>
      <c r="CG5" s="46"/>
      <c r="CI5" s="379"/>
      <c r="CS5" s="46"/>
      <c r="CT5" s="379"/>
      <c r="CU5" s="415"/>
      <c r="CV5" s="435"/>
      <c r="CZ5" s="1557" t="s">
        <v>1295</v>
      </c>
      <c r="DA5" s="2163">
        <v>18</v>
      </c>
      <c r="DE5" s="46"/>
      <c r="DK5" s="304" t="s">
        <v>1136</v>
      </c>
      <c r="DL5" s="1608">
        <f>SUM(DD4:DD12)</f>
        <v>0</v>
      </c>
      <c r="DQ5" s="46"/>
      <c r="DZ5" s="299"/>
      <c r="EB5" s="28"/>
      <c r="EC5" s="28"/>
      <c r="EG5" s="1623"/>
      <c r="EH5" s="1552"/>
      <c r="EI5" s="1552"/>
      <c r="EJ5" s="415" t="s">
        <v>439</v>
      </c>
      <c r="EK5" s="1552"/>
      <c r="EL5" s="306">
        <f>SUM($L$43:$L$47)</f>
        <v>0</v>
      </c>
      <c r="EM5" s="35"/>
      <c r="EN5" s="1625"/>
      <c r="EO5" s="1625"/>
      <c r="EP5" s="1625"/>
      <c r="EQ5" s="1630" t="s">
        <v>1173</v>
      </c>
      <c r="ER5" s="1631">
        <f ca="1">IF(PLANS!$DI$78=1,0,SUM($L$43:$L$47))</f>
        <v>0</v>
      </c>
      <c r="ES5" s="1625"/>
      <c r="ET5" s="1624"/>
      <c r="EU5" s="28"/>
      <c r="EV5" s="28"/>
      <c r="EW5" s="28"/>
      <c r="EX5" s="28"/>
      <c r="FT5" s="242"/>
      <c r="FU5" s="326"/>
      <c r="FV5" s="326"/>
      <c r="FW5" s="415" t="s">
        <v>439</v>
      </c>
      <c r="FX5" s="326"/>
      <c r="FY5" s="306">
        <f>GE5-GB5</f>
        <v>0</v>
      </c>
      <c r="GB5" s="297">
        <f>COUNTA(BF4:BF13)</f>
        <v>0</v>
      </c>
      <c r="GE5" s="1558">
        <f>COUNTA(BH4:BW13)</f>
        <v>0</v>
      </c>
      <c r="GG5" s="299"/>
      <c r="GN5" s="2563">
        <f>FG44</f>
        <v>0</v>
      </c>
      <c r="GO5" s="2564" t="s">
        <v>1648</v>
      </c>
    </row>
    <row r="6" spans="1:197" ht="17.100000000000001" customHeight="1" thickTop="1" x14ac:dyDescent="0.2">
      <c r="A6" s="17"/>
      <c r="B6" s="3946"/>
      <c r="C6" s="3948"/>
      <c r="D6" s="3951" t="s">
        <v>528</v>
      </c>
      <c r="E6" s="3908"/>
      <c r="F6" s="3908"/>
      <c r="G6" s="3908"/>
      <c r="H6" s="3908"/>
      <c r="I6" s="3908"/>
      <c r="J6" s="3908"/>
      <c r="K6" s="3908"/>
      <c r="L6" s="3908"/>
      <c r="M6" s="3908"/>
      <c r="N6" s="3908"/>
      <c r="O6" s="3908"/>
      <c r="P6" s="3908"/>
      <c r="Q6" s="3908"/>
      <c r="R6" s="3908"/>
      <c r="S6" s="3908"/>
      <c r="T6" s="3909"/>
      <c r="U6" s="280"/>
      <c r="V6" s="2231">
        <v>0</v>
      </c>
      <c r="W6" s="1594"/>
      <c r="X6" s="17"/>
      <c r="Y6" s="1079"/>
      <c r="Z6" s="1076"/>
      <c r="AA6" s="3962" t="s">
        <v>494</v>
      </c>
      <c r="AB6" s="3962"/>
      <c r="AC6" s="3962"/>
      <c r="AD6" s="3962"/>
      <c r="AE6" s="3963">
        <f>SUM(AE8:AF10)</f>
        <v>0</v>
      </c>
      <c r="AF6" s="3963"/>
      <c r="AG6" s="120"/>
      <c r="AH6" s="120"/>
      <c r="AI6" s="1078"/>
      <c r="AJ6" s="883"/>
      <c r="AK6" s="2088"/>
      <c r="AL6" s="4105"/>
      <c r="AM6" s="4106"/>
      <c r="AN6" s="4106"/>
      <c r="AO6" s="4106"/>
      <c r="AP6" s="4107"/>
      <c r="AQ6" s="2089"/>
      <c r="AR6" s="2084"/>
      <c r="AS6" s="1076"/>
      <c r="AT6" s="305"/>
      <c r="AU6" s="1084"/>
      <c r="AV6" s="3953">
        <f>SUM(AV8:AW10)</f>
        <v>0</v>
      </c>
      <c r="AW6" s="3953"/>
      <c r="AX6" s="3961" t="s">
        <v>494</v>
      </c>
      <c r="AY6" s="3961"/>
      <c r="AZ6" s="3961"/>
      <c r="BA6" s="3961"/>
      <c r="BB6" s="1076"/>
      <c r="BC6" s="1076"/>
      <c r="BD6" s="17"/>
      <c r="BE6" s="17"/>
      <c r="BF6" s="3986"/>
      <c r="BG6" s="283"/>
      <c r="BH6" s="3960"/>
      <c r="BI6" s="3960"/>
      <c r="BJ6" s="3960"/>
      <c r="BK6" s="3960"/>
      <c r="BL6" s="3960"/>
      <c r="BM6" s="3960"/>
      <c r="BN6" s="3960"/>
      <c r="BO6" s="3960"/>
      <c r="BP6" s="3960"/>
      <c r="BQ6" s="3960"/>
      <c r="BR6" s="3960"/>
      <c r="BS6" s="3960"/>
      <c r="BT6" s="3960"/>
      <c r="BU6" s="3960"/>
      <c r="BV6" s="3960"/>
      <c r="BW6" s="3960"/>
      <c r="BX6" s="4037" t="s">
        <v>728</v>
      </c>
      <c r="BY6" s="3946"/>
      <c r="BZ6" s="3947"/>
      <c r="CA6" s="91"/>
      <c r="CC6" s="295" t="str">
        <f t="shared" ref="CC6" si="0">BX6</f>
        <v>N-2</v>
      </c>
      <c r="CD6" s="296">
        <f t="shared" ref="CD6" si="1">BG6</f>
        <v>0</v>
      </c>
      <c r="CF6" s="242"/>
      <c r="CG6" s="297">
        <f ca="1">IF(AND(U7=$AM$2,U6=100%),1,0)</f>
        <v>0</v>
      </c>
      <c r="CH6" s="39">
        <f ca="1">IF(AND(U7=$AM$2,U6&gt;0%),1,0)</f>
        <v>0</v>
      </c>
      <c r="CI6" s="1608">
        <f>IF(V6&gt;=CU6,1,0)</f>
        <v>0</v>
      </c>
      <c r="CM6" s="304" t="s">
        <v>492</v>
      </c>
      <c r="CN6" s="306">
        <f ca="1">SUM(CG4:CG12)</f>
        <v>0</v>
      </c>
      <c r="CR6" s="262">
        <f>$L$44</f>
        <v>0</v>
      </c>
      <c r="CS6" s="297">
        <f ca="1">IF( OR(PLANS!$B$1=32,$DA$7=1,CR6=0),0,IF( AND( OR(U7&lt;&gt;$AM$2,AND(U7=$AM$2,U6&lt;&gt;100%)),PLANS!$L$3-INT(PLANS!$L$3)&gt;$DA$5/24 ),1,0))</f>
        <v>0</v>
      </c>
      <c r="CT6" s="1608">
        <f>IF(E6&lt;&gt;"",IF(U7&lt;&gt;$AM$2,IF((CU6-V6)&gt;PROGRESS!$CC$9,1,0),IF((CU6-V6)&gt;PROGRESS!$CC$10,1,0)),0)</f>
        <v>0</v>
      </c>
      <c r="CU6" s="415">
        <f>$W$44</f>
        <v>20</v>
      </c>
      <c r="CV6" s="435" t="s">
        <v>304</v>
      </c>
      <c r="CZ6" s="306">
        <f ca="1">SUM(CS4:CS12)</f>
        <v>0</v>
      </c>
      <c r="DD6" s="1608">
        <f>IF(AND(BG6=100%,BF6&lt;&gt;""),1,0)</f>
        <v>0</v>
      </c>
      <c r="DE6" s="297">
        <f>IF(AND(BG6=100%,BF6=""),1,0)</f>
        <v>0</v>
      </c>
      <c r="DF6" s="39">
        <f>IF(BG6&gt;0%,1,0)</f>
        <v>0</v>
      </c>
      <c r="DK6" s="304" t="s">
        <v>174</v>
      </c>
      <c r="DL6" s="306">
        <f>SUM(DE4:DE12)</f>
        <v>0</v>
      </c>
      <c r="DQ6" s="297">
        <f ca="1">IF(AND(BH6&lt;&gt;"",BG7&lt;&gt;"",BF6="",BG6&lt;&gt;100%,BG7&lt;PLANS!$B$1),1,0)</f>
        <v>0</v>
      </c>
      <c r="DS6" s="2216">
        <f>IF(BH6="",0, IF(AND(BF6="",BG6&lt;&gt;100%,BG7=$EC$37),1,0) )</f>
        <v>0</v>
      </c>
      <c r="DW6" s="304" t="s">
        <v>439</v>
      </c>
      <c r="DX6" s="306">
        <f ca="1">SUM(DQ4:DQ12)</f>
        <v>0</v>
      </c>
      <c r="DZ6" s="299"/>
      <c r="EB6" s="28"/>
      <c r="EC6" s="28"/>
      <c r="EE6" s="415" t="s">
        <v>691</v>
      </c>
      <c r="EG6" s="1623"/>
      <c r="EH6" s="1552"/>
      <c r="EI6" s="1552"/>
      <c r="EJ6" s="1552"/>
      <c r="EK6" s="1552"/>
      <c r="EL6" s="35"/>
      <c r="EM6" s="35"/>
      <c r="EN6" s="35"/>
      <c r="EO6" s="1625"/>
      <c r="EP6" s="35"/>
      <c r="EQ6" s="312" t="s">
        <v>1147</v>
      </c>
      <c r="ER6" s="35"/>
      <c r="ES6" s="35"/>
      <c r="ET6" s="1624"/>
      <c r="EU6" s="28"/>
      <c r="EV6" s="28"/>
      <c r="EW6" s="28"/>
      <c r="EX6" s="28"/>
      <c r="EZ6" s="497" t="s">
        <v>1160</v>
      </c>
      <c r="FN6" s="497" t="s">
        <v>1161</v>
      </c>
      <c r="FT6" s="242"/>
      <c r="FU6" s="326"/>
      <c r="FV6" s="326"/>
      <c r="FW6" s="326"/>
      <c r="FX6" s="326"/>
      <c r="GB6" s="46"/>
      <c r="GE6" s="1176"/>
      <c r="GG6" s="299"/>
      <c r="GI6" s="378" t="s">
        <v>692</v>
      </c>
    </row>
    <row r="7" spans="1:197" ht="17.100000000000001" customHeight="1" x14ac:dyDescent="0.2">
      <c r="A7" s="17"/>
      <c r="B7" s="3946"/>
      <c r="C7" s="3948"/>
      <c r="D7" s="3952" t="s">
        <v>39</v>
      </c>
      <c r="E7" s="3911"/>
      <c r="F7" s="3911"/>
      <c r="G7" s="3911"/>
      <c r="H7" s="3911"/>
      <c r="I7" s="3911"/>
      <c r="J7" s="3911"/>
      <c r="K7" s="3911"/>
      <c r="L7" s="3911"/>
      <c r="M7" s="3911"/>
      <c r="N7" s="3911"/>
      <c r="O7" s="3911"/>
      <c r="P7" s="3911"/>
      <c r="Q7" s="3911"/>
      <c r="R7" s="3911"/>
      <c r="S7" s="3911"/>
      <c r="T7" s="3912"/>
      <c r="U7" s="2096">
        <v>0</v>
      </c>
      <c r="V7" s="2232" t="str">
        <f>"/"&amp;CU6</f>
        <v>/20</v>
      </c>
      <c r="W7" s="1595"/>
      <c r="X7" s="17"/>
      <c r="Y7" s="1079"/>
      <c r="Z7" s="1076"/>
      <c r="AA7" s="1173"/>
      <c r="AB7" s="605"/>
      <c r="AC7" s="605"/>
      <c r="AD7" s="1172"/>
      <c r="AE7" s="635"/>
      <c r="AF7" s="635"/>
      <c r="AG7" s="120"/>
      <c r="AH7" s="120"/>
      <c r="AI7" s="1078"/>
      <c r="AJ7" s="2083"/>
      <c r="AK7" s="2088"/>
      <c r="AL7" s="4108"/>
      <c r="AM7" s="4109"/>
      <c r="AN7" s="4109"/>
      <c r="AO7" s="4109"/>
      <c r="AP7" s="4110"/>
      <c r="AQ7" s="2089"/>
      <c r="AR7" s="2083"/>
      <c r="AS7" s="1076"/>
      <c r="AT7" s="305"/>
      <c r="AU7" s="120"/>
      <c r="AV7" s="1085"/>
      <c r="AW7" s="1085"/>
      <c r="AX7" s="3992"/>
      <c r="AY7" s="3992"/>
      <c r="AZ7" s="3992"/>
      <c r="BA7" s="3992"/>
      <c r="BB7" s="1076"/>
      <c r="BC7" s="1076"/>
      <c r="BD7" s="17"/>
      <c r="BE7" s="17"/>
      <c r="BF7" s="3986"/>
      <c r="BG7" s="282"/>
      <c r="BH7" s="3960"/>
      <c r="BI7" s="3960"/>
      <c r="BJ7" s="3960"/>
      <c r="BK7" s="3960"/>
      <c r="BL7" s="3960"/>
      <c r="BM7" s="3960"/>
      <c r="BN7" s="3960"/>
      <c r="BO7" s="3960"/>
      <c r="BP7" s="3960"/>
      <c r="BQ7" s="3960"/>
      <c r="BR7" s="3960"/>
      <c r="BS7" s="3960"/>
      <c r="BT7" s="3960"/>
      <c r="BU7" s="3960"/>
      <c r="BV7" s="3960"/>
      <c r="BW7" s="3960"/>
      <c r="BX7" s="4043"/>
      <c r="BY7" s="3946"/>
      <c r="BZ7" s="3947"/>
      <c r="CA7" s="91"/>
      <c r="CC7" s="301" t="str">
        <f t="shared" ref="CC7" si="2">D6</f>
        <v>D-2</v>
      </c>
      <c r="CD7" s="302">
        <f t="shared" ref="CD7" si="3">U6</f>
        <v>0</v>
      </c>
      <c r="CF7" s="242"/>
      <c r="CG7" s="46"/>
      <c r="CI7" s="379"/>
      <c r="CS7" s="46"/>
      <c r="CT7" s="379"/>
      <c r="CU7" s="415"/>
      <c r="CV7" s="435"/>
      <c r="CZ7" s="298" t="s">
        <v>1298</v>
      </c>
      <c r="DA7" s="39">
        <f ca="1">PLANS!$DI$78</f>
        <v>0</v>
      </c>
      <c r="DE7" s="46"/>
      <c r="DQ7" s="46"/>
      <c r="DZ7" s="299"/>
      <c r="EB7" s="28"/>
      <c r="EC7" s="28"/>
      <c r="EE7" s="415" t="s">
        <v>60</v>
      </c>
      <c r="EG7" s="1623"/>
      <c r="EH7" s="1552"/>
      <c r="EI7" s="1552"/>
      <c r="EJ7" s="415" t="s">
        <v>505</v>
      </c>
      <c r="EK7" s="1552"/>
      <c r="EL7" s="306">
        <f ca="1">$CN$6</f>
        <v>0</v>
      </c>
      <c r="EM7" s="35"/>
      <c r="EN7" s="35"/>
      <c r="EO7" s="415"/>
      <c r="EP7" s="35"/>
      <c r="EQ7" s="1602" t="s">
        <v>1146</v>
      </c>
      <c r="ER7" s="306">
        <f>CN11</f>
        <v>0</v>
      </c>
      <c r="ES7" s="35"/>
      <c r="ET7" s="1624"/>
      <c r="EU7" s="28"/>
      <c r="EV7" s="28"/>
      <c r="EW7" s="28"/>
      <c r="EX7" s="28"/>
      <c r="EZ7" s="306">
        <f>SUM(ER7,ER19,EL31)</f>
        <v>0</v>
      </c>
      <c r="FN7" s="306">
        <f>SUM(GE7,GE19,GE31)</f>
        <v>0</v>
      </c>
      <c r="FT7" s="242"/>
      <c r="FU7" s="326"/>
      <c r="FV7" s="326"/>
      <c r="FW7" s="415" t="s">
        <v>505</v>
      </c>
      <c r="FX7" s="326"/>
      <c r="FY7" s="306">
        <f>DL6</f>
        <v>0</v>
      </c>
      <c r="GB7" s="297">
        <f>DL5</f>
        <v>0</v>
      </c>
      <c r="GE7" s="1558">
        <f>FY7+GB7</f>
        <v>0</v>
      </c>
      <c r="GG7" s="299"/>
      <c r="GI7" s="378" t="s">
        <v>60</v>
      </c>
      <c r="GN7" s="2563">
        <f>FN7</f>
        <v>0</v>
      </c>
      <c r="GO7" s="2564" t="s">
        <v>2440</v>
      </c>
    </row>
    <row r="8" spans="1:197" ht="17.100000000000001" customHeight="1" thickBot="1" x14ac:dyDescent="0.25">
      <c r="A8" s="17"/>
      <c r="B8" s="3946"/>
      <c r="C8" s="3947"/>
      <c r="D8" s="3951" t="s">
        <v>39</v>
      </c>
      <c r="E8" s="3908"/>
      <c r="F8" s="3908"/>
      <c r="G8" s="3908"/>
      <c r="H8" s="3908"/>
      <c r="I8" s="3908"/>
      <c r="J8" s="3908"/>
      <c r="K8" s="3908"/>
      <c r="L8" s="3908"/>
      <c r="M8" s="3908"/>
      <c r="N8" s="3908"/>
      <c r="O8" s="3908"/>
      <c r="P8" s="3908"/>
      <c r="Q8" s="3908"/>
      <c r="R8" s="3908"/>
      <c r="S8" s="3908"/>
      <c r="T8" s="3909"/>
      <c r="U8" s="280"/>
      <c r="V8" s="2231">
        <v>0</v>
      </c>
      <c r="W8" s="1594"/>
      <c r="X8" s="17"/>
      <c r="Y8" s="1079"/>
      <c r="Z8" s="1076"/>
      <c r="AA8" s="3962" t="s">
        <v>691</v>
      </c>
      <c r="AB8" s="3962"/>
      <c r="AC8" s="3962"/>
      <c r="AD8" s="3962"/>
      <c r="AE8" s="3963">
        <f>$EZ$10</f>
        <v>0</v>
      </c>
      <c r="AF8" s="3963"/>
      <c r="AG8" s="120"/>
      <c r="AH8" s="120"/>
      <c r="AI8" s="1078"/>
      <c r="AJ8" s="883"/>
      <c r="AK8" s="2088"/>
      <c r="AL8" s="4111"/>
      <c r="AM8" s="4112"/>
      <c r="AN8" s="4112"/>
      <c r="AO8" s="4112"/>
      <c r="AP8" s="4113"/>
      <c r="AQ8" s="2089"/>
      <c r="AR8" s="2084"/>
      <c r="AS8" s="1076"/>
      <c r="AT8" s="120"/>
      <c r="AU8" s="120"/>
      <c r="AV8" s="3953">
        <f>$EZ$7</f>
        <v>0</v>
      </c>
      <c r="AW8" s="3953"/>
      <c r="AX8" s="3961" t="s">
        <v>691</v>
      </c>
      <c r="AY8" s="3961"/>
      <c r="AZ8" s="3961"/>
      <c r="BA8" s="3961"/>
      <c r="BB8" s="1076"/>
      <c r="BC8" s="1076"/>
      <c r="BD8" s="17"/>
      <c r="BE8" s="17"/>
      <c r="BF8" s="3986"/>
      <c r="BG8" s="283"/>
      <c r="BH8" s="3960"/>
      <c r="BI8" s="3960"/>
      <c r="BJ8" s="3960"/>
      <c r="BK8" s="3960"/>
      <c r="BL8" s="3960"/>
      <c r="BM8" s="3960"/>
      <c r="BN8" s="3960"/>
      <c r="BO8" s="3960"/>
      <c r="BP8" s="3960"/>
      <c r="BQ8" s="3960"/>
      <c r="BR8" s="3960"/>
      <c r="BS8" s="3960"/>
      <c r="BT8" s="3960"/>
      <c r="BU8" s="3960"/>
      <c r="BV8" s="3960"/>
      <c r="BW8" s="3960"/>
      <c r="BX8" s="4037" t="s">
        <v>729</v>
      </c>
      <c r="BY8" s="3946"/>
      <c r="BZ8" s="3947"/>
      <c r="CA8" s="91"/>
      <c r="CC8" s="295" t="str">
        <f t="shared" ref="CC8" si="4">BX8</f>
        <v>N-3</v>
      </c>
      <c r="CD8" s="296">
        <f t="shared" ref="CD8" si="5">BG8</f>
        <v>0</v>
      </c>
      <c r="CF8" s="242"/>
      <c r="CG8" s="297">
        <f ca="1">IF(AND(U9=$AM$2,U8=100%),1,0)</f>
        <v>0</v>
      </c>
      <c r="CH8" s="39">
        <f ca="1">IF(AND(U9=$AM$2,U8&gt;0%),1,0)</f>
        <v>0</v>
      </c>
      <c r="CI8" s="1608">
        <f>IF(V8&gt;=CU8,1,0)</f>
        <v>0</v>
      </c>
      <c r="CM8" s="304" t="s">
        <v>491</v>
      </c>
      <c r="CN8" s="39">
        <f ca="1">SUM(CH4:CH12)</f>
        <v>0</v>
      </c>
      <c r="CR8" s="262">
        <f>$L$45</f>
        <v>0</v>
      </c>
      <c r="CS8" s="297">
        <f ca="1">IF( OR(PLANS!$B$1=32,$DA$7=1,CR8=0),0,IF( AND( OR(U9&lt;&gt;$AM$2,AND(U9=$AM$2,U8&lt;&gt;100%)),PLANS!$L$3-INT(PLANS!$L$3)&gt;$DA$5/24 ),1,0))</f>
        <v>0</v>
      </c>
      <c r="CT8" s="1608">
        <f>IF(E8&lt;&gt;"",IF(U9&lt;&gt;$AM$2,IF((CU8-V8)&gt;PROGRESS!$CC$9,1,0),IF((CU8-V8)&gt;PROGRESS!$CC$10,1,0)),0)</f>
        <v>0</v>
      </c>
      <c r="CU8" s="415">
        <f>$W$45</f>
        <v>12</v>
      </c>
      <c r="CV8" s="435" t="s">
        <v>304</v>
      </c>
      <c r="DA8" s="415" t="s">
        <v>1293</v>
      </c>
      <c r="DD8" s="1608">
        <f>IF(AND(BG8=100%,BF8&lt;&gt;""),1,0)</f>
        <v>0</v>
      </c>
      <c r="DE8" s="297">
        <f>IF(AND(BG8=100%,BF8=""),1,0)</f>
        <v>0</v>
      </c>
      <c r="DF8" s="39">
        <f>IF(BG8&gt;0%,1,0)</f>
        <v>0</v>
      </c>
      <c r="DK8" s="304" t="s">
        <v>491</v>
      </c>
      <c r="DL8" s="39">
        <f>SUM(DF4:DF12)</f>
        <v>0</v>
      </c>
      <c r="DQ8" s="297">
        <f ca="1">IF(AND(BH8&lt;&gt;"",BG9&lt;&gt;"",BF8="",BG8&lt;&gt;100%,BG9&lt;PLANS!$B$1),1,0)</f>
        <v>0</v>
      </c>
      <c r="DS8" s="2216">
        <f>IF(BH8="",0, IF(AND(BF8="",BG8&lt;&gt;100%,BG9=$EC$37),1,0) )</f>
        <v>0</v>
      </c>
      <c r="DT8" s="2222" t="s">
        <v>1360</v>
      </c>
      <c r="DZ8" s="299"/>
      <c r="EB8" s="28"/>
      <c r="EC8" s="28"/>
      <c r="EE8" s="1632" t="s">
        <v>171</v>
      </c>
      <c r="EG8" s="1623"/>
      <c r="EH8" s="1552"/>
      <c r="EI8" s="1552"/>
      <c r="EJ8" s="1552"/>
      <c r="EK8" s="1552"/>
      <c r="EL8" s="35"/>
      <c r="EM8" s="35"/>
      <c r="EN8" s="35"/>
      <c r="EO8" s="1625"/>
      <c r="EP8" s="35"/>
      <c r="EQ8" s="312" t="s">
        <v>1148</v>
      </c>
      <c r="ER8" s="35"/>
      <c r="ES8" s="35"/>
      <c r="ET8" s="1624"/>
      <c r="EU8" s="28"/>
      <c r="EV8" s="28"/>
      <c r="EW8" s="28"/>
      <c r="EX8" s="28"/>
      <c r="EZ8" s="300"/>
      <c r="FN8" s="300"/>
      <c r="FT8" s="242"/>
      <c r="FU8" s="326"/>
      <c r="FV8" s="326"/>
      <c r="FW8" s="326"/>
      <c r="FX8" s="326"/>
      <c r="GB8" s="46"/>
      <c r="GE8" s="1176"/>
      <c r="GG8" s="299"/>
      <c r="GI8" s="435" t="s">
        <v>36</v>
      </c>
    </row>
    <row r="9" spans="1:197" ht="17.100000000000001" customHeight="1" thickTop="1" x14ac:dyDescent="0.2">
      <c r="A9" s="17"/>
      <c r="B9" s="3946"/>
      <c r="C9" s="3947"/>
      <c r="D9" s="3952"/>
      <c r="E9" s="3911"/>
      <c r="F9" s="3911"/>
      <c r="G9" s="3911"/>
      <c r="H9" s="3911"/>
      <c r="I9" s="3911"/>
      <c r="J9" s="3911"/>
      <c r="K9" s="3911"/>
      <c r="L9" s="3911"/>
      <c r="M9" s="3911"/>
      <c r="N9" s="3911"/>
      <c r="O9" s="3911"/>
      <c r="P9" s="3911"/>
      <c r="Q9" s="3911"/>
      <c r="R9" s="3911"/>
      <c r="S9" s="3911"/>
      <c r="T9" s="3912"/>
      <c r="U9" s="2096">
        <v>0</v>
      </c>
      <c r="V9" s="2232" t="str">
        <f>"/"&amp;CU8</f>
        <v>/12</v>
      </c>
      <c r="W9" s="1595"/>
      <c r="X9" s="17"/>
      <c r="Y9" s="1079"/>
      <c r="Z9" s="1076"/>
      <c r="AA9" s="3962" t="s">
        <v>692</v>
      </c>
      <c r="AB9" s="3962"/>
      <c r="AC9" s="3962"/>
      <c r="AD9" s="3962"/>
      <c r="AE9" s="3963">
        <f>$FN$10</f>
        <v>0</v>
      </c>
      <c r="AF9" s="3963"/>
      <c r="AG9" s="120"/>
      <c r="AH9" s="120"/>
      <c r="AI9" s="1078"/>
      <c r="AJ9" s="1076"/>
      <c r="AK9" s="2088"/>
      <c r="AL9" s="2094">
        <f>$CL$80</f>
        <v>0</v>
      </c>
      <c r="AM9" s="2094"/>
      <c r="AN9" s="2094"/>
      <c r="AO9" s="2094"/>
      <c r="AP9" s="2094"/>
      <c r="AQ9" s="2089"/>
      <c r="AR9" s="1076"/>
      <c r="AS9" s="1076"/>
      <c r="AT9" s="120"/>
      <c r="AU9" s="120"/>
      <c r="AV9" s="3953">
        <f>$FN$7</f>
        <v>0</v>
      </c>
      <c r="AW9" s="3953"/>
      <c r="AX9" s="3961" t="s">
        <v>692</v>
      </c>
      <c r="AY9" s="3961"/>
      <c r="AZ9" s="3961"/>
      <c r="BA9" s="3961"/>
      <c r="BB9" s="1076"/>
      <c r="BC9" s="1076"/>
      <c r="BD9" s="17"/>
      <c r="BE9" s="17"/>
      <c r="BF9" s="3986"/>
      <c r="BG9" s="282"/>
      <c r="BH9" s="3960"/>
      <c r="BI9" s="3960"/>
      <c r="BJ9" s="3960"/>
      <c r="BK9" s="3960"/>
      <c r="BL9" s="3960"/>
      <c r="BM9" s="3960"/>
      <c r="BN9" s="3960"/>
      <c r="BO9" s="3960"/>
      <c r="BP9" s="3960"/>
      <c r="BQ9" s="3960"/>
      <c r="BR9" s="3960"/>
      <c r="BS9" s="3960"/>
      <c r="BT9" s="3960"/>
      <c r="BU9" s="3960"/>
      <c r="BV9" s="3960"/>
      <c r="BW9" s="3960"/>
      <c r="BX9" s="4043"/>
      <c r="BY9" s="3946"/>
      <c r="BZ9" s="3947"/>
      <c r="CA9" s="91"/>
      <c r="CC9" s="301" t="str">
        <f t="shared" ref="CC9" si="6">D8</f>
        <v>D-3</v>
      </c>
      <c r="CD9" s="302">
        <f t="shared" ref="CD9" si="7">U8</f>
        <v>0</v>
      </c>
      <c r="CF9" s="242"/>
      <c r="CG9" s="46"/>
      <c r="CI9" s="379"/>
      <c r="CS9" s="46"/>
      <c r="CT9" s="379"/>
      <c r="CU9" s="415"/>
      <c r="CV9" s="435"/>
      <c r="DA9" s="2164" t="s">
        <v>1112</v>
      </c>
      <c r="DE9" s="46"/>
      <c r="DQ9" s="46"/>
      <c r="DT9" s="2221"/>
      <c r="DZ9" s="299"/>
      <c r="EB9" s="28"/>
      <c r="EC9" s="28"/>
      <c r="EG9" s="1623"/>
      <c r="EH9" s="1552"/>
      <c r="EI9" s="1552"/>
      <c r="EJ9" s="415" t="s">
        <v>462</v>
      </c>
      <c r="EK9" s="1552"/>
      <c r="EL9" s="306">
        <f ca="1">IF(DA7=1,0,IF(EL5-EL7&lt;0,0,EL5-EL7))</f>
        <v>0</v>
      </c>
      <c r="EM9" s="35"/>
      <c r="EN9" s="35"/>
      <c r="EO9" s="415"/>
      <c r="EP9" s="35"/>
      <c r="EQ9" s="1602" t="s">
        <v>1149</v>
      </c>
      <c r="ER9" s="306">
        <f>SUM($C$43:$C$47)-ER7</f>
        <v>0</v>
      </c>
      <c r="ES9" s="35"/>
      <c r="ET9" s="1624"/>
      <c r="EU9" s="28"/>
      <c r="EV9" s="28"/>
      <c r="EW9" s="28"/>
      <c r="EX9" s="28"/>
      <c r="EZ9" s="497" t="s">
        <v>1158</v>
      </c>
      <c r="FN9" s="497" t="s">
        <v>1162</v>
      </c>
      <c r="FT9" s="242"/>
      <c r="FU9" s="326"/>
      <c r="FV9" s="326"/>
      <c r="FW9" s="415" t="s">
        <v>462</v>
      </c>
      <c r="FX9" s="326"/>
      <c r="FY9" s="306">
        <f>FY5-FY7</f>
        <v>0</v>
      </c>
      <c r="GB9" s="297">
        <f>GB5-GB7</f>
        <v>0</v>
      </c>
      <c r="GE9" s="1558">
        <f>GE5-GE7</f>
        <v>0</v>
      </c>
      <c r="GG9" s="299"/>
      <c r="GI9" s="73"/>
      <c r="GN9" s="2563">
        <f>SUM(ER7,ER19,ER31)</f>
        <v>0</v>
      </c>
      <c r="GO9" s="2564" t="s">
        <v>2439</v>
      </c>
    </row>
    <row r="10" spans="1:197" ht="17.100000000000001" customHeight="1" x14ac:dyDescent="0.2">
      <c r="A10" s="17"/>
      <c r="B10" s="3946"/>
      <c r="C10" s="3947"/>
      <c r="D10" s="3951" t="s">
        <v>529</v>
      </c>
      <c r="E10" s="3908"/>
      <c r="F10" s="3908"/>
      <c r="G10" s="3908"/>
      <c r="H10" s="3908"/>
      <c r="I10" s="3908"/>
      <c r="J10" s="3908"/>
      <c r="K10" s="3908"/>
      <c r="L10" s="3908"/>
      <c r="M10" s="3908"/>
      <c r="N10" s="3908"/>
      <c r="O10" s="3908"/>
      <c r="P10" s="3908"/>
      <c r="Q10" s="3908"/>
      <c r="R10" s="3908"/>
      <c r="S10" s="3908"/>
      <c r="T10" s="3909"/>
      <c r="U10" s="280"/>
      <c r="V10" s="2231">
        <v>0</v>
      </c>
      <c r="W10" s="1596"/>
      <c r="X10" s="17"/>
      <c r="Y10" s="1079"/>
      <c r="Z10" s="1076"/>
      <c r="AA10" s="3962" t="s">
        <v>288</v>
      </c>
      <c r="AB10" s="3962"/>
      <c r="AC10" s="3962"/>
      <c r="AD10" s="3962"/>
      <c r="AE10" s="3963">
        <f>$FG$47</f>
        <v>0</v>
      </c>
      <c r="AF10" s="3963"/>
      <c r="AG10" s="120"/>
      <c r="AH10" s="120"/>
      <c r="AI10" s="1078"/>
      <c r="AJ10" s="1076"/>
      <c r="AK10" s="2088"/>
      <c r="AL10" s="3964" t="str">
        <f>IF( ISBLANK($AL$6),"",
IF($AM$2=$AL$9,
_xlfn.IFS(
$AN$11=100%,"COMPLETE",
$AN$11&gt;=75%,"FINISHING",
$AN$11&gt;=50%,"HALFWAY",
$AN$11&gt;=25%,"MOVING",
$AN$11&gt;=1%,"BEGUN",
$AN$11=0%,"READY",
TRUE,""),
IF($AN$11=100%,
_xlfn.IFS(
$AL$9&lt;=($AM$2-10),"PREVIOUSLY",
$AL$9&lt;=($AM$2-7),"A WEEK AGO",
$AL$9=($AM$2-6),"SIX DAYS AGO",
$AL$9=($AM$2-5),"FIVE DAYS AGO",
$AL$9=($AM$2-4),"FOUR DAYS AGO",
$AL$9=($AM$2-3),"THREE DAYS AGO",
$AL$9=($AM$2-2),"TWO DAYS AGO",
$AL$9=($AM$2-1),"YESTERDAY",
TRUE,""),
"INCOMPLETE")
)
)</f>
        <v/>
      </c>
      <c r="AM10" s="3964"/>
      <c r="AN10" s="3964"/>
      <c r="AO10" s="3964"/>
      <c r="AP10" s="3964"/>
      <c r="AQ10" s="2089"/>
      <c r="AR10" s="1076"/>
      <c r="AS10" s="1076"/>
      <c r="AT10" s="120"/>
      <c r="AU10" s="120"/>
      <c r="AV10" s="3953">
        <f>FG44</f>
        <v>0</v>
      </c>
      <c r="AW10" s="3953"/>
      <c r="AX10" s="3961" t="s">
        <v>288</v>
      </c>
      <c r="AY10" s="3961"/>
      <c r="AZ10" s="3961"/>
      <c r="BA10" s="3961"/>
      <c r="BB10" s="1076"/>
      <c r="BC10" s="1076"/>
      <c r="BD10" s="17"/>
      <c r="BE10" s="17"/>
      <c r="BF10" s="3986"/>
      <c r="BG10" s="283"/>
      <c r="BH10" s="3960"/>
      <c r="BI10" s="3960"/>
      <c r="BJ10" s="3960"/>
      <c r="BK10" s="3960"/>
      <c r="BL10" s="3960"/>
      <c r="BM10" s="3960"/>
      <c r="BN10" s="3960"/>
      <c r="BO10" s="3960"/>
      <c r="BP10" s="3960"/>
      <c r="BQ10" s="3960"/>
      <c r="BR10" s="3960"/>
      <c r="BS10" s="3960"/>
      <c r="BT10" s="3960"/>
      <c r="BU10" s="3960"/>
      <c r="BV10" s="3960"/>
      <c r="BW10" s="3960"/>
      <c r="BX10" s="4037" t="s">
        <v>730</v>
      </c>
      <c r="BY10" s="3946"/>
      <c r="BZ10" s="3947"/>
      <c r="CA10" s="91"/>
      <c r="CC10" s="295" t="str">
        <f t="shared" ref="CC10" si="8">BX10</f>
        <v>N-4</v>
      </c>
      <c r="CD10" s="296">
        <f t="shared" ref="CD10" si="9">BG10</f>
        <v>0</v>
      </c>
      <c r="CF10" s="242"/>
      <c r="CG10" s="297">
        <f ca="1">IF(AND(U11=$AM$2,U10=100%),1,0)</f>
        <v>0</v>
      </c>
      <c r="CH10" s="39">
        <f ca="1">IF(AND(U11=$AM$2,U10&gt;0%),1,0)</f>
        <v>0</v>
      </c>
      <c r="CI10" s="1608">
        <f>IF(V10&gt;=CU10,1,0)</f>
        <v>0</v>
      </c>
      <c r="CM10" s="298"/>
      <c r="CN10" s="39" t="s">
        <v>775</v>
      </c>
      <c r="CR10" s="262">
        <f>$L$46</f>
        <v>0</v>
      </c>
      <c r="CS10" s="297">
        <f ca="1">IF( OR(PLANS!$B$1=32,$DA$7=1,CR10=0),0,IF( AND( OR(U11&lt;&gt;$AM$2,AND(U11=$AM$2,U10&lt;&gt;100%)),PLANS!$L$3-INT(PLANS!$L$3)&gt;$DA$5/24 ),1,0))</f>
        <v>0</v>
      </c>
      <c r="CT10" s="1608">
        <f>IF(E10&lt;&gt;"",IF(U11&lt;&gt;$AM$2,IF((CU10-V10)&gt;PROGRESS!$CC$9,1,0),IF((CU10-V10)&gt;PROGRESS!$CC$10,1,0)),0)</f>
        <v>0</v>
      </c>
      <c r="CU10" s="415">
        <f>$W$46</f>
        <v>28</v>
      </c>
      <c r="CV10" s="435" t="s">
        <v>304</v>
      </c>
      <c r="DA10" s="1557" t="s">
        <v>1113</v>
      </c>
      <c r="DD10" s="1608">
        <f>IF(AND(BG10=100%,BF10&lt;&gt;""),1,0)</f>
        <v>0</v>
      </c>
      <c r="DE10" s="297">
        <f>IF(AND(BG10=100%,BF10=""),1,0)</f>
        <v>0</v>
      </c>
      <c r="DF10" s="39">
        <f>IF(BG10&gt;0%,1,0)</f>
        <v>0</v>
      </c>
      <c r="DQ10" s="297">
        <f ca="1">IF(AND(BH10&lt;&gt;"",BG11&lt;&gt;"",BF10="",BG10&lt;&gt;100%,BG11&lt;PLANS!$B$1),1,0)</f>
        <v>0</v>
      </c>
      <c r="DS10" s="2216">
        <f>IF(BH10="",0, IF(AND(BF10="",BG10&lt;&gt;100%,BG11=$EC$37),1,0) )</f>
        <v>0</v>
      </c>
      <c r="DZ10" s="299"/>
      <c r="EB10" s="28"/>
      <c r="EC10" s="28"/>
      <c r="EG10" s="1623"/>
      <c r="EH10" s="1552"/>
      <c r="EI10" s="1552"/>
      <c r="EJ10" s="1552"/>
      <c r="EK10" s="1552"/>
      <c r="EL10" s="35"/>
      <c r="EM10" s="35"/>
      <c r="EN10" s="35"/>
      <c r="EO10" s="1625"/>
      <c r="EP10" s="415"/>
      <c r="EQ10" s="312"/>
      <c r="ER10" s="35"/>
      <c r="ES10" s="35"/>
      <c r="ET10" s="1624"/>
      <c r="EU10" s="28"/>
      <c r="EV10" s="28"/>
      <c r="EW10" s="28"/>
      <c r="EX10" s="28"/>
      <c r="EZ10" s="306">
        <f>SUM(ER9,ER21,EL33)</f>
        <v>0</v>
      </c>
      <c r="FN10" s="306">
        <f>SUM(FY9,FY21,FY33)</f>
        <v>0</v>
      </c>
      <c r="FT10" s="242"/>
      <c r="FU10" s="326"/>
      <c r="FV10" s="326"/>
      <c r="FW10" s="326"/>
      <c r="FX10" s="326"/>
      <c r="GB10" s="46"/>
      <c r="GE10" s="1176"/>
      <c r="GG10" s="299"/>
      <c r="GI10" s="73"/>
    </row>
    <row r="11" spans="1:197" ht="17.100000000000001" customHeight="1" thickBot="1" x14ac:dyDescent="0.25">
      <c r="A11" s="17"/>
      <c r="B11" s="3946"/>
      <c r="C11" s="3947"/>
      <c r="D11" s="3952"/>
      <c r="E11" s="3911"/>
      <c r="F11" s="3911"/>
      <c r="G11" s="3911"/>
      <c r="H11" s="3911"/>
      <c r="I11" s="3911"/>
      <c r="J11" s="3911"/>
      <c r="K11" s="3911"/>
      <c r="L11" s="3911"/>
      <c r="M11" s="3911"/>
      <c r="N11" s="3911"/>
      <c r="O11" s="3911"/>
      <c r="P11" s="3911"/>
      <c r="Q11" s="3911"/>
      <c r="R11" s="3911"/>
      <c r="S11" s="3911"/>
      <c r="T11" s="3912"/>
      <c r="U11" s="2096">
        <v>45414</v>
      </c>
      <c r="V11" s="2232" t="str">
        <f>"/"&amp;CU10</f>
        <v>/28</v>
      </c>
      <c r="W11" s="1597"/>
      <c r="X11" s="17"/>
      <c r="Y11" s="1079"/>
      <c r="Z11" s="1076"/>
      <c r="AA11" s="1076"/>
      <c r="AB11" s="1076"/>
      <c r="AC11" s="1086"/>
      <c r="AD11" s="1076"/>
      <c r="AE11" s="1076"/>
      <c r="AF11" s="1076"/>
      <c r="AG11" s="1078"/>
      <c r="AH11" s="1078"/>
      <c r="AI11" s="1078"/>
      <c r="AJ11" s="1076"/>
      <c r="AK11" s="2090"/>
      <c r="AL11" s="2091"/>
      <c r="AM11" s="2091"/>
      <c r="AN11" s="2092" t="str">
        <f>IF(ISBLANK($AL$6),"",VLOOKUP($AL$6,$CC$4:$CD$62,2,FALSE))</f>
        <v/>
      </c>
      <c r="AO11" s="2091"/>
      <c r="AP11" s="2091"/>
      <c r="AQ11" s="2093"/>
      <c r="AR11" s="1076"/>
      <c r="AS11" s="1076"/>
      <c r="AT11" s="3985"/>
      <c r="AU11" s="3985"/>
      <c r="AV11" s="1087"/>
      <c r="AW11" s="1076"/>
      <c r="AX11" s="1076"/>
      <c r="AY11" s="1076"/>
      <c r="AZ11" s="1076"/>
      <c r="BA11" s="1076"/>
      <c r="BB11" s="1076"/>
      <c r="BC11" s="1076"/>
      <c r="BD11" s="17"/>
      <c r="BE11" s="17"/>
      <c r="BF11" s="3986"/>
      <c r="BG11" s="282"/>
      <c r="BH11" s="3960"/>
      <c r="BI11" s="3960"/>
      <c r="BJ11" s="3960"/>
      <c r="BK11" s="3960"/>
      <c r="BL11" s="3960"/>
      <c r="BM11" s="3960"/>
      <c r="BN11" s="3960"/>
      <c r="BO11" s="3960"/>
      <c r="BP11" s="3960"/>
      <c r="BQ11" s="3960"/>
      <c r="BR11" s="3960"/>
      <c r="BS11" s="3960"/>
      <c r="BT11" s="3960"/>
      <c r="BU11" s="3960"/>
      <c r="BV11" s="3960"/>
      <c r="BW11" s="3960"/>
      <c r="BX11" s="4043"/>
      <c r="BY11" s="3946"/>
      <c r="BZ11" s="3947"/>
      <c r="CA11" s="91"/>
      <c r="CC11" s="301" t="str">
        <f t="shared" ref="CC11" si="10">D10</f>
        <v>D-4</v>
      </c>
      <c r="CD11" s="302">
        <f t="shared" ref="CD11" si="11">U10</f>
        <v>0</v>
      </c>
      <c r="CF11" s="242"/>
      <c r="CG11" s="46"/>
      <c r="CI11" s="379"/>
      <c r="CN11" s="1608">
        <f>SUM(CI4:CI12)</f>
        <v>0</v>
      </c>
      <c r="CS11" s="46"/>
      <c r="CT11" s="379"/>
      <c r="CU11" s="415"/>
      <c r="CV11" s="435"/>
      <c r="CY11" s="304" t="s">
        <v>439</v>
      </c>
      <c r="CZ11" s="1608">
        <f>SUM(CT4:CT12)</f>
        <v>0</v>
      </c>
      <c r="DE11" s="46"/>
      <c r="DQ11" s="46"/>
      <c r="DY11" s="2220" t="s">
        <v>1359</v>
      </c>
      <c r="DZ11" s="299"/>
      <c r="EB11" s="28"/>
      <c r="EC11" s="28"/>
      <c r="EG11" s="1623"/>
      <c r="EH11" s="1552"/>
      <c r="EI11" s="1552"/>
      <c r="EJ11" s="415" t="s">
        <v>847</v>
      </c>
      <c r="EK11" s="1552"/>
      <c r="EL11" s="306">
        <f>CZ11</f>
        <v>0</v>
      </c>
      <c r="EM11" s="35"/>
      <c r="EN11" s="35"/>
      <c r="EO11" s="35"/>
      <c r="EP11" s="35"/>
      <c r="EQ11" s="304" t="s">
        <v>493</v>
      </c>
      <c r="ER11" s="1631">
        <f ca="1">$CN$8</f>
        <v>0</v>
      </c>
      <c r="ES11" s="35"/>
      <c r="ET11" s="1624"/>
      <c r="EU11" s="28"/>
      <c r="EV11" s="28"/>
      <c r="EW11" s="28"/>
      <c r="EX11" s="28"/>
      <c r="FT11" s="242"/>
      <c r="FU11" s="326"/>
      <c r="FV11" s="326"/>
      <c r="FW11" s="415" t="s">
        <v>469</v>
      </c>
      <c r="FX11" s="326"/>
      <c r="FY11" s="306">
        <f ca="1">DX6</f>
        <v>0</v>
      </c>
      <c r="GG11" s="299"/>
      <c r="GI11" s="73"/>
    </row>
    <row r="12" spans="1:197" ht="17.100000000000001" customHeight="1" x14ac:dyDescent="0.2">
      <c r="A12" s="17"/>
      <c r="B12" s="3946"/>
      <c r="C12" s="3947"/>
      <c r="D12" s="3951" t="s">
        <v>530</v>
      </c>
      <c r="E12" s="3908"/>
      <c r="F12" s="3908"/>
      <c r="G12" s="3908"/>
      <c r="H12" s="3908"/>
      <c r="I12" s="3908"/>
      <c r="J12" s="3908"/>
      <c r="K12" s="3908"/>
      <c r="L12" s="3908"/>
      <c r="M12" s="3908"/>
      <c r="N12" s="3908"/>
      <c r="O12" s="3908"/>
      <c r="P12" s="3908"/>
      <c r="Q12" s="3908"/>
      <c r="R12" s="3908"/>
      <c r="S12" s="3908"/>
      <c r="T12" s="3909"/>
      <c r="U12" s="280"/>
      <c r="V12" s="2231">
        <v>0</v>
      </c>
      <c r="W12" s="1596"/>
      <c r="X12" s="17"/>
      <c r="Y12" s="17"/>
      <c r="Z12" s="17"/>
      <c r="AA12" s="3355"/>
      <c r="AB12" s="3357"/>
      <c r="AC12" s="3362"/>
      <c r="AD12" s="3362"/>
      <c r="AE12" s="3362"/>
      <c r="AF12" s="3362"/>
      <c r="AG12" s="3362"/>
      <c r="AH12" s="3362"/>
      <c r="AI12" s="3362"/>
      <c r="AJ12" s="17"/>
      <c r="AK12" s="4045" t="str" cm="1">
        <f t="array" ref="AK12">IFERROR(
_xlfn.IFS(
PLANS!$W$34&gt;=30,PLANS!$W$4&amp;"-"&amp;PLANS!$BY$4&amp;"  "&amp;PLANS!$W$10&amp;"-"&amp;PLANS!$BY$10&amp;"  "&amp;PLANS!$W$16&amp;"-"&amp;PLANS!$BY$16&amp;"  "&amp;PLANS!$W$22&amp;"-"&amp;PLANS!$BY$22&amp;"  "&amp;PLANS!$W$28&amp;"-"&amp;PLANS!$BY$28&amp;"  "&amp;PLANS!$W$34&amp;"- "&amp;PLANS!$BY$34,
PLANS!$W$28&gt;=23,PLANS!$W$4&amp;"-"&amp;PLANS!$BY$4&amp;"    "&amp;PLANS!$W$10&amp;"-"&amp;PLANS!$BY$10&amp;"    "&amp;PLANS!$W$16&amp;"-"&amp;PLANS!$BY$16&amp;"    "&amp;PLANS!$W$22&amp;"-"&amp;PLANS!$BY$22&amp;"    "&amp;PLANS!$W$28&amp;"-"&amp;PLANS!$BY$28,
TRUE,PLANS!$W$4&amp;"-"&amp;PLANS!$BY$4&amp;"        "&amp;PLANS!$W$10&amp;"-"&amp;PLANS!$BY$10&amp;"       "&amp;PLANS!$W$16&amp;"-"&amp;PLANS!$BY$16&amp;"        "&amp;PLANS!$W$22&amp;"-"&amp;PLANS!$BY$22),
"")</f>
        <v/>
      </c>
      <c r="AL12" s="4045"/>
      <c r="AM12" s="4045"/>
      <c r="AN12" s="4045"/>
      <c r="AO12" s="4045"/>
      <c r="AP12" s="4045"/>
      <c r="AQ12" s="4045"/>
      <c r="AR12" s="1088"/>
      <c r="AS12" s="17"/>
      <c r="AT12" s="3361"/>
      <c r="AU12" s="3361"/>
      <c r="AV12" s="3361"/>
      <c r="AW12" s="3361"/>
      <c r="AX12" s="3361"/>
      <c r="AY12" s="3361"/>
      <c r="AZ12" s="3361"/>
      <c r="BA12" s="310"/>
      <c r="BB12" s="17"/>
      <c r="BC12" s="17"/>
      <c r="BD12" s="17"/>
      <c r="BE12" s="17"/>
      <c r="BF12" s="3986"/>
      <c r="BG12" s="283"/>
      <c r="BH12" s="3960"/>
      <c r="BI12" s="3960"/>
      <c r="BJ12" s="3960"/>
      <c r="BK12" s="3960"/>
      <c r="BL12" s="3960"/>
      <c r="BM12" s="3960"/>
      <c r="BN12" s="3960"/>
      <c r="BO12" s="3960"/>
      <c r="BP12" s="3960"/>
      <c r="BQ12" s="3960"/>
      <c r="BR12" s="3960"/>
      <c r="BS12" s="3960"/>
      <c r="BT12" s="3960"/>
      <c r="BU12" s="3960"/>
      <c r="BV12" s="3960"/>
      <c r="BW12" s="3960"/>
      <c r="BX12" s="4037" t="s">
        <v>731</v>
      </c>
      <c r="BY12" s="3946"/>
      <c r="BZ12" s="3947"/>
      <c r="CA12" s="91"/>
      <c r="CC12" s="295" t="str">
        <f t="shared" ref="CC12" si="12">BX12</f>
        <v>N-5</v>
      </c>
      <c r="CD12" s="296">
        <f t="shared" ref="CD12" si="13">BG12</f>
        <v>0</v>
      </c>
      <c r="CF12" s="242"/>
      <c r="CG12" s="297">
        <f ca="1">IF(AND(U13=$AM$2,U12=100%),1,0)</f>
        <v>0</v>
      </c>
      <c r="CH12" s="39">
        <f ca="1">IF(AND(U13=$AM$2,U12&gt;0%),1,0)</f>
        <v>0</v>
      </c>
      <c r="CI12" s="1608">
        <f>IF(V12&gt;=CU12,1,0)</f>
        <v>0</v>
      </c>
      <c r="CR12" s="262">
        <f>$L$47</f>
        <v>0</v>
      </c>
      <c r="CS12" s="297">
        <f ca="1">IF( OR(PLANS!$B$1=32,$DA$7=1,CR12=0),0,IF( AND( OR(U13&lt;&gt;$AM$2,AND(U13=$AM$2,U12&lt;&gt;100%)),PLANS!$L$3-INT(PLANS!$L$3)&gt;$DA$5/24 ),1,0))</f>
        <v>0</v>
      </c>
      <c r="CT12" s="1608">
        <f>IF(E12&lt;&gt;"",IF(U13&lt;&gt;$AM$2,IF((CU12-V12)&gt;PROGRESS!$CC$9,1,0),IF((CU12-V12)&gt;PROGRESS!$CC$10,1,0)),0)</f>
        <v>0</v>
      </c>
      <c r="CU12" s="415">
        <f>$W$47</f>
        <v>28</v>
      </c>
      <c r="CV12" s="435" t="s">
        <v>304</v>
      </c>
      <c r="DD12" s="1608">
        <f>IF(AND(BG12=100%,BF12&lt;&gt;""),1,0)</f>
        <v>0</v>
      </c>
      <c r="DE12" s="297">
        <f>IF(AND(BG12=100%,BF12=""),1,0)</f>
        <v>0</v>
      </c>
      <c r="DF12" s="39">
        <f>IF(BG12&gt;0%,1,0)</f>
        <v>0</v>
      </c>
      <c r="DQ12" s="297">
        <f ca="1">IF(AND(BH12&lt;&gt;"",BG13&lt;&gt;"",BF12="",BG12&lt;&gt;100%,BG13&lt;PLANS!$B$1),1,0)</f>
        <v>0</v>
      </c>
      <c r="DS12" s="2216">
        <f>IF(BH12="",0, IF(AND(BF12="",BG12&lt;&gt;100%,BG13=$EC$37),1,0) )</f>
        <v>0</v>
      </c>
      <c r="DX12" s="2216">
        <f>SUM(DS4:DS12)</f>
        <v>0</v>
      </c>
      <c r="DZ12" s="299"/>
      <c r="EB12" s="28"/>
      <c r="EC12" s="28"/>
      <c r="EG12" s="1626"/>
      <c r="EH12" s="1627"/>
      <c r="EI12" s="1627"/>
      <c r="EJ12" s="1627"/>
      <c r="EK12" s="1627"/>
      <c r="EL12" s="1627"/>
      <c r="EM12" s="1627"/>
      <c r="EN12" s="1627"/>
      <c r="EO12" s="1627"/>
      <c r="EP12" s="1627"/>
      <c r="EQ12" s="1627"/>
      <c r="ER12" s="1627"/>
      <c r="ES12" s="1627"/>
      <c r="ET12" s="1628"/>
      <c r="EU12" s="28"/>
      <c r="EV12" s="28"/>
      <c r="EW12" s="28"/>
      <c r="EX12" s="28"/>
      <c r="EZ12" s="497" t="s">
        <v>1159</v>
      </c>
      <c r="FN12" s="497" t="s">
        <v>1163</v>
      </c>
      <c r="FT12" s="251"/>
      <c r="FU12" s="252"/>
      <c r="FV12" s="252"/>
      <c r="FW12" s="252"/>
      <c r="FX12" s="252"/>
      <c r="FY12" s="252"/>
      <c r="FZ12" s="252"/>
      <c r="GA12" s="252"/>
      <c r="GB12" s="252"/>
      <c r="GC12" s="252"/>
      <c r="GD12" s="252"/>
      <c r="GE12" s="252"/>
      <c r="GF12" s="252"/>
      <c r="GG12" s="253"/>
      <c r="GI12" s="73"/>
      <c r="GN12" s="2560" t="s">
        <v>1649</v>
      </c>
    </row>
    <row r="13" spans="1:197" ht="17.100000000000001" customHeight="1" thickBot="1" x14ac:dyDescent="0.2">
      <c r="A13" s="17"/>
      <c r="B13" s="3949"/>
      <c r="C13" s="3950"/>
      <c r="D13" s="4039"/>
      <c r="E13" s="3993"/>
      <c r="F13" s="3993"/>
      <c r="G13" s="3993"/>
      <c r="H13" s="3993"/>
      <c r="I13" s="3993"/>
      <c r="J13" s="3993"/>
      <c r="K13" s="3993"/>
      <c r="L13" s="3993"/>
      <c r="M13" s="3993"/>
      <c r="N13" s="3993"/>
      <c r="O13" s="3993"/>
      <c r="P13" s="3993"/>
      <c r="Q13" s="3993"/>
      <c r="R13" s="3993"/>
      <c r="S13" s="3993"/>
      <c r="T13" s="3994"/>
      <c r="U13" s="2097">
        <v>45414</v>
      </c>
      <c r="V13" s="2232" t="str">
        <f>"/"&amp;CU12</f>
        <v>/28</v>
      </c>
      <c r="W13" s="1597"/>
      <c r="X13" s="17"/>
      <c r="Y13" s="17"/>
      <c r="Z13" s="17"/>
      <c r="AA13" s="17"/>
      <c r="AB13" s="17"/>
      <c r="AC13" s="17"/>
      <c r="AD13" s="17"/>
      <c r="AE13" s="17"/>
      <c r="AF13" s="17"/>
      <c r="AG13" s="17"/>
      <c r="AH13" s="17"/>
      <c r="AI13" s="17"/>
      <c r="AJ13" s="17"/>
      <c r="AK13" s="3358"/>
      <c r="AL13" s="3353"/>
      <c r="AM13" s="3359"/>
      <c r="AN13" s="3356"/>
      <c r="AO13" s="3360"/>
      <c r="AP13" s="3353"/>
      <c r="AQ13" s="3359"/>
      <c r="AR13" s="17"/>
      <c r="AS13" s="17"/>
      <c r="AT13" s="17"/>
      <c r="AU13" s="17"/>
      <c r="AV13" s="310"/>
      <c r="AW13" s="310"/>
      <c r="AX13" s="310"/>
      <c r="AY13" s="310"/>
      <c r="AZ13" s="310"/>
      <c r="BA13" s="310"/>
      <c r="BB13" s="17"/>
      <c r="BC13" s="17"/>
      <c r="BD13" s="17"/>
      <c r="BE13" s="17"/>
      <c r="BF13" s="3986"/>
      <c r="BG13" s="282"/>
      <c r="BH13" s="4126"/>
      <c r="BI13" s="4126"/>
      <c r="BJ13" s="4126"/>
      <c r="BK13" s="4126"/>
      <c r="BL13" s="4126"/>
      <c r="BM13" s="4126"/>
      <c r="BN13" s="4126"/>
      <c r="BO13" s="4126"/>
      <c r="BP13" s="4126"/>
      <c r="BQ13" s="4126"/>
      <c r="BR13" s="4126"/>
      <c r="BS13" s="4126"/>
      <c r="BT13" s="4126"/>
      <c r="BU13" s="4126"/>
      <c r="BV13" s="4126"/>
      <c r="BW13" s="4126"/>
      <c r="BX13" s="4091"/>
      <c r="BY13" s="4098"/>
      <c r="BZ13" s="4099"/>
      <c r="CA13" s="91"/>
      <c r="CC13" s="301" t="str">
        <f t="shared" ref="CC13" si="14">D12</f>
        <v>D-5</v>
      </c>
      <c r="CD13" s="302">
        <f t="shared" ref="CD13" si="15">U12</f>
        <v>0</v>
      </c>
      <c r="CF13" s="1611" t="s">
        <v>1142</v>
      </c>
      <c r="CG13" s="39" t="s">
        <v>1142</v>
      </c>
      <c r="CH13" s="39" t="s">
        <v>1142</v>
      </c>
      <c r="CI13" s="39" t="s">
        <v>1142</v>
      </c>
      <c r="CJ13" s="39" t="s">
        <v>1142</v>
      </c>
      <c r="CK13" s="39" t="s">
        <v>1142</v>
      </c>
      <c r="CL13" s="39" t="s">
        <v>1142</v>
      </c>
      <c r="CM13" s="39" t="s">
        <v>1142</v>
      </c>
      <c r="CN13" s="39" t="s">
        <v>1142</v>
      </c>
      <c r="CO13" s="39" t="s">
        <v>1142</v>
      </c>
      <c r="CP13" s="39" t="s">
        <v>1142</v>
      </c>
      <c r="CQ13" s="39" t="s">
        <v>1142</v>
      </c>
      <c r="CR13" s="39" t="s">
        <v>1142</v>
      </c>
      <c r="CS13" s="39" t="s">
        <v>1142</v>
      </c>
      <c r="CT13" s="39" t="s">
        <v>1142</v>
      </c>
      <c r="CU13" s="39" t="s">
        <v>1142</v>
      </c>
      <c r="CV13" s="39" t="s">
        <v>1142</v>
      </c>
      <c r="CW13" s="39" t="s">
        <v>1142</v>
      </c>
      <c r="CX13" s="39" t="s">
        <v>1142</v>
      </c>
      <c r="CY13" s="39" t="s">
        <v>1142</v>
      </c>
      <c r="CZ13" s="39" t="s">
        <v>1142</v>
      </c>
      <c r="DA13" s="39" t="s">
        <v>1142</v>
      </c>
      <c r="DB13" s="39" t="s">
        <v>1142</v>
      </c>
      <c r="DC13" s="39" t="s">
        <v>1142</v>
      </c>
      <c r="DD13" s="39" t="s">
        <v>1142</v>
      </c>
      <c r="DE13" s="39" t="s">
        <v>1142</v>
      </c>
      <c r="DF13" s="39" t="s">
        <v>1142</v>
      </c>
      <c r="DG13" s="39" t="s">
        <v>1142</v>
      </c>
      <c r="DH13" s="39" t="s">
        <v>1142</v>
      </c>
      <c r="DI13" s="39" t="s">
        <v>1142</v>
      </c>
      <c r="DJ13" s="39" t="s">
        <v>1142</v>
      </c>
      <c r="DK13" s="39" t="s">
        <v>1142</v>
      </c>
      <c r="DL13" s="39" t="s">
        <v>1142</v>
      </c>
      <c r="DM13" s="39" t="s">
        <v>1142</v>
      </c>
      <c r="DN13" s="39" t="s">
        <v>1142</v>
      </c>
      <c r="DO13" s="39" t="s">
        <v>1142</v>
      </c>
      <c r="DP13" s="39" t="s">
        <v>1142</v>
      </c>
      <c r="DQ13" s="39" t="s">
        <v>1142</v>
      </c>
      <c r="DR13" s="39" t="s">
        <v>1142</v>
      </c>
      <c r="DS13" s="39" t="s">
        <v>1142</v>
      </c>
      <c r="DT13" s="39" t="s">
        <v>1142</v>
      </c>
      <c r="DU13" s="39" t="s">
        <v>1142</v>
      </c>
      <c r="DV13" s="39" t="s">
        <v>1142</v>
      </c>
      <c r="DW13" s="39" t="s">
        <v>1142</v>
      </c>
      <c r="DX13" s="39" t="s">
        <v>1142</v>
      </c>
      <c r="DY13" s="39" t="s">
        <v>1142</v>
      </c>
      <c r="DZ13" s="1612" t="s">
        <v>1142</v>
      </c>
      <c r="EB13" s="28"/>
      <c r="EC13" s="28"/>
      <c r="EG13" s="35"/>
      <c r="EH13" s="35"/>
      <c r="EI13" s="35"/>
      <c r="EJ13" s="35"/>
      <c r="EK13" s="35"/>
      <c r="EL13" s="35"/>
      <c r="EM13" s="35"/>
      <c r="EN13" s="35"/>
      <c r="EO13" s="35"/>
      <c r="EP13" s="35"/>
      <c r="EQ13" s="35"/>
      <c r="ER13" s="35"/>
      <c r="ES13" s="35"/>
      <c r="ET13" s="35"/>
      <c r="EU13" s="28"/>
      <c r="EV13" s="28"/>
      <c r="EW13" s="28"/>
      <c r="EX13" s="28"/>
      <c r="EZ13" s="306">
        <f ca="1">SUM(EL11,EL23,EL35)</f>
        <v>0</v>
      </c>
      <c r="FN13" s="306">
        <f ca="1">SUM(FY11,FY23,FY35)</f>
        <v>0</v>
      </c>
      <c r="GI13" s="73"/>
    </row>
    <row r="14" spans="1:197" ht="17.100000000000001" customHeight="1" x14ac:dyDescent="0.2">
      <c r="A14" s="47"/>
      <c r="B14" s="3944" t="s">
        <v>456</v>
      </c>
      <c r="C14" s="3945"/>
      <c r="D14" s="3973" t="s">
        <v>531</v>
      </c>
      <c r="E14" s="3988"/>
      <c r="F14" s="3988"/>
      <c r="G14" s="3988"/>
      <c r="H14" s="3988"/>
      <c r="I14" s="3988"/>
      <c r="J14" s="3988"/>
      <c r="K14" s="3988"/>
      <c r="L14" s="3988"/>
      <c r="M14" s="3988"/>
      <c r="N14" s="3988"/>
      <c r="O14" s="3988"/>
      <c r="P14" s="3988"/>
      <c r="Q14" s="3988"/>
      <c r="R14" s="3988"/>
      <c r="S14" s="3988"/>
      <c r="T14" s="3989"/>
      <c r="U14" s="284"/>
      <c r="V14" s="2231">
        <v>0</v>
      </c>
      <c r="W14" s="1597"/>
      <c r="X14" s="1171"/>
      <c r="Y14" s="4056"/>
      <c r="Z14" s="4057"/>
      <c r="AA14" s="4041" t="str">
        <f>MID(Y14,1,2)&amp;"1"</f>
        <v>1</v>
      </c>
      <c r="AB14" s="3988"/>
      <c r="AC14" s="3988"/>
      <c r="AD14" s="3988"/>
      <c r="AE14" s="3988"/>
      <c r="AF14" s="3988"/>
      <c r="AG14" s="3988"/>
      <c r="AH14" s="3988"/>
      <c r="AI14" s="3988"/>
      <c r="AJ14" s="3988"/>
      <c r="AK14" s="3989"/>
      <c r="AL14" s="284"/>
      <c r="AM14" s="3987"/>
      <c r="AN14" s="3363"/>
      <c r="AO14" s="3986"/>
      <c r="AP14" s="281"/>
      <c r="AQ14" s="4062"/>
      <c r="AR14" s="4062"/>
      <c r="AS14" s="4062"/>
      <c r="AT14" s="4062"/>
      <c r="AU14" s="4062"/>
      <c r="AV14" s="4062"/>
      <c r="AW14" s="4062"/>
      <c r="AX14" s="4062"/>
      <c r="AY14" s="4062"/>
      <c r="AZ14" s="4062"/>
      <c r="BA14" s="4042" t="str" cm="1">
        <f t="array" ref="BA14">_xlfn.IFS(
BD14=0,MID(BB14,1,2)&amp;"1",
BD14=1,MID(BB14,1,2)&amp;"5",
BD14=2,MID(BB14,1,2)&amp;"9",
BD14=3,MID(BB14,1,2)&amp;"
13",
BD14=4,MID(BB14,1,2)&amp;"
17",
BD14=5,MID(BB14,1,2)&amp;"
21",
TRUE,"")</f>
        <v>1</v>
      </c>
      <c r="BB14" s="4056"/>
      <c r="BC14" s="4057"/>
      <c r="BD14" s="311">
        <f>COUNTIF($Y$14:$Z$37,BB14)</f>
        <v>0</v>
      </c>
      <c r="BE14" s="1171"/>
      <c r="BF14" s="3986"/>
      <c r="BG14" s="281"/>
      <c r="BH14" s="4062"/>
      <c r="BI14" s="4062"/>
      <c r="BJ14" s="4062"/>
      <c r="BK14" s="4062"/>
      <c r="BL14" s="4062"/>
      <c r="BM14" s="4062"/>
      <c r="BN14" s="4062"/>
      <c r="BO14" s="4062"/>
      <c r="BP14" s="4062"/>
      <c r="BQ14" s="4062"/>
      <c r="BR14" s="4062"/>
      <c r="BS14" s="4062"/>
      <c r="BT14" s="4062"/>
      <c r="BU14" s="4062"/>
      <c r="BV14" s="4062"/>
      <c r="BW14" s="4062"/>
      <c r="BX14" s="4069" t="s">
        <v>733</v>
      </c>
      <c r="BY14" s="3944" t="s">
        <v>732</v>
      </c>
      <c r="BZ14" s="3945"/>
      <c r="CA14" s="91"/>
      <c r="CC14" s="295" t="str">
        <f t="shared" ref="CC14" si="16">BX14</f>
        <v>S-1</v>
      </c>
      <c r="CD14" s="296">
        <f t="shared" ref="CD14" si="17">BG14</f>
        <v>0</v>
      </c>
      <c r="CF14" s="242"/>
      <c r="CG14" s="297">
        <f ca="1">IF(AND(U15=$AP$2,U14=100%),1,0)</f>
        <v>0</v>
      </c>
      <c r="CH14" s="39">
        <f ca="1">IF(AND(U15=$AP$2,U14&gt;0%),1,0)</f>
        <v>0</v>
      </c>
      <c r="CI14" s="1608">
        <f>IF(V14&gt;=$CY$21,1,0)</f>
        <v>0</v>
      </c>
      <c r="CO14" s="298" t="s">
        <v>458</v>
      </c>
      <c r="CS14" s="297">
        <f ca="1">IF(OR(PLANS!$B$1=32,E14="",$DB$17=1),0,IF(AND(OR(U15&lt;&gt;$AP$2,AND(U15=$AP$2,U14&lt;$DB$18)),$B$2=$CT$14),1,0))</f>
        <v>0</v>
      </c>
      <c r="CT14" s="2165" t="s">
        <v>53</v>
      </c>
      <c r="CU14" s="2216">
        <f ca="1">IF(OR(PLANS!$B$1=32,E14="",$DB$17=1),0,IF(AND(OR(U15&lt;&gt;$AP$2,AND(U15=$AP$2,U14&lt;&gt;100%)),$B$2=$CV$14),1,0))</f>
        <v>0</v>
      </c>
      <c r="CV14" s="2165" t="s">
        <v>54</v>
      </c>
      <c r="CW14" s="1608">
        <f>IF(E14&lt;&gt;"", IF(V14&lt;$CY$22,1,0),0)</f>
        <v>0</v>
      </c>
      <c r="DA14" s="298" t="s">
        <v>1296</v>
      </c>
      <c r="DD14" s="1608">
        <f>IF(AND(BG14=100%,BF14&lt;&gt;""),1,0)</f>
        <v>0</v>
      </c>
      <c r="DE14" s="297">
        <f>IF(AND(BG14=100%,BF14=""),1,0)</f>
        <v>0</v>
      </c>
      <c r="DF14" s="39">
        <f>IF(BG14&gt;0%,1,0)</f>
        <v>0</v>
      </c>
      <c r="DL14" s="496"/>
      <c r="DM14" s="1557" t="s">
        <v>1144</v>
      </c>
      <c r="DQ14" s="297">
        <f ca="1">IF(AND(BH14&lt;&gt;"",BG15&lt;&gt;"",BF14="",BG14&lt;&gt;100%,BG15&lt;PLANS!$B$1),1,0)</f>
        <v>0</v>
      </c>
      <c r="DS14" s="2216">
        <f>IF(BH14="",0, IF(AND(BF14="",BG14&lt;&gt;100%,BG15=$EC$37),1,0) )</f>
        <v>0</v>
      </c>
      <c r="DY14" s="298" t="s">
        <v>1145</v>
      </c>
      <c r="DZ14" s="299"/>
      <c r="EB14" s="28"/>
      <c r="EC14" s="28"/>
      <c r="EG14" s="35"/>
      <c r="EH14" s="35"/>
      <c r="EI14" s="35"/>
      <c r="EJ14" s="35"/>
      <c r="EK14" s="35"/>
      <c r="EL14" s="35"/>
      <c r="EM14" s="35"/>
      <c r="EN14" s="35"/>
      <c r="EO14" s="35"/>
      <c r="EP14" s="35"/>
      <c r="EQ14" s="35"/>
      <c r="ER14" s="35"/>
      <c r="ES14" s="35"/>
      <c r="ET14" s="35"/>
      <c r="EU14" s="28"/>
      <c r="EV14" s="28"/>
      <c r="EW14" s="28"/>
      <c r="EX14" s="28"/>
      <c r="EY14" s="28"/>
      <c r="EZ14" s="28"/>
      <c r="GI14" s="73"/>
      <c r="GN14" s="308">
        <f ca="1">FG53</f>
        <v>0</v>
      </c>
      <c r="GO14" s="2565" t="s">
        <v>1650</v>
      </c>
    </row>
    <row r="15" spans="1:197" ht="17.100000000000001" customHeight="1" x14ac:dyDescent="0.15">
      <c r="A15" s="311" t="str">
        <f>_xlfn.IFS(
U15="wk1", PLANS!$CE$4,
U15="wk2", PLANS!$CE$10,
U15="wk3", PLANS!$CE$16,
U15="wk4", PLANS!$CE$22,
U15="wk5", PLANS!$CE$28,
U15="wk6", PLANS!$CE$34,
TRUE,"")</f>
        <v/>
      </c>
      <c r="B15" s="3946"/>
      <c r="C15" s="3947"/>
      <c r="D15" s="3952"/>
      <c r="E15" s="3911"/>
      <c r="F15" s="3911"/>
      <c r="G15" s="3911"/>
      <c r="H15" s="3911"/>
      <c r="I15" s="3911"/>
      <c r="J15" s="3911"/>
      <c r="K15" s="3911"/>
      <c r="L15" s="3911"/>
      <c r="M15" s="3911"/>
      <c r="N15" s="3911"/>
      <c r="O15" s="3911"/>
      <c r="P15" s="3911"/>
      <c r="Q15" s="3911"/>
      <c r="R15" s="3911"/>
      <c r="S15" s="3911"/>
      <c r="T15" s="3912"/>
      <c r="U15" s="2098"/>
      <c r="V15" s="2232" t="str">
        <f>"/"&amp;$CY$21</f>
        <v>/4</v>
      </c>
      <c r="W15" s="1171"/>
      <c r="X15" s="1171"/>
      <c r="Y15" s="4058"/>
      <c r="Z15" s="4059"/>
      <c r="AA15" s="4012"/>
      <c r="AB15" s="3911"/>
      <c r="AC15" s="3911"/>
      <c r="AD15" s="3911"/>
      <c r="AE15" s="3911"/>
      <c r="AF15" s="3911"/>
      <c r="AG15" s="3911"/>
      <c r="AH15" s="3911"/>
      <c r="AI15" s="3911"/>
      <c r="AJ15" s="3911"/>
      <c r="AK15" s="3912"/>
      <c r="AL15" s="285"/>
      <c r="AM15" s="3987"/>
      <c r="AN15" s="3363"/>
      <c r="AO15" s="3986"/>
      <c r="AP15" s="282"/>
      <c r="AQ15" s="3960"/>
      <c r="AR15" s="3960"/>
      <c r="AS15" s="3960"/>
      <c r="AT15" s="3960"/>
      <c r="AU15" s="3960"/>
      <c r="AV15" s="3960"/>
      <c r="AW15" s="3960"/>
      <c r="AX15" s="3960"/>
      <c r="AY15" s="3960"/>
      <c r="AZ15" s="3960"/>
      <c r="BA15" s="3976"/>
      <c r="BB15" s="4058"/>
      <c r="BC15" s="4059"/>
      <c r="BD15" s="1171"/>
      <c r="BE15" s="1171"/>
      <c r="BF15" s="3986"/>
      <c r="BG15" s="282"/>
      <c r="BH15" s="3960"/>
      <c r="BI15" s="3960"/>
      <c r="BJ15" s="3960"/>
      <c r="BK15" s="3960"/>
      <c r="BL15" s="3960"/>
      <c r="BM15" s="3960"/>
      <c r="BN15" s="3960"/>
      <c r="BO15" s="3960"/>
      <c r="BP15" s="3960"/>
      <c r="BQ15" s="3960"/>
      <c r="BR15" s="3960"/>
      <c r="BS15" s="3960"/>
      <c r="BT15" s="3960"/>
      <c r="BU15" s="3960"/>
      <c r="BV15" s="3960"/>
      <c r="BW15" s="3960"/>
      <c r="BX15" s="4043"/>
      <c r="BY15" s="3946"/>
      <c r="BZ15" s="3947"/>
      <c r="CA15" s="91"/>
      <c r="CC15" s="301" t="str">
        <f t="shared" ref="CC15" si="18">D14</f>
        <v>W-1</v>
      </c>
      <c r="CD15" s="302">
        <f t="shared" ref="CD15" si="19">U14</f>
        <v>0</v>
      </c>
      <c r="CF15" s="242"/>
      <c r="CG15" s="46"/>
      <c r="CI15" s="379"/>
      <c r="CS15" s="46"/>
      <c r="CT15" s="1137"/>
      <c r="CV15" s="1137"/>
      <c r="CZ15" s="1557"/>
      <c r="DA15" s="298" t="s">
        <v>1297</v>
      </c>
      <c r="DE15" s="46"/>
      <c r="DK15" s="304" t="s">
        <v>1136</v>
      </c>
      <c r="DL15" s="1608">
        <f>SUM(DD14:DD24)</f>
        <v>0</v>
      </c>
      <c r="DQ15" s="46"/>
      <c r="DZ15" s="299"/>
      <c r="EB15" s="28"/>
      <c r="EC15" s="28"/>
      <c r="EG15" s="1618"/>
      <c r="EH15" s="1619"/>
      <c r="EI15" s="1619"/>
      <c r="EJ15" s="1619"/>
      <c r="EK15" s="1619"/>
      <c r="EL15" s="1616"/>
      <c r="EM15" s="1620"/>
      <c r="EN15" s="1620"/>
      <c r="EO15" s="333"/>
      <c r="EP15" s="333"/>
      <c r="EQ15" s="1620"/>
      <c r="ER15" s="1621"/>
      <c r="ES15" s="333"/>
      <c r="ET15" s="1622"/>
      <c r="EU15" s="28"/>
      <c r="EV15" s="28"/>
      <c r="EW15" s="28"/>
      <c r="EX15" s="28"/>
      <c r="EY15" s="28"/>
      <c r="EZ15" s="497" t="s">
        <v>1640</v>
      </c>
      <c r="FN15" s="497" t="s">
        <v>1641</v>
      </c>
      <c r="FT15" s="227"/>
      <c r="FU15" s="1615"/>
      <c r="FV15" s="1615"/>
      <c r="FW15" s="1615"/>
      <c r="FX15" s="1615"/>
      <c r="FY15" s="1616" t="s">
        <v>174</v>
      </c>
      <c r="FZ15" s="228"/>
      <c r="GA15" s="228"/>
      <c r="GB15" s="1603" t="s">
        <v>1136</v>
      </c>
      <c r="GC15" s="333"/>
      <c r="GD15" s="228"/>
      <c r="GE15" s="1617" t="s">
        <v>1140</v>
      </c>
      <c r="GF15" s="333"/>
      <c r="GG15" s="256"/>
      <c r="GI15" s="73"/>
    </row>
    <row r="16" spans="1:197" ht="17.100000000000001" customHeight="1" x14ac:dyDescent="0.2">
      <c r="A16" s="311"/>
      <c r="B16" s="3946"/>
      <c r="C16" s="3947"/>
      <c r="D16" s="3951" t="s">
        <v>532</v>
      </c>
      <c r="E16" s="3908"/>
      <c r="F16" s="3908"/>
      <c r="G16" s="3908"/>
      <c r="H16" s="3908"/>
      <c r="I16" s="3908"/>
      <c r="J16" s="3908"/>
      <c r="K16" s="3908"/>
      <c r="L16" s="3908"/>
      <c r="M16" s="3908"/>
      <c r="N16" s="3908"/>
      <c r="O16" s="3908"/>
      <c r="P16" s="3908"/>
      <c r="Q16" s="3908"/>
      <c r="R16" s="3908"/>
      <c r="S16" s="3908"/>
      <c r="T16" s="3909"/>
      <c r="U16" s="280"/>
      <c r="V16" s="2231">
        <v>0</v>
      </c>
      <c r="W16" s="1171"/>
      <c r="X16" s="1171"/>
      <c r="Y16" s="4058"/>
      <c r="Z16" s="4059"/>
      <c r="AA16" s="4011" t="str">
        <f>MID(Y14,1,2)&amp;"2"</f>
        <v>2</v>
      </c>
      <c r="AB16" s="3908"/>
      <c r="AC16" s="3908"/>
      <c r="AD16" s="3908"/>
      <c r="AE16" s="3908"/>
      <c r="AF16" s="3908"/>
      <c r="AG16" s="3908"/>
      <c r="AH16" s="3908"/>
      <c r="AI16" s="3908"/>
      <c r="AJ16" s="3908"/>
      <c r="AK16" s="3909"/>
      <c r="AL16" s="280"/>
      <c r="AM16" s="3987"/>
      <c r="AN16" s="3363"/>
      <c r="AO16" s="3986"/>
      <c r="AP16" s="283"/>
      <c r="AQ16" s="3960"/>
      <c r="AR16" s="3960"/>
      <c r="AS16" s="3960"/>
      <c r="AT16" s="3960"/>
      <c r="AU16" s="3960"/>
      <c r="AV16" s="3960"/>
      <c r="AW16" s="3960"/>
      <c r="AX16" s="3960"/>
      <c r="AY16" s="3960"/>
      <c r="AZ16" s="3960"/>
      <c r="BA16" s="3974" t="str" cm="1">
        <f t="array" ref="BA16">_xlfn.IFS(
BD14=0,MID(BB14,1,2)&amp;"2",
BD14=1,MID(BB14,1,2)&amp;"6",
BD14=2,MID(BB14,1,2)&amp;"
10",
BD14=3,MID(BB14,1,2)&amp;"
14",
BD14=4,MID(BB14,1,2)&amp;"
18",
BD14=5,MID(BB14,1,2)&amp;"
22",
TRUE,"")</f>
        <v>2</v>
      </c>
      <c r="BB16" s="4058"/>
      <c r="BC16" s="4059"/>
      <c r="BD16" s="1171"/>
      <c r="BE16" s="1171"/>
      <c r="BF16" s="3986"/>
      <c r="BG16" s="283"/>
      <c r="BH16" s="3960"/>
      <c r="BI16" s="3960"/>
      <c r="BJ16" s="3960"/>
      <c r="BK16" s="3960"/>
      <c r="BL16" s="3960"/>
      <c r="BM16" s="3960"/>
      <c r="BN16" s="3960"/>
      <c r="BO16" s="3960"/>
      <c r="BP16" s="3960"/>
      <c r="BQ16" s="3960"/>
      <c r="BR16" s="3960"/>
      <c r="BS16" s="3960"/>
      <c r="BT16" s="3960"/>
      <c r="BU16" s="3960"/>
      <c r="BV16" s="3960"/>
      <c r="BW16" s="3960"/>
      <c r="BX16" s="4037" t="s">
        <v>734</v>
      </c>
      <c r="BY16" s="3946"/>
      <c r="BZ16" s="3947"/>
      <c r="CA16" s="91"/>
      <c r="CC16" s="295" t="str">
        <f t="shared" ref="CC16" si="20">BX16</f>
        <v>S-2</v>
      </c>
      <c r="CD16" s="296">
        <f t="shared" ref="CD16" si="21">BG16</f>
        <v>0</v>
      </c>
      <c r="CF16" s="242"/>
      <c r="CG16" s="297">
        <f ca="1">IF(AND(U17=$AP$2,U16=100%),1,0)</f>
        <v>0</v>
      </c>
      <c r="CH16" s="39">
        <f ca="1">IF(AND(U17=$AP$2,U16&gt;0%),1,0)</f>
        <v>0</v>
      </c>
      <c r="CI16" s="1608">
        <f>IF(V16&gt;=$CY$21,1,0)</f>
        <v>0</v>
      </c>
      <c r="CM16" s="304" t="s">
        <v>492</v>
      </c>
      <c r="CN16" s="306">
        <f ca="1">SUM(CG14:CG24)</f>
        <v>0</v>
      </c>
      <c r="CS16" s="297">
        <f ca="1">IF(OR(PLANS!$B$1=32,E16="",$DB$17=1),0,IF(AND(OR(U17&lt;&gt;$AP$2,AND(U17=$AP$2,U16&lt;$DB$18)),$B$2=$CT$14),1,0))</f>
        <v>0</v>
      </c>
      <c r="CT16" s="2166" t="str">
        <f>$CT$14</f>
        <v>SAT</v>
      </c>
      <c r="CU16" s="2216">
        <f ca="1">IF(OR(PLANS!$B$1=32,E16="",$DB$17=1),0,IF(AND(OR(U17&lt;&gt;$AP$2,AND(U17=$AP$2,U16&lt;&gt;100%)),$B$2=$CV$14),1,0))</f>
        <v>0</v>
      </c>
      <c r="CV16" s="2166" t="str">
        <f>$CV$14</f>
        <v>SUN</v>
      </c>
      <c r="CW16" s="1608">
        <f>IF(E16&lt;&gt;"", IF(V16&lt;$CY$22,1,0),0)</f>
        <v>0</v>
      </c>
      <c r="CY16" s="304"/>
      <c r="CZ16" s="306">
        <f ca="1">SUM(CS14:CS24,CU14:CU24)</f>
        <v>0</v>
      </c>
      <c r="DD16" s="1608">
        <f>IF(AND(BG16=100%,BF16&lt;&gt;""),1,0)</f>
        <v>0</v>
      </c>
      <c r="DE16" s="297">
        <f>IF(AND(BG16=100%,BF16=""),1,0)</f>
        <v>0</v>
      </c>
      <c r="DF16" s="39">
        <f>IF(BG16&gt;0%,1,0)</f>
        <v>0</v>
      </c>
      <c r="DK16" s="304" t="s">
        <v>174</v>
      </c>
      <c r="DL16" s="306">
        <f>SUM(DE14:DE24)</f>
        <v>0</v>
      </c>
      <c r="DQ16" s="297">
        <f ca="1">IF(AND(BH16&lt;&gt;"",BG17&lt;&gt;"",BF16="",BG16&lt;&gt;100%,BG17&lt;PLANS!$B$1),1,0)</f>
        <v>0</v>
      </c>
      <c r="DS16" s="2216">
        <f>IF(BH16="",0, IF(AND(BF16="",BG16&lt;&gt;100%,BG17=$EC$37),1,0) )</f>
        <v>0</v>
      </c>
      <c r="DW16" s="304" t="s">
        <v>439</v>
      </c>
      <c r="DX16" s="306">
        <f ca="1">SUM(DQ14:DQ24)</f>
        <v>0</v>
      </c>
      <c r="DZ16" s="299"/>
      <c r="EB16" s="28"/>
      <c r="EC16" s="28"/>
      <c r="EG16" s="1623"/>
      <c r="EH16" s="1552"/>
      <c r="EI16" s="1552"/>
      <c r="EJ16" s="1552"/>
      <c r="EK16" s="1552"/>
      <c r="EL16" s="35"/>
      <c r="EM16" s="35"/>
      <c r="EN16" s="35"/>
      <c r="EO16" s="497"/>
      <c r="EP16" s="35"/>
      <c r="EQ16" s="689" t="s">
        <v>1171</v>
      </c>
      <c r="ER16" s="46"/>
      <c r="ES16" s="35"/>
      <c r="ET16" s="1624"/>
      <c r="EU16" s="28"/>
      <c r="EV16" s="28"/>
      <c r="EW16" s="28"/>
      <c r="EX16" s="28"/>
      <c r="EY16" s="28"/>
      <c r="EZ16" s="306">
        <f ca="1">IF('^'!$BK$45="A C T I V E",EZ13,EZ10)</f>
        <v>0</v>
      </c>
      <c r="FN16" s="306">
        <f ca="1">IF('^'!$BK$45="A C T I V E",FN13,FN10)</f>
        <v>0</v>
      </c>
      <c r="FT16" s="242"/>
      <c r="FU16" s="326"/>
      <c r="FV16" s="326"/>
      <c r="FW16" s="326"/>
      <c r="FX16" s="326"/>
      <c r="GB16" s="46"/>
      <c r="GE16" s="1176"/>
      <c r="GG16" s="299"/>
      <c r="GI16" s="73"/>
      <c r="GN16" s="308">
        <f ca="1">IF('^'!$BK$45="A C T I V E",FN13,FN10)</f>
        <v>0</v>
      </c>
      <c r="GO16" s="2565" t="s">
        <v>2437</v>
      </c>
    </row>
    <row r="17" spans="1:197" ht="17.100000000000001" customHeight="1" x14ac:dyDescent="0.15">
      <c r="A17" s="311" t="str">
        <f>_xlfn.IFS(
U17="wk1", PLANS!$CE$4,
U17="wk2", PLANS!$CE$10,
U17="wk3", PLANS!$CE$16,
U17="wk4", PLANS!$CE$22,
U17="wk5", PLANS!$CE$28,
U17="wk6", PLANS!$CE$34,
TRUE,"")</f>
        <v/>
      </c>
      <c r="B17" s="3946"/>
      <c r="C17" s="3947"/>
      <c r="D17" s="3952"/>
      <c r="E17" s="3911"/>
      <c r="F17" s="3911"/>
      <c r="G17" s="3911"/>
      <c r="H17" s="3911"/>
      <c r="I17" s="3911"/>
      <c r="J17" s="3911"/>
      <c r="K17" s="3911"/>
      <c r="L17" s="3911"/>
      <c r="M17" s="3911"/>
      <c r="N17" s="3911"/>
      <c r="O17" s="3911"/>
      <c r="P17" s="3911"/>
      <c r="Q17" s="3911"/>
      <c r="R17" s="3911"/>
      <c r="S17" s="3911"/>
      <c r="T17" s="3912"/>
      <c r="U17" s="2098"/>
      <c r="V17" s="2232" t="str">
        <f>"/"&amp;$CY$21</f>
        <v>/4</v>
      </c>
      <c r="W17" s="1171"/>
      <c r="X17" s="1171"/>
      <c r="Y17" s="4058"/>
      <c r="Z17" s="4059"/>
      <c r="AA17" s="4012"/>
      <c r="AB17" s="3911"/>
      <c r="AC17" s="3911"/>
      <c r="AD17" s="3911"/>
      <c r="AE17" s="3911"/>
      <c r="AF17" s="3911"/>
      <c r="AG17" s="3911"/>
      <c r="AH17" s="3911"/>
      <c r="AI17" s="3911"/>
      <c r="AJ17" s="3911"/>
      <c r="AK17" s="3912"/>
      <c r="AL17" s="285"/>
      <c r="AM17" s="3987"/>
      <c r="AN17" s="3363"/>
      <c r="AO17" s="3986"/>
      <c r="AP17" s="282"/>
      <c r="AQ17" s="3960"/>
      <c r="AR17" s="3960"/>
      <c r="AS17" s="3960"/>
      <c r="AT17" s="3960"/>
      <c r="AU17" s="3960"/>
      <c r="AV17" s="3960"/>
      <c r="AW17" s="3960"/>
      <c r="AX17" s="3960"/>
      <c r="AY17" s="3960"/>
      <c r="AZ17" s="3960"/>
      <c r="BA17" s="3976"/>
      <c r="BB17" s="4058"/>
      <c r="BC17" s="4059"/>
      <c r="BD17" s="1171"/>
      <c r="BE17" s="1171"/>
      <c r="BF17" s="3986"/>
      <c r="BG17" s="282"/>
      <c r="BH17" s="3960"/>
      <c r="BI17" s="3960"/>
      <c r="BJ17" s="3960"/>
      <c r="BK17" s="3960"/>
      <c r="BL17" s="3960"/>
      <c r="BM17" s="3960"/>
      <c r="BN17" s="3960"/>
      <c r="BO17" s="3960"/>
      <c r="BP17" s="3960"/>
      <c r="BQ17" s="3960"/>
      <c r="BR17" s="3960"/>
      <c r="BS17" s="3960"/>
      <c r="BT17" s="3960"/>
      <c r="BU17" s="3960"/>
      <c r="BV17" s="3960"/>
      <c r="BW17" s="3960"/>
      <c r="BX17" s="4043"/>
      <c r="BY17" s="3946"/>
      <c r="BZ17" s="3947"/>
      <c r="CA17" s="91"/>
      <c r="CC17" s="301" t="str">
        <f t="shared" ref="CC17" si="22">D16</f>
        <v>W-2</v>
      </c>
      <c r="CD17" s="302">
        <f t="shared" ref="CD17" si="23">U16</f>
        <v>0</v>
      </c>
      <c r="CF17" s="242"/>
      <c r="CG17" s="46"/>
      <c r="CI17" s="379"/>
      <c r="CS17" s="46"/>
      <c r="CT17" s="2167"/>
      <c r="CV17" s="2167"/>
      <c r="DA17" s="298" t="s">
        <v>1299</v>
      </c>
      <c r="DB17" s="39">
        <f ca="1">IFERROR(PLANS!$DI$81,0)</f>
        <v>0</v>
      </c>
      <c r="DE17" s="46"/>
      <c r="DQ17" s="46"/>
      <c r="DZ17" s="299"/>
      <c r="EB17" s="28"/>
      <c r="EC17" s="28"/>
      <c r="EG17" s="1623"/>
      <c r="EH17" s="1552"/>
      <c r="EI17" s="1552"/>
      <c r="EJ17" s="415" t="s">
        <v>439</v>
      </c>
      <c r="EK17" s="1552"/>
      <c r="EL17" s="306">
        <f>COUNTA($E$14:$T$25)</f>
        <v>0</v>
      </c>
      <c r="EM17" s="35"/>
      <c r="EN17" s="1625"/>
      <c r="EO17" s="1625"/>
      <c r="EP17" s="1625"/>
      <c r="EQ17" s="1630" t="s">
        <v>1172</v>
      </c>
      <c r="ER17" s="1631" t="e">
        <f ca="1">IF(PLANS!$DI$81=1,0,COUNTA($E$14:$T$25))</f>
        <v>#VALUE!</v>
      </c>
      <c r="ES17" s="1625"/>
      <c r="ET17" s="1624"/>
      <c r="EU17" s="28"/>
      <c r="EV17" s="28"/>
      <c r="EW17" s="28"/>
      <c r="EX17" s="28"/>
      <c r="EY17" s="28"/>
      <c r="EZ17" s="28"/>
      <c r="FG17" s="1610" t="s">
        <v>1154</v>
      </c>
      <c r="FT17" s="242"/>
      <c r="FU17" s="326"/>
      <c r="FV17" s="326"/>
      <c r="FW17" s="415" t="s">
        <v>439</v>
      </c>
      <c r="FX17" s="326"/>
      <c r="FY17" s="306">
        <f>GE17-GB17</f>
        <v>0</v>
      </c>
      <c r="GB17" s="297">
        <f>COUNTA(BF14:BF25)</f>
        <v>0</v>
      </c>
      <c r="GE17" s="1558">
        <f>COUNTA(BH14:BW25)</f>
        <v>0</v>
      </c>
      <c r="GG17" s="299"/>
      <c r="GI17" s="73"/>
    </row>
    <row r="18" spans="1:197" ht="17.100000000000001" customHeight="1" x14ac:dyDescent="0.2">
      <c r="A18" s="311"/>
      <c r="B18" s="3946"/>
      <c r="C18" s="3947"/>
      <c r="D18" s="3951" t="s">
        <v>533</v>
      </c>
      <c r="E18" s="3908"/>
      <c r="F18" s="3908"/>
      <c r="G18" s="3908"/>
      <c r="H18" s="3908"/>
      <c r="I18" s="3908"/>
      <c r="J18" s="3908"/>
      <c r="K18" s="3908"/>
      <c r="L18" s="3908"/>
      <c r="M18" s="3908"/>
      <c r="N18" s="3908"/>
      <c r="O18" s="3908"/>
      <c r="P18" s="3908"/>
      <c r="Q18" s="3908"/>
      <c r="R18" s="3908"/>
      <c r="S18" s="3908"/>
      <c r="T18" s="3909"/>
      <c r="U18" s="280"/>
      <c r="V18" s="2231">
        <v>0</v>
      </c>
      <c r="W18" s="1171"/>
      <c r="X18" s="1171"/>
      <c r="Y18" s="4058"/>
      <c r="Z18" s="4059"/>
      <c r="AA18" s="4011" t="str">
        <f>MID(Y14,1,2)&amp;"3"</f>
        <v>3</v>
      </c>
      <c r="AB18" s="3908"/>
      <c r="AC18" s="3908"/>
      <c r="AD18" s="3908"/>
      <c r="AE18" s="3908"/>
      <c r="AF18" s="3908"/>
      <c r="AG18" s="3908"/>
      <c r="AH18" s="3908"/>
      <c r="AI18" s="3908"/>
      <c r="AJ18" s="3908"/>
      <c r="AK18" s="3909"/>
      <c r="AL18" s="280"/>
      <c r="AM18" s="3987"/>
      <c r="AN18" s="4133" t="s">
        <v>1270</v>
      </c>
      <c r="AO18" s="3986"/>
      <c r="AP18" s="283"/>
      <c r="AQ18" s="3960"/>
      <c r="AR18" s="3960"/>
      <c r="AS18" s="3960"/>
      <c r="AT18" s="3960"/>
      <c r="AU18" s="3960"/>
      <c r="AV18" s="3960"/>
      <c r="AW18" s="3960"/>
      <c r="AX18" s="3960"/>
      <c r="AY18" s="3960"/>
      <c r="AZ18" s="3960"/>
      <c r="BA18" s="3974" t="str" cm="1">
        <f t="array" ref="BA18">_xlfn.IFS(
BD14=0,MID(BB14,1,2)&amp;"3",
BD14=1,MID(BB14,1,2)&amp;"7",
BD14=2,MID(BB14,1,2)&amp;"
11",
BD14=3,MID(BB14,1,2)&amp;"
15",
BD14=4,MID(BB14,1,2)&amp;"
19",
BD14=5,MID(BB14,1,2)&amp;"
23",
TRUE,"")</f>
        <v>3</v>
      </c>
      <c r="BB18" s="4058"/>
      <c r="BC18" s="4059"/>
      <c r="BD18" s="1171"/>
      <c r="BE18" s="1171"/>
      <c r="BF18" s="3986"/>
      <c r="BG18" s="283"/>
      <c r="BH18" s="3960"/>
      <c r="BI18" s="3960"/>
      <c r="BJ18" s="3960"/>
      <c r="BK18" s="3960"/>
      <c r="BL18" s="3960"/>
      <c r="BM18" s="3960"/>
      <c r="BN18" s="3960"/>
      <c r="BO18" s="3960"/>
      <c r="BP18" s="3960"/>
      <c r="BQ18" s="3960"/>
      <c r="BR18" s="3960"/>
      <c r="BS18" s="3960"/>
      <c r="BT18" s="3960"/>
      <c r="BU18" s="3960"/>
      <c r="BV18" s="3960"/>
      <c r="BW18" s="3960"/>
      <c r="BX18" s="4037" t="s">
        <v>735</v>
      </c>
      <c r="BY18" s="3946"/>
      <c r="BZ18" s="3947"/>
      <c r="CA18" s="91"/>
      <c r="CC18" s="295" t="str">
        <f t="shared" ref="CC18" si="24">BX18</f>
        <v>S-3</v>
      </c>
      <c r="CD18" s="296">
        <f t="shared" ref="CD18" si="25">BG18</f>
        <v>0</v>
      </c>
      <c r="CF18" s="242"/>
      <c r="CG18" s="297">
        <f ca="1">IF(AND(U19=$AP$2,U18=100%),1,0)</f>
        <v>0</v>
      </c>
      <c r="CH18" s="39">
        <f ca="1">IF(AND(U19=$AP$2,U18&gt;0%),1,0)</f>
        <v>0</v>
      </c>
      <c r="CI18" s="1608">
        <f>IF(V18&gt;=$CY$21,1,0)</f>
        <v>0</v>
      </c>
      <c r="CM18" s="304" t="s">
        <v>491</v>
      </c>
      <c r="CN18" s="39">
        <f ca="1">SUM(CH14:CH22)</f>
        <v>0</v>
      </c>
      <c r="CS18" s="297">
        <f ca="1">IF(OR(PLANS!$B$1=32,E18="",$DB$17=1),0,IF(AND(OR(U19&lt;&gt;$AP$2,AND(U19=$AP$2,U18&lt;$DB$18)),$B$2=$CT$14),1,0))</f>
        <v>0</v>
      </c>
      <c r="CT18" s="2166" t="str">
        <f t="shared" ref="CT18" si="26">$CT$14</f>
        <v>SAT</v>
      </c>
      <c r="CU18" s="2216">
        <f ca="1">IF(OR(PLANS!$B$1=32,E18="",$DB$17=1),0,IF(AND(OR(U19&lt;&gt;$AP$2,AND(U19=$AP$2,U18&lt;&gt;100%)),$B$2=$CV$14),1,0))</f>
        <v>0</v>
      </c>
      <c r="CV18" s="2166" t="str">
        <f t="shared" ref="CV18" si="27">$CV$14</f>
        <v>SUN</v>
      </c>
      <c r="CW18" s="1608">
        <f>IF(E18&lt;&gt;"", IF(V18&lt;$CY$22,1,0),0)</f>
        <v>0</v>
      </c>
      <c r="DA18" s="298" t="s">
        <v>1357</v>
      </c>
      <c r="DB18" s="2171">
        <v>0.5</v>
      </c>
      <c r="DD18" s="1608">
        <f>IF(AND(BG18=100%,BF18&lt;&gt;""),1,0)</f>
        <v>0</v>
      </c>
      <c r="DE18" s="297">
        <f>IF(AND(BG18=100%,BF18=""),1,0)</f>
        <v>0</v>
      </c>
      <c r="DF18" s="39">
        <f>IF(BG18&gt;0%,1,0)</f>
        <v>0</v>
      </c>
      <c r="DK18" s="304" t="s">
        <v>491</v>
      </c>
      <c r="DL18" s="39">
        <f>SUM(DF14:DF22)</f>
        <v>0</v>
      </c>
      <c r="DQ18" s="297">
        <f ca="1">IF(AND(BH18&lt;&gt;"",BG19&lt;&gt;"",BF18="",BG18&lt;&gt;100%,BG19&lt;PLANS!$B$1),1,0)</f>
        <v>0</v>
      </c>
      <c r="DS18" s="2216">
        <f>IF(BH18="",0, IF(AND(BF18="",BG18&lt;&gt;100%,BG19=$EC$37),1,0) )</f>
        <v>0</v>
      </c>
      <c r="DT18" s="2222" t="s">
        <v>1360</v>
      </c>
      <c r="DZ18" s="299"/>
      <c r="EB18" s="28"/>
      <c r="EC18" s="28"/>
      <c r="EE18" s="415" t="s">
        <v>691</v>
      </c>
      <c r="EG18" s="1623"/>
      <c r="EH18" s="1552"/>
      <c r="EI18" s="1552"/>
      <c r="EJ18" s="1552"/>
      <c r="EK18" s="1552"/>
      <c r="EL18" s="35"/>
      <c r="EM18" s="35"/>
      <c r="EN18" s="35"/>
      <c r="EO18" s="1625"/>
      <c r="EP18" s="35"/>
      <c r="EQ18" s="312" t="s">
        <v>1147</v>
      </c>
      <c r="ER18" s="35"/>
      <c r="ES18" s="35"/>
      <c r="ET18" s="1624"/>
      <c r="EU18" s="28"/>
      <c r="EV18" s="28"/>
      <c r="EW18" s="28"/>
      <c r="EX18" s="28"/>
      <c r="EY18" s="28"/>
      <c r="EZ18" s="28"/>
      <c r="FG18" s="306">
        <f>FN4+EZ4</f>
        <v>0</v>
      </c>
      <c r="FT18" s="242"/>
      <c r="FU18" s="326"/>
      <c r="FV18" s="326"/>
      <c r="FW18" s="326"/>
      <c r="FX18" s="326"/>
      <c r="GB18" s="46"/>
      <c r="GE18" s="1176"/>
      <c r="GG18" s="299"/>
      <c r="GI18" s="378" t="s">
        <v>692</v>
      </c>
      <c r="GN18" s="308">
        <f ca="1">IF('^'!$BK$45="A C T I V E",SUM(EL11,EL23),SUM(ER9,ER21,EL35))</f>
        <v>0</v>
      </c>
      <c r="GO18" s="2565" t="s">
        <v>2438</v>
      </c>
    </row>
    <row r="19" spans="1:197" ht="17.100000000000001" customHeight="1" x14ac:dyDescent="0.2">
      <c r="A19" s="311" t="str">
        <f>_xlfn.IFS(
U19="wk1", PLANS!$CE$4,
U19="wk2", PLANS!$CE$10,
U19="wk3", PLANS!$CE$16,
U19="wk4", PLANS!$CE$22,
U19="wk5", PLANS!$CE$28,
U19="wk6", PLANS!$CE$34,
TRUE,"")</f>
        <v/>
      </c>
      <c r="B19" s="3946"/>
      <c r="C19" s="3947"/>
      <c r="D19" s="3952"/>
      <c r="E19" s="3911"/>
      <c r="F19" s="3911"/>
      <c r="G19" s="3911"/>
      <c r="H19" s="3911"/>
      <c r="I19" s="3911"/>
      <c r="J19" s="3911"/>
      <c r="K19" s="3911"/>
      <c r="L19" s="3911"/>
      <c r="M19" s="3911"/>
      <c r="N19" s="3911"/>
      <c r="O19" s="3911"/>
      <c r="P19" s="3911"/>
      <c r="Q19" s="3911"/>
      <c r="R19" s="3911"/>
      <c r="S19" s="3911"/>
      <c r="T19" s="3912"/>
      <c r="U19" s="2098"/>
      <c r="V19" s="2232" t="str">
        <f>"/"&amp;$CY$21</f>
        <v>/4</v>
      </c>
      <c r="W19" s="1171"/>
      <c r="X19" s="1171"/>
      <c r="Y19" s="4058"/>
      <c r="Z19" s="4059"/>
      <c r="AA19" s="4012"/>
      <c r="AB19" s="3911"/>
      <c r="AC19" s="3911"/>
      <c r="AD19" s="3911"/>
      <c r="AE19" s="3911"/>
      <c r="AF19" s="3911"/>
      <c r="AG19" s="3911"/>
      <c r="AH19" s="3911"/>
      <c r="AI19" s="3911"/>
      <c r="AJ19" s="3911"/>
      <c r="AK19" s="3912"/>
      <c r="AL19" s="285"/>
      <c r="AM19" s="3987"/>
      <c r="AN19" s="4133"/>
      <c r="AO19" s="3986"/>
      <c r="AP19" s="282"/>
      <c r="AQ19" s="3960"/>
      <c r="AR19" s="3960"/>
      <c r="AS19" s="3960"/>
      <c r="AT19" s="3960"/>
      <c r="AU19" s="3960"/>
      <c r="AV19" s="3960"/>
      <c r="AW19" s="3960"/>
      <c r="AX19" s="3960"/>
      <c r="AY19" s="3960"/>
      <c r="AZ19" s="3960"/>
      <c r="BA19" s="3976"/>
      <c r="BB19" s="4058"/>
      <c r="BC19" s="4059"/>
      <c r="BD19" s="1171"/>
      <c r="BE19" s="1171"/>
      <c r="BF19" s="3986"/>
      <c r="BG19" s="282"/>
      <c r="BH19" s="3960"/>
      <c r="BI19" s="3960"/>
      <c r="BJ19" s="3960"/>
      <c r="BK19" s="3960"/>
      <c r="BL19" s="3960"/>
      <c r="BM19" s="3960"/>
      <c r="BN19" s="3960"/>
      <c r="BO19" s="3960"/>
      <c r="BP19" s="3960"/>
      <c r="BQ19" s="3960"/>
      <c r="BR19" s="3960"/>
      <c r="BS19" s="3960"/>
      <c r="BT19" s="3960"/>
      <c r="BU19" s="3960"/>
      <c r="BV19" s="3960"/>
      <c r="BW19" s="3960"/>
      <c r="BX19" s="4043"/>
      <c r="BY19" s="3946"/>
      <c r="BZ19" s="3947"/>
      <c r="CA19" s="91"/>
      <c r="CC19" s="301" t="str">
        <f t="shared" ref="CC19" si="28">D18</f>
        <v>W-3</v>
      </c>
      <c r="CD19" s="302">
        <f t="shared" ref="CD19" si="29">U18</f>
        <v>0</v>
      </c>
      <c r="CF19" s="242"/>
      <c r="CG19" s="46"/>
      <c r="CI19" s="379"/>
      <c r="CS19" s="46"/>
      <c r="CT19" s="2167"/>
      <c r="CV19" s="2167"/>
      <c r="DB19" s="2164" t="s">
        <v>1395</v>
      </c>
      <c r="DE19" s="46"/>
      <c r="DQ19" s="46"/>
      <c r="DT19" s="2221"/>
      <c r="DZ19" s="299"/>
      <c r="EB19" s="28"/>
      <c r="EC19" s="28"/>
      <c r="EE19" s="415" t="s">
        <v>60</v>
      </c>
      <c r="EG19" s="1623"/>
      <c r="EH19" s="1552"/>
      <c r="EI19" s="1552"/>
      <c r="EJ19" s="415" t="s">
        <v>505</v>
      </c>
      <c r="EK19" s="1552"/>
      <c r="EL19" s="306">
        <f ca="1">CN16</f>
        <v>0</v>
      </c>
      <c r="EM19" s="35"/>
      <c r="EN19" s="35"/>
      <c r="EO19" s="415"/>
      <c r="EP19" s="35"/>
      <c r="EQ19" s="1602" t="s">
        <v>1146</v>
      </c>
      <c r="ER19" s="306">
        <f>CN21</f>
        <v>0</v>
      </c>
      <c r="ES19" s="35"/>
      <c r="ET19" s="1624"/>
      <c r="EU19" s="28"/>
      <c r="EV19" s="28"/>
      <c r="EW19" s="28"/>
      <c r="EX19" s="28"/>
      <c r="EY19" s="28"/>
      <c r="EZ19" s="28"/>
      <c r="FG19" s="28"/>
      <c r="FT19" s="242"/>
      <c r="FU19" s="326"/>
      <c r="FV19" s="326"/>
      <c r="FW19" s="415" t="s">
        <v>505</v>
      </c>
      <c r="FX19" s="326"/>
      <c r="FY19" s="306">
        <f>DL16</f>
        <v>0</v>
      </c>
      <c r="GB19" s="297">
        <f>DL15</f>
        <v>0</v>
      </c>
      <c r="GE19" s="1558">
        <f>FY19+GB19</f>
        <v>0</v>
      </c>
      <c r="GG19" s="299"/>
      <c r="GI19" s="378" t="s">
        <v>60</v>
      </c>
    </row>
    <row r="20" spans="1:197" ht="17.100000000000001" customHeight="1" x14ac:dyDescent="0.2">
      <c r="A20" s="311"/>
      <c r="B20" s="3946"/>
      <c r="C20" s="3947"/>
      <c r="D20" s="3951" t="s">
        <v>534</v>
      </c>
      <c r="E20" s="3908"/>
      <c r="F20" s="3908"/>
      <c r="G20" s="3908"/>
      <c r="H20" s="3908"/>
      <c r="I20" s="3908"/>
      <c r="J20" s="3908"/>
      <c r="K20" s="3908"/>
      <c r="L20" s="3908"/>
      <c r="M20" s="3908"/>
      <c r="N20" s="3908"/>
      <c r="O20" s="3908"/>
      <c r="P20" s="3908"/>
      <c r="Q20" s="3908"/>
      <c r="R20" s="3908"/>
      <c r="S20" s="3908"/>
      <c r="T20" s="3909"/>
      <c r="U20" s="280"/>
      <c r="V20" s="2231">
        <v>0</v>
      </c>
      <c r="W20" s="1171"/>
      <c r="X20" s="1171"/>
      <c r="Y20" s="4058"/>
      <c r="Z20" s="4059"/>
      <c r="AA20" s="4011" t="str">
        <f>MID(Y14,1,2)&amp;"4"</f>
        <v>4</v>
      </c>
      <c r="AB20" s="3908"/>
      <c r="AC20" s="3908"/>
      <c r="AD20" s="3908"/>
      <c r="AE20" s="3908"/>
      <c r="AF20" s="3908"/>
      <c r="AG20" s="3908"/>
      <c r="AH20" s="3908"/>
      <c r="AI20" s="3908"/>
      <c r="AJ20" s="3908"/>
      <c r="AK20" s="3909"/>
      <c r="AL20" s="280"/>
      <c r="AM20" s="3987"/>
      <c r="AN20" s="4133"/>
      <c r="AO20" s="3986"/>
      <c r="AP20" s="283"/>
      <c r="AQ20" s="3960"/>
      <c r="AR20" s="3960"/>
      <c r="AS20" s="3960"/>
      <c r="AT20" s="3960"/>
      <c r="AU20" s="3960"/>
      <c r="AV20" s="3960"/>
      <c r="AW20" s="3960"/>
      <c r="AX20" s="3960"/>
      <c r="AY20" s="3960"/>
      <c r="AZ20" s="3960"/>
      <c r="BA20" s="3974" t="str" cm="1">
        <f t="array" ref="BA20">_xlfn.IFS(
BD14=0,MID(BB14,1,2)&amp;"4",
BD14=1,MID(BB14,1,2)&amp;"8",
BD14=2,MID(BB14,1,2)&amp;"
12",
BD14=3,MID(BB14,1,2)&amp;"
16",
BD14=4,MID(BB14,1,2)&amp;"
20",
BD14=5,MID(BB14,1,2)&amp;"
24",
TRUE,"")</f>
        <v>4</v>
      </c>
      <c r="BB20" s="4058"/>
      <c r="BC20" s="4059"/>
      <c r="BD20" s="1171"/>
      <c r="BE20" s="1171"/>
      <c r="BF20" s="3986"/>
      <c r="BG20" s="283"/>
      <c r="BH20" s="3960"/>
      <c r="BI20" s="3960"/>
      <c r="BJ20" s="3960"/>
      <c r="BK20" s="3960"/>
      <c r="BL20" s="3960"/>
      <c r="BM20" s="3960"/>
      <c r="BN20" s="3960"/>
      <c r="BO20" s="3960"/>
      <c r="BP20" s="3960"/>
      <c r="BQ20" s="3960"/>
      <c r="BR20" s="3960"/>
      <c r="BS20" s="3960"/>
      <c r="BT20" s="3960"/>
      <c r="BU20" s="3960"/>
      <c r="BV20" s="3960"/>
      <c r="BW20" s="3960"/>
      <c r="BX20" s="4037" t="s">
        <v>736</v>
      </c>
      <c r="BY20" s="3946"/>
      <c r="BZ20" s="3947"/>
      <c r="CA20" s="91"/>
      <c r="CC20" s="295" t="str">
        <f t="shared" ref="CC20" si="30">BX20</f>
        <v>S-4</v>
      </c>
      <c r="CD20" s="296">
        <f t="shared" ref="CD20" si="31">BG20</f>
        <v>0</v>
      </c>
      <c r="CF20" s="242"/>
      <c r="CG20" s="297">
        <f ca="1">IF(AND(U21=$AP$2,U20=100%),1,0)</f>
        <v>0</v>
      </c>
      <c r="CH20" s="39">
        <f ca="1">IF(AND(U21=$AP$2,U20&gt;0%),1,0)</f>
        <v>0</v>
      </c>
      <c r="CI20" s="1608">
        <f>IF(V20&gt;=$CY$21,1,0)</f>
        <v>0</v>
      </c>
      <c r="CN20" s="39" t="s">
        <v>775</v>
      </c>
      <c r="CS20" s="297">
        <f ca="1">IF(OR(PLANS!$B$1=32,E20="",$DB$17=1),0,IF(AND(OR(U21&lt;&gt;$AP$2,AND(U21=$AP$2,U20&lt;$DB$18)),$B$2=$CT$14),1,0))</f>
        <v>0</v>
      </c>
      <c r="CT20" s="2166" t="str">
        <f t="shared" ref="CT20" si="32">$CT$14</f>
        <v>SAT</v>
      </c>
      <c r="CU20" s="2216">
        <f ca="1">IF(OR(PLANS!$B$1=32,E20="",$DB$17=1),0,IF(AND(OR(U21&lt;&gt;$AP$2,AND(U21=$AP$2,U20&lt;&gt;100%)),$B$2=$CV$14),1,0))</f>
        <v>0</v>
      </c>
      <c r="CV20" s="2166" t="str">
        <f t="shared" ref="CV20" si="33">$CV$14</f>
        <v>SUN</v>
      </c>
      <c r="CW20" s="1608">
        <f t="shared" ref="CW20" si="34">IF(E20&lt;&gt;"", IF(V20&lt;$CY$22,1,0),0)</f>
        <v>0</v>
      </c>
      <c r="CY20" s="298" t="s">
        <v>439</v>
      </c>
      <c r="CZ20" s="1608">
        <f>SUM(CW14:CW24)</f>
        <v>0</v>
      </c>
      <c r="DD20" s="1608">
        <f>IF(AND(BG20=100%,BF20&lt;&gt;""),1,0)</f>
        <v>0</v>
      </c>
      <c r="DE20" s="297">
        <f>IF(AND(BG20=100%,BF20=""),1,0)</f>
        <v>0</v>
      </c>
      <c r="DF20" s="39">
        <f>IF(BG20&gt;0%,1,0)</f>
        <v>0</v>
      </c>
      <c r="DQ20" s="297">
        <f ca="1">IF(AND(BH20&lt;&gt;"",BG21&lt;&gt;"",BF20="",BG20&lt;&gt;100%,BG21&lt;PLANS!$B$1),1,0)</f>
        <v>0</v>
      </c>
      <c r="DS20" s="2216">
        <f>IF(BH20="",0, IF(AND(BF20="",BG20&lt;&gt;100%,BG21=$EC$37),1,0) )</f>
        <v>0</v>
      </c>
      <c r="DZ20" s="299"/>
      <c r="EB20" s="28"/>
      <c r="EC20" s="28"/>
      <c r="EE20" s="1632" t="s">
        <v>456</v>
      </c>
      <c r="EG20" s="1623"/>
      <c r="EH20" s="1552"/>
      <c r="EI20" s="1552"/>
      <c r="EJ20" s="1552"/>
      <c r="EK20" s="1552"/>
      <c r="EL20" s="35"/>
      <c r="EM20" s="35"/>
      <c r="EN20" s="35"/>
      <c r="EO20" s="1625"/>
      <c r="EP20" s="35"/>
      <c r="EQ20" s="312" t="s">
        <v>1148</v>
      </c>
      <c r="ER20" s="35"/>
      <c r="ES20" s="35"/>
      <c r="ET20" s="1624"/>
      <c r="EU20" s="28"/>
      <c r="EV20" s="28"/>
      <c r="EW20" s="28"/>
      <c r="EX20" s="28"/>
      <c r="EY20" s="28"/>
      <c r="EZ20" s="28"/>
      <c r="FG20" s="1610" t="s">
        <v>1155</v>
      </c>
      <c r="FT20" s="242"/>
      <c r="FU20" s="326"/>
      <c r="FV20" s="326"/>
      <c r="FW20" s="326"/>
      <c r="FX20" s="326"/>
      <c r="GB20" s="46"/>
      <c r="GE20" s="1176"/>
      <c r="GG20" s="299"/>
      <c r="GI20" s="435" t="s">
        <v>732</v>
      </c>
    </row>
    <row r="21" spans="1:197" ht="17.100000000000001" customHeight="1" thickBot="1" x14ac:dyDescent="0.2">
      <c r="A21" s="311" t="str">
        <f>_xlfn.IFS(
U21="wk1", PLANS!$CE$4,
U21="wk2", PLANS!$CE$10,
U21="wk3", PLANS!$CE$16,
U21="wk4", PLANS!$CE$22,
U21="wk5", PLANS!$CE$28,
U21="wk6", PLANS!$CE$34,
TRUE,"")</f>
        <v/>
      </c>
      <c r="B21" s="3946"/>
      <c r="C21" s="3947"/>
      <c r="D21" s="3952"/>
      <c r="E21" s="3911"/>
      <c r="F21" s="3911"/>
      <c r="G21" s="3911"/>
      <c r="H21" s="3911"/>
      <c r="I21" s="3911"/>
      <c r="J21" s="3911"/>
      <c r="K21" s="3911"/>
      <c r="L21" s="3911"/>
      <c r="M21" s="3911"/>
      <c r="N21" s="3911"/>
      <c r="O21" s="3911"/>
      <c r="P21" s="3911"/>
      <c r="Q21" s="3911"/>
      <c r="R21" s="3911"/>
      <c r="S21" s="3911"/>
      <c r="T21" s="3912"/>
      <c r="U21" s="2098"/>
      <c r="V21" s="2232" t="str">
        <f>"/"&amp;$CY$21</f>
        <v>/4</v>
      </c>
      <c r="W21" s="1171"/>
      <c r="X21" s="1171"/>
      <c r="Y21" s="4060"/>
      <c r="Z21" s="4061"/>
      <c r="AA21" s="4067"/>
      <c r="AB21" s="3990"/>
      <c r="AC21" s="3990"/>
      <c r="AD21" s="3990"/>
      <c r="AE21" s="3990"/>
      <c r="AF21" s="3990"/>
      <c r="AG21" s="3990"/>
      <c r="AH21" s="3990"/>
      <c r="AI21" s="3990"/>
      <c r="AJ21" s="3990"/>
      <c r="AK21" s="3991"/>
      <c r="AL21" s="286"/>
      <c r="AM21" s="3987"/>
      <c r="AN21" s="4133"/>
      <c r="AO21" s="3986"/>
      <c r="AP21" s="287"/>
      <c r="AQ21" s="3997"/>
      <c r="AR21" s="3997"/>
      <c r="AS21" s="3997"/>
      <c r="AT21" s="3997"/>
      <c r="AU21" s="3997"/>
      <c r="AV21" s="3997"/>
      <c r="AW21" s="3997"/>
      <c r="AX21" s="3997"/>
      <c r="AY21" s="3997"/>
      <c r="AZ21" s="3997"/>
      <c r="BA21" s="3975"/>
      <c r="BB21" s="4060"/>
      <c r="BC21" s="4061"/>
      <c r="BD21" s="1171"/>
      <c r="BE21" s="1171"/>
      <c r="BF21" s="3986"/>
      <c r="BG21" s="282"/>
      <c r="BH21" s="3960"/>
      <c r="BI21" s="3960"/>
      <c r="BJ21" s="3960"/>
      <c r="BK21" s="3960"/>
      <c r="BL21" s="3960"/>
      <c r="BM21" s="3960"/>
      <c r="BN21" s="3960"/>
      <c r="BO21" s="3960"/>
      <c r="BP21" s="3960"/>
      <c r="BQ21" s="3960"/>
      <c r="BR21" s="3960"/>
      <c r="BS21" s="3960"/>
      <c r="BT21" s="3960"/>
      <c r="BU21" s="3960"/>
      <c r="BV21" s="3960"/>
      <c r="BW21" s="3960"/>
      <c r="BX21" s="4043"/>
      <c r="BY21" s="3946"/>
      <c r="BZ21" s="3947"/>
      <c r="CA21" s="91"/>
      <c r="CC21" s="301" t="str">
        <f t="shared" ref="CC21" si="35">D20</f>
        <v>W-4</v>
      </c>
      <c r="CD21" s="302">
        <f t="shared" ref="CD21" si="36">U20</f>
        <v>0</v>
      </c>
      <c r="CF21" s="242"/>
      <c r="CG21" s="46"/>
      <c r="CI21" s="379"/>
      <c r="CN21" s="1608">
        <f>SUM(CI14:CI24)</f>
        <v>0</v>
      </c>
      <c r="CS21" s="46"/>
      <c r="CT21" s="2167"/>
      <c r="CV21" s="2167"/>
      <c r="CY21" s="415">
        <f>4-PLANS!$CZ$81</f>
        <v>4</v>
      </c>
      <c r="CZ21" s="378" t="s">
        <v>1393</v>
      </c>
      <c r="DE21" s="46"/>
      <c r="DQ21" s="46"/>
      <c r="DZ21" s="299"/>
      <c r="EB21" s="28"/>
      <c r="EC21" s="28"/>
      <c r="EG21" s="1623"/>
      <c r="EH21" s="1552"/>
      <c r="EI21" s="1552"/>
      <c r="EJ21" s="415" t="s">
        <v>462</v>
      </c>
      <c r="EK21" s="1552"/>
      <c r="EL21" s="306">
        <f ca="1">IF(DB17=1,0,IF(EL17-EL19&lt;0,0,EL17-EL19))</f>
        <v>0</v>
      </c>
      <c r="EM21" s="35"/>
      <c r="EN21" s="35"/>
      <c r="EO21" s="415"/>
      <c r="EP21" s="35"/>
      <c r="EQ21" s="1602" t="s">
        <v>1149</v>
      </c>
      <c r="ER21" s="306">
        <f>COUNTA($E$14:$T$25)-ER19</f>
        <v>0</v>
      </c>
      <c r="ES21" s="35"/>
      <c r="ET21" s="1624"/>
      <c r="EU21" s="28"/>
      <c r="EV21" s="28"/>
      <c r="EW21" s="28"/>
      <c r="EX21" s="28"/>
      <c r="EY21" s="28"/>
      <c r="EZ21" s="28"/>
      <c r="FG21" s="306">
        <f>EZ7+FN7</f>
        <v>0</v>
      </c>
      <c r="FT21" s="242"/>
      <c r="FU21" s="326"/>
      <c r="FV21" s="326"/>
      <c r="FW21" s="415" t="s">
        <v>462</v>
      </c>
      <c r="FX21" s="326"/>
      <c r="FY21" s="306">
        <f>FY17-FY19</f>
        <v>0</v>
      </c>
      <c r="GB21" s="297">
        <f>GB17-GB19</f>
        <v>0</v>
      </c>
      <c r="GE21" s="1558">
        <f>GE17-GE19</f>
        <v>0</v>
      </c>
      <c r="GG21" s="299"/>
      <c r="GI21" s="73"/>
    </row>
    <row r="22" spans="1:197" ht="17.100000000000001" customHeight="1" x14ac:dyDescent="0.2">
      <c r="A22" s="311"/>
      <c r="B22" s="3946"/>
      <c r="C22" s="3947"/>
      <c r="D22" s="3951" t="s">
        <v>535</v>
      </c>
      <c r="E22" s="3908"/>
      <c r="F22" s="3908"/>
      <c r="G22" s="3908"/>
      <c r="H22" s="3908"/>
      <c r="I22" s="3908"/>
      <c r="J22" s="3908"/>
      <c r="K22" s="3908"/>
      <c r="L22" s="3908"/>
      <c r="M22" s="3908"/>
      <c r="N22" s="3908"/>
      <c r="O22" s="3908"/>
      <c r="P22" s="3908"/>
      <c r="Q22" s="3908"/>
      <c r="R22" s="3908"/>
      <c r="S22" s="3908"/>
      <c r="T22" s="3909"/>
      <c r="U22" s="280"/>
      <c r="V22" s="2231">
        <v>0</v>
      </c>
      <c r="W22" s="1171"/>
      <c r="X22" s="311">
        <f>COUNTIF($Y$14,Y22)</f>
        <v>0</v>
      </c>
      <c r="Y22" s="4056"/>
      <c r="Z22" s="4057"/>
      <c r="AA22" s="4084" t="str" cm="1">
        <f t="array" ref="AA22">_xlfn.IFS(
X22=0,MID(Y22,1,2)&amp;"1",
X22=1,MID(Y22,1,2)&amp;"5",
X22=2,MID(Y22,1,2)&amp;"9",
X22=3,MID(Y22,1,2)&amp;"
13",
X22=4,MID(Y22,1,2)&amp;"
17",
X22=5,MID(Y22,1,2)&amp;"
21",
TRUE,"")</f>
        <v>1</v>
      </c>
      <c r="AB22" s="3993"/>
      <c r="AC22" s="3993"/>
      <c r="AD22" s="3993"/>
      <c r="AE22" s="3993"/>
      <c r="AF22" s="3993"/>
      <c r="AG22" s="3993"/>
      <c r="AH22" s="3993"/>
      <c r="AI22" s="3993"/>
      <c r="AJ22" s="3993"/>
      <c r="AK22" s="3994"/>
      <c r="AL22" s="288"/>
      <c r="AM22" s="3987"/>
      <c r="AN22" s="4133"/>
      <c r="AO22" s="3986"/>
      <c r="AP22" s="289"/>
      <c r="AQ22" s="4040"/>
      <c r="AR22" s="4040"/>
      <c r="AS22" s="4040"/>
      <c r="AT22" s="4040"/>
      <c r="AU22" s="4040"/>
      <c r="AV22" s="4040"/>
      <c r="AW22" s="4040"/>
      <c r="AX22" s="4040"/>
      <c r="AY22" s="4040"/>
      <c r="AZ22" s="4040"/>
      <c r="BA22" s="4123" t="str" cm="1">
        <f t="array" ref="BA22">_xlfn.IFS(
BD22=0,MID(BB22,1,2)&amp;"1",
BD22=1,MID(BB22,1,2)&amp;"5",
BD22=2,MID(BB22,1,2)&amp;"9",
BD22=3,MID(BB22,1,2)&amp;"
13",
BD22=4,MID(BB22,1,2)&amp;"
17",
BD22=5,MID(BB22,1,2)&amp;"
21",
TRUE,"")</f>
        <v>1</v>
      </c>
      <c r="BB22" s="4056"/>
      <c r="BC22" s="4057"/>
      <c r="BD22" s="311">
        <f>COUNTIF($Y$14:$Z$37,BB22)+COUNTIF($BB$14,BB22)</f>
        <v>0</v>
      </c>
      <c r="BE22" s="1171"/>
      <c r="BF22" s="3986"/>
      <c r="BG22" s="283"/>
      <c r="BH22" s="3960"/>
      <c r="BI22" s="3960"/>
      <c r="BJ22" s="3960"/>
      <c r="BK22" s="3960"/>
      <c r="BL22" s="3960"/>
      <c r="BM22" s="3960"/>
      <c r="BN22" s="3960"/>
      <c r="BO22" s="3960"/>
      <c r="BP22" s="3960"/>
      <c r="BQ22" s="3960"/>
      <c r="BR22" s="3960"/>
      <c r="BS22" s="3960"/>
      <c r="BT22" s="3960"/>
      <c r="BU22" s="3960"/>
      <c r="BV22" s="3960"/>
      <c r="BW22" s="3960"/>
      <c r="BX22" s="4037" t="s">
        <v>737</v>
      </c>
      <c r="BY22" s="3946"/>
      <c r="BZ22" s="3947"/>
      <c r="CA22" s="91"/>
      <c r="CC22" s="295" t="str">
        <f t="shared" ref="CC22" si="37">BX22</f>
        <v>S-5</v>
      </c>
      <c r="CD22" s="296">
        <f t="shared" ref="CD22" si="38">BG22</f>
        <v>0</v>
      </c>
      <c r="CF22" s="242"/>
      <c r="CG22" s="297">
        <f ca="1">IF(AND(U23=$AP$2,U22=100%),1,0)</f>
        <v>0</v>
      </c>
      <c r="CH22" s="39">
        <f ca="1">IF(AND(U23=$AP$2,U22&gt;0%),1,0)</f>
        <v>0</v>
      </c>
      <c r="CI22" s="1608">
        <f>IF(V22&gt;=$CY$21,1,0)</f>
        <v>0</v>
      </c>
      <c r="CS22" s="297">
        <f ca="1">IF(OR(PLANS!$B$1=32,E22="",$DB$17=1),0,IF(AND(OR(U23&lt;&gt;$AP$2,AND(U23=$AP$2,U22&lt;$DB$18)),$B$2=$CT$14),1,0))</f>
        <v>0</v>
      </c>
      <c r="CT22" s="2166" t="str">
        <f t="shared" ref="CT22" si="39">$CT$14</f>
        <v>SAT</v>
      </c>
      <c r="CU22" s="2216">
        <f ca="1">IF(OR(PLANS!$B$1=32,E22="",$DB$17=1),0,IF(AND(OR(U23&lt;&gt;$AP$2,AND(U23=$AP$2,U22&lt;&gt;100%)),$B$2=$CV$14),1,0))</f>
        <v>0</v>
      </c>
      <c r="CV22" s="2166" t="str">
        <f t="shared" ref="CV22" si="40">$CV$14</f>
        <v>SUN</v>
      </c>
      <c r="CW22" s="1608">
        <f t="shared" ref="CW22" si="41">IF(E22&lt;&gt;"", IF(V22&lt;$CY$22,1,0),0)</f>
        <v>0</v>
      </c>
      <c r="CY22" s="928" t="e" cm="1">
        <f t="array" aca="1" ref="CY22" ca="1">_xlfn.IFS(
PLANS!$B$1&gt;=PLANS!$CE$28,4-PLANS!$CZ$81,
PLANS!$B$1&gt;=PLANS!$CE$22,3-PLANS!$CZ$81,
PLANS!$B$1&gt;=PLANS!$CE$16,2-PLANS!$CZ$81,
PLANS!$B$1&gt;=PLANS!$CE$10,1-PLANS!$CZ$81,
TRUE,0)</f>
        <v>#VALUE!</v>
      </c>
      <c r="CZ22" s="36" t="s">
        <v>1394</v>
      </c>
      <c r="DD22" s="1608">
        <f>IF(AND(BG22=100%,BF22&lt;&gt;""),1,0)</f>
        <v>0</v>
      </c>
      <c r="DE22" s="297">
        <f>IF(AND(BG22=100%,BF22=""),1,0)</f>
        <v>0</v>
      </c>
      <c r="DF22" s="39">
        <f>IF(BG22&gt;0%,1,0)</f>
        <v>0</v>
      </c>
      <c r="DQ22" s="297">
        <f ca="1">IF(AND(BH22&lt;&gt;"",BG23&lt;&gt;"",BF22="",BG22&lt;&gt;100%,BG23&lt;PLANS!$B$1),1,0)</f>
        <v>0</v>
      </c>
      <c r="DS22" s="2216">
        <f>IF(BH22="",0, IF(AND(BF22="",BG22&lt;&gt;100%,BG23=$EC$37),1,0) )</f>
        <v>0</v>
      </c>
      <c r="DZ22" s="299"/>
      <c r="EB22" s="28"/>
      <c r="EC22" s="28"/>
      <c r="EG22" s="1623"/>
      <c r="EH22" s="1552"/>
      <c r="EI22" s="1552"/>
      <c r="EJ22" s="1552"/>
      <c r="EK22" s="1552"/>
      <c r="EL22" s="35"/>
      <c r="EM22" s="35"/>
      <c r="EN22" s="35"/>
      <c r="EO22" s="1625"/>
      <c r="EP22" s="415"/>
      <c r="EQ22" s="35"/>
      <c r="ER22" s="35"/>
      <c r="ES22" s="35"/>
      <c r="ET22" s="1624"/>
      <c r="EU22" s="28"/>
      <c r="EV22" s="28"/>
      <c r="EW22" s="28"/>
      <c r="EX22" s="28"/>
      <c r="EY22" s="28"/>
      <c r="EZ22" s="28"/>
      <c r="FT22" s="242"/>
      <c r="FU22" s="326"/>
      <c r="FV22" s="326"/>
      <c r="FW22" s="326"/>
      <c r="FX22" s="326"/>
      <c r="GB22" s="46"/>
      <c r="GE22" s="1176"/>
      <c r="GG22" s="299"/>
      <c r="GI22" s="73"/>
    </row>
    <row r="23" spans="1:197" ht="17.100000000000001" customHeight="1" x14ac:dyDescent="0.2">
      <c r="A23" s="311" t="str">
        <f>_xlfn.IFS(
U23="wk1", PLANS!$CE$4,
U23="wk2", PLANS!$CE$10,
U23="wk3", PLANS!$CE$16,
U23="wk4", PLANS!$CE$22,
U23="wk5", PLANS!$CE$28,
U23="wk6", PLANS!$CE$34,
TRUE,"")</f>
        <v/>
      </c>
      <c r="B23" s="3946"/>
      <c r="C23" s="3947"/>
      <c r="D23" s="3952"/>
      <c r="E23" s="3911"/>
      <c r="F23" s="3911"/>
      <c r="G23" s="3911"/>
      <c r="H23" s="3911"/>
      <c r="I23" s="3911"/>
      <c r="J23" s="3911"/>
      <c r="K23" s="3911"/>
      <c r="L23" s="3911"/>
      <c r="M23" s="3911"/>
      <c r="N23" s="3911"/>
      <c r="O23" s="3911"/>
      <c r="P23" s="3911"/>
      <c r="Q23" s="3911"/>
      <c r="R23" s="3911"/>
      <c r="S23" s="3911"/>
      <c r="T23" s="3912"/>
      <c r="U23" s="2098"/>
      <c r="V23" s="2232" t="str">
        <f>"/"&amp;$CY$21</f>
        <v>/4</v>
      </c>
      <c r="W23" s="1171"/>
      <c r="X23" s="1171"/>
      <c r="Y23" s="4058"/>
      <c r="Z23" s="4059"/>
      <c r="AA23" s="4012"/>
      <c r="AB23" s="3911"/>
      <c r="AC23" s="3911"/>
      <c r="AD23" s="3911"/>
      <c r="AE23" s="3911"/>
      <c r="AF23" s="3911"/>
      <c r="AG23" s="3911"/>
      <c r="AH23" s="3911"/>
      <c r="AI23" s="3911"/>
      <c r="AJ23" s="3911"/>
      <c r="AK23" s="3912"/>
      <c r="AL23" s="285"/>
      <c r="AM23" s="3987"/>
      <c r="AN23" s="4133"/>
      <c r="AO23" s="3986"/>
      <c r="AP23" s="282"/>
      <c r="AQ23" s="3960"/>
      <c r="AR23" s="3960"/>
      <c r="AS23" s="3960"/>
      <c r="AT23" s="3960"/>
      <c r="AU23" s="3960"/>
      <c r="AV23" s="3960"/>
      <c r="AW23" s="3960"/>
      <c r="AX23" s="3960"/>
      <c r="AY23" s="3960"/>
      <c r="AZ23" s="3960"/>
      <c r="BA23" s="3976"/>
      <c r="BB23" s="4058"/>
      <c r="BC23" s="4059"/>
      <c r="BD23" s="1171"/>
      <c r="BE23" s="1171"/>
      <c r="BF23" s="3986"/>
      <c r="BG23" s="282"/>
      <c r="BH23" s="3960"/>
      <c r="BI23" s="3960"/>
      <c r="BJ23" s="3960"/>
      <c r="BK23" s="3960"/>
      <c r="BL23" s="3960"/>
      <c r="BM23" s="3960"/>
      <c r="BN23" s="3960"/>
      <c r="BO23" s="3960"/>
      <c r="BP23" s="3960"/>
      <c r="BQ23" s="3960"/>
      <c r="BR23" s="3960"/>
      <c r="BS23" s="3960"/>
      <c r="BT23" s="3960"/>
      <c r="BU23" s="3960"/>
      <c r="BV23" s="3960"/>
      <c r="BW23" s="3960"/>
      <c r="BX23" s="4043"/>
      <c r="BY23" s="3946"/>
      <c r="BZ23" s="3947"/>
      <c r="CA23" s="91"/>
      <c r="CC23" s="301" t="str">
        <f t="shared" ref="CC23" si="42">D22</f>
        <v>W-5</v>
      </c>
      <c r="CD23" s="302">
        <f t="shared" ref="CD23" si="43">U22</f>
        <v>0</v>
      </c>
      <c r="CF23" s="242"/>
      <c r="CG23" s="46"/>
      <c r="CI23" s="2162"/>
      <c r="CS23" s="46"/>
      <c r="CT23" s="2167"/>
      <c r="CV23" s="2167"/>
      <c r="DA23" s="2220" t="s">
        <v>1358</v>
      </c>
      <c r="DE23" s="46"/>
      <c r="DQ23" s="46"/>
      <c r="DY23" s="2220" t="s">
        <v>1359</v>
      </c>
      <c r="DZ23" s="299"/>
      <c r="EB23" s="28"/>
      <c r="EC23" s="28"/>
      <c r="EG23" s="1623"/>
      <c r="EH23" s="1552"/>
      <c r="EI23" s="1552"/>
      <c r="EJ23" s="415" t="s">
        <v>847</v>
      </c>
      <c r="EK23" s="1552"/>
      <c r="EL23" s="306">
        <f>CZ20</f>
        <v>0</v>
      </c>
      <c r="EM23" s="35"/>
      <c r="EN23" s="35"/>
      <c r="EO23" s="35"/>
      <c r="EP23" s="35"/>
      <c r="EQ23" s="304" t="s">
        <v>493</v>
      </c>
      <c r="ER23" s="1631">
        <f ca="1">$CN$18</f>
        <v>0</v>
      </c>
      <c r="ES23" s="35"/>
      <c r="ET23" s="1624"/>
      <c r="EU23" s="28"/>
      <c r="EV23" s="28"/>
      <c r="EW23" s="28"/>
      <c r="EX23" s="28"/>
      <c r="EY23" s="28"/>
      <c r="EZ23" s="28"/>
      <c r="FG23" s="1610" t="s">
        <v>1166</v>
      </c>
      <c r="FT23" s="242"/>
      <c r="FU23" s="326"/>
      <c r="FV23" s="326"/>
      <c r="FW23" s="415" t="s">
        <v>469</v>
      </c>
      <c r="FX23" s="326"/>
      <c r="FY23" s="306">
        <f ca="1">DX16</f>
        <v>0</v>
      </c>
      <c r="GG23" s="299"/>
      <c r="GI23" s="73"/>
    </row>
    <row r="24" spans="1:197" ht="17.100000000000001" customHeight="1" x14ac:dyDescent="0.2">
      <c r="A24" s="311"/>
      <c r="B24" s="3946"/>
      <c r="C24" s="3947"/>
      <c r="D24" s="3951" t="s">
        <v>536</v>
      </c>
      <c r="E24" s="3908"/>
      <c r="F24" s="3908"/>
      <c r="G24" s="3908"/>
      <c r="H24" s="3908"/>
      <c r="I24" s="3908"/>
      <c r="J24" s="3908"/>
      <c r="K24" s="3908"/>
      <c r="L24" s="3908"/>
      <c r="M24" s="3908"/>
      <c r="N24" s="3908"/>
      <c r="O24" s="3908"/>
      <c r="P24" s="3908"/>
      <c r="Q24" s="3908"/>
      <c r="R24" s="3908"/>
      <c r="S24" s="3908"/>
      <c r="T24" s="3909"/>
      <c r="U24" s="280"/>
      <c r="V24" s="2231">
        <v>0</v>
      </c>
      <c r="W24" s="1171"/>
      <c r="X24" s="1171"/>
      <c r="Y24" s="4058"/>
      <c r="Z24" s="4059"/>
      <c r="AA24" s="4011" t="str" cm="1">
        <f t="array" ref="AA24">_xlfn.IFS(
X22=0,MID(Y22,1,2)&amp;"2",
X22=1,MID(Y22,1,2)&amp;"6",
X22=2,MID(Y22,1,2)&amp;"
10",
X22=3,MID(Y22,1,2)&amp;"
14",
X22=4,MID(Y22,1,2)&amp;"
18",
X22=5,MID(Y22,1,2)&amp;"
22",
TRUE,"")</f>
        <v>2</v>
      </c>
      <c r="AB24" s="3908"/>
      <c r="AC24" s="3908"/>
      <c r="AD24" s="3908"/>
      <c r="AE24" s="3908"/>
      <c r="AF24" s="3908"/>
      <c r="AG24" s="3908"/>
      <c r="AH24" s="3908"/>
      <c r="AI24" s="3908"/>
      <c r="AJ24" s="3908"/>
      <c r="AK24" s="3909"/>
      <c r="AL24" s="280"/>
      <c r="AM24" s="3987"/>
      <c r="AN24" s="4133"/>
      <c r="AO24" s="3986"/>
      <c r="AP24" s="283"/>
      <c r="AQ24" s="3960"/>
      <c r="AR24" s="3960"/>
      <c r="AS24" s="3960"/>
      <c r="AT24" s="3960"/>
      <c r="AU24" s="3960"/>
      <c r="AV24" s="3960"/>
      <c r="AW24" s="3960"/>
      <c r="AX24" s="3960"/>
      <c r="AY24" s="3960"/>
      <c r="AZ24" s="3960"/>
      <c r="BA24" s="3974" t="str" cm="1">
        <f t="array" ref="BA24">_xlfn.IFS(
BD22=0,MID(BB22,1,2)&amp;"2",
BD22=1,MID(BB22,1,2)&amp;"6",
BD22=2,MID(BB22,1,2)&amp;"
10",
BD22=3,MID(BB22,1,2)&amp;"
14",
BD22=4,MID(BB22,1,2)&amp;"
18",
BD22=5,MID(BB22,1,2)&amp;"
22",
TRUE,"")</f>
        <v>2</v>
      </c>
      <c r="BB24" s="4058"/>
      <c r="BC24" s="4059"/>
      <c r="BD24" s="1171"/>
      <c r="BE24" s="1171"/>
      <c r="BF24" s="3986"/>
      <c r="BG24" s="283"/>
      <c r="BH24" s="3960"/>
      <c r="BI24" s="3960"/>
      <c r="BJ24" s="3960"/>
      <c r="BK24" s="3960"/>
      <c r="BL24" s="3960"/>
      <c r="BM24" s="3960"/>
      <c r="BN24" s="3960"/>
      <c r="BO24" s="3960"/>
      <c r="BP24" s="3960"/>
      <c r="BQ24" s="3960"/>
      <c r="BR24" s="3960"/>
      <c r="BS24" s="3960"/>
      <c r="BT24" s="3960"/>
      <c r="BU24" s="3960"/>
      <c r="BV24" s="3960"/>
      <c r="BW24" s="3960"/>
      <c r="BX24" s="4037" t="s">
        <v>738</v>
      </c>
      <c r="BY24" s="3946"/>
      <c r="BZ24" s="3947"/>
      <c r="CA24" s="91"/>
      <c r="CC24" s="295" t="str">
        <f t="shared" ref="CC24" si="44">BX24</f>
        <v>S-6</v>
      </c>
      <c r="CD24" s="296">
        <f t="shared" ref="CD24" si="45">BG24</f>
        <v>0</v>
      </c>
      <c r="CF24" s="242"/>
      <c r="CG24" s="297">
        <f ca="1">IF(AND(U25=$AP$2,U24=100%),1,0)</f>
        <v>0</v>
      </c>
      <c r="CH24" s="39">
        <f ca="1">IF(AND(U25=$AP$2,U24&gt;0%),1,0)</f>
        <v>0</v>
      </c>
      <c r="CI24" s="1608">
        <f>IF(V24&gt;=$CY$21,1,0)</f>
        <v>0</v>
      </c>
      <c r="CS24" s="297">
        <f ca="1">IF(OR(PLANS!$B$1=32,E24="",$DB$17=1),0,IF(AND(OR(U25&lt;&gt;$AP$2,AND(U25=$AP$2,U24&lt;$DB$18)),$B$2=$CT$14),1,0))</f>
        <v>0</v>
      </c>
      <c r="CT24" s="2166" t="str">
        <f t="shared" ref="CT24" si="46">$CT$14</f>
        <v>SAT</v>
      </c>
      <c r="CU24" s="2216">
        <f ca="1">IF(OR(PLANS!$B$1=32,E24="",$DB$17=1),0,IF(AND(OR(U25&lt;&gt;$AP$2,AND(U25=$AP$2,U24&lt;&gt;100%)),$B$2=$CV$14),1,0))</f>
        <v>0</v>
      </c>
      <c r="CV24" s="2166" t="str">
        <f t="shared" ref="CV24" si="47">$CV$14</f>
        <v>SUN</v>
      </c>
      <c r="CW24" s="1608">
        <f t="shared" ref="CW24" si="48">IF(E24&lt;&gt;"", IF(V24&lt;$CY$22,1,0),0)</f>
        <v>0</v>
      </c>
      <c r="CZ24" s="2216">
        <f ca="1">SUM(CU14:CU24)</f>
        <v>0</v>
      </c>
      <c r="DD24" s="1608">
        <f>IF(AND(BG24=100%,BF24&lt;&gt;""),1,0)</f>
        <v>0</v>
      </c>
      <c r="DE24" s="297">
        <f>IF(AND(BG24=100%,BF24=""),1,0)</f>
        <v>0</v>
      </c>
      <c r="DF24" s="39">
        <f>IF(BG24&gt;0%,1,0)</f>
        <v>0</v>
      </c>
      <c r="DQ24" s="297">
        <f ca="1">IF(AND(BH24&lt;&gt;"",BG25&lt;&gt;"",BF24="",BG24&lt;&gt;100%,BG25&lt;PLANS!$B$1),1,0)</f>
        <v>0</v>
      </c>
      <c r="DS24" s="2216">
        <f>IF(BH24="",0, IF(AND(BF24="",BG24&lt;&gt;100%,BG25=$EC$37),1,0) )</f>
        <v>0</v>
      </c>
      <c r="DX24" s="2216">
        <f>SUM(DS14:DS24)</f>
        <v>0</v>
      </c>
      <c r="DZ24" s="299"/>
      <c r="EB24" s="28"/>
      <c r="EC24" s="28"/>
      <c r="EG24" s="1626"/>
      <c r="EH24" s="1627"/>
      <c r="EI24" s="1627"/>
      <c r="EJ24" s="1627"/>
      <c r="EK24" s="1627"/>
      <c r="EL24" s="1627"/>
      <c r="EM24" s="1627"/>
      <c r="EN24" s="1627"/>
      <c r="EO24" s="1627"/>
      <c r="EP24" s="1627"/>
      <c r="EQ24" s="1627"/>
      <c r="ER24" s="1627"/>
      <c r="ES24" s="1627"/>
      <c r="ET24" s="1628"/>
      <c r="EU24" s="28"/>
      <c r="EV24" s="28"/>
      <c r="EW24" s="28"/>
      <c r="EX24" s="28"/>
      <c r="EY24" s="28"/>
      <c r="EZ24" s="28"/>
      <c r="FG24" s="306">
        <f>EZ10+FN10</f>
        <v>0</v>
      </c>
      <c r="FT24" s="251"/>
      <c r="FU24" s="252"/>
      <c r="FV24" s="252"/>
      <c r="FW24" s="252"/>
      <c r="FX24" s="252"/>
      <c r="FY24" s="252"/>
      <c r="FZ24" s="252"/>
      <c r="GA24" s="252"/>
      <c r="GB24" s="252"/>
      <c r="GC24" s="252"/>
      <c r="GD24" s="252"/>
      <c r="GE24" s="252"/>
      <c r="GF24" s="252"/>
      <c r="GG24" s="253"/>
      <c r="GI24" s="73"/>
    </row>
    <row r="25" spans="1:197" ht="17.100000000000001" customHeight="1" thickBot="1" x14ac:dyDescent="0.2">
      <c r="A25" s="311" t="str">
        <f>_xlfn.IFS(
U25="wk1", PLANS!$CE$4,
U25="wk2", PLANS!$CE$10,
U25="wk3", PLANS!$CE$16,
U25="wk4", PLANS!$CE$22,
U25="wk5", PLANS!$CE$28,
U25="wk6", PLANS!$CE$34,
TRUE,"")</f>
        <v/>
      </c>
      <c r="B25" s="3949"/>
      <c r="C25" s="3950"/>
      <c r="D25" s="4004"/>
      <c r="E25" s="3990"/>
      <c r="F25" s="3990"/>
      <c r="G25" s="3990"/>
      <c r="H25" s="3990"/>
      <c r="I25" s="3990"/>
      <c r="J25" s="3990"/>
      <c r="K25" s="3990"/>
      <c r="L25" s="3990"/>
      <c r="M25" s="3990"/>
      <c r="N25" s="3990"/>
      <c r="O25" s="3990"/>
      <c r="P25" s="3990"/>
      <c r="Q25" s="3990"/>
      <c r="R25" s="3990"/>
      <c r="S25" s="3990"/>
      <c r="T25" s="3991"/>
      <c r="U25" s="2099"/>
      <c r="V25" s="2232" t="str">
        <f>"/"&amp;$CY$21</f>
        <v>/4</v>
      </c>
      <c r="W25" s="1171"/>
      <c r="X25" s="1171"/>
      <c r="Y25" s="4058"/>
      <c r="Z25" s="4059"/>
      <c r="AA25" s="4012"/>
      <c r="AB25" s="3911"/>
      <c r="AC25" s="3911"/>
      <c r="AD25" s="3911"/>
      <c r="AE25" s="3911"/>
      <c r="AF25" s="3911"/>
      <c r="AG25" s="3911"/>
      <c r="AH25" s="3911"/>
      <c r="AI25" s="3911"/>
      <c r="AJ25" s="3911"/>
      <c r="AK25" s="3912"/>
      <c r="AL25" s="285"/>
      <c r="AM25" s="3987"/>
      <c r="AN25" s="4133"/>
      <c r="AO25" s="3986"/>
      <c r="AP25" s="282"/>
      <c r="AQ25" s="3960"/>
      <c r="AR25" s="3960"/>
      <c r="AS25" s="3960"/>
      <c r="AT25" s="3960"/>
      <c r="AU25" s="3960"/>
      <c r="AV25" s="3960"/>
      <c r="AW25" s="3960"/>
      <c r="AX25" s="3960"/>
      <c r="AY25" s="3960"/>
      <c r="AZ25" s="3960"/>
      <c r="BA25" s="3976"/>
      <c r="BB25" s="4058"/>
      <c r="BC25" s="4059"/>
      <c r="BD25" s="1171"/>
      <c r="BE25" s="1171"/>
      <c r="BF25" s="3986"/>
      <c r="BG25" s="282"/>
      <c r="BH25" s="3997"/>
      <c r="BI25" s="3997"/>
      <c r="BJ25" s="3997"/>
      <c r="BK25" s="3997"/>
      <c r="BL25" s="3997"/>
      <c r="BM25" s="3997"/>
      <c r="BN25" s="3997"/>
      <c r="BO25" s="3997"/>
      <c r="BP25" s="3997"/>
      <c r="BQ25" s="3997"/>
      <c r="BR25" s="3997"/>
      <c r="BS25" s="3997"/>
      <c r="BT25" s="3997"/>
      <c r="BU25" s="3997"/>
      <c r="BV25" s="3997"/>
      <c r="BW25" s="3997"/>
      <c r="BX25" s="4038"/>
      <c r="BY25" s="3949"/>
      <c r="BZ25" s="3950"/>
      <c r="CA25" s="91"/>
      <c r="CC25" s="301" t="str">
        <f t="shared" ref="CC25" si="49">D24</f>
        <v>W-6</v>
      </c>
      <c r="CD25" s="302">
        <f t="shared" ref="CD25" si="50">U24</f>
        <v>0</v>
      </c>
      <c r="CF25" s="1611" t="s">
        <v>1142</v>
      </c>
      <c r="CG25" s="39" t="s">
        <v>1142</v>
      </c>
      <c r="CH25" s="39" t="s">
        <v>1142</v>
      </c>
      <c r="CI25" s="39" t="s">
        <v>1142</v>
      </c>
      <c r="CJ25" s="39" t="s">
        <v>1142</v>
      </c>
      <c r="CK25" s="39" t="s">
        <v>1142</v>
      </c>
      <c r="CL25" s="39" t="s">
        <v>1142</v>
      </c>
      <c r="CM25" s="39" t="s">
        <v>1142</v>
      </c>
      <c r="CN25" s="39" t="s">
        <v>1142</v>
      </c>
      <c r="CO25" s="39" t="s">
        <v>1142</v>
      </c>
      <c r="CP25" s="39" t="s">
        <v>1142</v>
      </c>
      <c r="CQ25" s="39" t="s">
        <v>1142</v>
      </c>
      <c r="CR25" s="39" t="s">
        <v>1142</v>
      </c>
      <c r="CS25" s="39" t="s">
        <v>1142</v>
      </c>
      <c r="CT25" s="39" t="s">
        <v>1142</v>
      </c>
      <c r="CU25" s="39" t="s">
        <v>1142</v>
      </c>
      <c r="CV25" s="39" t="s">
        <v>1142</v>
      </c>
      <c r="CW25" s="39" t="s">
        <v>1142</v>
      </c>
      <c r="CX25" s="39" t="s">
        <v>1142</v>
      </c>
      <c r="CY25" s="39" t="s">
        <v>1142</v>
      </c>
      <c r="CZ25" s="39" t="s">
        <v>1142</v>
      </c>
      <c r="DA25" s="39" t="s">
        <v>1142</v>
      </c>
      <c r="DB25" s="39" t="s">
        <v>1142</v>
      </c>
      <c r="DC25" s="39" t="s">
        <v>1142</v>
      </c>
      <c r="DD25" s="39" t="s">
        <v>1142</v>
      </c>
      <c r="DE25" s="39" t="s">
        <v>1142</v>
      </c>
      <c r="DF25" s="39" t="s">
        <v>1142</v>
      </c>
      <c r="DG25" s="39" t="s">
        <v>1142</v>
      </c>
      <c r="DH25" s="39" t="s">
        <v>1142</v>
      </c>
      <c r="DI25" s="39" t="s">
        <v>1142</v>
      </c>
      <c r="DJ25" s="39" t="s">
        <v>1142</v>
      </c>
      <c r="DK25" s="39" t="s">
        <v>1142</v>
      </c>
      <c r="DL25" s="39" t="s">
        <v>1142</v>
      </c>
      <c r="DM25" s="39" t="s">
        <v>1142</v>
      </c>
      <c r="DN25" s="39" t="s">
        <v>1142</v>
      </c>
      <c r="DO25" s="39" t="s">
        <v>1142</v>
      </c>
      <c r="DP25" s="39" t="s">
        <v>1142</v>
      </c>
      <c r="DQ25" s="39" t="s">
        <v>1142</v>
      </c>
      <c r="DR25" s="39" t="s">
        <v>1142</v>
      </c>
      <c r="DS25" s="39" t="s">
        <v>1142</v>
      </c>
      <c r="DT25" s="39" t="s">
        <v>1142</v>
      </c>
      <c r="DU25" s="39" t="s">
        <v>1142</v>
      </c>
      <c r="DV25" s="39" t="s">
        <v>1142</v>
      </c>
      <c r="DW25" s="39" t="s">
        <v>1142</v>
      </c>
      <c r="DX25" s="39" t="s">
        <v>1142</v>
      </c>
      <c r="DY25" s="39" t="s">
        <v>1142</v>
      </c>
      <c r="DZ25" s="1612" t="s">
        <v>1142</v>
      </c>
      <c r="EB25" s="28"/>
      <c r="EC25" s="28"/>
      <c r="EG25" s="35"/>
      <c r="EH25" s="35"/>
      <c r="EI25" s="35"/>
      <c r="EJ25" s="35"/>
      <c r="EK25" s="35"/>
      <c r="EL25" s="35"/>
      <c r="EM25" s="35"/>
      <c r="EN25" s="35"/>
      <c r="EO25" s="35"/>
      <c r="EP25" s="35"/>
      <c r="EQ25" s="35"/>
      <c r="ER25" s="35"/>
      <c r="ES25" s="35"/>
      <c r="ET25" s="35"/>
      <c r="EU25" s="28"/>
      <c r="EV25" s="28"/>
      <c r="EW25" s="28"/>
      <c r="EX25" s="28"/>
      <c r="GI25" s="73"/>
    </row>
    <row r="26" spans="1:197" ht="17.100000000000001" customHeight="1" x14ac:dyDescent="0.15">
      <c r="A26" s="91"/>
      <c r="B26" s="3969" t="s">
        <v>251</v>
      </c>
      <c r="C26" s="3970"/>
      <c r="D26" s="3973" t="s">
        <v>537</v>
      </c>
      <c r="E26" s="3988"/>
      <c r="F26" s="3988"/>
      <c r="G26" s="3988"/>
      <c r="H26" s="3988"/>
      <c r="I26" s="3988"/>
      <c r="J26" s="3988"/>
      <c r="K26" s="3988"/>
      <c r="L26" s="3988"/>
      <c r="M26" s="3988"/>
      <c r="N26" s="3988"/>
      <c r="O26" s="3988"/>
      <c r="P26" s="3988"/>
      <c r="Q26" s="3988"/>
      <c r="R26" s="3988"/>
      <c r="S26" s="3988"/>
      <c r="T26" s="3989"/>
      <c r="U26" s="284"/>
      <c r="V26" s="17"/>
      <c r="W26" s="1171"/>
      <c r="X26" s="1171"/>
      <c r="Y26" s="4058"/>
      <c r="Z26" s="4059"/>
      <c r="AA26" s="4011" t="str" cm="1">
        <f t="array" ref="AA26">_xlfn.IFS(
X22=0,MID(Y22,1,2)&amp;"3",
X22=1,MID(Y22,1,2)&amp;"7",
X22=2,MID(Y22,1,2)&amp;"
11",
X22=3,MID(Y22,1,2)&amp;"
15",
X22=4,MID(Y22,1,2)&amp;"
19",
X22=5,MID(Y22,1,2)&amp;"
23",
TRUE,"")</f>
        <v>3</v>
      </c>
      <c r="AB26" s="3908"/>
      <c r="AC26" s="3908"/>
      <c r="AD26" s="3908"/>
      <c r="AE26" s="3908"/>
      <c r="AF26" s="3908"/>
      <c r="AG26" s="3908"/>
      <c r="AH26" s="3908"/>
      <c r="AI26" s="3908"/>
      <c r="AJ26" s="3908"/>
      <c r="AK26" s="3909"/>
      <c r="AL26" s="280"/>
      <c r="AM26" s="3987"/>
      <c r="AN26" s="4133"/>
      <c r="AO26" s="3986"/>
      <c r="AP26" s="283"/>
      <c r="AQ26" s="3960"/>
      <c r="AR26" s="3960"/>
      <c r="AS26" s="3960"/>
      <c r="AT26" s="3960"/>
      <c r="AU26" s="3960"/>
      <c r="AV26" s="3960"/>
      <c r="AW26" s="3960"/>
      <c r="AX26" s="3960"/>
      <c r="AY26" s="3960"/>
      <c r="AZ26" s="3960"/>
      <c r="BA26" s="3974" t="str" cm="1">
        <f t="array" ref="BA26">_xlfn.IFS(
BD22=0,MID(BB22,1,2)&amp;"3",
BD22=1,MID(BB22,1,2)&amp;"7",
BD22=2,MID(BB22,1,2)&amp;"
11",
BD22=3,MID(BB22,1,2)&amp;"
15",
BD22=4,MID(BB22,1,2)&amp;"
19",
BD22=5,MID(BB22,1,2)&amp;"
23",
TRUE,"")</f>
        <v>3</v>
      </c>
      <c r="BB26" s="4058"/>
      <c r="BC26" s="4059"/>
      <c r="BD26" s="1171"/>
      <c r="BE26" s="1171"/>
      <c r="BF26" s="3986"/>
      <c r="BG26" s="281"/>
      <c r="BH26" s="4062"/>
      <c r="BI26" s="4062"/>
      <c r="BJ26" s="4062"/>
      <c r="BK26" s="4062"/>
      <c r="BL26" s="4062"/>
      <c r="BM26" s="4062"/>
      <c r="BN26" s="4062"/>
      <c r="BO26" s="4062"/>
      <c r="BP26" s="4062"/>
      <c r="BQ26" s="4062"/>
      <c r="BR26" s="4062"/>
      <c r="BS26" s="4062"/>
      <c r="BT26" s="4062"/>
      <c r="BU26" s="4062"/>
      <c r="BV26" s="4062"/>
      <c r="BW26" s="4062"/>
      <c r="BX26" s="4069" t="s">
        <v>739</v>
      </c>
      <c r="BY26" s="3969" t="s">
        <v>43</v>
      </c>
      <c r="BZ26" s="3970"/>
      <c r="CA26" s="91"/>
      <c r="CC26" s="295" t="str">
        <f t="shared" ref="CC26" si="51">BX26</f>
        <v>L-1</v>
      </c>
      <c r="CD26" s="296">
        <f t="shared" ref="CD26" si="52">BG26</f>
        <v>0</v>
      </c>
      <c r="CF26" s="242"/>
      <c r="CG26" s="297">
        <f>IF(AND(U27=$AK$2,U26=100%),1,0)</f>
        <v>0</v>
      </c>
      <c r="CH26" s="39">
        <f>IF(AND(U27=$AK$2,U26&gt;0%),1,0)</f>
        <v>0</v>
      </c>
      <c r="CO26" s="298" t="s">
        <v>459</v>
      </c>
      <c r="CS26" s="2216">
        <f>IF(E26="",0, IF(AND(OR(U27&lt;&gt;$AK$2,AND(U27=$AK$2,U26&lt;&gt;100%)),$AM$2=$CX$31),1,0) )</f>
        <v>0</v>
      </c>
      <c r="DA26" s="298" t="s">
        <v>1354</v>
      </c>
      <c r="DD26" s="1608">
        <f>IF(AND(BG26=100%,BF26&lt;&gt;""),1,0)</f>
        <v>0</v>
      </c>
      <c r="DE26" s="297">
        <f>IF(AND(BG26=100%,BF26=""),1,0)</f>
        <v>0</v>
      </c>
      <c r="DF26" s="39">
        <f>IF(BG26&gt;0%,1,0)</f>
        <v>0</v>
      </c>
      <c r="DM26" s="1557" t="s">
        <v>461</v>
      </c>
      <c r="DQ26" s="297">
        <f ca="1">IF(AND(BH26&lt;&gt;"",BG27&lt;&gt;"",BF26="",BG26&lt;&gt;100%,BG27&lt;PLANS!$B$1),1,0)</f>
        <v>0</v>
      </c>
      <c r="DS26" s="2216">
        <f>IF(BH26="",0, IF(AND(BF26="",BG26&lt;&gt;100%,BG27=$EC$37),1,0) )</f>
        <v>0</v>
      </c>
      <c r="DY26" s="298" t="s">
        <v>468</v>
      </c>
      <c r="DZ26" s="299"/>
      <c r="EB26" s="28"/>
      <c r="EC26" s="28"/>
      <c r="EG26" s="35"/>
      <c r="EH26" s="35"/>
      <c r="EI26" s="35"/>
      <c r="EJ26" s="35"/>
      <c r="EK26" s="35"/>
      <c r="EL26" s="35"/>
      <c r="EM26" s="35"/>
      <c r="EN26" s="35"/>
      <c r="EO26" s="35"/>
      <c r="EP26" s="35"/>
      <c r="EQ26" s="35"/>
      <c r="ER26" s="35"/>
      <c r="ES26" s="35"/>
      <c r="ET26" s="35"/>
      <c r="EU26" s="28"/>
      <c r="EV26" s="28"/>
      <c r="EW26" s="28"/>
      <c r="EX26" s="28"/>
      <c r="FG26" s="1610" t="s">
        <v>1157</v>
      </c>
      <c r="GI26" s="73"/>
    </row>
    <row r="27" spans="1:197" ht="17.100000000000001" customHeight="1" x14ac:dyDescent="0.15">
      <c r="A27" s="91"/>
      <c r="B27" s="3971"/>
      <c r="C27" s="3972"/>
      <c r="D27" s="3952"/>
      <c r="E27" s="3911"/>
      <c r="F27" s="3911"/>
      <c r="G27" s="3911"/>
      <c r="H27" s="3911"/>
      <c r="I27" s="3911"/>
      <c r="J27" s="3911"/>
      <c r="K27" s="3911"/>
      <c r="L27" s="3911"/>
      <c r="M27" s="3911"/>
      <c r="N27" s="3911"/>
      <c r="O27" s="3911"/>
      <c r="P27" s="3911"/>
      <c r="Q27" s="3911"/>
      <c r="R27" s="3911"/>
      <c r="S27" s="3911"/>
      <c r="T27" s="3912"/>
      <c r="U27" s="2098"/>
      <c r="V27" s="17"/>
      <c r="W27" s="1171"/>
      <c r="X27" s="1171"/>
      <c r="Y27" s="4058"/>
      <c r="Z27" s="4059"/>
      <c r="AA27" s="4012"/>
      <c r="AB27" s="3911"/>
      <c r="AC27" s="3911"/>
      <c r="AD27" s="3911"/>
      <c r="AE27" s="3911"/>
      <c r="AF27" s="3911"/>
      <c r="AG27" s="3911"/>
      <c r="AH27" s="3911"/>
      <c r="AI27" s="3911"/>
      <c r="AJ27" s="3911"/>
      <c r="AK27" s="3912"/>
      <c r="AL27" s="285"/>
      <c r="AM27" s="3987"/>
      <c r="AN27" s="4133"/>
      <c r="AO27" s="3986"/>
      <c r="AP27" s="282"/>
      <c r="AQ27" s="3960"/>
      <c r="AR27" s="3960"/>
      <c r="AS27" s="3960"/>
      <c r="AT27" s="3960"/>
      <c r="AU27" s="3960"/>
      <c r="AV27" s="3960"/>
      <c r="AW27" s="3960"/>
      <c r="AX27" s="3960"/>
      <c r="AY27" s="3960"/>
      <c r="AZ27" s="3960"/>
      <c r="BA27" s="3976"/>
      <c r="BB27" s="4058"/>
      <c r="BC27" s="4059"/>
      <c r="BD27" s="1171"/>
      <c r="BE27" s="1171"/>
      <c r="BF27" s="3986"/>
      <c r="BG27" s="282"/>
      <c r="BH27" s="3960"/>
      <c r="BI27" s="3960"/>
      <c r="BJ27" s="3960"/>
      <c r="BK27" s="3960"/>
      <c r="BL27" s="3960"/>
      <c r="BM27" s="3960"/>
      <c r="BN27" s="3960"/>
      <c r="BO27" s="3960"/>
      <c r="BP27" s="3960"/>
      <c r="BQ27" s="3960"/>
      <c r="BR27" s="3960"/>
      <c r="BS27" s="3960"/>
      <c r="BT27" s="3960"/>
      <c r="BU27" s="3960"/>
      <c r="BV27" s="3960"/>
      <c r="BW27" s="3960"/>
      <c r="BX27" s="4043"/>
      <c r="BY27" s="3971"/>
      <c r="BZ27" s="3972"/>
      <c r="CA27" s="91"/>
      <c r="CC27" s="301" t="str">
        <f t="shared" ref="CC27" si="53">D26</f>
        <v>M-1</v>
      </c>
      <c r="CD27" s="302">
        <f t="shared" ref="CD27" si="54">U26</f>
        <v>0</v>
      </c>
      <c r="CF27" s="242"/>
      <c r="CG27" s="46"/>
      <c r="DE27" s="46"/>
      <c r="DK27" s="304" t="s">
        <v>1136</v>
      </c>
      <c r="DL27" s="1608">
        <f>SUM(DD26:DD36)</f>
        <v>0</v>
      </c>
      <c r="DQ27" s="46"/>
      <c r="DZ27" s="299"/>
      <c r="EB27" s="28"/>
      <c r="EC27" s="28"/>
      <c r="EG27" s="1618"/>
      <c r="EH27" s="1619"/>
      <c r="EI27" s="1619"/>
      <c r="EJ27" s="1619"/>
      <c r="EK27" s="1619"/>
      <c r="EL27" s="1616"/>
      <c r="EM27" s="1620"/>
      <c r="EN27" s="1620"/>
      <c r="EO27" s="333"/>
      <c r="EP27" s="333"/>
      <c r="EQ27" s="1620"/>
      <c r="ER27" s="1621"/>
      <c r="ES27" s="333"/>
      <c r="ET27" s="1622"/>
      <c r="EU27" s="28"/>
      <c r="EV27" s="28"/>
      <c r="EW27" s="28"/>
      <c r="EX27" s="28"/>
      <c r="FG27" s="306">
        <f ca="1">EZ13+FN13</f>
        <v>0</v>
      </c>
      <c r="FT27" s="227"/>
      <c r="FU27" s="1615"/>
      <c r="FV27" s="1615"/>
      <c r="FW27" s="1615"/>
      <c r="FX27" s="1615"/>
      <c r="FY27" s="1616" t="s">
        <v>174</v>
      </c>
      <c r="FZ27" s="228"/>
      <c r="GA27" s="228"/>
      <c r="GB27" s="1603" t="s">
        <v>1136</v>
      </c>
      <c r="GC27" s="333"/>
      <c r="GD27" s="228"/>
      <c r="GE27" s="1617" t="s">
        <v>1140</v>
      </c>
      <c r="GF27" s="333"/>
      <c r="GG27" s="256"/>
      <c r="GI27" s="73"/>
    </row>
    <row r="28" spans="1:197" ht="17.100000000000001" customHeight="1" x14ac:dyDescent="0.15">
      <c r="A28" s="91"/>
      <c r="B28" s="3971"/>
      <c r="C28" s="3972"/>
      <c r="D28" s="3951" t="s">
        <v>538</v>
      </c>
      <c r="E28" s="3993"/>
      <c r="F28" s="3993"/>
      <c r="G28" s="3993"/>
      <c r="H28" s="3993"/>
      <c r="I28" s="3993"/>
      <c r="J28" s="3993"/>
      <c r="K28" s="3993"/>
      <c r="L28" s="3993"/>
      <c r="M28" s="3993"/>
      <c r="N28" s="3993"/>
      <c r="O28" s="3993"/>
      <c r="P28" s="3993"/>
      <c r="Q28" s="3993"/>
      <c r="R28" s="3993"/>
      <c r="S28" s="3993"/>
      <c r="T28" s="3994"/>
      <c r="U28" s="288"/>
      <c r="V28" s="17"/>
      <c r="W28" s="1171"/>
      <c r="X28" s="1171"/>
      <c r="Y28" s="4058"/>
      <c r="Z28" s="4059"/>
      <c r="AA28" s="4011" t="str" cm="1">
        <f t="array" ref="AA28">_xlfn.IFS(
X22=0,MID(Y22,1,2)&amp;"4",
X22=1,MID(Y22,1,2)&amp;"8",
X22=2,MID(Y22,1,2)&amp;"
12",
X22=3,MID(Y22,1,2)&amp;"
16",
X22=4,MID(Y22,1,2)&amp;"
20",
X22=5,MID(Y22,1,2)&amp;"
24",
TRUE,"")</f>
        <v>4</v>
      </c>
      <c r="AB28" s="3908"/>
      <c r="AC28" s="3908"/>
      <c r="AD28" s="3908"/>
      <c r="AE28" s="3908"/>
      <c r="AF28" s="3908"/>
      <c r="AG28" s="3908"/>
      <c r="AH28" s="3908"/>
      <c r="AI28" s="3908"/>
      <c r="AJ28" s="3908"/>
      <c r="AK28" s="3909"/>
      <c r="AL28" s="280"/>
      <c r="AM28" s="3987"/>
      <c r="AN28" s="4133"/>
      <c r="AO28" s="3986"/>
      <c r="AP28" s="283"/>
      <c r="AQ28" s="3960"/>
      <c r="AR28" s="3960"/>
      <c r="AS28" s="3960"/>
      <c r="AT28" s="3960"/>
      <c r="AU28" s="3960"/>
      <c r="AV28" s="3960"/>
      <c r="AW28" s="3960"/>
      <c r="AX28" s="3960"/>
      <c r="AY28" s="3960"/>
      <c r="AZ28" s="3960"/>
      <c r="BA28" s="3974" t="str" cm="1">
        <f t="array" ref="BA28">_xlfn.IFS(
BD22=0,MID(BB22,1,2)&amp;"4",
BD22=1,MID(BB22,1,2)&amp;"8",
BD22=2,MID(BB22,1,2)&amp;"
12",
BD22=3,MID(BB22,1,2)&amp;"
16",
BD22=4,MID(BB22,1,2)&amp;"
20",
BD22=5,MID(BB22,1,2)&amp;"
24",
TRUE,"")</f>
        <v>4</v>
      </c>
      <c r="BB28" s="4058"/>
      <c r="BC28" s="4059"/>
      <c r="BD28" s="1171"/>
      <c r="BE28" s="1171"/>
      <c r="BF28" s="3986"/>
      <c r="BG28" s="283"/>
      <c r="BH28" s="3960"/>
      <c r="BI28" s="3960"/>
      <c r="BJ28" s="3960"/>
      <c r="BK28" s="3960"/>
      <c r="BL28" s="3960"/>
      <c r="BM28" s="3960"/>
      <c r="BN28" s="3960"/>
      <c r="BO28" s="3960"/>
      <c r="BP28" s="3960"/>
      <c r="BQ28" s="3960"/>
      <c r="BR28" s="3960"/>
      <c r="BS28" s="3960"/>
      <c r="BT28" s="3960"/>
      <c r="BU28" s="3960"/>
      <c r="BV28" s="3960"/>
      <c r="BW28" s="3960"/>
      <c r="BX28" s="4037" t="s">
        <v>740</v>
      </c>
      <c r="BY28" s="3971"/>
      <c r="BZ28" s="3972"/>
      <c r="CA28" s="91"/>
      <c r="CC28" s="295" t="str">
        <f t="shared" ref="CC28" si="55">BX28</f>
        <v>L-2</v>
      </c>
      <c r="CD28" s="296">
        <f t="shared" ref="CD28" si="56">BG28</f>
        <v>0</v>
      </c>
      <c r="CF28" s="242"/>
      <c r="CG28" s="297">
        <f>IF(AND(U29=$AK$2,U28=100%),1,0)</f>
        <v>0</v>
      </c>
      <c r="CH28" s="39">
        <f>IF(AND(U29=$AK$2,U28&gt;0%),1,0)</f>
        <v>0</v>
      </c>
      <c r="CM28" s="304" t="s">
        <v>492</v>
      </c>
      <c r="CN28" s="306">
        <f>SUM(CG26:CG36)</f>
        <v>0</v>
      </c>
      <c r="CS28" s="2216">
        <f>IF(E28="",0, IF(AND(OR(U29&lt;&gt;$AK$2,AND(U29=$AK$2,U28&lt;&gt;100%)),$AM$2=$CX$31),1,0) )</f>
        <v>0</v>
      </c>
      <c r="CY28" s="304"/>
      <c r="DD28" s="1608">
        <f>IF(AND(BG28=100%,BF28&lt;&gt;""),1,0)</f>
        <v>0</v>
      </c>
      <c r="DE28" s="297">
        <f>IF(AND(BG28=100%,BF28=""),1,0)</f>
        <v>0</v>
      </c>
      <c r="DF28" s="39">
        <f>IF(BG28&gt;0%,1,0)</f>
        <v>0</v>
      </c>
      <c r="DK28" s="304" t="s">
        <v>174</v>
      </c>
      <c r="DL28" s="306">
        <f>SUM(DE26:DE36)</f>
        <v>0</v>
      </c>
      <c r="DQ28" s="297">
        <f ca="1">IF(AND(BH28&lt;&gt;"",BG29&lt;&gt;"",BF28="",BG28&lt;&gt;100%,BG29&lt;PLANS!$B$1),1,0)</f>
        <v>0</v>
      </c>
      <c r="DS28" s="2216">
        <f>IF(BH28="",0, IF(AND(BF28="",BG28&lt;&gt;100%,BG29=$EC$37),1,0) )</f>
        <v>0</v>
      </c>
      <c r="DW28" s="304" t="s">
        <v>439</v>
      </c>
      <c r="DX28" s="306">
        <f ca="1">SUM(DQ26:DQ36)</f>
        <v>0</v>
      </c>
      <c r="DZ28" s="299"/>
      <c r="EB28" s="28"/>
      <c r="EC28" s="28"/>
      <c r="EG28" s="1623"/>
      <c r="EH28" s="1552"/>
      <c r="EI28" s="1552"/>
      <c r="EJ28" s="1552"/>
      <c r="EK28" s="1552"/>
      <c r="EL28" s="35"/>
      <c r="EM28" s="35"/>
      <c r="EN28" s="35"/>
      <c r="EO28" s="497"/>
      <c r="EP28" s="35"/>
      <c r="EQ28" s="35"/>
      <c r="ER28" s="35"/>
      <c r="ES28" s="35"/>
      <c r="ET28" s="1624"/>
      <c r="EU28" s="28"/>
      <c r="EV28" s="28"/>
      <c r="EW28" s="28"/>
      <c r="EX28" s="28"/>
      <c r="FT28" s="242"/>
      <c r="FU28" s="326"/>
      <c r="FV28" s="326"/>
      <c r="FW28" s="326"/>
      <c r="FX28" s="326"/>
      <c r="GB28" s="46"/>
      <c r="GE28" s="1176"/>
      <c r="GG28" s="299"/>
      <c r="GI28" s="73"/>
    </row>
    <row r="29" spans="1:197" ht="17.100000000000001" customHeight="1" thickBot="1" x14ac:dyDescent="0.2">
      <c r="A29" s="91"/>
      <c r="B29" s="3971"/>
      <c r="C29" s="3972"/>
      <c r="D29" s="3952"/>
      <c r="E29" s="3911"/>
      <c r="F29" s="3911"/>
      <c r="G29" s="3911"/>
      <c r="H29" s="3911"/>
      <c r="I29" s="3911"/>
      <c r="J29" s="3911"/>
      <c r="K29" s="3911"/>
      <c r="L29" s="3911"/>
      <c r="M29" s="3911"/>
      <c r="N29" s="3911"/>
      <c r="O29" s="3911"/>
      <c r="P29" s="3911"/>
      <c r="Q29" s="3911"/>
      <c r="R29" s="3911"/>
      <c r="S29" s="3911"/>
      <c r="T29" s="3912"/>
      <c r="U29" s="2098"/>
      <c r="V29" s="17"/>
      <c r="W29" s="1171"/>
      <c r="X29" s="1171"/>
      <c r="Y29" s="4060"/>
      <c r="Z29" s="4061"/>
      <c r="AA29" s="4066"/>
      <c r="AB29" s="3993"/>
      <c r="AC29" s="3993"/>
      <c r="AD29" s="3993"/>
      <c r="AE29" s="3993"/>
      <c r="AF29" s="3993"/>
      <c r="AG29" s="3993"/>
      <c r="AH29" s="3993"/>
      <c r="AI29" s="3993"/>
      <c r="AJ29" s="3993"/>
      <c r="AK29" s="3994"/>
      <c r="AL29" s="285"/>
      <c r="AM29" s="3987"/>
      <c r="AN29" s="4133"/>
      <c r="AO29" s="3986"/>
      <c r="AP29" s="282"/>
      <c r="AQ29" s="4126"/>
      <c r="AR29" s="4126"/>
      <c r="AS29" s="4126"/>
      <c r="AT29" s="4126"/>
      <c r="AU29" s="4126"/>
      <c r="AV29" s="4126"/>
      <c r="AW29" s="4126"/>
      <c r="AX29" s="4126"/>
      <c r="AY29" s="4126"/>
      <c r="AZ29" s="4126"/>
      <c r="BA29" s="4125"/>
      <c r="BB29" s="4060"/>
      <c r="BC29" s="4061"/>
      <c r="BD29" s="1171"/>
      <c r="BE29" s="1171"/>
      <c r="BF29" s="3986"/>
      <c r="BG29" s="282"/>
      <c r="BH29" s="3960"/>
      <c r="BI29" s="3960"/>
      <c r="BJ29" s="3960"/>
      <c r="BK29" s="3960"/>
      <c r="BL29" s="3960"/>
      <c r="BM29" s="3960"/>
      <c r="BN29" s="3960"/>
      <c r="BO29" s="3960"/>
      <c r="BP29" s="3960"/>
      <c r="BQ29" s="3960"/>
      <c r="BR29" s="3960"/>
      <c r="BS29" s="3960"/>
      <c r="BT29" s="3960"/>
      <c r="BU29" s="3960"/>
      <c r="BV29" s="3960"/>
      <c r="BW29" s="3960"/>
      <c r="BX29" s="4043"/>
      <c r="BY29" s="3971"/>
      <c r="BZ29" s="3972"/>
      <c r="CA29" s="91"/>
      <c r="CC29" s="301" t="str">
        <f t="shared" ref="CC29" si="57">D28</f>
        <v>M-2</v>
      </c>
      <c r="CD29" s="302">
        <f t="shared" ref="CD29" si="58">U28</f>
        <v>0</v>
      </c>
      <c r="CF29" s="242"/>
      <c r="CG29" s="46"/>
      <c r="DE29" s="46"/>
      <c r="DQ29" s="46"/>
      <c r="DZ29" s="299"/>
      <c r="EB29" s="28"/>
      <c r="EC29" s="28"/>
      <c r="EG29" s="1623"/>
      <c r="EH29" s="1552"/>
      <c r="EI29" s="1552"/>
      <c r="EJ29" s="415" t="s">
        <v>439</v>
      </c>
      <c r="EK29" s="1552"/>
      <c r="EL29" s="306">
        <f>COUNTA($E$26:$T$37)</f>
        <v>0</v>
      </c>
      <c r="EM29" s="35"/>
      <c r="EN29" s="1625"/>
      <c r="EO29" s="1625"/>
      <c r="EP29" s="1625"/>
      <c r="EQ29" s="1625"/>
      <c r="ER29" s="1625"/>
      <c r="ES29" s="1625"/>
      <c r="ET29" s="1624"/>
      <c r="EU29" s="28"/>
      <c r="EV29" s="28"/>
      <c r="EW29" s="28"/>
      <c r="EX29" s="28"/>
      <c r="FG29" s="1610" t="s">
        <v>1156</v>
      </c>
      <c r="FT29" s="242"/>
      <c r="FU29" s="326"/>
      <c r="FV29" s="326"/>
      <c r="FW29" s="415" t="s">
        <v>439</v>
      </c>
      <c r="FX29" s="326"/>
      <c r="FY29" s="306">
        <f>GE29-GB29</f>
        <v>0</v>
      </c>
      <c r="GB29" s="297">
        <f>COUNTA(BF26:BF37)</f>
        <v>0</v>
      </c>
      <c r="GE29" s="1558">
        <f>COUNTA(BH26:BW37)</f>
        <v>0</v>
      </c>
      <c r="GG29" s="299"/>
      <c r="GI29" s="73"/>
    </row>
    <row r="30" spans="1:197" ht="17.100000000000001" customHeight="1" x14ac:dyDescent="0.2">
      <c r="A30" s="91"/>
      <c r="B30" s="3971"/>
      <c r="C30" s="3972"/>
      <c r="D30" s="3951" t="s">
        <v>539</v>
      </c>
      <c r="E30" s="3993"/>
      <c r="F30" s="3993"/>
      <c r="G30" s="3993"/>
      <c r="H30" s="3993"/>
      <c r="I30" s="3993"/>
      <c r="J30" s="3993"/>
      <c r="K30" s="3993"/>
      <c r="L30" s="3993"/>
      <c r="M30" s="3993"/>
      <c r="N30" s="3993"/>
      <c r="O30" s="3993"/>
      <c r="P30" s="3993"/>
      <c r="Q30" s="3993"/>
      <c r="R30" s="3993"/>
      <c r="S30" s="3993"/>
      <c r="T30" s="3994"/>
      <c r="U30" s="288"/>
      <c r="V30" s="17"/>
      <c r="W30" s="1171"/>
      <c r="X30" s="311">
        <f>COUNTIF($Y$14:$Z$29,Y30)</f>
        <v>0</v>
      </c>
      <c r="Y30" s="4056"/>
      <c r="Z30" s="4057"/>
      <c r="AA30" s="4041" t="str" cm="1">
        <f t="array" ref="AA30">_xlfn.IFS(
X30=0,MID(Y30,1,2)&amp;"1",
X30=1,MID(Y30,1,2)&amp;"5",
X30=2,MID(Y30,1,2)&amp;"9",
X30=3,MID(Y30,1,2)&amp;"
13",
X30=4,MID(Y30,1,2)&amp;"
17",
X30=5,MID(Y30,1,2)&amp;"
21",
TRUE,"")</f>
        <v>1</v>
      </c>
      <c r="AB30" s="3988"/>
      <c r="AC30" s="3988"/>
      <c r="AD30" s="3988"/>
      <c r="AE30" s="3988"/>
      <c r="AF30" s="3988"/>
      <c r="AG30" s="3988"/>
      <c r="AH30" s="3988"/>
      <c r="AI30" s="3988"/>
      <c r="AJ30" s="3988"/>
      <c r="AK30" s="3989"/>
      <c r="AL30" s="284"/>
      <c r="AM30" s="3987"/>
      <c r="AN30" s="4133"/>
      <c r="AO30" s="3986"/>
      <c r="AP30" s="281"/>
      <c r="AQ30" s="4062"/>
      <c r="AR30" s="4062"/>
      <c r="AS30" s="4062"/>
      <c r="AT30" s="4062"/>
      <c r="AU30" s="4062"/>
      <c r="AV30" s="4062"/>
      <c r="AW30" s="4062"/>
      <c r="AX30" s="4062"/>
      <c r="AY30" s="4062"/>
      <c r="AZ30" s="4062"/>
      <c r="BA30" s="4042" t="str" cm="1">
        <f t="array" ref="BA30">_xlfn.IFS(
BD30=0,MID(BB30,1,2)&amp;"1",
BD30=1,MID(BB30,1,2)&amp;"5",
BD30=2,MID(BB30,1,2)&amp;"9",
BD30=3,MID(BB30,1,2)&amp;"
13",
BD30=4,MID(BB30,1,2)&amp;"
17",
BD30=5,MID(BB30,1,2)&amp;"
21",
TRUE,"")</f>
        <v>1</v>
      </c>
      <c r="BB30" s="4056"/>
      <c r="BC30" s="4057"/>
      <c r="BD30" s="311">
        <f>COUNTIF($Y$14:$Z$37,BB30)+COUNTIF($BB$14:$BC$29,BB30)</f>
        <v>0</v>
      </c>
      <c r="BE30" s="1171"/>
      <c r="BF30" s="3986"/>
      <c r="BG30" s="283"/>
      <c r="BH30" s="3960"/>
      <c r="BI30" s="3960"/>
      <c r="BJ30" s="3960"/>
      <c r="BK30" s="3960"/>
      <c r="BL30" s="3960"/>
      <c r="BM30" s="3960"/>
      <c r="BN30" s="3960"/>
      <c r="BO30" s="3960"/>
      <c r="BP30" s="3960"/>
      <c r="BQ30" s="3960"/>
      <c r="BR30" s="3960"/>
      <c r="BS30" s="3960"/>
      <c r="BT30" s="3960"/>
      <c r="BU30" s="3960"/>
      <c r="BV30" s="3960"/>
      <c r="BW30" s="3960"/>
      <c r="BX30" s="4037" t="s">
        <v>741</v>
      </c>
      <c r="BY30" s="3971"/>
      <c r="BZ30" s="3972"/>
      <c r="CA30" s="91"/>
      <c r="CC30" s="295" t="str">
        <f t="shared" ref="CC30" si="59">BX30</f>
        <v>L-3</v>
      </c>
      <c r="CD30" s="296">
        <f t="shared" ref="CD30" si="60">BG30</f>
        <v>0</v>
      </c>
      <c r="CF30" s="242"/>
      <c r="CG30" s="297">
        <f>IF(AND(U31=$AK$2,U30=100%),1,0)</f>
        <v>0</v>
      </c>
      <c r="CH30" s="39">
        <f>IF(AND(U31=$AK$2,U30&gt;0%),1,0)</f>
        <v>0</v>
      </c>
      <c r="CM30" s="304" t="s">
        <v>491</v>
      </c>
      <c r="CN30" s="39">
        <f>SUM(CH26:CH34)</f>
        <v>0</v>
      </c>
      <c r="CS30" s="2216">
        <f>IF(E30="",0, IF(AND(OR(U31&lt;&gt;$AK$2,AND(U31=$AK$2,U30&lt;&gt;100%)),$AM$2=$CX$31),1,0) )</f>
        <v>0</v>
      </c>
      <c r="DA30" s="2219" t="s">
        <v>1356</v>
      </c>
      <c r="DD30" s="1608">
        <f>IF(AND(BG30=100%,BF30&lt;&gt;""),1,0)</f>
        <v>0</v>
      </c>
      <c r="DE30" s="297">
        <f>IF(AND(BG30=100%,BF30=""),1,0)</f>
        <v>0</v>
      </c>
      <c r="DF30" s="39">
        <f>IF(BG30&gt;0%,1,0)</f>
        <v>0</v>
      </c>
      <c r="DK30" s="304" t="s">
        <v>491</v>
      </c>
      <c r="DL30" s="39">
        <f>SUM(DF26:DF34)</f>
        <v>0</v>
      </c>
      <c r="DQ30" s="297">
        <f ca="1">IF(AND(BH30&lt;&gt;"",BG31&lt;&gt;"",BF30="",BG30&lt;&gt;100%,BG31&lt;PLANS!$B$1),1,0)</f>
        <v>0</v>
      </c>
      <c r="DS30" s="2216">
        <f>IF(BH30="",0, IF(AND(BF30="",BG30&lt;&gt;100%,BG31=$EC$37),1,0) )</f>
        <v>0</v>
      </c>
      <c r="DT30" s="2222" t="s">
        <v>1360</v>
      </c>
      <c r="DZ30" s="299"/>
      <c r="EE30" s="415" t="s">
        <v>691</v>
      </c>
      <c r="EG30" s="1623"/>
      <c r="EH30" s="1552"/>
      <c r="EI30" s="1552"/>
      <c r="EJ30" s="1552"/>
      <c r="EK30" s="1552"/>
      <c r="EL30" s="35"/>
      <c r="EM30" s="35"/>
      <c r="EN30" s="35"/>
      <c r="EO30" s="1625"/>
      <c r="EP30" s="35"/>
      <c r="EQ30" s="1629"/>
      <c r="ER30" s="1629"/>
      <c r="ES30" s="35"/>
      <c r="ET30" s="1624"/>
      <c r="FG30" s="306">
        <f ca="1">EZ16+FN16</f>
        <v>0</v>
      </c>
      <c r="FT30" s="242"/>
      <c r="FU30" s="326"/>
      <c r="FV30" s="326"/>
      <c r="FW30" s="326"/>
      <c r="FX30" s="326"/>
      <c r="GB30" s="46"/>
      <c r="GE30" s="1176"/>
      <c r="GG30" s="299"/>
      <c r="GI30" s="378" t="s">
        <v>692</v>
      </c>
    </row>
    <row r="31" spans="1:197" ht="17.100000000000001" customHeight="1" x14ac:dyDescent="0.2">
      <c r="A31" s="91"/>
      <c r="B31" s="3971"/>
      <c r="C31" s="3972"/>
      <c r="D31" s="3952"/>
      <c r="E31" s="3911"/>
      <c r="F31" s="3911"/>
      <c r="G31" s="3911"/>
      <c r="H31" s="3911"/>
      <c r="I31" s="3911"/>
      <c r="J31" s="3911"/>
      <c r="K31" s="3911"/>
      <c r="L31" s="3911"/>
      <c r="M31" s="3911"/>
      <c r="N31" s="3911"/>
      <c r="O31" s="3911"/>
      <c r="P31" s="3911"/>
      <c r="Q31" s="3911"/>
      <c r="R31" s="3911"/>
      <c r="S31" s="3911"/>
      <c r="T31" s="3912"/>
      <c r="U31" s="2098"/>
      <c r="V31" s="17"/>
      <c r="W31" s="1171"/>
      <c r="X31" s="1171"/>
      <c r="Y31" s="4058"/>
      <c r="Z31" s="4059"/>
      <c r="AA31" s="4012"/>
      <c r="AB31" s="3911"/>
      <c r="AC31" s="3911"/>
      <c r="AD31" s="3911"/>
      <c r="AE31" s="3911"/>
      <c r="AF31" s="3911"/>
      <c r="AG31" s="3911"/>
      <c r="AH31" s="3911"/>
      <c r="AI31" s="3911"/>
      <c r="AJ31" s="3911"/>
      <c r="AK31" s="3912"/>
      <c r="AL31" s="285"/>
      <c r="AM31" s="3987"/>
      <c r="AN31" s="4133"/>
      <c r="AO31" s="3986"/>
      <c r="AP31" s="282"/>
      <c r="AQ31" s="3960"/>
      <c r="AR31" s="3960"/>
      <c r="AS31" s="3960"/>
      <c r="AT31" s="3960"/>
      <c r="AU31" s="3960"/>
      <c r="AV31" s="3960"/>
      <c r="AW31" s="3960"/>
      <c r="AX31" s="3960"/>
      <c r="AY31" s="3960"/>
      <c r="AZ31" s="3960"/>
      <c r="BA31" s="3976"/>
      <c r="BB31" s="4058"/>
      <c r="BC31" s="4059"/>
      <c r="BD31" s="2003"/>
      <c r="BE31" s="1171"/>
      <c r="BF31" s="3986"/>
      <c r="BG31" s="282"/>
      <c r="BH31" s="3960"/>
      <c r="BI31" s="3960"/>
      <c r="BJ31" s="3960"/>
      <c r="BK31" s="3960"/>
      <c r="BL31" s="3960"/>
      <c r="BM31" s="3960"/>
      <c r="BN31" s="3960"/>
      <c r="BO31" s="3960"/>
      <c r="BP31" s="3960"/>
      <c r="BQ31" s="3960"/>
      <c r="BR31" s="3960"/>
      <c r="BS31" s="3960"/>
      <c r="BT31" s="3960"/>
      <c r="BU31" s="3960"/>
      <c r="BV31" s="3960"/>
      <c r="BW31" s="3960"/>
      <c r="BX31" s="4043"/>
      <c r="BY31" s="3971"/>
      <c r="BZ31" s="3972"/>
      <c r="CA31" s="91"/>
      <c r="CC31" s="301" t="str">
        <f t="shared" ref="CC31" si="61">D30</f>
        <v>M-3</v>
      </c>
      <c r="CD31" s="302">
        <f t="shared" ref="CD31" si="62">U30</f>
        <v>0</v>
      </c>
      <c r="CF31" s="242"/>
      <c r="CG31" s="46"/>
      <c r="CX31" s="4116" t="e">
        <f>DAY('^'!$CC$58)</f>
        <v>#VALUE!</v>
      </c>
      <c r="CY31" s="4116"/>
      <c r="CZ31" s="4116"/>
      <c r="DA31" s="4116"/>
      <c r="DE31" s="46"/>
      <c r="DQ31" s="46"/>
      <c r="DT31" s="2221"/>
      <c r="DY31" s="2219"/>
      <c r="DZ31" s="299"/>
      <c r="EE31" s="415" t="s">
        <v>60</v>
      </c>
      <c r="EG31" s="1623"/>
      <c r="EH31" s="1552"/>
      <c r="EI31" s="1552"/>
      <c r="EJ31" s="415" t="s">
        <v>505</v>
      </c>
      <c r="EK31" s="1552"/>
      <c r="EL31" s="306">
        <f>CN28</f>
        <v>0</v>
      </c>
      <c r="EM31" s="35"/>
      <c r="EN31" s="35"/>
      <c r="EO31" s="415"/>
      <c r="EP31" s="415"/>
      <c r="EQ31" s="1602" t="s">
        <v>505</v>
      </c>
      <c r="ER31" s="306">
        <f>CN28</f>
        <v>0</v>
      </c>
      <c r="ES31" s="35"/>
      <c r="ET31" s="1624"/>
      <c r="FT31" s="242"/>
      <c r="FU31" s="326"/>
      <c r="FV31" s="326"/>
      <c r="FW31" s="415" t="s">
        <v>505</v>
      </c>
      <c r="FX31" s="326"/>
      <c r="FY31" s="306">
        <f>DL28</f>
        <v>0</v>
      </c>
      <c r="GB31" s="297">
        <f>DL27</f>
        <v>0</v>
      </c>
      <c r="GE31" s="1558">
        <f>FY31+GB31</f>
        <v>0</v>
      </c>
      <c r="GG31" s="299"/>
      <c r="GI31" s="378" t="s">
        <v>60</v>
      </c>
    </row>
    <row r="32" spans="1:197" ht="17.100000000000001" customHeight="1" x14ac:dyDescent="0.2">
      <c r="A32" s="91"/>
      <c r="B32" s="3971"/>
      <c r="C32" s="3972"/>
      <c r="D32" s="3951" t="s">
        <v>540</v>
      </c>
      <c r="E32" s="3993"/>
      <c r="F32" s="3993"/>
      <c r="G32" s="3993"/>
      <c r="H32" s="3993"/>
      <c r="I32" s="3993"/>
      <c r="J32" s="3993"/>
      <c r="K32" s="3993"/>
      <c r="L32" s="3993"/>
      <c r="M32" s="3993"/>
      <c r="N32" s="3993"/>
      <c r="O32" s="3993"/>
      <c r="P32" s="3993"/>
      <c r="Q32" s="3993"/>
      <c r="R32" s="3993"/>
      <c r="S32" s="3993"/>
      <c r="T32" s="3994"/>
      <c r="U32" s="288"/>
      <c r="V32" s="17"/>
      <c r="W32" s="1171"/>
      <c r="X32" s="1171"/>
      <c r="Y32" s="4058"/>
      <c r="Z32" s="4059"/>
      <c r="AA32" s="4011" t="str" cm="1">
        <f t="array" ref="AA32">_xlfn.IFS(
X30=0,MID(Y30,1,2)&amp;"2",
X30=1,MID(Y30,1,2)&amp;"6",
X30=2,MID(Y30,1,2)&amp;"
10",
X30=3,MID(Y30,1,2)&amp;"
14",
X30=4,MID(Y30,1,2)&amp;"
18",
X30=5,MID(Y30,1,2)&amp;"
22",
TRUE,"")</f>
        <v>2</v>
      </c>
      <c r="AB32" s="3908"/>
      <c r="AC32" s="3908"/>
      <c r="AD32" s="3908"/>
      <c r="AE32" s="3908"/>
      <c r="AF32" s="3908"/>
      <c r="AG32" s="3908"/>
      <c r="AH32" s="3908"/>
      <c r="AI32" s="3908"/>
      <c r="AJ32" s="3908"/>
      <c r="AK32" s="3909"/>
      <c r="AL32" s="280"/>
      <c r="AM32" s="3987"/>
      <c r="AN32" s="4133"/>
      <c r="AO32" s="3986"/>
      <c r="AP32" s="283"/>
      <c r="AQ32" s="3960"/>
      <c r="AR32" s="3960"/>
      <c r="AS32" s="3960"/>
      <c r="AT32" s="3960"/>
      <c r="AU32" s="3960"/>
      <c r="AV32" s="3960"/>
      <c r="AW32" s="3960"/>
      <c r="AX32" s="3960"/>
      <c r="AY32" s="3960"/>
      <c r="AZ32" s="3960"/>
      <c r="BA32" s="3974" t="str" cm="1">
        <f t="array" ref="BA32">_xlfn.IFS(
BD30=0,MID(BB30,1,2)&amp;"2",
BD30=1,MID(BB30,1,2)&amp;"6",
BD30=2,MID(BB30,1,2)&amp;"
10",
BD30=3,MID(BB30,1,2)&amp;"
14",
BD30=4,MID(BB30,1,2)&amp;"
18",
BD30=5,MID(BB30,1,2)&amp;"
22",
TRUE,"")</f>
        <v>2</v>
      </c>
      <c r="BB32" s="4058"/>
      <c r="BC32" s="4059"/>
      <c r="BD32" s="2003"/>
      <c r="BE32" s="1171"/>
      <c r="BF32" s="3986"/>
      <c r="BG32" s="283"/>
      <c r="BH32" s="3960"/>
      <c r="BI32" s="3960"/>
      <c r="BJ32" s="3960"/>
      <c r="BK32" s="3960"/>
      <c r="BL32" s="3960"/>
      <c r="BM32" s="3960"/>
      <c r="BN32" s="3960"/>
      <c r="BO32" s="3960"/>
      <c r="BP32" s="3960"/>
      <c r="BQ32" s="3960"/>
      <c r="BR32" s="3960"/>
      <c r="BS32" s="3960"/>
      <c r="BT32" s="3960"/>
      <c r="BU32" s="3960"/>
      <c r="BV32" s="3960"/>
      <c r="BW32" s="3960"/>
      <c r="BX32" s="4037" t="s">
        <v>742</v>
      </c>
      <c r="BY32" s="3971"/>
      <c r="BZ32" s="3972"/>
      <c r="CA32" s="91"/>
      <c r="CC32" s="295" t="str">
        <f t="shared" ref="CC32" si="63">BX32</f>
        <v>L-4</v>
      </c>
      <c r="CD32" s="296">
        <f t="shared" ref="CD32" si="64">BG32</f>
        <v>0</v>
      </c>
      <c r="CF32" s="242"/>
      <c r="CG32" s="297">
        <f>IF(AND(U33=$AK$2,U32=100%),1,0)</f>
        <v>0</v>
      </c>
      <c r="CH32" s="39">
        <f>IF(AND(U33=$AK$2,U32&gt;0%),1,0)</f>
        <v>0</v>
      </c>
      <c r="CS32" s="2216">
        <f>IF(E32="",0, IF(AND(OR(U33&lt;&gt;$AK$2,AND(U33=$AK$2,U32&lt;&gt;100%)),$AM$2=$CX$31),1,0) )</f>
        <v>0</v>
      </c>
      <c r="CX32" s="490"/>
      <c r="CY32" s="490"/>
      <c r="CZ32" s="490"/>
      <c r="DA32" s="490"/>
      <c r="DD32" s="1608">
        <f>IF(AND(BG32=100%,BF32&lt;&gt;""),1,0)</f>
        <v>0</v>
      </c>
      <c r="DE32" s="297">
        <f>IF(AND(BG32=100%,BF32=""),1,0)</f>
        <v>0</v>
      </c>
      <c r="DF32" s="39">
        <f>IF(BG32&gt;0%,1,0)</f>
        <v>0</v>
      </c>
      <c r="DQ32" s="297">
        <f ca="1">IF(AND(BH32&lt;&gt;"",BG33&lt;&gt;"",BF32="",BG32&lt;&gt;100%,BG33&lt;PLANS!$B$1),1,0)</f>
        <v>0</v>
      </c>
      <c r="DS32" s="2216">
        <f>IF(BH32="",0, IF(AND(BF32="",BG32&lt;&gt;100%,BG33=$EC$37),1,0) )</f>
        <v>0</v>
      </c>
      <c r="DZ32" s="299"/>
      <c r="EE32" s="1632" t="s">
        <v>251</v>
      </c>
      <c r="EG32" s="1623"/>
      <c r="EH32" s="1552"/>
      <c r="EI32" s="1552"/>
      <c r="EJ32" s="1552"/>
      <c r="EK32" s="1552"/>
      <c r="EL32" s="35"/>
      <c r="EM32" s="35"/>
      <c r="EN32" s="35"/>
      <c r="EO32" s="1625"/>
      <c r="EP32" s="35"/>
      <c r="EQ32" s="1629"/>
      <c r="ER32" s="1629"/>
      <c r="ES32" s="35"/>
      <c r="ET32" s="1624"/>
      <c r="EW32" s="28"/>
      <c r="EX32" s="28"/>
      <c r="EY32" s="28"/>
      <c r="EZ32" s="28"/>
      <c r="FA32" s="1634"/>
      <c r="FB32" s="1635"/>
      <c r="FC32" s="1635"/>
      <c r="FD32" s="1604"/>
      <c r="FE32" s="1604"/>
      <c r="FF32" s="1604"/>
      <c r="FG32" s="1636"/>
      <c r="FH32" s="1635"/>
      <c r="FI32" s="1604"/>
      <c r="FJ32" s="1604"/>
      <c r="FK32" s="1604"/>
      <c r="FL32" s="1604"/>
      <c r="FM32" s="1605"/>
      <c r="FT32" s="242"/>
      <c r="FU32" s="326"/>
      <c r="FV32" s="326"/>
      <c r="FW32" s="326"/>
      <c r="FX32" s="326"/>
      <c r="GB32" s="46"/>
      <c r="GE32" s="1176"/>
      <c r="GG32" s="299"/>
      <c r="GI32" s="435" t="s">
        <v>732</v>
      </c>
    </row>
    <row r="33" spans="1:193" ht="17.100000000000001" customHeight="1" x14ac:dyDescent="0.2">
      <c r="A33" s="91"/>
      <c r="B33" s="3971"/>
      <c r="C33" s="3972"/>
      <c r="D33" s="3952"/>
      <c r="E33" s="3911"/>
      <c r="F33" s="3911"/>
      <c r="G33" s="3911"/>
      <c r="H33" s="3911"/>
      <c r="I33" s="3911"/>
      <c r="J33" s="3911"/>
      <c r="K33" s="3911"/>
      <c r="L33" s="3911"/>
      <c r="M33" s="3911"/>
      <c r="N33" s="3911"/>
      <c r="O33" s="3911"/>
      <c r="P33" s="3911"/>
      <c r="Q33" s="3911"/>
      <c r="R33" s="3911"/>
      <c r="S33" s="3911"/>
      <c r="T33" s="3912"/>
      <c r="U33" s="2098"/>
      <c r="V33" s="17"/>
      <c r="W33" s="1171"/>
      <c r="X33" s="1171"/>
      <c r="Y33" s="4058"/>
      <c r="Z33" s="4059"/>
      <c r="AA33" s="4012"/>
      <c r="AB33" s="3911"/>
      <c r="AC33" s="3911"/>
      <c r="AD33" s="3911"/>
      <c r="AE33" s="3911"/>
      <c r="AF33" s="3911"/>
      <c r="AG33" s="3911"/>
      <c r="AH33" s="3911"/>
      <c r="AI33" s="3911"/>
      <c r="AJ33" s="3911"/>
      <c r="AK33" s="3912"/>
      <c r="AL33" s="285"/>
      <c r="AM33" s="3987"/>
      <c r="AN33" s="4133"/>
      <c r="AO33" s="3986"/>
      <c r="AP33" s="282"/>
      <c r="AQ33" s="3960"/>
      <c r="AR33" s="3960"/>
      <c r="AS33" s="3960"/>
      <c r="AT33" s="3960"/>
      <c r="AU33" s="3960"/>
      <c r="AV33" s="3960"/>
      <c r="AW33" s="3960"/>
      <c r="AX33" s="3960"/>
      <c r="AY33" s="3960"/>
      <c r="AZ33" s="3960"/>
      <c r="BA33" s="3976"/>
      <c r="BB33" s="4058"/>
      <c r="BC33" s="4059"/>
      <c r="BD33" s="2003"/>
      <c r="BE33" s="1171"/>
      <c r="BF33" s="3986"/>
      <c r="BG33" s="282"/>
      <c r="BH33" s="3960"/>
      <c r="BI33" s="3960"/>
      <c r="BJ33" s="3960"/>
      <c r="BK33" s="3960"/>
      <c r="BL33" s="3960"/>
      <c r="BM33" s="3960"/>
      <c r="BN33" s="3960"/>
      <c r="BO33" s="3960"/>
      <c r="BP33" s="3960"/>
      <c r="BQ33" s="3960"/>
      <c r="BR33" s="3960"/>
      <c r="BS33" s="3960"/>
      <c r="BT33" s="3960"/>
      <c r="BU33" s="3960"/>
      <c r="BV33" s="3960"/>
      <c r="BW33" s="3960"/>
      <c r="BX33" s="4043"/>
      <c r="BY33" s="3971"/>
      <c r="BZ33" s="3972"/>
      <c r="CA33" s="91"/>
      <c r="CC33" s="301" t="str">
        <f t="shared" ref="CC33" si="65">D32</f>
        <v>M-4</v>
      </c>
      <c r="CD33" s="302">
        <f t="shared" ref="CD33" si="66">U32</f>
        <v>0</v>
      </c>
      <c r="CF33" s="242"/>
      <c r="CG33" s="46"/>
      <c r="DE33" s="46"/>
      <c r="DQ33" s="46"/>
      <c r="DZ33" s="299"/>
      <c r="EG33" s="1623"/>
      <c r="EH33" s="1552"/>
      <c r="EI33" s="1552"/>
      <c r="EJ33" s="415" t="s">
        <v>462</v>
      </c>
      <c r="EK33" s="1552"/>
      <c r="EL33" s="306">
        <f>EL29-EL31</f>
        <v>0</v>
      </c>
      <c r="EM33" s="35"/>
      <c r="EN33" s="35"/>
      <c r="EO33" s="415"/>
      <c r="EP33" s="35"/>
      <c r="EQ33" s="1629"/>
      <c r="ER33" s="1629"/>
      <c r="ES33" s="35"/>
      <c r="ET33" s="1624"/>
      <c r="EW33" s="28"/>
      <c r="EX33" s="28"/>
      <c r="EY33" s="28"/>
      <c r="EZ33" s="28"/>
      <c r="FA33" s="1637"/>
      <c r="FB33" s="28"/>
      <c r="FC33" s="28"/>
      <c r="FG33" s="1610" t="s">
        <v>1170</v>
      </c>
      <c r="FH33" s="28"/>
      <c r="FM33" s="1606"/>
      <c r="FT33" s="242"/>
      <c r="FU33" s="326"/>
      <c r="FV33" s="326"/>
      <c r="FW33" s="415" t="s">
        <v>462</v>
      </c>
      <c r="FX33" s="326"/>
      <c r="FY33" s="306">
        <f>FY29-FY31</f>
        <v>0</v>
      </c>
      <c r="GB33" s="297">
        <f>GB29-GB31</f>
        <v>0</v>
      </c>
      <c r="GE33" s="1558">
        <f>GE29-GE31</f>
        <v>0</v>
      </c>
      <c r="GG33" s="299"/>
    </row>
    <row r="34" spans="1:193" ht="17.100000000000001" customHeight="1" x14ac:dyDescent="0.15">
      <c r="A34" s="91"/>
      <c r="B34" s="3971"/>
      <c r="C34" s="3972"/>
      <c r="D34" s="3951" t="s">
        <v>541</v>
      </c>
      <c r="E34" s="3993"/>
      <c r="F34" s="3993"/>
      <c r="G34" s="3993"/>
      <c r="H34" s="3993"/>
      <c r="I34" s="3993"/>
      <c r="J34" s="3993"/>
      <c r="K34" s="3993"/>
      <c r="L34" s="3993"/>
      <c r="M34" s="3993"/>
      <c r="N34" s="3993"/>
      <c r="O34" s="3993"/>
      <c r="P34" s="3993"/>
      <c r="Q34" s="3993"/>
      <c r="R34" s="3993"/>
      <c r="S34" s="3993"/>
      <c r="T34" s="3994"/>
      <c r="U34" s="288"/>
      <c r="V34" s="17"/>
      <c r="W34" s="1171"/>
      <c r="X34" s="1171"/>
      <c r="Y34" s="4058"/>
      <c r="Z34" s="4059"/>
      <c r="AA34" s="4011" t="str" cm="1">
        <f t="array" ref="AA34">_xlfn.IFS(
X30=0,MID(Y30,1,2)&amp;"3",
X30=1,MID(Y30,1,2)&amp;"7",
X30=2,MID(Y30,1,2)&amp;"
11",
X30=3,MID(Y30,1,2)&amp;"
15",
X30=4,MID(Y30,1,2)&amp;"
19",
X30=5,MID(Y30,1,2)&amp;"
23",
TRUE,"")</f>
        <v>3</v>
      </c>
      <c r="AB34" s="3908"/>
      <c r="AC34" s="3908"/>
      <c r="AD34" s="3908"/>
      <c r="AE34" s="3908"/>
      <c r="AF34" s="3908"/>
      <c r="AG34" s="3908"/>
      <c r="AH34" s="3908"/>
      <c r="AI34" s="3908"/>
      <c r="AJ34" s="3908"/>
      <c r="AK34" s="3909"/>
      <c r="AL34" s="280"/>
      <c r="AM34" s="3987"/>
      <c r="AN34" s="3363"/>
      <c r="AO34" s="3986"/>
      <c r="AP34" s="283"/>
      <c r="AQ34" s="3960"/>
      <c r="AR34" s="3960"/>
      <c r="AS34" s="3960"/>
      <c r="AT34" s="3960"/>
      <c r="AU34" s="3960"/>
      <c r="AV34" s="3960"/>
      <c r="AW34" s="3960"/>
      <c r="AX34" s="3960"/>
      <c r="AY34" s="3960"/>
      <c r="AZ34" s="3960"/>
      <c r="BA34" s="3974" t="str" cm="1">
        <f t="array" ref="BA34">_xlfn.IFS(
BD30=0,MID(BB30,1,2)&amp;"3",
BD30=1,MID(BB30,1,2)&amp;"7",
BD30=2,MID(BB30,1,2)&amp;"
11",
BD30=3,MID(BB30,1,2)&amp;"
15",
BD30=4,MID(BB30,1,2)&amp;"
19",
BD30=5,MID(BB30,1,2)&amp;"
23",
TRUE,"")</f>
        <v>3</v>
      </c>
      <c r="BB34" s="4058"/>
      <c r="BC34" s="4059"/>
      <c r="BD34" s="2003"/>
      <c r="BE34" s="1171"/>
      <c r="BF34" s="3986"/>
      <c r="BG34" s="283"/>
      <c r="BH34" s="3960"/>
      <c r="BI34" s="3960"/>
      <c r="BJ34" s="3960"/>
      <c r="BK34" s="3960"/>
      <c r="BL34" s="3960"/>
      <c r="BM34" s="3960"/>
      <c r="BN34" s="3960"/>
      <c r="BO34" s="3960"/>
      <c r="BP34" s="3960"/>
      <c r="BQ34" s="3960"/>
      <c r="BR34" s="3960"/>
      <c r="BS34" s="3960"/>
      <c r="BT34" s="3960"/>
      <c r="BU34" s="3960"/>
      <c r="BV34" s="3960"/>
      <c r="BW34" s="3960"/>
      <c r="BX34" s="4037" t="s">
        <v>743</v>
      </c>
      <c r="BY34" s="3971"/>
      <c r="BZ34" s="3972"/>
      <c r="CA34" s="91"/>
      <c r="CC34" s="295" t="str">
        <f t="shared" ref="CC34" si="67">BX34</f>
        <v>L-5</v>
      </c>
      <c r="CD34" s="296">
        <f t="shared" ref="CD34" si="68">BG34</f>
        <v>0</v>
      </c>
      <c r="CF34" s="242"/>
      <c r="CG34" s="297">
        <f>IF(AND(U35=$AK$2,U34=100%),1,0)</f>
        <v>0</v>
      </c>
      <c r="CH34" s="39">
        <f>IF(AND(U35=$AK$2,U34&gt;0%),1,0)</f>
        <v>0</v>
      </c>
      <c r="CS34" s="2216">
        <f>IF(E34="",0, IF(AND(OR(U35&lt;&gt;$AK$2,AND(U35=$AK$2,U34&lt;&gt;100%)),$AM$2=$CX$31),1,0) )</f>
        <v>0</v>
      </c>
      <c r="DD34" s="1608">
        <f>IF(AND(BG34=100%,BF34&lt;&gt;""),1,0)</f>
        <v>0</v>
      </c>
      <c r="DE34" s="297">
        <f>IF(AND(BG34=100%,BF34=""),1,0)</f>
        <v>0</v>
      </c>
      <c r="DF34" s="39">
        <f>IF(BG34&gt;0%,1,0)</f>
        <v>0</v>
      </c>
      <c r="DQ34" s="297">
        <f ca="1">IF(AND(BH34&lt;&gt;"",BG35&lt;&gt;"",BF34="",BG34&lt;&gt;100%,BG35&lt;PLANS!$B$1),1,0)</f>
        <v>0</v>
      </c>
      <c r="DS34" s="2216">
        <f>IF(BH34="",0, IF(AND(BF34="",BG34&lt;&gt;100%,BG35=$EC$37),1,0) )</f>
        <v>0</v>
      </c>
      <c r="DZ34" s="299"/>
      <c r="EG34" s="1623"/>
      <c r="EH34" s="1552"/>
      <c r="EI34" s="1552"/>
      <c r="EJ34" s="1552"/>
      <c r="EK34" s="1552"/>
      <c r="EL34" s="35"/>
      <c r="EM34" s="35"/>
      <c r="EN34" s="35"/>
      <c r="EO34" s="1625"/>
      <c r="EP34" s="415"/>
      <c r="EQ34" s="35"/>
      <c r="ER34" s="35"/>
      <c r="ES34" s="35"/>
      <c r="ET34" s="1624"/>
      <c r="EW34" s="28"/>
      <c r="EX34" s="28"/>
      <c r="EY34" s="28"/>
      <c r="EZ34" s="28"/>
      <c r="FA34" s="1637"/>
      <c r="FB34" s="28"/>
      <c r="FC34" s="28"/>
      <c r="FG34" s="2265">
        <f ca="1">FG30+FG53</f>
        <v>0</v>
      </c>
      <c r="FH34" s="28"/>
      <c r="FM34" s="1606"/>
      <c r="FT34" s="242"/>
      <c r="FU34" s="326"/>
      <c r="FV34" s="326"/>
      <c r="FW34" s="326"/>
      <c r="FX34" s="326"/>
      <c r="GB34" s="46"/>
      <c r="GE34" s="1176"/>
      <c r="GG34" s="299"/>
    </row>
    <row r="35" spans="1:193" ht="17.100000000000001" customHeight="1" x14ac:dyDescent="0.2">
      <c r="A35" s="91"/>
      <c r="B35" s="3971"/>
      <c r="C35" s="3972"/>
      <c r="D35" s="3952"/>
      <c r="E35" s="3911"/>
      <c r="F35" s="3911"/>
      <c r="G35" s="3911"/>
      <c r="H35" s="3911"/>
      <c r="I35" s="3911"/>
      <c r="J35" s="3911"/>
      <c r="K35" s="3911"/>
      <c r="L35" s="3911"/>
      <c r="M35" s="3911"/>
      <c r="N35" s="3911"/>
      <c r="O35" s="3911"/>
      <c r="P35" s="3911"/>
      <c r="Q35" s="3911"/>
      <c r="R35" s="3911"/>
      <c r="S35" s="3911"/>
      <c r="T35" s="3912"/>
      <c r="U35" s="2098"/>
      <c r="V35" s="17"/>
      <c r="W35" s="1171"/>
      <c r="X35" s="1171"/>
      <c r="Y35" s="4058"/>
      <c r="Z35" s="4059"/>
      <c r="AA35" s="4012"/>
      <c r="AB35" s="3911"/>
      <c r="AC35" s="3911"/>
      <c r="AD35" s="3911"/>
      <c r="AE35" s="3911"/>
      <c r="AF35" s="3911"/>
      <c r="AG35" s="3911"/>
      <c r="AH35" s="3911"/>
      <c r="AI35" s="3911"/>
      <c r="AJ35" s="3911"/>
      <c r="AK35" s="3912"/>
      <c r="AL35" s="285"/>
      <c r="AM35" s="3987"/>
      <c r="AN35" s="3363"/>
      <c r="AO35" s="3986"/>
      <c r="AP35" s="282"/>
      <c r="AQ35" s="3960"/>
      <c r="AR35" s="3960"/>
      <c r="AS35" s="3960"/>
      <c r="AT35" s="3960"/>
      <c r="AU35" s="3960"/>
      <c r="AV35" s="3960"/>
      <c r="AW35" s="3960"/>
      <c r="AX35" s="3960"/>
      <c r="AY35" s="3960"/>
      <c r="AZ35" s="3960"/>
      <c r="BA35" s="3976"/>
      <c r="BB35" s="4058"/>
      <c r="BC35" s="4059"/>
      <c r="BD35" s="2003"/>
      <c r="BE35" s="1171"/>
      <c r="BF35" s="3986"/>
      <c r="BG35" s="282"/>
      <c r="BH35" s="3960"/>
      <c r="BI35" s="3960"/>
      <c r="BJ35" s="3960"/>
      <c r="BK35" s="3960"/>
      <c r="BL35" s="3960"/>
      <c r="BM35" s="3960"/>
      <c r="BN35" s="3960"/>
      <c r="BO35" s="3960"/>
      <c r="BP35" s="3960"/>
      <c r="BQ35" s="3960"/>
      <c r="BR35" s="3960"/>
      <c r="BS35" s="3960"/>
      <c r="BT35" s="3960"/>
      <c r="BU35" s="3960"/>
      <c r="BV35" s="3960"/>
      <c r="BW35" s="3960"/>
      <c r="BX35" s="4043"/>
      <c r="BY35" s="3971"/>
      <c r="BZ35" s="3972"/>
      <c r="CA35" s="91"/>
      <c r="CC35" s="301" t="str">
        <f t="shared" ref="CC35" si="69">D34</f>
        <v>M-5</v>
      </c>
      <c r="CD35" s="302">
        <f t="shared" ref="CD35" si="70">U34</f>
        <v>0</v>
      </c>
      <c r="CF35" s="242"/>
      <c r="CG35" s="46"/>
      <c r="DA35" s="2220" t="s">
        <v>1355</v>
      </c>
      <c r="DE35" s="46"/>
      <c r="DQ35" s="46"/>
      <c r="DY35" s="2220" t="s">
        <v>1359</v>
      </c>
      <c r="DZ35" s="299"/>
      <c r="EG35" s="1623"/>
      <c r="EH35" s="1552"/>
      <c r="EI35" s="1552"/>
      <c r="EJ35" s="415" t="s">
        <v>469</v>
      </c>
      <c r="EK35" s="1552"/>
      <c r="EL35" s="306">
        <f ca="1">IF(OR(PLANS!$B$1=32, PROGRESS!$CC$9=0),MISSIONS!$EL$33,0)</f>
        <v>0</v>
      </c>
      <c r="EM35" s="35"/>
      <c r="EN35" s="35"/>
      <c r="EO35" s="35"/>
      <c r="EP35" s="35"/>
      <c r="EQ35" s="1602" t="s">
        <v>493</v>
      </c>
      <c r="ER35" s="306">
        <f>$CN$30</f>
        <v>0</v>
      </c>
      <c r="ES35" s="35"/>
      <c r="ET35" s="1624"/>
      <c r="EW35" s="28"/>
      <c r="EX35" s="28"/>
      <c r="EY35" s="28"/>
      <c r="EZ35" s="28"/>
      <c r="FA35" s="1637"/>
      <c r="FB35" s="28"/>
      <c r="FC35" s="28"/>
      <c r="FG35" s="382" t="s">
        <v>1167</v>
      </c>
      <c r="FH35" s="28"/>
      <c r="FM35" s="1606"/>
      <c r="FT35" s="242"/>
      <c r="FU35" s="326"/>
      <c r="FV35" s="326"/>
      <c r="FW35" s="415" t="s">
        <v>469</v>
      </c>
      <c r="FX35" s="326"/>
      <c r="FY35" s="306">
        <f ca="1">DX28</f>
        <v>0</v>
      </c>
      <c r="GG35" s="299"/>
    </row>
    <row r="36" spans="1:193" ht="17.100000000000001" customHeight="1" x14ac:dyDescent="0.2">
      <c r="A36" s="91"/>
      <c r="B36" s="3971"/>
      <c r="C36" s="3972"/>
      <c r="D36" s="3951" t="s">
        <v>542</v>
      </c>
      <c r="E36" s="3993"/>
      <c r="F36" s="3993"/>
      <c r="G36" s="3993"/>
      <c r="H36" s="3993"/>
      <c r="I36" s="3993"/>
      <c r="J36" s="3993"/>
      <c r="K36" s="3993"/>
      <c r="L36" s="3993"/>
      <c r="M36" s="3993"/>
      <c r="N36" s="3993"/>
      <c r="O36" s="3993"/>
      <c r="P36" s="3993"/>
      <c r="Q36" s="3993"/>
      <c r="R36" s="3993"/>
      <c r="S36" s="3993"/>
      <c r="T36" s="3994"/>
      <c r="U36" s="288"/>
      <c r="V36" s="17"/>
      <c r="W36" s="1171"/>
      <c r="X36" s="1171"/>
      <c r="Y36" s="4058"/>
      <c r="Z36" s="4059"/>
      <c r="AA36" s="4011" t="str" cm="1">
        <f t="array" ref="AA36">_xlfn.IFS(
X30=0,MID(Y30,1,2)&amp;"4",
X30=1,MID(Y30,1,2)&amp;"8",
X30=2,MID(Y30,1,2)&amp;"
12",
X30=3,MID(Y30,1,2)&amp;"
16",
X30=4,MID(Y30,1,2)&amp;"
20",
X30=5,MID(Y30,1,2)&amp;"
24",
TRUE,"")</f>
        <v>4</v>
      </c>
      <c r="AB36" s="3908"/>
      <c r="AC36" s="3908"/>
      <c r="AD36" s="3908"/>
      <c r="AE36" s="3908"/>
      <c r="AF36" s="3908"/>
      <c r="AG36" s="3908"/>
      <c r="AH36" s="3908"/>
      <c r="AI36" s="3908"/>
      <c r="AJ36" s="3908"/>
      <c r="AK36" s="3909"/>
      <c r="AL36" s="280"/>
      <c r="AM36" s="3987"/>
      <c r="AN36" s="3363"/>
      <c r="AO36" s="3986"/>
      <c r="AP36" s="283"/>
      <c r="AQ36" s="3960"/>
      <c r="AR36" s="3960"/>
      <c r="AS36" s="3960"/>
      <c r="AT36" s="3960"/>
      <c r="AU36" s="3960"/>
      <c r="AV36" s="3960"/>
      <c r="AW36" s="3960"/>
      <c r="AX36" s="3960"/>
      <c r="AY36" s="3960"/>
      <c r="AZ36" s="3960"/>
      <c r="BA36" s="3974" t="str" cm="1">
        <f t="array" ref="BA36">_xlfn.IFS(
BD30=0,MID(BB30,1,2)&amp;"4",
BD30=1,MID(BB30,1,2)&amp;"8",
BD30=2,MID(BB30,1,2)&amp;"
12",
BD30=3,MID(BB30,1,2)&amp;"
16",
BD30=4,MID(BB30,1,2)&amp;"
20",
BD30=5,MID(BB30,1,2)&amp;"
24",
TRUE,"")</f>
        <v>4</v>
      </c>
      <c r="BB36" s="4058"/>
      <c r="BC36" s="4059"/>
      <c r="BD36" s="2003"/>
      <c r="BE36" s="1171"/>
      <c r="BF36" s="3986"/>
      <c r="BG36" s="283"/>
      <c r="BH36" s="3960"/>
      <c r="BI36" s="3960"/>
      <c r="BJ36" s="3960"/>
      <c r="BK36" s="3960"/>
      <c r="BL36" s="3960"/>
      <c r="BM36" s="3960"/>
      <c r="BN36" s="3960"/>
      <c r="BO36" s="3960"/>
      <c r="BP36" s="3960"/>
      <c r="BQ36" s="3960"/>
      <c r="BR36" s="3960"/>
      <c r="BS36" s="3960"/>
      <c r="BT36" s="3960"/>
      <c r="BU36" s="3960"/>
      <c r="BV36" s="3960"/>
      <c r="BW36" s="3960"/>
      <c r="BX36" s="4037" t="s">
        <v>744</v>
      </c>
      <c r="BY36" s="3971"/>
      <c r="BZ36" s="3972"/>
      <c r="CA36" s="91"/>
      <c r="CC36" s="295" t="str">
        <f t="shared" ref="CC36" si="71">BX36</f>
        <v>L-6</v>
      </c>
      <c r="CD36" s="296">
        <f t="shared" ref="CD36" si="72">BG36</f>
        <v>0</v>
      </c>
      <c r="CF36" s="242"/>
      <c r="CG36" s="297">
        <f>IF(AND(U37=$AK$2,U36=100%),1,0)</f>
        <v>0</v>
      </c>
      <c r="CH36" s="39">
        <f>IF(AND(U37=$AK$2,U36&gt;0%),1,0)</f>
        <v>0</v>
      </c>
      <c r="CS36" s="2216">
        <f t="shared" ref="CS36" si="73">IF(E36="",0, IF(AND(OR(U37&lt;&gt;$AK$2,AND(U37=$AK$2,U36&lt;&gt;100%)),$AM$2=$CX$31),1,0) )</f>
        <v>0</v>
      </c>
      <c r="CZ36" s="2216">
        <f>SUM(CS26:CS36)</f>
        <v>0</v>
      </c>
      <c r="DD36" s="1608">
        <f>IF(AND(BG36=100%,BF36&lt;&gt;""),1,0)</f>
        <v>0</v>
      </c>
      <c r="DE36" s="297">
        <f>IF(AND(BG36=100%,BF36=""),1,0)</f>
        <v>0</v>
      </c>
      <c r="DF36" s="39">
        <f>IF(BG36&gt;0%,1,0)</f>
        <v>0</v>
      </c>
      <c r="DQ36" s="297">
        <f ca="1">IF(AND(BH36&lt;&gt;"",BG37&lt;&gt;"",BF36="",BG36&lt;&gt;100%,BG37&lt;PLANS!$B$1),1,0)</f>
        <v>0</v>
      </c>
      <c r="DS36" s="2216">
        <f>IF(BH36="",0, IF(AND(BF36="",BG36&lt;&gt;100%,BG37=$EC$37),1,0) )</f>
        <v>0</v>
      </c>
      <c r="DX36" s="2216">
        <f>SUM(DS26:DS36)</f>
        <v>0</v>
      </c>
      <c r="DZ36" s="299"/>
      <c r="EB36" s="2223"/>
      <c r="EC36" s="2224" t="s">
        <v>1361</v>
      </c>
      <c r="ED36" s="2225"/>
      <c r="EG36" s="1626"/>
      <c r="EH36" s="1627"/>
      <c r="EI36" s="1627"/>
      <c r="EJ36" s="1627"/>
      <c r="EK36" s="1627"/>
      <c r="EL36" s="1627"/>
      <c r="EM36" s="1627"/>
      <c r="EN36" s="1627"/>
      <c r="EO36" s="1627"/>
      <c r="EP36" s="1627"/>
      <c r="EQ36" s="1627"/>
      <c r="ER36" s="1627"/>
      <c r="ES36" s="1627"/>
      <c r="ET36" s="1628"/>
      <c r="EW36" s="28"/>
      <c r="EX36" s="28"/>
      <c r="EY36" s="28"/>
      <c r="EZ36" s="28"/>
      <c r="FA36" s="1637"/>
      <c r="FB36" s="28"/>
      <c r="FC36" s="28"/>
      <c r="FG36" s="1633" t="s">
        <v>1168</v>
      </c>
      <c r="FH36" s="28"/>
      <c r="FM36" s="1606"/>
      <c r="FT36" s="251"/>
      <c r="FU36" s="252"/>
      <c r="FV36" s="252"/>
      <c r="FW36" s="252"/>
      <c r="FX36" s="252"/>
      <c r="FY36" s="252"/>
      <c r="FZ36" s="252"/>
      <c r="GA36" s="252"/>
      <c r="GB36" s="252"/>
      <c r="GC36" s="252"/>
      <c r="GD36" s="252"/>
      <c r="GE36" s="252"/>
      <c r="GF36" s="252"/>
      <c r="GG36" s="253"/>
    </row>
    <row r="37" spans="1:193" ht="17.100000000000001" customHeight="1" thickBot="1" x14ac:dyDescent="0.2">
      <c r="A37" s="91"/>
      <c r="B37" s="3949"/>
      <c r="C37" s="3950"/>
      <c r="D37" s="4004"/>
      <c r="E37" s="3990"/>
      <c r="F37" s="3990"/>
      <c r="G37" s="3990"/>
      <c r="H37" s="3990"/>
      <c r="I37" s="3990"/>
      <c r="J37" s="3990"/>
      <c r="K37" s="3990"/>
      <c r="L37" s="3990"/>
      <c r="M37" s="3990"/>
      <c r="N37" s="3990"/>
      <c r="O37" s="3990"/>
      <c r="P37" s="3990"/>
      <c r="Q37" s="3990"/>
      <c r="R37" s="3990"/>
      <c r="S37" s="3990"/>
      <c r="T37" s="3991"/>
      <c r="U37" s="2099"/>
      <c r="V37" s="17"/>
      <c r="W37" s="1171"/>
      <c r="X37" s="1171"/>
      <c r="Y37" s="4060"/>
      <c r="Z37" s="4061"/>
      <c r="AA37" s="4067"/>
      <c r="AB37" s="3990"/>
      <c r="AC37" s="3990"/>
      <c r="AD37" s="3990"/>
      <c r="AE37" s="3990"/>
      <c r="AF37" s="3990"/>
      <c r="AG37" s="3990"/>
      <c r="AH37" s="3990"/>
      <c r="AI37" s="3990"/>
      <c r="AJ37" s="3990"/>
      <c r="AK37" s="3991"/>
      <c r="AL37" s="286"/>
      <c r="AM37" s="3987"/>
      <c r="AN37" s="3363"/>
      <c r="AO37" s="3986"/>
      <c r="AP37" s="287"/>
      <c r="AQ37" s="3997"/>
      <c r="AR37" s="3997"/>
      <c r="AS37" s="3997"/>
      <c r="AT37" s="3997"/>
      <c r="AU37" s="3997"/>
      <c r="AV37" s="3997"/>
      <c r="AW37" s="3997"/>
      <c r="AX37" s="3997"/>
      <c r="AY37" s="3997"/>
      <c r="AZ37" s="3997"/>
      <c r="BA37" s="3975"/>
      <c r="BB37" s="4060"/>
      <c r="BC37" s="4061"/>
      <c r="BD37" s="2003"/>
      <c r="BE37" s="1171"/>
      <c r="BF37" s="3986"/>
      <c r="BG37" s="287"/>
      <c r="BH37" s="3997"/>
      <c r="BI37" s="3997"/>
      <c r="BJ37" s="3997"/>
      <c r="BK37" s="3997"/>
      <c r="BL37" s="3997"/>
      <c r="BM37" s="3997"/>
      <c r="BN37" s="3997"/>
      <c r="BO37" s="3997"/>
      <c r="BP37" s="3997"/>
      <c r="BQ37" s="3997"/>
      <c r="BR37" s="3997"/>
      <c r="BS37" s="3997"/>
      <c r="BT37" s="3997"/>
      <c r="BU37" s="3997"/>
      <c r="BV37" s="3997"/>
      <c r="BW37" s="3997"/>
      <c r="BX37" s="4038"/>
      <c r="BY37" s="3949"/>
      <c r="BZ37" s="3950"/>
      <c r="CA37" s="91"/>
      <c r="CC37" s="301" t="str">
        <f t="shared" ref="CC37" si="74">D36</f>
        <v>M-6</v>
      </c>
      <c r="CD37" s="302">
        <f t="shared" ref="CD37" si="75">U36</f>
        <v>0</v>
      </c>
      <c r="CF37" s="251"/>
      <c r="CG37" s="252"/>
      <c r="CH37" s="252"/>
      <c r="CI37" s="252"/>
      <c r="CJ37" s="252"/>
      <c r="CK37" s="252"/>
      <c r="CL37" s="252"/>
      <c r="CM37" s="252"/>
      <c r="CN37" s="252"/>
      <c r="CO37" s="252"/>
      <c r="CP37" s="252"/>
      <c r="CQ37" s="252"/>
      <c r="CR37" s="252"/>
      <c r="CS37" s="252"/>
      <c r="CT37" s="252"/>
      <c r="CU37" s="252"/>
      <c r="CV37" s="252"/>
      <c r="CW37" s="252"/>
      <c r="CX37" s="252"/>
      <c r="CY37" s="252"/>
      <c r="CZ37" s="252"/>
      <c r="DA37" s="252"/>
      <c r="DB37" s="252"/>
      <c r="DC37" s="252"/>
      <c r="DD37" s="252"/>
      <c r="DE37" s="252"/>
      <c r="DF37" s="252"/>
      <c r="DG37" s="252"/>
      <c r="DH37" s="252"/>
      <c r="DI37" s="252"/>
      <c r="DJ37" s="252"/>
      <c r="DK37" s="252"/>
      <c r="DL37" s="252"/>
      <c r="DM37" s="252"/>
      <c r="DN37" s="252"/>
      <c r="DO37" s="252"/>
      <c r="DP37" s="252"/>
      <c r="DQ37" s="252"/>
      <c r="DR37" s="252"/>
      <c r="DS37" s="252"/>
      <c r="DT37" s="252"/>
      <c r="DU37" s="252"/>
      <c r="DV37" s="252"/>
      <c r="DW37" s="252"/>
      <c r="DX37" s="252"/>
      <c r="DY37" s="252"/>
      <c r="DZ37" s="253"/>
      <c r="EB37" s="2226"/>
      <c r="EC37" s="2228">
        <f ca="1">PLANS!$B$1</f>
        <v>32</v>
      </c>
      <c r="ED37" s="2227"/>
      <c r="EG37" s="298"/>
      <c r="EW37" s="28"/>
      <c r="EX37" s="28"/>
      <c r="EY37" s="28"/>
      <c r="EZ37" s="28"/>
      <c r="FA37" s="1638"/>
      <c r="FB37" s="1639"/>
      <c r="FC37" s="1639"/>
      <c r="FD37" s="1639"/>
      <c r="FE37" s="1639"/>
      <c r="FF37" s="1639"/>
      <c r="FG37" s="1639"/>
      <c r="FH37" s="1639"/>
      <c r="FI37" s="1639"/>
      <c r="FJ37" s="1639"/>
      <c r="FK37" s="1639"/>
      <c r="FL37" s="1639"/>
      <c r="FM37" s="1607"/>
      <c r="FX37" s="28"/>
      <c r="FY37" s="28"/>
      <c r="FZ37" s="28"/>
      <c r="GA37" s="28"/>
      <c r="GB37" s="28"/>
      <c r="GC37" s="28"/>
      <c r="GD37" s="28"/>
      <c r="GE37" s="28"/>
      <c r="GF37" s="28"/>
      <c r="GG37" s="28"/>
      <c r="GH37" s="28"/>
      <c r="GI37" s="28"/>
      <c r="GJ37" s="28"/>
      <c r="GK37" s="28"/>
    </row>
    <row r="38" spans="1:193" ht="17.100000000000001" customHeight="1" x14ac:dyDescent="0.15">
      <c r="A38" s="91"/>
      <c r="B38" s="32"/>
      <c r="C38" s="32"/>
      <c r="D38" s="32"/>
      <c r="E38" s="31"/>
      <c r="F38" s="31"/>
      <c r="G38" s="32"/>
      <c r="H38" s="32"/>
      <c r="I38" s="31"/>
      <c r="J38" s="83"/>
      <c r="K38" s="17"/>
      <c r="L38" s="17"/>
      <c r="M38" s="31"/>
      <c r="N38" s="32"/>
      <c r="O38" s="17"/>
      <c r="P38" s="17"/>
      <c r="Q38" s="17"/>
      <c r="R38" s="17"/>
      <c r="S38" s="17"/>
      <c r="T38" s="17"/>
      <c r="U38" s="17"/>
      <c r="V38" s="31"/>
      <c r="W38" s="17"/>
      <c r="X38" s="17"/>
      <c r="Y38" s="17"/>
      <c r="Z38" s="17"/>
      <c r="AA38" s="17"/>
      <c r="AB38" s="17"/>
      <c r="AC38" s="17"/>
      <c r="AD38" s="17"/>
      <c r="AE38" s="17"/>
      <c r="AF38" s="17"/>
      <c r="AG38" s="17"/>
      <c r="AH38" s="17"/>
      <c r="AI38" s="17"/>
      <c r="AJ38" s="17"/>
      <c r="AK38" s="17"/>
      <c r="AL38" s="17"/>
      <c r="AM38" s="17"/>
      <c r="AN38" s="32" t="s">
        <v>1</v>
      </c>
      <c r="AO38" s="32"/>
      <c r="AP38" s="91"/>
      <c r="AQ38" s="91"/>
      <c r="AR38" s="17"/>
      <c r="AS38" s="32"/>
      <c r="AT38" s="17"/>
      <c r="AU38" s="17"/>
      <c r="AV38" s="17"/>
      <c r="AW38" s="17"/>
      <c r="AX38" s="17"/>
      <c r="AY38" s="17"/>
      <c r="AZ38" s="17"/>
      <c r="BA38" s="17"/>
      <c r="BB38" s="17"/>
      <c r="BC38" s="17"/>
      <c r="BD38" s="17"/>
      <c r="BE38" s="17"/>
      <c r="BF38" s="17"/>
      <c r="BG38" s="32"/>
      <c r="BH38" s="32"/>
      <c r="BI38" s="31"/>
      <c r="BJ38" s="17"/>
      <c r="BK38" s="17"/>
      <c r="BL38" s="17"/>
      <c r="BM38" s="17"/>
      <c r="BN38" s="17"/>
      <c r="BO38" s="17"/>
      <c r="BP38" s="17"/>
      <c r="BQ38" s="17"/>
      <c r="BR38" s="17"/>
      <c r="BS38" s="17"/>
      <c r="BT38" s="32"/>
      <c r="BU38" s="32"/>
      <c r="BV38" s="17"/>
      <c r="BW38" s="32"/>
      <c r="BX38" s="32"/>
      <c r="BY38" s="32"/>
      <c r="BZ38" s="17"/>
      <c r="CA38" s="91"/>
      <c r="CW38" s="298"/>
      <c r="DU38" s="298"/>
      <c r="EW38" s="28"/>
      <c r="EX38" s="28"/>
      <c r="EY38" s="28"/>
      <c r="EZ38" s="28"/>
      <c r="FA38" s="28"/>
      <c r="FB38" s="28"/>
      <c r="FC38" s="28"/>
      <c r="FD38" s="28"/>
      <c r="FE38" s="28"/>
      <c r="FF38" s="28"/>
      <c r="FG38" s="28"/>
      <c r="FH38" s="28"/>
      <c r="FI38" s="28"/>
      <c r="FJ38" s="28"/>
      <c r="FK38" s="28"/>
      <c r="FL38" s="28"/>
      <c r="FX38" s="28"/>
      <c r="FY38" s="28"/>
      <c r="FZ38" s="28"/>
      <c r="GA38" s="28"/>
      <c r="GB38" s="28"/>
      <c r="GC38" s="28"/>
      <c r="GD38" s="28"/>
      <c r="GF38" s="28"/>
      <c r="GG38" s="28"/>
      <c r="GH38" s="28"/>
      <c r="GI38" s="28"/>
      <c r="GJ38" s="28"/>
      <c r="GK38" s="28"/>
    </row>
    <row r="39" spans="1:193" ht="17.100000000000001" customHeight="1" x14ac:dyDescent="0.15">
      <c r="B39" s="34"/>
      <c r="C39" s="34"/>
      <c r="V39" s="33"/>
      <c r="AN39" s="34" t="s">
        <v>1</v>
      </c>
      <c r="AO39" s="34"/>
      <c r="AS39" s="34"/>
      <c r="BG39" s="34"/>
      <c r="BH39" s="34"/>
      <c r="BI39" s="33"/>
      <c r="BT39" s="34"/>
      <c r="BU39" s="34"/>
      <c r="BW39" s="34"/>
      <c r="BX39" s="34"/>
      <c r="BY39" s="34"/>
      <c r="CC39" s="295" t="str">
        <f>AA14</f>
        <v>1</v>
      </c>
      <c r="CD39" s="296">
        <f>AL14</f>
        <v>0</v>
      </c>
      <c r="CG39" s="415">
        <v>3</v>
      </c>
      <c r="CH39" s="4115" t="s">
        <v>896</v>
      </c>
      <c r="CI39" s="4115"/>
      <c r="CJ39" s="4115"/>
      <c r="CK39" s="4115"/>
      <c r="CL39" s="4115"/>
      <c r="CM39" s="1174">
        <f>$BZ$43</f>
        <v>0.25</v>
      </c>
      <c r="CO39" s="1146" t="s">
        <v>288</v>
      </c>
      <c r="CQ39" s="227"/>
      <c r="CR39" s="313"/>
      <c r="CS39" s="102"/>
      <c r="CT39" s="228"/>
      <c r="CU39" s="228"/>
      <c r="CV39" s="228"/>
      <c r="CW39" s="228"/>
      <c r="CX39" s="228"/>
      <c r="CY39" s="228"/>
      <c r="CZ39" s="228"/>
      <c r="DA39" s="228"/>
      <c r="DB39" s="228"/>
      <c r="DC39" s="228"/>
      <c r="DD39" s="313"/>
      <c r="DE39" s="102"/>
      <c r="DF39" s="228"/>
      <c r="DG39" s="228"/>
      <c r="DH39" s="228"/>
      <c r="DI39" s="228"/>
      <c r="DJ39" s="228"/>
      <c r="DK39" s="228"/>
      <c r="DL39" s="228"/>
      <c r="DM39" s="228"/>
      <c r="DN39" s="228"/>
      <c r="DO39" s="1613" t="s">
        <v>371</v>
      </c>
      <c r="DP39" s="313"/>
      <c r="DQ39" s="102"/>
      <c r="DR39" s="228"/>
      <c r="DS39" s="228"/>
      <c r="DT39" s="228"/>
      <c r="DU39" s="228"/>
      <c r="DV39" s="228"/>
      <c r="DW39" s="228"/>
      <c r="DX39" s="228"/>
      <c r="DY39" s="228"/>
      <c r="DZ39" s="228"/>
      <c r="EA39" s="228"/>
      <c r="EB39" s="313"/>
      <c r="EC39" s="102"/>
      <c r="ED39" s="228"/>
      <c r="EE39" s="228"/>
      <c r="EF39" s="228"/>
      <c r="EG39" s="228"/>
      <c r="EH39" s="228"/>
      <c r="EI39" s="228"/>
      <c r="EJ39" s="228"/>
      <c r="EK39" s="228"/>
      <c r="EL39" s="256"/>
      <c r="EO39" s="2218"/>
      <c r="EP39" s="28"/>
      <c r="EQ39" s="28"/>
      <c r="ER39" s="28"/>
      <c r="ES39" s="1609"/>
      <c r="EW39" s="28"/>
      <c r="EX39" s="28"/>
      <c r="EY39" s="28"/>
      <c r="EZ39" s="28"/>
      <c r="FA39" s="28"/>
      <c r="FB39" s="28"/>
      <c r="FC39" s="28"/>
      <c r="FD39" s="28"/>
      <c r="FE39" s="28"/>
      <c r="FF39" s="28"/>
      <c r="FH39" s="28"/>
      <c r="FX39" s="28"/>
      <c r="FY39" s="28"/>
      <c r="FZ39" s="28"/>
      <c r="GA39" s="28"/>
      <c r="GB39" s="28"/>
      <c r="GC39" s="28"/>
      <c r="GD39" s="28"/>
      <c r="GF39" s="28"/>
      <c r="GG39" s="28"/>
      <c r="GH39" s="28"/>
      <c r="GI39" s="28"/>
      <c r="GJ39" s="28"/>
      <c r="GK39" s="28"/>
    </row>
    <row r="40" spans="1:193" ht="17.100000000000001" customHeight="1" x14ac:dyDescent="0.15">
      <c r="E40" s="33"/>
      <c r="F40" s="33"/>
      <c r="I40" s="33"/>
      <c r="M40" s="33"/>
      <c r="N40" s="1462" t="s">
        <v>1055</v>
      </c>
      <c r="O40" s="1463"/>
      <c r="P40" s="1463"/>
      <c r="Q40" s="1463"/>
      <c r="R40" s="1463"/>
      <c r="S40" s="1463"/>
      <c r="T40" s="1463"/>
      <c r="U40" s="1463"/>
      <c r="V40" s="1464" t="s">
        <v>1053</v>
      </c>
      <c r="W40" s="1462" t="s">
        <v>1054</v>
      </c>
      <c r="X40" s="1463"/>
      <c r="Y40" s="41"/>
      <c r="Z40" s="41"/>
      <c r="AA40" s="41"/>
      <c r="AN40" s="34" t="s">
        <v>1</v>
      </c>
      <c r="AO40" s="34"/>
      <c r="AS40" s="34"/>
      <c r="BG40" s="34"/>
      <c r="BH40" s="34"/>
      <c r="BI40" s="33"/>
      <c r="BT40" s="34"/>
      <c r="BU40" s="34"/>
      <c r="BW40" s="34"/>
      <c r="BX40" s="34"/>
      <c r="BY40" s="255">
        <v>0</v>
      </c>
      <c r="BZ40" s="2173">
        <v>1</v>
      </c>
      <c r="CA40" s="2172">
        <f>BZ40*100</f>
        <v>100</v>
      </c>
      <c r="CC40" s="301" t="str">
        <f>BA14</f>
        <v>1</v>
      </c>
      <c r="CD40" s="302">
        <f>AP14</f>
        <v>0</v>
      </c>
      <c r="CG40" s="415">
        <v>2</v>
      </c>
      <c r="CH40" s="4115" t="s">
        <v>896</v>
      </c>
      <c r="CI40" s="4115"/>
      <c r="CJ40" s="4115"/>
      <c r="CK40" s="4115"/>
      <c r="CL40" s="4115"/>
      <c r="CM40" s="1174">
        <f>$BZ$42</f>
        <v>0.5</v>
      </c>
      <c r="CO40" s="44" t="str">
        <f>ACTIONS!$C$34</f>
        <v>MND1</v>
      </c>
      <c r="CQ40" s="242"/>
      <c r="CR40" s="1608">
        <f>IF(AND(AL14=100%,AM14&lt;&gt;""),1,0)</f>
        <v>0</v>
      </c>
      <c r="CS40" s="297">
        <f>IF(AND(AL14=100%,AM14=""),1,0)</f>
        <v>0</v>
      </c>
      <c r="CT40" s="39">
        <f>IF(AL14&gt;0%,1,0)</f>
        <v>0</v>
      </c>
      <c r="CU40" s="39"/>
      <c r="DA40" s="298" t="str">
        <f>Y14&amp;" COMPLETE"</f>
        <v xml:space="preserve"> COMPLETE</v>
      </c>
      <c r="DE40" s="297">
        <f ca="1">IF(AND(AB14&lt;&gt;"",AL15&lt;&gt;"",AM14="",AL14&lt;&gt;100%,AL15&lt;PLANS!$B$1),1,0)</f>
        <v>0</v>
      </c>
      <c r="DG40" s="2216">
        <f>IF(AB14="",0, IF(AND(AM14="",AL14&lt;&gt;100%,AL15=$EC$37),1,0) )</f>
        <v>0</v>
      </c>
      <c r="DM40" s="298" t="str">
        <f>Y14&amp;" PAST DEADLINE"</f>
        <v xml:space="preserve"> PAST DEADLINE</v>
      </c>
      <c r="DO40" s="36" t="s">
        <v>371</v>
      </c>
      <c r="DP40" s="1608">
        <f>IF(AND(AP14=100%,AO14&lt;&gt;""),1,0)</f>
        <v>0</v>
      </c>
      <c r="DQ40" s="306">
        <f>IF(AND(AP14=100%,AO14=""),1,0)</f>
        <v>0</v>
      </c>
      <c r="DR40" s="39">
        <f>IF(AP14&gt;0%,1,0)</f>
        <v>0</v>
      </c>
      <c r="DY40" s="1557" t="str">
        <f>BB14&amp;" COMPLETE"</f>
        <v xml:space="preserve"> COMPLETE</v>
      </c>
      <c r="EC40" s="297">
        <f ca="1">IF(AND(AQ14&lt;&gt;"",AP15&lt;&gt;"",AO14="",AP14&lt;&gt;100%,AP15&lt;PLANS!$B$1),1,0)</f>
        <v>0</v>
      </c>
      <c r="EE40" s="2216">
        <f>IF(AQ14="",0, IF(AND(AO14="",AP14&lt;&gt;100%,AP15=$EC$37),1,0) )</f>
        <v>0</v>
      </c>
      <c r="EK40" s="298" t="str">
        <f>BB14&amp;" PAST DEADLINE"</f>
        <v xml:space="preserve"> PAST DEADLINE</v>
      </c>
      <c r="EL40" s="299"/>
      <c r="ES40" s="1609"/>
      <c r="EW40" s="28"/>
      <c r="EX40" s="28"/>
      <c r="EY40" s="28"/>
      <c r="EZ40" s="28"/>
      <c r="FA40" s="28"/>
      <c r="FB40" s="28"/>
      <c r="FC40" s="28"/>
      <c r="FD40" s="28"/>
      <c r="FE40" s="28"/>
      <c r="FF40" s="28"/>
      <c r="FG40" s="497" t="s">
        <v>1141</v>
      </c>
      <c r="FH40" s="28"/>
      <c r="FX40" s="28"/>
      <c r="FY40" s="28"/>
      <c r="FZ40" s="28"/>
      <c r="GA40" s="28"/>
      <c r="GB40" s="28"/>
      <c r="GC40" s="28"/>
      <c r="GD40" s="28"/>
      <c r="GF40" s="28"/>
      <c r="GG40" s="28"/>
      <c r="GH40" s="28"/>
      <c r="GI40" s="28"/>
      <c r="GJ40" s="28"/>
      <c r="GK40" s="28"/>
    </row>
    <row r="41" spans="1:193" ht="17.100000000000001" customHeight="1" x14ac:dyDescent="0.15">
      <c r="A41" s="155"/>
      <c r="B41" s="155"/>
      <c r="C41" s="155"/>
      <c r="D41" s="3995"/>
      <c r="E41" s="3998" t="s">
        <v>1403</v>
      </c>
      <c r="F41" s="3999"/>
      <c r="G41" s="3999"/>
      <c r="H41" s="3999"/>
      <c r="I41" s="3999"/>
      <c r="J41" s="3999"/>
      <c r="K41" s="4000"/>
      <c r="L41" s="3276">
        <f>SUM(L43:L47)</f>
        <v>0</v>
      </c>
      <c r="M41" s="3276"/>
      <c r="N41" s="3276" t="s">
        <v>46</v>
      </c>
      <c r="O41" s="3276" t="s">
        <v>365</v>
      </c>
      <c r="P41" s="3276" t="s">
        <v>45</v>
      </c>
      <c r="Q41" s="3276" t="s">
        <v>365</v>
      </c>
      <c r="R41" s="3276" t="s">
        <v>413</v>
      </c>
      <c r="S41" s="3276" t="s">
        <v>366</v>
      </c>
      <c r="T41" s="3276" t="s">
        <v>366</v>
      </c>
      <c r="U41" s="3276"/>
      <c r="V41" s="3276"/>
      <c r="W41" s="3277" t="s">
        <v>1121</v>
      </c>
      <c r="X41" s="3278" t="s">
        <v>1120</v>
      </c>
      <c r="Y41" s="3279"/>
      <c r="Z41" s="3278" t="s">
        <v>1117</v>
      </c>
      <c r="AA41" s="3278" t="s">
        <v>171</v>
      </c>
      <c r="AB41" s="3277" t="s">
        <v>1118</v>
      </c>
      <c r="AC41" s="3278" t="s">
        <v>1119</v>
      </c>
      <c r="AD41" s="3278"/>
      <c r="AE41" s="3279"/>
      <c r="AF41" s="3279"/>
      <c r="AG41" s="1565"/>
      <c r="AH41" s="1565"/>
      <c r="AI41" s="1565"/>
      <c r="AJ41" s="4005" t="s">
        <v>553</v>
      </c>
      <c r="AK41" s="4006"/>
      <c r="AL41" s="4006"/>
      <c r="AM41" s="4006"/>
      <c r="AN41" s="4006"/>
      <c r="AO41" s="4006"/>
      <c r="AP41" s="4006"/>
      <c r="AQ41" s="4006"/>
      <c r="AR41" s="4007"/>
      <c r="AS41" s="87"/>
      <c r="AT41" s="87"/>
      <c r="AU41" s="87"/>
      <c r="AV41" s="87"/>
      <c r="AW41" s="87"/>
      <c r="AX41" s="87"/>
      <c r="AY41" s="87"/>
      <c r="AZ41" s="87"/>
      <c r="BA41" s="87"/>
      <c r="BB41" s="87"/>
      <c r="BC41" s="87"/>
      <c r="BD41" s="87"/>
      <c r="BE41" s="87"/>
      <c r="BF41" s="87"/>
      <c r="BG41" s="87"/>
      <c r="BH41" s="87"/>
      <c r="BI41" s="87"/>
      <c r="BJ41" s="87"/>
      <c r="BK41" s="87"/>
      <c r="BL41" s="87"/>
      <c r="BM41" s="87"/>
      <c r="BN41" s="87"/>
      <c r="BO41" s="87"/>
      <c r="BP41" s="87"/>
      <c r="BQ41" s="4028" t="s">
        <v>1314</v>
      </c>
      <c r="BR41" s="4030"/>
      <c r="BS41" s="87"/>
      <c r="BT41" s="4028" t="s">
        <v>298</v>
      </c>
      <c r="BU41" s="4029"/>
      <c r="BV41" s="4029"/>
      <c r="BW41" s="4030"/>
      <c r="BX41" s="4035" t="s">
        <v>37</v>
      </c>
      <c r="BY41" s="255">
        <v>1</v>
      </c>
      <c r="BZ41" s="2173">
        <v>0.75</v>
      </c>
      <c r="CA41" s="2172">
        <f t="shared" ref="CA41:CA43" si="76">BZ41*100</f>
        <v>75</v>
      </c>
      <c r="CC41" s="295" t="str">
        <f t="shared" ref="CC41" si="77">AA16</f>
        <v>2</v>
      </c>
      <c r="CD41" s="296">
        <f t="shared" ref="CD41" si="78">AL16</f>
        <v>0</v>
      </c>
      <c r="CG41" s="415">
        <v>1</v>
      </c>
      <c r="CH41" s="4115" t="s">
        <v>898</v>
      </c>
      <c r="CI41" s="4115"/>
      <c r="CJ41" s="4115"/>
      <c r="CK41" s="4115"/>
      <c r="CL41" s="4115"/>
      <c r="CM41" s="1174">
        <f>$BZ$41</f>
        <v>0.75</v>
      </c>
      <c r="CN41" s="315"/>
      <c r="CO41" s="44" t="str">
        <f>ACTIONS!$D$34</f>
        <v>MND2</v>
      </c>
      <c r="CQ41" s="242"/>
      <c r="CS41" s="46"/>
      <c r="CY41" s="304" t="s">
        <v>1136</v>
      </c>
      <c r="CZ41" s="1608">
        <f>SUM(CR40:CR46)</f>
        <v>0</v>
      </c>
      <c r="DE41" s="46"/>
      <c r="DO41" s="36" t="s">
        <v>371</v>
      </c>
      <c r="DP41" s="379"/>
      <c r="DQ41" s="35"/>
      <c r="DW41" s="304" t="s">
        <v>1136</v>
      </c>
      <c r="DX41" s="1608">
        <f>SUM(DP40:DP46)</f>
        <v>0</v>
      </c>
      <c r="EC41" s="46"/>
      <c r="EL41" s="299"/>
      <c r="ER41" s="307"/>
      <c r="ES41" s="1609"/>
      <c r="EW41" s="28"/>
      <c r="EX41" s="28"/>
      <c r="EY41" s="28"/>
      <c r="EZ41" s="28"/>
      <c r="FA41" s="28"/>
      <c r="FB41" s="28"/>
      <c r="FC41" s="28"/>
      <c r="FD41" s="28"/>
      <c r="FE41" s="28"/>
      <c r="FF41" s="28"/>
      <c r="FG41" s="306">
        <f>EX57+FL57</f>
        <v>0</v>
      </c>
      <c r="FH41" s="28"/>
      <c r="FX41" s="28"/>
      <c r="FY41" s="28"/>
      <c r="FZ41" s="28"/>
      <c r="GA41" s="28"/>
      <c r="GB41" s="28"/>
      <c r="GC41" s="28"/>
      <c r="GD41" s="28"/>
      <c r="GF41" s="28"/>
      <c r="GG41" s="28"/>
      <c r="GH41" s="28"/>
      <c r="GI41" s="28"/>
      <c r="GJ41" s="28"/>
      <c r="GK41" s="28"/>
    </row>
    <row r="42" spans="1:193" ht="17.100000000000001" customHeight="1" x14ac:dyDescent="0.3">
      <c r="A42" s="155"/>
      <c r="B42" s="155"/>
      <c r="C42" s="155"/>
      <c r="D42" s="3996"/>
      <c r="E42" s="4001"/>
      <c r="F42" s="4002"/>
      <c r="G42" s="4002"/>
      <c r="H42" s="4002"/>
      <c r="I42" s="4002"/>
      <c r="J42" s="4002"/>
      <c r="K42" s="4003"/>
      <c r="L42" s="3276"/>
      <c r="M42" s="3276"/>
      <c r="N42" s="3278"/>
      <c r="O42" s="3276"/>
      <c r="P42" s="3276"/>
      <c r="Q42" s="3276"/>
      <c r="R42" s="3276"/>
      <c r="S42" s="3276"/>
      <c r="T42" s="3276"/>
      <c r="U42" s="3276"/>
      <c r="V42" s="3277"/>
      <c r="W42" s="3278"/>
      <c r="X42" s="3276"/>
      <c r="Y42" s="3279"/>
      <c r="Z42" s="3279"/>
      <c r="AA42" s="3279"/>
      <c r="AB42" s="3279"/>
      <c r="AC42" s="3280"/>
      <c r="AD42" s="3281"/>
      <c r="AE42" s="3282"/>
      <c r="AF42" s="3282"/>
      <c r="AG42" s="1567"/>
      <c r="AH42" s="1598"/>
      <c r="AI42" s="1566"/>
      <c r="AJ42" s="4008"/>
      <c r="AK42" s="4009"/>
      <c r="AL42" s="4009"/>
      <c r="AM42" s="4009"/>
      <c r="AN42" s="4009"/>
      <c r="AO42" s="4009"/>
      <c r="AP42" s="4009"/>
      <c r="AQ42" s="4009"/>
      <c r="AR42" s="4010"/>
      <c r="AS42" s="257"/>
      <c r="AT42" s="1222"/>
      <c r="AU42" s="1223"/>
      <c r="AV42" s="257"/>
      <c r="AW42" s="257"/>
      <c r="AX42" s="1211"/>
      <c r="AY42" s="1212"/>
      <c r="AZ42" s="257"/>
      <c r="BA42" s="257"/>
      <c r="BB42" s="257"/>
      <c r="BC42" s="257"/>
      <c r="BD42" s="257"/>
      <c r="BE42" s="257"/>
      <c r="BF42" s="257"/>
      <c r="BG42" s="257"/>
      <c r="BH42" s="87"/>
      <c r="BI42" s="87"/>
      <c r="BJ42" s="87"/>
      <c r="BK42" s="87"/>
      <c r="BL42" s="87"/>
      <c r="BM42" s="87"/>
      <c r="BN42" s="257"/>
      <c r="BO42" s="257"/>
      <c r="BP42" s="257"/>
      <c r="BQ42" s="4031"/>
      <c r="BR42" s="4033"/>
      <c r="BS42" s="257"/>
      <c r="BT42" s="4031"/>
      <c r="BU42" s="4032"/>
      <c r="BV42" s="4032"/>
      <c r="BW42" s="4033"/>
      <c r="BX42" s="4036"/>
      <c r="BY42" s="255">
        <v>2</v>
      </c>
      <c r="BZ42" s="2173">
        <v>0.5</v>
      </c>
      <c r="CA42" s="2172">
        <f t="shared" si="76"/>
        <v>50</v>
      </c>
      <c r="CC42" s="301" t="str">
        <f t="shared" ref="CC42" si="79">BA16</f>
        <v>2</v>
      </c>
      <c r="CD42" s="302">
        <f t="shared" ref="CD42" si="80">AP16</f>
        <v>0</v>
      </c>
      <c r="CG42" s="415">
        <v>0</v>
      </c>
      <c r="CH42" s="4115" t="s">
        <v>897</v>
      </c>
      <c r="CI42" s="4115"/>
      <c r="CJ42" s="4115"/>
      <c r="CK42" s="4115"/>
      <c r="CL42" s="4115"/>
      <c r="CM42" s="1174">
        <f>$BZ$40</f>
        <v>1</v>
      </c>
      <c r="CN42" s="315"/>
      <c r="CO42" s="44" t="str">
        <f>ACTIONS!$E$34</f>
        <v>MND3</v>
      </c>
      <c r="CQ42" s="242"/>
      <c r="CR42" s="1608">
        <f>IF(AND(AL16=100%,AM16&lt;&gt;""),1,0)</f>
        <v>0</v>
      </c>
      <c r="CS42" s="297">
        <f>IF(AND(AL16=100%,AM16=""),1,0)</f>
        <v>0</v>
      </c>
      <c r="CT42" s="39">
        <f>IF(AL16&gt;0%,1,0)</f>
        <v>0</v>
      </c>
      <c r="CU42" s="39"/>
      <c r="CY42" s="304" t="s">
        <v>492</v>
      </c>
      <c r="CZ42" s="306">
        <f>SUM(CS40:CS46)</f>
        <v>0</v>
      </c>
      <c r="DE42" s="297">
        <f ca="1">IF(AND(AB16&lt;&gt;"",AL17&lt;&gt;"",AM16="",AL16&lt;&gt;100%,AL17&lt;PLANS!$B$1),1,0)</f>
        <v>0</v>
      </c>
      <c r="DG42" s="2216">
        <f>IF(AB16="",0, IF(AND(AM16="",AL16&lt;&gt;100%,AL17=$EC$37),1,0) )</f>
        <v>0</v>
      </c>
      <c r="DK42" s="304" t="s">
        <v>439</v>
      </c>
      <c r="DL42" s="306">
        <f ca="1">SUM(DE40:DE46)</f>
        <v>0</v>
      </c>
      <c r="DO42" s="36" t="s">
        <v>371</v>
      </c>
      <c r="DP42" s="1608">
        <f>IF(AND(AP16=100%,AO16&lt;&gt;""),1,0)</f>
        <v>0</v>
      </c>
      <c r="DQ42" s="306">
        <f>IF(AND(AP16=100%,AO16=""),1,0)</f>
        <v>0</v>
      </c>
      <c r="DR42" s="39">
        <f>IF(AP16&gt;0%,1,0)</f>
        <v>0</v>
      </c>
      <c r="DW42" s="304" t="s">
        <v>174</v>
      </c>
      <c r="DX42" s="306">
        <f>SUM(DQ40:DQ46)</f>
        <v>0</v>
      </c>
      <c r="EC42" s="297">
        <f ca="1">IF(AND(AQ16&lt;&gt;"",AP17&lt;&gt;"",AO16="",AP16&lt;&gt;100%,AP17&lt;PLANS!$B$1),1,0)</f>
        <v>0</v>
      </c>
      <c r="EE42" s="2216">
        <f>IF(AQ16="",0, IF(AND(AO16="",AP16&lt;&gt;100%,AP17=$EC$37),1,0) )</f>
        <v>0</v>
      </c>
      <c r="EI42" s="304" t="s">
        <v>439</v>
      </c>
      <c r="EJ42" s="306">
        <f ca="1">SUM(EC40:EC46)</f>
        <v>0</v>
      </c>
      <c r="EL42" s="299"/>
      <c r="ER42" s="307"/>
      <c r="EW42" s="28"/>
      <c r="EX42" s="28"/>
      <c r="EY42" s="28"/>
      <c r="EZ42" s="28"/>
      <c r="FA42" s="28"/>
      <c r="FB42" s="28"/>
      <c r="FC42" s="28"/>
      <c r="FD42" s="28"/>
      <c r="FE42" s="28"/>
      <c r="FF42" s="28"/>
      <c r="FH42" s="28"/>
      <c r="FX42" s="28"/>
      <c r="FY42" s="28"/>
      <c r="FZ42" s="28"/>
      <c r="GA42" s="28"/>
      <c r="GB42" s="28"/>
      <c r="GC42" s="28"/>
      <c r="GD42" s="28"/>
      <c r="GF42" s="28"/>
      <c r="GG42" s="28"/>
      <c r="GH42" s="28"/>
      <c r="GI42" s="28"/>
      <c r="GJ42" s="28"/>
      <c r="GK42" s="28"/>
    </row>
    <row r="43" spans="1:193" ht="17.100000000000001" customHeight="1" x14ac:dyDescent="0.3">
      <c r="A43" s="155"/>
      <c r="B43" s="155"/>
      <c r="C43" s="2168">
        <f>IF($E$4="",0,1)</f>
        <v>0</v>
      </c>
      <c r="D43" s="1459" t="s">
        <v>38</v>
      </c>
      <c r="E43" s="1461" t="s">
        <v>46</v>
      </c>
      <c r="F43" s="1461" t="s">
        <v>365</v>
      </c>
      <c r="G43" s="1461" t="s">
        <v>45</v>
      </c>
      <c r="H43" s="1461" t="s">
        <v>365</v>
      </c>
      <c r="I43" s="1461" t="s">
        <v>413</v>
      </c>
      <c r="J43" s="1461"/>
      <c r="K43" s="1461"/>
      <c r="L43" s="3276">
        <f>IF(C43=1,IF(OR($A$3=N43,$A$3=O43,$A$3=P43,$A$3=Q43,$A$3=R43,$A$3=S43,$A$3=T43),0,1),0)</f>
        <v>0</v>
      </c>
      <c r="M43" s="3276"/>
      <c r="N43" s="3276">
        <f>IF(E43&lt;&gt;"",0,1)</f>
        <v>0</v>
      </c>
      <c r="O43" s="3276">
        <f>IF(F43&lt;&gt;"",0,2)</f>
        <v>0</v>
      </c>
      <c r="P43" s="3276">
        <f>IF(G43&lt;&gt;"",0,3)</f>
        <v>0</v>
      </c>
      <c r="Q43" s="3276">
        <f>IF(H43&lt;&gt;"",0,4)</f>
        <v>0</v>
      </c>
      <c r="R43" s="3276">
        <f>IF(I43&lt;&gt;"",0,5)</f>
        <v>0</v>
      </c>
      <c r="S43" s="3276">
        <f>IF(J43&lt;&gt;"",0,6)</f>
        <v>6</v>
      </c>
      <c r="T43" s="3276">
        <f>IF(K43&lt;&gt;"",0,7)</f>
        <v>7</v>
      </c>
      <c r="U43" s="3276"/>
      <c r="V43" s="3276">
        <f>COUNTIF(N43:T43,0)</f>
        <v>5</v>
      </c>
      <c r="W43" s="3276">
        <f>(V43*4)-SUM(Z43:AF43)</f>
        <v>20</v>
      </c>
      <c r="X43" s="3276"/>
      <c r="Y43" s="3279"/>
      <c r="Z43" s="3276">
        <f>IF(E43&lt;&gt;"",PLANS!$CD$95,0)</f>
        <v>0</v>
      </c>
      <c r="AA43" s="3276">
        <f>IF(F43&lt;&gt;"",PLANS!$CG$95,0)</f>
        <v>0</v>
      </c>
      <c r="AB43" s="3276">
        <f>IF(G43&lt;&gt;"",PLANS!$CJ$95,0)</f>
        <v>0</v>
      </c>
      <c r="AC43" s="3276">
        <f>IF(H43&lt;&gt;"",PLANS!$CM$95,0)</f>
        <v>0</v>
      </c>
      <c r="AD43" s="3276">
        <f>IF(I43&lt;&gt;"",PLANS!$CP$95,0)</f>
        <v>0</v>
      </c>
      <c r="AE43" s="3276">
        <f>IF(J43&lt;&gt;"",PLANS!$CS$95,0)</f>
        <v>0</v>
      </c>
      <c r="AF43" s="3276">
        <f>IF(K43&lt;&gt;"",PLANS!$CV$95,0)</f>
        <v>0</v>
      </c>
      <c r="AG43" s="1566"/>
      <c r="AH43" s="1566"/>
      <c r="AI43" s="1566"/>
      <c r="AJ43" s="87"/>
      <c r="AK43" s="87"/>
      <c r="AL43" s="87"/>
      <c r="AM43" s="87"/>
      <c r="AN43" s="87"/>
      <c r="AO43" s="87"/>
      <c r="AP43" s="87"/>
      <c r="AQ43" s="87"/>
      <c r="AR43" s="87"/>
      <c r="AS43" s="87"/>
      <c r="AT43" s="257"/>
      <c r="AU43" s="257"/>
      <c r="AV43" s="257"/>
      <c r="AW43" s="257"/>
      <c r="AX43" s="257"/>
      <c r="AY43" s="257"/>
      <c r="AZ43" s="257"/>
      <c r="BA43" s="257"/>
      <c r="BB43" s="257"/>
      <c r="BC43" s="257"/>
      <c r="BD43" s="257"/>
      <c r="BE43" s="257"/>
      <c r="BF43" s="257"/>
      <c r="BG43" s="257"/>
      <c r="BH43" s="87"/>
      <c r="BI43" s="87"/>
      <c r="BJ43" s="87"/>
      <c r="BK43" s="87"/>
      <c r="BL43" s="87"/>
      <c r="BM43" s="87"/>
      <c r="BN43" s="257"/>
      <c r="BO43" s="257"/>
      <c r="BP43" s="257"/>
      <c r="BQ43" s="261"/>
      <c r="BR43" s="261"/>
      <c r="BS43" s="257"/>
      <c r="BT43" s="2253"/>
      <c r="BU43" s="2253"/>
      <c r="BV43" s="2253"/>
      <c r="BW43" s="2253"/>
      <c r="BX43" s="257"/>
      <c r="BY43" s="255">
        <v>3</v>
      </c>
      <c r="BZ43" s="2173">
        <v>0.25</v>
      </c>
      <c r="CA43" s="2172">
        <f t="shared" si="76"/>
        <v>25</v>
      </c>
      <c r="CC43" s="295" t="str">
        <f t="shared" ref="CC43" si="81">AA18</f>
        <v>3</v>
      </c>
      <c r="CD43" s="296">
        <f t="shared" ref="CD43" si="82">AL18</f>
        <v>0</v>
      </c>
      <c r="CG43" s="317">
        <f ca="1">IF(OR(
AND(BH4&lt;&gt;"",BG5&lt;&gt;"",BG4&lt;$CM$39,BF4="",BG5=$B$1+$CG$39),
AND(BH4&lt;&gt;"",BG5&lt;&gt;"",BG4&lt;$CM$40,BF4="",BG5=$B$1+$CG$40),
AND(BH4&lt;&gt;"",BG5&lt;&gt;"",BG4&lt;$CM$41,BF4="",BG5=$B$1+$CG$41),
AND(BH4&lt;&gt;"",BG5&lt;&gt;"",BG4&lt;$CM$42,BF4="",BG5&lt;=$B$1+$CG$42)
),1,0)</f>
        <v>0</v>
      </c>
      <c r="CI43" s="297">
        <f ca="1">SUM(CG43:CG52)</f>
        <v>0</v>
      </c>
      <c r="CJ43" s="309"/>
      <c r="CK43" s="317">
        <f ca="1">IF(OR(
AND(E26&lt;&gt;"",U26&lt;$CM$39,$B$1=PROGRESS!$CC$8-$CG$39),
AND(E26&lt;&gt;"",U26&lt;$CM$40,$B$1=PROGRESS!$CC$8-$CG$40),
AND(E26&lt;&gt;"",U26&lt;$CM$41,$B$1=PROGRESS!$CC$8-$CG$41),
AND(E26&lt;&gt;"",U26&lt;$CM$42,$B$1&gt;=PROGRESS!$CC$8-$CG$42)
),1,0)</f>
        <v>0</v>
      </c>
      <c r="CM43" s="297">
        <f ca="1">SUM(CK43:CK54)</f>
        <v>0</v>
      </c>
      <c r="CN43" s="39"/>
      <c r="CO43" s="44" t="str">
        <f>ACTIONS!$F$34</f>
        <v>MND4</v>
      </c>
      <c r="CQ43" s="242"/>
      <c r="CS43" s="46"/>
      <c r="DE43" s="46"/>
      <c r="DO43" s="36" t="s">
        <v>371</v>
      </c>
      <c r="DP43" s="379"/>
      <c r="DQ43" s="35"/>
      <c r="EC43" s="46"/>
      <c r="EL43" s="299"/>
      <c r="EW43" s="28"/>
      <c r="EX43" s="28"/>
      <c r="EY43" s="28"/>
      <c r="EZ43" s="28"/>
      <c r="FA43" s="28"/>
      <c r="FB43" s="28"/>
      <c r="FC43" s="28"/>
      <c r="FD43" s="28"/>
      <c r="FE43" s="28"/>
      <c r="FF43" s="28"/>
      <c r="FG43" s="497" t="s">
        <v>1164</v>
      </c>
      <c r="FH43" s="28"/>
      <c r="FX43" s="28"/>
      <c r="FY43" s="28"/>
      <c r="FZ43" s="28"/>
      <c r="GA43" s="28"/>
      <c r="GB43" s="28"/>
      <c r="GC43" s="28"/>
      <c r="GD43" s="28"/>
      <c r="GF43" s="28"/>
      <c r="GG43" s="28"/>
      <c r="GH43" s="28"/>
      <c r="GI43" s="28"/>
      <c r="GJ43" s="28"/>
      <c r="GK43" s="28"/>
    </row>
    <row r="44" spans="1:193" ht="17.100000000000001" customHeight="1" x14ac:dyDescent="0.2">
      <c r="A44" s="155"/>
      <c r="B44" s="155"/>
      <c r="C44" s="2168">
        <f>IF($E$6="",0,1)</f>
        <v>0</v>
      </c>
      <c r="D44" s="1459" t="s">
        <v>528</v>
      </c>
      <c r="E44" s="1461" t="s">
        <v>46</v>
      </c>
      <c r="F44" s="1461" t="s">
        <v>365</v>
      </c>
      <c r="G44" s="1461" t="s">
        <v>45</v>
      </c>
      <c r="H44" s="1461" t="s">
        <v>365</v>
      </c>
      <c r="I44" s="1461" t="s">
        <v>413</v>
      </c>
      <c r="J44" s="1461"/>
      <c r="K44" s="1461"/>
      <c r="L44" s="3276">
        <f>IF(C44=1,IF(OR($A$3=N44,$A$3=O44,$A$3=P44,$A$3=Q44,$A$3=R44,$A$3=S44,$A$3=T44),0,1),0)</f>
        <v>0</v>
      </c>
      <c r="M44" s="3283"/>
      <c r="N44" s="3276">
        <f>IF(E44&lt;&gt;"",0,1)</f>
        <v>0</v>
      </c>
      <c r="O44" s="3276">
        <f>IF(F44&lt;&gt;"",0,2)</f>
        <v>0</v>
      </c>
      <c r="P44" s="3276">
        <f>IF(G44&lt;&gt;"",0,3)</f>
        <v>0</v>
      </c>
      <c r="Q44" s="3276">
        <f>IF(H44&lt;&gt;"",0,4)</f>
        <v>0</v>
      </c>
      <c r="R44" s="3276">
        <f>IF(I44&lt;&gt;"",0,5)</f>
        <v>0</v>
      </c>
      <c r="S44" s="3276">
        <f>IF(J44&lt;&gt;"",0,6)</f>
        <v>6</v>
      </c>
      <c r="T44" s="3276">
        <f>IF(K44&lt;&gt;"",0,7)</f>
        <v>7</v>
      </c>
      <c r="U44" s="3283"/>
      <c r="V44" s="3276">
        <f t="shared" ref="V44:V47" si="83">COUNTIF(N44:T44,0)</f>
        <v>5</v>
      </c>
      <c r="W44" s="3276">
        <f t="shared" ref="W44:W47" si="84">(V44*4)-SUM(Z44:AF44)</f>
        <v>20</v>
      </c>
      <c r="X44" s="3283"/>
      <c r="Y44" s="3284"/>
      <c r="Z44" s="3276">
        <f>IF(E44&lt;&gt;"",PLANS!$CD$95,0)</f>
        <v>0</v>
      </c>
      <c r="AA44" s="3276">
        <f>IF(F44&lt;&gt;"",PLANS!$CG$95,0)</f>
        <v>0</v>
      </c>
      <c r="AB44" s="3276">
        <f>IF(G44&lt;&gt;"",PLANS!$CJ$95,0)</f>
        <v>0</v>
      </c>
      <c r="AC44" s="3276">
        <f>IF(H44&lt;&gt;"",PLANS!$CM$95,0)</f>
        <v>0</v>
      </c>
      <c r="AD44" s="3276">
        <f>IF(I44&lt;&gt;"",PLANS!$CP$95,0)</f>
        <v>0</v>
      </c>
      <c r="AE44" s="3276">
        <f>IF(J44&lt;&gt;"",PLANS!$CS$95,0)</f>
        <v>0</v>
      </c>
      <c r="AF44" s="3276">
        <f>IF(K44&lt;&gt;"",PLANS!$CV$95,0)</f>
        <v>0</v>
      </c>
      <c r="AG44" s="1568"/>
      <c r="AH44" s="1568"/>
      <c r="AI44" s="1568"/>
      <c r="AJ44" s="318"/>
      <c r="AK44" s="318"/>
      <c r="AL44" s="318"/>
      <c r="AM44" s="87"/>
      <c r="AN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261"/>
      <c r="BR44" s="261"/>
      <c r="BS44" s="87"/>
      <c r="BT44" s="4028" t="str">
        <f>"deadline in three days and "&amp;"&lt; "&amp;$CA$43&amp;"%"</f>
        <v>deadline in three days and &lt; 25%</v>
      </c>
      <c r="BU44" s="4029"/>
      <c r="BV44" s="4029"/>
      <c r="BW44" s="4030"/>
      <c r="BX44" s="4127" t="s">
        <v>37</v>
      </c>
      <c r="CC44" s="301" t="str">
        <f t="shared" ref="CC44" si="85">BA18</f>
        <v>3</v>
      </c>
      <c r="CD44" s="302">
        <f t="shared" ref="CD44" si="86">AP18</f>
        <v>0</v>
      </c>
      <c r="CG44" s="319"/>
      <c r="CI44" s="36" t="s">
        <v>439</v>
      </c>
      <c r="CJ44" s="315"/>
      <c r="CK44" s="319"/>
      <c r="CM44" s="298" t="s">
        <v>439</v>
      </c>
      <c r="CN44" s="36"/>
      <c r="CO44" s="44" t="str">
        <f>ACTIONS!$G$34</f>
        <v>MND5</v>
      </c>
      <c r="CQ44" s="242"/>
      <c r="CR44" s="1608">
        <f>IF(AND(AL18=100%,AM18&lt;&gt;""),1,0)</f>
        <v>0</v>
      </c>
      <c r="CS44" s="297">
        <f>IF(AND(AL18=100%,AM18=""),1,0)</f>
        <v>0</v>
      </c>
      <c r="CT44" s="39">
        <f>IF(AL18&gt;0%,1,0)</f>
        <v>0</v>
      </c>
      <c r="CU44" s="39"/>
      <c r="CY44" s="304" t="s">
        <v>491</v>
      </c>
      <c r="CZ44" s="39">
        <f>SUM(CT40:CT46)</f>
        <v>0</v>
      </c>
      <c r="DE44" s="297">
        <f ca="1">IF(AND(AB18&lt;&gt;"",AL19&lt;&gt;"",AM18="",AL18&lt;&gt;100%,AL19&lt;PLANS!$B$1),1,0)</f>
        <v>0</v>
      </c>
      <c r="DG44" s="2216">
        <f>IF(AB18="",0, IF(AND(AM18="",AL18&lt;&gt;100%,AL19=$EC$37),1,0) )</f>
        <v>0</v>
      </c>
      <c r="DK44" s="304" t="s">
        <v>1136</v>
      </c>
      <c r="DL44" s="39">
        <f>COUNTA(AM14:AM21)</f>
        <v>0</v>
      </c>
      <c r="DO44" s="36" t="s">
        <v>371</v>
      </c>
      <c r="DP44" s="1608">
        <f>IF(AND(AP18=100%,AO18&lt;&gt;""),1,0)</f>
        <v>0</v>
      </c>
      <c r="DQ44" s="306">
        <f>IF(AND(AP18=100%,AO18=""),1,0)</f>
        <v>0</v>
      </c>
      <c r="DR44" s="39">
        <f>IF(AP18&gt;0%,1,0)</f>
        <v>0</v>
      </c>
      <c r="DW44" s="304" t="s">
        <v>491</v>
      </c>
      <c r="DX44" s="39">
        <f>SUM(DR40:DR46)</f>
        <v>0</v>
      </c>
      <c r="EC44" s="297">
        <f ca="1">IF(AND(AQ18&lt;&gt;"",AP19&lt;&gt;"",AO18="",AP18&lt;&gt;100%,AP19&lt;PLANS!$B$1),1,0)</f>
        <v>0</v>
      </c>
      <c r="EE44" s="2216">
        <f>IF(AQ18="",0, IF(AND(AO18="",AP18&lt;&gt;100%,AP19=$EC$37),1,0) )</f>
        <v>0</v>
      </c>
      <c r="EI44" s="304" t="s">
        <v>1136</v>
      </c>
      <c r="EJ44" s="39">
        <f>COUNTA(AO14:AO21)</f>
        <v>0</v>
      </c>
      <c r="EL44" s="299"/>
      <c r="EW44" s="28"/>
      <c r="EX44" s="28"/>
      <c r="EY44" s="28"/>
      <c r="EZ44" s="28"/>
      <c r="FA44" s="28"/>
      <c r="FB44" s="28"/>
      <c r="FC44" s="28"/>
      <c r="FD44" s="28"/>
      <c r="FE44" s="28"/>
      <c r="FF44" s="28"/>
      <c r="FG44" s="306">
        <f>FD59+FR59</f>
        <v>0</v>
      </c>
      <c r="FH44" s="28"/>
      <c r="FX44" s="28"/>
      <c r="FY44" s="28"/>
      <c r="FZ44" s="28"/>
      <c r="GA44" s="28"/>
      <c r="GB44" s="28"/>
      <c r="GC44" s="28"/>
      <c r="GD44" s="28"/>
      <c r="GF44" s="28"/>
      <c r="GG44" s="28"/>
      <c r="GH44" s="28"/>
      <c r="GI44" s="28"/>
      <c r="GJ44" s="28"/>
      <c r="GK44" s="28"/>
    </row>
    <row r="45" spans="1:193" ht="17.100000000000001" customHeight="1" x14ac:dyDescent="0.2">
      <c r="A45" s="155"/>
      <c r="B45" s="155"/>
      <c r="C45" s="2168">
        <f>IF($E$8="",0,1)</f>
        <v>0</v>
      </c>
      <c r="D45" s="1459" t="s">
        <v>39</v>
      </c>
      <c r="E45" s="1461" t="s">
        <v>46</v>
      </c>
      <c r="F45" s="1461"/>
      <c r="G45" s="1461" t="s">
        <v>45</v>
      </c>
      <c r="H45" s="1461"/>
      <c r="I45" s="1461" t="s">
        <v>413</v>
      </c>
      <c r="J45" s="1461"/>
      <c r="K45" s="1461"/>
      <c r="L45" s="3276">
        <f>IF(C45=1,IF(OR($A$3=N45,$A$3=O45,$A$3=P45,$A$3=Q45,$A$3=R45,$A$3=S45,$A$3=T45),0,1),0)</f>
        <v>0</v>
      </c>
      <c r="M45" s="3283"/>
      <c r="N45" s="3276">
        <f>IF(E45&lt;&gt;"",0,1)</f>
        <v>0</v>
      </c>
      <c r="O45" s="3276">
        <f>IF(F45&lt;&gt;"",0,2)</f>
        <v>2</v>
      </c>
      <c r="P45" s="3276">
        <f>IF(G45&lt;&gt;"",0,3)</f>
        <v>0</v>
      </c>
      <c r="Q45" s="3276">
        <f>IF(H45&lt;&gt;"",0,4)</f>
        <v>4</v>
      </c>
      <c r="R45" s="3276">
        <f>IF(I45&lt;&gt;"",0,5)</f>
        <v>0</v>
      </c>
      <c r="S45" s="3276">
        <f>IF(J45&lt;&gt;"",0,6)</f>
        <v>6</v>
      </c>
      <c r="T45" s="3276">
        <f>IF(K45&lt;&gt;"",0,7)</f>
        <v>7</v>
      </c>
      <c r="U45" s="3283"/>
      <c r="V45" s="3276">
        <f t="shared" si="83"/>
        <v>3</v>
      </c>
      <c r="W45" s="3276">
        <f t="shared" si="84"/>
        <v>12</v>
      </c>
      <c r="X45" s="3283"/>
      <c r="Y45" s="3285"/>
      <c r="Z45" s="3276">
        <f>IF(E45&lt;&gt;"",PLANS!$CD$95,0)</f>
        <v>0</v>
      </c>
      <c r="AA45" s="3276">
        <f>IF(F45&lt;&gt;"",PLANS!$CG$95,0)</f>
        <v>0</v>
      </c>
      <c r="AB45" s="3276">
        <f>IF(G45&lt;&gt;"",PLANS!$CJ$95,0)</f>
        <v>0</v>
      </c>
      <c r="AC45" s="3276">
        <f>IF(H45&lt;&gt;"",PLANS!$CM$95,0)</f>
        <v>0</v>
      </c>
      <c r="AD45" s="3276">
        <f>IF(I45&lt;&gt;"",PLANS!$CP$95,0)</f>
        <v>0</v>
      </c>
      <c r="AE45" s="3276">
        <f>IF(J45&lt;&gt;"",PLANS!$CS$95,0)</f>
        <v>0</v>
      </c>
      <c r="AF45" s="3276">
        <f>IF(K45&lt;&gt;"",PLANS!$CV$95,0)</f>
        <v>0</v>
      </c>
      <c r="AG45" s="1565"/>
      <c r="AH45" s="1565"/>
      <c r="AI45" s="1565"/>
      <c r="AJ45" s="87"/>
      <c r="AK45" s="87"/>
      <c r="AL45" s="87"/>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261"/>
      <c r="BR45" s="261"/>
      <c r="BS45" s="87"/>
      <c r="BT45" s="4031"/>
      <c r="BU45" s="4032"/>
      <c r="BV45" s="4032"/>
      <c r="BW45" s="4033"/>
      <c r="BX45" s="4127"/>
      <c r="CC45" s="295" t="str">
        <f t="shared" ref="CC45" si="87">AA20</f>
        <v>4</v>
      </c>
      <c r="CD45" s="296">
        <f t="shared" ref="CD45" si="88">AL20</f>
        <v>0</v>
      </c>
      <c r="CG45" s="320">
        <f ca="1">IF(OR(
AND(BH6&lt;&gt;"",BG7&lt;&gt;"",BG6&lt;$CM$39,BF6="",BG7=$B$1+$CG$39),
AND(BH6&lt;&gt;"",BG7&lt;&gt;"",BG6&lt;$CM$40,BF6="",BG7=$B$1+$CG$40),
AND(BH6&lt;&gt;"",BG7&lt;&gt;"",BG6&lt;$CM$41,BF6="",BG7=$B$1+$CG$41),
AND(BH6&lt;&gt;"",BG7&lt;&gt;"",BG6&lt;$CM$42,BF6="",BG7&lt;=$B$1+$CG$42)
),1,0)</f>
        <v>0</v>
      </c>
      <c r="CI45" s="315"/>
      <c r="CJ45" s="315"/>
      <c r="CK45" s="323">
        <f ca="1">IF(OR(
AND(E28&lt;&gt;"",U28&lt;$CM$39,$B$1=PROGRESS!$CC$8-$CG$39),
AND(E28&lt;&gt;"",U28&lt;$CM$40,$B$1=PROGRESS!$CC$8-$CG$40),
AND(E28&lt;&gt;"",U28&lt;$CM$41,$B$1=PROGRESS!$CC$8-$CG$41),
AND(E28&lt;&gt;"",U28&lt;$CM$42,$B$1&gt;=PROGRESS!$CC$8-$CG$42)
),1,0)</f>
        <v>0</v>
      </c>
      <c r="CM45" s="315"/>
      <c r="CN45" s="315"/>
      <c r="CO45" s="44" t="str">
        <f>ACTIONS!$H$34</f>
        <v>MND6</v>
      </c>
      <c r="CQ45" s="242"/>
      <c r="CS45" s="46"/>
      <c r="DE45" s="46"/>
      <c r="DO45" s="36" t="s">
        <v>371</v>
      </c>
      <c r="DP45" s="379"/>
      <c r="DQ45" s="35"/>
      <c r="EC45" s="46"/>
      <c r="EL45" s="299"/>
      <c r="EW45" s="28"/>
      <c r="EX45" s="28"/>
      <c r="EY45" s="28"/>
      <c r="EZ45" s="28"/>
      <c r="FA45" s="28"/>
      <c r="FB45" s="28"/>
      <c r="FC45" s="28"/>
      <c r="FD45" s="28"/>
      <c r="FE45" s="28"/>
      <c r="FF45" s="28"/>
      <c r="FG45" s="300"/>
      <c r="FH45" s="28"/>
      <c r="FX45" s="28"/>
      <c r="FY45" s="28"/>
      <c r="FZ45" s="28"/>
      <c r="GA45" s="28"/>
      <c r="GB45" s="28"/>
      <c r="GC45" s="28"/>
      <c r="GD45" s="28"/>
      <c r="GF45" s="28"/>
      <c r="GG45" s="28"/>
      <c r="GH45" s="28"/>
      <c r="GI45" s="28"/>
      <c r="GJ45" s="28"/>
      <c r="GK45" s="28"/>
    </row>
    <row r="46" spans="1:193" ht="17.100000000000001" customHeight="1" x14ac:dyDescent="0.2">
      <c r="A46" s="155"/>
      <c r="B46" s="155"/>
      <c r="C46" s="2168">
        <f>IF($E$10="",0,1)</f>
        <v>0</v>
      </c>
      <c r="D46" s="1459" t="s">
        <v>529</v>
      </c>
      <c r="E46" s="1461" t="s">
        <v>46</v>
      </c>
      <c r="F46" s="1461" t="s">
        <v>365</v>
      </c>
      <c r="G46" s="1461" t="s">
        <v>45</v>
      </c>
      <c r="H46" s="1461" t="s">
        <v>365</v>
      </c>
      <c r="I46" s="1461" t="s">
        <v>413</v>
      </c>
      <c r="J46" s="1461" t="s">
        <v>366</v>
      </c>
      <c r="K46" s="1461" t="s">
        <v>366</v>
      </c>
      <c r="L46" s="3276">
        <f t="shared" ref="L46:L47" si="89">IF(C46=1,IF(OR($A$3=N46,$A$3=O46,$A$3=P46,$A$3=Q46,$A$3=R46,$A$3=S46,$A$3=T46),0,1),0)</f>
        <v>0</v>
      </c>
      <c r="M46" s="3283"/>
      <c r="N46" s="3276">
        <f>IF(E46&lt;&gt;"",0,1)</f>
        <v>0</v>
      </c>
      <c r="O46" s="3276">
        <f>IF(F46&lt;&gt;"",0,2)</f>
        <v>0</v>
      </c>
      <c r="P46" s="3276">
        <f>IF(G46&lt;&gt;"",0,3)</f>
        <v>0</v>
      </c>
      <c r="Q46" s="3276">
        <f>IF(H46&lt;&gt;"",0,4)</f>
        <v>0</v>
      </c>
      <c r="R46" s="3276">
        <f>IF(I46&lt;&gt;"",0,5)</f>
        <v>0</v>
      </c>
      <c r="S46" s="3276">
        <f>IF(J46&lt;&gt;"",0,6)</f>
        <v>0</v>
      </c>
      <c r="T46" s="3276">
        <f>IF(K46&lt;&gt;"",0,7)</f>
        <v>0</v>
      </c>
      <c r="U46" s="3283"/>
      <c r="V46" s="3276">
        <f t="shared" si="83"/>
        <v>7</v>
      </c>
      <c r="W46" s="3276">
        <f t="shared" si="84"/>
        <v>28</v>
      </c>
      <c r="X46" s="3283"/>
      <c r="Y46" s="3285"/>
      <c r="Z46" s="3276">
        <f>IF(E46&lt;&gt;"",PLANS!$CD$95,0)</f>
        <v>0</v>
      </c>
      <c r="AA46" s="3276">
        <f>IF(F46&lt;&gt;"",PLANS!$CG$95,0)</f>
        <v>0</v>
      </c>
      <c r="AB46" s="3276">
        <f>IF(G46&lt;&gt;"",PLANS!$CJ$95,0)</f>
        <v>0</v>
      </c>
      <c r="AC46" s="3276">
        <f>IF(H46&lt;&gt;"",PLANS!$CM$95,0)</f>
        <v>0</v>
      </c>
      <c r="AD46" s="3276">
        <f>IF(I46&lt;&gt;"",PLANS!$CP$95,0)</f>
        <v>0</v>
      </c>
      <c r="AE46" s="3276">
        <f>IF(J46&lt;&gt;"",PLANS!$CS$95,0)</f>
        <v>0</v>
      </c>
      <c r="AF46" s="3276">
        <f>IF(K46&lt;&gt;"",PLANS!$CV$95,0)</f>
        <v>0</v>
      </c>
      <c r="AG46" s="1565"/>
      <c r="AH46" s="1565"/>
      <c r="AI46" s="1565"/>
      <c r="AJ46" s="87"/>
      <c r="AK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87"/>
      <c r="BN46" s="87"/>
      <c r="BO46" s="87"/>
      <c r="BP46" s="87"/>
      <c r="BQ46" s="87"/>
      <c r="BR46" s="87"/>
      <c r="BS46" s="87"/>
      <c r="BT46" s="2254"/>
      <c r="BU46" s="2254"/>
      <c r="BV46" s="2254"/>
      <c r="BW46" s="2254"/>
      <c r="BX46" s="87"/>
      <c r="CC46" s="301" t="str">
        <f t="shared" ref="CC46" si="90">BA20</f>
        <v>4</v>
      </c>
      <c r="CD46" s="302">
        <f t="shared" ref="CD46" si="91">AP20</f>
        <v>0</v>
      </c>
      <c r="CG46" s="319"/>
      <c r="CI46" s="321"/>
      <c r="CJ46" s="321"/>
      <c r="CK46" s="319"/>
      <c r="CM46" s="321"/>
      <c r="CN46" s="321"/>
      <c r="CO46" s="44" t="str">
        <f>ACTIONS!$I$34</f>
        <v>MND7</v>
      </c>
      <c r="CQ46" s="242"/>
      <c r="CR46" s="1608">
        <f>IF(AND(AL20=100%,AM20&lt;&gt;""),1,0)</f>
        <v>0</v>
      </c>
      <c r="CS46" s="297">
        <f>IF(AND(AL20=100%,AM20=""),1,0)</f>
        <v>0</v>
      </c>
      <c r="CT46" s="39">
        <f>IF(AL20&gt;0%,1,0)</f>
        <v>0</v>
      </c>
      <c r="CU46" s="39"/>
      <c r="DE46" s="297">
        <f ca="1">IF(AND(AB20&lt;&gt;"",AL21&lt;&gt;"",AM20="",AL20&lt;&gt;100%,AL21&lt;PLANS!$B$1),1,0)</f>
        <v>0</v>
      </c>
      <c r="DG46" s="2216">
        <f>IF(AB20="",0, IF(AND(AM20="",AL20&lt;&gt;100%,AL21=$EC$37),1,0) )</f>
        <v>0</v>
      </c>
      <c r="DO46" s="36" t="s">
        <v>371</v>
      </c>
      <c r="DP46" s="1608">
        <f>IF(AND(AP20=100%,AO20&lt;&gt;""),1,0)</f>
        <v>0</v>
      </c>
      <c r="DQ46" s="306">
        <f>IF(AND(AP20=100%,AO20=""),1,0)</f>
        <v>0</v>
      </c>
      <c r="DR46" s="39">
        <f>IF(AP20&gt;0%,1,0)</f>
        <v>0</v>
      </c>
      <c r="EC46" s="297">
        <f ca="1">IF(AND(AQ20&lt;&gt;"",AP21&lt;&gt;"",AO20="",AP20&lt;&gt;100%,AP21&lt;PLANS!$B$1),1,0)</f>
        <v>0</v>
      </c>
      <c r="EE46" s="2216">
        <f>IF(AQ20="",0, IF(AND(AO20="",AP20&lt;&gt;100%,AP21=$EC$37),1,0) )</f>
        <v>0</v>
      </c>
      <c r="EL46" s="299"/>
      <c r="EW46" s="28"/>
      <c r="EX46" s="28"/>
      <c r="EY46" s="28"/>
      <c r="EZ46" s="28"/>
      <c r="FA46" s="28"/>
      <c r="FB46" s="28"/>
      <c r="FC46" s="28"/>
      <c r="FD46" s="28"/>
      <c r="FE46" s="28"/>
      <c r="FF46" s="28"/>
      <c r="FG46" s="497" t="s">
        <v>1165</v>
      </c>
      <c r="FH46" s="28"/>
      <c r="FX46" s="28"/>
      <c r="FY46" s="28"/>
      <c r="FZ46" s="28"/>
      <c r="GA46" s="28"/>
      <c r="GB46" s="28"/>
      <c r="GC46" s="28"/>
      <c r="GD46" s="28"/>
      <c r="GF46" s="28"/>
      <c r="GG46" s="28"/>
      <c r="GH46" s="28"/>
      <c r="GI46" s="28"/>
      <c r="GJ46" s="28"/>
      <c r="GK46" s="28"/>
    </row>
    <row r="47" spans="1:193" ht="17.100000000000001" customHeight="1" x14ac:dyDescent="0.2">
      <c r="A47" s="155"/>
      <c r="B47" s="155"/>
      <c r="C47" s="2168">
        <f>IF($E$12="",0,1)</f>
        <v>0</v>
      </c>
      <c r="D47" s="1459" t="s">
        <v>530</v>
      </c>
      <c r="E47" s="1461" t="s">
        <v>46</v>
      </c>
      <c r="F47" s="1461" t="s">
        <v>365</v>
      </c>
      <c r="G47" s="1461" t="s">
        <v>45</v>
      </c>
      <c r="H47" s="1461" t="s">
        <v>365</v>
      </c>
      <c r="I47" s="1461" t="s">
        <v>413</v>
      </c>
      <c r="J47" s="1461" t="s">
        <v>366</v>
      </c>
      <c r="K47" s="1461" t="s">
        <v>366</v>
      </c>
      <c r="L47" s="3276">
        <f t="shared" si="89"/>
        <v>0</v>
      </c>
      <c r="M47" s="3283"/>
      <c r="N47" s="3276">
        <f>IF(E47&lt;&gt;"",0,1)</f>
        <v>0</v>
      </c>
      <c r="O47" s="3276">
        <f>IF(F47&lt;&gt;"",0,2)</f>
        <v>0</v>
      </c>
      <c r="P47" s="3276">
        <f>IF(G47&lt;&gt;"",0,3)</f>
        <v>0</v>
      </c>
      <c r="Q47" s="3276">
        <f>IF(H47&lt;&gt;"",0,4)</f>
        <v>0</v>
      </c>
      <c r="R47" s="3276">
        <f>IF(I47&lt;&gt;"",0,5)</f>
        <v>0</v>
      </c>
      <c r="S47" s="3276">
        <f>IF(J47&lt;&gt;"",0,6)</f>
        <v>0</v>
      </c>
      <c r="T47" s="3276">
        <f>IF(K47&lt;&gt;"",0,7)</f>
        <v>0</v>
      </c>
      <c r="U47" s="3283"/>
      <c r="V47" s="3276">
        <f t="shared" si="83"/>
        <v>7</v>
      </c>
      <c r="W47" s="3276">
        <f t="shared" si="84"/>
        <v>28</v>
      </c>
      <c r="X47" s="3283"/>
      <c r="Y47" s="3285"/>
      <c r="Z47" s="3276">
        <f>IF(E47&lt;&gt;"",PLANS!$CD$95,0)</f>
        <v>0</v>
      </c>
      <c r="AA47" s="3276">
        <f>IF(F47&lt;&gt;"",PLANS!$CG$95,0)</f>
        <v>0</v>
      </c>
      <c r="AB47" s="3276">
        <f>IF(G47&lt;&gt;"",PLANS!$CJ$95,0)</f>
        <v>0</v>
      </c>
      <c r="AC47" s="3276">
        <f>IF(H47&lt;&gt;"",PLANS!$CM$95,0)</f>
        <v>0</v>
      </c>
      <c r="AD47" s="3276">
        <f>IF(I47&lt;&gt;"",PLANS!$CP$95,0)</f>
        <v>0</v>
      </c>
      <c r="AE47" s="3276">
        <f>IF(J47&lt;&gt;"",PLANS!$CS$95,0)</f>
        <v>0</v>
      </c>
      <c r="AF47" s="3276">
        <f>IF(K47&lt;&gt;"",PLANS!$CV$95,0)</f>
        <v>0</v>
      </c>
      <c r="AG47" s="1565"/>
      <c r="AH47" s="1565"/>
      <c r="AI47" s="1569"/>
      <c r="AJ47" s="87"/>
      <c r="AK47" s="87"/>
      <c r="AL47" s="87"/>
      <c r="AM47" s="87"/>
      <c r="AN47" s="87"/>
      <c r="AO47" s="87"/>
      <c r="AP47" s="87"/>
      <c r="AQ47" s="87"/>
      <c r="AR47" s="87"/>
      <c r="AS47" s="87"/>
      <c r="AT47" s="87"/>
      <c r="AU47" s="87"/>
      <c r="AV47" s="87"/>
      <c r="AW47" s="87"/>
      <c r="AX47" s="87"/>
      <c r="AY47" s="87"/>
      <c r="AZ47" s="87"/>
      <c r="BA47" s="87"/>
      <c r="BB47" s="87"/>
      <c r="BC47" s="87"/>
      <c r="BD47" s="87"/>
      <c r="BE47" s="87"/>
      <c r="BF47" s="87"/>
      <c r="BG47" s="87"/>
      <c r="BH47" s="87"/>
      <c r="BI47" s="87"/>
      <c r="BJ47" s="87"/>
      <c r="BK47" s="87"/>
      <c r="BL47" s="87"/>
      <c r="BM47" s="87"/>
      <c r="BN47" s="87"/>
      <c r="BO47" s="87"/>
      <c r="BP47" s="87"/>
      <c r="BQ47" s="87"/>
      <c r="BR47" s="87"/>
      <c r="BS47" s="87"/>
      <c r="BT47" s="4028" t="str">
        <f>"deadline in two days and "&amp;"&lt; "&amp;$CA$42&amp;"%"</f>
        <v>deadline in two days and &lt; 50%</v>
      </c>
      <c r="BU47" s="4029"/>
      <c r="BV47" s="4029"/>
      <c r="BW47" s="4030"/>
      <c r="BX47" s="4128" t="s">
        <v>37</v>
      </c>
      <c r="CC47" s="295" t="str">
        <f t="shared" ref="CC47" si="92">AA22</f>
        <v>1</v>
      </c>
      <c r="CD47" s="296">
        <f t="shared" ref="CD47" si="93">AL22</f>
        <v>0</v>
      </c>
      <c r="CG47" s="320">
        <f ca="1">IF(OR(
AND(BH8&lt;&gt;"",BG9&lt;&gt;"",BG8&lt;$CM$39,BF8="",BG9=$B$1+$CG$39),
AND(BH8&lt;&gt;"",BG9&lt;&gt;"",BG8&lt;$CM$40,BF8="",BG9=$B$1+$CG$40),
AND(BH8&lt;&gt;"",BG9&lt;&gt;"",BG8&lt;$CM$41,BF8="",BG9=$B$1+$CG$41),
AND(BH8&lt;&gt;"",BG9&lt;&gt;"",BG8&lt;$CM$42,BF8="",BG9&lt;=$B$1+$CG$42)
),1,0)</f>
        <v>0</v>
      </c>
      <c r="CI47" s="321"/>
      <c r="CJ47" s="321"/>
      <c r="CK47" s="323">
        <f ca="1">IF(OR(
AND(E30&lt;&gt;"",U30&lt;$CM$39,$B$1=PROGRESS!$CC$8-$CG$39),
AND(E30&lt;&gt;"",U30&lt;$CM$40,$B$1=PROGRESS!$CC$8-$CG$40),
AND(E30&lt;&gt;"",U30&lt;$CM$41,$B$1=PROGRESS!$CC$8-$CG$41),
AND(E30&lt;&gt;"",U30&lt;$CM$42,$B$1&gt;=PROGRESS!$CC$8-$CG$42)
),1,0)</f>
        <v>0</v>
      </c>
      <c r="CM47" s="321"/>
      <c r="CN47" s="321"/>
      <c r="CO47" s="44" t="str">
        <f>ACTIONS!$J$34</f>
        <v>MND8</v>
      </c>
      <c r="CQ47" s="1611" t="s">
        <v>1142</v>
      </c>
      <c r="CR47" s="39" t="s">
        <v>1142</v>
      </c>
      <c r="CS47" s="39" t="s">
        <v>1142</v>
      </c>
      <c r="CT47" s="39" t="s">
        <v>1142</v>
      </c>
      <c r="CU47" s="39" t="s">
        <v>1142</v>
      </c>
      <c r="CV47" s="39" t="s">
        <v>1142</v>
      </c>
      <c r="CW47" s="39" t="s">
        <v>1142</v>
      </c>
      <c r="CX47" s="39" t="s">
        <v>1142</v>
      </c>
      <c r="CY47" s="39" t="s">
        <v>1142</v>
      </c>
      <c r="CZ47" s="39" t="s">
        <v>1142</v>
      </c>
      <c r="DA47" s="39" t="s">
        <v>1142</v>
      </c>
      <c r="DB47" s="39" t="s">
        <v>1142</v>
      </c>
      <c r="DC47" s="39" t="s">
        <v>1142</v>
      </c>
      <c r="DD47" s="39" t="s">
        <v>1142</v>
      </c>
      <c r="DE47" s="39" t="s">
        <v>1142</v>
      </c>
      <c r="DF47" s="39" t="s">
        <v>1142</v>
      </c>
      <c r="DG47" s="39" t="s">
        <v>1142</v>
      </c>
      <c r="DH47" s="39" t="s">
        <v>1142</v>
      </c>
      <c r="DI47" s="39" t="s">
        <v>1142</v>
      </c>
      <c r="DJ47" s="39" t="s">
        <v>1142</v>
      </c>
      <c r="DK47" s="39" t="s">
        <v>1142</v>
      </c>
      <c r="DL47" s="39" t="s">
        <v>1142</v>
      </c>
      <c r="DM47" s="39" t="s">
        <v>1142</v>
      </c>
      <c r="DN47" s="39" t="s">
        <v>1142</v>
      </c>
      <c r="DO47" s="36" t="s">
        <v>1143</v>
      </c>
      <c r="DP47" s="39" t="s">
        <v>1142</v>
      </c>
      <c r="DQ47" s="39" t="s">
        <v>1142</v>
      </c>
      <c r="DR47" s="39" t="s">
        <v>1142</v>
      </c>
      <c r="DS47" s="39" t="s">
        <v>1142</v>
      </c>
      <c r="DT47" s="39" t="s">
        <v>1142</v>
      </c>
      <c r="DU47" s="39" t="s">
        <v>1142</v>
      </c>
      <c r="DV47" s="39" t="s">
        <v>1142</v>
      </c>
      <c r="DW47" s="39" t="s">
        <v>1142</v>
      </c>
      <c r="DX47" s="39" t="s">
        <v>1142</v>
      </c>
      <c r="DY47" s="39" t="s">
        <v>1142</v>
      </c>
      <c r="DZ47" s="39" t="s">
        <v>1142</v>
      </c>
      <c r="EA47" s="39" t="s">
        <v>1142</v>
      </c>
      <c r="EB47" s="39" t="s">
        <v>1142</v>
      </c>
      <c r="EC47" s="39" t="s">
        <v>1142</v>
      </c>
      <c r="ED47" s="39" t="s">
        <v>1142</v>
      </c>
      <c r="EE47" s="39" t="s">
        <v>1142</v>
      </c>
      <c r="EF47" s="39" t="s">
        <v>1142</v>
      </c>
      <c r="EG47" s="39" t="s">
        <v>1142</v>
      </c>
      <c r="EH47" s="39" t="s">
        <v>1142</v>
      </c>
      <c r="EI47" s="39" t="s">
        <v>1142</v>
      </c>
      <c r="EJ47" s="39" t="s">
        <v>1142</v>
      </c>
      <c r="EK47" s="39" t="s">
        <v>1142</v>
      </c>
      <c r="EL47" s="1612" t="s">
        <v>1142</v>
      </c>
      <c r="EZ47" s="434"/>
      <c r="FA47" s="379"/>
      <c r="FG47" s="306">
        <f>EX61+FL61</f>
        <v>0</v>
      </c>
      <c r="FM47" s="379"/>
      <c r="FN47" s="379"/>
      <c r="FX47" s="28"/>
      <c r="FY47" s="28"/>
      <c r="FZ47" s="28"/>
      <c r="GA47" s="28"/>
      <c r="GB47" s="28"/>
      <c r="GC47" s="28"/>
      <c r="GD47" s="28"/>
      <c r="GF47" s="28"/>
      <c r="GG47" s="28"/>
      <c r="GH47" s="28"/>
      <c r="GI47" s="28"/>
      <c r="GJ47" s="28"/>
      <c r="GK47" s="28"/>
    </row>
    <row r="48" spans="1:193" ht="17.100000000000001" customHeight="1" x14ac:dyDescent="0.15">
      <c r="A48" s="155"/>
      <c r="B48" s="155"/>
      <c r="C48" s="155"/>
      <c r="D48" s="316"/>
      <c r="E48" s="316"/>
      <c r="F48" s="316"/>
      <c r="G48" s="316"/>
      <c r="H48" s="316"/>
      <c r="I48" s="316"/>
      <c r="J48" s="316"/>
      <c r="K48" s="316"/>
      <c r="L48" s="1569"/>
      <c r="M48" s="1569"/>
      <c r="N48" s="1569"/>
      <c r="O48" s="1569"/>
      <c r="P48" s="1569"/>
      <c r="Q48" s="1569"/>
      <c r="R48" s="1569"/>
      <c r="S48" s="1569"/>
      <c r="T48" s="1569"/>
      <c r="U48" s="1569"/>
      <c r="V48" s="1569"/>
      <c r="W48" s="1569"/>
      <c r="X48" s="1569"/>
      <c r="Y48" s="1569"/>
      <c r="Z48" s="1565"/>
      <c r="AA48" s="1565"/>
      <c r="AB48" s="1565"/>
      <c r="AC48" s="1565"/>
      <c r="AD48" s="1565"/>
      <c r="AE48" s="1565"/>
      <c r="AF48" s="1565"/>
      <c r="AG48" s="1565"/>
      <c r="AH48" s="1565"/>
      <c r="AI48" s="1569"/>
      <c r="AJ48" s="87"/>
      <c r="AK48" s="87"/>
      <c r="AL48" s="87"/>
      <c r="AM48" s="87"/>
      <c r="AN48" s="87"/>
      <c r="AO48" s="87"/>
      <c r="AP48" s="87"/>
      <c r="AQ48" s="87"/>
      <c r="AR48" s="87"/>
      <c r="AS48" s="87"/>
      <c r="AT48" s="87"/>
      <c r="AU48" s="87"/>
      <c r="AV48" s="87"/>
      <c r="AW48" s="87"/>
      <c r="AX48" s="87"/>
      <c r="AY48" s="87"/>
      <c r="AZ48" s="87"/>
      <c r="BA48" s="87"/>
      <c r="BB48" s="87"/>
      <c r="BC48" s="87"/>
      <c r="BD48" s="87"/>
      <c r="BE48" s="87"/>
      <c r="BF48" s="87"/>
      <c r="BG48" s="87"/>
      <c r="BH48" s="87"/>
      <c r="BI48" s="87"/>
      <c r="BJ48" s="87"/>
      <c r="BK48" s="87"/>
      <c r="BL48" s="87"/>
      <c r="BM48" s="87"/>
      <c r="BN48" s="87"/>
      <c r="BO48" s="87"/>
      <c r="BP48" s="87"/>
      <c r="BQ48" s="87"/>
      <c r="BR48" s="87"/>
      <c r="BS48" s="87"/>
      <c r="BT48" s="4031"/>
      <c r="BU48" s="4032"/>
      <c r="BV48" s="4032"/>
      <c r="BW48" s="4033"/>
      <c r="BX48" s="4128"/>
      <c r="CC48" s="301" t="str">
        <f t="shared" ref="CC48" si="94">BA22</f>
        <v>1</v>
      </c>
      <c r="CD48" s="302">
        <f t="shared" ref="CD48" si="95">AP22</f>
        <v>0</v>
      </c>
      <c r="CG48" s="319"/>
      <c r="CI48" s="36" t="s">
        <v>36</v>
      </c>
      <c r="CJ48" s="321"/>
      <c r="CK48" s="319"/>
      <c r="CM48" s="298" t="s">
        <v>251</v>
      </c>
      <c r="CN48" s="36"/>
      <c r="CO48" s="44" t="str">
        <f>ACTIONS!$K$34</f>
        <v>MND9</v>
      </c>
      <c r="CQ48" s="242"/>
      <c r="CR48" s="1608">
        <f>IF(AND(AL22=100%,AM22&lt;&gt;""),1,0)</f>
        <v>0</v>
      </c>
      <c r="CS48" s="297">
        <f>IF(AND(AL22=100%,AM22=""),1,0)</f>
        <v>0</v>
      </c>
      <c r="CT48" s="39">
        <f>IF(AL22&gt;0%,1,0)</f>
        <v>0</v>
      </c>
      <c r="DA48" s="298" t="str">
        <f>Y22&amp;" COMPLETE"</f>
        <v xml:space="preserve"> COMPLETE</v>
      </c>
      <c r="DE48" s="297">
        <f ca="1">IF(AND(AB22&lt;&gt;"",AL23&lt;&gt;"",AM22="",AL22&lt;&gt;100%,AL23&lt;PLANS!$B$1),1,0)</f>
        <v>0</v>
      </c>
      <c r="DG48" s="2216">
        <f>IF(AB22="",0, IF(AND(AM22="",AL22&lt;&gt;100%,AL23=$EC$37),1,0) )</f>
        <v>0</v>
      </c>
      <c r="DM48" s="298" t="str">
        <f>Y22&amp;" PAST DEADLINE"</f>
        <v xml:space="preserve"> PAST DEADLINE</v>
      </c>
      <c r="DO48" s="36" t="s">
        <v>371</v>
      </c>
      <c r="DP48" s="1608">
        <f>IF(AND(AP22=100%,AO22&lt;&gt;""),1,0)</f>
        <v>0</v>
      </c>
      <c r="DQ48" s="306">
        <f>IF(AND(AP22=100%,AO22=""),1,0)</f>
        <v>0</v>
      </c>
      <c r="DR48" s="39">
        <f>IF(AP22&gt;0%,1,0)</f>
        <v>0</v>
      </c>
      <c r="DY48" s="1557" t="str">
        <f>BB22&amp;" COMPLETE"</f>
        <v xml:space="preserve"> COMPLETE</v>
      </c>
      <c r="EC48" s="297">
        <f ca="1">IF(AND(AQ22&lt;&gt;"",AP23&lt;&gt;"",AO22="",AP22&lt;&gt;100%,AP23&lt;PLANS!$B$1),1,0)</f>
        <v>0</v>
      </c>
      <c r="EE48" s="2216">
        <f>IF(AQ22="",0, IF(AND(AO22="",AP22&lt;&gt;100%,AP23=$EC$37),1,0) )</f>
        <v>0</v>
      </c>
      <c r="EK48" s="298" t="str">
        <f>BB22&amp;" PAST DEADLINE"</f>
        <v xml:space="preserve"> PAST DEADLINE</v>
      </c>
      <c r="EL48" s="299"/>
      <c r="ET48" s="101"/>
      <c r="EU48" s="325"/>
      <c r="EV48" s="325"/>
      <c r="EX48" s="326"/>
      <c r="EY48" s="326"/>
      <c r="EZ48" s="326"/>
      <c r="FX48" s="28"/>
      <c r="FY48" s="28"/>
      <c r="FZ48" s="28"/>
      <c r="GA48" s="28"/>
      <c r="GB48" s="28"/>
      <c r="GC48" s="28"/>
      <c r="GD48" s="28"/>
      <c r="GF48" s="28"/>
      <c r="GG48" s="28"/>
      <c r="GH48" s="28"/>
      <c r="GI48" s="28"/>
      <c r="GJ48" s="28"/>
      <c r="GK48" s="28"/>
    </row>
    <row r="49" spans="1:193" ht="17.100000000000001" customHeight="1" x14ac:dyDescent="0.15">
      <c r="A49" s="155"/>
      <c r="B49" s="155"/>
      <c r="C49" s="155"/>
      <c r="D49" s="258"/>
      <c r="E49" s="3968" t="s">
        <v>926</v>
      </c>
      <c r="F49" s="4044"/>
      <c r="G49" s="4044"/>
      <c r="H49" s="4044"/>
      <c r="I49" s="316"/>
      <c r="J49" s="316"/>
      <c r="K49" s="316"/>
      <c r="L49" s="1569"/>
      <c r="M49" s="1570"/>
      <c r="N49" s="316"/>
      <c r="O49" s="316"/>
      <c r="P49" s="316"/>
      <c r="Q49" s="316"/>
      <c r="R49" s="316"/>
      <c r="S49" s="316"/>
      <c r="T49" s="316"/>
      <c r="U49" s="1569"/>
      <c r="V49" s="1569"/>
      <c r="W49" s="1569"/>
      <c r="X49" s="1569"/>
      <c r="Y49" s="1569"/>
      <c r="Z49" s="1565"/>
      <c r="AA49" s="1565"/>
      <c r="AB49" s="1565"/>
      <c r="AC49" s="1565"/>
      <c r="AD49" s="1565"/>
      <c r="AE49" s="1565"/>
      <c r="AF49" s="1565"/>
      <c r="AG49" s="1565"/>
      <c r="AH49" s="1565"/>
      <c r="AI49" s="1569"/>
      <c r="AJ49" s="87"/>
      <c r="AK49" s="87"/>
      <c r="AL49" s="87"/>
      <c r="AM49" s="87"/>
      <c r="AN49" s="87"/>
      <c r="AO49" s="87"/>
      <c r="AP49" s="87"/>
      <c r="AQ49" s="87"/>
      <c r="AR49" s="87"/>
      <c r="AS49" s="87"/>
      <c r="AT49" s="87"/>
      <c r="AU49" s="87"/>
      <c r="AV49" s="87"/>
      <c r="AW49" s="87"/>
      <c r="AX49" s="87"/>
      <c r="AY49" s="87"/>
      <c r="AZ49" s="87"/>
      <c r="BA49" s="87"/>
      <c r="BB49" s="87"/>
      <c r="BC49" s="87"/>
      <c r="BD49" s="87"/>
      <c r="BE49" s="87"/>
      <c r="BF49" s="87"/>
      <c r="BG49" s="87"/>
      <c r="BH49" s="87"/>
      <c r="BI49" s="87"/>
      <c r="BJ49" s="87"/>
      <c r="BK49" s="87"/>
      <c r="BL49" s="87"/>
      <c r="BM49" s="87"/>
      <c r="BN49" s="87"/>
      <c r="BO49" s="87"/>
      <c r="BP49" s="87"/>
      <c r="BQ49" s="87"/>
      <c r="BR49" s="87"/>
      <c r="BS49" s="87"/>
      <c r="BT49" s="2254"/>
      <c r="BU49" s="2254"/>
      <c r="BV49" s="2254"/>
      <c r="BW49" s="2254"/>
      <c r="BX49" s="87"/>
      <c r="CC49" s="295" t="str">
        <f t="shared" ref="CC49" si="96">AA24</f>
        <v>2</v>
      </c>
      <c r="CD49" s="296">
        <f t="shared" ref="CD49" si="97">AL24</f>
        <v>0</v>
      </c>
      <c r="CG49" s="320">
        <f ca="1">IF(OR(
AND(BH10&lt;&gt;"",BG11&lt;&gt;"",BG10&lt;$CM$39,BF10="",BG11=$B$1+$CG$39),
AND(BH10&lt;&gt;"",BG11&lt;&gt;"",BG10&lt;$CM$40,BF10="",BG11=$B$1+$CG$40),
AND(BH10&lt;&gt;"",BG11&lt;&gt;"",BG10&lt;$CM$41,BF10="",BG11=$B$1+$CG$41),
AND(BH10&lt;&gt;"",BG11&lt;&gt;"",BG10&lt;$CM$42,BF10="",BG11&lt;=$B$1+$CG$42)
),1,0)</f>
        <v>0</v>
      </c>
      <c r="CI49" s="321"/>
      <c r="CJ49" s="321"/>
      <c r="CK49" s="323">
        <f ca="1">IF(OR(
AND(E32&lt;&gt;"",U32&lt;$CM$39,$B$1=PROGRESS!$CC$8-$CG$39),
AND(E32&lt;&gt;"",U32&lt;$CM$40,$B$1=PROGRESS!$CC$8-$CG$40),
AND(E32&lt;&gt;"",U32&lt;$CM$41,$B$1=PROGRESS!$CC$8-$CG$41),
AND(E32&lt;&gt;"",U32&lt;$CM$42,$B$1&gt;=PROGRESS!$CC$8-$CG$42)
),1,0)</f>
        <v>0</v>
      </c>
      <c r="CM49" s="321"/>
      <c r="CN49" s="321"/>
      <c r="CO49" s="44" t="str">
        <f>ACTIONS!$BQ$34</f>
        <v>BDY1</v>
      </c>
      <c r="CQ49" s="242"/>
      <c r="CS49" s="46"/>
      <c r="CY49" s="304" t="s">
        <v>1136</v>
      </c>
      <c r="CZ49" s="1608">
        <f>SUM(CR48:CR54)</f>
        <v>0</v>
      </c>
      <c r="DE49" s="46"/>
      <c r="DO49" s="36" t="s">
        <v>371</v>
      </c>
      <c r="DP49" s="379"/>
      <c r="DQ49" s="35"/>
      <c r="DW49" s="304" t="s">
        <v>1136</v>
      </c>
      <c r="DX49" s="1608">
        <f>SUM(DP48:DP54)</f>
        <v>0</v>
      </c>
      <c r="EC49" s="46"/>
      <c r="EL49" s="299"/>
      <c r="FG49" s="497" t="s">
        <v>1152</v>
      </c>
      <c r="FX49" s="28"/>
      <c r="FY49" s="28"/>
      <c r="FZ49" s="28"/>
      <c r="GA49" s="28"/>
      <c r="GB49" s="28"/>
      <c r="GC49" s="28"/>
      <c r="GD49" s="28"/>
      <c r="GF49" s="28"/>
      <c r="GG49" s="28"/>
      <c r="GH49" s="28"/>
      <c r="GI49" s="28"/>
      <c r="GJ49" s="28"/>
      <c r="GK49" s="28"/>
    </row>
    <row r="50" spans="1:193" ht="17.100000000000001" customHeight="1" x14ac:dyDescent="0.15">
      <c r="C50" s="155"/>
      <c r="D50" s="258"/>
      <c r="E50" s="4044"/>
      <c r="F50" s="4044"/>
      <c r="G50" s="4044"/>
      <c r="H50" s="4044"/>
      <c r="I50" s="87"/>
      <c r="J50" s="87"/>
      <c r="K50" s="87"/>
      <c r="L50" s="1569"/>
      <c r="M50" s="1569"/>
      <c r="N50" s="1569"/>
      <c r="O50" s="1569"/>
      <c r="P50" s="1569"/>
      <c r="Q50" s="1569"/>
      <c r="R50" s="1569"/>
      <c r="S50" s="1569"/>
      <c r="T50" s="1569"/>
      <c r="U50" s="1569"/>
      <c r="V50" s="1569"/>
      <c r="W50" s="1569"/>
      <c r="X50" s="1569"/>
      <c r="Y50" s="1569"/>
      <c r="Z50" s="1565"/>
      <c r="AA50" s="1565"/>
      <c r="AB50" s="1565"/>
      <c r="AC50" s="1565"/>
      <c r="AD50" s="1565"/>
      <c r="AE50" s="1565"/>
      <c r="AF50" s="1565"/>
      <c r="AG50" s="1565"/>
      <c r="AH50" s="1565"/>
      <c r="AI50" s="1569"/>
      <c r="AJ50" s="87"/>
      <c r="AK50" s="87"/>
      <c r="AL50" s="87"/>
      <c r="AM50" s="87"/>
      <c r="AN50" s="87"/>
      <c r="AO50" s="87"/>
      <c r="AP50" s="87"/>
      <c r="AQ50" s="87"/>
      <c r="AR50" s="87"/>
      <c r="AS50" s="87"/>
      <c r="AT50" s="87"/>
      <c r="AU50" s="87"/>
      <c r="AV50" s="87"/>
      <c r="AW50" s="87"/>
      <c r="AX50" s="87"/>
      <c r="AY50" s="87"/>
      <c r="AZ50" s="87"/>
      <c r="BA50" s="87"/>
      <c r="BB50" s="87"/>
      <c r="BC50" s="87"/>
      <c r="BD50" s="87"/>
      <c r="BE50" s="87"/>
      <c r="BF50" s="87"/>
      <c r="BG50" s="87"/>
      <c r="BH50" s="87"/>
      <c r="BI50" s="87"/>
      <c r="BJ50" s="87"/>
      <c r="BK50" s="87"/>
      <c r="BL50" s="87"/>
      <c r="BM50" s="87"/>
      <c r="BN50" s="87"/>
      <c r="BO50" s="87"/>
      <c r="BP50" s="87"/>
      <c r="BQ50" s="87"/>
      <c r="BR50" s="87"/>
      <c r="BS50" s="87"/>
      <c r="BT50" s="4028" t="str">
        <f>"deadline in one day and "&amp;"&lt; "&amp;$CA$41&amp;"%"</f>
        <v>deadline in one day and &lt; 75%</v>
      </c>
      <c r="BU50" s="4029"/>
      <c r="BV50" s="4029"/>
      <c r="BW50" s="4030"/>
      <c r="BX50" s="4064" t="s">
        <v>37</v>
      </c>
      <c r="CC50" s="301" t="str">
        <f t="shared" ref="CC50" si="98">BA24</f>
        <v>2</v>
      </c>
      <c r="CD50" s="302">
        <f t="shared" ref="CD50" si="99">AP24</f>
        <v>0</v>
      </c>
      <c r="CG50" s="319"/>
      <c r="CI50" s="321"/>
      <c r="CJ50" s="321"/>
      <c r="CK50" s="319"/>
      <c r="CM50" s="321"/>
      <c r="CN50" s="321"/>
      <c r="CO50" s="44" t="str">
        <f>ACTIONS!$BR$34</f>
        <v>BDY2</v>
      </c>
      <c r="CQ50" s="242"/>
      <c r="CR50" s="1608">
        <f>IF(AND(AL24=100%,AM24&lt;&gt;""),1,0)</f>
        <v>0</v>
      </c>
      <c r="CS50" s="297">
        <f>IF(AND(AL24=100%,AM24=""),1,0)</f>
        <v>0</v>
      </c>
      <c r="CT50" s="39">
        <f>IF(AL24&gt;0%,1,0)</f>
        <v>0</v>
      </c>
      <c r="CY50" s="304" t="s">
        <v>492</v>
      </c>
      <c r="CZ50" s="306">
        <f>SUM(CS48:CS54)</f>
        <v>0</v>
      </c>
      <c r="DE50" s="297">
        <f ca="1">IF(AND(AB24&lt;&gt;"",AL25&lt;&gt;"",AM24="",AL24&lt;&gt;100%,AL25&lt;PLANS!$B$1),1,0)</f>
        <v>0</v>
      </c>
      <c r="DG50" s="2216">
        <f>IF(AB24="",0, IF(AND(AM24="",AL24&lt;&gt;100%,AL25=$EC$37),1,0) )</f>
        <v>0</v>
      </c>
      <c r="DK50" s="304" t="s">
        <v>439</v>
      </c>
      <c r="DL50" s="306">
        <f ca="1">SUM(DE48:DE54)</f>
        <v>0</v>
      </c>
      <c r="DO50" s="36" t="s">
        <v>371</v>
      </c>
      <c r="DP50" s="1608">
        <f>IF(AND(AP24=100%,AO24&lt;&gt;""),1,0)</f>
        <v>0</v>
      </c>
      <c r="DQ50" s="306">
        <f>IF(AND(AP24=100%,AO24=""),1,0)</f>
        <v>0</v>
      </c>
      <c r="DR50" s="39">
        <f>IF(AP24&gt;0%,1,0)</f>
        <v>0</v>
      </c>
      <c r="DW50" s="304" t="s">
        <v>174</v>
      </c>
      <c r="DX50" s="306">
        <f>SUM(DQ48:DQ54)</f>
        <v>0</v>
      </c>
      <c r="EC50" s="297">
        <f ca="1">IF(AND(AQ24&lt;&gt;"",AP25&lt;&gt;"",AO24="",AP24&lt;&gt;100%,AP25&lt;PLANS!$B$1),1,0)</f>
        <v>0</v>
      </c>
      <c r="EE50" s="2216">
        <f>IF(AQ24="",0, IF(AND(AO24="",AP24&lt;&gt;100%,AP25=$EC$37),1,0) )</f>
        <v>0</v>
      </c>
      <c r="EI50" s="304" t="s">
        <v>439</v>
      </c>
      <c r="EJ50" s="306">
        <f ca="1">SUM(EC48:EC54)</f>
        <v>0</v>
      </c>
      <c r="EL50" s="299"/>
      <c r="FG50" s="306">
        <f ca="1">SUM(DL42,DL50,DL58,EJ42,EJ50,EJ58)</f>
        <v>0</v>
      </c>
    </row>
    <row r="51" spans="1:193" ht="17.100000000000001" customHeight="1" x14ac:dyDescent="0.15">
      <c r="D51" s="3968" t="s">
        <v>1261</v>
      </c>
      <c r="E51" s="3968"/>
      <c r="F51" s="3968"/>
      <c r="G51" s="3968"/>
      <c r="H51" s="3968"/>
      <c r="I51" s="87"/>
      <c r="J51" s="87"/>
      <c r="K51" s="87"/>
      <c r="L51" s="1569"/>
      <c r="M51" s="1569"/>
      <c r="N51" s="1569"/>
      <c r="O51" s="1569"/>
      <c r="P51" s="1569"/>
      <c r="Q51" s="1569"/>
      <c r="R51" s="1569"/>
      <c r="S51" s="1569"/>
      <c r="T51" s="1569"/>
      <c r="U51" s="1569"/>
      <c r="V51" s="1569"/>
      <c r="W51" s="1569"/>
      <c r="X51" s="1569"/>
      <c r="Y51" s="1569"/>
      <c r="Z51" s="1569"/>
      <c r="AA51" s="1565"/>
      <c r="AB51" s="1565"/>
      <c r="AC51" s="1565"/>
      <c r="AD51" s="1565"/>
      <c r="AE51" s="1565"/>
      <c r="AF51" s="1565"/>
      <c r="AG51" s="1565"/>
      <c r="AH51" s="1565"/>
      <c r="AI51" s="1569"/>
      <c r="AJ51" s="87"/>
      <c r="AK51" s="87"/>
      <c r="AL51" s="87"/>
      <c r="AM51" s="87"/>
      <c r="AN51" s="87"/>
      <c r="AO51" s="87"/>
      <c r="AP51" s="87"/>
      <c r="AQ51" s="87"/>
      <c r="AR51" s="87"/>
      <c r="AS51" s="87"/>
      <c r="AT51" s="87"/>
      <c r="AU51" s="87"/>
      <c r="AV51" s="87"/>
      <c r="AW51" s="87"/>
      <c r="AX51" s="87"/>
      <c r="AY51" s="87"/>
      <c r="AZ51" s="87"/>
      <c r="BA51" s="87"/>
      <c r="BB51" s="87"/>
      <c r="BC51" s="87"/>
      <c r="BD51" s="87"/>
      <c r="BE51" s="87"/>
      <c r="BF51" s="87"/>
      <c r="BG51" s="87"/>
      <c r="BH51" s="87"/>
      <c r="BI51" s="87"/>
      <c r="BJ51" s="87"/>
      <c r="BK51" s="87"/>
      <c r="BL51" s="87"/>
      <c r="BM51" s="87"/>
      <c r="BN51" s="87"/>
      <c r="BO51" s="87"/>
      <c r="BP51" s="87"/>
      <c r="BQ51" s="87"/>
      <c r="BR51" s="87"/>
      <c r="BS51" s="87"/>
      <c r="BT51" s="4031"/>
      <c r="BU51" s="4032"/>
      <c r="BV51" s="4032"/>
      <c r="BW51" s="4033"/>
      <c r="BX51" s="4064"/>
      <c r="CC51" s="295" t="str">
        <f t="shared" ref="CC51" si="100">AA26</f>
        <v>3</v>
      </c>
      <c r="CD51" s="296">
        <f t="shared" ref="CD51" si="101">AL26</f>
        <v>0</v>
      </c>
      <c r="CG51" s="320">
        <f ca="1">IF(OR(
AND(BH12&lt;&gt;"",BG13&lt;&gt;"",BG12&lt;$CM$39,BF12="",BG13=$B$1+$CG$39),
AND(BH12&lt;&gt;"",BG13&lt;&gt;"",BG12&lt;$CM$40,BF12="",BG13=$B$1+$CG$40),
AND(BH12&lt;&gt;"",BG13&lt;&gt;"",BG12&lt;$CM$41,BF12="",BG13=$B$1+$CG$41),
AND(BH12&lt;&gt;"",BG13&lt;&gt;"",BG12&lt;$CM$42,BF12="",BG13&lt;=$B$1+$CG$42)
),1,0)</f>
        <v>0</v>
      </c>
      <c r="CI51" s="321"/>
      <c r="CJ51" s="321"/>
      <c r="CK51" s="323">
        <f ca="1">IF(OR(
AND(E34&lt;&gt;"",U34&lt;$CM$39,$B$1=PROGRESS!$CC$8-$CG$39),
AND(E34&lt;&gt;"",U34&lt;$CM$40,$B$1=PROGRESS!$CC$8-$CG$40),
AND(E34&lt;&gt;"",U34&lt;$CM$41,$B$1=PROGRESS!$CC$8-$CG$41),
AND(E34&lt;&gt;"",U34&lt;$CM$42,$B$1&gt;=PROGRESS!$CC$8-$CG$42)
),1,0)</f>
        <v>0</v>
      </c>
      <c r="CM51" s="321"/>
      <c r="CN51" s="321"/>
      <c r="CO51" s="44" t="str">
        <f>ACTIONS!$BS$34</f>
        <v>BDY3</v>
      </c>
      <c r="CQ51" s="242"/>
      <c r="CS51" s="46"/>
      <c r="DE51" s="46"/>
      <c r="DO51" s="36" t="s">
        <v>371</v>
      </c>
      <c r="DP51" s="379"/>
      <c r="DQ51" s="35"/>
      <c r="EC51" s="46"/>
      <c r="EL51" s="299"/>
    </row>
    <row r="52" spans="1:193" ht="17.100000000000001" customHeight="1" x14ac:dyDescent="0.15">
      <c r="D52" s="3968"/>
      <c r="E52" s="3968"/>
      <c r="F52" s="3968"/>
      <c r="G52" s="3968"/>
      <c r="H52" s="3968"/>
      <c r="I52" s="87"/>
      <c r="J52" s="87"/>
      <c r="K52" s="87"/>
      <c r="L52" s="1569"/>
      <c r="M52" s="1569"/>
      <c r="N52" s="1569"/>
      <c r="O52" s="1569"/>
      <c r="P52" s="1569"/>
      <c r="Q52" s="1569"/>
      <c r="R52" s="1569"/>
      <c r="S52" s="1569"/>
      <c r="T52" s="1569"/>
      <c r="U52" s="1569"/>
      <c r="V52" s="1569"/>
      <c r="W52" s="1569"/>
      <c r="X52" s="1569"/>
      <c r="Y52" s="1569"/>
      <c r="Z52" s="1565"/>
      <c r="AA52" s="1565"/>
      <c r="AB52" s="1565"/>
      <c r="AC52" s="1565"/>
      <c r="AD52" s="1565"/>
      <c r="AE52" s="1565"/>
      <c r="AF52" s="1565"/>
      <c r="AG52" s="1565"/>
      <c r="AH52" s="1565"/>
      <c r="AI52" s="1569"/>
      <c r="AJ52" s="87"/>
      <c r="AK52" s="87"/>
      <c r="AL52" s="87"/>
      <c r="AM52" s="87"/>
      <c r="AN52" s="87"/>
      <c r="AO52" s="87"/>
      <c r="AP52" s="87"/>
      <c r="AQ52" s="87"/>
      <c r="AR52" s="87"/>
      <c r="AS52" s="87"/>
      <c r="AT52" s="87"/>
      <c r="AU52" s="87"/>
      <c r="AV52" s="87"/>
      <c r="AW52" s="87"/>
      <c r="AX52" s="87"/>
      <c r="AY52" s="87"/>
      <c r="AZ52" s="87"/>
      <c r="BA52" s="87"/>
      <c r="BB52" s="87"/>
      <c r="BC52" s="87"/>
      <c r="BD52" s="87"/>
      <c r="BE52" s="87"/>
      <c r="BF52" s="87"/>
      <c r="BG52" s="87"/>
      <c r="BH52" s="87"/>
      <c r="BI52" s="87"/>
      <c r="BJ52" s="87"/>
      <c r="BK52" s="87"/>
      <c r="BL52" s="87"/>
      <c r="BM52" s="87"/>
      <c r="BN52" s="87"/>
      <c r="BO52" s="87"/>
      <c r="BP52" s="87"/>
      <c r="BQ52" s="87"/>
      <c r="BR52" s="87"/>
      <c r="BS52" s="87"/>
      <c r="BT52" s="2254"/>
      <c r="BU52" s="2254"/>
      <c r="BV52" s="2254"/>
      <c r="BW52" s="2254"/>
      <c r="BX52" s="87"/>
      <c r="CC52" s="301" t="str">
        <f t="shared" ref="CC52" si="102">BA26</f>
        <v>3</v>
      </c>
      <c r="CD52" s="302">
        <f t="shared" ref="CD52" si="103">AP26</f>
        <v>0</v>
      </c>
      <c r="CG52" s="319"/>
      <c r="CI52" s="321"/>
      <c r="CJ52" s="321"/>
      <c r="CK52" s="319"/>
      <c r="CM52" s="321"/>
      <c r="CN52" s="321"/>
      <c r="CO52" s="44" t="str">
        <f>ACTIONS!$BT$34</f>
        <v>BDY4</v>
      </c>
      <c r="CQ52" s="242"/>
      <c r="CR52" s="1608">
        <f>IF(AND(AL26=100%,AM26&lt;&gt;""),1,0)</f>
        <v>0</v>
      </c>
      <c r="CS52" s="297">
        <f>IF(AND(AL26=100%,AM26=""),1,0)</f>
        <v>0</v>
      </c>
      <c r="CT52" s="39">
        <f>IF(AL26&gt;0%,1,0)</f>
        <v>0</v>
      </c>
      <c r="CY52" s="304" t="s">
        <v>491</v>
      </c>
      <c r="CZ52" s="39">
        <f>SUM(CT48:CT54)</f>
        <v>0</v>
      </c>
      <c r="DE52" s="297">
        <f ca="1">IF(AND(AB26&lt;&gt;"",AL27&lt;&gt;"",AM26="",AL26&lt;&gt;100%,AL27&lt;PLANS!$B$1),1,0)</f>
        <v>0</v>
      </c>
      <c r="DG52" s="2216">
        <f>IF(AB26="",0, IF(AND(AM26="",AL26&lt;&gt;100%,AL27=$EC$37),1,0) )</f>
        <v>0</v>
      </c>
      <c r="DK52" s="304" t="s">
        <v>1136</v>
      </c>
      <c r="DL52" s="39">
        <f>COUNTA(AM22:AM29)</f>
        <v>0</v>
      </c>
      <c r="DO52" s="36" t="s">
        <v>371</v>
      </c>
      <c r="DP52" s="1608">
        <f>IF(AND(AP26=100%,AO26&lt;&gt;""),1,0)</f>
        <v>0</v>
      </c>
      <c r="DQ52" s="306">
        <f>IF(AND(AP26=100%,AO26=""),1,0)</f>
        <v>0</v>
      </c>
      <c r="DR52" s="39">
        <f>IF(AP26&gt;0%,1,0)</f>
        <v>0</v>
      </c>
      <c r="DW52" s="304" t="s">
        <v>491</v>
      </c>
      <c r="DX52" s="39">
        <f>SUM(DR48:DR54)</f>
        <v>0</v>
      </c>
      <c r="EC52" s="297">
        <f ca="1">IF(AND(AQ26&lt;&gt;"",AP27&lt;&gt;"",AO26="",AP26&lt;&gt;100%,AP27&lt;PLANS!$B$1),1,0)</f>
        <v>0</v>
      </c>
      <c r="EE52" s="2216">
        <f t="shared" ref="EE52" si="104">IF(AQ26="",0, IF(AND(AO26="",AP26&lt;&gt;100%,AP27=$EC$37),1,0) )</f>
        <v>0</v>
      </c>
      <c r="EI52" s="304" t="s">
        <v>1136</v>
      </c>
      <c r="EJ52" s="39">
        <f>COUNTA(AO22:AO29)</f>
        <v>0</v>
      </c>
      <c r="EL52" s="299"/>
      <c r="FG52" s="497" t="s">
        <v>1169</v>
      </c>
    </row>
    <row r="53" spans="1:193" ht="17.100000000000001" customHeight="1" x14ac:dyDescent="0.15">
      <c r="D53" s="3968"/>
      <c r="E53" s="3968"/>
      <c r="F53" s="3968"/>
      <c r="G53" s="3968"/>
      <c r="H53" s="3968"/>
      <c r="I53" s="87"/>
      <c r="J53" s="87"/>
      <c r="K53" s="87"/>
      <c r="L53" s="1569"/>
      <c r="M53" s="1569"/>
      <c r="N53" s="1569"/>
      <c r="O53" s="1569"/>
      <c r="P53" s="1569"/>
      <c r="Q53" s="1569"/>
      <c r="R53" s="1569"/>
      <c r="S53" s="1569"/>
      <c r="T53" s="1569"/>
      <c r="U53" s="87"/>
      <c r="V53" s="87"/>
      <c r="W53" s="87"/>
      <c r="X53" s="87"/>
      <c r="Y53" s="87"/>
      <c r="Z53" s="259"/>
      <c r="AA53" s="259"/>
      <c r="AB53" s="259"/>
      <c r="AC53" s="259"/>
      <c r="AD53" s="259"/>
      <c r="AE53" s="259"/>
      <c r="AF53" s="259"/>
      <c r="AG53" s="259"/>
      <c r="AH53" s="259"/>
      <c r="AI53" s="87"/>
      <c r="AJ53" s="87"/>
      <c r="AK53" s="87"/>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4028" t="str">
        <f>"deadline day
and "&amp;"&lt; "&amp;$CA$40&amp;"%"</f>
        <v>deadline day
and &lt; 100%</v>
      </c>
      <c r="BU53" s="4029"/>
      <c r="BV53" s="4029"/>
      <c r="BW53" s="4030"/>
      <c r="BX53" s="4034" t="s">
        <v>37</v>
      </c>
      <c r="CC53" s="295" t="str">
        <f>AA28</f>
        <v>4</v>
      </c>
      <c r="CD53" s="296">
        <f>AL28</f>
        <v>0</v>
      </c>
      <c r="CG53" s="317">
        <f ca="1">IF(OR(
AND(BH14&lt;&gt;"",BG15&lt;&gt;"",BG14&lt;$CM$39,BF14="",BG15=$B$1+$CG$39),
AND(BH14&lt;&gt;"",BG15&lt;&gt;"",BG14&lt;$CM$40,BF14="",BG15=$B$1+$CG$40),
AND(BH14&lt;&gt;"",BG15&lt;&gt;"",BG14&lt;$CM$41,BF14="",BG15=$B$1+$CG$41),
AND(BH14&lt;&gt;"",BG15&lt;&gt;"",BG14&lt;$CM$42,BF14="",BG15&lt;=$B$1+$CG$42)
),1,0)</f>
        <v>0</v>
      </c>
      <c r="CI53" s="297">
        <f ca="1">SUM(CG53:CG64)</f>
        <v>0</v>
      </c>
      <c r="CK53" s="323">
        <f ca="1">IF(OR(
AND(E36&lt;&gt;"",U36&lt;$CM$39,$B$1=PROGRESS!$CC$8-$CG$39),
AND(E36&lt;&gt;"",U36&lt;$CM$40,$B$1=PROGRESS!$CC$8-$CG$40),
AND(E36&lt;&gt;"",U36&lt;$CM$41,$B$1=PROGRESS!$CC$8-$CG$41),
AND(E36&lt;&gt;"",U36&lt;$CM$42,$B$1&gt;=PROGRESS!$CC$8-$CG$42)
),1,0)</f>
        <v>0</v>
      </c>
      <c r="CN53" s="39"/>
      <c r="CO53" s="44" t="str">
        <f>ACTIONS!$BU$34</f>
        <v>BDY5</v>
      </c>
      <c r="CQ53" s="242"/>
      <c r="CS53" s="46"/>
      <c r="DE53" s="46"/>
      <c r="DO53" s="36" t="s">
        <v>371</v>
      </c>
      <c r="DP53" s="379"/>
      <c r="DQ53" s="35"/>
      <c r="EC53" s="46"/>
      <c r="EL53" s="299"/>
      <c r="FG53" s="306">
        <f ca="1">IF('^'!$BK$45="A C T I V E",FG50,FG47)</f>
        <v>0</v>
      </c>
    </row>
    <row r="54" spans="1:193" ht="17.100000000000001" customHeight="1" x14ac:dyDescent="0.15">
      <c r="D54" s="3968" t="s">
        <v>1300</v>
      </c>
      <c r="E54" s="3968"/>
      <c r="F54" s="3968"/>
      <c r="G54" s="3968"/>
      <c r="H54" s="3968"/>
      <c r="I54" s="87"/>
      <c r="J54" s="87"/>
      <c r="K54" s="87"/>
      <c r="L54" s="1569"/>
      <c r="M54" s="1569"/>
      <c r="N54" s="1569"/>
      <c r="O54" s="1569"/>
      <c r="P54" s="1569"/>
      <c r="Q54" s="1569"/>
      <c r="R54" s="1569"/>
      <c r="S54" s="1569"/>
      <c r="T54" s="1569"/>
      <c r="U54" s="87"/>
      <c r="V54" s="87"/>
      <c r="W54" s="87"/>
      <c r="X54" s="87"/>
      <c r="Y54" s="87"/>
      <c r="Z54" s="259"/>
      <c r="AA54" s="259"/>
      <c r="AB54" s="259"/>
      <c r="AC54" s="259"/>
      <c r="AD54" s="259"/>
      <c r="AE54" s="259"/>
      <c r="AF54" s="259"/>
      <c r="AG54" s="259"/>
      <c r="AH54" s="259"/>
      <c r="AI54" s="87"/>
      <c r="AJ54" s="87"/>
      <c r="AK54" s="87"/>
      <c r="AL54" s="87"/>
      <c r="AM54" s="87"/>
      <c r="AN54" s="87"/>
      <c r="AO54" s="87"/>
      <c r="AP54" s="87"/>
      <c r="AQ54" s="87"/>
      <c r="AR54" s="87"/>
      <c r="AS54" s="87"/>
      <c r="AT54" s="87"/>
      <c r="AU54" s="87"/>
      <c r="AV54" s="87"/>
      <c r="AW54" s="87"/>
      <c r="AX54" s="87"/>
      <c r="AY54" s="87"/>
      <c r="AZ54" s="87"/>
      <c r="BA54" s="87"/>
      <c r="BB54" s="87"/>
      <c r="BC54" s="87"/>
      <c r="BD54" s="87"/>
      <c r="BE54" s="87"/>
      <c r="BF54" s="87"/>
      <c r="BG54" s="87"/>
      <c r="BH54" s="87"/>
      <c r="BI54" s="87"/>
      <c r="BJ54" s="87"/>
      <c r="BK54" s="87"/>
      <c r="BL54" s="87"/>
      <c r="BM54" s="87"/>
      <c r="BN54" s="87"/>
      <c r="BO54" s="87"/>
      <c r="BP54" s="87"/>
      <c r="BQ54" s="87"/>
      <c r="BR54" s="87"/>
      <c r="BS54" s="87"/>
      <c r="BT54" s="4031"/>
      <c r="BU54" s="4032"/>
      <c r="BV54" s="4032"/>
      <c r="BW54" s="4033"/>
      <c r="BX54" s="4034"/>
      <c r="CC54" s="301" t="str">
        <f>BA28</f>
        <v>4</v>
      </c>
      <c r="CD54" s="302">
        <f>AP28</f>
        <v>0</v>
      </c>
      <c r="CG54" s="322"/>
      <c r="CI54" s="36" t="s">
        <v>439</v>
      </c>
      <c r="CK54" s="1148"/>
      <c r="CN54" s="36"/>
      <c r="CO54" s="44" t="str">
        <f>ACTIONS!$BV$34</f>
        <v>BDY6</v>
      </c>
      <c r="CQ54" s="242"/>
      <c r="CR54" s="1608">
        <f>IF(AND(AL28=100%,AM28&lt;&gt;""),1,0)</f>
        <v>0</v>
      </c>
      <c r="CS54" s="297">
        <f>IF(AND(AL28=100%,AM28=""),1,0)</f>
        <v>0</v>
      </c>
      <c r="CT54" s="39">
        <f>IF(AL28&gt;0%,1,0)</f>
        <v>0</v>
      </c>
      <c r="DE54" s="297">
        <f ca="1">IF(AND(AB28&lt;&gt;"",AL29&lt;&gt;"",AM28="",AL28&lt;&gt;100%,AL29&lt;PLANS!$B$1),1,0)</f>
        <v>0</v>
      </c>
      <c r="DG54" s="2216">
        <f>IF(AB28="",0, IF(AND(AM28="",AL28&lt;&gt;100%,AL29=$EC$37),1,0) )</f>
        <v>0</v>
      </c>
      <c r="DO54" s="36" t="s">
        <v>371</v>
      </c>
      <c r="DP54" s="1608">
        <f>IF(AND(AP28=100%,AO28&lt;&gt;""),1,0)</f>
        <v>0</v>
      </c>
      <c r="DQ54" s="306">
        <f>IF(AND(AP28=100%,AO28=""),1,0)</f>
        <v>0</v>
      </c>
      <c r="DR54" s="39">
        <f>IF(AP28&gt;0%,1,0)</f>
        <v>0</v>
      </c>
      <c r="EC54" s="297">
        <f ca="1">IF(AND(AQ28&lt;&gt;"",AP29&lt;&gt;"",AO28="",AP28&lt;&gt;100%,AP29&lt;PLANS!$B$1),1,0)</f>
        <v>0</v>
      </c>
      <c r="EE54" s="2216">
        <f>IF(AQ28="",0, IF(AND(AO28="",AP28&lt;&gt;100%,AP29=$EC$37),1,0) )</f>
        <v>0</v>
      </c>
      <c r="EL54" s="299"/>
    </row>
    <row r="55" spans="1:193" ht="17.100000000000001" customHeight="1" x14ac:dyDescent="0.15">
      <c r="D55" s="3968"/>
      <c r="E55" s="3968"/>
      <c r="F55" s="3968"/>
      <c r="G55" s="3968"/>
      <c r="H55" s="3968"/>
      <c r="I55" s="87"/>
      <c r="J55" s="87"/>
      <c r="K55" s="87"/>
      <c r="L55" s="1569"/>
      <c r="M55" s="1569"/>
      <c r="N55" s="1569"/>
      <c r="O55" s="1569"/>
      <c r="P55" s="1569"/>
      <c r="Q55" s="1569"/>
      <c r="R55" s="1569"/>
      <c r="S55" s="1569"/>
      <c r="T55" s="1569"/>
      <c r="U55" s="87"/>
      <c r="V55" s="87"/>
      <c r="W55" s="87"/>
      <c r="X55" s="87"/>
      <c r="Y55" s="87"/>
      <c r="Z55" s="259"/>
      <c r="AA55" s="259"/>
      <c r="AB55" s="259"/>
      <c r="AC55" s="259"/>
      <c r="AD55" s="259"/>
      <c r="AE55" s="259"/>
      <c r="AF55" s="259"/>
      <c r="AG55" s="259"/>
      <c r="AH55" s="259"/>
      <c r="AI55" s="87"/>
      <c r="AJ55" s="87"/>
      <c r="AK55" s="87"/>
      <c r="AL55" s="87"/>
      <c r="AM55" s="87"/>
      <c r="AN55" s="87"/>
      <c r="AO55" s="87"/>
      <c r="AP55" s="87"/>
      <c r="AQ55" s="87"/>
      <c r="AR55" s="87"/>
      <c r="AS55" s="87"/>
      <c r="AT55" s="87"/>
      <c r="AU55" s="87"/>
      <c r="AV55" s="87"/>
      <c r="AW55" s="87"/>
      <c r="AX55" s="87"/>
      <c r="AY55" s="87"/>
      <c r="AZ55" s="87"/>
      <c r="BA55" s="87"/>
      <c r="BB55" s="87"/>
      <c r="BC55" s="87"/>
      <c r="BD55" s="87"/>
      <c r="BE55" s="87"/>
      <c r="BF55" s="87"/>
      <c r="BG55" s="87"/>
      <c r="BH55" s="87"/>
      <c r="BI55" s="87"/>
      <c r="BJ55" s="87"/>
      <c r="BK55" s="87"/>
      <c r="BL55" s="87"/>
      <c r="BM55" s="87"/>
      <c r="BN55" s="87"/>
      <c r="BO55" s="87"/>
      <c r="BP55" s="87"/>
      <c r="BQ55" s="87"/>
      <c r="BR55" s="87"/>
      <c r="BS55" s="87"/>
      <c r="BT55" s="2254"/>
      <c r="BU55" s="2254"/>
      <c r="BV55" s="2254"/>
      <c r="BW55" s="2254"/>
      <c r="BX55" s="87"/>
      <c r="CC55" s="295" t="str">
        <f t="shared" ref="CC55" si="105">AA30</f>
        <v>1</v>
      </c>
      <c r="CD55" s="296">
        <f t="shared" ref="CD55" si="106">AL30</f>
        <v>0</v>
      </c>
      <c r="CG55" s="323">
        <f ca="1">IF(OR(
AND(BH16&lt;&gt;"",BG17&lt;&gt;"",BG16&lt;$CM$39,BF16="",BG17=$B$1+$CG$39),
AND(BH16&lt;&gt;"",BG17&lt;&gt;"",BG16&lt;$CM$40,BF16="",BG17=$B$1+$CG$40),
AND(BH16&lt;&gt;"",BG17&lt;&gt;"",BG16&lt;$CM$41,BF16="",BG17=$B$1+$CG$41),
AND(BH16&lt;&gt;"",BG17&lt;&gt;"",BG16&lt;$CM$42,BF16="",BG17&lt;=$B$1+$CG$42)
),1,0)</f>
        <v>0</v>
      </c>
      <c r="CO55" s="44" t="str">
        <f>ACTIONS!$BW$34</f>
        <v>BDY7</v>
      </c>
      <c r="CQ55" s="1611" t="s">
        <v>1142</v>
      </c>
      <c r="CR55" s="39" t="s">
        <v>1142</v>
      </c>
      <c r="CS55" s="39" t="s">
        <v>1142</v>
      </c>
      <c r="CT55" s="39" t="s">
        <v>1142</v>
      </c>
      <c r="CU55" s="39" t="s">
        <v>1142</v>
      </c>
      <c r="CV55" s="39" t="s">
        <v>1142</v>
      </c>
      <c r="CW55" s="39" t="s">
        <v>1142</v>
      </c>
      <c r="CX55" s="39" t="s">
        <v>1142</v>
      </c>
      <c r="CY55" s="39" t="s">
        <v>1142</v>
      </c>
      <c r="CZ55" s="39" t="s">
        <v>1142</v>
      </c>
      <c r="DA55" s="39" t="s">
        <v>1142</v>
      </c>
      <c r="DB55" s="39" t="s">
        <v>1142</v>
      </c>
      <c r="DC55" s="39" t="s">
        <v>1142</v>
      </c>
      <c r="DD55" s="39" t="s">
        <v>1142</v>
      </c>
      <c r="DE55" s="39" t="s">
        <v>1142</v>
      </c>
      <c r="DF55" s="39" t="s">
        <v>1142</v>
      </c>
      <c r="DG55" s="39" t="s">
        <v>1142</v>
      </c>
      <c r="DH55" s="39" t="s">
        <v>1142</v>
      </c>
      <c r="DI55" s="39" t="s">
        <v>1142</v>
      </c>
      <c r="DJ55" s="39" t="s">
        <v>1142</v>
      </c>
      <c r="DK55" s="39" t="s">
        <v>1142</v>
      </c>
      <c r="DL55" s="39" t="s">
        <v>1142</v>
      </c>
      <c r="DM55" s="39" t="s">
        <v>1142</v>
      </c>
      <c r="DN55" s="39" t="s">
        <v>1142</v>
      </c>
      <c r="DO55" s="36" t="s">
        <v>1143</v>
      </c>
      <c r="DP55" s="39" t="s">
        <v>1142</v>
      </c>
      <c r="DQ55" s="39" t="s">
        <v>1142</v>
      </c>
      <c r="DR55" s="39" t="s">
        <v>1142</v>
      </c>
      <c r="DS55" s="39" t="s">
        <v>1142</v>
      </c>
      <c r="DT55" s="39" t="s">
        <v>1142</v>
      </c>
      <c r="DU55" s="39" t="s">
        <v>1142</v>
      </c>
      <c r="DV55" s="39" t="s">
        <v>1142</v>
      </c>
      <c r="DW55" s="39" t="s">
        <v>1142</v>
      </c>
      <c r="DX55" s="39" t="s">
        <v>1142</v>
      </c>
      <c r="DY55" s="39" t="s">
        <v>1142</v>
      </c>
      <c r="DZ55" s="39" t="s">
        <v>1142</v>
      </c>
      <c r="EA55" s="39" t="s">
        <v>1142</v>
      </c>
      <c r="EB55" s="39" t="s">
        <v>1142</v>
      </c>
      <c r="EC55" s="39" t="s">
        <v>1142</v>
      </c>
      <c r="ED55" s="39" t="s">
        <v>1142</v>
      </c>
      <c r="EE55" s="39" t="s">
        <v>1142</v>
      </c>
      <c r="EF55" s="39" t="s">
        <v>1142</v>
      </c>
      <c r="EG55" s="39" t="s">
        <v>1142</v>
      </c>
      <c r="EH55" s="39" t="s">
        <v>1142</v>
      </c>
      <c r="EI55" s="39" t="s">
        <v>1142</v>
      </c>
      <c r="EJ55" s="39" t="s">
        <v>1142</v>
      </c>
      <c r="EK55" s="39" t="s">
        <v>1142</v>
      </c>
      <c r="EL55" s="1612" t="s">
        <v>1142</v>
      </c>
      <c r="ET55" s="227"/>
      <c r="EU55" s="1615"/>
      <c r="EV55" s="1615"/>
      <c r="EW55" s="1615"/>
      <c r="EX55" s="1616" t="s">
        <v>174</v>
      </c>
      <c r="EY55" s="228"/>
      <c r="EZ55" s="228"/>
      <c r="FA55" s="1603" t="s">
        <v>1136</v>
      </c>
      <c r="FB55" s="333"/>
      <c r="FC55" s="228"/>
      <c r="FD55" s="1617" t="s">
        <v>1140</v>
      </c>
      <c r="FE55" s="333"/>
      <c r="FF55" s="256"/>
      <c r="FH55" s="227"/>
      <c r="FI55" s="1615"/>
      <c r="FJ55" s="1615"/>
      <c r="FK55" s="1615"/>
      <c r="FL55" s="1616" t="s">
        <v>174</v>
      </c>
      <c r="FM55" s="228"/>
      <c r="FN55" s="228"/>
      <c r="FO55" s="1603" t="s">
        <v>1136</v>
      </c>
      <c r="FP55" s="333"/>
      <c r="FQ55" s="228"/>
      <c r="FR55" s="1617" t="s">
        <v>1140</v>
      </c>
      <c r="FS55" s="333"/>
      <c r="FT55" s="256"/>
    </row>
    <row r="56" spans="1:193" ht="17.100000000000001" customHeight="1" x14ac:dyDescent="0.15">
      <c r="D56" s="3968"/>
      <c r="E56" s="3968"/>
      <c r="F56" s="3968"/>
      <c r="G56" s="3968"/>
      <c r="H56" s="3968"/>
      <c r="I56" s="87"/>
      <c r="J56" s="87"/>
      <c r="K56" s="87"/>
      <c r="L56" s="1569"/>
      <c r="M56" s="1569"/>
      <c r="N56" s="1569"/>
      <c r="O56" s="1569"/>
      <c r="P56" s="1569"/>
      <c r="Q56" s="1569"/>
      <c r="R56" s="1569"/>
      <c r="S56" s="1569"/>
      <c r="T56" s="1569"/>
      <c r="U56" s="87"/>
      <c r="V56" s="87"/>
      <c r="W56" s="87"/>
      <c r="X56" s="87"/>
      <c r="Y56" s="87"/>
      <c r="Z56" s="260"/>
      <c r="AA56" s="260"/>
      <c r="AB56" s="260"/>
      <c r="AC56" s="260"/>
      <c r="AD56" s="260"/>
      <c r="AE56" s="260"/>
      <c r="AF56" s="260"/>
      <c r="AG56" s="260"/>
      <c r="AH56" s="260"/>
      <c r="AI56" s="87"/>
      <c r="AJ56" s="87"/>
      <c r="AK56" s="87"/>
      <c r="AL56" s="87"/>
      <c r="AM56" s="87"/>
      <c r="AN56" s="87"/>
      <c r="AO56" s="87"/>
      <c r="AP56" s="87"/>
      <c r="AQ56" s="87"/>
      <c r="AR56" s="87"/>
      <c r="AS56" s="87"/>
      <c r="AT56" s="87"/>
      <c r="AU56" s="87"/>
      <c r="AV56" s="87"/>
      <c r="AW56" s="87"/>
      <c r="AX56" s="87"/>
      <c r="AY56" s="87"/>
      <c r="AZ56" s="87"/>
      <c r="BA56" s="87"/>
      <c r="BB56" s="87"/>
      <c r="BC56" s="87"/>
      <c r="BD56" s="87"/>
      <c r="BE56" s="87"/>
      <c r="BF56" s="87"/>
      <c r="BG56" s="87"/>
      <c r="BH56" s="87"/>
      <c r="BI56" s="87"/>
      <c r="BJ56" s="87"/>
      <c r="BK56" s="87"/>
      <c r="BL56" s="87"/>
      <c r="BM56" s="87"/>
      <c r="BN56" s="87"/>
      <c r="BO56" s="87"/>
      <c r="BP56" s="87"/>
      <c r="BQ56" s="87"/>
      <c r="BR56" s="87"/>
      <c r="BS56" s="87"/>
      <c r="BT56" s="4028" t="str">
        <f>"past deadline
and incomplete"</f>
        <v>past deadline
and incomplete</v>
      </c>
      <c r="BU56" s="4029"/>
      <c r="BV56" s="4029"/>
      <c r="BW56" s="4030"/>
      <c r="BX56" s="4124" t="s">
        <v>37</v>
      </c>
      <c r="CC56" s="301" t="str">
        <f t="shared" ref="CC56" si="107">BA30</f>
        <v>1</v>
      </c>
      <c r="CD56" s="302">
        <f t="shared" ref="CD56" si="108">AP30</f>
        <v>0</v>
      </c>
      <c r="CG56" s="322"/>
      <c r="CO56" s="44" t="str">
        <f>ACTIONS!$BX$34</f>
        <v>BDY8</v>
      </c>
      <c r="CQ56" s="242"/>
      <c r="CR56" s="1608">
        <f>IF(AND(AL30=100%,AM30&lt;&gt;""),1,0)</f>
        <v>0</v>
      </c>
      <c r="CS56" s="297">
        <f>IF(AND(AL30=100%,AM30=""),1,0)</f>
        <v>0</v>
      </c>
      <c r="CT56" s="39">
        <f>IF(AL30&gt;0%,1,0)</f>
        <v>0</v>
      </c>
      <c r="DA56" s="298" t="str">
        <f>Y30&amp;" COMPLETE"</f>
        <v xml:space="preserve"> COMPLETE</v>
      </c>
      <c r="DE56" s="297">
        <f ca="1">IF(AND(AB30&lt;&gt;"",AL31&lt;&gt;"",AM30="",AL30&lt;&gt;100%,AL31&lt;PLANS!$B$1),1,0)</f>
        <v>0</v>
      </c>
      <c r="DG56" s="2216">
        <f>IF(AB30="",0, IF(AND(AM30="",AL30&lt;&gt;100%,AL31=$EC$37),1,0) )</f>
        <v>0</v>
      </c>
      <c r="DM56" s="298" t="str">
        <f>Y30&amp;" PAST DEADLINE"</f>
        <v xml:space="preserve"> PAST DEADLINE</v>
      </c>
      <c r="DO56" s="36" t="s">
        <v>371</v>
      </c>
      <c r="DP56" s="1608">
        <f>IF(AND(AP30=100%,AO30&lt;&gt;""),1,0)</f>
        <v>0</v>
      </c>
      <c r="DQ56" s="306">
        <f>IF(AND(AP30=100%,AO30=""),1,0)</f>
        <v>0</v>
      </c>
      <c r="DR56" s="39">
        <f>IF(AP30&gt;0%,1,0)</f>
        <v>0</v>
      </c>
      <c r="DS56" s="303"/>
      <c r="DY56" s="1557" t="str">
        <f>BB30&amp;" COMPLETE"</f>
        <v xml:space="preserve"> COMPLETE</v>
      </c>
      <c r="EC56" s="297">
        <f ca="1">IF(AND(AQ30&lt;&gt;"",AP31&lt;&gt;"",AO30="",AP30&lt;&gt;100%,AP31&lt;PLANS!$B$1),1,0)</f>
        <v>0</v>
      </c>
      <c r="EE56" s="2216">
        <f>IF(AQ30="",0, IF(AND(AO30="",AP30&lt;&gt;100%,AP31=$EC$37),1,0) )</f>
        <v>0</v>
      </c>
      <c r="EK56" s="298" t="str">
        <f>BB30&amp;" PAST DEADLINE"</f>
        <v xml:space="preserve"> PAST DEADLINE</v>
      </c>
      <c r="EL56" s="299"/>
      <c r="ET56" s="242"/>
      <c r="EU56" s="326"/>
      <c r="EV56" s="326"/>
      <c r="EW56" s="326"/>
      <c r="FA56" s="46"/>
      <c r="FD56" s="1176"/>
      <c r="FF56" s="299"/>
      <c r="FH56" s="242"/>
      <c r="FI56" s="326"/>
      <c r="FJ56" s="326"/>
      <c r="FK56" s="326"/>
      <c r="FO56" s="46"/>
      <c r="FR56" s="1176"/>
      <c r="FT56" s="299"/>
    </row>
    <row r="57" spans="1:193" ht="17.100000000000001" customHeight="1" x14ac:dyDescent="0.15">
      <c r="D57" s="3968"/>
      <c r="E57" s="3968"/>
      <c r="F57" s="3968"/>
      <c r="G57" s="3968"/>
      <c r="H57" s="3968"/>
      <c r="I57" s="87"/>
      <c r="J57" s="87"/>
      <c r="K57" s="87"/>
      <c r="L57" s="1569"/>
      <c r="M57" s="1569"/>
      <c r="N57" s="1569"/>
      <c r="O57" s="1569"/>
      <c r="P57" s="1569"/>
      <c r="Q57" s="1569"/>
      <c r="R57" s="1569"/>
      <c r="S57" s="1569"/>
      <c r="T57" s="1569"/>
      <c r="U57" s="87"/>
      <c r="V57" s="87"/>
      <c r="W57" s="87"/>
      <c r="X57" s="87"/>
      <c r="Y57" s="87"/>
      <c r="Z57" s="260"/>
      <c r="AA57" s="260"/>
      <c r="AB57" s="260"/>
      <c r="AC57" s="260"/>
      <c r="AD57" s="260"/>
      <c r="AE57" s="260"/>
      <c r="AF57" s="260"/>
      <c r="AG57" s="260"/>
      <c r="AH57" s="260"/>
      <c r="AI57" s="87"/>
      <c r="AJ57" s="87"/>
      <c r="AK57" s="87"/>
      <c r="AL57" s="87"/>
      <c r="AM57" s="87"/>
      <c r="AN57" s="87"/>
      <c r="AO57" s="87"/>
      <c r="AP57" s="87"/>
      <c r="AQ57" s="87"/>
      <c r="AR57" s="87"/>
      <c r="AS57" s="87"/>
      <c r="AT57" s="87"/>
      <c r="AU57" s="87"/>
      <c r="AV57" s="87"/>
      <c r="AW57" s="87"/>
      <c r="AX57" s="87"/>
      <c r="AY57" s="87"/>
      <c r="AZ57" s="87"/>
      <c r="BA57" s="87"/>
      <c r="BB57" s="87"/>
      <c r="BC57" s="87"/>
      <c r="BD57" s="87"/>
      <c r="BE57" s="87"/>
      <c r="BF57" s="87"/>
      <c r="BG57" s="87"/>
      <c r="BH57" s="87"/>
      <c r="BI57" s="87"/>
      <c r="BJ57" s="87"/>
      <c r="BK57" s="87"/>
      <c r="BL57" s="87"/>
      <c r="BM57" s="87"/>
      <c r="BN57" s="87"/>
      <c r="BO57" s="87"/>
      <c r="BP57" s="87"/>
      <c r="BQ57" s="87"/>
      <c r="BR57" s="87"/>
      <c r="BS57" s="87"/>
      <c r="BT57" s="4031"/>
      <c r="BU57" s="4032"/>
      <c r="BV57" s="4032"/>
      <c r="BW57" s="4033"/>
      <c r="BX57" s="4124"/>
      <c r="CC57" s="295" t="str">
        <f t="shared" ref="CC57" si="109">AA32</f>
        <v>2</v>
      </c>
      <c r="CD57" s="296">
        <f t="shared" ref="CD57" si="110">AL32</f>
        <v>0</v>
      </c>
      <c r="CG57" s="323">
        <f ca="1">IF(OR(
AND(BH18&lt;&gt;"",BG19&lt;&gt;"",BG18&lt;$CM$39,BF18="",BG19=$B$1+$CG$39),
AND(BH18&lt;&gt;"",BG19&lt;&gt;"",BG18&lt;$CM$40,BF18="",BG19=$B$1+$CG$40),
AND(BH18&lt;&gt;"",BG19&lt;&gt;"",BG18&lt;$CM$41,BF18="",BG19=$B$1+$CG$41),
AND(BH18&lt;&gt;"",BG19&lt;&gt;"",BG18&lt;$CM$42,BF18="",BG19&lt;=$B$1+$CG$42)
),1,0)</f>
        <v>0</v>
      </c>
      <c r="CO57" s="44" t="str">
        <f>ACTIONS!$BY$34</f>
        <v>BDY9</v>
      </c>
      <c r="CQ57" s="242"/>
      <c r="CS57" s="46"/>
      <c r="CY57" s="304" t="s">
        <v>1136</v>
      </c>
      <c r="CZ57" s="1608">
        <f>SUM(CR56:CR62)</f>
        <v>0</v>
      </c>
      <c r="DE57" s="46"/>
      <c r="DO57" s="36" t="s">
        <v>371</v>
      </c>
      <c r="DP57" s="379"/>
      <c r="DQ57" s="35"/>
      <c r="DS57" s="303"/>
      <c r="DW57" s="304" t="s">
        <v>1136</v>
      </c>
      <c r="DX57" s="1608">
        <f>SUM(DP56:DP62)</f>
        <v>0</v>
      </c>
      <c r="EC57" s="46"/>
      <c r="EL57" s="299"/>
      <c r="ER57" s="415" t="s">
        <v>438</v>
      </c>
      <c r="ET57" s="242"/>
      <c r="EU57" s="326"/>
      <c r="EV57" s="415" t="s">
        <v>439</v>
      </c>
      <c r="EW57" s="326"/>
      <c r="EX57" s="306">
        <f>FD57-FA57</f>
        <v>0</v>
      </c>
      <c r="FA57" s="297">
        <f>COUNTA(AM14:$AM$37)</f>
        <v>0</v>
      </c>
      <c r="FD57" s="1558">
        <f>COUNTA($AB$14:$AK$37)</f>
        <v>0</v>
      </c>
      <c r="FF57" s="299"/>
      <c r="FH57" s="242"/>
      <c r="FI57" s="326"/>
      <c r="FJ57" s="415" t="s">
        <v>439</v>
      </c>
      <c r="FK57" s="326"/>
      <c r="FL57" s="306">
        <f>FR57-FO57</f>
        <v>0</v>
      </c>
      <c r="FO57" s="297">
        <f>COUNTA($AO14:AO$37)</f>
        <v>0</v>
      </c>
      <c r="FR57" s="1558">
        <f>COUNTA($AQ14:AZ$37)</f>
        <v>0</v>
      </c>
      <c r="FT57" s="299"/>
      <c r="FV57" s="378" t="s">
        <v>438</v>
      </c>
    </row>
    <row r="58" spans="1:193" ht="17.100000000000001" customHeight="1" x14ac:dyDescent="0.15">
      <c r="D58" s="3968" t="s">
        <v>1302</v>
      </c>
      <c r="E58" s="3968"/>
      <c r="F58" s="3968"/>
      <c r="G58" s="3968"/>
      <c r="H58" s="3968"/>
      <c r="I58" s="87"/>
      <c r="J58" s="87"/>
      <c r="K58" s="87"/>
      <c r="L58" s="1569"/>
      <c r="M58" s="1569"/>
      <c r="N58" s="1569"/>
      <c r="O58" s="1569"/>
      <c r="P58" s="1569"/>
      <c r="Q58" s="1569"/>
      <c r="R58" s="1569"/>
      <c r="S58" s="1569"/>
      <c r="T58" s="1569"/>
      <c r="U58" s="87"/>
      <c r="V58" s="87"/>
      <c r="W58" s="87"/>
      <c r="X58" s="87"/>
      <c r="Y58" s="87"/>
      <c r="Z58" s="260"/>
      <c r="AA58" s="260"/>
      <c r="AB58" s="260"/>
      <c r="AC58" s="260"/>
      <c r="AD58" s="260"/>
      <c r="AE58" s="260"/>
      <c r="AF58" s="260"/>
      <c r="AG58" s="260"/>
      <c r="AH58" s="260"/>
      <c r="AI58" s="87"/>
      <c r="AJ58" s="87"/>
      <c r="AK58" s="87"/>
      <c r="AL58" s="87"/>
      <c r="AM58" s="87"/>
      <c r="AN58" s="87"/>
      <c r="AO58" s="87"/>
      <c r="AP58" s="87"/>
      <c r="AQ58" s="87"/>
      <c r="AR58" s="87"/>
      <c r="AS58" s="87"/>
      <c r="AT58" s="87"/>
      <c r="AU58" s="87"/>
      <c r="AV58" s="87"/>
      <c r="AW58" s="87"/>
      <c r="AX58" s="87"/>
      <c r="AY58" s="87"/>
      <c r="AZ58" s="87"/>
      <c r="BA58" s="87"/>
      <c r="BB58" s="87"/>
      <c r="BC58" s="87"/>
      <c r="BD58" s="87"/>
      <c r="BE58" s="87"/>
      <c r="BF58" s="87"/>
      <c r="BG58" s="87"/>
      <c r="BH58" s="87"/>
      <c r="BI58" s="87"/>
      <c r="BJ58" s="87"/>
      <c r="BK58" s="87"/>
      <c r="BL58" s="87"/>
      <c r="BM58" s="87"/>
      <c r="BN58" s="87"/>
      <c r="BO58" s="87"/>
      <c r="BP58" s="87"/>
      <c r="BQ58" s="87"/>
      <c r="BR58" s="87"/>
      <c r="BS58" s="87"/>
      <c r="BT58" s="87"/>
      <c r="BU58" s="87"/>
      <c r="BV58" s="87"/>
      <c r="BW58" s="87"/>
      <c r="BX58" s="87"/>
      <c r="CC58" s="301" t="str">
        <f t="shared" ref="CC58" si="111">BA32</f>
        <v>2</v>
      </c>
      <c r="CD58" s="302">
        <f t="shared" ref="CD58" si="112">AP32</f>
        <v>0</v>
      </c>
      <c r="CG58" s="322"/>
      <c r="CQ58" s="242"/>
      <c r="CR58" s="1608">
        <f>IF(AND(AL32=100%,AM32&lt;&gt;""),1,0)</f>
        <v>0</v>
      </c>
      <c r="CS58" s="297">
        <f>IF(AND(AL32=100%,AM32=""),1,0)</f>
        <v>0</v>
      </c>
      <c r="CT58" s="39">
        <f>IF(AL32&gt;0%,1,0)</f>
        <v>0</v>
      </c>
      <c r="CY58" s="304" t="s">
        <v>174</v>
      </c>
      <c r="CZ58" s="306">
        <f>SUM(CS56:CS62)</f>
        <v>0</v>
      </c>
      <c r="DE58" s="297">
        <f ca="1">IF(AND(AB32&lt;&gt;"",AL33&lt;&gt;"",AM32="",AL32&lt;&gt;100%,AL33&lt;PLANS!$B$1),1,0)</f>
        <v>0</v>
      </c>
      <c r="DG58" s="2216">
        <f>IF(AB32="",0, IF(AND(AM32="",AL32&lt;&gt;100%,AL33=$EC$37),1,0) )</f>
        <v>0</v>
      </c>
      <c r="DK58" s="304" t="s">
        <v>439</v>
      </c>
      <c r="DL58" s="306">
        <f ca="1">SUM(DE56:DE62)</f>
        <v>0</v>
      </c>
      <c r="DO58" s="36" t="s">
        <v>371</v>
      </c>
      <c r="DP58" s="1608">
        <f>IF(AND(AP32=100%,AO32&lt;&gt;""),1,0)</f>
        <v>0</v>
      </c>
      <c r="DQ58" s="306">
        <f>IF(AND(AP32=100%,AO32=""),1,0)</f>
        <v>0</v>
      </c>
      <c r="DR58" s="39">
        <f>IF(AP32&gt;0%,1,0)</f>
        <v>0</v>
      </c>
      <c r="DS58" s="303"/>
      <c r="DW58" s="304" t="s">
        <v>174</v>
      </c>
      <c r="DX58" s="306">
        <f>SUM(DQ56:DQ62)</f>
        <v>0</v>
      </c>
      <c r="EC58" s="297">
        <f ca="1">IF(AND(AQ32&lt;&gt;"",AP33&lt;&gt;"",AO32="",AP32&lt;&gt;100%,AP33&lt;PLANS!$B$1),1,0)</f>
        <v>0</v>
      </c>
      <c r="EE58" s="2216">
        <f>IF(AQ32="",0, IF(AND(AO32="",AP32&lt;&gt;100%,AP33=$EC$37),1,0) )</f>
        <v>0</v>
      </c>
      <c r="EI58" s="304" t="s">
        <v>439</v>
      </c>
      <c r="EJ58" s="306">
        <f ca="1">SUM(EC56:EC62)</f>
        <v>0</v>
      </c>
      <c r="EL58" s="299"/>
      <c r="ER58" s="415" t="s">
        <v>60</v>
      </c>
      <c r="ET58" s="242"/>
      <c r="EU58" s="326"/>
      <c r="EV58" s="326"/>
      <c r="EW58" s="326"/>
      <c r="FA58" s="46"/>
      <c r="FD58" s="1176"/>
      <c r="FF58" s="299"/>
      <c r="FH58" s="242"/>
      <c r="FI58" s="326"/>
      <c r="FJ58" s="326"/>
      <c r="FK58" s="326"/>
      <c r="FO58" s="46"/>
      <c r="FR58" s="1176"/>
      <c r="FT58" s="299"/>
      <c r="FV58" s="378" t="s">
        <v>60</v>
      </c>
    </row>
    <row r="59" spans="1:193" ht="17.100000000000001" customHeight="1" x14ac:dyDescent="0.15">
      <c r="D59" s="3968"/>
      <c r="E59" s="3968"/>
      <c r="F59" s="3968"/>
      <c r="G59" s="3968"/>
      <c r="H59" s="3968"/>
      <c r="I59" s="87"/>
      <c r="J59" s="87"/>
      <c r="K59" s="87"/>
      <c r="L59" s="1569"/>
      <c r="M59" s="1569"/>
      <c r="N59" s="1569"/>
      <c r="O59" s="1569"/>
      <c r="P59" s="1569"/>
      <c r="Q59" s="1569"/>
      <c r="R59" s="1569"/>
      <c r="S59" s="1569"/>
      <c r="T59" s="1569"/>
      <c r="U59" s="87"/>
      <c r="V59" s="87"/>
      <c r="W59" s="87"/>
      <c r="X59" s="87"/>
      <c r="Y59" s="87"/>
      <c r="Z59" s="260"/>
      <c r="AA59" s="260"/>
      <c r="AB59" s="260"/>
      <c r="AC59" s="260"/>
      <c r="AD59" s="260"/>
      <c r="AE59" s="260"/>
      <c r="AF59" s="260"/>
      <c r="AG59" s="260"/>
      <c r="AH59" s="260"/>
      <c r="AI59" s="87"/>
      <c r="AJ59" s="87"/>
      <c r="AK59" s="87"/>
      <c r="AL59" s="87"/>
      <c r="AM59" s="87"/>
      <c r="AN59" s="87"/>
      <c r="AO59" s="87"/>
      <c r="AP59" s="87"/>
      <c r="AQ59" s="87"/>
      <c r="AR59" s="87"/>
      <c r="AS59" s="87"/>
      <c r="AT59" s="87"/>
      <c r="AU59" s="87"/>
      <c r="AV59" s="87"/>
      <c r="AW59" s="87"/>
      <c r="AX59" s="87"/>
      <c r="AY59" s="87"/>
      <c r="AZ59" s="87"/>
      <c r="BA59" s="87"/>
      <c r="BB59" s="87"/>
      <c r="BC59" s="87"/>
      <c r="BD59" s="87"/>
      <c r="BE59" s="87"/>
      <c r="BF59" s="87"/>
      <c r="BG59" s="87"/>
      <c r="BH59" s="87"/>
      <c r="BI59" s="87"/>
      <c r="BJ59" s="87"/>
      <c r="BK59" s="87"/>
      <c r="BL59" s="87"/>
      <c r="BM59" s="87"/>
      <c r="BN59" s="87"/>
      <c r="BO59" s="87"/>
      <c r="BP59" s="87"/>
      <c r="BQ59" s="87"/>
      <c r="BR59" s="87"/>
      <c r="BS59" s="87"/>
      <c r="BT59" s="4015" t="s">
        <v>923</v>
      </c>
      <c r="BU59" s="4015"/>
      <c r="BV59" s="4015"/>
      <c r="BW59" s="4015"/>
      <c r="BX59" s="87"/>
      <c r="CC59" s="295" t="str">
        <f t="shared" ref="CC59" si="113">AA34</f>
        <v>3</v>
      </c>
      <c r="CD59" s="296">
        <f t="shared" ref="CD59" si="114">AL34</f>
        <v>0</v>
      </c>
      <c r="CG59" s="323">
        <f ca="1">IF(OR(
AND(BH20&lt;&gt;"",BG21&lt;&gt;"",BG20&lt;$CM$39,BF20="",BG21=$B$1+$CG$39),
AND(BH20&lt;&gt;"",BG21&lt;&gt;"",BG20&lt;$CM$40,BF20="",BG21=$B$1+$CG$40),
AND(BH20&lt;&gt;"",BG21&lt;&gt;"",BG20&lt;$CM$41,BF20="",BG21=$B$1+$CG$41),
AND(BH20&lt;&gt;"",BG21&lt;&gt;"",BG20&lt;$CM$42,BF20="",BG21&lt;=$B$1+$CG$42)
),1,0)</f>
        <v>0</v>
      </c>
      <c r="CI59" s="36" t="s">
        <v>732</v>
      </c>
      <c r="CN59" s="36"/>
      <c r="CO59" s="44" t="str">
        <f>MID(CO40,1,2)</f>
        <v>MN</v>
      </c>
      <c r="CQ59" s="242"/>
      <c r="CS59" s="46"/>
      <c r="DE59" s="46"/>
      <c r="DO59" s="36" t="s">
        <v>371</v>
      </c>
      <c r="DP59" s="379"/>
      <c r="DQ59" s="35"/>
      <c r="DS59" s="303"/>
      <c r="EC59" s="46"/>
      <c r="EL59" s="299"/>
      <c r="ER59" s="1632" t="s">
        <v>1138</v>
      </c>
      <c r="ET59" s="242"/>
      <c r="EU59" s="326"/>
      <c r="EV59" s="415" t="s">
        <v>505</v>
      </c>
      <c r="EW59" s="326"/>
      <c r="EX59" s="306">
        <f>SUM($CZ$42,$CZ$50,$CZ$58)</f>
        <v>0</v>
      </c>
      <c r="FA59" s="297">
        <f>SUM($CZ$41,$CZ$49,$CZ$57)</f>
        <v>0</v>
      </c>
      <c r="FD59" s="1558">
        <f>EX59+FA59</f>
        <v>0</v>
      </c>
      <c r="FF59" s="299"/>
      <c r="FH59" s="242"/>
      <c r="FI59" s="326"/>
      <c r="FJ59" s="415" t="s">
        <v>505</v>
      </c>
      <c r="FK59" s="326"/>
      <c r="FL59" s="306">
        <f>SUM($DX$42,$DX$50,$DX$58)</f>
        <v>0</v>
      </c>
      <c r="FO59" s="297">
        <f>SUM($DX$41,$DX$49,$DX$57)</f>
        <v>0</v>
      </c>
      <c r="FR59" s="1558">
        <f>FL59+FO59</f>
        <v>0</v>
      </c>
      <c r="FT59" s="299"/>
      <c r="FV59" s="435" t="s">
        <v>1139</v>
      </c>
    </row>
    <row r="60" spans="1:193" ht="17.100000000000001" customHeight="1" x14ac:dyDescent="0.15">
      <c r="D60" s="3968"/>
      <c r="E60" s="3968"/>
      <c r="F60" s="3968"/>
      <c r="G60" s="3968"/>
      <c r="H60" s="3968"/>
      <c r="I60" s="87"/>
      <c r="J60" s="87"/>
      <c r="K60" s="87"/>
      <c r="L60" s="1569"/>
      <c r="M60" s="1569"/>
      <c r="N60" s="1569"/>
      <c r="O60" s="1569"/>
      <c r="P60" s="1569"/>
      <c r="Q60" s="1569"/>
      <c r="R60" s="1569"/>
      <c r="S60" s="1569"/>
      <c r="T60" s="1569"/>
      <c r="U60" s="87"/>
      <c r="V60" s="87"/>
      <c r="W60" s="87"/>
      <c r="X60" s="87"/>
      <c r="Y60" s="87"/>
      <c r="Z60" s="260"/>
      <c r="AA60" s="260"/>
      <c r="AB60" s="260"/>
      <c r="AC60" s="260"/>
      <c r="AD60" s="260"/>
      <c r="AE60" s="260"/>
      <c r="AF60" s="260"/>
      <c r="AG60" s="260"/>
      <c r="AH60" s="260"/>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7"/>
      <c r="BN60" s="87"/>
      <c r="BO60" s="87"/>
      <c r="BP60" s="87"/>
      <c r="BQ60" s="87"/>
      <c r="BR60" s="87"/>
      <c r="BS60" s="87"/>
      <c r="BT60" s="4015"/>
      <c r="BU60" s="4015"/>
      <c r="BV60" s="4015"/>
      <c r="BW60" s="4015"/>
      <c r="BX60" s="87"/>
      <c r="CC60" s="301" t="str">
        <f t="shared" ref="CC60" si="115">BA34</f>
        <v>3</v>
      </c>
      <c r="CD60" s="302">
        <f t="shared" ref="CD60" si="116">AP34</f>
        <v>0</v>
      </c>
      <c r="CG60" s="322"/>
      <c r="CO60" s="44" t="str">
        <f t="shared" ref="CO60:CO76" si="117">MID(CO41,1,2)</f>
        <v>MN</v>
      </c>
      <c r="CQ60" s="242"/>
      <c r="CR60" s="1608">
        <f>IF(AND(AL34=100%,AM34&lt;&gt;""),1,0)</f>
        <v>0</v>
      </c>
      <c r="CS60" s="297">
        <f>IF(AND(AL34=100%,AM34=""),1,0)</f>
        <v>0</v>
      </c>
      <c r="CT60" s="39">
        <f>IF(AL34&gt;0%,1,0)</f>
        <v>0</v>
      </c>
      <c r="CY60" s="304" t="s">
        <v>491</v>
      </c>
      <c r="CZ60" s="39">
        <f>SUM(CT56:CT62)</f>
        <v>0</v>
      </c>
      <c r="DE60" s="297">
        <f ca="1">IF(AND(AB34&lt;&gt;"",AL35&lt;&gt;"",AM34="",AL34&lt;&gt;100%,AL35&lt;PLANS!$B$1),1,0)</f>
        <v>0</v>
      </c>
      <c r="DG60" s="2216">
        <f>IF(AB34="",0, IF(AND(AM34="",AL34&lt;&gt;100%,AL35=$EC$37),1,0) )</f>
        <v>0</v>
      </c>
      <c r="DK60" s="304" t="s">
        <v>1136</v>
      </c>
      <c r="DL60" s="39">
        <f>COUNTA(AM30:AM37)</f>
        <v>0</v>
      </c>
      <c r="DO60" s="36" t="s">
        <v>371</v>
      </c>
      <c r="DP60" s="1608">
        <f>IF(AND(AP34=100%,AO34&lt;&gt;""),1,0)</f>
        <v>0</v>
      </c>
      <c r="DQ60" s="306">
        <f>IF(AND(AP34=100%,AO34=""),1,0)</f>
        <v>0</v>
      </c>
      <c r="DR60" s="39">
        <f>IF(AP34&gt;0%,1,0)</f>
        <v>0</v>
      </c>
      <c r="DS60" s="303"/>
      <c r="DW60" s="304" t="s">
        <v>491</v>
      </c>
      <c r="DX60" s="39">
        <f>SUM(DR56:DR62)</f>
        <v>0</v>
      </c>
      <c r="EC60" s="297">
        <f ca="1">IF(AND(AQ34&lt;&gt;"",AP35&lt;&gt;"",AO34="",AP34&lt;&gt;100%,AP35&lt;PLANS!$B$1),1,0)</f>
        <v>0</v>
      </c>
      <c r="EE60" s="2216">
        <f t="shared" ref="EE60" si="118">IF(AQ34="",0, IF(AND(AO34="",AP34&lt;&gt;100%,AP35=$EC$37),1,0) )</f>
        <v>0</v>
      </c>
      <c r="EI60" s="304" t="s">
        <v>1136</v>
      </c>
      <c r="EJ60" s="39">
        <f>COUNTA(AO30:AO37)</f>
        <v>0</v>
      </c>
      <c r="EL60" s="299"/>
      <c r="ET60" s="242"/>
      <c r="EU60" s="326"/>
      <c r="EV60" s="326"/>
      <c r="EW60" s="326"/>
      <c r="FA60" s="46"/>
      <c r="FD60" s="1176"/>
      <c r="FF60" s="299"/>
      <c r="FH60" s="242"/>
      <c r="FI60" s="326"/>
      <c r="FJ60" s="326"/>
      <c r="FK60" s="326"/>
      <c r="FO60" s="46"/>
      <c r="FR60" s="1176"/>
      <c r="FT60" s="299"/>
    </row>
    <row r="61" spans="1:193" ht="17.100000000000001" customHeight="1" x14ac:dyDescent="0.2">
      <c r="D61" s="3968"/>
      <c r="E61" s="3968"/>
      <c r="F61" s="3968"/>
      <c r="G61" s="3968"/>
      <c r="H61" s="3968"/>
      <c r="I61" s="87"/>
      <c r="J61" s="87"/>
      <c r="K61" s="87"/>
      <c r="L61" s="1569"/>
      <c r="M61" s="1569"/>
      <c r="N61" s="1569"/>
      <c r="O61" s="1569"/>
      <c r="P61" s="1569"/>
      <c r="Q61" s="1569"/>
      <c r="R61" s="1569"/>
      <c r="S61" s="1569"/>
      <c r="T61" s="1569"/>
      <c r="U61" s="87"/>
      <c r="V61" s="87"/>
      <c r="W61" s="87"/>
      <c r="X61" s="87"/>
      <c r="Y61" s="87"/>
      <c r="Z61" s="261"/>
      <c r="AA61" s="261"/>
      <c r="AB61" s="261"/>
      <c r="AC61" s="261"/>
      <c r="AD61" s="261"/>
      <c r="AE61" s="261"/>
      <c r="AF61" s="261"/>
      <c r="AG61" s="261"/>
      <c r="AH61" s="261"/>
      <c r="AI61" s="87"/>
      <c r="AJ61" s="261"/>
      <c r="AK61" s="261"/>
      <c r="AL61" s="261"/>
      <c r="AM61" s="261"/>
      <c r="AN61" s="261"/>
      <c r="AO61" s="261"/>
      <c r="AP61" s="261"/>
      <c r="AQ61" s="261"/>
      <c r="AR61" s="261"/>
      <c r="AS61" s="261"/>
      <c r="AT61" s="261"/>
      <c r="AU61" s="261"/>
      <c r="AV61" s="87"/>
      <c r="AW61" s="87"/>
      <c r="AX61" s="87"/>
      <c r="AY61" s="87"/>
      <c r="AZ61" s="87"/>
      <c r="BA61" s="87"/>
      <c r="BB61" s="87"/>
      <c r="BC61" s="87"/>
      <c r="BD61" s="87"/>
      <c r="BE61" s="87"/>
      <c r="BF61" s="87"/>
      <c r="BG61" s="87"/>
      <c r="BH61" s="87"/>
      <c r="BI61" s="87"/>
      <c r="BJ61" s="87"/>
      <c r="BK61" s="87"/>
      <c r="BL61" s="87"/>
      <c r="BM61" s="87"/>
      <c r="BN61" s="87"/>
      <c r="BO61" s="87"/>
      <c r="BP61" s="87"/>
      <c r="BQ61" s="87"/>
      <c r="BR61" s="87"/>
      <c r="BS61" s="87"/>
      <c r="BT61" s="4046" t="s">
        <v>925</v>
      </c>
      <c r="BU61" s="4047"/>
      <c r="BV61" s="4047"/>
      <c r="BW61" s="4047"/>
      <c r="BX61" s="4048"/>
      <c r="CC61" s="295" t="str">
        <f t="shared" ref="CC61" si="119">AA36</f>
        <v>4</v>
      </c>
      <c r="CD61" s="296">
        <f t="shared" ref="CD61" si="120">AL36</f>
        <v>0</v>
      </c>
      <c r="CG61" s="323">
        <f ca="1">IF(OR(
AND(BH22&lt;&gt;"",BG23&lt;&gt;"",BG22&lt;$CM$39,BF22="",BG23=$B$1+$CG$39),
AND(BH22&lt;&gt;"",BG23&lt;&gt;"",BG22&lt;$CM$40,BF22="",BG23=$B$1+$CG$40),
AND(BH22&lt;&gt;"",BG23&lt;&gt;"",BG22&lt;$CM$41,BF22="",BG23=$B$1+$CG$41),
AND(BH22&lt;&gt;"",BG23&lt;&gt;"",BG22&lt;$CM$42,BF22="",BG23&lt;=$B$1+$CG$42)
),1,0)</f>
        <v>0</v>
      </c>
      <c r="CO61" s="44" t="str">
        <f t="shared" si="117"/>
        <v>MN</v>
      </c>
      <c r="CQ61" s="242"/>
      <c r="CS61" s="46"/>
      <c r="CY61" s="689"/>
      <c r="DE61" s="46"/>
      <c r="DM61" s="2220" t="s">
        <v>1359</v>
      </c>
      <c r="DO61" s="36" t="s">
        <v>371</v>
      </c>
      <c r="DP61" s="379"/>
      <c r="DQ61" s="35"/>
      <c r="DS61" s="303"/>
      <c r="EC61" s="46"/>
      <c r="EK61" s="2220" t="s">
        <v>1359</v>
      </c>
      <c r="EL61" s="299"/>
      <c r="ET61" s="242"/>
      <c r="EU61" s="326"/>
      <c r="EV61" s="415" t="s">
        <v>462</v>
      </c>
      <c r="EW61" s="326"/>
      <c r="EX61" s="306">
        <f>EX57-EX59</f>
        <v>0</v>
      </c>
      <c r="FA61" s="297">
        <f>FA57-FA59</f>
        <v>0</v>
      </c>
      <c r="FD61" s="1558">
        <f>FD57-FD59</f>
        <v>0</v>
      </c>
      <c r="FF61" s="299"/>
      <c r="FH61" s="242"/>
      <c r="FI61" s="326"/>
      <c r="FJ61" s="415" t="s">
        <v>462</v>
      </c>
      <c r="FK61" s="326"/>
      <c r="FL61" s="306">
        <f>FL57-FL59</f>
        <v>0</v>
      </c>
      <c r="FO61" s="297">
        <f>FO57-FO59</f>
        <v>0</v>
      </c>
      <c r="FR61" s="1558">
        <f>FR57-FR59</f>
        <v>0</v>
      </c>
      <c r="FT61" s="299"/>
    </row>
    <row r="62" spans="1:193" ht="17.100000000000001" customHeight="1" x14ac:dyDescent="0.15">
      <c r="D62" s="3968"/>
      <c r="E62" s="3968"/>
      <c r="F62" s="3968"/>
      <c r="G62" s="3968"/>
      <c r="H62" s="3968"/>
      <c r="I62" s="87"/>
      <c r="J62" s="87"/>
      <c r="K62" s="87"/>
      <c r="L62" s="1569"/>
      <c r="M62" s="1569"/>
      <c r="N62" s="1569"/>
      <c r="O62" s="1569"/>
      <c r="P62" s="1569"/>
      <c r="Q62" s="1569"/>
      <c r="R62" s="1569"/>
      <c r="S62" s="1569"/>
      <c r="T62" s="1569"/>
      <c r="U62" s="87"/>
      <c r="V62" s="87"/>
      <c r="W62" s="87"/>
      <c r="X62" s="87"/>
      <c r="Y62" s="87"/>
      <c r="Z62" s="261"/>
      <c r="AA62" s="261"/>
      <c r="AB62" s="261"/>
      <c r="AC62" s="261"/>
      <c r="AD62" s="261"/>
      <c r="AE62" s="261"/>
      <c r="AF62" s="261"/>
      <c r="AG62" s="261"/>
      <c r="AH62" s="261"/>
      <c r="AI62" s="87"/>
      <c r="AJ62" s="261"/>
      <c r="AK62" s="261"/>
      <c r="AL62" s="261"/>
      <c r="AM62" s="261"/>
      <c r="AN62" s="261"/>
      <c r="AO62" s="261"/>
      <c r="AP62" s="261"/>
      <c r="AQ62" s="261"/>
      <c r="AR62" s="261"/>
      <c r="AS62" s="261"/>
      <c r="AT62" s="261"/>
      <c r="AU62" s="261"/>
      <c r="AV62" s="87"/>
      <c r="AW62" s="87"/>
      <c r="AX62" s="87"/>
      <c r="AY62" s="87"/>
      <c r="AZ62" s="87"/>
      <c r="BA62" s="87"/>
      <c r="BB62" s="87"/>
      <c r="BC62" s="87"/>
      <c r="BD62" s="87"/>
      <c r="BE62" s="87"/>
      <c r="BF62" s="87"/>
      <c r="BG62" s="87"/>
      <c r="BH62" s="87"/>
      <c r="BI62" s="87"/>
      <c r="BJ62" s="87"/>
      <c r="BK62" s="87"/>
      <c r="BL62" s="87"/>
      <c r="BM62" s="87"/>
      <c r="BN62" s="87"/>
      <c r="BO62" s="87"/>
      <c r="BP62" s="87"/>
      <c r="BQ62" s="87"/>
      <c r="BR62" s="87"/>
      <c r="BS62" s="87"/>
      <c r="BT62" s="4049"/>
      <c r="BU62" s="4050"/>
      <c r="BV62" s="4050"/>
      <c r="BW62" s="4050"/>
      <c r="BX62" s="4051"/>
      <c r="CC62" s="301" t="str">
        <f t="shared" ref="CC62" si="121">BA36</f>
        <v>4</v>
      </c>
      <c r="CD62" s="302">
        <f t="shared" ref="CD62" si="122">AP36</f>
        <v>0</v>
      </c>
      <c r="CG62" s="322"/>
      <c r="CO62" s="44" t="str">
        <f t="shared" si="117"/>
        <v>MN</v>
      </c>
      <c r="CQ62" s="242"/>
      <c r="CR62" s="1608">
        <f>IF(AND(AL36=100%,AM36&lt;&gt;""),1,0)</f>
        <v>0</v>
      </c>
      <c r="CS62" s="297">
        <f>IF(AND(AL36=100%,AM36=""),1,0)</f>
        <v>0</v>
      </c>
      <c r="CT62" s="39">
        <f>IF(AL36&gt;0%,1,0)</f>
        <v>0</v>
      </c>
      <c r="CY62" s="304"/>
      <c r="DE62" s="297">
        <f ca="1">IF(AND(AB36&lt;&gt;"",AL37&lt;&gt;"",AM36="",AL36&lt;&gt;100%,AL37&lt;PLANS!$B$1),1,0)</f>
        <v>0</v>
      </c>
      <c r="DG62" s="2216">
        <f>IF(AB36="",0, IF(AND(AM36="",AL36&lt;&gt;100%,AL37=$EC$37),1,0) )</f>
        <v>0</v>
      </c>
      <c r="DH62" s="2221" t="s">
        <v>1360</v>
      </c>
      <c r="DL62" s="2216">
        <f>SUM(DG40:DG62)</f>
        <v>0</v>
      </c>
      <c r="DO62" s="36" t="s">
        <v>371</v>
      </c>
      <c r="DP62" s="1608">
        <f>IF(AND(AP36=100%,AO36&lt;&gt;""),1,0)</f>
        <v>0</v>
      </c>
      <c r="DQ62" s="306">
        <f>IF(AND(AP36=100%,AO36=""),1,0)</f>
        <v>0</v>
      </c>
      <c r="DR62" s="39">
        <f>IF(AP36&gt;0%,1,0)</f>
        <v>0</v>
      </c>
      <c r="DS62" s="303"/>
      <c r="EC62" s="297">
        <f ca="1">IF(AND(AQ36&lt;&gt;"",AP37&lt;&gt;"",AO36="",AP36&lt;&gt;100%,AP37&lt;PLANS!$B$1),1,0)</f>
        <v>0</v>
      </c>
      <c r="EE62" s="2216">
        <f>IF(AQ36="",0, IF(AND(AO36="",AP36&lt;&gt;100%,AP37=$EC$37),1,0) )</f>
        <v>0</v>
      </c>
      <c r="EF62" s="2221" t="s">
        <v>1360</v>
      </c>
      <c r="EJ62" s="2216">
        <f>SUM(EE40:EE62)</f>
        <v>0</v>
      </c>
      <c r="EL62" s="299"/>
      <c r="ET62" s="251"/>
      <c r="EU62" s="252"/>
      <c r="EV62" s="252"/>
      <c r="EW62" s="252"/>
      <c r="EX62" s="252"/>
      <c r="EY62" s="252"/>
      <c r="EZ62" s="252"/>
      <c r="FA62" s="252"/>
      <c r="FB62" s="252"/>
      <c r="FC62" s="252"/>
      <c r="FD62" s="252"/>
      <c r="FE62" s="252"/>
      <c r="FF62" s="253"/>
      <c r="FH62" s="251"/>
      <c r="FI62" s="252"/>
      <c r="FJ62" s="252"/>
      <c r="FK62" s="252"/>
      <c r="FL62" s="252"/>
      <c r="FM62" s="252"/>
      <c r="FN62" s="252"/>
      <c r="FO62" s="252"/>
      <c r="FP62" s="252"/>
      <c r="FQ62" s="252"/>
      <c r="FR62" s="252"/>
      <c r="FS62" s="252"/>
      <c r="FT62" s="253"/>
    </row>
    <row r="63" spans="1:193" ht="17.100000000000001" customHeight="1" x14ac:dyDescent="0.15">
      <c r="D63" s="3968" t="s">
        <v>1301</v>
      </c>
      <c r="E63" s="3968"/>
      <c r="F63" s="3968"/>
      <c r="G63" s="3968"/>
      <c r="H63" s="3968"/>
      <c r="I63" s="87"/>
      <c r="J63" s="87"/>
      <c r="K63" s="87"/>
      <c r="L63" s="1569"/>
      <c r="M63" s="1569"/>
      <c r="N63" s="1569"/>
      <c r="O63" s="1569"/>
      <c r="P63" s="1569"/>
      <c r="Q63" s="1569"/>
      <c r="R63" s="1569"/>
      <c r="S63" s="1569"/>
      <c r="T63" s="1569"/>
      <c r="U63" s="261"/>
      <c r="V63" s="87"/>
      <c r="W63" s="87"/>
      <c r="X63" s="87"/>
      <c r="Y63" s="87"/>
      <c r="Z63" s="261"/>
      <c r="AA63" s="261"/>
      <c r="AB63" s="261"/>
      <c r="AC63" s="261"/>
      <c r="AD63" s="261"/>
      <c r="AE63" s="261"/>
      <c r="AF63" s="261"/>
      <c r="AG63" s="261"/>
      <c r="AH63" s="261"/>
      <c r="AI63" s="261"/>
      <c r="AJ63" s="261"/>
      <c r="AK63" s="261"/>
      <c r="AL63" s="261"/>
      <c r="AM63" s="261"/>
      <c r="AN63" s="261"/>
      <c r="AO63" s="261"/>
      <c r="AP63" s="261"/>
      <c r="AQ63" s="261"/>
      <c r="AR63" s="261"/>
      <c r="AS63" s="261"/>
      <c r="AT63" s="261"/>
      <c r="AU63" s="261"/>
      <c r="AV63" s="261"/>
      <c r="AW63" s="261"/>
      <c r="AX63" s="261"/>
      <c r="AY63" s="261"/>
      <c r="AZ63" s="261"/>
      <c r="BA63" s="261"/>
      <c r="BB63" s="261"/>
      <c r="BC63" s="261"/>
      <c r="BD63" s="261"/>
      <c r="BE63" s="261"/>
      <c r="BF63" s="261"/>
      <c r="BG63" s="261"/>
      <c r="BH63" s="261"/>
      <c r="BI63" s="261"/>
      <c r="BJ63" s="261"/>
      <c r="BK63" s="87"/>
      <c r="BL63" s="87"/>
      <c r="BM63" s="87"/>
      <c r="BN63" s="261"/>
      <c r="BO63" s="261"/>
      <c r="BP63" s="261"/>
      <c r="BQ63" s="87"/>
      <c r="BR63" s="87"/>
      <c r="BS63" s="261"/>
      <c r="BT63" s="4052"/>
      <c r="BU63" s="4053"/>
      <c r="BV63" s="4053"/>
      <c r="BW63" s="4053"/>
      <c r="BX63" s="4054"/>
      <c r="CG63" s="323">
        <f ca="1">IF(OR(
AND(BH24&lt;&gt;"",BG25&lt;&gt;"",BG24&lt;$CM$39,BF24="",BG25=$B$1+$CG$39),
AND(BH24&lt;&gt;"",BG25&lt;&gt;"",BG24&lt;$CM$40,BF24="",BG25=$B$1+$CG$40),
AND(BH24&lt;&gt;"",BG25&lt;&gt;"",BG24&lt;$CM$41,BF24="",BG25=$B$1+$CG$41),
AND(BH24&lt;&gt;"",BG25&lt;&gt;"",BG24&lt;$CM$42,BF24="",BG25&lt;=$B$1+$CG$42)
),1,0)</f>
        <v>0</v>
      </c>
      <c r="CO63" s="44" t="str">
        <f t="shared" si="117"/>
        <v>MN</v>
      </c>
      <c r="CQ63" s="251"/>
      <c r="CR63" s="252"/>
      <c r="CS63" s="252"/>
      <c r="CT63" s="252"/>
      <c r="CU63" s="252"/>
      <c r="CV63" s="252"/>
      <c r="CW63" s="252"/>
      <c r="CX63" s="252"/>
      <c r="CY63" s="252"/>
      <c r="CZ63" s="252"/>
      <c r="DA63" s="252"/>
      <c r="DB63" s="252"/>
      <c r="DC63" s="252"/>
      <c r="DD63" s="252"/>
      <c r="DE63" s="252"/>
      <c r="DF63" s="252"/>
      <c r="DG63" s="252"/>
      <c r="DH63" s="252"/>
      <c r="DI63" s="252"/>
      <c r="DJ63" s="252"/>
      <c r="DK63" s="252"/>
      <c r="DL63" s="252"/>
      <c r="DM63" s="252"/>
      <c r="DN63" s="252"/>
      <c r="DO63" s="1614" t="s">
        <v>371</v>
      </c>
      <c r="DP63" s="252"/>
      <c r="DQ63" s="252"/>
      <c r="DR63" s="252"/>
      <c r="DS63" s="252"/>
      <c r="DT63" s="252"/>
      <c r="DU63" s="252"/>
      <c r="DV63" s="252"/>
      <c r="DW63" s="252"/>
      <c r="DX63" s="252"/>
      <c r="DY63" s="252"/>
      <c r="DZ63" s="252"/>
      <c r="EA63" s="252"/>
      <c r="EB63" s="252"/>
      <c r="EC63" s="252"/>
      <c r="ED63" s="252"/>
      <c r="EE63" s="252"/>
      <c r="EF63" s="252"/>
      <c r="EG63" s="252"/>
      <c r="EH63" s="252"/>
      <c r="EI63" s="252"/>
      <c r="EJ63" s="252"/>
      <c r="EK63" s="252"/>
      <c r="EL63" s="253"/>
    </row>
    <row r="64" spans="1:193" ht="17.100000000000001" customHeight="1" x14ac:dyDescent="0.15">
      <c r="D64" s="3968"/>
      <c r="E64" s="3968"/>
      <c r="F64" s="3968"/>
      <c r="G64" s="3968"/>
      <c r="H64" s="3968"/>
      <c r="I64" s="87"/>
      <c r="J64" s="87"/>
      <c r="K64" s="87"/>
      <c r="L64" s="1569"/>
      <c r="M64" s="1569"/>
      <c r="N64" s="1569"/>
      <c r="O64" s="1569"/>
      <c r="P64" s="1569"/>
      <c r="Q64" s="1569"/>
      <c r="R64" s="1569"/>
      <c r="S64" s="1569"/>
      <c r="T64" s="1569"/>
      <c r="U64" s="261"/>
      <c r="V64" s="87"/>
      <c r="W64" s="87"/>
      <c r="X64" s="87"/>
      <c r="Y64" s="87"/>
      <c r="Z64" s="261"/>
      <c r="AA64" s="261"/>
      <c r="AB64" s="261"/>
      <c r="AC64" s="261"/>
      <c r="AD64" s="261"/>
      <c r="AE64" s="261"/>
      <c r="AF64" s="261"/>
      <c r="AG64" s="261"/>
      <c r="AH64" s="261"/>
      <c r="AI64" s="261"/>
      <c r="AJ64" s="261"/>
      <c r="AK64" s="261"/>
      <c r="AL64" s="261"/>
      <c r="AM64" s="261"/>
      <c r="AN64" s="261"/>
      <c r="AO64" s="261"/>
      <c r="AP64" s="261"/>
      <c r="AQ64" s="261"/>
      <c r="AR64" s="261"/>
      <c r="AS64" s="261"/>
      <c r="AT64" s="261"/>
      <c r="AU64" s="261"/>
      <c r="AV64" s="261"/>
      <c r="AW64" s="261"/>
      <c r="AX64" s="261"/>
      <c r="AY64" s="261"/>
      <c r="AZ64" s="261"/>
      <c r="BA64" s="261"/>
      <c r="BB64" s="261"/>
      <c r="BC64" s="261"/>
      <c r="BD64" s="261"/>
      <c r="BE64" s="261"/>
      <c r="BF64" s="261"/>
      <c r="BG64" s="261"/>
      <c r="BH64" s="261"/>
      <c r="BI64" s="261"/>
      <c r="BJ64" s="261"/>
      <c r="BK64" s="87"/>
      <c r="BL64" s="87"/>
      <c r="BM64" s="87"/>
      <c r="BN64" s="261"/>
      <c r="BO64" s="261"/>
      <c r="BP64" s="261"/>
      <c r="BQ64" s="87"/>
      <c r="BR64" s="87"/>
      <c r="BS64" s="261"/>
      <c r="BT64" s="87"/>
      <c r="BU64" s="87"/>
      <c r="BV64" s="87"/>
      <c r="BW64" s="87"/>
      <c r="BX64" s="87"/>
      <c r="CG64" s="322"/>
      <c r="CO64" s="44" t="str">
        <f t="shared" si="117"/>
        <v>MN</v>
      </c>
    </row>
    <row r="65" spans="4:135" ht="17.100000000000001" customHeight="1" x14ac:dyDescent="0.15">
      <c r="D65" s="3968"/>
      <c r="E65" s="3968"/>
      <c r="F65" s="3968"/>
      <c r="G65" s="3968"/>
      <c r="H65" s="3968"/>
      <c r="I65" s="87"/>
      <c r="J65" s="87"/>
      <c r="K65" s="87"/>
      <c r="L65" s="1569"/>
      <c r="M65" s="1569"/>
      <c r="N65" s="1569"/>
      <c r="O65" s="1569"/>
      <c r="P65" s="1569"/>
      <c r="Q65" s="1569"/>
      <c r="R65" s="1569"/>
      <c r="S65" s="1569"/>
      <c r="T65" s="1569"/>
      <c r="U65" s="261"/>
      <c r="V65" s="87"/>
      <c r="W65" s="87"/>
      <c r="X65" s="87"/>
      <c r="Y65" s="87"/>
      <c r="Z65" s="261"/>
      <c r="AA65" s="261"/>
      <c r="AB65" s="261"/>
      <c r="AC65" s="261"/>
      <c r="AD65" s="261"/>
      <c r="AE65" s="261"/>
      <c r="AF65" s="261"/>
      <c r="AG65" s="261"/>
      <c r="AH65" s="261"/>
      <c r="AI65" s="261"/>
      <c r="AJ65" s="261"/>
      <c r="AK65" s="261"/>
      <c r="AL65" s="261"/>
      <c r="AM65" s="261"/>
      <c r="AN65" s="261"/>
      <c r="AO65" s="261"/>
      <c r="AP65" s="261"/>
      <c r="AQ65" s="261"/>
      <c r="AR65" s="261"/>
      <c r="AS65" s="261"/>
      <c r="AT65" s="261"/>
      <c r="AU65" s="261"/>
      <c r="AV65" s="261"/>
      <c r="AW65" s="261"/>
      <c r="AX65" s="261"/>
      <c r="AY65" s="261"/>
      <c r="AZ65" s="261"/>
      <c r="BA65" s="261"/>
      <c r="BB65" s="261"/>
      <c r="BC65" s="261"/>
      <c r="BD65" s="261"/>
      <c r="BE65" s="261"/>
      <c r="BF65" s="261"/>
      <c r="BG65" s="261"/>
      <c r="BH65" s="261"/>
      <c r="BI65" s="261"/>
      <c r="BJ65" s="261"/>
      <c r="BK65" s="87"/>
      <c r="BL65" s="87"/>
      <c r="BM65" s="87"/>
      <c r="BN65" s="261"/>
      <c r="BO65" s="261"/>
      <c r="BP65" s="261"/>
      <c r="BQ65" s="87"/>
      <c r="BR65" s="87"/>
      <c r="BS65" s="261"/>
      <c r="BT65" s="4015" t="s">
        <v>924</v>
      </c>
      <c r="BU65" s="4015"/>
      <c r="BV65" s="4015"/>
      <c r="BW65" s="4015"/>
      <c r="BX65" s="87"/>
      <c r="CG65" s="317">
        <f ca="1">IF(OR(
AND(BH26&lt;&gt;"",BG27&lt;&gt;"",BG26&lt;$CM$39,BF26="",BG27=$B$1+$CG$39),
AND(BH26&lt;&gt;"",BG27&lt;&gt;"",BG26&lt;$CM$40,BF26="",BG27=$B$1+$CG$40),
AND(BH26&lt;&gt;"",BG27&lt;&gt;"",BG26&lt;$CM$41,BF26="",BG27=$B$1+$CG$41),
AND(BH26&lt;&gt;"",BG27&lt;&gt;"",BG26&lt;$CM$42,BF26="",BG27&lt;=$B$1+$CG$42)
),1,0)</f>
        <v>0</v>
      </c>
      <c r="CI65" s="297">
        <f ca="1">SUM(CG65:CG76)</f>
        <v>0</v>
      </c>
      <c r="CL65" s="46"/>
      <c r="CN65" s="39"/>
      <c r="CO65" s="44" t="str">
        <f t="shared" si="117"/>
        <v>MN</v>
      </c>
      <c r="DM65" s="378" t="s">
        <v>882</v>
      </c>
    </row>
    <row r="66" spans="4:135" ht="17.100000000000001" customHeight="1" x14ac:dyDescent="0.15">
      <c r="D66" s="3968"/>
      <c r="E66" s="3968"/>
      <c r="F66" s="3968"/>
      <c r="G66" s="3968"/>
      <c r="H66" s="3968"/>
      <c r="I66" s="87"/>
      <c r="J66" s="87"/>
      <c r="K66" s="87"/>
      <c r="L66" s="1569"/>
      <c r="M66" s="1569"/>
      <c r="N66" s="1569"/>
      <c r="O66" s="1569"/>
      <c r="P66" s="1569"/>
      <c r="Q66" s="1569"/>
      <c r="R66" s="1569"/>
      <c r="S66" s="1569"/>
      <c r="T66" s="1569"/>
      <c r="U66" s="261"/>
      <c r="V66" s="87"/>
      <c r="W66" s="87"/>
      <c r="X66" s="87"/>
      <c r="Y66" s="87"/>
      <c r="Z66" s="261"/>
      <c r="AA66" s="261"/>
      <c r="AB66" s="261"/>
      <c r="AC66" s="261"/>
      <c r="AD66" s="261"/>
      <c r="AE66" s="261"/>
      <c r="AF66" s="261"/>
      <c r="AG66" s="261"/>
      <c r="AH66" s="261"/>
      <c r="AI66" s="261"/>
      <c r="AJ66" s="261"/>
      <c r="AK66" s="261"/>
      <c r="AL66" s="261"/>
      <c r="AM66" s="261"/>
      <c r="AN66" s="261"/>
      <c r="AO66" s="261"/>
      <c r="AP66" s="261"/>
      <c r="AQ66" s="261"/>
      <c r="AR66" s="261"/>
      <c r="AS66" s="261"/>
      <c r="AT66" s="261"/>
      <c r="AU66" s="261"/>
      <c r="AV66" s="261"/>
      <c r="AW66" s="261"/>
      <c r="AX66" s="261"/>
      <c r="AY66" s="261"/>
      <c r="AZ66" s="261"/>
      <c r="BA66" s="261"/>
      <c r="BB66" s="261"/>
      <c r="BC66" s="261"/>
      <c r="BD66" s="261"/>
      <c r="BE66" s="261"/>
      <c r="BF66" s="261"/>
      <c r="BG66" s="261"/>
      <c r="BH66" s="261"/>
      <c r="BI66" s="261"/>
      <c r="BJ66" s="261"/>
      <c r="BK66" s="87"/>
      <c r="BL66" s="87"/>
      <c r="BM66" s="87"/>
      <c r="BN66" s="261"/>
      <c r="BO66" s="261"/>
      <c r="BP66" s="261"/>
      <c r="BQ66" s="87"/>
      <c r="BR66" s="87"/>
      <c r="BS66" s="261"/>
      <c r="BT66" s="4015"/>
      <c r="BU66" s="4015"/>
      <c r="BV66" s="4015"/>
      <c r="BW66" s="4015"/>
      <c r="BX66" s="87"/>
      <c r="CC66" s="19">
        <v>1</v>
      </c>
      <c r="CD66" s="46" t="s">
        <v>42</v>
      </c>
      <c r="CE66" s="19" t="str" cm="1">
        <f t="array" ref="CE66">_xlfn.IFS($AK$2="JAN","FEB",$AK$2="FEB","MAR",$AK$2="MAR","APR",$AK$2="APR","MAY",$AK$2="MAY","JUN",$AK$2="JUN","JUL",$AK$2="JUL","AUG",$AK$2="AUG","SEP",$AK$2="SEP","OCT",$AK$2="OCT","NOV",$AK$2="NOV","DEC",$AK$2="DEC","JAN",TRUE,"MTH")</f>
        <v>MTH</v>
      </c>
      <c r="CG66" s="324"/>
      <c r="CI66" s="36" t="s">
        <v>439</v>
      </c>
      <c r="CN66" s="36"/>
      <c r="CO66" s="44" t="str">
        <f t="shared" si="117"/>
        <v>MN</v>
      </c>
      <c r="CQ66" s="325"/>
      <c r="CR66" s="325"/>
      <c r="CS66" s="325"/>
      <c r="CT66" s="325"/>
      <c r="CU66" s="325"/>
      <c r="CV66" s="101"/>
      <c r="CW66" s="101"/>
      <c r="DL66" s="379" t="s">
        <v>1138</v>
      </c>
      <c r="DM66" s="73"/>
      <c r="DQ66" s="379" t="s">
        <v>1139</v>
      </c>
      <c r="DW66" s="415">
        <v>3</v>
      </c>
      <c r="DX66" s="4115" t="s">
        <v>896</v>
      </c>
      <c r="DY66" s="4115"/>
      <c r="DZ66" s="4115"/>
      <c r="EA66" s="4115"/>
      <c r="EB66" s="4115"/>
      <c r="EC66" s="1174">
        <f>$BZ$43</f>
        <v>0.25</v>
      </c>
    </row>
    <row r="67" spans="4:135" ht="17.100000000000001" customHeight="1" x14ac:dyDescent="0.15">
      <c r="D67" s="3968"/>
      <c r="E67" s="3968"/>
      <c r="F67" s="3968"/>
      <c r="G67" s="3968"/>
      <c r="H67" s="3968"/>
      <c r="I67" s="87"/>
      <c r="J67" s="87"/>
      <c r="K67" s="87"/>
      <c r="L67" s="1569"/>
      <c r="M67" s="1569"/>
      <c r="N67" s="1569"/>
      <c r="O67" s="1569"/>
      <c r="P67" s="1569"/>
      <c r="Q67" s="1569"/>
      <c r="R67" s="1569"/>
      <c r="S67" s="1569"/>
      <c r="T67" s="1569"/>
      <c r="U67" s="261"/>
      <c r="V67" s="87"/>
      <c r="W67" s="87"/>
      <c r="X67" s="87"/>
      <c r="Y67" s="87"/>
      <c r="Z67" s="261"/>
      <c r="AA67" s="261"/>
      <c r="AB67" s="261"/>
      <c r="AC67" s="261"/>
      <c r="AD67" s="261"/>
      <c r="AE67" s="261"/>
      <c r="AF67" s="261"/>
      <c r="AG67" s="261"/>
      <c r="AH67" s="261"/>
      <c r="AI67" s="261"/>
      <c r="AJ67" s="261"/>
      <c r="AK67" s="261"/>
      <c r="AL67" s="261"/>
      <c r="AM67" s="261"/>
      <c r="AN67" s="261"/>
      <c r="AO67" s="261"/>
      <c r="AP67" s="261"/>
      <c r="AQ67" s="261"/>
      <c r="AR67" s="261"/>
      <c r="AS67" s="261"/>
      <c r="AT67" s="261"/>
      <c r="AU67" s="261"/>
      <c r="AV67" s="261"/>
      <c r="AW67" s="261"/>
      <c r="AX67" s="261"/>
      <c r="AY67" s="261"/>
      <c r="AZ67" s="261"/>
      <c r="BA67" s="261"/>
      <c r="BB67" s="261"/>
      <c r="BC67" s="261"/>
      <c r="BD67" s="261"/>
      <c r="BE67" s="261"/>
      <c r="BF67" s="261"/>
      <c r="BG67" s="261"/>
      <c r="BH67" s="261"/>
      <c r="BI67" s="261"/>
      <c r="BJ67" s="261"/>
      <c r="BK67" s="87"/>
      <c r="BL67" s="87"/>
      <c r="BM67" s="87"/>
      <c r="BN67" s="261"/>
      <c r="BO67" s="261"/>
      <c r="BP67" s="261"/>
      <c r="BQ67" s="87"/>
      <c r="BR67" s="87"/>
      <c r="BS67" s="261"/>
      <c r="BT67" s="4073" t="s">
        <v>925</v>
      </c>
      <c r="BU67" s="4074"/>
      <c r="BV67" s="4074"/>
      <c r="BW67" s="4074"/>
      <c r="BX67" s="4075"/>
      <c r="CC67" s="19">
        <v>2</v>
      </c>
      <c r="CD67" s="46" t="s">
        <v>180</v>
      </c>
      <c r="CE67" s="19" t="str" cm="1">
        <f t="array" ref="CE67">_xlfn.IFS(CE66="JAN","FEB",CE66="FEB","MAR",CE66="MAR","APR",CE66="APR","MAY",CE66="MAY","JUN",CE66="JUN","JUL",CE66="JUL","AUG",CE66="AUG","SEP",CE66="SEP","OCT",CE66="OCT","NOV",CE66="NOV","DEC",CE66="DEC","JAN",TRUE,"MTH")</f>
        <v>MTH</v>
      </c>
      <c r="CG67" s="327">
        <f ca="1">IF(OR(
AND(BH28&lt;&gt;"",BG29&lt;&gt;"",BG28&lt;$CM$39,BF28="",BG29=$B$1+$CG$39),
AND(BH28&lt;&gt;"",BG29&lt;&gt;"",BG28&lt;$CM$40,BF28="",BG29=$B$1+$CG$40),
AND(BH28&lt;&gt;"",BG29&lt;&gt;"",BG28&lt;$CM$41,BF28="",BG29=$B$1+$CG$41),
AND(BH28&lt;&gt;"",BG29&lt;&gt;"",BG28&lt;$CM$42,BF28="",BG29&lt;=$B$1+$CG$42)
),1,0)</f>
        <v>0</v>
      </c>
      <c r="CL67" s="46"/>
      <c r="CO67" s="44" t="str">
        <f t="shared" si="117"/>
        <v>MN</v>
      </c>
      <c r="CR67" s="101"/>
      <c r="CS67" s="101"/>
      <c r="CT67" s="101"/>
      <c r="CU67" s="101"/>
      <c r="CV67" s="101"/>
      <c r="DL67" s="306">
        <f ca="1">SUM(DY70,DY78,DY86)</f>
        <v>0</v>
      </c>
      <c r="DP67" s="415"/>
      <c r="DQ67" s="306">
        <f ca="1">SUM(ED70,ED78,ED86)</f>
        <v>0</v>
      </c>
      <c r="DW67" s="415">
        <v>2</v>
      </c>
      <c r="DX67" s="4115" t="s">
        <v>896</v>
      </c>
      <c r="DY67" s="4115"/>
      <c r="DZ67" s="4115"/>
      <c r="EA67" s="4115"/>
      <c r="EB67" s="4115"/>
      <c r="EC67" s="1174">
        <f>$BZ$42</f>
        <v>0.5</v>
      </c>
    </row>
    <row r="68" spans="4:135" ht="17.100000000000001" customHeight="1" x14ac:dyDescent="0.15">
      <c r="D68" s="3968"/>
      <c r="E68" s="3968"/>
      <c r="F68" s="3968"/>
      <c r="G68" s="3968"/>
      <c r="H68" s="3968"/>
      <c r="I68" s="87"/>
      <c r="J68" s="87"/>
      <c r="K68" s="87"/>
      <c r="L68" s="1569"/>
      <c r="M68" s="1569"/>
      <c r="N68" s="1569"/>
      <c r="O68" s="1569"/>
      <c r="P68" s="1569"/>
      <c r="Q68" s="1569"/>
      <c r="R68" s="1569"/>
      <c r="S68" s="1569"/>
      <c r="T68" s="1569"/>
      <c r="U68" s="261"/>
      <c r="V68" s="87"/>
      <c r="W68" s="87"/>
      <c r="X68" s="87"/>
      <c r="Y68" s="87"/>
      <c r="Z68" s="261"/>
      <c r="AA68" s="261"/>
      <c r="AB68" s="261"/>
      <c r="AC68" s="261"/>
      <c r="AD68" s="261"/>
      <c r="AE68" s="261"/>
      <c r="AF68" s="261"/>
      <c r="AG68" s="261"/>
      <c r="AH68" s="261"/>
      <c r="AI68" s="261"/>
      <c r="AJ68" s="261"/>
      <c r="AK68" s="261"/>
      <c r="AL68" s="261"/>
      <c r="AM68" s="261"/>
      <c r="AN68" s="261"/>
      <c r="AO68" s="261"/>
      <c r="AP68" s="261"/>
      <c r="AQ68" s="261"/>
      <c r="AR68" s="261"/>
      <c r="AS68" s="261"/>
      <c r="AT68" s="261"/>
      <c r="AU68" s="261"/>
      <c r="AV68" s="261"/>
      <c r="AW68" s="261"/>
      <c r="AX68" s="261"/>
      <c r="AY68" s="261"/>
      <c r="AZ68" s="261"/>
      <c r="BA68" s="261"/>
      <c r="BB68" s="261"/>
      <c r="BC68" s="261"/>
      <c r="BD68" s="261"/>
      <c r="BE68" s="261"/>
      <c r="BF68" s="261"/>
      <c r="BG68" s="261"/>
      <c r="BH68" s="261"/>
      <c r="BI68" s="261"/>
      <c r="BJ68" s="261"/>
      <c r="BK68" s="87"/>
      <c r="BL68" s="87"/>
      <c r="BM68" s="87"/>
      <c r="BN68" s="261"/>
      <c r="BO68" s="261"/>
      <c r="BP68" s="261"/>
      <c r="BQ68" s="87"/>
      <c r="BR68" s="87"/>
      <c r="BS68" s="261"/>
      <c r="BT68" s="4076"/>
      <c r="BU68" s="4077"/>
      <c r="BV68" s="4077"/>
      <c r="BW68" s="4077"/>
      <c r="BX68" s="4078"/>
      <c r="CC68" s="19">
        <v>3</v>
      </c>
      <c r="CD68" s="46" t="s">
        <v>184</v>
      </c>
      <c r="CE68" s="19" t="str" cm="1">
        <f t="array" ref="CE68">_xlfn.IFS(CE67="JAN","FEB",CE67="FEB","MAR",CE67="MAR","APR",CE67="APR","MAY",CE67="MAY","JUN",CE67="JUN","JUL",CE67="JUL","AUG",CE67="AUG","SEP",CE67="SEP","OCT",CE67="OCT","NOV",CE67="NOV","DEC",CE67="DEC","JAN",TRUE,"MTH")</f>
        <v>MTH</v>
      </c>
      <c r="CG68" s="324"/>
      <c r="CO68" s="44" t="str">
        <f t="shared" si="117"/>
        <v>BD</v>
      </c>
      <c r="CR68" s="101"/>
      <c r="CS68" s="101"/>
      <c r="CT68" s="101"/>
      <c r="CU68" s="101"/>
      <c r="CV68" s="101"/>
      <c r="DW68" s="415">
        <v>1</v>
      </c>
      <c r="DX68" s="4115" t="s">
        <v>898</v>
      </c>
      <c r="DY68" s="4115"/>
      <c r="DZ68" s="4115"/>
      <c r="EA68" s="4115"/>
      <c r="EB68" s="4115"/>
      <c r="EC68" s="1174">
        <f>$BZ$41</f>
        <v>0.75</v>
      </c>
    </row>
    <row r="69" spans="4:135" ht="17.100000000000001" customHeight="1" x14ac:dyDescent="0.15">
      <c r="D69" s="3968" t="s">
        <v>927</v>
      </c>
      <c r="E69" s="3968"/>
      <c r="F69" s="3968"/>
      <c r="G69" s="3968"/>
      <c r="H69" s="3968"/>
      <c r="I69" s="87"/>
      <c r="J69" s="87"/>
      <c r="K69" s="87"/>
      <c r="L69" s="1569"/>
      <c r="M69" s="1569"/>
      <c r="N69" s="1569"/>
      <c r="O69" s="1569"/>
      <c r="P69" s="1569"/>
      <c r="Q69" s="1569"/>
      <c r="R69" s="1569"/>
      <c r="S69" s="1569"/>
      <c r="T69" s="1569"/>
      <c r="U69" s="261"/>
      <c r="V69" s="87"/>
      <c r="W69" s="87"/>
      <c r="X69" s="87"/>
      <c r="Y69" s="87"/>
      <c r="Z69" s="261"/>
      <c r="AA69" s="261"/>
      <c r="AB69" s="261"/>
      <c r="AC69" s="261"/>
      <c r="AD69" s="261"/>
      <c r="AE69" s="261"/>
      <c r="AF69" s="261"/>
      <c r="AG69" s="261"/>
      <c r="AH69" s="261"/>
      <c r="AI69" s="261"/>
      <c r="AJ69" s="261"/>
      <c r="AK69" s="261"/>
      <c r="AL69" s="261"/>
      <c r="AM69" s="261"/>
      <c r="AN69" s="261"/>
      <c r="AO69" s="261"/>
      <c r="AP69" s="261"/>
      <c r="AQ69" s="261"/>
      <c r="AR69" s="261"/>
      <c r="AS69" s="261"/>
      <c r="AT69" s="261"/>
      <c r="AU69" s="261"/>
      <c r="AV69" s="261"/>
      <c r="AW69" s="261"/>
      <c r="AX69" s="261"/>
      <c r="AY69" s="261"/>
      <c r="AZ69" s="261"/>
      <c r="BA69" s="261"/>
      <c r="BB69" s="261"/>
      <c r="BC69" s="261"/>
      <c r="BD69" s="261"/>
      <c r="BE69" s="261"/>
      <c r="BF69" s="261"/>
      <c r="BG69" s="261"/>
      <c r="BH69" s="261"/>
      <c r="BI69" s="261"/>
      <c r="BJ69" s="261"/>
      <c r="BK69" s="87"/>
      <c r="BL69" s="87"/>
      <c r="BM69" s="87"/>
      <c r="BN69" s="261"/>
      <c r="BO69" s="261"/>
      <c r="BP69" s="261"/>
      <c r="BQ69" s="87"/>
      <c r="BR69" s="87"/>
      <c r="BS69" s="261"/>
      <c r="BT69" s="4079"/>
      <c r="BU69" s="4080"/>
      <c r="BV69" s="4080"/>
      <c r="BW69" s="4080"/>
      <c r="BX69" s="4081"/>
      <c r="CC69" s="19">
        <v>4</v>
      </c>
      <c r="CD69" s="46" t="s">
        <v>189</v>
      </c>
      <c r="CG69" s="327">
        <f ca="1">IF(OR(
AND(BH30&lt;&gt;"",BG31&lt;&gt;"",BG30&lt;$CM$39,BF30="",BG31=$B$1+$CG$39),
AND(BH30&lt;&gt;"",BG31&lt;&gt;"",BG30&lt;$CM$40,BF30="",BG31=$B$1+$CG$40),
AND(BH30&lt;&gt;"",BG31&lt;&gt;"",BG30&lt;$CM$41,BF30="",BG31=$B$1+$CG$41),
AND(BH30&lt;&gt;"",BG31&lt;&gt;"",BG30&lt;$CM$42,BF30="",BG31&lt;=$B$1+$CG$42)
),1,0)</f>
        <v>0</v>
      </c>
      <c r="CL69" s="46"/>
      <c r="CO69" s="44" t="str">
        <f t="shared" si="117"/>
        <v>BD</v>
      </c>
      <c r="CR69" s="101"/>
      <c r="CS69" s="101"/>
      <c r="CT69" s="101"/>
      <c r="CU69" s="101"/>
      <c r="DW69" s="415">
        <v>0</v>
      </c>
      <c r="DX69" s="4115" t="s">
        <v>897</v>
      </c>
      <c r="DY69" s="4115"/>
      <c r="DZ69" s="4115"/>
      <c r="EA69" s="4115"/>
      <c r="EB69" s="4115"/>
      <c r="EC69" s="1174">
        <f>$BZ$40</f>
        <v>1</v>
      </c>
    </row>
    <row r="70" spans="4:135" ht="17.100000000000001" customHeight="1" x14ac:dyDescent="0.15">
      <c r="D70" s="3968"/>
      <c r="E70" s="3968"/>
      <c r="F70" s="3968"/>
      <c r="G70" s="3968"/>
      <c r="H70" s="3968"/>
      <c r="I70" s="87"/>
      <c r="J70" s="87"/>
      <c r="K70" s="87"/>
      <c r="L70" s="1569"/>
      <c r="M70" s="1569"/>
      <c r="N70" s="1569"/>
      <c r="O70" s="1569"/>
      <c r="P70" s="1569"/>
      <c r="Q70" s="1569"/>
      <c r="R70" s="1569"/>
      <c r="S70" s="1569"/>
      <c r="T70" s="1569"/>
      <c r="U70" s="261"/>
      <c r="V70" s="87"/>
      <c r="W70" s="87"/>
      <c r="X70" s="87"/>
      <c r="Y70" s="87"/>
      <c r="Z70" s="261"/>
      <c r="AA70" s="261"/>
      <c r="AB70" s="261"/>
      <c r="AC70" s="261"/>
      <c r="AD70" s="261"/>
      <c r="AE70" s="261"/>
      <c r="AF70" s="261"/>
      <c r="AG70" s="261"/>
      <c r="AH70" s="261"/>
      <c r="AI70" s="261"/>
      <c r="AJ70" s="261"/>
      <c r="AK70" s="261"/>
      <c r="AL70" s="261"/>
      <c r="AM70" s="261"/>
      <c r="AN70" s="261"/>
      <c r="AO70" s="261"/>
      <c r="AP70" s="261"/>
      <c r="AQ70" s="261"/>
      <c r="AR70" s="261"/>
      <c r="AS70" s="261"/>
      <c r="AT70" s="261"/>
      <c r="AU70" s="261"/>
      <c r="AV70" s="261"/>
      <c r="AW70" s="261"/>
      <c r="AX70" s="261"/>
      <c r="AY70" s="261"/>
      <c r="AZ70" s="261"/>
      <c r="BA70" s="261"/>
      <c r="BB70" s="261"/>
      <c r="BC70" s="261"/>
      <c r="BD70" s="261"/>
      <c r="BE70" s="261"/>
      <c r="BF70" s="261"/>
      <c r="BG70" s="261"/>
      <c r="BH70" s="261"/>
      <c r="BI70" s="261"/>
      <c r="BJ70" s="261"/>
      <c r="BK70" s="87"/>
      <c r="BL70" s="87"/>
      <c r="BM70" s="87"/>
      <c r="BN70" s="87"/>
      <c r="BO70" s="87"/>
      <c r="BP70" s="87"/>
      <c r="BQ70" s="87"/>
      <c r="BR70" s="87"/>
      <c r="BS70" s="261"/>
      <c r="BT70" s="87"/>
      <c r="BU70" s="87"/>
      <c r="BV70" s="87"/>
      <c r="BW70" s="87"/>
      <c r="BX70" s="87"/>
      <c r="CC70" s="19">
        <v>5</v>
      </c>
      <c r="CD70" s="46" t="s">
        <v>20</v>
      </c>
      <c r="CG70" s="324"/>
      <c r="CO70" s="44" t="str">
        <f t="shared" si="117"/>
        <v>BD</v>
      </c>
      <c r="CR70" s="101"/>
      <c r="CS70" s="101"/>
      <c r="CT70" s="101"/>
      <c r="CU70" s="101"/>
      <c r="DW70" s="1149">
        <f ca="1">IF(OR(
AND(AB14&lt;&gt;"",AL15&lt;&gt;"",AL14&lt;$EC$66,AM14="",AL15=$B$1+$DW$66),
AND(AB14&lt;&gt;"",AL15&lt;&gt;"",AL14&lt;$EC$67,AM14="",AL15=$B$1+$DW$67),
AND(AB14&lt;&gt;"",AL15&lt;&gt;"",AL14&lt;$EC$68,AM14="",AL15=$B$1+$DW$68),
AND(AB14&lt;&gt;"",AL15&lt;&gt;"",AL14&lt;$EC$69,AM14="",AL15&lt;=$B$1+$DW$69)
),1,0)</f>
        <v>0</v>
      </c>
      <c r="DY70" s="297">
        <f ca="1">SUM(DW70:DW77)</f>
        <v>0</v>
      </c>
      <c r="EB70" s="1149">
        <f ca="1">IF(OR(
AND(AQ14&lt;&gt;"",AP15&lt;&gt;"",AP14&lt;$EC$66,AO14="",AP15=$B$1+$DW$66),
AND(AQ14&lt;&gt;"",AP15&lt;&gt;"",AP14&lt;$EC$67,AO14="",AP15=$B$1+$DW$67),
AND(AQ14&lt;&gt;"",AP15&lt;&gt;"",AP14&lt;$EC$68,AO14="",AP15=$B$1+$DW$68),
AND(AQ14&lt;&gt;"",AP15&lt;&gt;"",AP14&lt;$EC$69,AO14="",AP15&lt;=$B$1+$DW$69)
),1,0)</f>
        <v>0</v>
      </c>
      <c r="ED70" s="297">
        <f ca="1">SUM(EB70:EB77)</f>
        <v>0</v>
      </c>
      <c r="EE70" s="28"/>
    </row>
    <row r="71" spans="4:135" ht="17.100000000000001" customHeight="1" x14ac:dyDescent="0.15">
      <c r="D71" s="3968"/>
      <c r="E71" s="3968"/>
      <c r="F71" s="3968"/>
      <c r="G71" s="3968"/>
      <c r="H71" s="3968"/>
      <c r="I71" s="261"/>
      <c r="J71" s="87"/>
      <c r="K71" s="87"/>
      <c r="L71" s="1569"/>
      <c r="M71" s="1569"/>
      <c r="N71" s="1569"/>
      <c r="O71" s="1569"/>
      <c r="P71" s="1569"/>
      <c r="Q71" s="1569"/>
      <c r="R71" s="1569"/>
      <c r="S71" s="1569"/>
      <c r="T71" s="1569"/>
      <c r="U71" s="261"/>
      <c r="V71" s="261"/>
      <c r="W71" s="261"/>
      <c r="X71" s="261"/>
      <c r="Y71" s="261"/>
      <c r="Z71" s="261"/>
      <c r="AA71" s="261"/>
      <c r="AB71" s="261"/>
      <c r="AC71" s="261"/>
      <c r="AD71" s="261"/>
      <c r="AE71" s="261"/>
      <c r="AF71" s="261"/>
      <c r="AG71" s="261"/>
      <c r="AH71" s="261"/>
      <c r="AI71" s="261"/>
      <c r="AJ71" s="261"/>
      <c r="AK71" s="261"/>
      <c r="AL71" s="261"/>
      <c r="AM71" s="261"/>
      <c r="AN71" s="261"/>
      <c r="AO71" s="261"/>
      <c r="AP71" s="261"/>
      <c r="AQ71" s="261"/>
      <c r="AR71" s="261"/>
      <c r="AS71" s="261"/>
      <c r="AT71" s="261"/>
      <c r="AU71" s="261"/>
      <c r="AV71" s="261"/>
      <c r="AW71" s="261"/>
      <c r="AX71" s="261"/>
      <c r="AY71" s="261"/>
      <c r="AZ71" s="261"/>
      <c r="BA71" s="261"/>
      <c r="BB71" s="261"/>
      <c r="BC71" s="261"/>
      <c r="BD71" s="261"/>
      <c r="BE71" s="261"/>
      <c r="BF71" s="261"/>
      <c r="BG71" s="261"/>
      <c r="BH71" s="261"/>
      <c r="BI71" s="261"/>
      <c r="BJ71" s="261"/>
      <c r="BK71" s="87"/>
      <c r="BL71" s="87"/>
      <c r="BM71" s="87"/>
      <c r="BN71" s="87"/>
      <c r="BO71" s="87"/>
      <c r="BP71" s="87"/>
      <c r="BQ71" s="87"/>
      <c r="BR71" s="87"/>
      <c r="BS71" s="261"/>
      <c r="BT71" s="4015" t="s">
        <v>1402</v>
      </c>
      <c r="BU71" s="4015"/>
      <c r="BV71" s="4015"/>
      <c r="BW71" s="4015"/>
      <c r="BX71" s="87"/>
      <c r="CC71" s="19">
        <v>6</v>
      </c>
      <c r="CD71" s="46" t="s">
        <v>193</v>
      </c>
      <c r="CG71" s="327">
        <f ca="1">IF(OR(
AND(BH32&lt;&gt;"",BG33&lt;&gt;"",BG32&lt;$CM$39,BF32="",BG33=$B$1+$CG$39),
AND(BH32&lt;&gt;"",BG33&lt;&gt;"",BG32&lt;$CM$40,BF32="",BG33=$B$1+$CG$40),
AND(BH32&lt;&gt;"",BG33&lt;&gt;"",BG32&lt;$CM$41,BF32="",BG33=$B$1+$CG$41),
AND(BH32&lt;&gt;"",BG33&lt;&gt;"",BG32&lt;$CM$42,BF32="",BG33&lt;=$B$1+$CG$42)
),1,0)</f>
        <v>0</v>
      </c>
      <c r="CI71" s="36" t="s">
        <v>43</v>
      </c>
      <c r="CL71" s="46"/>
      <c r="CN71" s="36"/>
      <c r="CO71" s="44" t="str">
        <f t="shared" si="117"/>
        <v>BD</v>
      </c>
      <c r="CR71" s="101"/>
      <c r="CS71" s="101"/>
      <c r="CT71" s="101"/>
      <c r="CU71" s="101"/>
      <c r="DW71" s="319"/>
      <c r="DY71" s="36" t="s">
        <v>439</v>
      </c>
      <c r="EB71" s="319"/>
      <c r="ED71" s="36" t="s">
        <v>439</v>
      </c>
      <c r="EE71" s="28"/>
    </row>
    <row r="72" spans="4:135" ht="17.100000000000001" customHeight="1" x14ac:dyDescent="0.15">
      <c r="D72" s="3968"/>
      <c r="E72" s="3968"/>
      <c r="F72" s="3968"/>
      <c r="G72" s="3968"/>
      <c r="H72" s="3968"/>
      <c r="I72" s="261"/>
      <c r="J72" s="87"/>
      <c r="K72" s="87"/>
      <c r="L72" s="1569"/>
      <c r="M72" s="1569"/>
      <c r="N72" s="1569"/>
      <c r="O72" s="1569"/>
      <c r="P72" s="1569"/>
      <c r="Q72" s="1569"/>
      <c r="R72" s="1569"/>
      <c r="S72" s="1569"/>
      <c r="T72" s="1569"/>
      <c r="U72" s="261"/>
      <c r="V72" s="261"/>
      <c r="W72" s="261"/>
      <c r="X72" s="261"/>
      <c r="Y72" s="261"/>
      <c r="Z72" s="261"/>
      <c r="AA72" s="261"/>
      <c r="AB72" s="261"/>
      <c r="AC72" s="261"/>
      <c r="AD72" s="261"/>
      <c r="AE72" s="261"/>
      <c r="AF72" s="261"/>
      <c r="AG72" s="261"/>
      <c r="AH72" s="261"/>
      <c r="AI72" s="261"/>
      <c r="AJ72" s="261"/>
      <c r="AK72" s="261"/>
      <c r="AL72" s="261"/>
      <c r="AM72" s="261"/>
      <c r="AN72" s="261"/>
      <c r="AO72" s="261"/>
      <c r="AP72" s="261"/>
      <c r="AQ72" s="261"/>
      <c r="AR72" s="261"/>
      <c r="AS72" s="261"/>
      <c r="AT72" s="261"/>
      <c r="AU72" s="261"/>
      <c r="AV72" s="261"/>
      <c r="AW72" s="261"/>
      <c r="AX72" s="261"/>
      <c r="AY72" s="261"/>
      <c r="AZ72" s="261"/>
      <c r="BA72" s="261"/>
      <c r="BB72" s="261"/>
      <c r="BC72" s="261"/>
      <c r="BD72" s="261"/>
      <c r="BE72" s="261"/>
      <c r="BF72" s="261"/>
      <c r="BG72" s="261"/>
      <c r="BH72" s="261"/>
      <c r="BI72" s="261"/>
      <c r="BJ72" s="261"/>
      <c r="BK72" s="87"/>
      <c r="BL72" s="87"/>
      <c r="BM72" s="87"/>
      <c r="BN72" s="87"/>
      <c r="BO72" s="87"/>
      <c r="BP72" s="87"/>
      <c r="BQ72" s="87"/>
      <c r="BR72" s="87"/>
      <c r="BS72" s="261"/>
      <c r="BT72" s="4015"/>
      <c r="BU72" s="4015"/>
      <c r="BV72" s="4015"/>
      <c r="BW72" s="4015"/>
      <c r="BX72" s="87"/>
      <c r="CC72" s="19">
        <v>7</v>
      </c>
      <c r="CD72" s="46" t="s">
        <v>206</v>
      </c>
      <c r="CG72" s="324"/>
      <c r="CO72" s="44" t="str">
        <f t="shared" si="117"/>
        <v>BD</v>
      </c>
      <c r="CR72" s="101"/>
      <c r="CS72" s="101"/>
      <c r="CT72" s="101"/>
      <c r="CU72" s="101"/>
      <c r="DW72" s="320">
        <f ca="1">IF(OR(
AND(AB16&lt;&gt;"",AL17&lt;&gt;"",AL16&lt;$EC$66,AM16="",AL17=$B$1+$DW$66),
AND(AB16&lt;&gt;"",AL17&lt;&gt;"",AL16&lt;$EC$67,AM16="",AL17=$B$1+$DW$67),
AND(AB16&lt;&gt;"",AL17&lt;&gt;"",AL16&lt;$EC$68,AM16="",AL17=$B$1+$DW$68),
AND(AB16&lt;&gt;"",AL17&lt;&gt;"",AL16&lt;$EC$69,AM16="",AL17&lt;=$B$1+$DW$69)
),1,0)</f>
        <v>0</v>
      </c>
      <c r="DY72" s="315"/>
      <c r="EA72" s="28"/>
      <c r="EB72" s="320">
        <f ca="1">IF(OR(
AND(AQ16&lt;&gt;"",AP17&lt;&gt;"",AP16&lt;$EC$66,AO16="",AP17=$B$1+$DW$66),
AND(AQ16&lt;&gt;"",AP17&lt;&gt;"",AP16&lt;$EC$67,AO16="",AP17=$B$1+$DW$67),
AND(AQ16&lt;&gt;"",AP17&lt;&gt;"",AP16&lt;$EC$68,AO16="",AP17=$B$1+$DW$68),
AND(AQ16&lt;&gt;"",AP17&lt;&gt;"",AP16&lt;$EC$69,AO16="",AP17&lt;=$B$1+$DW$69)
),1,0)</f>
        <v>0</v>
      </c>
      <c r="EC72" s="28"/>
      <c r="ED72" s="28"/>
      <c r="EE72" s="28"/>
    </row>
    <row r="73" spans="4:135" ht="17.100000000000001" customHeight="1" x14ac:dyDescent="0.15">
      <c r="D73" s="3968"/>
      <c r="E73" s="3968"/>
      <c r="F73" s="3968"/>
      <c r="G73" s="3968"/>
      <c r="H73" s="3968"/>
      <c r="I73" s="261"/>
      <c r="J73" s="87"/>
      <c r="K73" s="87"/>
      <c r="L73" s="87"/>
      <c r="M73" s="87"/>
      <c r="N73" s="87"/>
      <c r="O73" s="87"/>
      <c r="P73" s="261"/>
      <c r="Q73" s="261"/>
      <c r="R73" s="261"/>
      <c r="S73" s="261"/>
      <c r="T73" s="261"/>
      <c r="U73" s="261"/>
      <c r="V73" s="261"/>
      <c r="W73" s="261"/>
      <c r="X73" s="261"/>
      <c r="Y73" s="261"/>
      <c r="Z73" s="261"/>
      <c r="AA73" s="261"/>
      <c r="AB73" s="261"/>
      <c r="AC73" s="261"/>
      <c r="AD73" s="261"/>
      <c r="AE73" s="261"/>
      <c r="AF73" s="261"/>
      <c r="AG73" s="261"/>
      <c r="AH73" s="261"/>
      <c r="AI73" s="261"/>
      <c r="AJ73" s="261"/>
      <c r="AK73" s="261"/>
      <c r="AL73" s="261"/>
      <c r="AM73" s="261"/>
      <c r="AN73" s="261"/>
      <c r="AO73" s="261"/>
      <c r="AP73" s="261"/>
      <c r="AQ73" s="261"/>
      <c r="AR73" s="261"/>
      <c r="AS73" s="261"/>
      <c r="AT73" s="261"/>
      <c r="AU73" s="261"/>
      <c r="AV73" s="261"/>
      <c r="AW73" s="261"/>
      <c r="AX73" s="261"/>
      <c r="AY73" s="261"/>
      <c r="AZ73" s="261"/>
      <c r="BA73" s="261"/>
      <c r="BB73" s="261"/>
      <c r="BC73" s="261"/>
      <c r="BD73" s="261"/>
      <c r="BE73" s="261"/>
      <c r="BF73" s="261"/>
      <c r="BG73" s="261"/>
      <c r="BH73" s="261"/>
      <c r="BI73" s="261"/>
      <c r="BJ73" s="261"/>
      <c r="BK73" s="87"/>
      <c r="BL73" s="87"/>
      <c r="BM73" s="87"/>
      <c r="BN73" s="87"/>
      <c r="BO73" s="87"/>
      <c r="BP73" s="87"/>
      <c r="BQ73" s="87"/>
      <c r="BR73" s="87"/>
      <c r="BS73" s="261"/>
      <c r="BT73" s="4016" t="s">
        <v>925</v>
      </c>
      <c r="BU73" s="4017"/>
      <c r="BV73" s="4017"/>
      <c r="BW73" s="4017"/>
      <c r="BX73" s="4018"/>
      <c r="CC73" s="19">
        <v>8</v>
      </c>
      <c r="CD73" s="46" t="s">
        <v>220</v>
      </c>
      <c r="CG73" s="327">
        <f ca="1">IF(OR(
AND(BH34&lt;&gt;"",BG35&lt;&gt;"",BG34&lt;$CM$39,BF34="",BG35=$B$1+$CG$39),
AND(BH34&lt;&gt;"",BG35&lt;&gt;"",BG34&lt;$CM$40,BF34="",BG35=$B$1+$CG$40),
AND(BH34&lt;&gt;"",BG35&lt;&gt;"",BG34&lt;$CM$41,BF34="",BG35=$B$1+$CG$41),
AND(BH34&lt;&gt;"",BG35&lt;&gt;"",BG34&lt;$CM$42,BF34="",BG35&lt;=$B$1+$CG$42)
),1,0)</f>
        <v>0</v>
      </c>
      <c r="CL73" s="46"/>
      <c r="CO73" s="44" t="str">
        <f t="shared" si="117"/>
        <v>BD</v>
      </c>
      <c r="DW73" s="319"/>
      <c r="DY73" s="321"/>
      <c r="EA73" s="28"/>
      <c r="EB73" s="319"/>
      <c r="EC73" s="28"/>
      <c r="ED73" s="28"/>
      <c r="EE73" s="28"/>
    </row>
    <row r="74" spans="4:135" ht="17.100000000000001" customHeight="1" x14ac:dyDescent="0.15">
      <c r="D74" s="3968"/>
      <c r="E74" s="3968"/>
      <c r="F74" s="3968"/>
      <c r="G74" s="3968"/>
      <c r="H74" s="3968"/>
      <c r="I74" s="261"/>
      <c r="J74" s="87"/>
      <c r="K74" s="87"/>
      <c r="L74" s="87"/>
      <c r="M74" s="87"/>
      <c r="N74" s="87"/>
      <c r="O74" s="87"/>
      <c r="P74" s="261"/>
      <c r="Q74" s="261"/>
      <c r="R74" s="261"/>
      <c r="S74" s="261"/>
      <c r="T74" s="261"/>
      <c r="U74" s="261"/>
      <c r="V74" s="261"/>
      <c r="W74" s="261"/>
      <c r="X74" s="261"/>
      <c r="Y74" s="261"/>
      <c r="Z74" s="261"/>
      <c r="AA74" s="261"/>
      <c r="AB74" s="261"/>
      <c r="AC74" s="261"/>
      <c r="AD74" s="261"/>
      <c r="AE74" s="261"/>
      <c r="AF74" s="261"/>
      <c r="AG74" s="261"/>
      <c r="AH74" s="261"/>
      <c r="AI74" s="261"/>
      <c r="AJ74" s="261"/>
      <c r="AK74" s="261"/>
      <c r="AL74" s="261"/>
      <c r="AM74" s="261"/>
      <c r="AN74" s="261"/>
      <c r="AO74" s="261"/>
      <c r="AP74" s="261"/>
      <c r="AQ74" s="261"/>
      <c r="AR74" s="261"/>
      <c r="AS74" s="261"/>
      <c r="AT74" s="261"/>
      <c r="AU74" s="261"/>
      <c r="AV74" s="261"/>
      <c r="AW74" s="261"/>
      <c r="AX74" s="261"/>
      <c r="AY74" s="261"/>
      <c r="AZ74" s="261"/>
      <c r="BA74" s="261"/>
      <c r="BB74" s="261"/>
      <c r="BC74" s="261"/>
      <c r="BD74" s="261"/>
      <c r="BE74" s="261"/>
      <c r="BF74" s="261"/>
      <c r="BG74" s="261"/>
      <c r="BH74" s="261"/>
      <c r="BI74" s="261"/>
      <c r="BJ74" s="261"/>
      <c r="BK74" s="87"/>
      <c r="BL74" s="87"/>
      <c r="BM74" s="87"/>
      <c r="BN74" s="87"/>
      <c r="BO74" s="87"/>
      <c r="BP74" s="87"/>
      <c r="BQ74" s="87"/>
      <c r="BR74" s="87"/>
      <c r="BS74" s="261"/>
      <c r="BT74" s="4019"/>
      <c r="BU74" s="4020"/>
      <c r="BV74" s="4020"/>
      <c r="BW74" s="4020"/>
      <c r="BX74" s="4021"/>
      <c r="CC74" s="19">
        <v>9</v>
      </c>
      <c r="CD74" s="46" t="s">
        <v>225</v>
      </c>
      <c r="CG74" s="324"/>
      <c r="CO74" s="44" t="str">
        <f t="shared" si="117"/>
        <v>BD</v>
      </c>
      <c r="CQ74" s="101"/>
      <c r="CR74" s="101"/>
      <c r="CS74" s="101"/>
      <c r="CT74" s="101"/>
      <c r="CU74" s="101"/>
      <c r="DW74" s="320">
        <f ca="1">IF(OR(
AND(AB18&lt;&gt;"",AL19&lt;&gt;"",AL18&lt;$EC$66,AM18="",AL19=$B$1+$DW$66),
AND(AB18&lt;&gt;"",AL19&lt;&gt;"",AL18&lt;$EC$67,AM18="",AL19=$B$1+$DW$67),
AND(AB18&lt;&gt;"",AL19&lt;&gt;"",AL18&lt;$EC$68,AM18="",AL19=$B$1+$DW$68),
AND(AB18&lt;&gt;"",AL19&lt;&gt;"",AL18&lt;$EC$69,AM18="",AL19&lt;=$B$1+$DW$69)
),1,0)</f>
        <v>0</v>
      </c>
      <c r="DY74" s="36">
        <f>Y14</f>
        <v>0</v>
      </c>
      <c r="EA74" s="28"/>
      <c r="EB74" s="320">
        <f ca="1">IF(OR(
AND(AQ18&lt;&gt;"",AP19&lt;&gt;"",AP18&lt;$EC$66,AO18="",AP19=$B$1+$DW$66),
AND(AQ18&lt;&gt;"",AP19&lt;&gt;"",AP18&lt;$EC$67,AO18="",AP19=$B$1+$DW$67),
AND(AQ18&lt;&gt;"",AP19&lt;&gt;"",AP18&lt;$EC$68,AO18="",AP19=$B$1+$DW$68),
AND(AQ18&lt;&gt;"",AP19&lt;&gt;"",AP18&lt;$EC$69,AO18="",AP19&lt;=$B$1+$DW$69)
),1,0)</f>
        <v>0</v>
      </c>
      <c r="EC74" s="28"/>
      <c r="ED74" s="36">
        <f>BB14</f>
        <v>0</v>
      </c>
      <c r="EE74" s="28"/>
    </row>
    <row r="75" spans="4:135" ht="17.100000000000001" customHeight="1" x14ac:dyDescent="0.15">
      <c r="D75" s="3968"/>
      <c r="E75" s="3968"/>
      <c r="F75" s="3968"/>
      <c r="G75" s="3968"/>
      <c r="H75" s="3968"/>
      <c r="I75" s="261"/>
      <c r="J75" s="261"/>
      <c r="K75" s="87"/>
      <c r="L75" s="87"/>
      <c r="M75" s="87"/>
      <c r="N75" s="87"/>
      <c r="O75" s="87"/>
      <c r="P75" s="261"/>
      <c r="Q75" s="261"/>
      <c r="R75" s="261"/>
      <c r="S75" s="261"/>
      <c r="T75" s="261"/>
      <c r="U75" s="261"/>
      <c r="V75" s="261"/>
      <c r="W75" s="261"/>
      <c r="X75" s="261"/>
      <c r="Y75" s="261"/>
      <c r="Z75" s="261"/>
      <c r="AA75" s="261"/>
      <c r="AB75" s="261"/>
      <c r="AC75" s="261"/>
      <c r="AD75" s="261"/>
      <c r="AE75" s="261"/>
      <c r="AF75" s="261"/>
      <c r="AG75" s="261"/>
      <c r="AH75" s="261"/>
      <c r="AI75" s="261"/>
      <c r="AJ75" s="261"/>
      <c r="AK75" s="261"/>
      <c r="AL75" s="261"/>
      <c r="AM75" s="261"/>
      <c r="AN75" s="261"/>
      <c r="AO75" s="261"/>
      <c r="AP75" s="261"/>
      <c r="AQ75" s="261"/>
      <c r="AR75" s="261"/>
      <c r="AS75" s="261"/>
      <c r="AT75" s="261"/>
      <c r="AU75" s="261"/>
      <c r="AV75" s="261"/>
      <c r="AW75" s="261"/>
      <c r="AX75" s="261"/>
      <c r="AY75" s="261"/>
      <c r="AZ75" s="261"/>
      <c r="BA75" s="261"/>
      <c r="BB75" s="261"/>
      <c r="BC75" s="261"/>
      <c r="BD75" s="261"/>
      <c r="BE75" s="261"/>
      <c r="BF75" s="261"/>
      <c r="BG75" s="261"/>
      <c r="BH75" s="261"/>
      <c r="BI75" s="261"/>
      <c r="BJ75" s="261"/>
      <c r="BK75" s="87"/>
      <c r="BL75" s="87"/>
      <c r="BM75" s="87"/>
      <c r="BN75" s="261"/>
      <c r="BO75" s="261"/>
      <c r="BP75" s="261"/>
      <c r="BQ75" s="87"/>
      <c r="BR75" s="87"/>
      <c r="BS75" s="261"/>
      <c r="BT75" s="4022"/>
      <c r="BU75" s="4023"/>
      <c r="BV75" s="4023"/>
      <c r="BW75" s="4023"/>
      <c r="BX75" s="4024"/>
      <c r="CC75" s="19">
        <v>10</v>
      </c>
      <c r="CD75" s="46" t="s">
        <v>229</v>
      </c>
      <c r="CG75" s="327">
        <f ca="1">IF(OR(
AND(BH36&lt;&gt;"",BG37&lt;&gt;"",BG36&lt;$CM$39,BF36="",BG37=$B$1+$CG$39),
AND(BH36&lt;&gt;"",BG37&lt;&gt;"",BG36&lt;$CM$40,BF36="",BG37=$B$1+$CG$40),
AND(BH36&lt;&gt;"",BG37&lt;&gt;"",BG36&lt;$CM$41,BF36="",BG37=$B$1+$CG$41),
AND(BH36&lt;&gt;"",BG37&lt;&gt;"",BG36&lt;$CM$42,BF36="",BG37&lt;=$B$1+$CG$42)
),1,0)</f>
        <v>0</v>
      </c>
      <c r="CL75" s="46"/>
      <c r="CO75" s="44" t="str">
        <f>MID(CO56,1,2)</f>
        <v>BD</v>
      </c>
      <c r="DW75" s="319"/>
      <c r="DY75" s="36"/>
      <c r="EA75" s="28"/>
      <c r="EB75" s="319"/>
      <c r="EC75" s="28"/>
      <c r="ED75" s="28"/>
      <c r="EE75" s="28"/>
    </row>
    <row r="76" spans="4:135" ht="17.100000000000001" customHeight="1" x14ac:dyDescent="0.15">
      <c r="D76" s="261"/>
      <c r="E76" s="261"/>
      <c r="F76" s="261"/>
      <c r="G76" s="261"/>
      <c r="H76" s="261"/>
      <c r="I76" s="261"/>
      <c r="J76" s="261"/>
      <c r="K76" s="87"/>
      <c r="L76" s="87"/>
      <c r="M76" s="87"/>
      <c r="N76" s="87"/>
      <c r="O76" s="87"/>
      <c r="P76" s="261"/>
      <c r="Q76" s="261"/>
      <c r="R76" s="261"/>
      <c r="S76" s="261"/>
      <c r="T76" s="261"/>
      <c r="U76" s="261"/>
      <c r="V76" s="261"/>
      <c r="W76" s="261"/>
      <c r="X76" s="261"/>
      <c r="Y76" s="261"/>
      <c r="Z76" s="261"/>
      <c r="AA76" s="261"/>
      <c r="AB76" s="261"/>
      <c r="AC76" s="261"/>
      <c r="AD76" s="261"/>
      <c r="AE76" s="261"/>
      <c r="AF76" s="261"/>
      <c r="AG76" s="261"/>
      <c r="AH76" s="261"/>
      <c r="AI76" s="261"/>
      <c r="AJ76" s="261"/>
      <c r="AK76" s="261"/>
      <c r="AL76" s="261"/>
      <c r="AM76" s="261"/>
      <c r="AN76" s="261"/>
      <c r="AO76" s="261"/>
      <c r="AP76" s="261"/>
      <c r="AQ76" s="261"/>
      <c r="AR76" s="261"/>
      <c r="AS76" s="261"/>
      <c r="AT76" s="261"/>
      <c r="AU76" s="261"/>
      <c r="AV76" s="261"/>
      <c r="AW76" s="261"/>
      <c r="AX76" s="261"/>
      <c r="AY76" s="261"/>
      <c r="AZ76" s="261"/>
      <c r="BA76" s="261"/>
      <c r="BB76" s="261"/>
      <c r="BC76" s="261"/>
      <c r="BD76" s="261"/>
      <c r="BE76" s="261"/>
      <c r="BF76" s="261"/>
      <c r="BG76" s="261"/>
      <c r="BH76" s="261"/>
      <c r="BI76" s="261"/>
      <c r="BJ76" s="261"/>
      <c r="BK76" s="261"/>
      <c r="BL76" s="261"/>
      <c r="BM76" s="261"/>
      <c r="BN76" s="261"/>
      <c r="BO76" s="261"/>
      <c r="BP76" s="261"/>
      <c r="BQ76" s="261"/>
      <c r="BR76" s="2255"/>
      <c r="BS76" s="261"/>
      <c r="BT76" s="261"/>
      <c r="BU76" s="261"/>
      <c r="BV76" s="261"/>
      <c r="BW76" s="261"/>
      <c r="BX76" s="261"/>
      <c r="CC76" s="19">
        <v>11</v>
      </c>
      <c r="CD76" s="46" t="s">
        <v>233</v>
      </c>
      <c r="CG76" s="328"/>
      <c r="CO76" s="44" t="str">
        <f t="shared" si="117"/>
        <v>BD</v>
      </c>
      <c r="CQ76" s="101"/>
      <c r="CR76" s="101"/>
      <c r="CS76" s="101"/>
      <c r="CT76" s="326"/>
      <c r="CU76" s="326"/>
      <c r="CV76" s="326"/>
      <c r="CW76" s="326"/>
      <c r="CX76" s="326"/>
      <c r="CY76" s="326"/>
      <c r="CZ76" s="326"/>
      <c r="DW76" s="320">
        <f ca="1">IF(OR(
AND(AB20&lt;&gt;"",AL21&lt;&gt;"",AL20&lt;$EC$66,AM20="",AL21=$B$1+$DW$66),
AND(AB20&lt;&gt;"",AL21&lt;&gt;"",AL20&lt;$EC$67,AM20="",AL21=$B$1+$DW$67),
AND(AB20&lt;&gt;"",AL21&lt;&gt;"",AL20&lt;$EC$68,AM20="",AL21=$B$1+$DW$68),
AND(AB20&lt;&gt;"",AL21&lt;&gt;"",AL20&lt;$EC$69,AM20="",AL21&lt;=$B$1+$DW$69)
),1,0)</f>
        <v>0</v>
      </c>
      <c r="DY76" s="321"/>
      <c r="EA76" s="28"/>
      <c r="EB76" s="320">
        <f ca="1">IF(OR(
AND(AQ20&lt;&gt;"",AP21&lt;&gt;"",AP20&lt;$EC$66,AO20="",AP21=$B$1+$DW$66),
AND(AQ20&lt;&gt;"",AP21&lt;&gt;"",AP20&lt;$EC$67,AO20="",AP21=$B$1+$DW$67),
AND(AQ20&lt;&gt;"",AP21&lt;&gt;"",AP20&lt;$EC$68,AO20="",AP21=$B$1+$DW$68),
AND(AQ20&lt;&gt;"",AP21&lt;&gt;"",AP20&lt;$EC$69,AO20="",AP21&lt;=$B$1+$DW$69)
),1,0)</f>
        <v>0</v>
      </c>
      <c r="EC76" s="28"/>
      <c r="ED76" s="28"/>
      <c r="EE76" s="28"/>
    </row>
    <row r="77" spans="4:135" ht="17.100000000000001" customHeight="1" x14ac:dyDescent="0.15">
      <c r="CC77" s="19">
        <v>12</v>
      </c>
      <c r="CD77" s="46" t="s">
        <v>40</v>
      </c>
      <c r="CT77" s="326"/>
      <c r="CU77" s="326"/>
      <c r="CV77" s="326"/>
      <c r="CW77" s="326"/>
      <c r="CX77" s="326"/>
      <c r="CY77" s="326"/>
      <c r="CZ77" s="326"/>
      <c r="DW77" s="1150"/>
      <c r="DY77" s="321"/>
      <c r="EA77" s="28"/>
      <c r="EB77" s="1150"/>
      <c r="EC77" s="28"/>
      <c r="ED77" s="28"/>
      <c r="EE77" s="28"/>
    </row>
    <row r="78" spans="4:135" ht="17.100000000000001" customHeight="1" x14ac:dyDescent="0.15">
      <c r="AN78" s="34" t="s">
        <v>9</v>
      </c>
      <c r="CC78" s="19">
        <v>13</v>
      </c>
      <c r="CI78" s="2818"/>
      <c r="CJ78" s="329" t="s">
        <v>767</v>
      </c>
      <c r="CQ78" s="101"/>
      <c r="CR78" s="101"/>
      <c r="CT78" s="326"/>
      <c r="CU78" s="326"/>
      <c r="CV78" s="326"/>
      <c r="CW78" s="326"/>
      <c r="CX78" s="326"/>
      <c r="CY78" s="326"/>
      <c r="CZ78" s="326"/>
      <c r="DW78" s="1149">
        <f ca="1">IF(OR(
AND(AB22&lt;&gt;"",AL23&lt;&gt;"",AL22&lt;$EC$66,AM22="",AL23=$B$1+$DW$66),
AND(AB22&lt;&gt;"",AL23&lt;&gt;"",AL22&lt;$EC$67,AM22="",AL23=$B$1+$DW$67),
AND(AB22&lt;&gt;"",AL23&lt;&gt;"",AL22&lt;$EC$68,AM22="",AL23=$B$1+$DW$68),
AND(AB22&lt;&gt;"",AL23&lt;&gt;"",AL22&lt;$EC$69,AM22="",AL23&lt;=$B$1+$DW$69)
),1,0)</f>
        <v>0</v>
      </c>
      <c r="DY78" s="297">
        <f ca="1">SUM(DW78:DW85)</f>
        <v>0</v>
      </c>
      <c r="EA78" s="28"/>
      <c r="EB78" s="1149">
        <f ca="1">IF(OR(
AND(AQ22&lt;&gt;"",AP23&lt;&gt;"",AP22&lt;$EC$66,AO22="",AP23=$B$1+$DW$66),
AND(AQ22&lt;&gt;"",AP23&lt;&gt;"",AP22&lt;$EC$67,AO22="",AP23=$B$1+$DW$67),
AND(AQ22&lt;&gt;"",AP23&lt;&gt;"",AP22&lt;$EC$68,AO22="",AP23=$B$1+$DW$68),
AND(AQ22&lt;&gt;"",AP23&lt;&gt;"",AP22&lt;$EC$69,AO22="",AP23&lt;=$B$1+$DW$69)
),1,0)</f>
        <v>0</v>
      </c>
      <c r="ED78" s="297">
        <f ca="1">SUM(EB78:EB85)</f>
        <v>0</v>
      </c>
      <c r="EE78" s="28"/>
    </row>
    <row r="79" spans="4:135" ht="17.100000000000001" customHeight="1" thickBot="1" x14ac:dyDescent="0.2">
      <c r="AN79" s="34" t="s">
        <v>9</v>
      </c>
      <c r="CC79" s="19">
        <v>14</v>
      </c>
      <c r="CD79" s="19" t="s">
        <v>751</v>
      </c>
      <c r="CE79" s="19" t="s">
        <v>688</v>
      </c>
      <c r="CG79" s="330" t="str">
        <f>IF(AND(E26&lt;&gt;"",U26&lt;&gt;100%),D26,"")</f>
        <v/>
      </c>
      <c r="CH79" s="101"/>
      <c r="CI79" s="331" t="e" cm="1" vm="1">
        <f t="array" ref="CI79">_xlfn._xlws.FILTER($CG$79:$CG$125,$CG$79:$CG$125&lt;&gt;"")</f>
        <v>#VALUE!</v>
      </c>
      <c r="CJ79" s="332"/>
      <c r="CT79" s="326"/>
      <c r="CU79" s="326"/>
      <c r="CV79" s="326"/>
      <c r="CW79" s="326"/>
      <c r="CX79" s="326"/>
      <c r="CY79" s="326"/>
      <c r="CZ79" s="326"/>
      <c r="DW79" s="319"/>
      <c r="DY79" s="36" t="s">
        <v>439</v>
      </c>
      <c r="EA79" s="28"/>
      <c r="EB79" s="319"/>
      <c r="ED79" s="36" t="s">
        <v>439</v>
      </c>
      <c r="EE79" s="28"/>
    </row>
    <row r="80" spans="4:135" ht="17.100000000000001" customHeight="1" x14ac:dyDescent="0.15">
      <c r="D80" s="4085" t="s">
        <v>558</v>
      </c>
      <c r="E80" s="4086"/>
      <c r="F80" s="4086"/>
      <c r="G80" s="4086"/>
      <c r="H80" s="4086"/>
      <c r="I80" s="4086"/>
      <c r="J80" s="4086"/>
      <c r="K80" s="4086"/>
      <c r="L80" s="4086"/>
      <c r="M80" s="4086"/>
      <c r="N80" s="4086"/>
      <c r="O80" s="4086"/>
      <c r="P80" s="4086"/>
      <c r="Q80" s="4086"/>
      <c r="R80" s="4086"/>
      <c r="S80" s="4086"/>
      <c r="T80" s="4086"/>
      <c r="U80" s="4086"/>
      <c r="V80" s="4086"/>
      <c r="W80" s="4086"/>
      <c r="X80" s="4086"/>
      <c r="Y80" s="4086"/>
      <c r="Z80" s="4086"/>
      <c r="AA80" s="4086"/>
      <c r="AB80" s="4086"/>
      <c r="AC80" s="4086"/>
      <c r="AD80" s="4086"/>
      <c r="AE80" s="4086"/>
      <c r="AF80" s="4086"/>
      <c r="AG80" s="4086"/>
      <c r="AH80" s="4086"/>
      <c r="AI80" s="4086"/>
      <c r="AJ80" s="4086"/>
      <c r="AK80" s="4086"/>
      <c r="AL80" s="4086"/>
      <c r="AM80" s="4086"/>
      <c r="AN80" s="4086"/>
      <c r="AO80" s="4086"/>
      <c r="AP80" s="4086"/>
      <c r="AQ80" s="4086"/>
      <c r="AR80" s="4086"/>
      <c r="AS80" s="4086"/>
      <c r="AT80" s="4086"/>
      <c r="AU80" s="4086"/>
      <c r="AV80" s="4086"/>
      <c r="AW80" s="4086"/>
      <c r="AX80" s="4086"/>
      <c r="AY80" s="4086"/>
      <c r="AZ80" s="4086"/>
      <c r="BA80" s="4086"/>
      <c r="BB80" s="4086"/>
      <c r="BC80" s="4086"/>
      <c r="BD80" s="4086"/>
      <c r="BE80" s="4086"/>
      <c r="BF80" s="4086"/>
      <c r="BG80" s="4086"/>
      <c r="BH80" s="4086"/>
      <c r="BI80" s="4086"/>
      <c r="BJ80" s="4086"/>
      <c r="BK80" s="4086"/>
      <c r="BL80" s="4086"/>
      <c r="BM80" s="4086"/>
      <c r="BN80" s="4086"/>
      <c r="BO80" s="4086"/>
      <c r="BP80" s="4086"/>
      <c r="BQ80" s="4086"/>
      <c r="BR80" s="4086"/>
      <c r="BS80" s="4086"/>
      <c r="BT80" s="4086"/>
      <c r="BU80" s="4086"/>
      <c r="BV80" s="4086"/>
      <c r="BW80" s="4086"/>
      <c r="BX80" s="4087"/>
      <c r="CC80" s="19">
        <v>15</v>
      </c>
      <c r="CD80" s="19" t="s">
        <v>752</v>
      </c>
      <c r="CE80" s="19" t="s">
        <v>762</v>
      </c>
      <c r="CG80" s="330" t="str">
        <f>IF(AND(E28&lt;&gt;"",U28&lt;&gt;100%),D28,"")</f>
        <v/>
      </c>
      <c r="CH80" s="101"/>
      <c r="CI80" s="331"/>
      <c r="CJ80" s="332"/>
      <c r="CL80" s="2095">
        <v>0</v>
      </c>
      <c r="CM80" s="378" t="s">
        <v>1259</v>
      </c>
      <c r="CT80" s="326"/>
      <c r="CU80" s="326"/>
      <c r="CV80" s="326"/>
      <c r="CW80" s="326"/>
      <c r="CX80" s="326"/>
      <c r="CY80" s="326"/>
      <c r="CZ80" s="326"/>
      <c r="DW80" s="320">
        <f ca="1">IF(OR(
AND(AB24&lt;&gt;"",AL25&lt;&gt;"",AL24&lt;$EC$66,AM24="",AL25=$B$1+$DW$66),
AND(AB24&lt;&gt;"",AL25&lt;&gt;"",AL24&lt;$EC$67,AM24="",AL25=$B$1+$DW$67),
AND(AB24&lt;&gt;"",AL25&lt;&gt;"",AL24&lt;$EC$68,AM24="",AL25=$B$1+$DW$68),
AND(AB24&lt;&gt;"",AL25&lt;&gt;"",AL24&lt;$EC$69,AM24="",AL25&lt;=$B$1+$DW$69)
),1,0)</f>
        <v>0</v>
      </c>
      <c r="DY80" s="315"/>
      <c r="EA80" s="28"/>
      <c r="EB80" s="320">
        <f ca="1">IF(OR(
AND(AQ24&lt;&gt;"",AP25&lt;&gt;"",AP24&lt;$EC$66,AO24="",AP25=$B$1+$DW$66),
AND(AQ24&lt;&gt;"",AP25&lt;&gt;"",AP24&lt;$EC$67,AO24="",AP25=$B$1+$DW$67),
AND(AQ24&lt;&gt;"",AP25&lt;&gt;"",AP24&lt;$EC$68,AO24="",AP25=$B$1+$DW$68),
AND(AQ24&lt;&gt;"",AP25&lt;&gt;"",AP24&lt;$EC$69,AO24="",AP25&lt;=$B$1+$DW$69)
),1,0)</f>
        <v>0</v>
      </c>
      <c r="EC80" s="28"/>
      <c r="ED80" s="28"/>
      <c r="EE80" s="28"/>
    </row>
    <row r="81" spans="2:135" ht="17.100000000000001" customHeight="1" thickBot="1" x14ac:dyDescent="0.2">
      <c r="D81" s="4088"/>
      <c r="E81" s="4089"/>
      <c r="F81" s="4089"/>
      <c r="G81" s="4089"/>
      <c r="H81" s="4089"/>
      <c r="I81" s="4089"/>
      <c r="J81" s="4089"/>
      <c r="K81" s="4089"/>
      <c r="L81" s="4089"/>
      <c r="M81" s="4089"/>
      <c r="N81" s="4089"/>
      <c r="O81" s="4089"/>
      <c r="P81" s="4089"/>
      <c r="Q81" s="4089"/>
      <c r="R81" s="4089"/>
      <c r="S81" s="4089"/>
      <c r="T81" s="4089"/>
      <c r="U81" s="4089"/>
      <c r="V81" s="4089"/>
      <c r="W81" s="4089"/>
      <c r="X81" s="4089"/>
      <c r="Y81" s="4089"/>
      <c r="Z81" s="4089"/>
      <c r="AA81" s="4089"/>
      <c r="AB81" s="4089"/>
      <c r="AC81" s="4089"/>
      <c r="AD81" s="4089"/>
      <c r="AE81" s="4089"/>
      <c r="AF81" s="4089"/>
      <c r="AG81" s="4089"/>
      <c r="AH81" s="4089"/>
      <c r="AI81" s="4089"/>
      <c r="AJ81" s="4089"/>
      <c r="AK81" s="4089"/>
      <c r="AL81" s="4089"/>
      <c r="AM81" s="4089"/>
      <c r="AN81" s="4089"/>
      <c r="AO81" s="4089"/>
      <c r="AP81" s="4089"/>
      <c r="AQ81" s="4089"/>
      <c r="AR81" s="4089"/>
      <c r="AS81" s="4089"/>
      <c r="AT81" s="4089"/>
      <c r="AU81" s="4089"/>
      <c r="AV81" s="4089"/>
      <c r="AW81" s="4089"/>
      <c r="AX81" s="4089"/>
      <c r="AY81" s="4089"/>
      <c r="AZ81" s="4089"/>
      <c r="BA81" s="4089"/>
      <c r="BB81" s="4089"/>
      <c r="BC81" s="4089"/>
      <c r="BD81" s="4089"/>
      <c r="BE81" s="4089"/>
      <c r="BF81" s="4089"/>
      <c r="BG81" s="4089"/>
      <c r="BH81" s="4089"/>
      <c r="BI81" s="4089"/>
      <c r="BJ81" s="4089"/>
      <c r="BK81" s="4089"/>
      <c r="BL81" s="4089"/>
      <c r="BM81" s="4089"/>
      <c r="BN81" s="4089"/>
      <c r="BO81" s="4089"/>
      <c r="BP81" s="4089"/>
      <c r="BQ81" s="4089"/>
      <c r="BR81" s="4089"/>
      <c r="BS81" s="4089"/>
      <c r="BT81" s="4089"/>
      <c r="BU81" s="4089"/>
      <c r="BV81" s="4089"/>
      <c r="BW81" s="4089"/>
      <c r="BX81" s="4090"/>
      <c r="CC81" s="19">
        <v>16</v>
      </c>
      <c r="CD81" s="19" t="s">
        <v>753</v>
      </c>
      <c r="CE81" s="19" t="s">
        <v>763</v>
      </c>
      <c r="CG81" s="330" t="str">
        <f>IF(AND(E30&lt;&gt;"",U30&lt;&gt;100%),D30,"")</f>
        <v/>
      </c>
      <c r="CH81" s="101"/>
      <c r="CI81" s="331"/>
      <c r="CJ81" s="332"/>
      <c r="CM81" s="384"/>
      <c r="CT81" s="326"/>
      <c r="CU81" s="326"/>
      <c r="CV81" s="326"/>
      <c r="CW81" s="326"/>
      <c r="CX81" s="326"/>
      <c r="CY81" s="326"/>
      <c r="CZ81" s="326"/>
      <c r="DW81" s="319"/>
      <c r="DY81" s="321"/>
      <c r="EA81" s="28"/>
      <c r="EB81" s="319"/>
      <c r="EC81" s="28"/>
      <c r="ED81" s="28"/>
      <c r="EE81" s="28"/>
    </row>
    <row r="82" spans="2:135" ht="17.100000000000001" customHeight="1" x14ac:dyDescent="0.15">
      <c r="CC82" s="19">
        <v>17</v>
      </c>
      <c r="CD82" s="19" t="s">
        <v>754</v>
      </c>
      <c r="CE82" s="19" t="s">
        <v>764</v>
      </c>
      <c r="CG82" s="330" t="str">
        <f>IF(AND(E32&lt;&gt;"",U32&lt;&gt;100%),D32,"")</f>
        <v/>
      </c>
      <c r="CH82" s="101"/>
      <c r="CI82" s="331"/>
      <c r="CJ82" s="332"/>
      <c r="CT82" s="326"/>
      <c r="CU82" s="326"/>
      <c r="CV82" s="326"/>
      <c r="CW82" s="326"/>
      <c r="CX82" s="326"/>
      <c r="CY82" s="326"/>
      <c r="CZ82" s="326"/>
      <c r="DW82" s="320">
        <f ca="1">IF(OR(
AND(AB26&lt;&gt;"",AL27&lt;&gt;"",AL26&lt;$EC$66,AM26="",AL27=$B$1+$DW$66),
AND(AB26&lt;&gt;"",AL27&lt;&gt;"",AL26&lt;$EC$67,AM26="",AL27=$B$1+$DW$67),
AND(AB26&lt;&gt;"",AL27&lt;&gt;"",AL26&lt;$EC$68,AM26="",AL27=$B$1+$DW$68),
AND(AB26&lt;&gt;"",AL27&lt;&gt;"",AL26&lt;$EC$69,AM26="",AL27&lt;=$B$1+$DW$69)
),1,0)</f>
        <v>0</v>
      </c>
      <c r="DY82" s="36">
        <f>Y22</f>
        <v>0</v>
      </c>
      <c r="EA82" s="28"/>
      <c r="EB82" s="320">
        <f ca="1">IF(OR(
AND(AQ26&lt;&gt;"",AP27&lt;&gt;"",AP26&lt;$EC$66,AO26="",AP27=$B$1+$DW$66),
AND(AQ26&lt;&gt;"",AP27&lt;&gt;"",AP26&lt;$EC$67,AO26="",AP27=$B$1+$DW$67),
AND(AQ26&lt;&gt;"",AP27&lt;&gt;"",AP26&lt;$EC$68,AO26="",AP27=$B$1+$DW$68),
AND(AQ26&lt;&gt;"",AP27&lt;&gt;"",AP26&lt;$EC$69,AO26="",AP27&lt;=$B$1+$DW$69)
),1,0)</f>
        <v>0</v>
      </c>
      <c r="EC82" s="28"/>
      <c r="ED82" s="36">
        <f>BB22</f>
        <v>0</v>
      </c>
      <c r="EE82" s="28"/>
    </row>
    <row r="83" spans="2:135" ht="17.100000000000001" customHeight="1" x14ac:dyDescent="0.15">
      <c r="B83" s="4065" t="s">
        <v>44</v>
      </c>
      <c r="D83" s="4025"/>
      <c r="E83" s="4082"/>
      <c r="F83" s="4082"/>
      <c r="G83" s="4082"/>
      <c r="H83" s="4082"/>
      <c r="I83" s="4082"/>
      <c r="J83" s="4082"/>
      <c r="K83" s="4082"/>
      <c r="L83" s="4082"/>
      <c r="M83" s="4082"/>
      <c r="N83" s="4082"/>
      <c r="O83" s="4082"/>
      <c r="P83" s="4082"/>
      <c r="Q83" s="4082"/>
      <c r="R83" s="4082"/>
      <c r="S83" s="4082"/>
      <c r="T83" s="4082"/>
      <c r="U83" s="4083"/>
      <c r="Y83" s="4065" t="str">
        <f>MID(Y85,1,2)</f>
        <v>MN</v>
      </c>
      <c r="AA83" s="4025"/>
      <c r="AB83" s="4082"/>
      <c r="AC83" s="4082"/>
      <c r="AD83" s="4082"/>
      <c r="AE83" s="4082"/>
      <c r="AF83" s="4082"/>
      <c r="AG83" s="4082"/>
      <c r="AH83" s="4082"/>
      <c r="AI83" s="4082"/>
      <c r="AJ83" s="4082"/>
      <c r="AK83" s="4082"/>
      <c r="AL83" s="290"/>
      <c r="AP83" s="291"/>
      <c r="AQ83" s="4026"/>
      <c r="AR83" s="4027"/>
      <c r="AS83" s="4027"/>
      <c r="AT83" s="4027"/>
      <c r="AU83" s="4027"/>
      <c r="AV83" s="4027"/>
      <c r="AW83" s="4027"/>
      <c r="AX83" s="4027"/>
      <c r="AY83" s="4027"/>
      <c r="AZ83" s="4027"/>
      <c r="BA83" s="4068"/>
      <c r="BC83" s="3938" t="str">
        <f>MID(BC85,1,2)</f>
        <v>BD</v>
      </c>
      <c r="BG83" s="4055"/>
      <c r="BH83" s="4070"/>
      <c r="BI83" s="4071"/>
      <c r="BJ83" s="4071"/>
      <c r="BK83" s="4071"/>
      <c r="BL83" s="4071"/>
      <c r="BM83" s="4071"/>
      <c r="BN83" s="4071"/>
      <c r="BO83" s="4071"/>
      <c r="BP83" s="4071"/>
      <c r="BQ83" s="4071"/>
      <c r="BR83" s="4071"/>
      <c r="BS83" s="4071"/>
      <c r="BT83" s="4071"/>
      <c r="BU83" s="4071"/>
      <c r="BV83" s="4071"/>
      <c r="BW83" s="4072"/>
      <c r="BX83" s="4063"/>
      <c r="BZ83" s="4065" t="s">
        <v>76</v>
      </c>
      <c r="CC83" s="19">
        <v>18</v>
      </c>
      <c r="CD83" s="19" t="s">
        <v>755</v>
      </c>
      <c r="CE83" s="19" t="s">
        <v>765</v>
      </c>
      <c r="CG83" s="330" t="str">
        <f>IF(AND(E34&lt;&gt;"",U34&lt;&gt;100%),D34,"")</f>
        <v/>
      </c>
      <c r="CH83" s="101"/>
      <c r="CI83" s="331"/>
      <c r="CJ83" s="332"/>
      <c r="CT83" s="326"/>
      <c r="CU83" s="326"/>
      <c r="CV83" s="326"/>
      <c r="CW83" s="326"/>
      <c r="CX83" s="326"/>
      <c r="CY83" s="326"/>
      <c r="CZ83" s="326"/>
      <c r="DE83" s="307"/>
      <c r="DF83" s="379"/>
      <c r="DL83" s="379"/>
      <c r="DQ83" s="307"/>
      <c r="DR83" s="379"/>
      <c r="DW83" s="319"/>
      <c r="DY83" s="36"/>
      <c r="EA83" s="28"/>
      <c r="EB83" s="319"/>
      <c r="EC83" s="28"/>
      <c r="ED83" s="28"/>
      <c r="EE83" s="28"/>
    </row>
    <row r="84" spans="2:135" ht="17.100000000000001" customHeight="1" x14ac:dyDescent="0.15">
      <c r="B84" s="4065"/>
      <c r="D84" s="3940"/>
      <c r="E84" s="3942"/>
      <c r="F84" s="3942"/>
      <c r="G84" s="3942"/>
      <c r="H84" s="3942"/>
      <c r="I84" s="3942"/>
      <c r="J84" s="3942"/>
      <c r="K84" s="3942"/>
      <c r="L84" s="3942"/>
      <c r="M84" s="3942"/>
      <c r="N84" s="3942"/>
      <c r="O84" s="3942"/>
      <c r="P84" s="3942"/>
      <c r="Q84" s="3942"/>
      <c r="R84" s="3942"/>
      <c r="S84" s="3942"/>
      <c r="T84" s="3942"/>
      <c r="U84" s="3943"/>
      <c r="Y84" s="4065"/>
      <c r="AA84" s="3940"/>
      <c r="AB84" s="3942"/>
      <c r="AC84" s="3942"/>
      <c r="AD84" s="3942"/>
      <c r="AE84" s="3942"/>
      <c r="AF84" s="3942"/>
      <c r="AG84" s="3942"/>
      <c r="AH84" s="3942"/>
      <c r="AI84" s="3942"/>
      <c r="AJ84" s="3942"/>
      <c r="AK84" s="3942"/>
      <c r="AL84" s="292"/>
      <c r="AP84" s="293"/>
      <c r="AQ84" s="3965"/>
      <c r="AR84" s="3966"/>
      <c r="AS84" s="3966"/>
      <c r="AT84" s="3966"/>
      <c r="AU84" s="3966"/>
      <c r="AV84" s="3966"/>
      <c r="AW84" s="3966"/>
      <c r="AX84" s="3966"/>
      <c r="AY84" s="3966"/>
      <c r="AZ84" s="3966"/>
      <c r="BA84" s="3967"/>
      <c r="BC84" s="3939"/>
      <c r="BG84" s="3924"/>
      <c r="BH84" s="3929"/>
      <c r="BI84" s="3930"/>
      <c r="BJ84" s="3930"/>
      <c r="BK84" s="3930"/>
      <c r="BL84" s="3930"/>
      <c r="BM84" s="3930"/>
      <c r="BN84" s="3930"/>
      <c r="BO84" s="3930"/>
      <c r="BP84" s="3930"/>
      <c r="BQ84" s="3930"/>
      <c r="BR84" s="3930"/>
      <c r="BS84" s="3930"/>
      <c r="BT84" s="3930"/>
      <c r="BU84" s="3930"/>
      <c r="BV84" s="3930"/>
      <c r="BW84" s="3931"/>
      <c r="BX84" s="4014"/>
      <c r="BZ84" s="4065"/>
      <c r="CC84" s="19">
        <v>19</v>
      </c>
      <c r="CD84" s="19" t="s">
        <v>747</v>
      </c>
      <c r="CE84" s="19" t="s">
        <v>766</v>
      </c>
      <c r="CG84" s="330" t="str">
        <f>IF(AND(E36&lt;&gt;"",U36&lt;&gt;100%),D36,"")</f>
        <v/>
      </c>
      <c r="CH84" s="101"/>
      <c r="CI84" s="331"/>
      <c r="CJ84" s="332"/>
      <c r="CT84" s="326"/>
      <c r="CU84" s="326"/>
      <c r="CV84" s="326"/>
      <c r="CW84" s="326"/>
      <c r="CX84" s="326"/>
      <c r="CY84" s="326"/>
      <c r="CZ84" s="326"/>
      <c r="DW84" s="320">
        <f ca="1">IF(OR(
AND(AB28&lt;&gt;"",AL29&lt;&gt;"",AL28&lt;$EC$66,AM28="",AL29=$B$1+$DW$66),
AND(AB28&lt;&gt;"",AL29&lt;&gt;"",AL28&lt;$EC$67,AM28="",AL29=$B$1+$DW$67),
AND(AB28&lt;&gt;"",AL29&lt;&gt;"",AL28&lt;$EC$68,AM28="",AL29=$B$1+$DW$68),
AND(AB28&lt;&gt;"",AL29&lt;&gt;"",AL28&lt;$EC$69,AM28="",AL29&lt;=$B$1+$DW$69)
),1,0)</f>
        <v>0</v>
      </c>
      <c r="DY84" s="321"/>
      <c r="EA84" s="28"/>
      <c r="EB84" s="320">
        <f ca="1">IF(OR(
AND(AQ28&lt;&gt;"",AP29&lt;&gt;"",AP28&lt;$EC$66,AO28="",AP29=$B$1+$DW$66),
AND(AQ28&lt;&gt;"",AP29&lt;&gt;"",AP28&lt;$EC$67,AO28="",AP29=$B$1+$DW$67),
AND(AQ28&lt;&gt;"",AP29&lt;&gt;"",AP28&lt;$EC$68,AO28="",AP29=$B$1+$DW$68),
AND(AQ28&lt;&gt;"",AP29&lt;&gt;"",AP28&lt;$EC$69,AO28="",AP29&lt;=$B$1+$DW$69)
),1,0)</f>
        <v>0</v>
      </c>
      <c r="EC84" s="28"/>
      <c r="ED84" s="28"/>
      <c r="EE84" s="28"/>
    </row>
    <row r="85" spans="2:135" ht="17.100000000000001" customHeight="1" x14ac:dyDescent="0.15">
      <c r="B85" s="333" t="s">
        <v>171</v>
      </c>
      <c r="D85" s="3940"/>
      <c r="E85" s="3941"/>
      <c r="F85" s="3941"/>
      <c r="G85" s="3941"/>
      <c r="H85" s="3941"/>
      <c r="I85" s="3941"/>
      <c r="J85" s="3941"/>
      <c r="K85" s="3941"/>
      <c r="L85" s="3941"/>
      <c r="M85" s="3941"/>
      <c r="N85" s="3941"/>
      <c r="O85" s="3941"/>
      <c r="P85" s="3941"/>
      <c r="Q85" s="3941"/>
      <c r="R85" s="3941"/>
      <c r="S85" s="3941"/>
      <c r="T85" s="3941"/>
      <c r="U85" s="3937"/>
      <c r="Y85" s="333" t="str">
        <f>$CO$40</f>
        <v>MND1</v>
      </c>
      <c r="AA85" s="3935"/>
      <c r="AB85" s="3942"/>
      <c r="AC85" s="3942"/>
      <c r="AD85" s="3942"/>
      <c r="AE85" s="3942"/>
      <c r="AF85" s="3942"/>
      <c r="AG85" s="3942"/>
      <c r="AH85" s="3942"/>
      <c r="AI85" s="3942"/>
      <c r="AJ85" s="3942"/>
      <c r="AK85" s="3942"/>
      <c r="AL85" s="290"/>
      <c r="AP85" s="291"/>
      <c r="AQ85" s="3965"/>
      <c r="AR85" s="3966"/>
      <c r="AS85" s="3966"/>
      <c r="AT85" s="3966"/>
      <c r="AU85" s="3966"/>
      <c r="AV85" s="3966"/>
      <c r="AW85" s="3966"/>
      <c r="AX85" s="3966"/>
      <c r="AY85" s="3966"/>
      <c r="AZ85" s="3966"/>
      <c r="BA85" s="3923"/>
      <c r="BC85" s="333" t="str">
        <f>$CO$49</f>
        <v>BDY1</v>
      </c>
      <c r="BG85" s="4013"/>
      <c r="BH85" s="3941"/>
      <c r="BI85" s="3941"/>
      <c r="BJ85" s="3941"/>
      <c r="BK85" s="3941"/>
      <c r="BL85" s="3941"/>
      <c r="BM85" s="3941"/>
      <c r="BN85" s="3941"/>
      <c r="BO85" s="3941"/>
      <c r="BP85" s="3941"/>
      <c r="BQ85" s="3941"/>
      <c r="BR85" s="3941"/>
      <c r="BS85" s="3941"/>
      <c r="BT85" s="3941"/>
      <c r="BU85" s="3941"/>
      <c r="BV85" s="3941"/>
      <c r="BW85" s="3941"/>
      <c r="BX85" s="3933"/>
      <c r="BZ85" s="333" t="s">
        <v>36</v>
      </c>
      <c r="CC85" s="19">
        <v>20</v>
      </c>
      <c r="CD85" s="19" t="s">
        <v>756</v>
      </c>
      <c r="CG85" s="330" t="str">
        <f>IF(AND(BH4&lt;&gt;"",BG4&lt;&gt;100%),BX4,"")</f>
        <v/>
      </c>
      <c r="CH85" s="101"/>
      <c r="CI85" s="331"/>
      <c r="CT85" s="326"/>
      <c r="CU85" s="326"/>
      <c r="CV85" s="326"/>
      <c r="CW85" s="326"/>
      <c r="CX85" s="326"/>
      <c r="CY85" s="326"/>
      <c r="CZ85" s="326"/>
      <c r="DE85" s="307"/>
      <c r="DF85" s="379"/>
      <c r="DK85" s="307"/>
      <c r="DL85" s="379"/>
      <c r="DQ85" s="307"/>
      <c r="DR85" s="379"/>
      <c r="DW85" s="1150"/>
      <c r="DY85" s="321"/>
      <c r="EA85" s="28"/>
      <c r="EB85" s="1150"/>
      <c r="EC85" s="28"/>
      <c r="ED85" s="28"/>
      <c r="EE85" s="28"/>
    </row>
    <row r="86" spans="2:135" ht="17.100000000000001" customHeight="1" x14ac:dyDescent="0.15">
      <c r="B86" s="334"/>
      <c r="D86" s="3940"/>
      <c r="E86" s="3942"/>
      <c r="F86" s="3942"/>
      <c r="G86" s="3942"/>
      <c r="H86" s="3942"/>
      <c r="I86" s="3942"/>
      <c r="J86" s="3942"/>
      <c r="K86" s="3942"/>
      <c r="L86" s="3942"/>
      <c r="M86" s="3942"/>
      <c r="N86" s="3942"/>
      <c r="O86" s="3942"/>
      <c r="P86" s="3942"/>
      <c r="Q86" s="3942"/>
      <c r="R86" s="3942"/>
      <c r="S86" s="3942"/>
      <c r="T86" s="3942"/>
      <c r="U86" s="3943"/>
      <c r="AA86" s="3940"/>
      <c r="AB86" s="3942"/>
      <c r="AC86" s="3942"/>
      <c r="AD86" s="3942"/>
      <c r="AE86" s="3942"/>
      <c r="AF86" s="3942"/>
      <c r="AG86" s="3942"/>
      <c r="AH86" s="3942"/>
      <c r="AI86" s="3942"/>
      <c r="AJ86" s="3942"/>
      <c r="AK86" s="3942"/>
      <c r="AL86" s="292"/>
      <c r="AN86" s="334"/>
      <c r="AP86" s="293"/>
      <c r="AQ86" s="3965"/>
      <c r="AR86" s="3966"/>
      <c r="AS86" s="3966"/>
      <c r="AT86" s="3966"/>
      <c r="AU86" s="3966"/>
      <c r="AV86" s="3966"/>
      <c r="AW86" s="3966"/>
      <c r="AX86" s="3966"/>
      <c r="AY86" s="3966"/>
      <c r="AZ86" s="3966"/>
      <c r="BA86" s="3967"/>
      <c r="BG86" s="4013"/>
      <c r="BH86" s="3942"/>
      <c r="BI86" s="3942"/>
      <c r="BJ86" s="3942"/>
      <c r="BK86" s="3942"/>
      <c r="BL86" s="3942"/>
      <c r="BM86" s="3942"/>
      <c r="BN86" s="3942"/>
      <c r="BO86" s="3942"/>
      <c r="BP86" s="3942"/>
      <c r="BQ86" s="3942"/>
      <c r="BR86" s="3942"/>
      <c r="BS86" s="3942"/>
      <c r="BT86" s="3942"/>
      <c r="BU86" s="3942"/>
      <c r="BV86" s="3942"/>
      <c r="BW86" s="3942"/>
      <c r="BX86" s="4014"/>
      <c r="BZ86" s="334"/>
      <c r="CC86" s="19">
        <v>21</v>
      </c>
      <c r="CD86" s="19" t="s">
        <v>757</v>
      </c>
      <c r="CG86" s="330" t="str">
        <f>IF(AND(BH6&lt;&gt;"",BG6&lt;&gt;100%),BX6,"")</f>
        <v/>
      </c>
      <c r="CH86" s="101"/>
      <c r="CI86" s="331"/>
      <c r="CT86" s="326"/>
      <c r="CU86" s="326"/>
      <c r="CV86" s="326"/>
      <c r="CW86" s="326"/>
      <c r="CX86" s="326"/>
      <c r="CY86" s="326"/>
      <c r="CZ86" s="326"/>
      <c r="DW86" s="1149">
        <f ca="1">IF(OR(
AND(AB30&lt;&gt;"",AL31&lt;&gt;"",AL30&lt;$EC$66,AM30="",AL31=$B$1+$DW$66),
AND(AB30&lt;&gt;"",AL31&lt;&gt;"",AL30&lt;$EC$67,AM30="",AL31=$B$1+$DW$67),
AND(AB30&lt;&gt;"",AL31&lt;&gt;"",AL30&lt;$EC$68,AM30="",AL31=$B$1+$DW$68),
AND(AB30&lt;&gt;"",AL31&lt;&gt;"",AL30&lt;$EC$69,AM30="",AL31&lt;=$B$1+$DW$69)
),1,0)</f>
        <v>0</v>
      </c>
      <c r="DY86" s="297">
        <f ca="1">SUM(DW86:DW93)</f>
        <v>0</v>
      </c>
      <c r="EA86" s="28"/>
      <c r="EB86" s="1149">
        <f ca="1">IF(OR(
AND(AQ30&lt;&gt;"",AP31&lt;&gt;"",AP30&lt;$EC$66,AO30="",AP31=$B$1+$DW$66),
AND(AQ30&lt;&gt;"",AP31&lt;&gt;"",AP30&lt;$EC$67,AO30="",AP31=$B$1+$DW$67),
AND(AQ30&lt;&gt;"",AP31&lt;&gt;"",AP30&lt;$EC$68,AO30="",AP31=$B$1+$DW$68),
AND(AQ30&lt;&gt;"",AP31&lt;&gt;"",AP30&lt;$EC$69,AO30="",AP31&lt;=$B$1+$DW$69)
),1,0)</f>
        <v>0</v>
      </c>
      <c r="ED86" s="297">
        <f ca="1">SUM(EB86:EB93)</f>
        <v>0</v>
      </c>
      <c r="EE86" s="28"/>
    </row>
    <row r="87" spans="2:135" ht="17.100000000000001" customHeight="1" x14ac:dyDescent="0.15">
      <c r="B87" s="4065" t="s">
        <v>45</v>
      </c>
      <c r="D87" s="3940"/>
      <c r="E87" s="3941"/>
      <c r="F87" s="3941"/>
      <c r="G87" s="3941"/>
      <c r="H87" s="3941"/>
      <c r="I87" s="3941"/>
      <c r="J87" s="3941"/>
      <c r="K87" s="3941"/>
      <c r="L87" s="3941"/>
      <c r="M87" s="3941"/>
      <c r="N87" s="3941"/>
      <c r="O87" s="3941"/>
      <c r="P87" s="3941"/>
      <c r="Q87" s="3941"/>
      <c r="R87" s="3941"/>
      <c r="S87" s="3941"/>
      <c r="T87" s="3941"/>
      <c r="U87" s="3937"/>
      <c r="Y87" s="3938" t="str">
        <f>MID(Y89,1,2)</f>
        <v>MN</v>
      </c>
      <c r="AA87" s="3935"/>
      <c r="AB87" s="3942"/>
      <c r="AC87" s="3942"/>
      <c r="AD87" s="3942"/>
      <c r="AE87" s="3942"/>
      <c r="AF87" s="3942"/>
      <c r="AG87" s="3942"/>
      <c r="AH87" s="3942"/>
      <c r="AI87" s="3942"/>
      <c r="AJ87" s="3942"/>
      <c r="AK87" s="3942"/>
      <c r="AL87" s="290"/>
      <c r="AP87" s="291"/>
      <c r="AQ87" s="3965"/>
      <c r="AR87" s="3966"/>
      <c r="AS87" s="3966"/>
      <c r="AT87" s="3966"/>
      <c r="AU87" s="3966"/>
      <c r="AV87" s="3966"/>
      <c r="AW87" s="3966"/>
      <c r="AX87" s="3966"/>
      <c r="AY87" s="3966"/>
      <c r="AZ87" s="3966"/>
      <c r="BA87" s="3923"/>
      <c r="BC87" s="3938" t="str">
        <f>MID(BC89,1,2)</f>
        <v>BD</v>
      </c>
      <c r="BG87" s="4013"/>
      <c r="BH87" s="3941"/>
      <c r="BI87" s="3941"/>
      <c r="BJ87" s="3941"/>
      <c r="BK87" s="3941"/>
      <c r="BL87" s="3941"/>
      <c r="BM87" s="3941"/>
      <c r="BN87" s="3941"/>
      <c r="BO87" s="3941"/>
      <c r="BP87" s="3941"/>
      <c r="BQ87" s="3941"/>
      <c r="BR87" s="3941"/>
      <c r="BS87" s="3941"/>
      <c r="BT87" s="3941"/>
      <c r="BU87" s="3941"/>
      <c r="BV87" s="3941"/>
      <c r="BW87" s="3941"/>
      <c r="BX87" s="3933"/>
      <c r="BZ87" s="4065" t="s">
        <v>366</v>
      </c>
      <c r="CC87" s="19">
        <v>22</v>
      </c>
      <c r="CD87" s="19" t="s">
        <v>758</v>
      </c>
      <c r="CG87" s="330" t="str">
        <f>IF(AND(BH8&lt;&gt;"",BG8&lt;&gt;100%),BX8,"")</f>
        <v/>
      </c>
      <c r="CH87" s="101"/>
      <c r="CI87" s="331"/>
      <c r="CT87" s="326"/>
      <c r="CU87" s="326"/>
      <c r="CV87" s="326"/>
      <c r="CW87" s="326"/>
      <c r="CX87" s="326"/>
      <c r="CY87" s="326"/>
      <c r="CZ87" s="326"/>
      <c r="DW87" s="319"/>
      <c r="DY87" s="36" t="s">
        <v>439</v>
      </c>
      <c r="EA87" s="28"/>
      <c r="EB87" s="319"/>
      <c r="ED87" s="36" t="s">
        <v>439</v>
      </c>
      <c r="EE87" s="28"/>
    </row>
    <row r="88" spans="2:135" ht="17.100000000000001" customHeight="1" x14ac:dyDescent="0.15">
      <c r="B88" s="4065"/>
      <c r="D88" s="3940"/>
      <c r="E88" s="3942"/>
      <c r="F88" s="3942"/>
      <c r="G88" s="3942"/>
      <c r="H88" s="3942"/>
      <c r="I88" s="3942"/>
      <c r="J88" s="3942"/>
      <c r="K88" s="3942"/>
      <c r="L88" s="3942"/>
      <c r="M88" s="3942"/>
      <c r="N88" s="3942"/>
      <c r="O88" s="3942"/>
      <c r="P88" s="3942"/>
      <c r="Q88" s="3942"/>
      <c r="R88" s="3942"/>
      <c r="S88" s="3942"/>
      <c r="T88" s="3942"/>
      <c r="U88" s="3943"/>
      <c r="Y88" s="3939"/>
      <c r="AA88" s="3940"/>
      <c r="AB88" s="3942"/>
      <c r="AC88" s="3942"/>
      <c r="AD88" s="3942"/>
      <c r="AE88" s="3942"/>
      <c r="AF88" s="3942"/>
      <c r="AG88" s="3942"/>
      <c r="AH88" s="3942"/>
      <c r="AI88" s="3942"/>
      <c r="AJ88" s="3942"/>
      <c r="AK88" s="3942"/>
      <c r="AL88" s="292"/>
      <c r="AP88" s="293"/>
      <c r="AQ88" s="3965"/>
      <c r="AR88" s="3966"/>
      <c r="AS88" s="3966"/>
      <c r="AT88" s="3966"/>
      <c r="AU88" s="3966"/>
      <c r="AV88" s="3966"/>
      <c r="AW88" s="3966"/>
      <c r="AX88" s="3966"/>
      <c r="AY88" s="3966"/>
      <c r="AZ88" s="3966"/>
      <c r="BA88" s="3967"/>
      <c r="BC88" s="3939"/>
      <c r="BG88" s="4013"/>
      <c r="BH88" s="3942"/>
      <c r="BI88" s="3942"/>
      <c r="BJ88" s="3942"/>
      <c r="BK88" s="3942"/>
      <c r="BL88" s="3942"/>
      <c r="BM88" s="3942"/>
      <c r="BN88" s="3942"/>
      <c r="BO88" s="3942"/>
      <c r="BP88" s="3942"/>
      <c r="BQ88" s="3942"/>
      <c r="BR88" s="3942"/>
      <c r="BS88" s="3942"/>
      <c r="BT88" s="3942"/>
      <c r="BU88" s="3942"/>
      <c r="BV88" s="3942"/>
      <c r="BW88" s="3942"/>
      <c r="BX88" s="4014"/>
      <c r="BZ88" s="4065"/>
      <c r="CC88" s="19">
        <v>23</v>
      </c>
      <c r="CD88" s="19" t="s">
        <v>759</v>
      </c>
      <c r="CG88" s="330" t="str">
        <f>IF(AND(BH10&lt;&gt;"",BG10&lt;&gt;100%),BX10,"")</f>
        <v/>
      </c>
      <c r="CH88" s="101"/>
      <c r="CI88" s="331"/>
      <c r="CT88" s="326"/>
      <c r="CU88" s="326"/>
      <c r="CV88" s="326"/>
      <c r="CW88" s="326"/>
      <c r="CX88" s="326"/>
      <c r="CY88" s="326"/>
      <c r="CZ88" s="326"/>
      <c r="DW88" s="320">
        <f ca="1">IF(OR(
AND(AB32&lt;&gt;"",AL33&lt;&gt;"",AL32&lt;$EC$66,AM32="",AL33=$B$1+$DW$66),
AND(AB32&lt;&gt;"",AL33&lt;&gt;"",AL32&lt;$EC$67,AM32="",AL33=$B$1+$DW$67),
AND(AB32&lt;&gt;"",AL33&lt;&gt;"",AL32&lt;$EC$68,AM32="",AL33=$B$1+$DW$68),
AND(AB32&lt;&gt;"",AL33&lt;&gt;"",AL32&lt;$EC$69,AM32="",AL33&lt;=$B$1+$DW$69)
),1,0)</f>
        <v>0</v>
      </c>
      <c r="DY88" s="315"/>
      <c r="EA88" s="28"/>
      <c r="EB88" s="320">
        <f ca="1">IF(OR(
AND(AQ32&lt;&gt;"",AP33&lt;&gt;"",AP32&lt;$EC$66,AO32="",AP33=$B$1+$DW$66),
AND(AQ32&lt;&gt;"",AP33&lt;&gt;"",AP32&lt;$EC$67,AO32="",AP33=$B$1+$DW$67),
AND(AQ32&lt;&gt;"",AP33&lt;&gt;"",AP32&lt;$EC$68,AO32="",AP33=$B$1+$DW$68),
AND(AQ32&lt;&gt;"",AP33&lt;&gt;"",AP32&lt;$EC$69,AO32="",AP33&lt;=$B$1+$DW$69)
),1,0)</f>
        <v>0</v>
      </c>
      <c r="EC88" s="28"/>
      <c r="ED88" s="28"/>
      <c r="EE88" s="28"/>
    </row>
    <row r="89" spans="2:135" ht="17.100000000000001" customHeight="1" x14ac:dyDescent="0.15">
      <c r="B89" s="333" t="s">
        <v>456</v>
      </c>
      <c r="D89" s="3940"/>
      <c r="E89" s="3941"/>
      <c r="F89" s="3941"/>
      <c r="G89" s="3941"/>
      <c r="H89" s="3941"/>
      <c r="I89" s="3941"/>
      <c r="J89" s="3941"/>
      <c r="K89" s="3941"/>
      <c r="L89" s="3941"/>
      <c r="M89" s="3941"/>
      <c r="N89" s="3941"/>
      <c r="O89" s="3941"/>
      <c r="P89" s="3941"/>
      <c r="Q89" s="3941"/>
      <c r="R89" s="3941"/>
      <c r="S89" s="3941"/>
      <c r="T89" s="3941"/>
      <c r="U89" s="3937"/>
      <c r="Y89" s="333" t="str">
        <f>$CO$41</f>
        <v>MND2</v>
      </c>
      <c r="AA89" s="3935"/>
      <c r="AB89" s="3942"/>
      <c r="AC89" s="3942"/>
      <c r="AD89" s="3942"/>
      <c r="AE89" s="3942"/>
      <c r="AF89" s="3942"/>
      <c r="AG89" s="3942"/>
      <c r="AH89" s="3942"/>
      <c r="AI89" s="3942"/>
      <c r="AJ89" s="3942"/>
      <c r="AK89" s="3942"/>
      <c r="AL89" s="290"/>
      <c r="AP89" s="291"/>
      <c r="AQ89" s="3965"/>
      <c r="AR89" s="3966"/>
      <c r="AS89" s="3966"/>
      <c r="AT89" s="3966"/>
      <c r="AU89" s="3966"/>
      <c r="AV89" s="3966"/>
      <c r="AW89" s="3966"/>
      <c r="AX89" s="3966"/>
      <c r="AY89" s="3966"/>
      <c r="AZ89" s="3966"/>
      <c r="BA89" s="3923"/>
      <c r="BC89" s="333" t="str">
        <f>$CO$50</f>
        <v>BDY2</v>
      </c>
      <c r="BG89" s="4013"/>
      <c r="BH89" s="3941"/>
      <c r="BI89" s="3941"/>
      <c r="BJ89" s="3941"/>
      <c r="BK89" s="3941"/>
      <c r="BL89" s="3941"/>
      <c r="BM89" s="3941"/>
      <c r="BN89" s="3941"/>
      <c r="BO89" s="3941"/>
      <c r="BP89" s="3941"/>
      <c r="BQ89" s="3941"/>
      <c r="BR89" s="3941"/>
      <c r="BS89" s="3941"/>
      <c r="BT89" s="3941"/>
      <c r="BU89" s="3941"/>
      <c r="BV89" s="3941"/>
      <c r="BW89" s="3941"/>
      <c r="BX89" s="3933"/>
      <c r="BZ89" s="333" t="s">
        <v>732</v>
      </c>
      <c r="CC89" s="19">
        <v>24</v>
      </c>
      <c r="CD89" s="19" t="s">
        <v>760</v>
      </c>
      <c r="CG89" s="330" t="str">
        <f>IF(AND(BH12&lt;&gt;"",BG12&lt;&gt;100%),BX12,"")</f>
        <v/>
      </c>
      <c r="CH89" s="101"/>
      <c r="CI89" s="331"/>
      <c r="CT89" s="326"/>
      <c r="CU89" s="326"/>
      <c r="CV89" s="326"/>
      <c r="CW89" s="326"/>
      <c r="CX89" s="326"/>
      <c r="CY89" s="326"/>
      <c r="CZ89" s="326"/>
      <c r="DW89" s="319"/>
      <c r="DY89" s="321"/>
      <c r="EA89" s="28"/>
      <c r="EB89" s="319"/>
      <c r="EC89" s="28"/>
      <c r="ED89" s="28"/>
      <c r="EE89" s="28"/>
    </row>
    <row r="90" spans="2:135" ht="17.100000000000001" customHeight="1" x14ac:dyDescent="0.15">
      <c r="D90" s="3940"/>
      <c r="E90" s="3942"/>
      <c r="F90" s="3942"/>
      <c r="G90" s="3942"/>
      <c r="H90" s="3942"/>
      <c r="I90" s="3942"/>
      <c r="J90" s="3942"/>
      <c r="K90" s="3942"/>
      <c r="L90" s="3942"/>
      <c r="M90" s="3942"/>
      <c r="N90" s="3942"/>
      <c r="O90" s="3942"/>
      <c r="P90" s="3942"/>
      <c r="Q90" s="3942"/>
      <c r="R90" s="3942"/>
      <c r="S90" s="3942"/>
      <c r="T90" s="3942"/>
      <c r="U90" s="3943"/>
      <c r="AA90" s="3940"/>
      <c r="AB90" s="3942"/>
      <c r="AC90" s="3942"/>
      <c r="AD90" s="3942"/>
      <c r="AE90" s="3942"/>
      <c r="AF90" s="3942"/>
      <c r="AG90" s="3942"/>
      <c r="AH90" s="3942"/>
      <c r="AI90" s="3942"/>
      <c r="AJ90" s="3942"/>
      <c r="AK90" s="3942"/>
      <c r="AL90" s="292"/>
      <c r="AP90" s="293"/>
      <c r="AQ90" s="3965"/>
      <c r="AR90" s="3966"/>
      <c r="AS90" s="3966"/>
      <c r="AT90" s="3966"/>
      <c r="AU90" s="3966"/>
      <c r="AV90" s="3966"/>
      <c r="AW90" s="3966"/>
      <c r="AX90" s="3966"/>
      <c r="AY90" s="3966"/>
      <c r="AZ90" s="3966"/>
      <c r="BA90" s="3967"/>
      <c r="BG90" s="4013"/>
      <c r="BH90" s="3942"/>
      <c r="BI90" s="3942"/>
      <c r="BJ90" s="3942"/>
      <c r="BK90" s="3942"/>
      <c r="BL90" s="3942"/>
      <c r="BM90" s="3942"/>
      <c r="BN90" s="3942"/>
      <c r="BO90" s="3942"/>
      <c r="BP90" s="3942"/>
      <c r="BQ90" s="3942"/>
      <c r="BR90" s="3942"/>
      <c r="BS90" s="3942"/>
      <c r="BT90" s="3942"/>
      <c r="BU90" s="3942"/>
      <c r="BV90" s="3942"/>
      <c r="BW90" s="3942"/>
      <c r="BX90" s="4014"/>
      <c r="CC90" s="19">
        <v>25</v>
      </c>
      <c r="CD90" s="19" t="s">
        <v>761</v>
      </c>
      <c r="CG90" s="330" t="str">
        <f>IF(AND(BH14&lt;&gt;"",BG14&lt;&gt;100%),BX14,"")</f>
        <v/>
      </c>
      <c r="CH90" s="101"/>
      <c r="CI90" s="331"/>
      <c r="CT90" s="326"/>
      <c r="CU90" s="326"/>
      <c r="CV90" s="326"/>
      <c r="CW90" s="326"/>
      <c r="CX90" s="326"/>
      <c r="CY90" s="326"/>
      <c r="CZ90" s="326"/>
      <c r="DW90" s="320">
        <f ca="1">IF(OR(
AND(AB34&lt;&gt;"",AL35&lt;&gt;"",AL34&lt;$EC$66,AM34="",AL35=$B$1+$DW$66),
AND(AB34&lt;&gt;"",AL35&lt;&gt;"",AL34&lt;$EC$67,AM34="",AL35=$B$1+$DW$67),
AND(AB34&lt;&gt;"",AL35&lt;&gt;"",AL34&lt;$EC$68,AM34="",AL35=$B$1+$DW$68),
AND(AB34&lt;&gt;"",AL35&lt;&gt;"",AL34&lt;$EC$69,AM34="",AL35&lt;=$B$1+$DW$69)
),1,0)</f>
        <v>0</v>
      </c>
      <c r="DY90" s="36">
        <f>Y30</f>
        <v>0</v>
      </c>
      <c r="EA90" s="28"/>
      <c r="EB90" s="320">
        <f ca="1">IF(OR(
AND(AQ34&lt;&gt;"",AP35&lt;&gt;"",AP34&lt;$EC$66,AO34="",AP35=$B$1+$DW$66),
AND(AQ34&lt;&gt;"",AP35&lt;&gt;"",AP34&lt;$EC$67,AO34="",AP35=$B$1+$DW$67),
AND(AQ34&lt;&gt;"",AP35&lt;&gt;"",AP34&lt;$EC$68,AO34="",AP35=$B$1+$DW$68),
AND(AQ34&lt;&gt;"",AP35&lt;&gt;"",AP34&lt;$EC$69,AO34="",AP35&lt;=$B$1+$DW$69)
),1,0)</f>
        <v>0</v>
      </c>
      <c r="EC90" s="28"/>
      <c r="ED90" s="36">
        <f>BB30</f>
        <v>0</v>
      </c>
      <c r="EE90" s="28"/>
    </row>
    <row r="91" spans="2:135" ht="17.100000000000001" customHeight="1" x14ac:dyDescent="0.15">
      <c r="B91" s="4065" t="s">
        <v>46</v>
      </c>
      <c r="D91" s="3940"/>
      <c r="E91" s="3941"/>
      <c r="F91" s="3941"/>
      <c r="G91" s="3941"/>
      <c r="H91" s="3941"/>
      <c r="I91" s="3941"/>
      <c r="J91" s="3941"/>
      <c r="K91" s="3941"/>
      <c r="L91" s="3941"/>
      <c r="M91" s="3941"/>
      <c r="N91" s="3941"/>
      <c r="O91" s="3941"/>
      <c r="P91" s="3941"/>
      <c r="Q91" s="3941"/>
      <c r="R91" s="3941"/>
      <c r="S91" s="3941"/>
      <c r="T91" s="3941"/>
      <c r="U91" s="3937"/>
      <c r="Y91" s="3938" t="str">
        <f>MID(Y93,1,2)</f>
        <v>MN</v>
      </c>
      <c r="AA91" s="3935"/>
      <c r="AB91" s="3942"/>
      <c r="AC91" s="3942"/>
      <c r="AD91" s="3942"/>
      <c r="AE91" s="3942"/>
      <c r="AF91" s="3942"/>
      <c r="AG91" s="3942"/>
      <c r="AH91" s="3942"/>
      <c r="AI91" s="3942"/>
      <c r="AJ91" s="3942"/>
      <c r="AK91" s="3942"/>
      <c r="AL91" s="290"/>
      <c r="AP91" s="291"/>
      <c r="AQ91" s="3965"/>
      <c r="AR91" s="3966"/>
      <c r="AS91" s="3966"/>
      <c r="AT91" s="3966"/>
      <c r="AU91" s="3966"/>
      <c r="AV91" s="3966"/>
      <c r="AW91" s="3966"/>
      <c r="AX91" s="3966"/>
      <c r="AY91" s="3966"/>
      <c r="AZ91" s="3966"/>
      <c r="BA91" s="3923"/>
      <c r="BC91" s="3938" t="str">
        <f>MID(BC93,1,2)</f>
        <v>BD</v>
      </c>
      <c r="BG91" s="4013"/>
      <c r="BH91" s="3941"/>
      <c r="BI91" s="3941"/>
      <c r="BJ91" s="3941"/>
      <c r="BK91" s="3941"/>
      <c r="BL91" s="3941"/>
      <c r="BM91" s="3941"/>
      <c r="BN91" s="3941"/>
      <c r="BO91" s="3941"/>
      <c r="BP91" s="3941"/>
      <c r="BQ91" s="3941"/>
      <c r="BR91" s="3941"/>
      <c r="BS91" s="3941"/>
      <c r="BT91" s="3941"/>
      <c r="BU91" s="3941"/>
      <c r="BV91" s="3941"/>
      <c r="BW91" s="3941"/>
      <c r="BX91" s="3933"/>
      <c r="BZ91" s="4065" t="s">
        <v>745</v>
      </c>
      <c r="CC91" s="19">
        <v>26</v>
      </c>
      <c r="CG91" s="330" t="str">
        <f>IF(AND(BH16&lt;&gt;"",BG16&lt;&gt;100%),BX16,"")</f>
        <v/>
      </c>
      <c r="CH91" s="101"/>
      <c r="CI91" s="331"/>
      <c r="CT91" s="326"/>
      <c r="CU91" s="326"/>
      <c r="CV91" s="326"/>
      <c r="CW91" s="326"/>
      <c r="CX91" s="326"/>
      <c r="CY91" s="326"/>
      <c r="CZ91" s="326"/>
      <c r="DW91" s="319"/>
      <c r="DY91" s="36"/>
      <c r="EA91" s="28"/>
      <c r="EB91" s="319"/>
      <c r="EC91" s="28"/>
      <c r="ED91" s="28"/>
      <c r="EE91" s="28"/>
    </row>
    <row r="92" spans="2:135" ht="17.100000000000001" customHeight="1" x14ac:dyDescent="0.15">
      <c r="B92" s="4065"/>
      <c r="D92" s="3940"/>
      <c r="E92" s="3942"/>
      <c r="F92" s="3942"/>
      <c r="G92" s="3942"/>
      <c r="H92" s="3942"/>
      <c r="I92" s="3942"/>
      <c r="J92" s="3942"/>
      <c r="K92" s="3942"/>
      <c r="L92" s="3942"/>
      <c r="M92" s="3942"/>
      <c r="N92" s="3942"/>
      <c r="O92" s="3942"/>
      <c r="P92" s="3942"/>
      <c r="Q92" s="3942"/>
      <c r="R92" s="3942"/>
      <c r="S92" s="3942"/>
      <c r="T92" s="3942"/>
      <c r="U92" s="3943"/>
      <c r="Y92" s="3939"/>
      <c r="AA92" s="3940"/>
      <c r="AB92" s="3942"/>
      <c r="AC92" s="3942"/>
      <c r="AD92" s="3942"/>
      <c r="AE92" s="3942"/>
      <c r="AF92" s="3942"/>
      <c r="AG92" s="3942"/>
      <c r="AH92" s="3942"/>
      <c r="AI92" s="3942"/>
      <c r="AJ92" s="3942"/>
      <c r="AK92" s="3942"/>
      <c r="AL92" s="292"/>
      <c r="AP92" s="293"/>
      <c r="AQ92" s="3965"/>
      <c r="AR92" s="3966"/>
      <c r="AS92" s="3966"/>
      <c r="AT92" s="3966"/>
      <c r="AU92" s="3966"/>
      <c r="AV92" s="3966"/>
      <c r="AW92" s="3966"/>
      <c r="AX92" s="3966"/>
      <c r="AY92" s="3966"/>
      <c r="AZ92" s="3966"/>
      <c r="BA92" s="3967"/>
      <c r="BC92" s="3939"/>
      <c r="BG92" s="4013"/>
      <c r="BH92" s="3942"/>
      <c r="BI92" s="3942"/>
      <c r="BJ92" s="3942"/>
      <c r="BK92" s="3942"/>
      <c r="BL92" s="3942"/>
      <c r="BM92" s="3942"/>
      <c r="BN92" s="3942"/>
      <c r="BO92" s="3942"/>
      <c r="BP92" s="3942"/>
      <c r="BQ92" s="3942"/>
      <c r="BR92" s="3942"/>
      <c r="BS92" s="3942"/>
      <c r="BT92" s="3942"/>
      <c r="BU92" s="3942"/>
      <c r="BV92" s="3942"/>
      <c r="BW92" s="3942"/>
      <c r="BX92" s="4014"/>
      <c r="BZ92" s="4065"/>
      <c r="CC92" s="19">
        <v>27</v>
      </c>
      <c r="CG92" s="330" t="str">
        <f>IF(AND(BH18&lt;&gt;"",BG18&lt;&gt;100%),BX18,"")</f>
        <v/>
      </c>
      <c r="CH92" s="101"/>
      <c r="CI92" s="331"/>
      <c r="CT92" s="326"/>
      <c r="CU92" s="326"/>
      <c r="CV92" s="326"/>
      <c r="CW92" s="326"/>
      <c r="CX92" s="326"/>
      <c r="CY92" s="326"/>
      <c r="CZ92" s="326"/>
      <c r="DW92" s="320">
        <f ca="1">IF(OR(
AND(AB36&lt;&gt;"",AL37&lt;&gt;"",AL36&lt;$EC$66,AM36="",AL37=$B$1+$DW$66),
AND(AB36&lt;&gt;"",AL37&lt;&gt;"",AL36&lt;$EC$67,AM36="",AL37=$B$1+$DW$67),
AND(AB36&lt;&gt;"",AL37&lt;&gt;"",AL36&lt;$EC$68,AM36="",AL37=$B$1+$DW$68),
AND(AB36&lt;&gt;"",AL37&lt;&gt;"",AL36&lt;$EC$69,AM36="",AL37&lt;=$B$1+$DW$69)
),1,0)</f>
        <v>0</v>
      </c>
      <c r="DY92" s="321"/>
      <c r="EA92" s="28"/>
      <c r="EB92" s="320">
        <f ca="1">IF(OR(
AND(AQ36&lt;&gt;"",AP37&lt;&gt;"",AP36&lt;$EC$66,AO36="",AP37=$B$1+$DW$66),
AND(AQ36&lt;&gt;"",AP37&lt;&gt;"",AP36&lt;$EC$67,AO36="",AP37=$B$1+$DW$67),
AND(AQ36&lt;&gt;"",AP37&lt;&gt;"",AP36&lt;$EC$68,AO36="",AP37=$B$1+$DW$68),
AND(AQ36&lt;&gt;"",AP37&lt;&gt;"",AP36&lt;$EC$69,AO36="",AP37&lt;=$B$1+$DW$69)
),1,0)</f>
        <v>0</v>
      </c>
      <c r="EC92" s="28"/>
      <c r="ED92" s="28"/>
      <c r="EE92" s="28"/>
    </row>
    <row r="93" spans="2:135" ht="17.100000000000001" customHeight="1" x14ac:dyDescent="0.15">
      <c r="B93" s="333" t="s">
        <v>251</v>
      </c>
      <c r="D93" s="3940"/>
      <c r="E93" s="3941"/>
      <c r="F93" s="3941"/>
      <c r="G93" s="3941"/>
      <c r="H93" s="3941"/>
      <c r="I93" s="3941"/>
      <c r="J93" s="3941"/>
      <c r="K93" s="3941"/>
      <c r="L93" s="3941"/>
      <c r="M93" s="3941"/>
      <c r="N93" s="3941"/>
      <c r="O93" s="3941"/>
      <c r="P93" s="3941"/>
      <c r="Q93" s="3941"/>
      <c r="R93" s="3941"/>
      <c r="S93" s="3941"/>
      <c r="T93" s="3941"/>
      <c r="U93" s="3937"/>
      <c r="Y93" s="333" t="str">
        <f>$CO$42</f>
        <v>MND3</v>
      </c>
      <c r="AA93" s="3935"/>
      <c r="AB93" s="3942"/>
      <c r="AC93" s="3942"/>
      <c r="AD93" s="3942"/>
      <c r="AE93" s="3942"/>
      <c r="AF93" s="3942"/>
      <c r="AG93" s="3942"/>
      <c r="AH93" s="3942"/>
      <c r="AI93" s="3942"/>
      <c r="AJ93" s="3942"/>
      <c r="AK93" s="3942"/>
      <c r="AL93" s="290"/>
      <c r="AP93" s="291"/>
      <c r="AQ93" s="3965"/>
      <c r="AR93" s="3966"/>
      <c r="AS93" s="3966"/>
      <c r="AT93" s="3966"/>
      <c r="AU93" s="3966"/>
      <c r="AV93" s="3966"/>
      <c r="AW93" s="3966"/>
      <c r="AX93" s="3966"/>
      <c r="AY93" s="3966"/>
      <c r="AZ93" s="3966"/>
      <c r="BA93" s="3923"/>
      <c r="BC93" s="333" t="str">
        <f>$CO$51</f>
        <v>BDY3</v>
      </c>
      <c r="BG93" s="4013"/>
      <c r="BH93" s="3941"/>
      <c r="BI93" s="3941"/>
      <c r="BJ93" s="3941"/>
      <c r="BK93" s="3941"/>
      <c r="BL93" s="3941"/>
      <c r="BM93" s="3941"/>
      <c r="BN93" s="3941"/>
      <c r="BO93" s="3941"/>
      <c r="BP93" s="3941"/>
      <c r="BQ93" s="3941"/>
      <c r="BR93" s="3941"/>
      <c r="BS93" s="3941"/>
      <c r="BT93" s="3941"/>
      <c r="BU93" s="3941"/>
      <c r="BV93" s="3941"/>
      <c r="BW93" s="3941"/>
      <c r="BX93" s="3933"/>
      <c r="BZ93" s="333" t="s">
        <v>43</v>
      </c>
      <c r="CC93" s="19">
        <v>28</v>
      </c>
      <c r="CG93" s="330" t="str">
        <f>IF(AND(BH20&lt;&gt;"",BG20&lt;&gt;100%),BX20,"")</f>
        <v/>
      </c>
      <c r="CH93" s="101"/>
      <c r="CI93" s="331"/>
      <c r="CT93" s="326"/>
      <c r="CU93" s="326"/>
      <c r="CV93" s="326"/>
      <c r="CW93" s="326"/>
      <c r="CX93" s="326"/>
      <c r="CY93" s="326"/>
      <c r="CZ93" s="326"/>
      <c r="DW93" s="1150"/>
      <c r="DY93" s="321"/>
      <c r="EA93" s="28"/>
      <c r="EB93" s="1150"/>
      <c r="EC93" s="28"/>
      <c r="ED93" s="28"/>
      <c r="EE93" s="28"/>
    </row>
    <row r="94" spans="2:135" ht="17.100000000000001" customHeight="1" x14ac:dyDescent="0.15">
      <c r="D94" s="3940"/>
      <c r="E94" s="3942"/>
      <c r="F94" s="3942"/>
      <c r="G94" s="3942"/>
      <c r="H94" s="3942"/>
      <c r="I94" s="3942"/>
      <c r="J94" s="3942"/>
      <c r="K94" s="3942"/>
      <c r="L94" s="3942"/>
      <c r="M94" s="3942"/>
      <c r="N94" s="3942"/>
      <c r="O94" s="3942"/>
      <c r="P94" s="3942"/>
      <c r="Q94" s="3942"/>
      <c r="R94" s="3942"/>
      <c r="S94" s="3942"/>
      <c r="T94" s="3942"/>
      <c r="U94" s="3943"/>
      <c r="AA94" s="3940"/>
      <c r="AB94" s="3942"/>
      <c r="AC94" s="3942"/>
      <c r="AD94" s="3942"/>
      <c r="AE94" s="3942"/>
      <c r="AF94" s="3942"/>
      <c r="AG94" s="3942"/>
      <c r="AH94" s="3942"/>
      <c r="AI94" s="3942"/>
      <c r="AJ94" s="3942"/>
      <c r="AK94" s="3942"/>
      <c r="AL94" s="292"/>
      <c r="AP94" s="293"/>
      <c r="AQ94" s="3965"/>
      <c r="AR94" s="3966"/>
      <c r="AS94" s="3966"/>
      <c r="AT94" s="3966"/>
      <c r="AU94" s="3966"/>
      <c r="AV94" s="3966"/>
      <c r="AW94" s="3966"/>
      <c r="AX94" s="3966"/>
      <c r="AY94" s="3966"/>
      <c r="AZ94" s="3966"/>
      <c r="BA94" s="3967"/>
      <c r="BG94" s="4013"/>
      <c r="BH94" s="3942"/>
      <c r="BI94" s="3942"/>
      <c r="BJ94" s="3942"/>
      <c r="BK94" s="3942"/>
      <c r="BL94" s="3942"/>
      <c r="BM94" s="3942"/>
      <c r="BN94" s="3942"/>
      <c r="BO94" s="3942"/>
      <c r="BP94" s="3942"/>
      <c r="BQ94" s="3942"/>
      <c r="BR94" s="3942"/>
      <c r="BS94" s="3942"/>
      <c r="BT94" s="3942"/>
      <c r="BU94" s="3942"/>
      <c r="BV94" s="3942"/>
      <c r="BW94" s="3942"/>
      <c r="BX94" s="4014"/>
      <c r="CC94" s="19">
        <v>29</v>
      </c>
      <c r="CG94" s="330" t="str">
        <f>IF(AND(BH22&lt;&gt;"",BG22&lt;&gt;100%),BX22,"")</f>
        <v/>
      </c>
      <c r="CH94" s="101"/>
      <c r="CI94" s="331"/>
      <c r="CT94" s="326"/>
      <c r="CU94" s="326"/>
      <c r="CV94" s="326"/>
      <c r="CW94" s="326"/>
      <c r="CX94" s="326"/>
      <c r="CY94" s="326"/>
      <c r="CZ94" s="326"/>
    </row>
    <row r="95" spans="2:135" ht="17.100000000000001" customHeight="1" x14ac:dyDescent="0.15">
      <c r="D95" s="3940"/>
      <c r="E95" s="3941"/>
      <c r="F95" s="3941"/>
      <c r="G95" s="3941"/>
      <c r="H95" s="3941"/>
      <c r="I95" s="3941"/>
      <c r="J95" s="3941"/>
      <c r="K95" s="3941"/>
      <c r="L95" s="3941"/>
      <c r="M95" s="3941"/>
      <c r="N95" s="3941"/>
      <c r="O95" s="3941"/>
      <c r="P95" s="3941"/>
      <c r="Q95" s="3941"/>
      <c r="R95" s="3941"/>
      <c r="S95" s="3941"/>
      <c r="T95" s="3941"/>
      <c r="U95" s="3937"/>
      <c r="Y95" s="3938" t="str">
        <f>MID(Y97,1,2)</f>
        <v>MN</v>
      </c>
      <c r="AA95" s="3935"/>
      <c r="AB95" s="3942"/>
      <c r="AC95" s="3942"/>
      <c r="AD95" s="3942"/>
      <c r="AE95" s="3942"/>
      <c r="AF95" s="3942"/>
      <c r="AG95" s="3942"/>
      <c r="AH95" s="3942"/>
      <c r="AI95" s="3942"/>
      <c r="AJ95" s="3942"/>
      <c r="AK95" s="3942"/>
      <c r="AL95" s="290"/>
      <c r="AP95" s="291"/>
      <c r="AQ95" s="3965"/>
      <c r="AR95" s="3966"/>
      <c r="AS95" s="3966"/>
      <c r="AT95" s="3966"/>
      <c r="AU95" s="3966"/>
      <c r="AV95" s="3966"/>
      <c r="AW95" s="3966"/>
      <c r="AX95" s="3966"/>
      <c r="AY95" s="3966"/>
      <c r="AZ95" s="3966"/>
      <c r="BA95" s="3923"/>
      <c r="BC95" s="3938" t="str">
        <f>MID(BC97,1,2)</f>
        <v>BD</v>
      </c>
      <c r="BG95" s="4013"/>
      <c r="BH95" s="3941"/>
      <c r="BI95" s="3941"/>
      <c r="BJ95" s="3941"/>
      <c r="BK95" s="3941"/>
      <c r="BL95" s="3941"/>
      <c r="BM95" s="3941"/>
      <c r="BN95" s="3941"/>
      <c r="BO95" s="3941"/>
      <c r="BP95" s="3941"/>
      <c r="BQ95" s="3941"/>
      <c r="BR95" s="3941"/>
      <c r="BS95" s="3941"/>
      <c r="BT95" s="3941"/>
      <c r="BU95" s="3941"/>
      <c r="BV95" s="3941"/>
      <c r="BW95" s="3941"/>
      <c r="BX95" s="3933"/>
      <c r="CC95" s="19">
        <v>30</v>
      </c>
      <c r="CG95" s="330" t="str">
        <f>IF(AND(BH24&lt;&gt;"",BG24&lt;&gt;100%),BX24,"")</f>
        <v/>
      </c>
      <c r="CH95" s="101"/>
      <c r="CI95" s="331"/>
      <c r="CT95" s="326"/>
      <c r="CU95" s="326"/>
      <c r="CV95" s="326"/>
      <c r="CW95" s="326"/>
      <c r="CX95" s="326"/>
      <c r="CY95" s="326"/>
      <c r="CZ95" s="326"/>
      <c r="DP95" s="28"/>
    </row>
    <row r="96" spans="2:135" ht="17.100000000000001" customHeight="1" x14ac:dyDescent="0.15">
      <c r="D96" s="3940"/>
      <c r="E96" s="3942"/>
      <c r="F96" s="3942"/>
      <c r="G96" s="3942"/>
      <c r="H96" s="3942"/>
      <c r="I96" s="3942"/>
      <c r="J96" s="3942"/>
      <c r="K96" s="3942"/>
      <c r="L96" s="3942"/>
      <c r="M96" s="3942"/>
      <c r="N96" s="3942"/>
      <c r="O96" s="3942"/>
      <c r="P96" s="3942"/>
      <c r="Q96" s="3942"/>
      <c r="R96" s="3942"/>
      <c r="S96" s="3942"/>
      <c r="T96" s="3942"/>
      <c r="U96" s="3943"/>
      <c r="Y96" s="3939"/>
      <c r="AA96" s="3940"/>
      <c r="AB96" s="3942"/>
      <c r="AC96" s="3942"/>
      <c r="AD96" s="3942"/>
      <c r="AE96" s="3942"/>
      <c r="AF96" s="3942"/>
      <c r="AG96" s="3942"/>
      <c r="AH96" s="3942"/>
      <c r="AI96" s="3942"/>
      <c r="AJ96" s="3942"/>
      <c r="AK96" s="3942"/>
      <c r="AL96" s="292"/>
      <c r="AP96" s="293"/>
      <c r="AQ96" s="3965"/>
      <c r="AR96" s="3966"/>
      <c r="AS96" s="3966"/>
      <c r="AT96" s="3966"/>
      <c r="AU96" s="3966"/>
      <c r="AV96" s="3966"/>
      <c r="AW96" s="3966"/>
      <c r="AX96" s="3966"/>
      <c r="AY96" s="3966"/>
      <c r="AZ96" s="3966"/>
      <c r="BA96" s="3967"/>
      <c r="BC96" s="3939"/>
      <c r="BG96" s="4013"/>
      <c r="BH96" s="3942"/>
      <c r="BI96" s="3942"/>
      <c r="BJ96" s="3942"/>
      <c r="BK96" s="3942"/>
      <c r="BL96" s="3942"/>
      <c r="BM96" s="3942"/>
      <c r="BN96" s="3942"/>
      <c r="BO96" s="3942"/>
      <c r="BP96" s="3942"/>
      <c r="BQ96" s="3942"/>
      <c r="BR96" s="3942"/>
      <c r="BS96" s="3942"/>
      <c r="BT96" s="3942"/>
      <c r="BU96" s="3942"/>
      <c r="BV96" s="3942"/>
      <c r="BW96" s="3942"/>
      <c r="BX96" s="4014"/>
      <c r="CC96" s="19">
        <v>31</v>
      </c>
      <c r="CG96" s="330" t="str">
        <f>IF(AND(BH26&lt;&gt;"",BG26&lt;&gt;100%),BX26,"")</f>
        <v/>
      </c>
      <c r="CH96" s="101"/>
      <c r="CI96" s="331"/>
      <c r="CT96" s="326"/>
      <c r="CU96" s="326"/>
      <c r="CV96" s="326"/>
      <c r="CW96" s="326"/>
      <c r="CX96" s="326"/>
      <c r="CY96" s="326"/>
      <c r="CZ96" s="326"/>
      <c r="DP96" s="28"/>
    </row>
    <row r="97" spans="4:130" ht="17.100000000000001" customHeight="1" x14ac:dyDescent="0.15">
      <c r="D97" s="3940"/>
      <c r="E97" s="3941"/>
      <c r="F97" s="3941"/>
      <c r="G97" s="3941"/>
      <c r="H97" s="3941"/>
      <c r="I97" s="3941"/>
      <c r="J97" s="3941"/>
      <c r="K97" s="3941"/>
      <c r="L97" s="3941"/>
      <c r="M97" s="3941"/>
      <c r="N97" s="3941"/>
      <c r="O97" s="3941"/>
      <c r="P97" s="3941"/>
      <c r="Q97" s="3941"/>
      <c r="R97" s="3941"/>
      <c r="S97" s="3941"/>
      <c r="T97" s="3941"/>
      <c r="U97" s="3937"/>
      <c r="Y97" s="333" t="str">
        <f>$CO$43</f>
        <v>MND4</v>
      </c>
      <c r="AA97" s="3935"/>
      <c r="AB97" s="3942"/>
      <c r="AC97" s="3942"/>
      <c r="AD97" s="3942"/>
      <c r="AE97" s="3942"/>
      <c r="AF97" s="3942"/>
      <c r="AG97" s="3942"/>
      <c r="AH97" s="3942"/>
      <c r="AI97" s="3942"/>
      <c r="AJ97" s="3942"/>
      <c r="AK97" s="3942"/>
      <c r="AL97" s="290"/>
      <c r="AP97" s="291"/>
      <c r="AQ97" s="3965"/>
      <c r="AR97" s="3966"/>
      <c r="AS97" s="3966"/>
      <c r="AT97" s="3966"/>
      <c r="AU97" s="3966"/>
      <c r="AV97" s="3966"/>
      <c r="AW97" s="3966"/>
      <c r="AX97" s="3966"/>
      <c r="AY97" s="3966"/>
      <c r="AZ97" s="3966"/>
      <c r="BA97" s="3923"/>
      <c r="BC97" s="333" t="str">
        <f>$CO$52</f>
        <v>BDY4</v>
      </c>
      <c r="BG97" s="3925"/>
      <c r="BH97" s="3941"/>
      <c r="BI97" s="3941"/>
      <c r="BJ97" s="3941"/>
      <c r="BK97" s="3941"/>
      <c r="BL97" s="3941"/>
      <c r="BM97" s="3941"/>
      <c r="BN97" s="3941"/>
      <c r="BO97" s="3941"/>
      <c r="BP97" s="3941"/>
      <c r="BQ97" s="3941"/>
      <c r="BR97" s="3941"/>
      <c r="BS97" s="3941"/>
      <c r="BT97" s="3941"/>
      <c r="BU97" s="3941"/>
      <c r="BV97" s="3941"/>
      <c r="BW97" s="3941"/>
      <c r="BX97" s="3933"/>
      <c r="CG97" s="330" t="str">
        <f>IF(AND(BH28&lt;&gt;"",BG28&lt;&gt;100%),BX28,"")</f>
        <v/>
      </c>
      <c r="CH97" s="101"/>
      <c r="CI97" s="331"/>
      <c r="CT97" s="326"/>
      <c r="CU97" s="326"/>
      <c r="CV97" s="326"/>
      <c r="CW97" s="326"/>
      <c r="CX97" s="326"/>
      <c r="CY97" s="326"/>
      <c r="CZ97" s="326"/>
      <c r="DP97" s="28"/>
      <c r="DQ97" s="28"/>
      <c r="DR97" s="28"/>
      <c r="DS97" s="28"/>
      <c r="DU97" s="28"/>
      <c r="DV97" s="28"/>
      <c r="DW97" s="28"/>
      <c r="DX97" s="28"/>
      <c r="DY97" s="28"/>
      <c r="DZ97" s="28"/>
    </row>
    <row r="98" spans="4:130" ht="17.100000000000001" customHeight="1" x14ac:dyDescent="0.15">
      <c r="D98" s="3940"/>
      <c r="E98" s="3942"/>
      <c r="F98" s="3942"/>
      <c r="G98" s="3942"/>
      <c r="H98" s="3942"/>
      <c r="I98" s="3942"/>
      <c r="J98" s="3942"/>
      <c r="K98" s="3942"/>
      <c r="L98" s="3942"/>
      <c r="M98" s="3942"/>
      <c r="N98" s="3942"/>
      <c r="O98" s="3942"/>
      <c r="P98" s="3942"/>
      <c r="Q98" s="3942"/>
      <c r="R98" s="3942"/>
      <c r="S98" s="3942"/>
      <c r="T98" s="3942"/>
      <c r="U98" s="3943"/>
      <c r="AA98" s="3940"/>
      <c r="AB98" s="3942"/>
      <c r="AC98" s="3942"/>
      <c r="AD98" s="3942"/>
      <c r="AE98" s="3942"/>
      <c r="AF98" s="3942"/>
      <c r="AG98" s="3942"/>
      <c r="AH98" s="3942"/>
      <c r="AI98" s="3942"/>
      <c r="AJ98" s="3942"/>
      <c r="AK98" s="3942"/>
      <c r="AL98" s="292"/>
      <c r="AP98" s="293"/>
      <c r="AQ98" s="3965"/>
      <c r="AR98" s="3966"/>
      <c r="AS98" s="3966"/>
      <c r="AT98" s="3966"/>
      <c r="AU98" s="3966"/>
      <c r="AV98" s="3966"/>
      <c r="AW98" s="3966"/>
      <c r="AX98" s="3966"/>
      <c r="AY98" s="3966"/>
      <c r="AZ98" s="3966"/>
      <c r="BA98" s="3967"/>
      <c r="BG98" s="4013"/>
      <c r="BH98" s="3942"/>
      <c r="BI98" s="3942"/>
      <c r="BJ98" s="3942"/>
      <c r="BK98" s="3942"/>
      <c r="BL98" s="3942"/>
      <c r="BM98" s="3942"/>
      <c r="BN98" s="3942"/>
      <c r="BO98" s="3942"/>
      <c r="BP98" s="3942"/>
      <c r="BQ98" s="3942"/>
      <c r="BR98" s="3942"/>
      <c r="BS98" s="3942"/>
      <c r="BT98" s="3942"/>
      <c r="BU98" s="3942"/>
      <c r="BV98" s="3942"/>
      <c r="BW98" s="3942"/>
      <c r="BX98" s="4014"/>
      <c r="CC98" s="101" t="s">
        <v>75</v>
      </c>
      <c r="CG98" s="330" t="str">
        <f>IF(AND(BH30&lt;&gt;"",BG30&lt;&gt;100%),BX30,"")</f>
        <v/>
      </c>
      <c r="CH98" s="101"/>
      <c r="CI98" s="331"/>
      <c r="CT98" s="326"/>
      <c r="CU98" s="326"/>
      <c r="CV98" s="326"/>
      <c r="CW98" s="326"/>
      <c r="CX98" s="326"/>
      <c r="CY98" s="326"/>
      <c r="CZ98" s="326"/>
      <c r="DP98" s="28"/>
      <c r="DQ98" s="28"/>
      <c r="DR98" s="28"/>
      <c r="DS98" s="28"/>
      <c r="DU98" s="28"/>
      <c r="DV98" s="28"/>
      <c r="DW98" s="28"/>
      <c r="DX98" s="28"/>
      <c r="DY98" s="28"/>
      <c r="DZ98" s="28"/>
    </row>
    <row r="99" spans="4:130" ht="17.100000000000001" customHeight="1" x14ac:dyDescent="0.15">
      <c r="D99" s="3940"/>
      <c r="E99" s="3941"/>
      <c r="F99" s="3941"/>
      <c r="G99" s="3941"/>
      <c r="H99" s="3941"/>
      <c r="I99" s="3941"/>
      <c r="J99" s="3941"/>
      <c r="K99" s="3941"/>
      <c r="L99" s="3941"/>
      <c r="M99" s="3941"/>
      <c r="N99" s="3941"/>
      <c r="O99" s="3941"/>
      <c r="P99" s="3941"/>
      <c r="Q99" s="3941"/>
      <c r="R99" s="3941"/>
      <c r="S99" s="3941"/>
      <c r="T99" s="3941"/>
      <c r="U99" s="3937"/>
      <c r="Y99" s="3938" t="str">
        <f>MID(Y101,1,2)</f>
        <v>MN</v>
      </c>
      <c r="AA99" s="3935"/>
      <c r="AB99" s="3942"/>
      <c r="AC99" s="3942"/>
      <c r="AD99" s="3942"/>
      <c r="AE99" s="3942"/>
      <c r="AF99" s="3942"/>
      <c r="AG99" s="3942"/>
      <c r="AH99" s="3942"/>
      <c r="AI99" s="3942"/>
      <c r="AJ99" s="3942"/>
      <c r="AK99" s="3942"/>
      <c r="AL99" s="290"/>
      <c r="AP99" s="291"/>
      <c r="AQ99" s="3965"/>
      <c r="AR99" s="3966"/>
      <c r="AS99" s="3966"/>
      <c r="AT99" s="3966"/>
      <c r="AU99" s="3966"/>
      <c r="AV99" s="3966"/>
      <c r="AW99" s="3966"/>
      <c r="AX99" s="3966"/>
      <c r="AY99" s="3966"/>
      <c r="AZ99" s="3966"/>
      <c r="BA99" s="3923"/>
      <c r="BC99" s="3938" t="str">
        <f>MID(BC101,1,2)</f>
        <v>BD</v>
      </c>
      <c r="BG99" s="3925"/>
      <c r="BH99" s="3941"/>
      <c r="BI99" s="3941"/>
      <c r="BJ99" s="3941"/>
      <c r="BK99" s="3941"/>
      <c r="BL99" s="3941"/>
      <c r="BM99" s="3941"/>
      <c r="BN99" s="3941"/>
      <c r="BO99" s="3941"/>
      <c r="BP99" s="3941"/>
      <c r="BQ99" s="3941"/>
      <c r="BR99" s="3941"/>
      <c r="BS99" s="3941"/>
      <c r="BT99" s="3941"/>
      <c r="BU99" s="3941"/>
      <c r="BV99" s="3941"/>
      <c r="BW99" s="3941"/>
      <c r="BX99" s="3933"/>
      <c r="CC99" s="101" t="s">
        <v>76</v>
      </c>
      <c r="CG99" s="330" t="str">
        <f>IF(AND(BH32&lt;&gt;"",BG32&lt;&gt;100%),BX32,"")</f>
        <v/>
      </c>
      <c r="CH99" s="101"/>
      <c r="CI99" s="331"/>
      <c r="CT99" s="326"/>
      <c r="CU99" s="326"/>
      <c r="CV99" s="326"/>
      <c r="CW99" s="326"/>
      <c r="CX99" s="326"/>
      <c r="CY99" s="326"/>
      <c r="CZ99" s="326"/>
      <c r="DP99" s="28"/>
      <c r="DQ99" s="28"/>
      <c r="DR99" s="28"/>
      <c r="DS99" s="28"/>
      <c r="DU99" s="28"/>
      <c r="DV99" s="28"/>
      <c r="DW99" s="28"/>
      <c r="DX99" s="28"/>
      <c r="DY99" s="28"/>
      <c r="DZ99" s="28"/>
    </row>
    <row r="100" spans="4:130" ht="17.100000000000001" customHeight="1" x14ac:dyDescent="0.15">
      <c r="D100" s="3940"/>
      <c r="E100" s="3942"/>
      <c r="F100" s="3942"/>
      <c r="G100" s="3942"/>
      <c r="H100" s="3942"/>
      <c r="I100" s="3942"/>
      <c r="J100" s="3942"/>
      <c r="K100" s="3942"/>
      <c r="L100" s="3942"/>
      <c r="M100" s="3942"/>
      <c r="N100" s="3942"/>
      <c r="O100" s="3942"/>
      <c r="P100" s="3942"/>
      <c r="Q100" s="3942"/>
      <c r="R100" s="3942"/>
      <c r="S100" s="3942"/>
      <c r="T100" s="3942"/>
      <c r="U100" s="3943"/>
      <c r="Y100" s="3939"/>
      <c r="AA100" s="3940"/>
      <c r="AB100" s="3942"/>
      <c r="AC100" s="3942"/>
      <c r="AD100" s="3942"/>
      <c r="AE100" s="3942"/>
      <c r="AF100" s="3942"/>
      <c r="AG100" s="3942"/>
      <c r="AH100" s="3942"/>
      <c r="AI100" s="3942"/>
      <c r="AJ100" s="3942"/>
      <c r="AK100" s="3942"/>
      <c r="AL100" s="292"/>
      <c r="AP100" s="293"/>
      <c r="AQ100" s="3965"/>
      <c r="AR100" s="3966"/>
      <c r="AS100" s="3966"/>
      <c r="AT100" s="3966"/>
      <c r="AU100" s="3966"/>
      <c r="AV100" s="3966"/>
      <c r="AW100" s="3966"/>
      <c r="AX100" s="3966"/>
      <c r="AY100" s="3966"/>
      <c r="AZ100" s="3966"/>
      <c r="BA100" s="3967"/>
      <c r="BC100" s="3939"/>
      <c r="BG100" s="4013"/>
      <c r="BH100" s="3942"/>
      <c r="BI100" s="3942"/>
      <c r="BJ100" s="3942"/>
      <c r="BK100" s="3942"/>
      <c r="BL100" s="3942"/>
      <c r="BM100" s="3942"/>
      <c r="BN100" s="3942"/>
      <c r="BO100" s="3942"/>
      <c r="BP100" s="3942"/>
      <c r="BQ100" s="3942"/>
      <c r="BR100" s="3942"/>
      <c r="BS100" s="3942"/>
      <c r="BT100" s="3942"/>
      <c r="BU100" s="3942"/>
      <c r="BV100" s="3942"/>
      <c r="BW100" s="3942"/>
      <c r="BX100" s="4014"/>
      <c r="CC100" s="101"/>
      <c r="CG100" s="330" t="str">
        <f>IF(AND(BH34&lt;&gt;"",BG34&lt;&gt;100%),BX34,"")</f>
        <v/>
      </c>
      <c r="CH100" s="101"/>
      <c r="CI100" s="331"/>
      <c r="CT100" s="326"/>
      <c r="CU100" s="326"/>
      <c r="CV100" s="326"/>
      <c r="CW100" s="326"/>
      <c r="CX100" s="326"/>
      <c r="CY100" s="326"/>
      <c r="CZ100" s="326"/>
      <c r="DP100" s="28"/>
      <c r="DQ100" s="28"/>
      <c r="DR100" s="28"/>
      <c r="DS100" s="28"/>
      <c r="DU100" s="28"/>
      <c r="DV100" s="28"/>
      <c r="DW100" s="28"/>
      <c r="DX100" s="28"/>
      <c r="DY100" s="28"/>
      <c r="DZ100" s="28"/>
    </row>
    <row r="101" spans="4:130" ht="17.100000000000001" customHeight="1" x14ac:dyDescent="0.15">
      <c r="D101" s="3940"/>
      <c r="E101" s="3941"/>
      <c r="F101" s="3941"/>
      <c r="G101" s="3941"/>
      <c r="H101" s="3941"/>
      <c r="I101" s="3941"/>
      <c r="J101" s="3941"/>
      <c r="K101" s="3941"/>
      <c r="L101" s="3941"/>
      <c r="M101" s="3941"/>
      <c r="N101" s="3941"/>
      <c r="O101" s="3941"/>
      <c r="P101" s="3941"/>
      <c r="Q101" s="3941"/>
      <c r="R101" s="3941"/>
      <c r="S101" s="3941"/>
      <c r="T101" s="3941"/>
      <c r="U101" s="3937"/>
      <c r="Y101" s="333" t="str">
        <f>$CO$44</f>
        <v>MND5</v>
      </c>
      <c r="AA101" s="3935"/>
      <c r="AB101" s="3942"/>
      <c r="AC101" s="3942"/>
      <c r="AD101" s="3942"/>
      <c r="AE101" s="3942"/>
      <c r="AF101" s="3942"/>
      <c r="AG101" s="3942"/>
      <c r="AH101" s="3942"/>
      <c r="AI101" s="3942"/>
      <c r="AJ101" s="3942"/>
      <c r="AK101" s="3942"/>
      <c r="AL101" s="290"/>
      <c r="AP101" s="291"/>
      <c r="AQ101" s="3965"/>
      <c r="AR101" s="3966"/>
      <c r="AS101" s="3966"/>
      <c r="AT101" s="3966"/>
      <c r="AU101" s="3966"/>
      <c r="AV101" s="3966"/>
      <c r="AW101" s="3966"/>
      <c r="AX101" s="3966"/>
      <c r="AY101" s="3966"/>
      <c r="AZ101" s="3966"/>
      <c r="BA101" s="3923"/>
      <c r="BC101" s="333" t="str">
        <f>$CO$53</f>
        <v>BDY5</v>
      </c>
      <c r="BG101" s="3925"/>
      <c r="BH101" s="3941"/>
      <c r="BI101" s="3941"/>
      <c r="BJ101" s="3941"/>
      <c r="BK101" s="3941"/>
      <c r="BL101" s="3941"/>
      <c r="BM101" s="3941"/>
      <c r="BN101" s="3941"/>
      <c r="BO101" s="3941"/>
      <c r="BP101" s="3941"/>
      <c r="BQ101" s="3941"/>
      <c r="BR101" s="3941"/>
      <c r="BS101" s="3941"/>
      <c r="BT101" s="3941"/>
      <c r="BU101" s="3941"/>
      <c r="BV101" s="3941"/>
      <c r="BW101" s="3941"/>
      <c r="BX101" s="3933"/>
      <c r="CC101" s="101" t="s">
        <v>44</v>
      </c>
      <c r="CG101" s="330" t="str">
        <f>IF(AND(BH36&lt;&gt;"",BG36&lt;&gt;100%),BX36,"")</f>
        <v/>
      </c>
      <c r="CH101" s="101"/>
      <c r="CI101" s="331"/>
      <c r="CT101" s="326"/>
      <c r="CU101" s="326"/>
      <c r="CV101" s="326"/>
      <c r="CW101" s="326"/>
      <c r="CX101" s="326"/>
      <c r="CY101" s="326"/>
      <c r="CZ101" s="326"/>
      <c r="DP101" s="28"/>
      <c r="DQ101" s="28"/>
      <c r="DR101" s="28"/>
      <c r="DS101" s="28"/>
      <c r="DU101" s="28"/>
      <c r="DV101" s="28"/>
      <c r="DW101" s="28"/>
      <c r="DX101" s="28"/>
      <c r="DY101" s="28"/>
      <c r="DZ101" s="28"/>
    </row>
    <row r="102" spans="4:130" ht="17.100000000000001" customHeight="1" x14ac:dyDescent="0.15">
      <c r="D102" s="3940"/>
      <c r="E102" s="3942"/>
      <c r="F102" s="3942"/>
      <c r="G102" s="3942"/>
      <c r="H102" s="3942"/>
      <c r="I102" s="3942"/>
      <c r="J102" s="3942"/>
      <c r="K102" s="3942"/>
      <c r="L102" s="3942"/>
      <c r="M102" s="3942"/>
      <c r="N102" s="3942"/>
      <c r="O102" s="3942"/>
      <c r="P102" s="3942"/>
      <c r="Q102" s="3942"/>
      <c r="R102" s="3942"/>
      <c r="S102" s="3942"/>
      <c r="T102" s="3942"/>
      <c r="U102" s="3943"/>
      <c r="AA102" s="3940"/>
      <c r="AB102" s="3942"/>
      <c r="AC102" s="3942"/>
      <c r="AD102" s="3942"/>
      <c r="AE102" s="3942"/>
      <c r="AF102" s="3942"/>
      <c r="AG102" s="3942"/>
      <c r="AH102" s="3942"/>
      <c r="AI102" s="3942"/>
      <c r="AJ102" s="3942"/>
      <c r="AK102" s="3942"/>
      <c r="AL102" s="292"/>
      <c r="AP102" s="293"/>
      <c r="AQ102" s="3965"/>
      <c r="AR102" s="3966"/>
      <c r="AS102" s="3966"/>
      <c r="AT102" s="3966"/>
      <c r="AU102" s="3966"/>
      <c r="AV102" s="3966"/>
      <c r="AW102" s="3966"/>
      <c r="AX102" s="3966"/>
      <c r="AY102" s="3966"/>
      <c r="AZ102" s="3966"/>
      <c r="BA102" s="3967"/>
      <c r="BG102" s="4013"/>
      <c r="BH102" s="3942"/>
      <c r="BI102" s="3942"/>
      <c r="BJ102" s="3942"/>
      <c r="BK102" s="3942"/>
      <c r="BL102" s="3942"/>
      <c r="BM102" s="3942"/>
      <c r="BN102" s="3942"/>
      <c r="BO102" s="3942"/>
      <c r="BP102" s="3942"/>
      <c r="BQ102" s="3942"/>
      <c r="BR102" s="3942"/>
      <c r="BS102" s="3942"/>
      <c r="BT102" s="3942"/>
      <c r="BU102" s="3942"/>
      <c r="BV102" s="3942"/>
      <c r="BW102" s="3942"/>
      <c r="BX102" s="4014"/>
      <c r="CC102" s="19" t="s">
        <v>45</v>
      </c>
      <c r="CG102" s="330" t="str">
        <f>IF(AND(AB14&lt;&gt;"",AL14&lt;&gt;100%),AA14,"")</f>
        <v/>
      </c>
      <c r="CI102" s="331"/>
      <c r="CT102" s="326"/>
      <c r="CU102" s="326"/>
      <c r="CV102" s="326"/>
      <c r="CW102" s="326"/>
      <c r="CX102" s="326"/>
      <c r="CY102" s="326"/>
      <c r="CZ102" s="326"/>
      <c r="DP102" s="28"/>
      <c r="DQ102" s="28"/>
      <c r="DR102" s="28"/>
      <c r="DS102" s="28"/>
      <c r="DU102" s="28"/>
      <c r="DV102" s="28"/>
      <c r="DW102" s="28"/>
      <c r="DX102" s="28"/>
      <c r="DY102" s="28"/>
      <c r="DZ102" s="28"/>
    </row>
    <row r="103" spans="4:130" ht="17.100000000000001" customHeight="1" x14ac:dyDescent="0.15">
      <c r="D103" s="3934"/>
      <c r="E103" s="3926"/>
      <c r="F103" s="3927"/>
      <c r="G103" s="3927"/>
      <c r="H103" s="3927"/>
      <c r="I103" s="3927"/>
      <c r="J103" s="3927"/>
      <c r="K103" s="3927"/>
      <c r="L103" s="3927"/>
      <c r="M103" s="3927"/>
      <c r="N103" s="3927"/>
      <c r="O103" s="3927"/>
      <c r="P103" s="3927"/>
      <c r="Q103" s="3927"/>
      <c r="R103" s="3927"/>
      <c r="S103" s="3927"/>
      <c r="T103" s="3928"/>
      <c r="U103" s="3936"/>
      <c r="Y103" s="3938" t="str">
        <f>MID(Y105,1,2)</f>
        <v>MN</v>
      </c>
      <c r="AA103" s="3934"/>
      <c r="AB103" s="3926"/>
      <c r="AC103" s="3927"/>
      <c r="AD103" s="3927"/>
      <c r="AE103" s="3927"/>
      <c r="AF103" s="3927"/>
      <c r="AG103" s="3927"/>
      <c r="AH103" s="3927"/>
      <c r="AI103" s="3927"/>
      <c r="AJ103" s="3927"/>
      <c r="AK103" s="3928"/>
      <c r="AL103" s="290"/>
      <c r="AP103" s="291"/>
      <c r="AQ103" s="3918"/>
      <c r="AR103" s="3919"/>
      <c r="AS103" s="3919"/>
      <c r="AT103" s="3919"/>
      <c r="AU103" s="3919"/>
      <c r="AV103" s="3919"/>
      <c r="AW103" s="3919"/>
      <c r="AX103" s="3919"/>
      <c r="AY103" s="3919"/>
      <c r="AZ103" s="3919"/>
      <c r="BA103" s="3922"/>
      <c r="BC103" s="3938" t="str">
        <f>MID(BC105,1,2)</f>
        <v>BD</v>
      </c>
      <c r="BG103" s="3924"/>
      <c r="BH103" s="3926"/>
      <c r="BI103" s="3927"/>
      <c r="BJ103" s="3927"/>
      <c r="BK103" s="3927"/>
      <c r="BL103" s="3927"/>
      <c r="BM103" s="3927"/>
      <c r="BN103" s="3927"/>
      <c r="BO103" s="3927"/>
      <c r="BP103" s="3927"/>
      <c r="BQ103" s="3927"/>
      <c r="BR103" s="3927"/>
      <c r="BS103" s="3927"/>
      <c r="BT103" s="3927"/>
      <c r="BU103" s="3927"/>
      <c r="BV103" s="3927"/>
      <c r="BW103" s="3928"/>
      <c r="BX103" s="3932"/>
      <c r="CC103" s="19" t="s">
        <v>46</v>
      </c>
      <c r="CG103" s="330" t="str">
        <f>IF(AND(AB16&lt;&gt;"",AL16&lt;&gt;100%),AA16,"")</f>
        <v/>
      </c>
      <c r="CI103" s="331"/>
      <c r="CT103" s="326"/>
      <c r="CU103" s="326"/>
      <c r="CV103" s="326"/>
      <c r="CW103" s="326"/>
      <c r="CX103" s="326"/>
      <c r="CY103" s="326"/>
      <c r="CZ103" s="326"/>
      <c r="DP103" s="28"/>
      <c r="DQ103" s="28"/>
      <c r="DR103" s="28"/>
      <c r="DS103" s="28"/>
      <c r="DU103" s="28"/>
      <c r="DV103" s="28"/>
      <c r="DW103" s="28"/>
      <c r="DX103" s="28"/>
      <c r="DY103" s="28"/>
      <c r="DZ103" s="28"/>
    </row>
    <row r="104" spans="4:130" ht="17.100000000000001" customHeight="1" x14ac:dyDescent="0.15">
      <c r="D104" s="3935"/>
      <c r="E104" s="3929"/>
      <c r="F104" s="3930"/>
      <c r="G104" s="3930"/>
      <c r="H104" s="3930"/>
      <c r="I104" s="3930"/>
      <c r="J104" s="3930"/>
      <c r="K104" s="3930"/>
      <c r="L104" s="3930"/>
      <c r="M104" s="3930"/>
      <c r="N104" s="3930"/>
      <c r="O104" s="3930"/>
      <c r="P104" s="3930"/>
      <c r="Q104" s="3930"/>
      <c r="R104" s="3930"/>
      <c r="S104" s="3930"/>
      <c r="T104" s="3931"/>
      <c r="U104" s="3937"/>
      <c r="Y104" s="3939"/>
      <c r="AA104" s="3935"/>
      <c r="AB104" s="3929"/>
      <c r="AC104" s="3930"/>
      <c r="AD104" s="3930"/>
      <c r="AE104" s="3930"/>
      <c r="AF104" s="3930"/>
      <c r="AG104" s="3930"/>
      <c r="AH104" s="3930"/>
      <c r="AI104" s="3930"/>
      <c r="AJ104" s="3930"/>
      <c r="AK104" s="3931"/>
      <c r="AL104" s="292"/>
      <c r="AP104" s="293"/>
      <c r="AQ104" s="3920"/>
      <c r="AR104" s="3921"/>
      <c r="AS104" s="3921"/>
      <c r="AT104" s="3921"/>
      <c r="AU104" s="3921"/>
      <c r="AV104" s="3921"/>
      <c r="AW104" s="3921"/>
      <c r="AX104" s="3921"/>
      <c r="AY104" s="3921"/>
      <c r="AZ104" s="3921"/>
      <c r="BA104" s="3923"/>
      <c r="BC104" s="3939"/>
      <c r="BG104" s="3925"/>
      <c r="BH104" s="3929"/>
      <c r="BI104" s="3930"/>
      <c r="BJ104" s="3930"/>
      <c r="BK104" s="3930"/>
      <c r="BL104" s="3930"/>
      <c r="BM104" s="3930"/>
      <c r="BN104" s="3930"/>
      <c r="BO104" s="3930"/>
      <c r="BP104" s="3930"/>
      <c r="BQ104" s="3930"/>
      <c r="BR104" s="3930"/>
      <c r="BS104" s="3930"/>
      <c r="BT104" s="3930"/>
      <c r="BU104" s="3930"/>
      <c r="BV104" s="3930"/>
      <c r="BW104" s="3931"/>
      <c r="BX104" s="3933"/>
      <c r="CG104" s="330" t="str">
        <f>IF(AND(AB18&lt;&gt;"",AL18&lt;&gt;100%),AA18,"")</f>
        <v/>
      </c>
      <c r="CI104" s="331"/>
      <c r="CT104" s="326"/>
      <c r="CU104" s="326"/>
      <c r="CV104" s="326"/>
      <c r="CW104" s="326"/>
      <c r="CX104" s="326"/>
      <c r="CY104" s="326"/>
      <c r="CZ104" s="326"/>
      <c r="DP104" s="28"/>
      <c r="DQ104" s="28"/>
      <c r="DR104" s="28"/>
      <c r="DS104" s="28"/>
      <c r="DU104" s="28"/>
      <c r="DV104" s="28"/>
      <c r="DW104" s="28"/>
      <c r="DX104" s="28"/>
      <c r="DY104" s="28"/>
      <c r="DZ104" s="28"/>
    </row>
    <row r="105" spans="4:130" ht="17.100000000000001" customHeight="1" x14ac:dyDescent="0.15">
      <c r="D105" s="3934"/>
      <c r="E105" s="3926"/>
      <c r="F105" s="3927"/>
      <c r="G105" s="3927"/>
      <c r="H105" s="3927"/>
      <c r="I105" s="3927"/>
      <c r="J105" s="3927"/>
      <c r="K105" s="3927"/>
      <c r="L105" s="3927"/>
      <c r="M105" s="3927"/>
      <c r="N105" s="3927"/>
      <c r="O105" s="3927"/>
      <c r="P105" s="3927"/>
      <c r="Q105" s="3927"/>
      <c r="R105" s="3927"/>
      <c r="S105" s="3927"/>
      <c r="T105" s="3928"/>
      <c r="U105" s="3936"/>
      <c r="Y105" s="333" t="str">
        <f>$CO$45</f>
        <v>MND6</v>
      </c>
      <c r="AA105" s="3934"/>
      <c r="AB105" s="3926"/>
      <c r="AC105" s="3927"/>
      <c r="AD105" s="3927"/>
      <c r="AE105" s="3927"/>
      <c r="AF105" s="3927"/>
      <c r="AG105" s="3927"/>
      <c r="AH105" s="3927"/>
      <c r="AI105" s="3927"/>
      <c r="AJ105" s="3927"/>
      <c r="AK105" s="3928"/>
      <c r="AL105" s="290"/>
      <c r="AP105" s="291"/>
      <c r="AQ105" s="3918"/>
      <c r="AR105" s="3919"/>
      <c r="AS105" s="3919"/>
      <c r="AT105" s="3919"/>
      <c r="AU105" s="3919"/>
      <c r="AV105" s="3919"/>
      <c r="AW105" s="3919"/>
      <c r="AX105" s="3919"/>
      <c r="AY105" s="3919"/>
      <c r="AZ105" s="3919"/>
      <c r="BA105" s="3922"/>
      <c r="BC105" s="333" t="str">
        <f>$CO$54</f>
        <v>BDY6</v>
      </c>
      <c r="BG105" s="3924"/>
      <c r="BH105" s="3926"/>
      <c r="BI105" s="3927"/>
      <c r="BJ105" s="3927"/>
      <c r="BK105" s="3927"/>
      <c r="BL105" s="3927"/>
      <c r="BM105" s="3927"/>
      <c r="BN105" s="3927"/>
      <c r="BO105" s="3927"/>
      <c r="BP105" s="3927"/>
      <c r="BQ105" s="3927"/>
      <c r="BR105" s="3927"/>
      <c r="BS105" s="3927"/>
      <c r="BT105" s="3927"/>
      <c r="BU105" s="3927"/>
      <c r="BV105" s="3927"/>
      <c r="BW105" s="3928"/>
      <c r="BX105" s="3932"/>
      <c r="CC105" s="19" t="s">
        <v>76</v>
      </c>
      <c r="CG105" s="330" t="str">
        <f>IF(AND(AB20&lt;&gt;"",AL20&lt;&gt;100%),AA20,"")</f>
        <v/>
      </c>
      <c r="CI105" s="331"/>
      <c r="CT105" s="326"/>
      <c r="CU105" s="326"/>
      <c r="CV105" s="326"/>
      <c r="CW105" s="326"/>
      <c r="CX105" s="326"/>
      <c r="CY105" s="326"/>
      <c r="CZ105" s="326"/>
      <c r="DP105" s="28"/>
      <c r="DQ105" s="28"/>
      <c r="DR105" s="28"/>
      <c r="DS105" s="28"/>
      <c r="DU105" s="28"/>
      <c r="DV105" s="28"/>
      <c r="DW105" s="28"/>
      <c r="DX105" s="28"/>
      <c r="DY105" s="28"/>
      <c r="DZ105" s="28"/>
    </row>
    <row r="106" spans="4:130" ht="17.100000000000001" customHeight="1" x14ac:dyDescent="0.15">
      <c r="D106" s="3935"/>
      <c r="E106" s="3929"/>
      <c r="F106" s="3930"/>
      <c r="G106" s="3930"/>
      <c r="H106" s="3930"/>
      <c r="I106" s="3930"/>
      <c r="J106" s="3930"/>
      <c r="K106" s="3930"/>
      <c r="L106" s="3930"/>
      <c r="M106" s="3930"/>
      <c r="N106" s="3930"/>
      <c r="O106" s="3930"/>
      <c r="P106" s="3930"/>
      <c r="Q106" s="3930"/>
      <c r="R106" s="3930"/>
      <c r="S106" s="3930"/>
      <c r="T106" s="3931"/>
      <c r="U106" s="3937"/>
      <c r="AA106" s="3935"/>
      <c r="AB106" s="3929"/>
      <c r="AC106" s="3930"/>
      <c r="AD106" s="3930"/>
      <c r="AE106" s="3930"/>
      <c r="AF106" s="3930"/>
      <c r="AG106" s="3930"/>
      <c r="AH106" s="3930"/>
      <c r="AI106" s="3930"/>
      <c r="AJ106" s="3930"/>
      <c r="AK106" s="3931"/>
      <c r="AL106" s="292"/>
      <c r="AP106" s="293"/>
      <c r="AQ106" s="3920"/>
      <c r="AR106" s="3921"/>
      <c r="AS106" s="3921"/>
      <c r="AT106" s="3921"/>
      <c r="AU106" s="3921"/>
      <c r="AV106" s="3921"/>
      <c r="AW106" s="3921"/>
      <c r="AX106" s="3921"/>
      <c r="AY106" s="3921"/>
      <c r="AZ106" s="3921"/>
      <c r="BA106" s="3923"/>
      <c r="BG106" s="3925"/>
      <c r="BH106" s="3929"/>
      <c r="BI106" s="3930"/>
      <c r="BJ106" s="3930"/>
      <c r="BK106" s="3930"/>
      <c r="BL106" s="3930"/>
      <c r="BM106" s="3930"/>
      <c r="BN106" s="3930"/>
      <c r="BO106" s="3930"/>
      <c r="BP106" s="3930"/>
      <c r="BQ106" s="3930"/>
      <c r="BR106" s="3930"/>
      <c r="BS106" s="3930"/>
      <c r="BT106" s="3930"/>
      <c r="BU106" s="3930"/>
      <c r="BV106" s="3930"/>
      <c r="BW106" s="3931"/>
      <c r="BX106" s="3933"/>
      <c r="CC106" s="19" t="s">
        <v>366</v>
      </c>
      <c r="CG106" s="330" t="str">
        <f>IF(AND(AB22&lt;&gt;"",AL22&lt;&gt;100%),AA22,"")</f>
        <v/>
      </c>
      <c r="CI106" s="331"/>
      <c r="CT106" s="326"/>
      <c r="CU106" s="326"/>
      <c r="CV106" s="326"/>
      <c r="CW106" s="326"/>
      <c r="CX106" s="326"/>
      <c r="CY106" s="326"/>
      <c r="CZ106" s="326"/>
      <c r="DU106" s="28"/>
      <c r="DV106" s="28"/>
      <c r="DW106" s="28"/>
      <c r="DX106" s="28"/>
      <c r="DY106" s="28"/>
      <c r="DZ106" s="28"/>
    </row>
    <row r="107" spans="4:130" ht="17.100000000000001" customHeight="1" x14ac:dyDescent="0.15">
      <c r="D107" s="3934"/>
      <c r="E107" s="3926"/>
      <c r="F107" s="3927"/>
      <c r="G107" s="3927"/>
      <c r="H107" s="3927"/>
      <c r="I107" s="3927"/>
      <c r="J107" s="3927"/>
      <c r="K107" s="3927"/>
      <c r="L107" s="3927"/>
      <c r="M107" s="3927"/>
      <c r="N107" s="3927"/>
      <c r="O107" s="3927"/>
      <c r="P107" s="3927"/>
      <c r="Q107" s="3927"/>
      <c r="R107" s="3927"/>
      <c r="S107" s="3927"/>
      <c r="T107" s="3928"/>
      <c r="U107" s="3936"/>
      <c r="Y107" s="3938" t="str">
        <f>MID(Y109,1,2)</f>
        <v>MN</v>
      </c>
      <c r="AA107" s="3934"/>
      <c r="AB107" s="3926"/>
      <c r="AC107" s="3927"/>
      <c r="AD107" s="3927"/>
      <c r="AE107" s="3927"/>
      <c r="AF107" s="3927"/>
      <c r="AG107" s="3927"/>
      <c r="AH107" s="3927"/>
      <c r="AI107" s="3927"/>
      <c r="AJ107" s="3927"/>
      <c r="AK107" s="3928"/>
      <c r="AL107" s="290"/>
      <c r="AP107" s="291"/>
      <c r="AQ107" s="3918"/>
      <c r="AR107" s="3919"/>
      <c r="AS107" s="3919"/>
      <c r="AT107" s="3919"/>
      <c r="AU107" s="3919"/>
      <c r="AV107" s="3919"/>
      <c r="AW107" s="3919"/>
      <c r="AX107" s="3919"/>
      <c r="AY107" s="3919"/>
      <c r="AZ107" s="3919"/>
      <c r="BA107" s="3922"/>
      <c r="BC107" s="3938" t="str">
        <f>MID(BC109,1,2)</f>
        <v>BD</v>
      </c>
      <c r="BG107" s="3924"/>
      <c r="BH107" s="3926"/>
      <c r="BI107" s="3927"/>
      <c r="BJ107" s="3927"/>
      <c r="BK107" s="3927"/>
      <c r="BL107" s="3927"/>
      <c r="BM107" s="3927"/>
      <c r="BN107" s="3927"/>
      <c r="BO107" s="3927"/>
      <c r="BP107" s="3927"/>
      <c r="BQ107" s="3927"/>
      <c r="BR107" s="3927"/>
      <c r="BS107" s="3927"/>
      <c r="BT107" s="3927"/>
      <c r="BU107" s="3927"/>
      <c r="BV107" s="3927"/>
      <c r="BW107" s="3928"/>
      <c r="BX107" s="3932"/>
      <c r="CC107" s="19" t="s">
        <v>745</v>
      </c>
      <c r="CG107" s="330" t="str">
        <f>IF(AND(AB24&lt;&gt;"",AL24&lt;&gt;100%),AA24,"")</f>
        <v/>
      </c>
      <c r="CI107" s="331"/>
      <c r="CT107" s="326"/>
      <c r="CU107" s="326"/>
      <c r="CV107" s="326"/>
      <c r="CW107" s="326"/>
      <c r="CX107" s="326"/>
      <c r="CY107" s="326"/>
      <c r="CZ107" s="326"/>
    </row>
    <row r="108" spans="4:130" ht="17.100000000000001" customHeight="1" x14ac:dyDescent="0.15">
      <c r="D108" s="3935"/>
      <c r="E108" s="3929"/>
      <c r="F108" s="3930"/>
      <c r="G108" s="3930"/>
      <c r="H108" s="3930"/>
      <c r="I108" s="3930"/>
      <c r="J108" s="3930"/>
      <c r="K108" s="3930"/>
      <c r="L108" s="3930"/>
      <c r="M108" s="3930"/>
      <c r="N108" s="3930"/>
      <c r="O108" s="3930"/>
      <c r="P108" s="3930"/>
      <c r="Q108" s="3930"/>
      <c r="R108" s="3930"/>
      <c r="S108" s="3930"/>
      <c r="T108" s="3931"/>
      <c r="U108" s="3937"/>
      <c r="Y108" s="3939"/>
      <c r="AA108" s="3935"/>
      <c r="AB108" s="3929"/>
      <c r="AC108" s="3930"/>
      <c r="AD108" s="3930"/>
      <c r="AE108" s="3930"/>
      <c r="AF108" s="3930"/>
      <c r="AG108" s="3930"/>
      <c r="AH108" s="3930"/>
      <c r="AI108" s="3930"/>
      <c r="AJ108" s="3930"/>
      <c r="AK108" s="3931"/>
      <c r="AL108" s="292"/>
      <c r="AP108" s="293"/>
      <c r="AQ108" s="3920"/>
      <c r="AR108" s="3921"/>
      <c r="AS108" s="3921"/>
      <c r="AT108" s="3921"/>
      <c r="AU108" s="3921"/>
      <c r="AV108" s="3921"/>
      <c r="AW108" s="3921"/>
      <c r="AX108" s="3921"/>
      <c r="AY108" s="3921"/>
      <c r="AZ108" s="3921"/>
      <c r="BA108" s="3923"/>
      <c r="BC108" s="3939"/>
      <c r="BG108" s="3925"/>
      <c r="BH108" s="3929"/>
      <c r="BI108" s="3930"/>
      <c r="BJ108" s="3930"/>
      <c r="BK108" s="3930"/>
      <c r="BL108" s="3930"/>
      <c r="BM108" s="3930"/>
      <c r="BN108" s="3930"/>
      <c r="BO108" s="3930"/>
      <c r="BP108" s="3930"/>
      <c r="BQ108" s="3930"/>
      <c r="BR108" s="3930"/>
      <c r="BS108" s="3930"/>
      <c r="BT108" s="3930"/>
      <c r="BU108" s="3930"/>
      <c r="BV108" s="3930"/>
      <c r="BW108" s="3931"/>
      <c r="BX108" s="3933"/>
      <c r="CG108" s="330" t="str">
        <f>IF(AND(AB26&lt;&gt;"",AL26&lt;&gt;100%),AA26,"")</f>
        <v/>
      </c>
      <c r="CI108" s="331"/>
      <c r="CT108" s="326"/>
      <c r="CU108" s="326"/>
      <c r="CV108" s="326"/>
      <c r="CW108" s="326"/>
      <c r="CX108" s="326"/>
      <c r="CY108" s="326"/>
      <c r="CZ108" s="326"/>
    </row>
    <row r="109" spans="4:130" ht="17.100000000000001" customHeight="1" x14ac:dyDescent="0.15">
      <c r="D109" s="3934"/>
      <c r="E109" s="3926"/>
      <c r="F109" s="3927"/>
      <c r="G109" s="3927"/>
      <c r="H109" s="3927"/>
      <c r="I109" s="3927"/>
      <c r="J109" s="3927"/>
      <c r="K109" s="3927"/>
      <c r="L109" s="3927"/>
      <c r="M109" s="3927"/>
      <c r="N109" s="3927"/>
      <c r="O109" s="3927"/>
      <c r="P109" s="3927"/>
      <c r="Q109" s="3927"/>
      <c r="R109" s="3927"/>
      <c r="S109" s="3927"/>
      <c r="T109" s="3928"/>
      <c r="U109" s="3936"/>
      <c r="Y109" s="333" t="str">
        <f>$CO$46</f>
        <v>MND7</v>
      </c>
      <c r="AA109" s="3934"/>
      <c r="AB109" s="3926"/>
      <c r="AC109" s="3927"/>
      <c r="AD109" s="3927"/>
      <c r="AE109" s="3927"/>
      <c r="AF109" s="3927"/>
      <c r="AG109" s="3927"/>
      <c r="AH109" s="3927"/>
      <c r="AI109" s="3927"/>
      <c r="AJ109" s="3927"/>
      <c r="AK109" s="3928"/>
      <c r="AL109" s="290"/>
      <c r="AP109" s="291"/>
      <c r="AQ109" s="3918"/>
      <c r="AR109" s="3919"/>
      <c r="AS109" s="3919"/>
      <c r="AT109" s="3919"/>
      <c r="AU109" s="3919"/>
      <c r="AV109" s="3919"/>
      <c r="AW109" s="3919"/>
      <c r="AX109" s="3919"/>
      <c r="AY109" s="3919"/>
      <c r="AZ109" s="3919"/>
      <c r="BA109" s="3922"/>
      <c r="BC109" s="333" t="str">
        <f>$CO$55</f>
        <v>BDY7</v>
      </c>
      <c r="BG109" s="3924"/>
      <c r="BH109" s="3926"/>
      <c r="BI109" s="3927"/>
      <c r="BJ109" s="3927"/>
      <c r="BK109" s="3927"/>
      <c r="BL109" s="3927"/>
      <c r="BM109" s="3927"/>
      <c r="BN109" s="3927"/>
      <c r="BO109" s="3927"/>
      <c r="BP109" s="3927"/>
      <c r="BQ109" s="3927"/>
      <c r="BR109" s="3927"/>
      <c r="BS109" s="3927"/>
      <c r="BT109" s="3927"/>
      <c r="BU109" s="3927"/>
      <c r="BV109" s="3927"/>
      <c r="BW109" s="3928"/>
      <c r="BX109" s="3932"/>
      <c r="CG109" s="330" t="str">
        <f>IF(AND(AB28&lt;&gt;"",AL28&lt;&gt;100%),AA28,"")</f>
        <v/>
      </c>
      <c r="CI109" s="331"/>
      <c r="CT109" s="326"/>
      <c r="CU109" s="326"/>
      <c r="CV109" s="326"/>
      <c r="CW109" s="326"/>
      <c r="CX109" s="326"/>
      <c r="CY109" s="326"/>
      <c r="CZ109" s="326"/>
    </row>
    <row r="110" spans="4:130" ht="17.100000000000001" customHeight="1" x14ac:dyDescent="0.15">
      <c r="D110" s="3935"/>
      <c r="E110" s="3929"/>
      <c r="F110" s="3930"/>
      <c r="G110" s="3930"/>
      <c r="H110" s="3930"/>
      <c r="I110" s="3930"/>
      <c r="J110" s="3930"/>
      <c r="K110" s="3930"/>
      <c r="L110" s="3930"/>
      <c r="M110" s="3930"/>
      <c r="N110" s="3930"/>
      <c r="O110" s="3930"/>
      <c r="P110" s="3930"/>
      <c r="Q110" s="3930"/>
      <c r="R110" s="3930"/>
      <c r="S110" s="3930"/>
      <c r="T110" s="3931"/>
      <c r="U110" s="3937"/>
      <c r="AA110" s="3935"/>
      <c r="AB110" s="3929"/>
      <c r="AC110" s="3930"/>
      <c r="AD110" s="3930"/>
      <c r="AE110" s="3930"/>
      <c r="AF110" s="3930"/>
      <c r="AG110" s="3930"/>
      <c r="AH110" s="3930"/>
      <c r="AI110" s="3930"/>
      <c r="AJ110" s="3930"/>
      <c r="AK110" s="3931"/>
      <c r="AL110" s="292"/>
      <c r="AP110" s="294"/>
      <c r="AQ110" s="3920"/>
      <c r="AR110" s="3921"/>
      <c r="AS110" s="3921"/>
      <c r="AT110" s="3921"/>
      <c r="AU110" s="3921"/>
      <c r="AV110" s="3921"/>
      <c r="AW110" s="3921"/>
      <c r="AX110" s="3921"/>
      <c r="AY110" s="3921"/>
      <c r="AZ110" s="3921"/>
      <c r="BA110" s="3923"/>
      <c r="BG110" s="3925"/>
      <c r="BH110" s="3929"/>
      <c r="BI110" s="3930"/>
      <c r="BJ110" s="3930"/>
      <c r="BK110" s="3930"/>
      <c r="BL110" s="3930"/>
      <c r="BM110" s="3930"/>
      <c r="BN110" s="3930"/>
      <c r="BO110" s="3930"/>
      <c r="BP110" s="3930"/>
      <c r="BQ110" s="3930"/>
      <c r="BR110" s="3930"/>
      <c r="BS110" s="3930"/>
      <c r="BT110" s="3930"/>
      <c r="BU110" s="3930"/>
      <c r="BV110" s="3930"/>
      <c r="BW110" s="3931"/>
      <c r="BX110" s="3933"/>
      <c r="CG110" s="330" t="str">
        <f>IF(AND(AB30&lt;&gt;"",AL30&lt;&gt;100%),AA30,"")</f>
        <v/>
      </c>
      <c r="CI110" s="331"/>
      <c r="CT110" s="326"/>
      <c r="CU110" s="326"/>
      <c r="CV110" s="326"/>
      <c r="CW110" s="326"/>
      <c r="CX110" s="326"/>
      <c r="CY110" s="326"/>
      <c r="CZ110" s="326"/>
    </row>
    <row r="111" spans="4:130" ht="17.100000000000001" customHeight="1" x14ac:dyDescent="0.15">
      <c r="D111" s="3934"/>
      <c r="E111" s="3926"/>
      <c r="F111" s="3927"/>
      <c r="G111" s="3927"/>
      <c r="H111" s="3927"/>
      <c r="I111" s="3927"/>
      <c r="J111" s="3927"/>
      <c r="K111" s="3927"/>
      <c r="L111" s="3927"/>
      <c r="M111" s="3927"/>
      <c r="N111" s="3927"/>
      <c r="O111" s="3927"/>
      <c r="P111" s="3927"/>
      <c r="Q111" s="3927"/>
      <c r="R111" s="3927"/>
      <c r="S111" s="3927"/>
      <c r="T111" s="3928"/>
      <c r="U111" s="3936"/>
      <c r="Y111" s="3938" t="str">
        <f>MID(Y113,1,2)</f>
        <v>MN</v>
      </c>
      <c r="AA111" s="3934"/>
      <c r="AB111" s="3926"/>
      <c r="AC111" s="3927"/>
      <c r="AD111" s="3927"/>
      <c r="AE111" s="3927"/>
      <c r="AF111" s="3927"/>
      <c r="AG111" s="3927"/>
      <c r="AH111" s="3927"/>
      <c r="AI111" s="3927"/>
      <c r="AJ111" s="3927"/>
      <c r="AK111" s="3928"/>
      <c r="AL111" s="290"/>
      <c r="AP111" s="291"/>
      <c r="AQ111" s="3918"/>
      <c r="AR111" s="3919"/>
      <c r="AS111" s="3919"/>
      <c r="AT111" s="3919"/>
      <c r="AU111" s="3919"/>
      <c r="AV111" s="3919"/>
      <c r="AW111" s="3919"/>
      <c r="AX111" s="3919"/>
      <c r="AY111" s="3919"/>
      <c r="AZ111" s="3919"/>
      <c r="BA111" s="3922"/>
      <c r="BC111" s="3938" t="str">
        <f>MID(BC113,1,2)</f>
        <v>BD</v>
      </c>
      <c r="BG111" s="3924"/>
      <c r="BH111" s="3926"/>
      <c r="BI111" s="3927"/>
      <c r="BJ111" s="3927"/>
      <c r="BK111" s="3927"/>
      <c r="BL111" s="3927"/>
      <c r="BM111" s="3927"/>
      <c r="BN111" s="3927"/>
      <c r="BO111" s="3927"/>
      <c r="BP111" s="3927"/>
      <c r="BQ111" s="3927"/>
      <c r="BR111" s="3927"/>
      <c r="BS111" s="3927"/>
      <c r="BT111" s="3927"/>
      <c r="BU111" s="3927"/>
      <c r="BV111" s="3927"/>
      <c r="BW111" s="3928"/>
      <c r="BX111" s="3932"/>
      <c r="CG111" s="330" t="str">
        <f>IF(AND(AB32&lt;&gt;"",AL32&lt;&gt;100%),AA32,"")</f>
        <v/>
      </c>
      <c r="CI111" s="331"/>
      <c r="CT111" s="326"/>
      <c r="CU111" s="326"/>
      <c r="CV111" s="326"/>
      <c r="CW111" s="326"/>
      <c r="CX111" s="326"/>
      <c r="CY111" s="326"/>
      <c r="CZ111" s="326"/>
    </row>
    <row r="112" spans="4:130" ht="17.100000000000001" customHeight="1" x14ac:dyDescent="0.15">
      <c r="D112" s="3935"/>
      <c r="E112" s="3929"/>
      <c r="F112" s="3930"/>
      <c r="G112" s="3930"/>
      <c r="H112" s="3930"/>
      <c r="I112" s="3930"/>
      <c r="J112" s="3930"/>
      <c r="K112" s="3930"/>
      <c r="L112" s="3930"/>
      <c r="M112" s="3930"/>
      <c r="N112" s="3930"/>
      <c r="O112" s="3930"/>
      <c r="P112" s="3930"/>
      <c r="Q112" s="3930"/>
      <c r="R112" s="3930"/>
      <c r="S112" s="3930"/>
      <c r="T112" s="3931"/>
      <c r="U112" s="3937"/>
      <c r="Y112" s="3939"/>
      <c r="AA112" s="3935"/>
      <c r="AB112" s="3929"/>
      <c r="AC112" s="3930"/>
      <c r="AD112" s="3930"/>
      <c r="AE112" s="3930"/>
      <c r="AF112" s="3930"/>
      <c r="AG112" s="3930"/>
      <c r="AH112" s="3930"/>
      <c r="AI112" s="3930"/>
      <c r="AJ112" s="3930"/>
      <c r="AK112" s="3931"/>
      <c r="AL112" s="292"/>
      <c r="AP112" s="293"/>
      <c r="AQ112" s="3920"/>
      <c r="AR112" s="3921"/>
      <c r="AS112" s="3921"/>
      <c r="AT112" s="3921"/>
      <c r="AU112" s="3921"/>
      <c r="AV112" s="3921"/>
      <c r="AW112" s="3921"/>
      <c r="AX112" s="3921"/>
      <c r="AY112" s="3921"/>
      <c r="AZ112" s="3921"/>
      <c r="BA112" s="3923"/>
      <c r="BC112" s="3939"/>
      <c r="BG112" s="3925"/>
      <c r="BH112" s="3929"/>
      <c r="BI112" s="3930"/>
      <c r="BJ112" s="3930"/>
      <c r="BK112" s="3930"/>
      <c r="BL112" s="3930"/>
      <c r="BM112" s="3930"/>
      <c r="BN112" s="3930"/>
      <c r="BO112" s="3930"/>
      <c r="BP112" s="3930"/>
      <c r="BQ112" s="3930"/>
      <c r="BR112" s="3930"/>
      <c r="BS112" s="3930"/>
      <c r="BT112" s="3930"/>
      <c r="BU112" s="3930"/>
      <c r="BV112" s="3930"/>
      <c r="BW112" s="3931"/>
      <c r="BX112" s="3933"/>
      <c r="CG112" s="330" t="str">
        <f>IF(AND(AB34&lt;&gt;"",AL34&lt;&gt;100%),AA34,"")</f>
        <v/>
      </c>
      <c r="CI112" s="331"/>
      <c r="CT112" s="326"/>
      <c r="CU112" s="326"/>
      <c r="CV112" s="326"/>
      <c r="CW112" s="326"/>
      <c r="CX112" s="326"/>
      <c r="CY112" s="326"/>
      <c r="CZ112" s="326"/>
    </row>
    <row r="113" spans="2:104" ht="17.100000000000001" customHeight="1" x14ac:dyDescent="0.15">
      <c r="D113" s="3934"/>
      <c r="E113" s="3926"/>
      <c r="F113" s="3927"/>
      <c r="G113" s="3927"/>
      <c r="H113" s="3927"/>
      <c r="I113" s="3927"/>
      <c r="J113" s="3927"/>
      <c r="K113" s="3927"/>
      <c r="L113" s="3927"/>
      <c r="M113" s="3927"/>
      <c r="N113" s="3927"/>
      <c r="O113" s="3927"/>
      <c r="P113" s="3927"/>
      <c r="Q113" s="3927"/>
      <c r="R113" s="3927"/>
      <c r="S113" s="3927"/>
      <c r="T113" s="3928"/>
      <c r="U113" s="3936"/>
      <c r="Y113" s="333" t="str">
        <f>$CO$47</f>
        <v>MND8</v>
      </c>
      <c r="AA113" s="3934"/>
      <c r="AB113" s="3926"/>
      <c r="AC113" s="3927"/>
      <c r="AD113" s="3927"/>
      <c r="AE113" s="3927"/>
      <c r="AF113" s="3927"/>
      <c r="AG113" s="3927"/>
      <c r="AH113" s="3927"/>
      <c r="AI113" s="3927"/>
      <c r="AJ113" s="3927"/>
      <c r="AK113" s="3928"/>
      <c r="AL113" s="290"/>
      <c r="AP113" s="291"/>
      <c r="AQ113" s="3918"/>
      <c r="AR113" s="3919"/>
      <c r="AS113" s="3919"/>
      <c r="AT113" s="3919"/>
      <c r="AU113" s="3919"/>
      <c r="AV113" s="3919"/>
      <c r="AW113" s="3919"/>
      <c r="AX113" s="3919"/>
      <c r="AY113" s="3919"/>
      <c r="AZ113" s="3919"/>
      <c r="BA113" s="3922"/>
      <c r="BC113" s="333" t="str">
        <f>$CO$56</f>
        <v>BDY8</v>
      </c>
      <c r="BG113" s="3924"/>
      <c r="BH113" s="3926"/>
      <c r="BI113" s="3927"/>
      <c r="BJ113" s="3927"/>
      <c r="BK113" s="3927"/>
      <c r="BL113" s="3927"/>
      <c r="BM113" s="3927"/>
      <c r="BN113" s="3927"/>
      <c r="BO113" s="3927"/>
      <c r="BP113" s="3927"/>
      <c r="BQ113" s="3927"/>
      <c r="BR113" s="3927"/>
      <c r="BS113" s="3927"/>
      <c r="BT113" s="3927"/>
      <c r="BU113" s="3927"/>
      <c r="BV113" s="3927"/>
      <c r="BW113" s="3928"/>
      <c r="BX113" s="3932"/>
      <c r="CG113" s="330" t="str">
        <f>IF(AND(AB36&lt;&gt;"",AL36&lt;&gt;100%),AA36,"")</f>
        <v/>
      </c>
      <c r="CI113" s="331"/>
      <c r="CT113" s="326"/>
      <c r="CU113" s="326"/>
      <c r="CV113" s="326"/>
      <c r="CW113" s="326"/>
      <c r="CX113" s="326"/>
      <c r="CY113" s="326"/>
      <c r="CZ113" s="326"/>
    </row>
    <row r="114" spans="2:104" ht="17.100000000000001" customHeight="1" x14ac:dyDescent="0.15">
      <c r="D114" s="3935"/>
      <c r="E114" s="3929"/>
      <c r="F114" s="3930"/>
      <c r="G114" s="3930"/>
      <c r="H114" s="3930"/>
      <c r="I114" s="3930"/>
      <c r="J114" s="3930"/>
      <c r="K114" s="3930"/>
      <c r="L114" s="3930"/>
      <c r="M114" s="3930"/>
      <c r="N114" s="3930"/>
      <c r="O114" s="3930"/>
      <c r="P114" s="3930"/>
      <c r="Q114" s="3930"/>
      <c r="R114" s="3930"/>
      <c r="S114" s="3930"/>
      <c r="T114" s="3931"/>
      <c r="U114" s="3937"/>
      <c r="AA114" s="3935"/>
      <c r="AB114" s="3929"/>
      <c r="AC114" s="3930"/>
      <c r="AD114" s="3930"/>
      <c r="AE114" s="3930"/>
      <c r="AF114" s="3930"/>
      <c r="AG114" s="3930"/>
      <c r="AH114" s="3930"/>
      <c r="AI114" s="3930"/>
      <c r="AJ114" s="3930"/>
      <c r="AK114" s="3931"/>
      <c r="AL114" s="292"/>
      <c r="AP114" s="294"/>
      <c r="AQ114" s="3920"/>
      <c r="AR114" s="3921"/>
      <c r="AS114" s="3921"/>
      <c r="AT114" s="3921"/>
      <c r="AU114" s="3921"/>
      <c r="AV114" s="3921"/>
      <c r="AW114" s="3921"/>
      <c r="AX114" s="3921"/>
      <c r="AY114" s="3921"/>
      <c r="AZ114" s="3921"/>
      <c r="BA114" s="3923"/>
      <c r="BG114" s="3925"/>
      <c r="BH114" s="3929"/>
      <c r="BI114" s="3930"/>
      <c r="BJ114" s="3930"/>
      <c r="BK114" s="3930"/>
      <c r="BL114" s="3930"/>
      <c r="BM114" s="3930"/>
      <c r="BN114" s="3930"/>
      <c r="BO114" s="3930"/>
      <c r="BP114" s="3930"/>
      <c r="BQ114" s="3930"/>
      <c r="BR114" s="3930"/>
      <c r="BS114" s="3930"/>
      <c r="BT114" s="3930"/>
      <c r="BU114" s="3930"/>
      <c r="BV114" s="3930"/>
      <c r="BW114" s="3931"/>
      <c r="BX114" s="3933"/>
      <c r="CG114" s="330" t="str">
        <f>IF(AND(AQ14&lt;&gt;"",AP14&lt;&gt;100%),BA14,"")</f>
        <v/>
      </c>
      <c r="CI114" s="331"/>
      <c r="CT114" s="326"/>
      <c r="CU114" s="326"/>
      <c r="CV114" s="326"/>
      <c r="CW114" s="326"/>
      <c r="CX114" s="326"/>
      <c r="CY114" s="326"/>
      <c r="CZ114" s="326"/>
    </row>
    <row r="115" spans="2:104" ht="17.100000000000001" customHeight="1" x14ac:dyDescent="0.15">
      <c r="D115" s="3934"/>
      <c r="E115" s="3926"/>
      <c r="F115" s="3927"/>
      <c r="G115" s="3927"/>
      <c r="H115" s="3927"/>
      <c r="I115" s="3927"/>
      <c r="J115" s="3927"/>
      <c r="K115" s="3927"/>
      <c r="L115" s="3927"/>
      <c r="M115" s="3927"/>
      <c r="N115" s="3927"/>
      <c r="O115" s="3927"/>
      <c r="P115" s="3927"/>
      <c r="Q115" s="3927"/>
      <c r="R115" s="3927"/>
      <c r="S115" s="3927"/>
      <c r="T115" s="3928"/>
      <c r="U115" s="3936"/>
      <c r="Y115" s="3938" t="str">
        <f>MID(Y117,1,2)</f>
        <v>MN</v>
      </c>
      <c r="AA115" s="3934"/>
      <c r="AB115" s="3926"/>
      <c r="AC115" s="3927"/>
      <c r="AD115" s="3927"/>
      <c r="AE115" s="3927"/>
      <c r="AF115" s="3927"/>
      <c r="AG115" s="3927"/>
      <c r="AH115" s="3927"/>
      <c r="AI115" s="3927"/>
      <c r="AJ115" s="3927"/>
      <c r="AK115" s="3928"/>
      <c r="AL115" s="290"/>
      <c r="AP115" s="291"/>
      <c r="AQ115" s="3918"/>
      <c r="AR115" s="3919"/>
      <c r="AS115" s="3919"/>
      <c r="AT115" s="3919"/>
      <c r="AU115" s="3919"/>
      <c r="AV115" s="3919"/>
      <c r="AW115" s="3919"/>
      <c r="AX115" s="3919"/>
      <c r="AY115" s="3919"/>
      <c r="AZ115" s="3919"/>
      <c r="BA115" s="3922"/>
      <c r="BC115" s="3938" t="str">
        <f>MID(BC117,1,2)</f>
        <v>BD</v>
      </c>
      <c r="BG115" s="3924"/>
      <c r="BH115" s="3926"/>
      <c r="BI115" s="3927"/>
      <c r="BJ115" s="3927"/>
      <c r="BK115" s="3927"/>
      <c r="BL115" s="3927"/>
      <c r="BM115" s="3927"/>
      <c r="BN115" s="3927"/>
      <c r="BO115" s="3927"/>
      <c r="BP115" s="3927"/>
      <c r="BQ115" s="3927"/>
      <c r="BR115" s="3927"/>
      <c r="BS115" s="3927"/>
      <c r="BT115" s="3927"/>
      <c r="BU115" s="3927"/>
      <c r="BV115" s="3927"/>
      <c r="BW115" s="3928"/>
      <c r="BX115" s="3932"/>
      <c r="CG115" s="330" t="str">
        <f>IF(AND(AQ16&lt;&gt;"",AP16&lt;&gt;100%),BA16,"")</f>
        <v/>
      </c>
      <c r="CH115" s="101"/>
      <c r="CI115" s="331"/>
    </row>
    <row r="116" spans="2:104" ht="17.100000000000001" customHeight="1" x14ac:dyDescent="0.15">
      <c r="D116" s="3935"/>
      <c r="E116" s="3929"/>
      <c r="F116" s="3930"/>
      <c r="G116" s="3930"/>
      <c r="H116" s="3930"/>
      <c r="I116" s="3930"/>
      <c r="J116" s="3930"/>
      <c r="K116" s="3930"/>
      <c r="L116" s="3930"/>
      <c r="M116" s="3930"/>
      <c r="N116" s="3930"/>
      <c r="O116" s="3930"/>
      <c r="P116" s="3930"/>
      <c r="Q116" s="3930"/>
      <c r="R116" s="3930"/>
      <c r="S116" s="3930"/>
      <c r="T116" s="3931"/>
      <c r="U116" s="3937"/>
      <c r="Y116" s="3939"/>
      <c r="AA116" s="3935"/>
      <c r="AB116" s="3929"/>
      <c r="AC116" s="3930"/>
      <c r="AD116" s="3930"/>
      <c r="AE116" s="3930"/>
      <c r="AF116" s="3930"/>
      <c r="AG116" s="3930"/>
      <c r="AH116" s="3930"/>
      <c r="AI116" s="3930"/>
      <c r="AJ116" s="3930"/>
      <c r="AK116" s="3931"/>
      <c r="AL116" s="292"/>
      <c r="AP116" s="293"/>
      <c r="AQ116" s="3920"/>
      <c r="AR116" s="3921"/>
      <c r="AS116" s="3921"/>
      <c r="AT116" s="3921"/>
      <c r="AU116" s="3921"/>
      <c r="AV116" s="3921"/>
      <c r="AW116" s="3921"/>
      <c r="AX116" s="3921"/>
      <c r="AY116" s="3921"/>
      <c r="AZ116" s="3921"/>
      <c r="BA116" s="3923"/>
      <c r="BC116" s="3939"/>
      <c r="BG116" s="3925"/>
      <c r="BH116" s="3929"/>
      <c r="BI116" s="3930"/>
      <c r="BJ116" s="3930"/>
      <c r="BK116" s="3930"/>
      <c r="BL116" s="3930"/>
      <c r="BM116" s="3930"/>
      <c r="BN116" s="3930"/>
      <c r="BO116" s="3930"/>
      <c r="BP116" s="3930"/>
      <c r="BQ116" s="3930"/>
      <c r="BR116" s="3930"/>
      <c r="BS116" s="3930"/>
      <c r="BT116" s="3930"/>
      <c r="BU116" s="3930"/>
      <c r="BV116" s="3930"/>
      <c r="BW116" s="3931"/>
      <c r="BX116" s="3933"/>
      <c r="CG116" s="330" t="str">
        <f>IF(AND(AQ18&lt;&gt;"",AP18&lt;&gt;100%),BA18,"")</f>
        <v/>
      </c>
      <c r="CI116" s="331"/>
    </row>
    <row r="117" spans="2:104" ht="17.100000000000001" customHeight="1" x14ac:dyDescent="0.15">
      <c r="D117" s="3934"/>
      <c r="E117" s="3926"/>
      <c r="F117" s="3927"/>
      <c r="G117" s="3927"/>
      <c r="H117" s="3927"/>
      <c r="I117" s="3927"/>
      <c r="J117" s="3927"/>
      <c r="K117" s="3927"/>
      <c r="L117" s="3927"/>
      <c r="M117" s="3927"/>
      <c r="N117" s="3927"/>
      <c r="O117" s="3927"/>
      <c r="P117" s="3927"/>
      <c r="Q117" s="3927"/>
      <c r="R117" s="3927"/>
      <c r="S117" s="3927"/>
      <c r="T117" s="3928"/>
      <c r="U117" s="3936"/>
      <c r="Y117" s="333" t="str">
        <f>$CO$48</f>
        <v>MND9</v>
      </c>
      <c r="AA117" s="3934"/>
      <c r="AB117" s="3926"/>
      <c r="AC117" s="3927"/>
      <c r="AD117" s="3927"/>
      <c r="AE117" s="3927"/>
      <c r="AF117" s="3927"/>
      <c r="AG117" s="3927"/>
      <c r="AH117" s="3927"/>
      <c r="AI117" s="3927"/>
      <c r="AJ117" s="3927"/>
      <c r="AK117" s="3928"/>
      <c r="AL117" s="290"/>
      <c r="AP117" s="291"/>
      <c r="AQ117" s="3918"/>
      <c r="AR117" s="3919"/>
      <c r="AS117" s="3919"/>
      <c r="AT117" s="3919"/>
      <c r="AU117" s="3919"/>
      <c r="AV117" s="3919"/>
      <c r="AW117" s="3919"/>
      <c r="AX117" s="3919"/>
      <c r="AY117" s="3919"/>
      <c r="AZ117" s="3919"/>
      <c r="BA117" s="3922"/>
      <c r="BC117" s="333" t="str">
        <f>$CO$57</f>
        <v>BDY9</v>
      </c>
      <c r="BG117" s="3924"/>
      <c r="BH117" s="3926"/>
      <c r="BI117" s="3927"/>
      <c r="BJ117" s="3927"/>
      <c r="BK117" s="3927"/>
      <c r="BL117" s="3927"/>
      <c r="BM117" s="3927"/>
      <c r="BN117" s="3927"/>
      <c r="BO117" s="3927"/>
      <c r="BP117" s="3927"/>
      <c r="BQ117" s="3927"/>
      <c r="BR117" s="3927"/>
      <c r="BS117" s="3927"/>
      <c r="BT117" s="3927"/>
      <c r="BU117" s="3927"/>
      <c r="BV117" s="3927"/>
      <c r="BW117" s="3928"/>
      <c r="BX117" s="3932"/>
      <c r="CG117" s="330" t="str">
        <f>IF(AND(AQ20&lt;&gt;"",AP20&lt;&gt;100%),BA20,"")</f>
        <v/>
      </c>
      <c r="CH117" s="101"/>
      <c r="CI117" s="331"/>
    </row>
    <row r="118" spans="2:104" ht="17.100000000000001" customHeight="1" x14ac:dyDescent="0.15">
      <c r="D118" s="3935"/>
      <c r="E118" s="3929"/>
      <c r="F118" s="3930"/>
      <c r="G118" s="3930"/>
      <c r="H118" s="3930"/>
      <c r="I118" s="3930"/>
      <c r="J118" s="3930"/>
      <c r="K118" s="3930"/>
      <c r="L118" s="3930"/>
      <c r="M118" s="3930"/>
      <c r="N118" s="3930"/>
      <c r="O118" s="3930"/>
      <c r="P118" s="3930"/>
      <c r="Q118" s="3930"/>
      <c r="R118" s="3930"/>
      <c r="S118" s="3930"/>
      <c r="T118" s="3931"/>
      <c r="U118" s="3937"/>
      <c r="AA118" s="3935"/>
      <c r="AB118" s="3929"/>
      <c r="AC118" s="3930"/>
      <c r="AD118" s="3930"/>
      <c r="AE118" s="3930"/>
      <c r="AF118" s="3930"/>
      <c r="AG118" s="3930"/>
      <c r="AH118" s="3930"/>
      <c r="AI118" s="3930"/>
      <c r="AJ118" s="3930"/>
      <c r="AK118" s="3931"/>
      <c r="AL118" s="292"/>
      <c r="AP118" s="294"/>
      <c r="AQ118" s="3920"/>
      <c r="AR118" s="3921"/>
      <c r="AS118" s="3921"/>
      <c r="AT118" s="3921"/>
      <c r="AU118" s="3921"/>
      <c r="AV118" s="3921"/>
      <c r="AW118" s="3921"/>
      <c r="AX118" s="3921"/>
      <c r="AY118" s="3921"/>
      <c r="AZ118" s="3921"/>
      <c r="BA118" s="3923"/>
      <c r="BG118" s="3925"/>
      <c r="BH118" s="3929"/>
      <c r="BI118" s="3930"/>
      <c r="BJ118" s="3930"/>
      <c r="BK118" s="3930"/>
      <c r="BL118" s="3930"/>
      <c r="BM118" s="3930"/>
      <c r="BN118" s="3930"/>
      <c r="BO118" s="3930"/>
      <c r="BP118" s="3930"/>
      <c r="BQ118" s="3930"/>
      <c r="BR118" s="3930"/>
      <c r="BS118" s="3930"/>
      <c r="BT118" s="3930"/>
      <c r="BU118" s="3930"/>
      <c r="BV118" s="3930"/>
      <c r="BW118" s="3931"/>
      <c r="BX118" s="3933"/>
      <c r="CG118" s="330" t="str">
        <f>IF(AND(AQ22&lt;&gt;"",AP22&lt;&gt;100%),BA22,"")</f>
        <v/>
      </c>
      <c r="CI118" s="331"/>
    </row>
    <row r="119" spans="2:104" ht="17.100000000000001" customHeight="1" x14ac:dyDescent="0.15">
      <c r="CG119" s="330" t="str">
        <f>IF(AND(AQ24&lt;&gt;"",AP24&lt;&gt;100%),BA24,"")</f>
        <v/>
      </c>
      <c r="CH119" s="101"/>
      <c r="CI119" s="331"/>
    </row>
    <row r="120" spans="2:104" ht="17.100000000000001" customHeight="1" x14ac:dyDescent="0.15">
      <c r="AN120" s="34" t="s">
        <v>9</v>
      </c>
      <c r="CG120" s="330" t="str">
        <f>IF(AND(AQ26&lt;&gt;"",AP26&lt;&gt;100%),BA26,"")</f>
        <v/>
      </c>
      <c r="CI120" s="331"/>
    </row>
    <row r="121" spans="2:104" ht="17.100000000000001" customHeight="1" thickBot="1" x14ac:dyDescent="0.2">
      <c r="AN121" s="34" t="s">
        <v>9</v>
      </c>
      <c r="CG121" s="330" t="str">
        <f>IF(AND(AQ28&lt;&gt;"",AP28&lt;&gt;100%),BA28,"")</f>
        <v/>
      </c>
      <c r="CH121" s="101"/>
      <c r="CI121" s="331"/>
    </row>
    <row r="122" spans="2:104" ht="17.100000000000001" customHeight="1" x14ac:dyDescent="0.15">
      <c r="D122" s="4092" t="str">
        <f>PLANS!BL51&amp;" "&amp;PLANS!BP51&amp;"   C O M P L E T E   S O   F A R"</f>
        <v>2 0 Y Y   C O M P L E T E   S O   F A R</v>
      </c>
      <c r="E122" s="4093"/>
      <c r="F122" s="4093"/>
      <c r="G122" s="4093"/>
      <c r="H122" s="4093"/>
      <c r="I122" s="4093"/>
      <c r="J122" s="4093"/>
      <c r="K122" s="4093"/>
      <c r="L122" s="4093"/>
      <c r="M122" s="4093"/>
      <c r="N122" s="4093"/>
      <c r="O122" s="4093"/>
      <c r="P122" s="4093"/>
      <c r="Q122" s="4093"/>
      <c r="R122" s="4093"/>
      <c r="S122" s="4093"/>
      <c r="T122" s="4093"/>
      <c r="U122" s="4093"/>
      <c r="V122" s="4093"/>
      <c r="W122" s="4093"/>
      <c r="X122" s="4093"/>
      <c r="Y122" s="4093"/>
      <c r="Z122" s="4093"/>
      <c r="AA122" s="4093"/>
      <c r="AB122" s="4093"/>
      <c r="AC122" s="4093"/>
      <c r="AD122" s="4093"/>
      <c r="AE122" s="4093"/>
      <c r="AF122" s="4093"/>
      <c r="AG122" s="4093"/>
      <c r="AH122" s="4093"/>
      <c r="AI122" s="4093"/>
      <c r="AJ122" s="4093"/>
      <c r="AK122" s="4093"/>
      <c r="AL122" s="4093"/>
      <c r="AM122" s="4093"/>
      <c r="AN122" s="4093"/>
      <c r="AO122" s="4093"/>
      <c r="AP122" s="4093"/>
      <c r="AQ122" s="4093"/>
      <c r="AR122" s="4093"/>
      <c r="AS122" s="4093"/>
      <c r="AT122" s="4093"/>
      <c r="AU122" s="4093"/>
      <c r="AV122" s="4093"/>
      <c r="AW122" s="4093"/>
      <c r="AX122" s="4093"/>
      <c r="AY122" s="4093"/>
      <c r="AZ122" s="4093"/>
      <c r="BA122" s="4093"/>
      <c r="BB122" s="4093"/>
      <c r="BC122" s="4093"/>
      <c r="BD122" s="4093"/>
      <c r="BE122" s="4093"/>
      <c r="BF122" s="4093"/>
      <c r="BG122" s="4093"/>
      <c r="BH122" s="4093"/>
      <c r="BI122" s="4093"/>
      <c r="BJ122" s="4093"/>
      <c r="BK122" s="4093"/>
      <c r="BL122" s="4093"/>
      <c r="BM122" s="4093"/>
      <c r="BN122" s="4093"/>
      <c r="BO122" s="4093"/>
      <c r="BP122" s="4093"/>
      <c r="BQ122" s="4093"/>
      <c r="BR122" s="4093"/>
      <c r="BS122" s="4093"/>
      <c r="BT122" s="4093"/>
      <c r="BU122" s="4093"/>
      <c r="BV122" s="4093"/>
      <c r="BW122" s="4093"/>
      <c r="BX122" s="4094"/>
      <c r="CG122" s="330" t="str">
        <f>IF(AND(AQ30&lt;&gt;"",AP30&lt;&gt;100%),BA30,"")</f>
        <v/>
      </c>
      <c r="CI122" s="331"/>
    </row>
    <row r="123" spans="2:104" ht="17.100000000000001" customHeight="1" thickBot="1" x14ac:dyDescent="0.2">
      <c r="D123" s="4095"/>
      <c r="E123" s="4096"/>
      <c r="F123" s="4096"/>
      <c r="G123" s="4096"/>
      <c r="H123" s="4096"/>
      <c r="I123" s="4096"/>
      <c r="J123" s="4096"/>
      <c r="K123" s="4096"/>
      <c r="L123" s="4096"/>
      <c r="M123" s="4096"/>
      <c r="N123" s="4096"/>
      <c r="O123" s="4096"/>
      <c r="P123" s="4096"/>
      <c r="Q123" s="4096"/>
      <c r="R123" s="4096"/>
      <c r="S123" s="4096"/>
      <c r="T123" s="4096"/>
      <c r="U123" s="4096"/>
      <c r="V123" s="4096"/>
      <c r="W123" s="4096"/>
      <c r="X123" s="4096"/>
      <c r="Y123" s="4096"/>
      <c r="Z123" s="4096"/>
      <c r="AA123" s="4096"/>
      <c r="AB123" s="4096"/>
      <c r="AC123" s="4096"/>
      <c r="AD123" s="4096"/>
      <c r="AE123" s="4096"/>
      <c r="AF123" s="4096"/>
      <c r="AG123" s="4096"/>
      <c r="AH123" s="4096"/>
      <c r="AI123" s="4096"/>
      <c r="AJ123" s="4096"/>
      <c r="AK123" s="4096"/>
      <c r="AL123" s="4096"/>
      <c r="AM123" s="4096"/>
      <c r="AN123" s="4096"/>
      <c r="AO123" s="4096"/>
      <c r="AP123" s="4096"/>
      <c r="AQ123" s="4096"/>
      <c r="AR123" s="4096"/>
      <c r="AS123" s="4096"/>
      <c r="AT123" s="4096"/>
      <c r="AU123" s="4096"/>
      <c r="AV123" s="4096"/>
      <c r="AW123" s="4096"/>
      <c r="AX123" s="4096"/>
      <c r="AY123" s="4096"/>
      <c r="AZ123" s="4096"/>
      <c r="BA123" s="4096"/>
      <c r="BB123" s="4096"/>
      <c r="BC123" s="4096"/>
      <c r="BD123" s="4096"/>
      <c r="BE123" s="4096"/>
      <c r="BF123" s="4096"/>
      <c r="BG123" s="4096"/>
      <c r="BH123" s="4096"/>
      <c r="BI123" s="4096"/>
      <c r="BJ123" s="4096"/>
      <c r="BK123" s="4096"/>
      <c r="BL123" s="4096"/>
      <c r="BM123" s="4096"/>
      <c r="BN123" s="4096"/>
      <c r="BO123" s="4096"/>
      <c r="BP123" s="4096"/>
      <c r="BQ123" s="4096"/>
      <c r="BR123" s="4096"/>
      <c r="BS123" s="4096"/>
      <c r="BT123" s="4096"/>
      <c r="BU123" s="4096"/>
      <c r="BV123" s="4096"/>
      <c r="BW123" s="4096"/>
      <c r="BX123" s="4097"/>
      <c r="CG123" s="330" t="str">
        <f>IF(AND(AQ32&lt;&gt;"",AP32&lt;&gt;100%),BA32,"")</f>
        <v/>
      </c>
      <c r="CH123" s="101"/>
      <c r="CI123" s="331"/>
    </row>
    <row r="124" spans="2:104" ht="17.100000000000001" customHeight="1" x14ac:dyDescent="0.15">
      <c r="CG124" s="330" t="str">
        <f>IF(AND(AQ34&lt;&gt;"",AP34&lt;&gt;100%),BA34,"")</f>
        <v/>
      </c>
      <c r="CI124" s="331"/>
    </row>
    <row r="125" spans="2:104" ht="17.100000000000001" customHeight="1" x14ac:dyDescent="0.15">
      <c r="B125" s="4065" t="s">
        <v>44</v>
      </c>
      <c r="D125" s="3396"/>
      <c r="E125" s="3907"/>
      <c r="F125" s="3908"/>
      <c r="G125" s="3908"/>
      <c r="H125" s="3908"/>
      <c r="I125" s="3908"/>
      <c r="J125" s="3908"/>
      <c r="K125" s="3908"/>
      <c r="L125" s="3908"/>
      <c r="M125" s="3908"/>
      <c r="N125" s="3908"/>
      <c r="O125" s="3908"/>
      <c r="P125" s="3908"/>
      <c r="Q125" s="3908"/>
      <c r="R125" s="3908"/>
      <c r="S125" s="3908"/>
      <c r="T125" s="3909"/>
      <c r="U125" s="3914"/>
      <c r="Y125" s="4065" t="str">
        <f>MID(Y127,1,2)</f>
        <v>MN</v>
      </c>
      <c r="AA125" s="3396"/>
      <c r="AB125" s="3907"/>
      <c r="AC125" s="3908"/>
      <c r="AD125" s="3908"/>
      <c r="AE125" s="3908"/>
      <c r="AF125" s="3908"/>
      <c r="AG125" s="3908"/>
      <c r="AH125" s="3908"/>
      <c r="AI125" s="3908"/>
      <c r="AJ125" s="3908"/>
      <c r="AK125" s="3909"/>
      <c r="AL125" s="3914"/>
      <c r="AP125" s="3914"/>
      <c r="AQ125" s="3907"/>
      <c r="AR125" s="3908"/>
      <c r="AS125" s="3908"/>
      <c r="AT125" s="3908"/>
      <c r="AU125" s="3908"/>
      <c r="AV125" s="3908"/>
      <c r="AW125" s="3908"/>
      <c r="AX125" s="3908"/>
      <c r="AY125" s="3908"/>
      <c r="AZ125" s="3909"/>
      <c r="BA125" s="3396"/>
      <c r="BC125" s="3938" t="str">
        <f>MID(BC127,1,2)</f>
        <v>BD</v>
      </c>
      <c r="BG125" s="3914"/>
      <c r="BH125" s="3907"/>
      <c r="BI125" s="3908"/>
      <c r="BJ125" s="3908"/>
      <c r="BK125" s="3908"/>
      <c r="BL125" s="3908"/>
      <c r="BM125" s="3908"/>
      <c r="BN125" s="3908"/>
      <c r="BO125" s="3908"/>
      <c r="BP125" s="3908"/>
      <c r="BQ125" s="3908"/>
      <c r="BR125" s="3908"/>
      <c r="BS125" s="3908"/>
      <c r="BT125" s="3908"/>
      <c r="BU125" s="3908"/>
      <c r="BV125" s="3908"/>
      <c r="BW125" s="3909"/>
      <c r="BX125" s="3396"/>
      <c r="BZ125" s="4065" t="s">
        <v>76</v>
      </c>
      <c r="CG125" s="330" t="str">
        <f>IF(AND(AQ36&lt;&gt;"",AP36&lt;&gt;100%),BA36,"")</f>
        <v/>
      </c>
      <c r="CI125" s="331"/>
    </row>
    <row r="126" spans="2:104" ht="17.100000000000001" customHeight="1" x14ac:dyDescent="0.15">
      <c r="B126" s="4065"/>
      <c r="D126" s="3396"/>
      <c r="E126" s="3915"/>
      <c r="F126" s="3916"/>
      <c r="G126" s="3916"/>
      <c r="H126" s="3916"/>
      <c r="I126" s="3916"/>
      <c r="J126" s="3916"/>
      <c r="K126" s="3916"/>
      <c r="L126" s="3916"/>
      <c r="M126" s="3916"/>
      <c r="N126" s="3916"/>
      <c r="O126" s="3916"/>
      <c r="P126" s="3916"/>
      <c r="Q126" s="3916"/>
      <c r="R126" s="3916"/>
      <c r="S126" s="3916"/>
      <c r="T126" s="3917"/>
      <c r="U126" s="3914"/>
      <c r="Y126" s="4065"/>
      <c r="AA126" s="3396"/>
      <c r="AB126" s="3915"/>
      <c r="AC126" s="3916"/>
      <c r="AD126" s="3916"/>
      <c r="AE126" s="3916"/>
      <c r="AF126" s="3916"/>
      <c r="AG126" s="3916"/>
      <c r="AH126" s="3916"/>
      <c r="AI126" s="3916"/>
      <c r="AJ126" s="3916"/>
      <c r="AK126" s="3917"/>
      <c r="AL126" s="3914"/>
      <c r="AP126" s="3914"/>
      <c r="AQ126" s="3915"/>
      <c r="AR126" s="3916"/>
      <c r="AS126" s="3916"/>
      <c r="AT126" s="3916"/>
      <c r="AU126" s="3916"/>
      <c r="AV126" s="3916"/>
      <c r="AW126" s="3916"/>
      <c r="AX126" s="3916"/>
      <c r="AY126" s="3916"/>
      <c r="AZ126" s="3917"/>
      <c r="BA126" s="3396"/>
      <c r="BC126" s="3939"/>
      <c r="BG126" s="3914"/>
      <c r="BH126" s="3910"/>
      <c r="BI126" s="3911"/>
      <c r="BJ126" s="3911"/>
      <c r="BK126" s="3911"/>
      <c r="BL126" s="3911"/>
      <c r="BM126" s="3911"/>
      <c r="BN126" s="3911"/>
      <c r="BO126" s="3911"/>
      <c r="BP126" s="3911"/>
      <c r="BQ126" s="3911"/>
      <c r="BR126" s="3911"/>
      <c r="BS126" s="3911"/>
      <c r="BT126" s="3911"/>
      <c r="BU126" s="3911"/>
      <c r="BV126" s="3911"/>
      <c r="BW126" s="3912"/>
      <c r="BX126" s="3396"/>
      <c r="BZ126" s="4065"/>
    </row>
    <row r="127" spans="2:104" ht="17.100000000000001" customHeight="1" x14ac:dyDescent="0.15">
      <c r="B127" s="333" t="s">
        <v>171</v>
      </c>
      <c r="D127" s="3396"/>
      <c r="E127" s="3907"/>
      <c r="F127" s="3908"/>
      <c r="G127" s="3908"/>
      <c r="H127" s="3908"/>
      <c r="I127" s="3908"/>
      <c r="J127" s="3908"/>
      <c r="K127" s="3908"/>
      <c r="L127" s="3908"/>
      <c r="M127" s="3908"/>
      <c r="N127" s="3908"/>
      <c r="O127" s="3908"/>
      <c r="P127" s="3908"/>
      <c r="Q127" s="3908"/>
      <c r="R127" s="3908"/>
      <c r="S127" s="3908"/>
      <c r="T127" s="3909"/>
      <c r="U127" s="3913"/>
      <c r="Y127" s="333" t="str">
        <f>$CO$40</f>
        <v>MND1</v>
      </c>
      <c r="AA127" s="3396"/>
      <c r="AB127" s="3907"/>
      <c r="AC127" s="3908"/>
      <c r="AD127" s="3908"/>
      <c r="AE127" s="3908"/>
      <c r="AF127" s="3908"/>
      <c r="AG127" s="3908"/>
      <c r="AH127" s="3908"/>
      <c r="AI127" s="3908"/>
      <c r="AJ127" s="3908"/>
      <c r="AK127" s="3909"/>
      <c r="AL127" s="3913"/>
      <c r="AP127" s="3914"/>
      <c r="AQ127" s="3907"/>
      <c r="AR127" s="3908"/>
      <c r="AS127" s="3908"/>
      <c r="AT127" s="3908"/>
      <c r="AU127" s="3908"/>
      <c r="AV127" s="3908"/>
      <c r="AW127" s="3908"/>
      <c r="AX127" s="3908"/>
      <c r="AY127" s="3908"/>
      <c r="AZ127" s="3909"/>
      <c r="BA127" s="3396"/>
      <c r="BC127" s="333" t="str">
        <f>$CO$49</f>
        <v>BDY1</v>
      </c>
      <c r="BG127" s="3914"/>
      <c r="BH127" s="3907"/>
      <c r="BI127" s="3908"/>
      <c r="BJ127" s="3908"/>
      <c r="BK127" s="3908"/>
      <c r="BL127" s="3908"/>
      <c r="BM127" s="3908"/>
      <c r="BN127" s="3908"/>
      <c r="BO127" s="3908"/>
      <c r="BP127" s="3908"/>
      <c r="BQ127" s="3908"/>
      <c r="BR127" s="3908"/>
      <c r="BS127" s="3908"/>
      <c r="BT127" s="3908"/>
      <c r="BU127" s="3908"/>
      <c r="BV127" s="3908"/>
      <c r="BW127" s="3909"/>
      <c r="BX127" s="3396"/>
      <c r="BZ127" s="333" t="s">
        <v>36</v>
      </c>
    </row>
    <row r="128" spans="2:104" ht="17.100000000000001" customHeight="1" x14ac:dyDescent="0.15">
      <c r="B128" s="334"/>
      <c r="D128" s="3396"/>
      <c r="E128" s="3915"/>
      <c r="F128" s="3916"/>
      <c r="G128" s="3916"/>
      <c r="H128" s="3916"/>
      <c r="I128" s="3916"/>
      <c r="J128" s="3916"/>
      <c r="K128" s="3916"/>
      <c r="L128" s="3916"/>
      <c r="M128" s="3916"/>
      <c r="N128" s="3916"/>
      <c r="O128" s="3916"/>
      <c r="P128" s="3916"/>
      <c r="Q128" s="3916"/>
      <c r="R128" s="3916"/>
      <c r="S128" s="3916"/>
      <c r="T128" s="3917"/>
      <c r="U128" s="3914"/>
      <c r="AA128" s="3396"/>
      <c r="AB128" s="3915"/>
      <c r="AC128" s="3916"/>
      <c r="AD128" s="3916"/>
      <c r="AE128" s="3916"/>
      <c r="AF128" s="3916"/>
      <c r="AG128" s="3916"/>
      <c r="AH128" s="3916"/>
      <c r="AI128" s="3916"/>
      <c r="AJ128" s="3916"/>
      <c r="AK128" s="3917"/>
      <c r="AL128" s="3914"/>
      <c r="AN128" s="334"/>
      <c r="AP128" s="3914"/>
      <c r="AQ128" s="3915"/>
      <c r="AR128" s="3916"/>
      <c r="AS128" s="3916"/>
      <c r="AT128" s="3916"/>
      <c r="AU128" s="3916"/>
      <c r="AV128" s="3916"/>
      <c r="AW128" s="3916"/>
      <c r="AX128" s="3916"/>
      <c r="AY128" s="3916"/>
      <c r="AZ128" s="3917"/>
      <c r="BA128" s="3396"/>
      <c r="BG128" s="3914"/>
      <c r="BH128" s="3910"/>
      <c r="BI128" s="3911"/>
      <c r="BJ128" s="3911"/>
      <c r="BK128" s="3911"/>
      <c r="BL128" s="3911"/>
      <c r="BM128" s="3911"/>
      <c r="BN128" s="3911"/>
      <c r="BO128" s="3911"/>
      <c r="BP128" s="3911"/>
      <c r="BQ128" s="3911"/>
      <c r="BR128" s="3911"/>
      <c r="BS128" s="3911"/>
      <c r="BT128" s="3911"/>
      <c r="BU128" s="3911"/>
      <c r="BV128" s="3911"/>
      <c r="BW128" s="3912"/>
      <c r="BX128" s="3396"/>
      <c r="BZ128" s="334"/>
    </row>
    <row r="129" spans="2:78" ht="17.100000000000001" customHeight="1" x14ac:dyDescent="0.15">
      <c r="B129" s="4065" t="s">
        <v>45</v>
      </c>
      <c r="D129" s="3396"/>
      <c r="E129" s="3907"/>
      <c r="F129" s="3908"/>
      <c r="G129" s="3908"/>
      <c r="H129" s="3908"/>
      <c r="I129" s="3908"/>
      <c r="J129" s="3908"/>
      <c r="K129" s="3908"/>
      <c r="L129" s="3908"/>
      <c r="M129" s="3908"/>
      <c r="N129" s="3908"/>
      <c r="O129" s="3908"/>
      <c r="P129" s="3908"/>
      <c r="Q129" s="3908"/>
      <c r="R129" s="3908"/>
      <c r="S129" s="3908"/>
      <c r="T129" s="3909"/>
      <c r="U129" s="3913"/>
      <c r="Y129" s="3938" t="str">
        <f>MID(Y131,1,2)</f>
        <v>MN</v>
      </c>
      <c r="AA129" s="3396"/>
      <c r="AB129" s="3907"/>
      <c r="AC129" s="3908"/>
      <c r="AD129" s="3908"/>
      <c r="AE129" s="3908"/>
      <c r="AF129" s="3908"/>
      <c r="AG129" s="3908"/>
      <c r="AH129" s="3908"/>
      <c r="AI129" s="3908"/>
      <c r="AJ129" s="3908"/>
      <c r="AK129" s="3909"/>
      <c r="AL129" s="3913"/>
      <c r="AP129" s="3914"/>
      <c r="AQ129" s="3907"/>
      <c r="AR129" s="3908"/>
      <c r="AS129" s="3908"/>
      <c r="AT129" s="3908"/>
      <c r="AU129" s="3908"/>
      <c r="AV129" s="3908"/>
      <c r="AW129" s="3908"/>
      <c r="AX129" s="3908"/>
      <c r="AY129" s="3908"/>
      <c r="AZ129" s="3909"/>
      <c r="BA129" s="3396"/>
      <c r="BC129" s="3938" t="str">
        <f>MID(BC131,1,2)</f>
        <v>BD</v>
      </c>
      <c r="BG129" s="3914"/>
      <c r="BH129" s="3907"/>
      <c r="BI129" s="3908"/>
      <c r="BJ129" s="3908"/>
      <c r="BK129" s="3908"/>
      <c r="BL129" s="3908"/>
      <c r="BM129" s="3908"/>
      <c r="BN129" s="3908"/>
      <c r="BO129" s="3908"/>
      <c r="BP129" s="3908"/>
      <c r="BQ129" s="3908"/>
      <c r="BR129" s="3908"/>
      <c r="BS129" s="3908"/>
      <c r="BT129" s="3908"/>
      <c r="BU129" s="3908"/>
      <c r="BV129" s="3908"/>
      <c r="BW129" s="3909"/>
      <c r="BX129" s="3396"/>
      <c r="BZ129" s="4065" t="s">
        <v>366</v>
      </c>
    </row>
    <row r="130" spans="2:78" ht="17.100000000000001" customHeight="1" x14ac:dyDescent="0.15">
      <c r="B130" s="4065"/>
      <c r="D130" s="3396"/>
      <c r="E130" s="3915"/>
      <c r="F130" s="3916"/>
      <c r="G130" s="3916"/>
      <c r="H130" s="3916"/>
      <c r="I130" s="3916"/>
      <c r="J130" s="3916"/>
      <c r="K130" s="3916"/>
      <c r="L130" s="3916"/>
      <c r="M130" s="3916"/>
      <c r="N130" s="3916"/>
      <c r="O130" s="3916"/>
      <c r="P130" s="3916"/>
      <c r="Q130" s="3916"/>
      <c r="R130" s="3916"/>
      <c r="S130" s="3916"/>
      <c r="T130" s="3917"/>
      <c r="U130" s="3914"/>
      <c r="Y130" s="3939"/>
      <c r="AA130" s="3396"/>
      <c r="AB130" s="3915"/>
      <c r="AC130" s="3916"/>
      <c r="AD130" s="3916"/>
      <c r="AE130" s="3916"/>
      <c r="AF130" s="3916"/>
      <c r="AG130" s="3916"/>
      <c r="AH130" s="3916"/>
      <c r="AI130" s="3916"/>
      <c r="AJ130" s="3916"/>
      <c r="AK130" s="3917"/>
      <c r="AL130" s="3914"/>
      <c r="AP130" s="3914"/>
      <c r="AQ130" s="3915"/>
      <c r="AR130" s="3916"/>
      <c r="AS130" s="3916"/>
      <c r="AT130" s="3916"/>
      <c r="AU130" s="3916"/>
      <c r="AV130" s="3916"/>
      <c r="AW130" s="3916"/>
      <c r="AX130" s="3916"/>
      <c r="AY130" s="3916"/>
      <c r="AZ130" s="3917"/>
      <c r="BA130" s="3396"/>
      <c r="BC130" s="3939"/>
      <c r="BG130" s="3914"/>
      <c r="BH130" s="3910"/>
      <c r="BI130" s="3911"/>
      <c r="BJ130" s="3911"/>
      <c r="BK130" s="3911"/>
      <c r="BL130" s="3911"/>
      <c r="BM130" s="3911"/>
      <c r="BN130" s="3911"/>
      <c r="BO130" s="3911"/>
      <c r="BP130" s="3911"/>
      <c r="BQ130" s="3911"/>
      <c r="BR130" s="3911"/>
      <c r="BS130" s="3911"/>
      <c r="BT130" s="3911"/>
      <c r="BU130" s="3911"/>
      <c r="BV130" s="3911"/>
      <c r="BW130" s="3912"/>
      <c r="BX130" s="3396"/>
      <c r="BZ130" s="4065"/>
    </row>
    <row r="131" spans="2:78" ht="17.100000000000001" customHeight="1" x14ac:dyDescent="0.15">
      <c r="B131" s="333" t="s">
        <v>456</v>
      </c>
      <c r="D131" s="3396"/>
      <c r="E131" s="3907"/>
      <c r="F131" s="3908"/>
      <c r="G131" s="3908"/>
      <c r="H131" s="3908"/>
      <c r="I131" s="3908"/>
      <c r="J131" s="3908"/>
      <c r="K131" s="3908"/>
      <c r="L131" s="3908"/>
      <c r="M131" s="3908"/>
      <c r="N131" s="3908"/>
      <c r="O131" s="3908"/>
      <c r="P131" s="3908"/>
      <c r="Q131" s="3908"/>
      <c r="R131" s="3908"/>
      <c r="S131" s="3908"/>
      <c r="T131" s="3909"/>
      <c r="U131" s="3913"/>
      <c r="Y131" s="333" t="str">
        <f>$CO$41</f>
        <v>MND2</v>
      </c>
      <c r="AA131" s="3396"/>
      <c r="AB131" s="3907"/>
      <c r="AC131" s="3908"/>
      <c r="AD131" s="3908"/>
      <c r="AE131" s="3908"/>
      <c r="AF131" s="3908"/>
      <c r="AG131" s="3908"/>
      <c r="AH131" s="3908"/>
      <c r="AI131" s="3908"/>
      <c r="AJ131" s="3908"/>
      <c r="AK131" s="3909"/>
      <c r="AL131" s="3913"/>
      <c r="AP131" s="3914"/>
      <c r="AQ131" s="3907"/>
      <c r="AR131" s="3908"/>
      <c r="AS131" s="3908"/>
      <c r="AT131" s="3908"/>
      <c r="AU131" s="3908"/>
      <c r="AV131" s="3908"/>
      <c r="AW131" s="3908"/>
      <c r="AX131" s="3908"/>
      <c r="AY131" s="3908"/>
      <c r="AZ131" s="3909"/>
      <c r="BA131" s="3396"/>
      <c r="BC131" s="333" t="str">
        <f>$CO$50</f>
        <v>BDY2</v>
      </c>
      <c r="BG131" s="3914"/>
      <c r="BH131" s="3907"/>
      <c r="BI131" s="3908"/>
      <c r="BJ131" s="3908"/>
      <c r="BK131" s="3908"/>
      <c r="BL131" s="3908"/>
      <c r="BM131" s="3908"/>
      <c r="BN131" s="3908"/>
      <c r="BO131" s="3908"/>
      <c r="BP131" s="3908"/>
      <c r="BQ131" s="3908"/>
      <c r="BR131" s="3908"/>
      <c r="BS131" s="3908"/>
      <c r="BT131" s="3908"/>
      <c r="BU131" s="3908"/>
      <c r="BV131" s="3908"/>
      <c r="BW131" s="3909"/>
      <c r="BX131" s="3396"/>
      <c r="BZ131" s="333" t="s">
        <v>732</v>
      </c>
    </row>
    <row r="132" spans="2:78" ht="17.100000000000001" customHeight="1" x14ac:dyDescent="0.15">
      <c r="D132" s="3396"/>
      <c r="E132" s="3915"/>
      <c r="F132" s="3916"/>
      <c r="G132" s="3916"/>
      <c r="H132" s="3916"/>
      <c r="I132" s="3916"/>
      <c r="J132" s="3916"/>
      <c r="K132" s="3916"/>
      <c r="L132" s="3916"/>
      <c r="M132" s="3916"/>
      <c r="N132" s="3916"/>
      <c r="O132" s="3916"/>
      <c r="P132" s="3916"/>
      <c r="Q132" s="3916"/>
      <c r="R132" s="3916"/>
      <c r="S132" s="3916"/>
      <c r="T132" s="3917"/>
      <c r="U132" s="3914"/>
      <c r="AA132" s="3396"/>
      <c r="AB132" s="3915"/>
      <c r="AC132" s="3916"/>
      <c r="AD132" s="3916"/>
      <c r="AE132" s="3916"/>
      <c r="AF132" s="3916"/>
      <c r="AG132" s="3916"/>
      <c r="AH132" s="3916"/>
      <c r="AI132" s="3916"/>
      <c r="AJ132" s="3916"/>
      <c r="AK132" s="3917"/>
      <c r="AL132" s="3914"/>
      <c r="AP132" s="3914"/>
      <c r="AQ132" s="3915"/>
      <c r="AR132" s="3916"/>
      <c r="AS132" s="3916"/>
      <c r="AT132" s="3916"/>
      <c r="AU132" s="3916"/>
      <c r="AV132" s="3916"/>
      <c r="AW132" s="3916"/>
      <c r="AX132" s="3916"/>
      <c r="AY132" s="3916"/>
      <c r="AZ132" s="3917"/>
      <c r="BA132" s="3396"/>
      <c r="BG132" s="3914"/>
      <c r="BH132" s="3910"/>
      <c r="BI132" s="3911"/>
      <c r="BJ132" s="3911"/>
      <c r="BK132" s="3911"/>
      <c r="BL132" s="3911"/>
      <c r="BM132" s="3911"/>
      <c r="BN132" s="3911"/>
      <c r="BO132" s="3911"/>
      <c r="BP132" s="3911"/>
      <c r="BQ132" s="3911"/>
      <c r="BR132" s="3911"/>
      <c r="BS132" s="3911"/>
      <c r="BT132" s="3911"/>
      <c r="BU132" s="3911"/>
      <c r="BV132" s="3911"/>
      <c r="BW132" s="3912"/>
      <c r="BX132" s="3396"/>
    </row>
    <row r="133" spans="2:78" ht="17.100000000000001" customHeight="1" x14ac:dyDescent="0.15">
      <c r="B133" s="4065" t="s">
        <v>46</v>
      </c>
      <c r="D133" s="3396"/>
      <c r="E133" s="3907"/>
      <c r="F133" s="3908"/>
      <c r="G133" s="3908"/>
      <c r="H133" s="3908"/>
      <c r="I133" s="3908"/>
      <c r="J133" s="3908"/>
      <c r="K133" s="3908"/>
      <c r="L133" s="3908"/>
      <c r="M133" s="3908"/>
      <c r="N133" s="3908"/>
      <c r="O133" s="3908"/>
      <c r="P133" s="3908"/>
      <c r="Q133" s="3908"/>
      <c r="R133" s="3908"/>
      <c r="S133" s="3908"/>
      <c r="T133" s="3909"/>
      <c r="U133" s="3913"/>
      <c r="Y133" s="3938" t="str">
        <f>MID(Y135,1,2)</f>
        <v>MN</v>
      </c>
      <c r="AA133" s="3396"/>
      <c r="AB133" s="3907"/>
      <c r="AC133" s="3908"/>
      <c r="AD133" s="3908"/>
      <c r="AE133" s="3908"/>
      <c r="AF133" s="3908"/>
      <c r="AG133" s="3908"/>
      <c r="AH133" s="3908"/>
      <c r="AI133" s="3908"/>
      <c r="AJ133" s="3908"/>
      <c r="AK133" s="3909"/>
      <c r="AL133" s="3913"/>
      <c r="AP133" s="3914"/>
      <c r="AQ133" s="3907"/>
      <c r="AR133" s="3908"/>
      <c r="AS133" s="3908"/>
      <c r="AT133" s="3908"/>
      <c r="AU133" s="3908"/>
      <c r="AV133" s="3908"/>
      <c r="AW133" s="3908"/>
      <c r="AX133" s="3908"/>
      <c r="AY133" s="3908"/>
      <c r="AZ133" s="3909"/>
      <c r="BA133" s="3396"/>
      <c r="BC133" s="3938" t="str">
        <f>MID(BC135,1,2)</f>
        <v>BD</v>
      </c>
      <c r="BG133" s="3914"/>
      <c r="BH133" s="3907"/>
      <c r="BI133" s="3908"/>
      <c r="BJ133" s="3908"/>
      <c r="BK133" s="3908"/>
      <c r="BL133" s="3908"/>
      <c r="BM133" s="3908"/>
      <c r="BN133" s="3908"/>
      <c r="BO133" s="3908"/>
      <c r="BP133" s="3908"/>
      <c r="BQ133" s="3908"/>
      <c r="BR133" s="3908"/>
      <c r="BS133" s="3908"/>
      <c r="BT133" s="3908"/>
      <c r="BU133" s="3908"/>
      <c r="BV133" s="3908"/>
      <c r="BW133" s="3909"/>
      <c r="BX133" s="3396"/>
      <c r="BZ133" s="4065" t="s">
        <v>745</v>
      </c>
    </row>
    <row r="134" spans="2:78" ht="17.100000000000001" customHeight="1" x14ac:dyDescent="0.15">
      <c r="B134" s="4065"/>
      <c r="D134" s="3396"/>
      <c r="E134" s="3915"/>
      <c r="F134" s="3916"/>
      <c r="G134" s="3916"/>
      <c r="H134" s="3916"/>
      <c r="I134" s="3916"/>
      <c r="J134" s="3916"/>
      <c r="K134" s="3916"/>
      <c r="L134" s="3916"/>
      <c r="M134" s="3916"/>
      <c r="N134" s="3916"/>
      <c r="O134" s="3916"/>
      <c r="P134" s="3916"/>
      <c r="Q134" s="3916"/>
      <c r="R134" s="3916"/>
      <c r="S134" s="3916"/>
      <c r="T134" s="3917"/>
      <c r="U134" s="3914"/>
      <c r="Y134" s="3939"/>
      <c r="AA134" s="3396"/>
      <c r="AB134" s="3915"/>
      <c r="AC134" s="3916"/>
      <c r="AD134" s="3916"/>
      <c r="AE134" s="3916"/>
      <c r="AF134" s="3916"/>
      <c r="AG134" s="3916"/>
      <c r="AH134" s="3916"/>
      <c r="AI134" s="3916"/>
      <c r="AJ134" s="3916"/>
      <c r="AK134" s="3917"/>
      <c r="AL134" s="3914"/>
      <c r="AP134" s="3914"/>
      <c r="AQ134" s="3915"/>
      <c r="AR134" s="3916"/>
      <c r="AS134" s="3916"/>
      <c r="AT134" s="3916"/>
      <c r="AU134" s="3916"/>
      <c r="AV134" s="3916"/>
      <c r="AW134" s="3916"/>
      <c r="AX134" s="3916"/>
      <c r="AY134" s="3916"/>
      <c r="AZ134" s="3917"/>
      <c r="BA134" s="3396"/>
      <c r="BC134" s="3939"/>
      <c r="BG134" s="3914"/>
      <c r="BH134" s="3910"/>
      <c r="BI134" s="3911"/>
      <c r="BJ134" s="3911"/>
      <c r="BK134" s="3911"/>
      <c r="BL134" s="3911"/>
      <c r="BM134" s="3911"/>
      <c r="BN134" s="3911"/>
      <c r="BO134" s="3911"/>
      <c r="BP134" s="3911"/>
      <c r="BQ134" s="3911"/>
      <c r="BR134" s="3911"/>
      <c r="BS134" s="3911"/>
      <c r="BT134" s="3911"/>
      <c r="BU134" s="3911"/>
      <c r="BV134" s="3911"/>
      <c r="BW134" s="3912"/>
      <c r="BX134" s="3396"/>
      <c r="BZ134" s="4065"/>
    </row>
    <row r="135" spans="2:78" ht="17.100000000000001" customHeight="1" x14ac:dyDescent="0.15">
      <c r="B135" s="333" t="s">
        <v>251</v>
      </c>
      <c r="D135" s="3396"/>
      <c r="E135" s="3907"/>
      <c r="F135" s="3908"/>
      <c r="G135" s="3908"/>
      <c r="H135" s="3908"/>
      <c r="I135" s="3908"/>
      <c r="J135" s="3908"/>
      <c r="K135" s="3908"/>
      <c r="L135" s="3908"/>
      <c r="M135" s="3908"/>
      <c r="N135" s="3908"/>
      <c r="O135" s="3908"/>
      <c r="P135" s="3908"/>
      <c r="Q135" s="3908"/>
      <c r="R135" s="3908"/>
      <c r="S135" s="3908"/>
      <c r="T135" s="3909"/>
      <c r="U135" s="3913"/>
      <c r="Y135" s="333" t="str">
        <f>$CO$42</f>
        <v>MND3</v>
      </c>
      <c r="AA135" s="3396"/>
      <c r="AB135" s="3907"/>
      <c r="AC135" s="3908"/>
      <c r="AD135" s="3908"/>
      <c r="AE135" s="3908"/>
      <c r="AF135" s="3908"/>
      <c r="AG135" s="3908"/>
      <c r="AH135" s="3908"/>
      <c r="AI135" s="3908"/>
      <c r="AJ135" s="3908"/>
      <c r="AK135" s="3909"/>
      <c r="AL135" s="3913"/>
      <c r="AP135" s="3914"/>
      <c r="AQ135" s="3907"/>
      <c r="AR135" s="3908"/>
      <c r="AS135" s="3908"/>
      <c r="AT135" s="3908"/>
      <c r="AU135" s="3908"/>
      <c r="AV135" s="3908"/>
      <c r="AW135" s="3908"/>
      <c r="AX135" s="3908"/>
      <c r="AY135" s="3908"/>
      <c r="AZ135" s="3909"/>
      <c r="BA135" s="3396"/>
      <c r="BC135" s="333" t="str">
        <f>$CO$51</f>
        <v>BDY3</v>
      </c>
      <c r="BG135" s="3914"/>
      <c r="BH135" s="3907"/>
      <c r="BI135" s="3908"/>
      <c r="BJ135" s="3908"/>
      <c r="BK135" s="3908"/>
      <c r="BL135" s="3908"/>
      <c r="BM135" s="3908"/>
      <c r="BN135" s="3908"/>
      <c r="BO135" s="3908"/>
      <c r="BP135" s="3908"/>
      <c r="BQ135" s="3908"/>
      <c r="BR135" s="3908"/>
      <c r="BS135" s="3908"/>
      <c r="BT135" s="3908"/>
      <c r="BU135" s="3908"/>
      <c r="BV135" s="3908"/>
      <c r="BW135" s="3909"/>
      <c r="BX135" s="3396"/>
      <c r="BZ135" s="333" t="s">
        <v>43</v>
      </c>
    </row>
    <row r="136" spans="2:78" ht="17.100000000000001" customHeight="1" x14ac:dyDescent="0.15">
      <c r="D136" s="3396"/>
      <c r="E136" s="3915"/>
      <c r="F136" s="3916"/>
      <c r="G136" s="3916"/>
      <c r="H136" s="3916"/>
      <c r="I136" s="3916"/>
      <c r="J136" s="3916"/>
      <c r="K136" s="3916"/>
      <c r="L136" s="3916"/>
      <c r="M136" s="3916"/>
      <c r="N136" s="3916"/>
      <c r="O136" s="3916"/>
      <c r="P136" s="3916"/>
      <c r="Q136" s="3916"/>
      <c r="R136" s="3916"/>
      <c r="S136" s="3916"/>
      <c r="T136" s="3917"/>
      <c r="U136" s="3914"/>
      <c r="AA136" s="3396"/>
      <c r="AB136" s="3915"/>
      <c r="AC136" s="3916"/>
      <c r="AD136" s="3916"/>
      <c r="AE136" s="3916"/>
      <c r="AF136" s="3916"/>
      <c r="AG136" s="3916"/>
      <c r="AH136" s="3916"/>
      <c r="AI136" s="3916"/>
      <c r="AJ136" s="3916"/>
      <c r="AK136" s="3917"/>
      <c r="AL136" s="3914"/>
      <c r="AP136" s="3914"/>
      <c r="AQ136" s="3915"/>
      <c r="AR136" s="3916"/>
      <c r="AS136" s="3916"/>
      <c r="AT136" s="3916"/>
      <c r="AU136" s="3916"/>
      <c r="AV136" s="3916"/>
      <c r="AW136" s="3916"/>
      <c r="AX136" s="3916"/>
      <c r="AY136" s="3916"/>
      <c r="AZ136" s="3917"/>
      <c r="BA136" s="3396"/>
      <c r="BG136" s="3914"/>
      <c r="BH136" s="3910"/>
      <c r="BI136" s="3911"/>
      <c r="BJ136" s="3911"/>
      <c r="BK136" s="3911"/>
      <c r="BL136" s="3911"/>
      <c r="BM136" s="3911"/>
      <c r="BN136" s="3911"/>
      <c r="BO136" s="3911"/>
      <c r="BP136" s="3911"/>
      <c r="BQ136" s="3911"/>
      <c r="BR136" s="3911"/>
      <c r="BS136" s="3911"/>
      <c r="BT136" s="3911"/>
      <c r="BU136" s="3911"/>
      <c r="BV136" s="3911"/>
      <c r="BW136" s="3912"/>
      <c r="BX136" s="3396"/>
    </row>
    <row r="137" spans="2:78" ht="17.100000000000001" customHeight="1" x14ac:dyDescent="0.15">
      <c r="D137" s="3396"/>
      <c r="E137" s="3907"/>
      <c r="F137" s="3908"/>
      <c r="G137" s="3908"/>
      <c r="H137" s="3908"/>
      <c r="I137" s="3908"/>
      <c r="J137" s="3908"/>
      <c r="K137" s="3908"/>
      <c r="L137" s="3908"/>
      <c r="M137" s="3908"/>
      <c r="N137" s="3908"/>
      <c r="O137" s="3908"/>
      <c r="P137" s="3908"/>
      <c r="Q137" s="3908"/>
      <c r="R137" s="3908"/>
      <c r="S137" s="3908"/>
      <c r="T137" s="3909"/>
      <c r="U137" s="3913"/>
      <c r="Y137" s="3938" t="str">
        <f>MID(Y139,1,2)</f>
        <v>MN</v>
      </c>
      <c r="AA137" s="3396"/>
      <c r="AB137" s="3907"/>
      <c r="AC137" s="3908"/>
      <c r="AD137" s="3908"/>
      <c r="AE137" s="3908"/>
      <c r="AF137" s="3908"/>
      <c r="AG137" s="3908"/>
      <c r="AH137" s="3908"/>
      <c r="AI137" s="3908"/>
      <c r="AJ137" s="3908"/>
      <c r="AK137" s="3909"/>
      <c r="AL137" s="3913"/>
      <c r="AP137" s="3914"/>
      <c r="AQ137" s="3907"/>
      <c r="AR137" s="3908"/>
      <c r="AS137" s="3908"/>
      <c r="AT137" s="3908"/>
      <c r="AU137" s="3908"/>
      <c r="AV137" s="3908"/>
      <c r="AW137" s="3908"/>
      <c r="AX137" s="3908"/>
      <c r="AY137" s="3908"/>
      <c r="AZ137" s="3909"/>
      <c r="BA137" s="3396"/>
      <c r="BC137" s="3938" t="str">
        <f>MID(BC139,1,2)</f>
        <v>BD</v>
      </c>
      <c r="BG137" s="3914"/>
      <c r="BH137" s="3907"/>
      <c r="BI137" s="3908"/>
      <c r="BJ137" s="3908"/>
      <c r="BK137" s="3908"/>
      <c r="BL137" s="3908"/>
      <c r="BM137" s="3908"/>
      <c r="BN137" s="3908"/>
      <c r="BO137" s="3908"/>
      <c r="BP137" s="3908"/>
      <c r="BQ137" s="3908"/>
      <c r="BR137" s="3908"/>
      <c r="BS137" s="3908"/>
      <c r="BT137" s="3908"/>
      <c r="BU137" s="3908"/>
      <c r="BV137" s="3908"/>
      <c r="BW137" s="3909"/>
      <c r="BX137" s="3396"/>
    </row>
    <row r="138" spans="2:78" ht="17.100000000000001" customHeight="1" x14ac:dyDescent="0.15">
      <c r="D138" s="3396"/>
      <c r="E138" s="3915"/>
      <c r="F138" s="3916"/>
      <c r="G138" s="3916"/>
      <c r="H138" s="3916"/>
      <c r="I138" s="3916"/>
      <c r="J138" s="3916"/>
      <c r="K138" s="3916"/>
      <c r="L138" s="3916"/>
      <c r="M138" s="3916"/>
      <c r="N138" s="3916"/>
      <c r="O138" s="3916"/>
      <c r="P138" s="3916"/>
      <c r="Q138" s="3916"/>
      <c r="R138" s="3916"/>
      <c r="S138" s="3916"/>
      <c r="T138" s="3917"/>
      <c r="U138" s="3914"/>
      <c r="Y138" s="3939"/>
      <c r="AA138" s="3396"/>
      <c r="AB138" s="3915"/>
      <c r="AC138" s="3916"/>
      <c r="AD138" s="3916"/>
      <c r="AE138" s="3916"/>
      <c r="AF138" s="3916"/>
      <c r="AG138" s="3916"/>
      <c r="AH138" s="3916"/>
      <c r="AI138" s="3916"/>
      <c r="AJ138" s="3916"/>
      <c r="AK138" s="3917"/>
      <c r="AL138" s="3914"/>
      <c r="AP138" s="3914"/>
      <c r="AQ138" s="3915"/>
      <c r="AR138" s="3916"/>
      <c r="AS138" s="3916"/>
      <c r="AT138" s="3916"/>
      <c r="AU138" s="3916"/>
      <c r="AV138" s="3916"/>
      <c r="AW138" s="3916"/>
      <c r="AX138" s="3916"/>
      <c r="AY138" s="3916"/>
      <c r="AZ138" s="3917"/>
      <c r="BA138" s="3396"/>
      <c r="BC138" s="3939"/>
      <c r="BG138" s="3914"/>
      <c r="BH138" s="3910"/>
      <c r="BI138" s="3911"/>
      <c r="BJ138" s="3911"/>
      <c r="BK138" s="3911"/>
      <c r="BL138" s="3911"/>
      <c r="BM138" s="3911"/>
      <c r="BN138" s="3911"/>
      <c r="BO138" s="3911"/>
      <c r="BP138" s="3911"/>
      <c r="BQ138" s="3911"/>
      <c r="BR138" s="3911"/>
      <c r="BS138" s="3911"/>
      <c r="BT138" s="3911"/>
      <c r="BU138" s="3911"/>
      <c r="BV138" s="3911"/>
      <c r="BW138" s="3912"/>
      <c r="BX138" s="3396"/>
    </row>
    <row r="139" spans="2:78" ht="17.100000000000001" customHeight="1" x14ac:dyDescent="0.15">
      <c r="D139" s="3396"/>
      <c r="E139" s="3907"/>
      <c r="F139" s="3908"/>
      <c r="G139" s="3908"/>
      <c r="H139" s="3908"/>
      <c r="I139" s="3908"/>
      <c r="J139" s="3908"/>
      <c r="K139" s="3908"/>
      <c r="L139" s="3908"/>
      <c r="M139" s="3908"/>
      <c r="N139" s="3908"/>
      <c r="O139" s="3908"/>
      <c r="P139" s="3908"/>
      <c r="Q139" s="3908"/>
      <c r="R139" s="3908"/>
      <c r="S139" s="3908"/>
      <c r="T139" s="3909"/>
      <c r="U139" s="3913"/>
      <c r="Y139" s="333" t="str">
        <f>$CO$43</f>
        <v>MND4</v>
      </c>
      <c r="AA139" s="3396"/>
      <c r="AB139" s="3907"/>
      <c r="AC139" s="3908"/>
      <c r="AD139" s="3908"/>
      <c r="AE139" s="3908"/>
      <c r="AF139" s="3908"/>
      <c r="AG139" s="3908"/>
      <c r="AH139" s="3908"/>
      <c r="AI139" s="3908"/>
      <c r="AJ139" s="3908"/>
      <c r="AK139" s="3909"/>
      <c r="AL139" s="3913"/>
      <c r="AP139" s="3914"/>
      <c r="AQ139" s="3907"/>
      <c r="AR139" s="3908"/>
      <c r="AS139" s="3908"/>
      <c r="AT139" s="3908"/>
      <c r="AU139" s="3908"/>
      <c r="AV139" s="3908"/>
      <c r="AW139" s="3908"/>
      <c r="AX139" s="3908"/>
      <c r="AY139" s="3908"/>
      <c r="AZ139" s="3909"/>
      <c r="BA139" s="3396"/>
      <c r="BC139" s="333" t="str">
        <f>$CO$52</f>
        <v>BDY4</v>
      </c>
      <c r="BG139" s="3914"/>
      <c r="BH139" s="3907"/>
      <c r="BI139" s="3908"/>
      <c r="BJ139" s="3908"/>
      <c r="BK139" s="3908"/>
      <c r="BL139" s="3908"/>
      <c r="BM139" s="3908"/>
      <c r="BN139" s="3908"/>
      <c r="BO139" s="3908"/>
      <c r="BP139" s="3908"/>
      <c r="BQ139" s="3908"/>
      <c r="BR139" s="3908"/>
      <c r="BS139" s="3908"/>
      <c r="BT139" s="3908"/>
      <c r="BU139" s="3908"/>
      <c r="BV139" s="3908"/>
      <c r="BW139" s="3909"/>
      <c r="BX139" s="3396"/>
    </row>
    <row r="140" spans="2:78" ht="17.100000000000001" customHeight="1" x14ac:dyDescent="0.15">
      <c r="D140" s="3396"/>
      <c r="E140" s="3915"/>
      <c r="F140" s="3916"/>
      <c r="G140" s="3916"/>
      <c r="H140" s="3916"/>
      <c r="I140" s="3916"/>
      <c r="J140" s="3916"/>
      <c r="K140" s="3916"/>
      <c r="L140" s="3916"/>
      <c r="M140" s="3916"/>
      <c r="N140" s="3916"/>
      <c r="O140" s="3916"/>
      <c r="P140" s="3916"/>
      <c r="Q140" s="3916"/>
      <c r="R140" s="3916"/>
      <c r="S140" s="3916"/>
      <c r="T140" s="3917"/>
      <c r="U140" s="3914"/>
      <c r="AA140" s="3396"/>
      <c r="AB140" s="3915"/>
      <c r="AC140" s="3916"/>
      <c r="AD140" s="3916"/>
      <c r="AE140" s="3916"/>
      <c r="AF140" s="3916"/>
      <c r="AG140" s="3916"/>
      <c r="AH140" s="3916"/>
      <c r="AI140" s="3916"/>
      <c r="AJ140" s="3916"/>
      <c r="AK140" s="3917"/>
      <c r="AL140" s="3914"/>
      <c r="AP140" s="3914"/>
      <c r="AQ140" s="3915"/>
      <c r="AR140" s="3916"/>
      <c r="AS140" s="3916"/>
      <c r="AT140" s="3916"/>
      <c r="AU140" s="3916"/>
      <c r="AV140" s="3916"/>
      <c r="AW140" s="3916"/>
      <c r="AX140" s="3916"/>
      <c r="AY140" s="3916"/>
      <c r="AZ140" s="3917"/>
      <c r="BA140" s="3396"/>
      <c r="BG140" s="3914"/>
      <c r="BH140" s="3910"/>
      <c r="BI140" s="3911"/>
      <c r="BJ140" s="3911"/>
      <c r="BK140" s="3911"/>
      <c r="BL140" s="3911"/>
      <c r="BM140" s="3911"/>
      <c r="BN140" s="3911"/>
      <c r="BO140" s="3911"/>
      <c r="BP140" s="3911"/>
      <c r="BQ140" s="3911"/>
      <c r="BR140" s="3911"/>
      <c r="BS140" s="3911"/>
      <c r="BT140" s="3911"/>
      <c r="BU140" s="3911"/>
      <c r="BV140" s="3911"/>
      <c r="BW140" s="3912"/>
      <c r="BX140" s="3396"/>
    </row>
    <row r="141" spans="2:78" ht="17.100000000000001" customHeight="1" x14ac:dyDescent="0.15">
      <c r="D141" s="3396"/>
      <c r="E141" s="3907"/>
      <c r="F141" s="3908"/>
      <c r="G141" s="3908"/>
      <c r="H141" s="3908"/>
      <c r="I141" s="3908"/>
      <c r="J141" s="3908"/>
      <c r="K141" s="3908"/>
      <c r="L141" s="3908"/>
      <c r="M141" s="3908"/>
      <c r="N141" s="3908"/>
      <c r="O141" s="3908"/>
      <c r="P141" s="3908"/>
      <c r="Q141" s="3908"/>
      <c r="R141" s="3908"/>
      <c r="S141" s="3908"/>
      <c r="T141" s="3909"/>
      <c r="U141" s="3913"/>
      <c r="Y141" s="3938" t="str">
        <f>MID(Y143,1,2)</f>
        <v>MN</v>
      </c>
      <c r="AA141" s="3396"/>
      <c r="AB141" s="3907"/>
      <c r="AC141" s="3908"/>
      <c r="AD141" s="3908"/>
      <c r="AE141" s="3908"/>
      <c r="AF141" s="3908"/>
      <c r="AG141" s="3908"/>
      <c r="AH141" s="3908"/>
      <c r="AI141" s="3908"/>
      <c r="AJ141" s="3908"/>
      <c r="AK141" s="3909"/>
      <c r="AL141" s="3913"/>
      <c r="AP141" s="3914"/>
      <c r="AQ141" s="3907"/>
      <c r="AR141" s="3908"/>
      <c r="AS141" s="3908"/>
      <c r="AT141" s="3908"/>
      <c r="AU141" s="3908"/>
      <c r="AV141" s="3908"/>
      <c r="AW141" s="3908"/>
      <c r="AX141" s="3908"/>
      <c r="AY141" s="3908"/>
      <c r="AZ141" s="3909"/>
      <c r="BA141" s="3396"/>
      <c r="BC141" s="3938" t="str">
        <f>MID(BC143,1,2)</f>
        <v>BD</v>
      </c>
      <c r="BG141" s="3914"/>
      <c r="BH141" s="3907"/>
      <c r="BI141" s="3908"/>
      <c r="BJ141" s="3908"/>
      <c r="BK141" s="3908"/>
      <c r="BL141" s="3908"/>
      <c r="BM141" s="3908"/>
      <c r="BN141" s="3908"/>
      <c r="BO141" s="3908"/>
      <c r="BP141" s="3908"/>
      <c r="BQ141" s="3908"/>
      <c r="BR141" s="3908"/>
      <c r="BS141" s="3908"/>
      <c r="BT141" s="3908"/>
      <c r="BU141" s="3908"/>
      <c r="BV141" s="3908"/>
      <c r="BW141" s="3909"/>
      <c r="BX141" s="3396"/>
    </row>
    <row r="142" spans="2:78" ht="17.100000000000001" customHeight="1" x14ac:dyDescent="0.15">
      <c r="D142" s="3396"/>
      <c r="E142" s="3915"/>
      <c r="F142" s="3916"/>
      <c r="G142" s="3916"/>
      <c r="H142" s="3916"/>
      <c r="I142" s="3916"/>
      <c r="J142" s="3916"/>
      <c r="K142" s="3916"/>
      <c r="L142" s="3916"/>
      <c r="M142" s="3916"/>
      <c r="N142" s="3916"/>
      <c r="O142" s="3916"/>
      <c r="P142" s="3916"/>
      <c r="Q142" s="3916"/>
      <c r="R142" s="3916"/>
      <c r="S142" s="3916"/>
      <c r="T142" s="3917"/>
      <c r="U142" s="3914"/>
      <c r="Y142" s="3939"/>
      <c r="AA142" s="3396"/>
      <c r="AB142" s="3915"/>
      <c r="AC142" s="3916"/>
      <c r="AD142" s="3916"/>
      <c r="AE142" s="3916"/>
      <c r="AF142" s="3916"/>
      <c r="AG142" s="3916"/>
      <c r="AH142" s="3916"/>
      <c r="AI142" s="3916"/>
      <c r="AJ142" s="3916"/>
      <c r="AK142" s="3917"/>
      <c r="AL142" s="3914"/>
      <c r="AP142" s="3914"/>
      <c r="AQ142" s="3915"/>
      <c r="AR142" s="3916"/>
      <c r="AS142" s="3916"/>
      <c r="AT142" s="3916"/>
      <c r="AU142" s="3916"/>
      <c r="AV142" s="3916"/>
      <c r="AW142" s="3916"/>
      <c r="AX142" s="3916"/>
      <c r="AY142" s="3916"/>
      <c r="AZ142" s="3917"/>
      <c r="BA142" s="3396"/>
      <c r="BC142" s="3939"/>
      <c r="BG142" s="3914"/>
      <c r="BH142" s="3910"/>
      <c r="BI142" s="3911"/>
      <c r="BJ142" s="3911"/>
      <c r="BK142" s="3911"/>
      <c r="BL142" s="3911"/>
      <c r="BM142" s="3911"/>
      <c r="BN142" s="3911"/>
      <c r="BO142" s="3911"/>
      <c r="BP142" s="3911"/>
      <c r="BQ142" s="3911"/>
      <c r="BR142" s="3911"/>
      <c r="BS142" s="3911"/>
      <c r="BT142" s="3911"/>
      <c r="BU142" s="3911"/>
      <c r="BV142" s="3911"/>
      <c r="BW142" s="3912"/>
      <c r="BX142" s="3396"/>
    </row>
    <row r="143" spans="2:78" ht="17.100000000000001" customHeight="1" x14ac:dyDescent="0.15">
      <c r="D143" s="3396"/>
      <c r="E143" s="3907"/>
      <c r="F143" s="3908"/>
      <c r="G143" s="3908"/>
      <c r="H143" s="3908"/>
      <c r="I143" s="3908"/>
      <c r="J143" s="3908"/>
      <c r="K143" s="3908"/>
      <c r="L143" s="3908"/>
      <c r="M143" s="3908"/>
      <c r="N143" s="3908"/>
      <c r="O143" s="3908"/>
      <c r="P143" s="3908"/>
      <c r="Q143" s="3908"/>
      <c r="R143" s="3908"/>
      <c r="S143" s="3908"/>
      <c r="T143" s="3909"/>
      <c r="U143" s="3913"/>
      <c r="Y143" s="333" t="str">
        <f>$CO$44</f>
        <v>MND5</v>
      </c>
      <c r="AA143" s="3396"/>
      <c r="AB143" s="3907"/>
      <c r="AC143" s="3908"/>
      <c r="AD143" s="3908"/>
      <c r="AE143" s="3908"/>
      <c r="AF143" s="3908"/>
      <c r="AG143" s="3908"/>
      <c r="AH143" s="3908"/>
      <c r="AI143" s="3908"/>
      <c r="AJ143" s="3908"/>
      <c r="AK143" s="3909"/>
      <c r="AL143" s="3913"/>
      <c r="AP143" s="3914"/>
      <c r="AQ143" s="3907"/>
      <c r="AR143" s="3908"/>
      <c r="AS143" s="3908"/>
      <c r="AT143" s="3908"/>
      <c r="AU143" s="3908"/>
      <c r="AV143" s="3908"/>
      <c r="AW143" s="3908"/>
      <c r="AX143" s="3908"/>
      <c r="AY143" s="3908"/>
      <c r="AZ143" s="3909"/>
      <c r="BA143" s="3396"/>
      <c r="BC143" s="333" t="str">
        <f>$CO$53</f>
        <v>BDY5</v>
      </c>
      <c r="BG143" s="3914"/>
      <c r="BH143" s="3907"/>
      <c r="BI143" s="3908"/>
      <c r="BJ143" s="3908"/>
      <c r="BK143" s="3908"/>
      <c r="BL143" s="3908"/>
      <c r="BM143" s="3908"/>
      <c r="BN143" s="3908"/>
      <c r="BO143" s="3908"/>
      <c r="BP143" s="3908"/>
      <c r="BQ143" s="3908"/>
      <c r="BR143" s="3908"/>
      <c r="BS143" s="3908"/>
      <c r="BT143" s="3908"/>
      <c r="BU143" s="3908"/>
      <c r="BV143" s="3908"/>
      <c r="BW143" s="3909"/>
      <c r="BX143" s="3396"/>
    </row>
    <row r="144" spans="2:78" ht="17.100000000000001" customHeight="1" x14ac:dyDescent="0.15">
      <c r="D144" s="3396"/>
      <c r="E144" s="3915"/>
      <c r="F144" s="3916"/>
      <c r="G144" s="3916"/>
      <c r="H144" s="3916"/>
      <c r="I144" s="3916"/>
      <c r="J144" s="3916"/>
      <c r="K144" s="3916"/>
      <c r="L144" s="3916"/>
      <c r="M144" s="3916"/>
      <c r="N144" s="3916"/>
      <c r="O144" s="3916"/>
      <c r="P144" s="3916"/>
      <c r="Q144" s="3916"/>
      <c r="R144" s="3916"/>
      <c r="S144" s="3916"/>
      <c r="T144" s="3917"/>
      <c r="U144" s="3914"/>
      <c r="AA144" s="3396"/>
      <c r="AB144" s="3915"/>
      <c r="AC144" s="3916"/>
      <c r="AD144" s="3916"/>
      <c r="AE144" s="3916"/>
      <c r="AF144" s="3916"/>
      <c r="AG144" s="3916"/>
      <c r="AH144" s="3916"/>
      <c r="AI144" s="3916"/>
      <c r="AJ144" s="3916"/>
      <c r="AK144" s="3917"/>
      <c r="AL144" s="3914"/>
      <c r="AP144" s="3914"/>
      <c r="AQ144" s="3915"/>
      <c r="AR144" s="3916"/>
      <c r="AS144" s="3916"/>
      <c r="AT144" s="3916"/>
      <c r="AU144" s="3916"/>
      <c r="AV144" s="3916"/>
      <c r="AW144" s="3916"/>
      <c r="AX144" s="3916"/>
      <c r="AY144" s="3916"/>
      <c r="AZ144" s="3917"/>
      <c r="BA144" s="3396"/>
      <c r="BG144" s="3914"/>
      <c r="BH144" s="3910"/>
      <c r="BI144" s="3911"/>
      <c r="BJ144" s="3911"/>
      <c r="BK144" s="3911"/>
      <c r="BL144" s="3911"/>
      <c r="BM144" s="3911"/>
      <c r="BN144" s="3911"/>
      <c r="BO144" s="3911"/>
      <c r="BP144" s="3911"/>
      <c r="BQ144" s="3911"/>
      <c r="BR144" s="3911"/>
      <c r="BS144" s="3911"/>
      <c r="BT144" s="3911"/>
      <c r="BU144" s="3911"/>
      <c r="BV144" s="3911"/>
      <c r="BW144" s="3912"/>
      <c r="BX144" s="3396"/>
    </row>
    <row r="145" spans="4:76" ht="17.100000000000001" customHeight="1" x14ac:dyDescent="0.15">
      <c r="D145" s="3396"/>
      <c r="E145" s="3907"/>
      <c r="F145" s="3908"/>
      <c r="G145" s="3908"/>
      <c r="H145" s="3908"/>
      <c r="I145" s="3908"/>
      <c r="J145" s="3908"/>
      <c r="K145" s="3908"/>
      <c r="L145" s="3908"/>
      <c r="M145" s="3908"/>
      <c r="N145" s="3908"/>
      <c r="O145" s="3908"/>
      <c r="P145" s="3908"/>
      <c r="Q145" s="3908"/>
      <c r="R145" s="3908"/>
      <c r="S145" s="3908"/>
      <c r="T145" s="3909"/>
      <c r="U145" s="3913"/>
      <c r="Y145" s="3938" t="str">
        <f>MID(Y147,1,2)</f>
        <v>MN</v>
      </c>
      <c r="AA145" s="3396"/>
      <c r="AB145" s="3907"/>
      <c r="AC145" s="3908"/>
      <c r="AD145" s="3908"/>
      <c r="AE145" s="3908"/>
      <c r="AF145" s="3908"/>
      <c r="AG145" s="3908"/>
      <c r="AH145" s="3908"/>
      <c r="AI145" s="3908"/>
      <c r="AJ145" s="3908"/>
      <c r="AK145" s="3909"/>
      <c r="AL145" s="3913"/>
      <c r="AP145" s="3914"/>
      <c r="AQ145" s="3907"/>
      <c r="AR145" s="3908"/>
      <c r="AS145" s="3908"/>
      <c r="AT145" s="3908"/>
      <c r="AU145" s="3908"/>
      <c r="AV145" s="3908"/>
      <c r="AW145" s="3908"/>
      <c r="AX145" s="3908"/>
      <c r="AY145" s="3908"/>
      <c r="AZ145" s="3909"/>
      <c r="BA145" s="3396"/>
      <c r="BC145" s="3938" t="str">
        <f>MID(BC147,1,2)</f>
        <v>BD</v>
      </c>
      <c r="BG145" s="3914"/>
      <c r="BH145" s="3907"/>
      <c r="BI145" s="3908"/>
      <c r="BJ145" s="3908"/>
      <c r="BK145" s="3908"/>
      <c r="BL145" s="3908"/>
      <c r="BM145" s="3908"/>
      <c r="BN145" s="3908"/>
      <c r="BO145" s="3908"/>
      <c r="BP145" s="3908"/>
      <c r="BQ145" s="3908"/>
      <c r="BR145" s="3908"/>
      <c r="BS145" s="3908"/>
      <c r="BT145" s="3908"/>
      <c r="BU145" s="3908"/>
      <c r="BV145" s="3908"/>
      <c r="BW145" s="3909"/>
      <c r="BX145" s="3396"/>
    </row>
    <row r="146" spans="4:76" ht="17.100000000000001" customHeight="1" x14ac:dyDescent="0.15">
      <c r="D146" s="3396"/>
      <c r="E146" s="3915"/>
      <c r="F146" s="3916"/>
      <c r="G146" s="3916"/>
      <c r="H146" s="3916"/>
      <c r="I146" s="3916"/>
      <c r="J146" s="3916"/>
      <c r="K146" s="3916"/>
      <c r="L146" s="3916"/>
      <c r="M146" s="3916"/>
      <c r="N146" s="3916"/>
      <c r="O146" s="3916"/>
      <c r="P146" s="3916"/>
      <c r="Q146" s="3916"/>
      <c r="R146" s="3916"/>
      <c r="S146" s="3916"/>
      <c r="T146" s="3917"/>
      <c r="U146" s="3914"/>
      <c r="Y146" s="3939"/>
      <c r="AA146" s="3396"/>
      <c r="AB146" s="3915"/>
      <c r="AC146" s="3916"/>
      <c r="AD146" s="3916"/>
      <c r="AE146" s="3916"/>
      <c r="AF146" s="3916"/>
      <c r="AG146" s="3916"/>
      <c r="AH146" s="3916"/>
      <c r="AI146" s="3916"/>
      <c r="AJ146" s="3916"/>
      <c r="AK146" s="3917"/>
      <c r="AL146" s="3914"/>
      <c r="AP146" s="3914"/>
      <c r="AQ146" s="3915"/>
      <c r="AR146" s="3916"/>
      <c r="AS146" s="3916"/>
      <c r="AT146" s="3916"/>
      <c r="AU146" s="3916"/>
      <c r="AV146" s="3916"/>
      <c r="AW146" s="3916"/>
      <c r="AX146" s="3916"/>
      <c r="AY146" s="3916"/>
      <c r="AZ146" s="3917"/>
      <c r="BA146" s="3396"/>
      <c r="BC146" s="3939"/>
      <c r="BG146" s="3914"/>
      <c r="BH146" s="3910"/>
      <c r="BI146" s="3911"/>
      <c r="BJ146" s="3911"/>
      <c r="BK146" s="3911"/>
      <c r="BL146" s="3911"/>
      <c r="BM146" s="3911"/>
      <c r="BN146" s="3911"/>
      <c r="BO146" s="3911"/>
      <c r="BP146" s="3911"/>
      <c r="BQ146" s="3911"/>
      <c r="BR146" s="3911"/>
      <c r="BS146" s="3911"/>
      <c r="BT146" s="3911"/>
      <c r="BU146" s="3911"/>
      <c r="BV146" s="3911"/>
      <c r="BW146" s="3912"/>
      <c r="BX146" s="3396"/>
    </row>
    <row r="147" spans="4:76" ht="17.100000000000001" customHeight="1" x14ac:dyDescent="0.15">
      <c r="D147" s="3396"/>
      <c r="E147" s="3907"/>
      <c r="F147" s="3908"/>
      <c r="G147" s="3908"/>
      <c r="H147" s="3908"/>
      <c r="I147" s="3908"/>
      <c r="J147" s="3908"/>
      <c r="K147" s="3908"/>
      <c r="L147" s="3908"/>
      <c r="M147" s="3908"/>
      <c r="N147" s="3908"/>
      <c r="O147" s="3908"/>
      <c r="P147" s="3908"/>
      <c r="Q147" s="3908"/>
      <c r="R147" s="3908"/>
      <c r="S147" s="3908"/>
      <c r="T147" s="3909"/>
      <c r="U147" s="3913"/>
      <c r="Y147" s="333" t="str">
        <f>$CO$45</f>
        <v>MND6</v>
      </c>
      <c r="AA147" s="3396"/>
      <c r="AB147" s="3907"/>
      <c r="AC147" s="3908"/>
      <c r="AD147" s="3908"/>
      <c r="AE147" s="3908"/>
      <c r="AF147" s="3908"/>
      <c r="AG147" s="3908"/>
      <c r="AH147" s="3908"/>
      <c r="AI147" s="3908"/>
      <c r="AJ147" s="3908"/>
      <c r="AK147" s="3909"/>
      <c r="AL147" s="3913"/>
      <c r="AP147" s="3914"/>
      <c r="AQ147" s="3907"/>
      <c r="AR147" s="3908"/>
      <c r="AS147" s="3908"/>
      <c r="AT147" s="3908"/>
      <c r="AU147" s="3908"/>
      <c r="AV147" s="3908"/>
      <c r="AW147" s="3908"/>
      <c r="AX147" s="3908"/>
      <c r="AY147" s="3908"/>
      <c r="AZ147" s="3909"/>
      <c r="BA147" s="3396"/>
      <c r="BC147" s="333" t="str">
        <f>$CO$54</f>
        <v>BDY6</v>
      </c>
      <c r="BG147" s="3914"/>
      <c r="BH147" s="3907"/>
      <c r="BI147" s="3908"/>
      <c r="BJ147" s="3908"/>
      <c r="BK147" s="3908"/>
      <c r="BL147" s="3908"/>
      <c r="BM147" s="3908"/>
      <c r="BN147" s="3908"/>
      <c r="BO147" s="3908"/>
      <c r="BP147" s="3908"/>
      <c r="BQ147" s="3908"/>
      <c r="BR147" s="3908"/>
      <c r="BS147" s="3908"/>
      <c r="BT147" s="3908"/>
      <c r="BU147" s="3908"/>
      <c r="BV147" s="3908"/>
      <c r="BW147" s="3909"/>
      <c r="BX147" s="3396"/>
    </row>
    <row r="148" spans="4:76" ht="17.100000000000001" customHeight="1" x14ac:dyDescent="0.15">
      <c r="D148" s="3396"/>
      <c r="E148" s="3915"/>
      <c r="F148" s="3916"/>
      <c r="G148" s="3916"/>
      <c r="H148" s="3916"/>
      <c r="I148" s="3916"/>
      <c r="J148" s="3916"/>
      <c r="K148" s="3916"/>
      <c r="L148" s="3916"/>
      <c r="M148" s="3916"/>
      <c r="N148" s="3916"/>
      <c r="O148" s="3916"/>
      <c r="P148" s="3916"/>
      <c r="Q148" s="3916"/>
      <c r="R148" s="3916"/>
      <c r="S148" s="3916"/>
      <c r="T148" s="3917"/>
      <c r="U148" s="3914"/>
      <c r="AA148" s="3396"/>
      <c r="AB148" s="3915"/>
      <c r="AC148" s="3916"/>
      <c r="AD148" s="3916"/>
      <c r="AE148" s="3916"/>
      <c r="AF148" s="3916"/>
      <c r="AG148" s="3916"/>
      <c r="AH148" s="3916"/>
      <c r="AI148" s="3916"/>
      <c r="AJ148" s="3916"/>
      <c r="AK148" s="3917"/>
      <c r="AL148" s="3914"/>
      <c r="AP148" s="3914"/>
      <c r="AQ148" s="3915"/>
      <c r="AR148" s="3916"/>
      <c r="AS148" s="3916"/>
      <c r="AT148" s="3916"/>
      <c r="AU148" s="3916"/>
      <c r="AV148" s="3916"/>
      <c r="AW148" s="3916"/>
      <c r="AX148" s="3916"/>
      <c r="AY148" s="3916"/>
      <c r="AZ148" s="3917"/>
      <c r="BA148" s="3396"/>
      <c r="BG148" s="3914"/>
      <c r="BH148" s="3910"/>
      <c r="BI148" s="3911"/>
      <c r="BJ148" s="3911"/>
      <c r="BK148" s="3911"/>
      <c r="BL148" s="3911"/>
      <c r="BM148" s="3911"/>
      <c r="BN148" s="3911"/>
      <c r="BO148" s="3911"/>
      <c r="BP148" s="3911"/>
      <c r="BQ148" s="3911"/>
      <c r="BR148" s="3911"/>
      <c r="BS148" s="3911"/>
      <c r="BT148" s="3911"/>
      <c r="BU148" s="3911"/>
      <c r="BV148" s="3911"/>
      <c r="BW148" s="3912"/>
      <c r="BX148" s="3396"/>
    </row>
    <row r="149" spans="4:76" ht="17.100000000000001" customHeight="1" x14ac:dyDescent="0.15">
      <c r="D149" s="3396"/>
      <c r="E149" s="3907"/>
      <c r="F149" s="3908"/>
      <c r="G149" s="3908"/>
      <c r="H149" s="3908"/>
      <c r="I149" s="3908"/>
      <c r="J149" s="3908"/>
      <c r="K149" s="3908"/>
      <c r="L149" s="3908"/>
      <c r="M149" s="3908"/>
      <c r="N149" s="3908"/>
      <c r="O149" s="3908"/>
      <c r="P149" s="3908"/>
      <c r="Q149" s="3908"/>
      <c r="R149" s="3908"/>
      <c r="S149" s="3908"/>
      <c r="T149" s="3909"/>
      <c r="U149" s="3913"/>
      <c r="Y149" s="3938" t="str">
        <f>MID(Y151,1,2)</f>
        <v>MN</v>
      </c>
      <c r="AA149" s="3396"/>
      <c r="AB149" s="3907"/>
      <c r="AC149" s="3908"/>
      <c r="AD149" s="3908"/>
      <c r="AE149" s="3908"/>
      <c r="AF149" s="3908"/>
      <c r="AG149" s="3908"/>
      <c r="AH149" s="3908"/>
      <c r="AI149" s="3908"/>
      <c r="AJ149" s="3908"/>
      <c r="AK149" s="3909"/>
      <c r="AL149" s="3913"/>
      <c r="AP149" s="3914"/>
      <c r="AQ149" s="3907"/>
      <c r="AR149" s="3908"/>
      <c r="AS149" s="3908"/>
      <c r="AT149" s="3908"/>
      <c r="AU149" s="3908"/>
      <c r="AV149" s="3908"/>
      <c r="AW149" s="3908"/>
      <c r="AX149" s="3908"/>
      <c r="AY149" s="3908"/>
      <c r="AZ149" s="3909"/>
      <c r="BA149" s="3396"/>
      <c r="BC149" s="3938" t="str">
        <f>MID(BC151,1,2)</f>
        <v>BD</v>
      </c>
      <c r="BG149" s="3914"/>
      <c r="BH149" s="3907"/>
      <c r="BI149" s="3908"/>
      <c r="BJ149" s="3908"/>
      <c r="BK149" s="3908"/>
      <c r="BL149" s="3908"/>
      <c r="BM149" s="3908"/>
      <c r="BN149" s="3908"/>
      <c r="BO149" s="3908"/>
      <c r="BP149" s="3908"/>
      <c r="BQ149" s="3908"/>
      <c r="BR149" s="3908"/>
      <c r="BS149" s="3908"/>
      <c r="BT149" s="3908"/>
      <c r="BU149" s="3908"/>
      <c r="BV149" s="3908"/>
      <c r="BW149" s="3909"/>
      <c r="BX149" s="3396"/>
    </row>
    <row r="150" spans="4:76" ht="17.100000000000001" customHeight="1" x14ac:dyDescent="0.15">
      <c r="D150" s="3396"/>
      <c r="E150" s="3915"/>
      <c r="F150" s="3916"/>
      <c r="G150" s="3916"/>
      <c r="H150" s="3916"/>
      <c r="I150" s="3916"/>
      <c r="J150" s="3916"/>
      <c r="K150" s="3916"/>
      <c r="L150" s="3916"/>
      <c r="M150" s="3916"/>
      <c r="N150" s="3916"/>
      <c r="O150" s="3916"/>
      <c r="P150" s="3916"/>
      <c r="Q150" s="3916"/>
      <c r="R150" s="3916"/>
      <c r="S150" s="3916"/>
      <c r="T150" s="3917"/>
      <c r="U150" s="3914"/>
      <c r="Y150" s="3939"/>
      <c r="AA150" s="3396"/>
      <c r="AB150" s="3915"/>
      <c r="AC150" s="3916"/>
      <c r="AD150" s="3916"/>
      <c r="AE150" s="3916"/>
      <c r="AF150" s="3916"/>
      <c r="AG150" s="3916"/>
      <c r="AH150" s="3916"/>
      <c r="AI150" s="3916"/>
      <c r="AJ150" s="3916"/>
      <c r="AK150" s="3917"/>
      <c r="AL150" s="3914"/>
      <c r="AP150" s="3914"/>
      <c r="AQ150" s="3915"/>
      <c r="AR150" s="3916"/>
      <c r="AS150" s="3916"/>
      <c r="AT150" s="3916"/>
      <c r="AU150" s="3916"/>
      <c r="AV150" s="3916"/>
      <c r="AW150" s="3916"/>
      <c r="AX150" s="3916"/>
      <c r="AY150" s="3916"/>
      <c r="AZ150" s="3917"/>
      <c r="BA150" s="3396"/>
      <c r="BC150" s="3939"/>
      <c r="BG150" s="3914"/>
      <c r="BH150" s="3910"/>
      <c r="BI150" s="3911"/>
      <c r="BJ150" s="3911"/>
      <c r="BK150" s="3911"/>
      <c r="BL150" s="3911"/>
      <c r="BM150" s="3911"/>
      <c r="BN150" s="3911"/>
      <c r="BO150" s="3911"/>
      <c r="BP150" s="3911"/>
      <c r="BQ150" s="3911"/>
      <c r="BR150" s="3911"/>
      <c r="BS150" s="3911"/>
      <c r="BT150" s="3911"/>
      <c r="BU150" s="3911"/>
      <c r="BV150" s="3911"/>
      <c r="BW150" s="3912"/>
      <c r="BX150" s="3396"/>
    </row>
    <row r="151" spans="4:76" ht="17.100000000000001" customHeight="1" x14ac:dyDescent="0.15">
      <c r="D151" s="3396"/>
      <c r="E151" s="3907"/>
      <c r="F151" s="3908"/>
      <c r="G151" s="3908"/>
      <c r="H151" s="3908"/>
      <c r="I151" s="3908"/>
      <c r="J151" s="3908"/>
      <c r="K151" s="3908"/>
      <c r="L151" s="3908"/>
      <c r="M151" s="3908"/>
      <c r="N151" s="3908"/>
      <c r="O151" s="3908"/>
      <c r="P151" s="3908"/>
      <c r="Q151" s="3908"/>
      <c r="R151" s="3908"/>
      <c r="S151" s="3908"/>
      <c r="T151" s="3909"/>
      <c r="U151" s="3913"/>
      <c r="Y151" s="333" t="str">
        <f>$CO$46</f>
        <v>MND7</v>
      </c>
      <c r="AA151" s="3396"/>
      <c r="AB151" s="3907"/>
      <c r="AC151" s="3908"/>
      <c r="AD151" s="3908"/>
      <c r="AE151" s="3908"/>
      <c r="AF151" s="3908"/>
      <c r="AG151" s="3908"/>
      <c r="AH151" s="3908"/>
      <c r="AI151" s="3908"/>
      <c r="AJ151" s="3908"/>
      <c r="AK151" s="3909"/>
      <c r="AL151" s="3913"/>
      <c r="AP151" s="3914"/>
      <c r="AQ151" s="3907"/>
      <c r="AR151" s="3908"/>
      <c r="AS151" s="3908"/>
      <c r="AT151" s="3908"/>
      <c r="AU151" s="3908"/>
      <c r="AV151" s="3908"/>
      <c r="AW151" s="3908"/>
      <c r="AX151" s="3908"/>
      <c r="AY151" s="3908"/>
      <c r="AZ151" s="3909"/>
      <c r="BA151" s="3396"/>
      <c r="BC151" s="333" t="str">
        <f>$CO$55</f>
        <v>BDY7</v>
      </c>
      <c r="BG151" s="3914"/>
      <c r="BH151" s="3907"/>
      <c r="BI151" s="3908"/>
      <c r="BJ151" s="3908"/>
      <c r="BK151" s="3908"/>
      <c r="BL151" s="3908"/>
      <c r="BM151" s="3908"/>
      <c r="BN151" s="3908"/>
      <c r="BO151" s="3908"/>
      <c r="BP151" s="3908"/>
      <c r="BQ151" s="3908"/>
      <c r="BR151" s="3908"/>
      <c r="BS151" s="3908"/>
      <c r="BT151" s="3908"/>
      <c r="BU151" s="3908"/>
      <c r="BV151" s="3908"/>
      <c r="BW151" s="3909"/>
      <c r="BX151" s="3396"/>
    </row>
    <row r="152" spans="4:76" ht="17.100000000000001" customHeight="1" x14ac:dyDescent="0.15">
      <c r="D152" s="3396"/>
      <c r="E152" s="3915"/>
      <c r="F152" s="3916"/>
      <c r="G152" s="3916"/>
      <c r="H152" s="3916"/>
      <c r="I152" s="3916"/>
      <c r="J152" s="3916"/>
      <c r="K152" s="3916"/>
      <c r="L152" s="3916"/>
      <c r="M152" s="3916"/>
      <c r="N152" s="3916"/>
      <c r="O152" s="3916"/>
      <c r="P152" s="3916"/>
      <c r="Q152" s="3916"/>
      <c r="R152" s="3916"/>
      <c r="S152" s="3916"/>
      <c r="T152" s="3917"/>
      <c r="U152" s="3914"/>
      <c r="AA152" s="3396"/>
      <c r="AB152" s="3915"/>
      <c r="AC152" s="3916"/>
      <c r="AD152" s="3916"/>
      <c r="AE152" s="3916"/>
      <c r="AF152" s="3916"/>
      <c r="AG152" s="3916"/>
      <c r="AH152" s="3916"/>
      <c r="AI152" s="3916"/>
      <c r="AJ152" s="3916"/>
      <c r="AK152" s="3917"/>
      <c r="AL152" s="3914"/>
      <c r="AP152" s="3914"/>
      <c r="AQ152" s="3915"/>
      <c r="AR152" s="3916"/>
      <c r="AS152" s="3916"/>
      <c r="AT152" s="3916"/>
      <c r="AU152" s="3916"/>
      <c r="AV152" s="3916"/>
      <c r="AW152" s="3916"/>
      <c r="AX152" s="3916"/>
      <c r="AY152" s="3916"/>
      <c r="AZ152" s="3917"/>
      <c r="BA152" s="3396"/>
      <c r="BG152" s="3914"/>
      <c r="BH152" s="3910"/>
      <c r="BI152" s="3911"/>
      <c r="BJ152" s="3911"/>
      <c r="BK152" s="3911"/>
      <c r="BL152" s="3911"/>
      <c r="BM152" s="3911"/>
      <c r="BN152" s="3911"/>
      <c r="BO152" s="3911"/>
      <c r="BP152" s="3911"/>
      <c r="BQ152" s="3911"/>
      <c r="BR152" s="3911"/>
      <c r="BS152" s="3911"/>
      <c r="BT152" s="3911"/>
      <c r="BU152" s="3911"/>
      <c r="BV152" s="3911"/>
      <c r="BW152" s="3912"/>
      <c r="BX152" s="3396"/>
    </row>
    <row r="153" spans="4:76" ht="17.100000000000001" customHeight="1" x14ac:dyDescent="0.15">
      <c r="D153" s="3396"/>
      <c r="E153" s="3907"/>
      <c r="F153" s="3908"/>
      <c r="G153" s="3908"/>
      <c r="H153" s="3908"/>
      <c r="I153" s="3908"/>
      <c r="J153" s="3908"/>
      <c r="K153" s="3908"/>
      <c r="L153" s="3908"/>
      <c r="M153" s="3908"/>
      <c r="N153" s="3908"/>
      <c r="O153" s="3908"/>
      <c r="P153" s="3908"/>
      <c r="Q153" s="3908"/>
      <c r="R153" s="3908"/>
      <c r="S153" s="3908"/>
      <c r="T153" s="3909"/>
      <c r="U153" s="3913"/>
      <c r="Y153" s="3938" t="str">
        <f>MID(Y155,1,2)</f>
        <v>MN</v>
      </c>
      <c r="AA153" s="3396"/>
      <c r="AB153" s="3907"/>
      <c r="AC153" s="3908"/>
      <c r="AD153" s="3908"/>
      <c r="AE153" s="3908"/>
      <c r="AF153" s="3908"/>
      <c r="AG153" s="3908"/>
      <c r="AH153" s="3908"/>
      <c r="AI153" s="3908"/>
      <c r="AJ153" s="3908"/>
      <c r="AK153" s="3909"/>
      <c r="AL153" s="3913"/>
      <c r="AP153" s="3914"/>
      <c r="AQ153" s="3907"/>
      <c r="AR153" s="3908"/>
      <c r="AS153" s="3908"/>
      <c r="AT153" s="3908"/>
      <c r="AU153" s="3908"/>
      <c r="AV153" s="3908"/>
      <c r="AW153" s="3908"/>
      <c r="AX153" s="3908"/>
      <c r="AY153" s="3908"/>
      <c r="AZ153" s="3909"/>
      <c r="BA153" s="3396"/>
      <c r="BC153" s="3938" t="str">
        <f>MID(BC155,1,2)</f>
        <v>BD</v>
      </c>
      <c r="BG153" s="3914"/>
      <c r="BH153" s="3907"/>
      <c r="BI153" s="3908"/>
      <c r="BJ153" s="3908"/>
      <c r="BK153" s="3908"/>
      <c r="BL153" s="3908"/>
      <c r="BM153" s="3908"/>
      <c r="BN153" s="3908"/>
      <c r="BO153" s="3908"/>
      <c r="BP153" s="3908"/>
      <c r="BQ153" s="3908"/>
      <c r="BR153" s="3908"/>
      <c r="BS153" s="3908"/>
      <c r="BT153" s="3908"/>
      <c r="BU153" s="3908"/>
      <c r="BV153" s="3908"/>
      <c r="BW153" s="3909"/>
      <c r="BX153" s="3396"/>
    </row>
    <row r="154" spans="4:76" ht="17.100000000000001" customHeight="1" x14ac:dyDescent="0.15">
      <c r="D154" s="3396"/>
      <c r="E154" s="3915"/>
      <c r="F154" s="3916"/>
      <c r="G154" s="3916"/>
      <c r="H154" s="3916"/>
      <c r="I154" s="3916"/>
      <c r="J154" s="3916"/>
      <c r="K154" s="3916"/>
      <c r="L154" s="3916"/>
      <c r="M154" s="3916"/>
      <c r="N154" s="3916"/>
      <c r="O154" s="3916"/>
      <c r="P154" s="3916"/>
      <c r="Q154" s="3916"/>
      <c r="R154" s="3916"/>
      <c r="S154" s="3916"/>
      <c r="T154" s="3917"/>
      <c r="U154" s="3914"/>
      <c r="Y154" s="3939"/>
      <c r="AA154" s="3396"/>
      <c r="AB154" s="3915"/>
      <c r="AC154" s="3916"/>
      <c r="AD154" s="3916"/>
      <c r="AE154" s="3916"/>
      <c r="AF154" s="3916"/>
      <c r="AG154" s="3916"/>
      <c r="AH154" s="3916"/>
      <c r="AI154" s="3916"/>
      <c r="AJ154" s="3916"/>
      <c r="AK154" s="3917"/>
      <c r="AL154" s="3914"/>
      <c r="AP154" s="3914"/>
      <c r="AQ154" s="3915"/>
      <c r="AR154" s="3916"/>
      <c r="AS154" s="3916"/>
      <c r="AT154" s="3916"/>
      <c r="AU154" s="3916"/>
      <c r="AV154" s="3916"/>
      <c r="AW154" s="3916"/>
      <c r="AX154" s="3916"/>
      <c r="AY154" s="3916"/>
      <c r="AZ154" s="3917"/>
      <c r="BA154" s="3396"/>
      <c r="BC154" s="3939"/>
      <c r="BG154" s="3914"/>
      <c r="BH154" s="3910"/>
      <c r="BI154" s="3911"/>
      <c r="BJ154" s="3911"/>
      <c r="BK154" s="3911"/>
      <c r="BL154" s="3911"/>
      <c r="BM154" s="3911"/>
      <c r="BN154" s="3911"/>
      <c r="BO154" s="3911"/>
      <c r="BP154" s="3911"/>
      <c r="BQ154" s="3911"/>
      <c r="BR154" s="3911"/>
      <c r="BS154" s="3911"/>
      <c r="BT154" s="3911"/>
      <c r="BU154" s="3911"/>
      <c r="BV154" s="3911"/>
      <c r="BW154" s="3912"/>
      <c r="BX154" s="3396"/>
    </row>
    <row r="155" spans="4:76" ht="17.100000000000001" customHeight="1" x14ac:dyDescent="0.15">
      <c r="D155" s="3396"/>
      <c r="E155" s="3907"/>
      <c r="F155" s="3908"/>
      <c r="G155" s="3908"/>
      <c r="H155" s="3908"/>
      <c r="I155" s="3908"/>
      <c r="J155" s="3908"/>
      <c r="K155" s="3908"/>
      <c r="L155" s="3908"/>
      <c r="M155" s="3908"/>
      <c r="N155" s="3908"/>
      <c r="O155" s="3908"/>
      <c r="P155" s="3908"/>
      <c r="Q155" s="3908"/>
      <c r="R155" s="3908"/>
      <c r="S155" s="3908"/>
      <c r="T155" s="3909"/>
      <c r="U155" s="3913"/>
      <c r="Y155" s="333" t="str">
        <f>$CO$47</f>
        <v>MND8</v>
      </c>
      <c r="AA155" s="3396"/>
      <c r="AB155" s="3907"/>
      <c r="AC155" s="3908"/>
      <c r="AD155" s="3908"/>
      <c r="AE155" s="3908"/>
      <c r="AF155" s="3908"/>
      <c r="AG155" s="3908"/>
      <c r="AH155" s="3908"/>
      <c r="AI155" s="3908"/>
      <c r="AJ155" s="3908"/>
      <c r="AK155" s="3909"/>
      <c r="AL155" s="3913"/>
      <c r="AP155" s="3914"/>
      <c r="AQ155" s="3907"/>
      <c r="AR155" s="3908"/>
      <c r="AS155" s="3908"/>
      <c r="AT155" s="3908"/>
      <c r="AU155" s="3908"/>
      <c r="AV155" s="3908"/>
      <c r="AW155" s="3908"/>
      <c r="AX155" s="3908"/>
      <c r="AY155" s="3908"/>
      <c r="AZ155" s="3909"/>
      <c r="BA155" s="3396"/>
      <c r="BC155" s="333" t="str">
        <f>$CO$56</f>
        <v>BDY8</v>
      </c>
      <c r="BG155" s="3914"/>
      <c r="BH155" s="3907"/>
      <c r="BI155" s="3908"/>
      <c r="BJ155" s="3908"/>
      <c r="BK155" s="3908"/>
      <c r="BL155" s="3908"/>
      <c r="BM155" s="3908"/>
      <c r="BN155" s="3908"/>
      <c r="BO155" s="3908"/>
      <c r="BP155" s="3908"/>
      <c r="BQ155" s="3908"/>
      <c r="BR155" s="3908"/>
      <c r="BS155" s="3908"/>
      <c r="BT155" s="3908"/>
      <c r="BU155" s="3908"/>
      <c r="BV155" s="3908"/>
      <c r="BW155" s="3909"/>
      <c r="BX155" s="3396"/>
    </row>
    <row r="156" spans="4:76" ht="17.100000000000001" customHeight="1" x14ac:dyDescent="0.15">
      <c r="D156" s="3396"/>
      <c r="E156" s="3915"/>
      <c r="F156" s="3916"/>
      <c r="G156" s="3916"/>
      <c r="H156" s="3916"/>
      <c r="I156" s="3916"/>
      <c r="J156" s="3916"/>
      <c r="K156" s="3916"/>
      <c r="L156" s="3916"/>
      <c r="M156" s="3916"/>
      <c r="N156" s="3916"/>
      <c r="O156" s="3916"/>
      <c r="P156" s="3916"/>
      <c r="Q156" s="3916"/>
      <c r="R156" s="3916"/>
      <c r="S156" s="3916"/>
      <c r="T156" s="3917"/>
      <c r="U156" s="3914"/>
      <c r="AA156" s="3396"/>
      <c r="AB156" s="3915"/>
      <c r="AC156" s="3916"/>
      <c r="AD156" s="3916"/>
      <c r="AE156" s="3916"/>
      <c r="AF156" s="3916"/>
      <c r="AG156" s="3916"/>
      <c r="AH156" s="3916"/>
      <c r="AI156" s="3916"/>
      <c r="AJ156" s="3916"/>
      <c r="AK156" s="3917"/>
      <c r="AL156" s="3914"/>
      <c r="AP156" s="3914"/>
      <c r="AQ156" s="3915"/>
      <c r="AR156" s="3916"/>
      <c r="AS156" s="3916"/>
      <c r="AT156" s="3916"/>
      <c r="AU156" s="3916"/>
      <c r="AV156" s="3916"/>
      <c r="AW156" s="3916"/>
      <c r="AX156" s="3916"/>
      <c r="AY156" s="3916"/>
      <c r="AZ156" s="3917"/>
      <c r="BA156" s="3396"/>
      <c r="BG156" s="3914"/>
      <c r="BH156" s="3910"/>
      <c r="BI156" s="3911"/>
      <c r="BJ156" s="3911"/>
      <c r="BK156" s="3911"/>
      <c r="BL156" s="3911"/>
      <c r="BM156" s="3911"/>
      <c r="BN156" s="3911"/>
      <c r="BO156" s="3911"/>
      <c r="BP156" s="3911"/>
      <c r="BQ156" s="3911"/>
      <c r="BR156" s="3911"/>
      <c r="BS156" s="3911"/>
      <c r="BT156" s="3911"/>
      <c r="BU156" s="3911"/>
      <c r="BV156" s="3911"/>
      <c r="BW156" s="3912"/>
      <c r="BX156" s="3396"/>
    </row>
    <row r="157" spans="4:76" ht="17.100000000000001" customHeight="1" x14ac:dyDescent="0.15">
      <c r="D157" s="3396"/>
      <c r="E157" s="3907"/>
      <c r="F157" s="3908"/>
      <c r="G157" s="3908"/>
      <c r="H157" s="3908"/>
      <c r="I157" s="3908"/>
      <c r="J157" s="3908"/>
      <c r="K157" s="3908"/>
      <c r="L157" s="3908"/>
      <c r="M157" s="3908"/>
      <c r="N157" s="3908"/>
      <c r="O157" s="3908"/>
      <c r="P157" s="3908"/>
      <c r="Q157" s="3908"/>
      <c r="R157" s="3908"/>
      <c r="S157" s="3908"/>
      <c r="T157" s="3909"/>
      <c r="U157" s="3913"/>
      <c r="Y157" s="3938" t="str">
        <f>MID(Y159,1,2)</f>
        <v>MN</v>
      </c>
      <c r="AA157" s="3396"/>
      <c r="AB157" s="3907"/>
      <c r="AC157" s="3908"/>
      <c r="AD157" s="3908"/>
      <c r="AE157" s="3908"/>
      <c r="AF157" s="3908"/>
      <c r="AG157" s="3908"/>
      <c r="AH157" s="3908"/>
      <c r="AI157" s="3908"/>
      <c r="AJ157" s="3908"/>
      <c r="AK157" s="3909"/>
      <c r="AL157" s="3913"/>
      <c r="AP157" s="3914"/>
      <c r="AQ157" s="3907"/>
      <c r="AR157" s="3908"/>
      <c r="AS157" s="3908"/>
      <c r="AT157" s="3908"/>
      <c r="AU157" s="3908"/>
      <c r="AV157" s="3908"/>
      <c r="AW157" s="3908"/>
      <c r="AX157" s="3908"/>
      <c r="AY157" s="3908"/>
      <c r="AZ157" s="3909"/>
      <c r="BA157" s="3396"/>
      <c r="BC157" s="3938" t="str">
        <f>MID(BC159,1,2)</f>
        <v>BD</v>
      </c>
      <c r="BG157" s="3914"/>
      <c r="BH157" s="3907"/>
      <c r="BI157" s="3908"/>
      <c r="BJ157" s="3908"/>
      <c r="BK157" s="3908"/>
      <c r="BL157" s="3908"/>
      <c r="BM157" s="3908"/>
      <c r="BN157" s="3908"/>
      <c r="BO157" s="3908"/>
      <c r="BP157" s="3908"/>
      <c r="BQ157" s="3908"/>
      <c r="BR157" s="3908"/>
      <c r="BS157" s="3908"/>
      <c r="BT157" s="3908"/>
      <c r="BU157" s="3908"/>
      <c r="BV157" s="3908"/>
      <c r="BW157" s="3909"/>
      <c r="BX157" s="3396"/>
    </row>
    <row r="158" spans="4:76" ht="17.100000000000001" customHeight="1" x14ac:dyDescent="0.15">
      <c r="D158" s="3396"/>
      <c r="E158" s="3915"/>
      <c r="F158" s="3916"/>
      <c r="G158" s="3916"/>
      <c r="H158" s="3916"/>
      <c r="I158" s="3916"/>
      <c r="J158" s="3916"/>
      <c r="K158" s="3916"/>
      <c r="L158" s="3916"/>
      <c r="M158" s="3916"/>
      <c r="N158" s="3916"/>
      <c r="O158" s="3916"/>
      <c r="P158" s="3916"/>
      <c r="Q158" s="3916"/>
      <c r="R158" s="3916"/>
      <c r="S158" s="3916"/>
      <c r="T158" s="3917"/>
      <c r="U158" s="3914"/>
      <c r="Y158" s="3939"/>
      <c r="AA158" s="3396"/>
      <c r="AB158" s="3915"/>
      <c r="AC158" s="3916"/>
      <c r="AD158" s="3916"/>
      <c r="AE158" s="3916"/>
      <c r="AF158" s="3916"/>
      <c r="AG158" s="3916"/>
      <c r="AH158" s="3916"/>
      <c r="AI158" s="3916"/>
      <c r="AJ158" s="3916"/>
      <c r="AK158" s="3917"/>
      <c r="AL158" s="3914"/>
      <c r="AP158" s="3914"/>
      <c r="AQ158" s="3915"/>
      <c r="AR158" s="3916"/>
      <c r="AS158" s="3916"/>
      <c r="AT158" s="3916"/>
      <c r="AU158" s="3916"/>
      <c r="AV158" s="3916"/>
      <c r="AW158" s="3916"/>
      <c r="AX158" s="3916"/>
      <c r="AY158" s="3916"/>
      <c r="AZ158" s="3917"/>
      <c r="BA158" s="3396"/>
      <c r="BC158" s="3939"/>
      <c r="BG158" s="3914"/>
      <c r="BH158" s="3910"/>
      <c r="BI158" s="3911"/>
      <c r="BJ158" s="3911"/>
      <c r="BK158" s="3911"/>
      <c r="BL158" s="3911"/>
      <c r="BM158" s="3911"/>
      <c r="BN158" s="3911"/>
      <c r="BO158" s="3911"/>
      <c r="BP158" s="3911"/>
      <c r="BQ158" s="3911"/>
      <c r="BR158" s="3911"/>
      <c r="BS158" s="3911"/>
      <c r="BT158" s="3911"/>
      <c r="BU158" s="3911"/>
      <c r="BV158" s="3911"/>
      <c r="BW158" s="3912"/>
      <c r="BX158" s="3396"/>
    </row>
    <row r="159" spans="4:76" ht="17.100000000000001" customHeight="1" x14ac:dyDescent="0.15">
      <c r="D159" s="3396"/>
      <c r="E159" s="3907"/>
      <c r="F159" s="3908"/>
      <c r="G159" s="3908"/>
      <c r="H159" s="3908"/>
      <c r="I159" s="3908"/>
      <c r="J159" s="3908"/>
      <c r="K159" s="3908"/>
      <c r="L159" s="3908"/>
      <c r="M159" s="3908"/>
      <c r="N159" s="3908"/>
      <c r="O159" s="3908"/>
      <c r="P159" s="3908"/>
      <c r="Q159" s="3908"/>
      <c r="R159" s="3908"/>
      <c r="S159" s="3908"/>
      <c r="T159" s="3909"/>
      <c r="U159" s="3913"/>
      <c r="Y159" s="333" t="str">
        <f>$CO$48</f>
        <v>MND9</v>
      </c>
      <c r="AA159" s="3396"/>
      <c r="AB159" s="3907"/>
      <c r="AC159" s="3908"/>
      <c r="AD159" s="3908"/>
      <c r="AE159" s="3908"/>
      <c r="AF159" s="3908"/>
      <c r="AG159" s="3908"/>
      <c r="AH159" s="3908"/>
      <c r="AI159" s="3908"/>
      <c r="AJ159" s="3908"/>
      <c r="AK159" s="3909"/>
      <c r="AL159" s="3913"/>
      <c r="AP159" s="3914"/>
      <c r="AQ159" s="3907"/>
      <c r="AR159" s="3908"/>
      <c r="AS159" s="3908"/>
      <c r="AT159" s="3908"/>
      <c r="AU159" s="3908"/>
      <c r="AV159" s="3908"/>
      <c r="AW159" s="3908"/>
      <c r="AX159" s="3908"/>
      <c r="AY159" s="3908"/>
      <c r="AZ159" s="3909"/>
      <c r="BA159" s="3396"/>
      <c r="BC159" s="333" t="str">
        <f>$CO$57</f>
        <v>BDY9</v>
      </c>
      <c r="BG159" s="3914"/>
      <c r="BH159" s="3907"/>
      <c r="BI159" s="3908"/>
      <c r="BJ159" s="3908"/>
      <c r="BK159" s="3908"/>
      <c r="BL159" s="3908"/>
      <c r="BM159" s="3908"/>
      <c r="BN159" s="3908"/>
      <c r="BO159" s="3908"/>
      <c r="BP159" s="3908"/>
      <c r="BQ159" s="3908"/>
      <c r="BR159" s="3908"/>
      <c r="BS159" s="3908"/>
      <c r="BT159" s="3908"/>
      <c r="BU159" s="3908"/>
      <c r="BV159" s="3908"/>
      <c r="BW159" s="3909"/>
      <c r="BX159" s="3396"/>
    </row>
    <row r="160" spans="4:76" ht="17.100000000000001" customHeight="1" x14ac:dyDescent="0.15">
      <c r="D160" s="3396"/>
      <c r="E160" s="3915"/>
      <c r="F160" s="3916"/>
      <c r="G160" s="3916"/>
      <c r="H160" s="3916"/>
      <c r="I160" s="3916"/>
      <c r="J160" s="3916"/>
      <c r="K160" s="3916"/>
      <c r="L160" s="3916"/>
      <c r="M160" s="3916"/>
      <c r="N160" s="3916"/>
      <c r="O160" s="3916"/>
      <c r="P160" s="3916"/>
      <c r="Q160" s="3916"/>
      <c r="R160" s="3916"/>
      <c r="S160" s="3916"/>
      <c r="T160" s="3917"/>
      <c r="U160" s="3914"/>
      <c r="AA160" s="3396"/>
      <c r="AB160" s="3915"/>
      <c r="AC160" s="3916"/>
      <c r="AD160" s="3916"/>
      <c r="AE160" s="3916"/>
      <c r="AF160" s="3916"/>
      <c r="AG160" s="3916"/>
      <c r="AH160" s="3916"/>
      <c r="AI160" s="3916"/>
      <c r="AJ160" s="3916"/>
      <c r="AK160" s="3917"/>
      <c r="AL160" s="3914"/>
      <c r="AP160" s="3914"/>
      <c r="AQ160" s="3915"/>
      <c r="AR160" s="3916"/>
      <c r="AS160" s="3916"/>
      <c r="AT160" s="3916"/>
      <c r="AU160" s="3916"/>
      <c r="AV160" s="3916"/>
      <c r="AW160" s="3916"/>
      <c r="AX160" s="3916"/>
      <c r="AY160" s="3916"/>
      <c r="AZ160" s="3917"/>
      <c r="BA160" s="3396"/>
      <c r="BG160" s="3914"/>
      <c r="BH160" s="3910"/>
      <c r="BI160" s="3911"/>
      <c r="BJ160" s="3911"/>
      <c r="BK160" s="3911"/>
      <c r="BL160" s="3911"/>
      <c r="BM160" s="3911"/>
      <c r="BN160" s="3911"/>
      <c r="BO160" s="3911"/>
      <c r="BP160" s="3911"/>
      <c r="BQ160" s="3911"/>
      <c r="BR160" s="3911"/>
      <c r="BS160" s="3911"/>
      <c r="BT160" s="3911"/>
      <c r="BU160" s="3911"/>
      <c r="BV160" s="3911"/>
      <c r="BW160" s="3912"/>
      <c r="BX160" s="3396"/>
    </row>
    <row r="161" spans="4:76" ht="17.100000000000001" customHeight="1" x14ac:dyDescent="0.15">
      <c r="D161" s="3396"/>
      <c r="E161" s="3907"/>
      <c r="F161" s="3908"/>
      <c r="G161" s="3908"/>
      <c r="H161" s="3908"/>
      <c r="I161" s="3908"/>
      <c r="J161" s="3908"/>
      <c r="K161" s="3908"/>
      <c r="L161" s="3908"/>
      <c r="M161" s="3908"/>
      <c r="N161" s="3908"/>
      <c r="O161" s="3908"/>
      <c r="P161" s="3908"/>
      <c r="Q161" s="3908"/>
      <c r="R161" s="3908"/>
      <c r="S161" s="3908"/>
      <c r="T161" s="3909"/>
      <c r="U161" s="3913"/>
      <c r="AA161" s="3396"/>
      <c r="AB161" s="3907"/>
      <c r="AC161" s="3908"/>
      <c r="AD161" s="3908"/>
      <c r="AE161" s="3908"/>
      <c r="AF161" s="3908"/>
      <c r="AG161" s="3908"/>
      <c r="AH161" s="3908"/>
      <c r="AI161" s="3908"/>
      <c r="AJ161" s="3908"/>
      <c r="AK161" s="3909"/>
      <c r="AL161" s="3913"/>
      <c r="AP161" s="3914"/>
      <c r="AQ161" s="3907"/>
      <c r="AR161" s="3908"/>
      <c r="AS161" s="3908"/>
      <c r="AT161" s="3908"/>
      <c r="AU161" s="3908"/>
      <c r="AV161" s="3908"/>
      <c r="AW161" s="3908"/>
      <c r="AX161" s="3908"/>
      <c r="AY161" s="3908"/>
      <c r="AZ161" s="3909"/>
      <c r="BA161" s="3396"/>
      <c r="BG161" s="3914"/>
      <c r="BH161" s="3907"/>
      <c r="BI161" s="3908"/>
      <c r="BJ161" s="3908"/>
      <c r="BK161" s="3908"/>
      <c r="BL161" s="3908"/>
      <c r="BM161" s="3908"/>
      <c r="BN161" s="3908"/>
      <c r="BO161" s="3908"/>
      <c r="BP161" s="3908"/>
      <c r="BQ161" s="3908"/>
      <c r="BR161" s="3908"/>
      <c r="BS161" s="3908"/>
      <c r="BT161" s="3908"/>
      <c r="BU161" s="3908"/>
      <c r="BV161" s="3908"/>
      <c r="BW161" s="3909"/>
      <c r="BX161" s="3396"/>
    </row>
    <row r="162" spans="4:76" ht="17.100000000000001" customHeight="1" x14ac:dyDescent="0.15">
      <c r="D162" s="3396"/>
      <c r="E162" s="3915"/>
      <c r="F162" s="3916"/>
      <c r="G162" s="3916"/>
      <c r="H162" s="3916"/>
      <c r="I162" s="3916"/>
      <c r="J162" s="3916"/>
      <c r="K162" s="3916"/>
      <c r="L162" s="3916"/>
      <c r="M162" s="3916"/>
      <c r="N162" s="3916"/>
      <c r="O162" s="3916"/>
      <c r="P162" s="3916"/>
      <c r="Q162" s="3916"/>
      <c r="R162" s="3916"/>
      <c r="S162" s="3916"/>
      <c r="T162" s="3917"/>
      <c r="U162" s="3914"/>
      <c r="AA162" s="3396"/>
      <c r="AB162" s="3915"/>
      <c r="AC162" s="3916"/>
      <c r="AD162" s="3916"/>
      <c r="AE162" s="3916"/>
      <c r="AF162" s="3916"/>
      <c r="AG162" s="3916"/>
      <c r="AH162" s="3916"/>
      <c r="AI162" s="3916"/>
      <c r="AJ162" s="3916"/>
      <c r="AK162" s="3917"/>
      <c r="AL162" s="3914"/>
      <c r="AP162" s="3914"/>
      <c r="AQ162" s="3915"/>
      <c r="AR162" s="3916"/>
      <c r="AS162" s="3916"/>
      <c r="AT162" s="3916"/>
      <c r="AU162" s="3916"/>
      <c r="AV162" s="3916"/>
      <c r="AW162" s="3916"/>
      <c r="AX162" s="3916"/>
      <c r="AY162" s="3916"/>
      <c r="AZ162" s="3917"/>
      <c r="BA162" s="3396"/>
      <c r="BG162" s="3914"/>
      <c r="BH162" s="3910"/>
      <c r="BI162" s="3911"/>
      <c r="BJ162" s="3911"/>
      <c r="BK162" s="3911"/>
      <c r="BL162" s="3911"/>
      <c r="BM162" s="3911"/>
      <c r="BN162" s="3911"/>
      <c r="BO162" s="3911"/>
      <c r="BP162" s="3911"/>
      <c r="BQ162" s="3911"/>
      <c r="BR162" s="3911"/>
      <c r="BS162" s="3911"/>
      <c r="BT162" s="3911"/>
      <c r="BU162" s="3911"/>
      <c r="BV162" s="3911"/>
      <c r="BW162" s="3912"/>
      <c r="BX162" s="3396"/>
    </row>
    <row r="163" spans="4:76" ht="17.100000000000001" customHeight="1" x14ac:dyDescent="0.15">
      <c r="D163" s="3396"/>
      <c r="E163" s="3907"/>
      <c r="F163" s="3908"/>
      <c r="G163" s="3908"/>
      <c r="H163" s="3908"/>
      <c r="I163" s="3908"/>
      <c r="J163" s="3908"/>
      <c r="K163" s="3908"/>
      <c r="L163" s="3908"/>
      <c r="M163" s="3908"/>
      <c r="N163" s="3908"/>
      <c r="O163" s="3908"/>
      <c r="P163" s="3908"/>
      <c r="Q163" s="3908"/>
      <c r="R163" s="3908"/>
      <c r="S163" s="3908"/>
      <c r="T163" s="3909"/>
      <c r="U163" s="3913"/>
      <c r="AA163" s="3396"/>
      <c r="AB163" s="3907"/>
      <c r="AC163" s="3908"/>
      <c r="AD163" s="3908"/>
      <c r="AE163" s="3908"/>
      <c r="AF163" s="3908"/>
      <c r="AG163" s="3908"/>
      <c r="AH163" s="3908"/>
      <c r="AI163" s="3908"/>
      <c r="AJ163" s="3908"/>
      <c r="AK163" s="3909"/>
      <c r="AL163" s="3913"/>
      <c r="AP163" s="3914"/>
      <c r="AQ163" s="3907"/>
      <c r="AR163" s="3908"/>
      <c r="AS163" s="3908"/>
      <c r="AT163" s="3908"/>
      <c r="AU163" s="3908"/>
      <c r="AV163" s="3908"/>
      <c r="AW163" s="3908"/>
      <c r="AX163" s="3908"/>
      <c r="AY163" s="3908"/>
      <c r="AZ163" s="3909"/>
      <c r="BA163" s="3396"/>
      <c r="BG163" s="3914"/>
      <c r="BH163" s="3907"/>
      <c r="BI163" s="3908"/>
      <c r="BJ163" s="3908"/>
      <c r="BK163" s="3908"/>
      <c r="BL163" s="3908"/>
      <c r="BM163" s="3908"/>
      <c r="BN163" s="3908"/>
      <c r="BO163" s="3908"/>
      <c r="BP163" s="3908"/>
      <c r="BQ163" s="3908"/>
      <c r="BR163" s="3908"/>
      <c r="BS163" s="3908"/>
      <c r="BT163" s="3908"/>
      <c r="BU163" s="3908"/>
      <c r="BV163" s="3908"/>
      <c r="BW163" s="3909"/>
      <c r="BX163" s="3396"/>
    </row>
    <row r="164" spans="4:76" ht="17.100000000000001" customHeight="1" x14ac:dyDescent="0.15">
      <c r="D164" s="3396"/>
      <c r="E164" s="3915"/>
      <c r="F164" s="3916"/>
      <c r="G164" s="3916"/>
      <c r="H164" s="3916"/>
      <c r="I164" s="3916"/>
      <c r="J164" s="3916"/>
      <c r="K164" s="3916"/>
      <c r="L164" s="3916"/>
      <c r="M164" s="3916"/>
      <c r="N164" s="3916"/>
      <c r="O164" s="3916"/>
      <c r="P164" s="3916"/>
      <c r="Q164" s="3916"/>
      <c r="R164" s="3916"/>
      <c r="S164" s="3916"/>
      <c r="T164" s="3917"/>
      <c r="U164" s="3914"/>
      <c r="AA164" s="3396"/>
      <c r="AB164" s="3915"/>
      <c r="AC164" s="3916"/>
      <c r="AD164" s="3916"/>
      <c r="AE164" s="3916"/>
      <c r="AF164" s="3916"/>
      <c r="AG164" s="3916"/>
      <c r="AH164" s="3916"/>
      <c r="AI164" s="3916"/>
      <c r="AJ164" s="3916"/>
      <c r="AK164" s="3917"/>
      <c r="AL164" s="3914"/>
      <c r="AP164" s="3914"/>
      <c r="AQ164" s="3915"/>
      <c r="AR164" s="3916"/>
      <c r="AS164" s="3916"/>
      <c r="AT164" s="3916"/>
      <c r="AU164" s="3916"/>
      <c r="AV164" s="3916"/>
      <c r="AW164" s="3916"/>
      <c r="AX164" s="3916"/>
      <c r="AY164" s="3916"/>
      <c r="AZ164" s="3917"/>
      <c r="BA164" s="3396"/>
      <c r="BG164" s="3914"/>
      <c r="BH164" s="3910"/>
      <c r="BI164" s="3911"/>
      <c r="BJ164" s="3911"/>
      <c r="BK164" s="3911"/>
      <c r="BL164" s="3911"/>
      <c r="BM164" s="3911"/>
      <c r="BN164" s="3911"/>
      <c r="BO164" s="3911"/>
      <c r="BP164" s="3911"/>
      <c r="BQ164" s="3911"/>
      <c r="BR164" s="3911"/>
      <c r="BS164" s="3911"/>
      <c r="BT164" s="3911"/>
      <c r="BU164" s="3911"/>
      <c r="BV164" s="3911"/>
      <c r="BW164" s="3912"/>
      <c r="BX164" s="3396"/>
    </row>
    <row r="165" spans="4:76" ht="17.100000000000001" customHeight="1" x14ac:dyDescent="0.15">
      <c r="D165" s="3396"/>
      <c r="E165" s="3907"/>
      <c r="F165" s="3908"/>
      <c r="G165" s="3908"/>
      <c r="H165" s="3908"/>
      <c r="I165" s="3908"/>
      <c r="J165" s="3908"/>
      <c r="K165" s="3908"/>
      <c r="L165" s="3908"/>
      <c r="M165" s="3908"/>
      <c r="N165" s="3908"/>
      <c r="O165" s="3908"/>
      <c r="P165" s="3908"/>
      <c r="Q165" s="3908"/>
      <c r="R165" s="3908"/>
      <c r="S165" s="3908"/>
      <c r="T165" s="3909"/>
      <c r="U165" s="3913"/>
      <c r="AA165" s="3396"/>
      <c r="AB165" s="3907"/>
      <c r="AC165" s="3908"/>
      <c r="AD165" s="3908"/>
      <c r="AE165" s="3908"/>
      <c r="AF165" s="3908"/>
      <c r="AG165" s="3908"/>
      <c r="AH165" s="3908"/>
      <c r="AI165" s="3908"/>
      <c r="AJ165" s="3908"/>
      <c r="AK165" s="3909"/>
      <c r="AL165" s="3913"/>
      <c r="AP165" s="3914"/>
      <c r="AQ165" s="3907"/>
      <c r="AR165" s="3908"/>
      <c r="AS165" s="3908"/>
      <c r="AT165" s="3908"/>
      <c r="AU165" s="3908"/>
      <c r="AV165" s="3908"/>
      <c r="AW165" s="3908"/>
      <c r="AX165" s="3908"/>
      <c r="AY165" s="3908"/>
      <c r="AZ165" s="3909"/>
      <c r="BA165" s="3396"/>
      <c r="BG165" s="3914"/>
      <c r="BH165" s="3907"/>
      <c r="BI165" s="3908"/>
      <c r="BJ165" s="3908"/>
      <c r="BK165" s="3908"/>
      <c r="BL165" s="3908"/>
      <c r="BM165" s="3908"/>
      <c r="BN165" s="3908"/>
      <c r="BO165" s="3908"/>
      <c r="BP165" s="3908"/>
      <c r="BQ165" s="3908"/>
      <c r="BR165" s="3908"/>
      <c r="BS165" s="3908"/>
      <c r="BT165" s="3908"/>
      <c r="BU165" s="3908"/>
      <c r="BV165" s="3908"/>
      <c r="BW165" s="3909"/>
      <c r="BX165" s="3396"/>
    </row>
    <row r="166" spans="4:76" ht="17.100000000000001" customHeight="1" x14ac:dyDescent="0.15">
      <c r="D166" s="3396"/>
      <c r="E166" s="3915"/>
      <c r="F166" s="3916"/>
      <c r="G166" s="3916"/>
      <c r="H166" s="3916"/>
      <c r="I166" s="3916"/>
      <c r="J166" s="3916"/>
      <c r="K166" s="3916"/>
      <c r="L166" s="3916"/>
      <c r="M166" s="3916"/>
      <c r="N166" s="3916"/>
      <c r="O166" s="3916"/>
      <c r="P166" s="3916"/>
      <c r="Q166" s="3916"/>
      <c r="R166" s="3916"/>
      <c r="S166" s="3916"/>
      <c r="T166" s="3917"/>
      <c r="U166" s="3914"/>
      <c r="AA166" s="3396"/>
      <c r="AB166" s="3915"/>
      <c r="AC166" s="3916"/>
      <c r="AD166" s="3916"/>
      <c r="AE166" s="3916"/>
      <c r="AF166" s="3916"/>
      <c r="AG166" s="3916"/>
      <c r="AH166" s="3916"/>
      <c r="AI166" s="3916"/>
      <c r="AJ166" s="3916"/>
      <c r="AK166" s="3917"/>
      <c r="AL166" s="3914"/>
      <c r="AP166" s="3914"/>
      <c r="AQ166" s="3915"/>
      <c r="AR166" s="3916"/>
      <c r="AS166" s="3916"/>
      <c r="AT166" s="3916"/>
      <c r="AU166" s="3916"/>
      <c r="AV166" s="3916"/>
      <c r="AW166" s="3916"/>
      <c r="AX166" s="3916"/>
      <c r="AY166" s="3916"/>
      <c r="AZ166" s="3917"/>
      <c r="BA166" s="3396"/>
      <c r="BG166" s="3914"/>
      <c r="BH166" s="3910"/>
      <c r="BI166" s="3911"/>
      <c r="BJ166" s="3911"/>
      <c r="BK166" s="3911"/>
      <c r="BL166" s="3911"/>
      <c r="BM166" s="3911"/>
      <c r="BN166" s="3911"/>
      <c r="BO166" s="3911"/>
      <c r="BP166" s="3911"/>
      <c r="BQ166" s="3911"/>
      <c r="BR166" s="3911"/>
      <c r="BS166" s="3911"/>
      <c r="BT166" s="3911"/>
      <c r="BU166" s="3911"/>
      <c r="BV166" s="3911"/>
      <c r="BW166" s="3912"/>
      <c r="BX166" s="3396"/>
    </row>
    <row r="167" spans="4:76" ht="17.100000000000001" customHeight="1" x14ac:dyDescent="0.15">
      <c r="D167" s="3396"/>
      <c r="E167" s="3907"/>
      <c r="F167" s="3908"/>
      <c r="G167" s="3908"/>
      <c r="H167" s="3908"/>
      <c r="I167" s="3908"/>
      <c r="J167" s="3908"/>
      <c r="K167" s="3908"/>
      <c r="L167" s="3908"/>
      <c r="M167" s="3908"/>
      <c r="N167" s="3908"/>
      <c r="O167" s="3908"/>
      <c r="P167" s="3908"/>
      <c r="Q167" s="3908"/>
      <c r="R167" s="3908"/>
      <c r="S167" s="3908"/>
      <c r="T167" s="3909"/>
      <c r="U167" s="3913"/>
      <c r="AA167" s="3396"/>
      <c r="AB167" s="3907"/>
      <c r="AC167" s="3908"/>
      <c r="AD167" s="3908"/>
      <c r="AE167" s="3908"/>
      <c r="AF167" s="3908"/>
      <c r="AG167" s="3908"/>
      <c r="AH167" s="3908"/>
      <c r="AI167" s="3908"/>
      <c r="AJ167" s="3908"/>
      <c r="AK167" s="3909"/>
      <c r="AL167" s="3913"/>
      <c r="AP167" s="3914"/>
      <c r="AQ167" s="3907"/>
      <c r="AR167" s="3908"/>
      <c r="AS167" s="3908"/>
      <c r="AT167" s="3908"/>
      <c r="AU167" s="3908"/>
      <c r="AV167" s="3908"/>
      <c r="AW167" s="3908"/>
      <c r="AX167" s="3908"/>
      <c r="AY167" s="3908"/>
      <c r="AZ167" s="3909"/>
      <c r="BA167" s="3396"/>
      <c r="BG167" s="3914"/>
      <c r="BH167" s="3907"/>
      <c r="BI167" s="3908"/>
      <c r="BJ167" s="3908"/>
      <c r="BK167" s="3908"/>
      <c r="BL167" s="3908"/>
      <c r="BM167" s="3908"/>
      <c r="BN167" s="3908"/>
      <c r="BO167" s="3908"/>
      <c r="BP167" s="3908"/>
      <c r="BQ167" s="3908"/>
      <c r="BR167" s="3908"/>
      <c r="BS167" s="3908"/>
      <c r="BT167" s="3908"/>
      <c r="BU167" s="3908"/>
      <c r="BV167" s="3908"/>
      <c r="BW167" s="3909"/>
      <c r="BX167" s="3396"/>
    </row>
    <row r="168" spans="4:76" ht="17.100000000000001" customHeight="1" x14ac:dyDescent="0.15">
      <c r="D168" s="3396"/>
      <c r="E168" s="3915"/>
      <c r="F168" s="3916"/>
      <c r="G168" s="3916"/>
      <c r="H168" s="3916"/>
      <c r="I168" s="3916"/>
      <c r="J168" s="3916"/>
      <c r="K168" s="3916"/>
      <c r="L168" s="3916"/>
      <c r="M168" s="3916"/>
      <c r="N168" s="3916"/>
      <c r="O168" s="3916"/>
      <c r="P168" s="3916"/>
      <c r="Q168" s="3916"/>
      <c r="R168" s="3916"/>
      <c r="S168" s="3916"/>
      <c r="T168" s="3917"/>
      <c r="U168" s="3914"/>
      <c r="AA168" s="3396"/>
      <c r="AB168" s="3915"/>
      <c r="AC168" s="3916"/>
      <c r="AD168" s="3916"/>
      <c r="AE168" s="3916"/>
      <c r="AF168" s="3916"/>
      <c r="AG168" s="3916"/>
      <c r="AH168" s="3916"/>
      <c r="AI168" s="3916"/>
      <c r="AJ168" s="3916"/>
      <c r="AK168" s="3917"/>
      <c r="AL168" s="3914"/>
      <c r="AP168" s="3914"/>
      <c r="AQ168" s="3915"/>
      <c r="AR168" s="3916"/>
      <c r="AS168" s="3916"/>
      <c r="AT168" s="3916"/>
      <c r="AU168" s="3916"/>
      <c r="AV168" s="3916"/>
      <c r="AW168" s="3916"/>
      <c r="AX168" s="3916"/>
      <c r="AY168" s="3916"/>
      <c r="AZ168" s="3917"/>
      <c r="BA168" s="3396"/>
      <c r="BG168" s="3914"/>
      <c r="BH168" s="3910"/>
      <c r="BI168" s="3911"/>
      <c r="BJ168" s="3911"/>
      <c r="BK168" s="3911"/>
      <c r="BL168" s="3911"/>
      <c r="BM168" s="3911"/>
      <c r="BN168" s="3911"/>
      <c r="BO168" s="3911"/>
      <c r="BP168" s="3911"/>
      <c r="BQ168" s="3911"/>
      <c r="BR168" s="3911"/>
      <c r="BS168" s="3911"/>
      <c r="BT168" s="3911"/>
      <c r="BU168" s="3911"/>
      <c r="BV168" s="3911"/>
      <c r="BW168" s="3912"/>
      <c r="BX168" s="3396"/>
    </row>
    <row r="169" spans="4:76" ht="17.100000000000001" customHeight="1" x14ac:dyDescent="0.15">
      <c r="D169" s="3396"/>
      <c r="E169" s="3907"/>
      <c r="F169" s="3908"/>
      <c r="G169" s="3908"/>
      <c r="H169" s="3908"/>
      <c r="I169" s="3908"/>
      <c r="J169" s="3908"/>
      <c r="K169" s="3908"/>
      <c r="L169" s="3908"/>
      <c r="M169" s="3908"/>
      <c r="N169" s="3908"/>
      <c r="O169" s="3908"/>
      <c r="P169" s="3908"/>
      <c r="Q169" s="3908"/>
      <c r="R169" s="3908"/>
      <c r="S169" s="3908"/>
      <c r="T169" s="3909"/>
      <c r="U169" s="3913"/>
      <c r="AA169" s="3396"/>
      <c r="AB169" s="3907"/>
      <c r="AC169" s="3908"/>
      <c r="AD169" s="3908"/>
      <c r="AE169" s="3908"/>
      <c r="AF169" s="3908"/>
      <c r="AG169" s="3908"/>
      <c r="AH169" s="3908"/>
      <c r="AI169" s="3908"/>
      <c r="AJ169" s="3908"/>
      <c r="AK169" s="3909"/>
      <c r="AL169" s="3913"/>
      <c r="AP169" s="3914"/>
      <c r="AQ169" s="3907"/>
      <c r="AR169" s="3908"/>
      <c r="AS169" s="3908"/>
      <c r="AT169" s="3908"/>
      <c r="AU169" s="3908"/>
      <c r="AV169" s="3908"/>
      <c r="AW169" s="3908"/>
      <c r="AX169" s="3908"/>
      <c r="AY169" s="3908"/>
      <c r="AZ169" s="3909"/>
      <c r="BA169" s="3396"/>
      <c r="BG169" s="3914"/>
      <c r="BH169" s="3907"/>
      <c r="BI169" s="3908"/>
      <c r="BJ169" s="3908"/>
      <c r="BK169" s="3908"/>
      <c r="BL169" s="3908"/>
      <c r="BM169" s="3908"/>
      <c r="BN169" s="3908"/>
      <c r="BO169" s="3908"/>
      <c r="BP169" s="3908"/>
      <c r="BQ169" s="3908"/>
      <c r="BR169" s="3908"/>
      <c r="BS169" s="3908"/>
      <c r="BT169" s="3908"/>
      <c r="BU169" s="3908"/>
      <c r="BV169" s="3908"/>
      <c r="BW169" s="3909"/>
      <c r="BX169" s="3396"/>
    </row>
    <row r="170" spans="4:76" ht="17.100000000000001" customHeight="1" x14ac:dyDescent="0.15">
      <c r="D170" s="3396"/>
      <c r="E170" s="3915"/>
      <c r="F170" s="3916"/>
      <c r="G170" s="3916"/>
      <c r="H170" s="3916"/>
      <c r="I170" s="3916"/>
      <c r="J170" s="3916"/>
      <c r="K170" s="3916"/>
      <c r="L170" s="3916"/>
      <c r="M170" s="3916"/>
      <c r="N170" s="3916"/>
      <c r="O170" s="3916"/>
      <c r="P170" s="3916"/>
      <c r="Q170" s="3916"/>
      <c r="R170" s="3916"/>
      <c r="S170" s="3916"/>
      <c r="T170" s="3917"/>
      <c r="U170" s="3914"/>
      <c r="AA170" s="3396"/>
      <c r="AB170" s="3915"/>
      <c r="AC170" s="3916"/>
      <c r="AD170" s="3916"/>
      <c r="AE170" s="3916"/>
      <c r="AF170" s="3916"/>
      <c r="AG170" s="3916"/>
      <c r="AH170" s="3916"/>
      <c r="AI170" s="3916"/>
      <c r="AJ170" s="3916"/>
      <c r="AK170" s="3917"/>
      <c r="AL170" s="3914"/>
      <c r="AP170" s="3914"/>
      <c r="AQ170" s="3915"/>
      <c r="AR170" s="3916"/>
      <c r="AS170" s="3916"/>
      <c r="AT170" s="3916"/>
      <c r="AU170" s="3916"/>
      <c r="AV170" s="3916"/>
      <c r="AW170" s="3916"/>
      <c r="AX170" s="3916"/>
      <c r="AY170" s="3916"/>
      <c r="AZ170" s="3917"/>
      <c r="BA170" s="3396"/>
      <c r="BG170" s="3914"/>
      <c r="BH170" s="3910"/>
      <c r="BI170" s="3911"/>
      <c r="BJ170" s="3911"/>
      <c r="BK170" s="3911"/>
      <c r="BL170" s="3911"/>
      <c r="BM170" s="3911"/>
      <c r="BN170" s="3911"/>
      <c r="BO170" s="3911"/>
      <c r="BP170" s="3911"/>
      <c r="BQ170" s="3911"/>
      <c r="BR170" s="3911"/>
      <c r="BS170" s="3911"/>
      <c r="BT170" s="3911"/>
      <c r="BU170" s="3911"/>
      <c r="BV170" s="3911"/>
      <c r="BW170" s="3912"/>
      <c r="BX170" s="3396"/>
    </row>
    <row r="171" spans="4:76" ht="17.100000000000001" customHeight="1" x14ac:dyDescent="0.15">
      <c r="D171" s="3396"/>
      <c r="E171" s="3907"/>
      <c r="F171" s="3908"/>
      <c r="G171" s="3908"/>
      <c r="H171" s="3908"/>
      <c r="I171" s="3908"/>
      <c r="J171" s="3908"/>
      <c r="K171" s="3908"/>
      <c r="L171" s="3908"/>
      <c r="M171" s="3908"/>
      <c r="N171" s="3908"/>
      <c r="O171" s="3908"/>
      <c r="P171" s="3908"/>
      <c r="Q171" s="3908"/>
      <c r="R171" s="3908"/>
      <c r="S171" s="3908"/>
      <c r="T171" s="3909"/>
      <c r="U171" s="3913"/>
      <c r="AA171" s="3396"/>
      <c r="AB171" s="3907"/>
      <c r="AC171" s="3908"/>
      <c r="AD171" s="3908"/>
      <c r="AE171" s="3908"/>
      <c r="AF171" s="3908"/>
      <c r="AG171" s="3908"/>
      <c r="AH171" s="3908"/>
      <c r="AI171" s="3908"/>
      <c r="AJ171" s="3908"/>
      <c r="AK171" s="3909"/>
      <c r="AL171" s="3913"/>
      <c r="AP171" s="3914"/>
      <c r="AQ171" s="3907"/>
      <c r="AR171" s="3908"/>
      <c r="AS171" s="3908"/>
      <c r="AT171" s="3908"/>
      <c r="AU171" s="3908"/>
      <c r="AV171" s="3908"/>
      <c r="AW171" s="3908"/>
      <c r="AX171" s="3908"/>
      <c r="AY171" s="3908"/>
      <c r="AZ171" s="3909"/>
      <c r="BA171" s="3396"/>
      <c r="BG171" s="3914"/>
      <c r="BH171" s="3907"/>
      <c r="BI171" s="3908"/>
      <c r="BJ171" s="3908"/>
      <c r="BK171" s="3908"/>
      <c r="BL171" s="3908"/>
      <c r="BM171" s="3908"/>
      <c r="BN171" s="3908"/>
      <c r="BO171" s="3908"/>
      <c r="BP171" s="3908"/>
      <c r="BQ171" s="3908"/>
      <c r="BR171" s="3908"/>
      <c r="BS171" s="3908"/>
      <c r="BT171" s="3908"/>
      <c r="BU171" s="3908"/>
      <c r="BV171" s="3908"/>
      <c r="BW171" s="3909"/>
      <c r="BX171" s="3396"/>
    </row>
    <row r="172" spans="4:76" ht="17.100000000000001" customHeight="1" x14ac:dyDescent="0.15">
      <c r="D172" s="3396"/>
      <c r="E172" s="3915"/>
      <c r="F172" s="3916"/>
      <c r="G172" s="3916"/>
      <c r="H172" s="3916"/>
      <c r="I172" s="3916"/>
      <c r="J172" s="3916"/>
      <c r="K172" s="3916"/>
      <c r="L172" s="3916"/>
      <c r="M172" s="3916"/>
      <c r="N172" s="3916"/>
      <c r="O172" s="3916"/>
      <c r="P172" s="3916"/>
      <c r="Q172" s="3916"/>
      <c r="R172" s="3916"/>
      <c r="S172" s="3916"/>
      <c r="T172" s="3917"/>
      <c r="U172" s="3914"/>
      <c r="AA172" s="3396"/>
      <c r="AB172" s="3915"/>
      <c r="AC172" s="3916"/>
      <c r="AD172" s="3916"/>
      <c r="AE172" s="3916"/>
      <c r="AF172" s="3916"/>
      <c r="AG172" s="3916"/>
      <c r="AH172" s="3916"/>
      <c r="AI172" s="3916"/>
      <c r="AJ172" s="3916"/>
      <c r="AK172" s="3917"/>
      <c r="AL172" s="3914"/>
      <c r="AP172" s="3914"/>
      <c r="AQ172" s="3915"/>
      <c r="AR172" s="3916"/>
      <c r="AS172" s="3916"/>
      <c r="AT172" s="3916"/>
      <c r="AU172" s="3916"/>
      <c r="AV172" s="3916"/>
      <c r="AW172" s="3916"/>
      <c r="AX172" s="3916"/>
      <c r="AY172" s="3916"/>
      <c r="AZ172" s="3917"/>
      <c r="BA172" s="3396"/>
      <c r="BG172" s="3914"/>
      <c r="BH172" s="3910"/>
      <c r="BI172" s="3911"/>
      <c r="BJ172" s="3911"/>
      <c r="BK172" s="3911"/>
      <c r="BL172" s="3911"/>
      <c r="BM172" s="3911"/>
      <c r="BN172" s="3911"/>
      <c r="BO172" s="3911"/>
      <c r="BP172" s="3911"/>
      <c r="BQ172" s="3911"/>
      <c r="BR172" s="3911"/>
      <c r="BS172" s="3911"/>
      <c r="BT172" s="3911"/>
      <c r="BU172" s="3911"/>
      <c r="BV172" s="3911"/>
      <c r="BW172" s="3912"/>
      <c r="BX172" s="3396"/>
    </row>
    <row r="173" spans="4:76" ht="17.100000000000001" customHeight="1" x14ac:dyDescent="0.15">
      <c r="D173" s="3396"/>
      <c r="E173" s="3907"/>
      <c r="F173" s="3908"/>
      <c r="G173" s="3908"/>
      <c r="H173" s="3908"/>
      <c r="I173" s="3908"/>
      <c r="J173" s="3908"/>
      <c r="K173" s="3908"/>
      <c r="L173" s="3908"/>
      <c r="M173" s="3908"/>
      <c r="N173" s="3908"/>
      <c r="O173" s="3908"/>
      <c r="P173" s="3908"/>
      <c r="Q173" s="3908"/>
      <c r="R173" s="3908"/>
      <c r="S173" s="3908"/>
      <c r="T173" s="3909"/>
      <c r="U173" s="3913"/>
      <c r="AA173" s="3396"/>
      <c r="AB173" s="3907"/>
      <c r="AC173" s="3908"/>
      <c r="AD173" s="3908"/>
      <c r="AE173" s="3908"/>
      <c r="AF173" s="3908"/>
      <c r="AG173" s="3908"/>
      <c r="AH173" s="3908"/>
      <c r="AI173" s="3908"/>
      <c r="AJ173" s="3908"/>
      <c r="AK173" s="3909"/>
      <c r="AL173" s="3913"/>
      <c r="AP173" s="3914"/>
      <c r="AQ173" s="3907"/>
      <c r="AR173" s="3908"/>
      <c r="AS173" s="3908"/>
      <c r="AT173" s="3908"/>
      <c r="AU173" s="3908"/>
      <c r="AV173" s="3908"/>
      <c r="AW173" s="3908"/>
      <c r="AX173" s="3908"/>
      <c r="AY173" s="3908"/>
      <c r="AZ173" s="3909"/>
      <c r="BA173" s="3396"/>
      <c r="BG173" s="3914"/>
      <c r="BH173" s="3907"/>
      <c r="BI173" s="3908"/>
      <c r="BJ173" s="3908"/>
      <c r="BK173" s="3908"/>
      <c r="BL173" s="3908"/>
      <c r="BM173" s="3908"/>
      <c r="BN173" s="3908"/>
      <c r="BO173" s="3908"/>
      <c r="BP173" s="3908"/>
      <c r="BQ173" s="3908"/>
      <c r="BR173" s="3908"/>
      <c r="BS173" s="3908"/>
      <c r="BT173" s="3908"/>
      <c r="BU173" s="3908"/>
      <c r="BV173" s="3908"/>
      <c r="BW173" s="3909"/>
      <c r="BX173" s="3396"/>
    </row>
    <row r="174" spans="4:76" ht="17.100000000000001" customHeight="1" x14ac:dyDescent="0.15">
      <c r="D174" s="3396"/>
      <c r="E174" s="3915"/>
      <c r="F174" s="3916"/>
      <c r="G174" s="3916"/>
      <c r="H174" s="3916"/>
      <c r="I174" s="3916"/>
      <c r="J174" s="3916"/>
      <c r="K174" s="3916"/>
      <c r="L174" s="3916"/>
      <c r="M174" s="3916"/>
      <c r="N174" s="3916"/>
      <c r="O174" s="3916"/>
      <c r="P174" s="3916"/>
      <c r="Q174" s="3916"/>
      <c r="R174" s="3916"/>
      <c r="S174" s="3916"/>
      <c r="T174" s="3917"/>
      <c r="U174" s="3914"/>
      <c r="AA174" s="3396"/>
      <c r="AB174" s="3915"/>
      <c r="AC174" s="3916"/>
      <c r="AD174" s="3916"/>
      <c r="AE174" s="3916"/>
      <c r="AF174" s="3916"/>
      <c r="AG174" s="3916"/>
      <c r="AH174" s="3916"/>
      <c r="AI174" s="3916"/>
      <c r="AJ174" s="3916"/>
      <c r="AK174" s="3917"/>
      <c r="AL174" s="3914"/>
      <c r="AP174" s="3914"/>
      <c r="AQ174" s="3915"/>
      <c r="AR174" s="3916"/>
      <c r="AS174" s="3916"/>
      <c r="AT174" s="3916"/>
      <c r="AU174" s="3916"/>
      <c r="AV174" s="3916"/>
      <c r="AW174" s="3916"/>
      <c r="AX174" s="3916"/>
      <c r="AY174" s="3916"/>
      <c r="AZ174" s="3917"/>
      <c r="BA174" s="3396"/>
      <c r="BG174" s="3914"/>
      <c r="BH174" s="3910"/>
      <c r="BI174" s="3911"/>
      <c r="BJ174" s="3911"/>
      <c r="BK174" s="3911"/>
      <c r="BL174" s="3911"/>
      <c r="BM174" s="3911"/>
      <c r="BN174" s="3911"/>
      <c r="BO174" s="3911"/>
      <c r="BP174" s="3911"/>
      <c r="BQ174" s="3911"/>
      <c r="BR174" s="3911"/>
      <c r="BS174" s="3911"/>
      <c r="BT174" s="3911"/>
      <c r="BU174" s="3911"/>
      <c r="BV174" s="3911"/>
      <c r="BW174" s="3912"/>
      <c r="BX174" s="3396"/>
    </row>
    <row r="175" spans="4:76" ht="17.100000000000001" customHeight="1" x14ac:dyDescent="0.15">
      <c r="D175" s="3396"/>
      <c r="E175" s="3907"/>
      <c r="F175" s="3908"/>
      <c r="G175" s="3908"/>
      <c r="H175" s="3908"/>
      <c r="I175" s="3908"/>
      <c r="J175" s="3908"/>
      <c r="K175" s="3908"/>
      <c r="L175" s="3908"/>
      <c r="M175" s="3908"/>
      <c r="N175" s="3908"/>
      <c r="O175" s="3908"/>
      <c r="P175" s="3908"/>
      <c r="Q175" s="3908"/>
      <c r="R175" s="3908"/>
      <c r="S175" s="3908"/>
      <c r="T175" s="3909"/>
      <c r="U175" s="3913"/>
      <c r="AA175" s="3396"/>
      <c r="AB175" s="3907"/>
      <c r="AC175" s="3908"/>
      <c r="AD175" s="3908"/>
      <c r="AE175" s="3908"/>
      <c r="AF175" s="3908"/>
      <c r="AG175" s="3908"/>
      <c r="AH175" s="3908"/>
      <c r="AI175" s="3908"/>
      <c r="AJ175" s="3908"/>
      <c r="AK175" s="3909"/>
      <c r="AL175" s="3913"/>
      <c r="AP175" s="3914"/>
      <c r="AQ175" s="3907"/>
      <c r="AR175" s="3908"/>
      <c r="AS175" s="3908"/>
      <c r="AT175" s="3908"/>
      <c r="AU175" s="3908"/>
      <c r="AV175" s="3908"/>
      <c r="AW175" s="3908"/>
      <c r="AX175" s="3908"/>
      <c r="AY175" s="3908"/>
      <c r="AZ175" s="3909"/>
      <c r="BA175" s="3396"/>
      <c r="BG175" s="3914"/>
      <c r="BH175" s="3907"/>
      <c r="BI175" s="3908"/>
      <c r="BJ175" s="3908"/>
      <c r="BK175" s="3908"/>
      <c r="BL175" s="3908"/>
      <c r="BM175" s="3908"/>
      <c r="BN175" s="3908"/>
      <c r="BO175" s="3908"/>
      <c r="BP175" s="3908"/>
      <c r="BQ175" s="3908"/>
      <c r="BR175" s="3908"/>
      <c r="BS175" s="3908"/>
      <c r="BT175" s="3908"/>
      <c r="BU175" s="3908"/>
      <c r="BV175" s="3908"/>
      <c r="BW175" s="3909"/>
      <c r="BX175" s="3396"/>
    </row>
    <row r="176" spans="4:76" ht="17.100000000000001" customHeight="1" x14ac:dyDescent="0.15">
      <c r="D176" s="3396"/>
      <c r="E176" s="3915"/>
      <c r="F176" s="3916"/>
      <c r="G176" s="3916"/>
      <c r="H176" s="3916"/>
      <c r="I176" s="3916"/>
      <c r="J176" s="3916"/>
      <c r="K176" s="3916"/>
      <c r="L176" s="3916"/>
      <c r="M176" s="3916"/>
      <c r="N176" s="3916"/>
      <c r="O176" s="3916"/>
      <c r="P176" s="3916"/>
      <c r="Q176" s="3916"/>
      <c r="R176" s="3916"/>
      <c r="S176" s="3916"/>
      <c r="T176" s="3917"/>
      <c r="U176" s="3914"/>
      <c r="AA176" s="3396"/>
      <c r="AB176" s="3915"/>
      <c r="AC176" s="3916"/>
      <c r="AD176" s="3916"/>
      <c r="AE176" s="3916"/>
      <c r="AF176" s="3916"/>
      <c r="AG176" s="3916"/>
      <c r="AH176" s="3916"/>
      <c r="AI176" s="3916"/>
      <c r="AJ176" s="3916"/>
      <c r="AK176" s="3917"/>
      <c r="AL176" s="3914"/>
      <c r="AP176" s="3914"/>
      <c r="AQ176" s="3915"/>
      <c r="AR176" s="3916"/>
      <c r="AS176" s="3916"/>
      <c r="AT176" s="3916"/>
      <c r="AU176" s="3916"/>
      <c r="AV176" s="3916"/>
      <c r="AW176" s="3916"/>
      <c r="AX176" s="3916"/>
      <c r="AY176" s="3916"/>
      <c r="AZ176" s="3917"/>
      <c r="BA176" s="3396"/>
      <c r="BG176" s="3914"/>
      <c r="BH176" s="3910"/>
      <c r="BI176" s="3911"/>
      <c r="BJ176" s="3911"/>
      <c r="BK176" s="3911"/>
      <c r="BL176" s="3911"/>
      <c r="BM176" s="3911"/>
      <c r="BN176" s="3911"/>
      <c r="BO176" s="3911"/>
      <c r="BP176" s="3911"/>
      <c r="BQ176" s="3911"/>
      <c r="BR176" s="3911"/>
      <c r="BS176" s="3911"/>
      <c r="BT176" s="3911"/>
      <c r="BU176" s="3911"/>
      <c r="BV176" s="3911"/>
      <c r="BW176" s="3912"/>
      <c r="BX176" s="3396"/>
    </row>
    <row r="177" spans="4:76" ht="17.100000000000001" customHeight="1" x14ac:dyDescent="0.15">
      <c r="D177" s="3396"/>
      <c r="E177" s="3907"/>
      <c r="F177" s="3908"/>
      <c r="G177" s="3908"/>
      <c r="H177" s="3908"/>
      <c r="I177" s="3908"/>
      <c r="J177" s="3908"/>
      <c r="K177" s="3908"/>
      <c r="L177" s="3908"/>
      <c r="M177" s="3908"/>
      <c r="N177" s="3908"/>
      <c r="O177" s="3908"/>
      <c r="P177" s="3908"/>
      <c r="Q177" s="3908"/>
      <c r="R177" s="3908"/>
      <c r="S177" s="3908"/>
      <c r="T177" s="3909"/>
      <c r="U177" s="3913"/>
      <c r="AA177" s="3396"/>
      <c r="AB177" s="3907"/>
      <c r="AC177" s="3908"/>
      <c r="AD177" s="3908"/>
      <c r="AE177" s="3908"/>
      <c r="AF177" s="3908"/>
      <c r="AG177" s="3908"/>
      <c r="AH177" s="3908"/>
      <c r="AI177" s="3908"/>
      <c r="AJ177" s="3908"/>
      <c r="AK177" s="3909"/>
      <c r="AL177" s="3913"/>
      <c r="AP177" s="3914"/>
      <c r="AQ177" s="3907"/>
      <c r="AR177" s="3908"/>
      <c r="AS177" s="3908"/>
      <c r="AT177" s="3908"/>
      <c r="AU177" s="3908"/>
      <c r="AV177" s="3908"/>
      <c r="AW177" s="3908"/>
      <c r="AX177" s="3908"/>
      <c r="AY177" s="3908"/>
      <c r="AZ177" s="3909"/>
      <c r="BA177" s="3396"/>
      <c r="BG177" s="3914"/>
      <c r="BH177" s="3907"/>
      <c r="BI177" s="3908"/>
      <c r="BJ177" s="3908"/>
      <c r="BK177" s="3908"/>
      <c r="BL177" s="3908"/>
      <c r="BM177" s="3908"/>
      <c r="BN177" s="3908"/>
      <c r="BO177" s="3908"/>
      <c r="BP177" s="3908"/>
      <c r="BQ177" s="3908"/>
      <c r="BR177" s="3908"/>
      <c r="BS177" s="3908"/>
      <c r="BT177" s="3908"/>
      <c r="BU177" s="3908"/>
      <c r="BV177" s="3908"/>
      <c r="BW177" s="3909"/>
      <c r="BX177" s="3396"/>
    </row>
    <row r="178" spans="4:76" ht="17.100000000000001" customHeight="1" x14ac:dyDescent="0.15">
      <c r="D178" s="3396"/>
      <c r="E178" s="3915"/>
      <c r="F178" s="3916"/>
      <c r="G178" s="3916"/>
      <c r="H178" s="3916"/>
      <c r="I178" s="3916"/>
      <c r="J178" s="3916"/>
      <c r="K178" s="3916"/>
      <c r="L178" s="3916"/>
      <c r="M178" s="3916"/>
      <c r="N178" s="3916"/>
      <c r="O178" s="3916"/>
      <c r="P178" s="3916"/>
      <c r="Q178" s="3916"/>
      <c r="R178" s="3916"/>
      <c r="S178" s="3916"/>
      <c r="T178" s="3917"/>
      <c r="U178" s="3914"/>
      <c r="AA178" s="3396"/>
      <c r="AB178" s="3915"/>
      <c r="AC178" s="3916"/>
      <c r="AD178" s="3916"/>
      <c r="AE178" s="3916"/>
      <c r="AF178" s="3916"/>
      <c r="AG178" s="3916"/>
      <c r="AH178" s="3916"/>
      <c r="AI178" s="3916"/>
      <c r="AJ178" s="3916"/>
      <c r="AK178" s="3917"/>
      <c r="AL178" s="3914"/>
      <c r="AP178" s="3914"/>
      <c r="AQ178" s="3915"/>
      <c r="AR178" s="3916"/>
      <c r="AS178" s="3916"/>
      <c r="AT178" s="3916"/>
      <c r="AU178" s="3916"/>
      <c r="AV178" s="3916"/>
      <c r="AW178" s="3916"/>
      <c r="AX178" s="3916"/>
      <c r="AY178" s="3916"/>
      <c r="AZ178" s="3917"/>
      <c r="BA178" s="3396"/>
      <c r="BG178" s="3914"/>
      <c r="BH178" s="3910"/>
      <c r="BI178" s="3911"/>
      <c r="BJ178" s="3911"/>
      <c r="BK178" s="3911"/>
      <c r="BL178" s="3911"/>
      <c r="BM178" s="3911"/>
      <c r="BN178" s="3911"/>
      <c r="BO178" s="3911"/>
      <c r="BP178" s="3911"/>
      <c r="BQ178" s="3911"/>
      <c r="BR178" s="3911"/>
      <c r="BS178" s="3911"/>
      <c r="BT178" s="3911"/>
      <c r="BU178" s="3911"/>
      <c r="BV178" s="3911"/>
      <c r="BW178" s="3912"/>
      <c r="BX178" s="3396"/>
    </row>
    <row r="179" spans="4:76" ht="17.100000000000001" customHeight="1" x14ac:dyDescent="0.15">
      <c r="D179" s="3396"/>
      <c r="E179" s="3907"/>
      <c r="F179" s="3908"/>
      <c r="G179" s="3908"/>
      <c r="H179" s="3908"/>
      <c r="I179" s="3908"/>
      <c r="J179" s="3908"/>
      <c r="K179" s="3908"/>
      <c r="L179" s="3908"/>
      <c r="M179" s="3908"/>
      <c r="N179" s="3908"/>
      <c r="O179" s="3908"/>
      <c r="P179" s="3908"/>
      <c r="Q179" s="3908"/>
      <c r="R179" s="3908"/>
      <c r="S179" s="3908"/>
      <c r="T179" s="3909"/>
      <c r="U179" s="3913"/>
      <c r="AA179" s="3396"/>
      <c r="AB179" s="3907"/>
      <c r="AC179" s="3908"/>
      <c r="AD179" s="3908"/>
      <c r="AE179" s="3908"/>
      <c r="AF179" s="3908"/>
      <c r="AG179" s="3908"/>
      <c r="AH179" s="3908"/>
      <c r="AI179" s="3908"/>
      <c r="AJ179" s="3908"/>
      <c r="AK179" s="3909"/>
      <c r="AL179" s="3913"/>
      <c r="AP179" s="3914"/>
      <c r="AQ179" s="3907"/>
      <c r="AR179" s="3908"/>
      <c r="AS179" s="3908"/>
      <c r="AT179" s="3908"/>
      <c r="AU179" s="3908"/>
      <c r="AV179" s="3908"/>
      <c r="AW179" s="3908"/>
      <c r="AX179" s="3908"/>
      <c r="AY179" s="3908"/>
      <c r="AZ179" s="3909"/>
      <c r="BA179" s="3396"/>
      <c r="BG179" s="3914"/>
      <c r="BH179" s="3907"/>
      <c r="BI179" s="3908"/>
      <c r="BJ179" s="3908"/>
      <c r="BK179" s="3908"/>
      <c r="BL179" s="3908"/>
      <c r="BM179" s="3908"/>
      <c r="BN179" s="3908"/>
      <c r="BO179" s="3908"/>
      <c r="BP179" s="3908"/>
      <c r="BQ179" s="3908"/>
      <c r="BR179" s="3908"/>
      <c r="BS179" s="3908"/>
      <c r="BT179" s="3908"/>
      <c r="BU179" s="3908"/>
      <c r="BV179" s="3908"/>
      <c r="BW179" s="3909"/>
      <c r="BX179" s="3396"/>
    </row>
    <row r="180" spans="4:76" ht="17.100000000000001" customHeight="1" x14ac:dyDescent="0.15">
      <c r="D180" s="3396"/>
      <c r="E180" s="3915"/>
      <c r="F180" s="3916"/>
      <c r="G180" s="3916"/>
      <c r="H180" s="3916"/>
      <c r="I180" s="3916"/>
      <c r="J180" s="3916"/>
      <c r="K180" s="3916"/>
      <c r="L180" s="3916"/>
      <c r="M180" s="3916"/>
      <c r="N180" s="3916"/>
      <c r="O180" s="3916"/>
      <c r="P180" s="3916"/>
      <c r="Q180" s="3916"/>
      <c r="R180" s="3916"/>
      <c r="S180" s="3916"/>
      <c r="T180" s="3917"/>
      <c r="U180" s="3914"/>
      <c r="AA180" s="3396"/>
      <c r="AB180" s="3915"/>
      <c r="AC180" s="3916"/>
      <c r="AD180" s="3916"/>
      <c r="AE180" s="3916"/>
      <c r="AF180" s="3916"/>
      <c r="AG180" s="3916"/>
      <c r="AH180" s="3916"/>
      <c r="AI180" s="3916"/>
      <c r="AJ180" s="3916"/>
      <c r="AK180" s="3917"/>
      <c r="AL180" s="3914"/>
      <c r="AP180" s="3914"/>
      <c r="AQ180" s="3915"/>
      <c r="AR180" s="3916"/>
      <c r="AS180" s="3916"/>
      <c r="AT180" s="3916"/>
      <c r="AU180" s="3916"/>
      <c r="AV180" s="3916"/>
      <c r="AW180" s="3916"/>
      <c r="AX180" s="3916"/>
      <c r="AY180" s="3916"/>
      <c r="AZ180" s="3917"/>
      <c r="BA180" s="3396"/>
      <c r="BG180" s="3914"/>
      <c r="BH180" s="3910"/>
      <c r="BI180" s="3911"/>
      <c r="BJ180" s="3911"/>
      <c r="BK180" s="3911"/>
      <c r="BL180" s="3911"/>
      <c r="BM180" s="3911"/>
      <c r="BN180" s="3911"/>
      <c r="BO180" s="3911"/>
      <c r="BP180" s="3911"/>
      <c r="BQ180" s="3911"/>
      <c r="BR180" s="3911"/>
      <c r="BS180" s="3911"/>
      <c r="BT180" s="3911"/>
      <c r="BU180" s="3911"/>
      <c r="BV180" s="3911"/>
      <c r="BW180" s="3912"/>
      <c r="BX180" s="3396"/>
    </row>
    <row r="181" spans="4:76" ht="17.100000000000001" customHeight="1" x14ac:dyDescent="0.15">
      <c r="D181" s="3396"/>
      <c r="E181" s="3907"/>
      <c r="F181" s="3908"/>
      <c r="G181" s="3908"/>
      <c r="H181" s="3908"/>
      <c r="I181" s="3908"/>
      <c r="J181" s="3908"/>
      <c r="K181" s="3908"/>
      <c r="L181" s="3908"/>
      <c r="M181" s="3908"/>
      <c r="N181" s="3908"/>
      <c r="O181" s="3908"/>
      <c r="P181" s="3908"/>
      <c r="Q181" s="3908"/>
      <c r="R181" s="3908"/>
      <c r="S181" s="3908"/>
      <c r="T181" s="3909"/>
      <c r="U181" s="3913"/>
      <c r="AA181" s="3396"/>
      <c r="AB181" s="3907"/>
      <c r="AC181" s="3908"/>
      <c r="AD181" s="3908"/>
      <c r="AE181" s="3908"/>
      <c r="AF181" s="3908"/>
      <c r="AG181" s="3908"/>
      <c r="AH181" s="3908"/>
      <c r="AI181" s="3908"/>
      <c r="AJ181" s="3908"/>
      <c r="AK181" s="3909"/>
      <c r="AL181" s="3913"/>
      <c r="AP181" s="3914"/>
      <c r="AQ181" s="3907"/>
      <c r="AR181" s="3908"/>
      <c r="AS181" s="3908"/>
      <c r="AT181" s="3908"/>
      <c r="AU181" s="3908"/>
      <c r="AV181" s="3908"/>
      <c r="AW181" s="3908"/>
      <c r="AX181" s="3908"/>
      <c r="AY181" s="3908"/>
      <c r="AZ181" s="3909"/>
      <c r="BA181" s="3396"/>
      <c r="BG181" s="3914"/>
      <c r="BH181" s="3907"/>
      <c r="BI181" s="3908"/>
      <c r="BJ181" s="3908"/>
      <c r="BK181" s="3908"/>
      <c r="BL181" s="3908"/>
      <c r="BM181" s="3908"/>
      <c r="BN181" s="3908"/>
      <c r="BO181" s="3908"/>
      <c r="BP181" s="3908"/>
      <c r="BQ181" s="3908"/>
      <c r="BR181" s="3908"/>
      <c r="BS181" s="3908"/>
      <c r="BT181" s="3908"/>
      <c r="BU181" s="3908"/>
      <c r="BV181" s="3908"/>
      <c r="BW181" s="3909"/>
      <c r="BX181" s="3396"/>
    </row>
    <row r="182" spans="4:76" ht="17.100000000000001" customHeight="1" x14ac:dyDescent="0.15">
      <c r="D182" s="3396"/>
      <c r="E182" s="3915"/>
      <c r="F182" s="3916"/>
      <c r="G182" s="3916"/>
      <c r="H182" s="3916"/>
      <c r="I182" s="3916"/>
      <c r="J182" s="3916"/>
      <c r="K182" s="3916"/>
      <c r="L182" s="3916"/>
      <c r="M182" s="3916"/>
      <c r="N182" s="3916"/>
      <c r="O182" s="3916"/>
      <c r="P182" s="3916"/>
      <c r="Q182" s="3916"/>
      <c r="R182" s="3916"/>
      <c r="S182" s="3916"/>
      <c r="T182" s="3917"/>
      <c r="U182" s="3914"/>
      <c r="AA182" s="3396"/>
      <c r="AB182" s="3915"/>
      <c r="AC182" s="3916"/>
      <c r="AD182" s="3916"/>
      <c r="AE182" s="3916"/>
      <c r="AF182" s="3916"/>
      <c r="AG182" s="3916"/>
      <c r="AH182" s="3916"/>
      <c r="AI182" s="3916"/>
      <c r="AJ182" s="3916"/>
      <c r="AK182" s="3917"/>
      <c r="AL182" s="3914"/>
      <c r="AP182" s="3914"/>
      <c r="AQ182" s="3915"/>
      <c r="AR182" s="3916"/>
      <c r="AS182" s="3916"/>
      <c r="AT182" s="3916"/>
      <c r="AU182" s="3916"/>
      <c r="AV182" s="3916"/>
      <c r="AW182" s="3916"/>
      <c r="AX182" s="3916"/>
      <c r="AY182" s="3916"/>
      <c r="AZ182" s="3917"/>
      <c r="BA182" s="3396"/>
      <c r="BG182" s="3914"/>
      <c r="BH182" s="3910"/>
      <c r="BI182" s="3911"/>
      <c r="BJ182" s="3911"/>
      <c r="BK182" s="3911"/>
      <c r="BL182" s="3911"/>
      <c r="BM182" s="3911"/>
      <c r="BN182" s="3911"/>
      <c r="BO182" s="3911"/>
      <c r="BP182" s="3911"/>
      <c r="BQ182" s="3911"/>
      <c r="BR182" s="3911"/>
      <c r="BS182" s="3911"/>
      <c r="BT182" s="3911"/>
      <c r="BU182" s="3911"/>
      <c r="BV182" s="3911"/>
      <c r="BW182" s="3912"/>
      <c r="BX182" s="3396"/>
    </row>
    <row r="183" spans="4:76" ht="17.100000000000001" customHeight="1" x14ac:dyDescent="0.15">
      <c r="D183" s="3396"/>
      <c r="E183" s="3907"/>
      <c r="F183" s="3908"/>
      <c r="G183" s="3908"/>
      <c r="H183" s="3908"/>
      <c r="I183" s="3908"/>
      <c r="J183" s="3908"/>
      <c r="K183" s="3908"/>
      <c r="L183" s="3908"/>
      <c r="M183" s="3908"/>
      <c r="N183" s="3908"/>
      <c r="O183" s="3908"/>
      <c r="P183" s="3908"/>
      <c r="Q183" s="3908"/>
      <c r="R183" s="3908"/>
      <c r="S183" s="3908"/>
      <c r="T183" s="3909"/>
      <c r="U183" s="3913"/>
      <c r="AA183" s="3396"/>
      <c r="AB183" s="3907"/>
      <c r="AC183" s="3908"/>
      <c r="AD183" s="3908"/>
      <c r="AE183" s="3908"/>
      <c r="AF183" s="3908"/>
      <c r="AG183" s="3908"/>
      <c r="AH183" s="3908"/>
      <c r="AI183" s="3908"/>
      <c r="AJ183" s="3908"/>
      <c r="AK183" s="3909"/>
      <c r="AL183" s="3913"/>
      <c r="AP183" s="3914"/>
      <c r="AQ183" s="3907"/>
      <c r="AR183" s="3908"/>
      <c r="AS183" s="3908"/>
      <c r="AT183" s="3908"/>
      <c r="AU183" s="3908"/>
      <c r="AV183" s="3908"/>
      <c r="AW183" s="3908"/>
      <c r="AX183" s="3908"/>
      <c r="AY183" s="3908"/>
      <c r="AZ183" s="3909"/>
      <c r="BA183" s="3396"/>
      <c r="BG183" s="3914"/>
      <c r="BH183" s="3907"/>
      <c r="BI183" s="3908"/>
      <c r="BJ183" s="3908"/>
      <c r="BK183" s="3908"/>
      <c r="BL183" s="3908"/>
      <c r="BM183" s="3908"/>
      <c r="BN183" s="3908"/>
      <c r="BO183" s="3908"/>
      <c r="BP183" s="3908"/>
      <c r="BQ183" s="3908"/>
      <c r="BR183" s="3908"/>
      <c r="BS183" s="3908"/>
      <c r="BT183" s="3908"/>
      <c r="BU183" s="3908"/>
      <c r="BV183" s="3908"/>
      <c r="BW183" s="3909"/>
      <c r="BX183" s="3396"/>
    </row>
    <row r="184" spans="4:76" ht="17.100000000000001" customHeight="1" x14ac:dyDescent="0.15">
      <c r="D184" s="3396"/>
      <c r="E184" s="3910"/>
      <c r="F184" s="3911"/>
      <c r="G184" s="3911"/>
      <c r="H184" s="3911"/>
      <c r="I184" s="3911"/>
      <c r="J184" s="3911"/>
      <c r="K184" s="3911"/>
      <c r="L184" s="3911"/>
      <c r="M184" s="3911"/>
      <c r="N184" s="3911"/>
      <c r="O184" s="3911"/>
      <c r="P184" s="3911"/>
      <c r="Q184" s="3911"/>
      <c r="R184" s="3911"/>
      <c r="S184" s="3911"/>
      <c r="T184" s="3912"/>
      <c r="U184" s="3914"/>
      <c r="AA184" s="3396"/>
      <c r="AB184" s="3910"/>
      <c r="AC184" s="3911"/>
      <c r="AD184" s="3911"/>
      <c r="AE184" s="3911"/>
      <c r="AF184" s="3911"/>
      <c r="AG184" s="3911"/>
      <c r="AH184" s="3911"/>
      <c r="AI184" s="3911"/>
      <c r="AJ184" s="3911"/>
      <c r="AK184" s="3912"/>
      <c r="AL184" s="3914"/>
      <c r="AP184" s="3914"/>
      <c r="AQ184" s="3910"/>
      <c r="AR184" s="3911"/>
      <c r="AS184" s="3911"/>
      <c r="AT184" s="3911"/>
      <c r="AU184" s="3911"/>
      <c r="AV184" s="3911"/>
      <c r="AW184" s="3911"/>
      <c r="AX184" s="3911"/>
      <c r="AY184" s="3911"/>
      <c r="AZ184" s="3912"/>
      <c r="BA184" s="3396"/>
      <c r="BG184" s="3914"/>
      <c r="BH184" s="3910"/>
      <c r="BI184" s="3911"/>
      <c r="BJ184" s="3911"/>
      <c r="BK184" s="3911"/>
      <c r="BL184" s="3911"/>
      <c r="BM184" s="3911"/>
      <c r="BN184" s="3911"/>
      <c r="BO184" s="3911"/>
      <c r="BP184" s="3911"/>
      <c r="BQ184" s="3911"/>
      <c r="BR184" s="3911"/>
      <c r="BS184" s="3911"/>
      <c r="BT184" s="3911"/>
      <c r="BU184" s="3911"/>
      <c r="BV184" s="3911"/>
      <c r="BW184" s="3912"/>
      <c r="BX184" s="3396"/>
    </row>
    <row r="185" spans="4:76" ht="17.100000000000001" customHeight="1" x14ac:dyDescent="0.15">
      <c r="D185" s="3396"/>
      <c r="E185" s="3907"/>
      <c r="F185" s="3908"/>
      <c r="G185" s="3908"/>
      <c r="H185" s="3908"/>
      <c r="I185" s="3908"/>
      <c r="J185" s="3908"/>
      <c r="K185" s="3908"/>
      <c r="L185" s="3908"/>
      <c r="M185" s="3908"/>
      <c r="N185" s="3908"/>
      <c r="O185" s="3908"/>
      <c r="P185" s="3908"/>
      <c r="Q185" s="3908"/>
      <c r="R185" s="3908"/>
      <c r="S185" s="3908"/>
      <c r="T185" s="3909"/>
      <c r="U185" s="3913"/>
      <c r="AA185" s="3396"/>
      <c r="AB185" s="3907"/>
      <c r="AC185" s="3908"/>
      <c r="AD185" s="3908"/>
      <c r="AE185" s="3908"/>
      <c r="AF185" s="3908"/>
      <c r="AG185" s="3908"/>
      <c r="AH185" s="3908"/>
      <c r="AI185" s="3908"/>
      <c r="AJ185" s="3908"/>
      <c r="AK185" s="3909"/>
      <c r="AL185" s="3913"/>
      <c r="AP185" s="3914"/>
      <c r="AQ185" s="3907"/>
      <c r="AR185" s="3908"/>
      <c r="AS185" s="3908"/>
      <c r="AT185" s="3908"/>
      <c r="AU185" s="3908"/>
      <c r="AV185" s="3908"/>
      <c r="AW185" s="3908"/>
      <c r="AX185" s="3908"/>
      <c r="AY185" s="3908"/>
      <c r="AZ185" s="3909"/>
      <c r="BA185" s="3396"/>
      <c r="BG185" s="3914"/>
      <c r="BH185" s="3907"/>
      <c r="BI185" s="3908"/>
      <c r="BJ185" s="3908"/>
      <c r="BK185" s="3908"/>
      <c r="BL185" s="3908"/>
      <c r="BM185" s="3908"/>
      <c r="BN185" s="3908"/>
      <c r="BO185" s="3908"/>
      <c r="BP185" s="3908"/>
      <c r="BQ185" s="3908"/>
      <c r="BR185" s="3908"/>
      <c r="BS185" s="3908"/>
      <c r="BT185" s="3908"/>
      <c r="BU185" s="3908"/>
      <c r="BV185" s="3908"/>
      <c r="BW185" s="3909"/>
      <c r="BX185" s="3396"/>
    </row>
    <row r="186" spans="4:76" ht="17.100000000000001" customHeight="1" x14ac:dyDescent="0.15">
      <c r="D186" s="3396"/>
      <c r="E186" s="3910"/>
      <c r="F186" s="3911"/>
      <c r="G186" s="3911"/>
      <c r="H186" s="3911"/>
      <c r="I186" s="3911"/>
      <c r="J186" s="3911"/>
      <c r="K186" s="3911"/>
      <c r="L186" s="3911"/>
      <c r="M186" s="3911"/>
      <c r="N186" s="3911"/>
      <c r="O186" s="3911"/>
      <c r="P186" s="3911"/>
      <c r="Q186" s="3911"/>
      <c r="R186" s="3911"/>
      <c r="S186" s="3911"/>
      <c r="T186" s="3912"/>
      <c r="U186" s="3914"/>
      <c r="AA186" s="3396"/>
      <c r="AB186" s="3910"/>
      <c r="AC186" s="3911"/>
      <c r="AD186" s="3911"/>
      <c r="AE186" s="3911"/>
      <c r="AF186" s="3911"/>
      <c r="AG186" s="3911"/>
      <c r="AH186" s="3911"/>
      <c r="AI186" s="3911"/>
      <c r="AJ186" s="3911"/>
      <c r="AK186" s="3912"/>
      <c r="AL186" s="3914"/>
      <c r="AP186" s="3914"/>
      <c r="AQ186" s="3910"/>
      <c r="AR186" s="3911"/>
      <c r="AS186" s="3911"/>
      <c r="AT186" s="3911"/>
      <c r="AU186" s="3911"/>
      <c r="AV186" s="3911"/>
      <c r="AW186" s="3911"/>
      <c r="AX186" s="3911"/>
      <c r="AY186" s="3911"/>
      <c r="AZ186" s="3912"/>
      <c r="BA186" s="3396"/>
      <c r="BG186" s="3914"/>
      <c r="BH186" s="3910"/>
      <c r="BI186" s="3911"/>
      <c r="BJ186" s="3911"/>
      <c r="BK186" s="3911"/>
      <c r="BL186" s="3911"/>
      <c r="BM186" s="3911"/>
      <c r="BN186" s="3911"/>
      <c r="BO186" s="3911"/>
      <c r="BP186" s="3911"/>
      <c r="BQ186" s="3911"/>
      <c r="BR186" s="3911"/>
      <c r="BS186" s="3911"/>
      <c r="BT186" s="3911"/>
      <c r="BU186" s="3911"/>
      <c r="BV186" s="3911"/>
      <c r="BW186" s="3912"/>
      <c r="BX186" s="3396"/>
    </row>
    <row r="187" spans="4:76" ht="17.100000000000001" customHeight="1" x14ac:dyDescent="0.15">
      <c r="D187" s="3396"/>
      <c r="E187" s="3907"/>
      <c r="F187" s="3908"/>
      <c r="G187" s="3908"/>
      <c r="H187" s="3908"/>
      <c r="I187" s="3908"/>
      <c r="J187" s="3908"/>
      <c r="K187" s="3908"/>
      <c r="L187" s="3908"/>
      <c r="M187" s="3908"/>
      <c r="N187" s="3908"/>
      <c r="O187" s="3908"/>
      <c r="P187" s="3908"/>
      <c r="Q187" s="3908"/>
      <c r="R187" s="3908"/>
      <c r="S187" s="3908"/>
      <c r="T187" s="3909"/>
      <c r="U187" s="3913"/>
      <c r="AA187" s="3396"/>
      <c r="AB187" s="3907"/>
      <c r="AC187" s="3908"/>
      <c r="AD187" s="3908"/>
      <c r="AE187" s="3908"/>
      <c r="AF187" s="3908"/>
      <c r="AG187" s="3908"/>
      <c r="AH187" s="3908"/>
      <c r="AI187" s="3908"/>
      <c r="AJ187" s="3908"/>
      <c r="AK187" s="3909"/>
      <c r="AL187" s="3913"/>
      <c r="AP187" s="3914"/>
      <c r="AQ187" s="3907"/>
      <c r="AR187" s="3908"/>
      <c r="AS187" s="3908"/>
      <c r="AT187" s="3908"/>
      <c r="AU187" s="3908"/>
      <c r="AV187" s="3908"/>
      <c r="AW187" s="3908"/>
      <c r="AX187" s="3908"/>
      <c r="AY187" s="3908"/>
      <c r="AZ187" s="3909"/>
      <c r="BA187" s="3396"/>
      <c r="BG187" s="3914"/>
      <c r="BH187" s="3907"/>
      <c r="BI187" s="3908"/>
      <c r="BJ187" s="3908"/>
      <c r="BK187" s="3908"/>
      <c r="BL187" s="3908"/>
      <c r="BM187" s="3908"/>
      <c r="BN187" s="3908"/>
      <c r="BO187" s="3908"/>
      <c r="BP187" s="3908"/>
      <c r="BQ187" s="3908"/>
      <c r="BR187" s="3908"/>
      <c r="BS187" s="3908"/>
      <c r="BT187" s="3908"/>
      <c r="BU187" s="3908"/>
      <c r="BV187" s="3908"/>
      <c r="BW187" s="3909"/>
      <c r="BX187" s="3396"/>
    </row>
    <row r="188" spans="4:76" ht="17.100000000000001" customHeight="1" x14ac:dyDescent="0.15">
      <c r="D188" s="3396"/>
      <c r="E188" s="3910"/>
      <c r="F188" s="3911"/>
      <c r="G188" s="3911"/>
      <c r="H188" s="3911"/>
      <c r="I188" s="3911"/>
      <c r="J188" s="3911"/>
      <c r="K188" s="3911"/>
      <c r="L188" s="3911"/>
      <c r="M188" s="3911"/>
      <c r="N188" s="3911"/>
      <c r="O188" s="3911"/>
      <c r="P188" s="3911"/>
      <c r="Q188" s="3911"/>
      <c r="R188" s="3911"/>
      <c r="S188" s="3911"/>
      <c r="T188" s="3912"/>
      <c r="U188" s="3914"/>
      <c r="AA188" s="3396"/>
      <c r="AB188" s="3910"/>
      <c r="AC188" s="3911"/>
      <c r="AD188" s="3911"/>
      <c r="AE188" s="3911"/>
      <c r="AF188" s="3911"/>
      <c r="AG188" s="3911"/>
      <c r="AH188" s="3911"/>
      <c r="AI188" s="3911"/>
      <c r="AJ188" s="3911"/>
      <c r="AK188" s="3912"/>
      <c r="AL188" s="3914"/>
      <c r="AP188" s="3914"/>
      <c r="AQ188" s="3910"/>
      <c r="AR188" s="3911"/>
      <c r="AS188" s="3911"/>
      <c r="AT188" s="3911"/>
      <c r="AU188" s="3911"/>
      <c r="AV188" s="3911"/>
      <c r="AW188" s="3911"/>
      <c r="AX188" s="3911"/>
      <c r="AY188" s="3911"/>
      <c r="AZ188" s="3912"/>
      <c r="BA188" s="3396"/>
      <c r="BG188" s="3914"/>
      <c r="BH188" s="3910"/>
      <c r="BI188" s="3911"/>
      <c r="BJ188" s="3911"/>
      <c r="BK188" s="3911"/>
      <c r="BL188" s="3911"/>
      <c r="BM188" s="3911"/>
      <c r="BN188" s="3911"/>
      <c r="BO188" s="3911"/>
      <c r="BP188" s="3911"/>
      <c r="BQ188" s="3911"/>
      <c r="BR188" s="3911"/>
      <c r="BS188" s="3911"/>
      <c r="BT188" s="3911"/>
      <c r="BU188" s="3911"/>
      <c r="BV188" s="3911"/>
      <c r="BW188" s="3912"/>
      <c r="BX188" s="3396"/>
    </row>
    <row r="189" spans="4:76" ht="17.100000000000001" customHeight="1" x14ac:dyDescent="0.15">
      <c r="D189" s="3396"/>
      <c r="E189" s="3907"/>
      <c r="F189" s="3908"/>
      <c r="G189" s="3908"/>
      <c r="H189" s="3908"/>
      <c r="I189" s="3908"/>
      <c r="J189" s="3908"/>
      <c r="K189" s="3908"/>
      <c r="L189" s="3908"/>
      <c r="M189" s="3908"/>
      <c r="N189" s="3908"/>
      <c r="O189" s="3908"/>
      <c r="P189" s="3908"/>
      <c r="Q189" s="3908"/>
      <c r="R189" s="3908"/>
      <c r="S189" s="3908"/>
      <c r="T189" s="3909"/>
      <c r="U189" s="3913"/>
      <c r="AA189" s="3396"/>
      <c r="AB189" s="3907"/>
      <c r="AC189" s="3908"/>
      <c r="AD189" s="3908"/>
      <c r="AE189" s="3908"/>
      <c r="AF189" s="3908"/>
      <c r="AG189" s="3908"/>
      <c r="AH189" s="3908"/>
      <c r="AI189" s="3908"/>
      <c r="AJ189" s="3908"/>
      <c r="AK189" s="3909"/>
      <c r="AL189" s="3913"/>
      <c r="AP189" s="3914"/>
      <c r="AQ189" s="3907"/>
      <c r="AR189" s="3908"/>
      <c r="AS189" s="3908"/>
      <c r="AT189" s="3908"/>
      <c r="AU189" s="3908"/>
      <c r="AV189" s="3908"/>
      <c r="AW189" s="3908"/>
      <c r="AX189" s="3908"/>
      <c r="AY189" s="3908"/>
      <c r="AZ189" s="3909"/>
      <c r="BA189" s="3396"/>
      <c r="BG189" s="3914"/>
      <c r="BH189" s="3907"/>
      <c r="BI189" s="3908"/>
      <c r="BJ189" s="3908"/>
      <c r="BK189" s="3908"/>
      <c r="BL189" s="3908"/>
      <c r="BM189" s="3908"/>
      <c r="BN189" s="3908"/>
      <c r="BO189" s="3908"/>
      <c r="BP189" s="3908"/>
      <c r="BQ189" s="3908"/>
      <c r="BR189" s="3908"/>
      <c r="BS189" s="3908"/>
      <c r="BT189" s="3908"/>
      <c r="BU189" s="3908"/>
      <c r="BV189" s="3908"/>
      <c r="BW189" s="3909"/>
      <c r="BX189" s="3396"/>
    </row>
    <row r="190" spans="4:76" ht="17.100000000000001" customHeight="1" x14ac:dyDescent="0.15">
      <c r="D190" s="3396"/>
      <c r="E190" s="3910"/>
      <c r="F190" s="3911"/>
      <c r="G190" s="3911"/>
      <c r="H190" s="3911"/>
      <c r="I190" s="3911"/>
      <c r="J190" s="3911"/>
      <c r="K190" s="3911"/>
      <c r="L190" s="3911"/>
      <c r="M190" s="3911"/>
      <c r="N190" s="3911"/>
      <c r="O190" s="3911"/>
      <c r="P190" s="3911"/>
      <c r="Q190" s="3911"/>
      <c r="R190" s="3911"/>
      <c r="S190" s="3911"/>
      <c r="T190" s="3912"/>
      <c r="U190" s="3914"/>
      <c r="AA190" s="3396"/>
      <c r="AB190" s="3910"/>
      <c r="AC190" s="3911"/>
      <c r="AD190" s="3911"/>
      <c r="AE190" s="3911"/>
      <c r="AF190" s="3911"/>
      <c r="AG190" s="3911"/>
      <c r="AH190" s="3911"/>
      <c r="AI190" s="3911"/>
      <c r="AJ190" s="3911"/>
      <c r="AK190" s="3912"/>
      <c r="AL190" s="3914"/>
      <c r="AP190" s="3914"/>
      <c r="AQ190" s="3910"/>
      <c r="AR190" s="3911"/>
      <c r="AS190" s="3911"/>
      <c r="AT190" s="3911"/>
      <c r="AU190" s="3911"/>
      <c r="AV190" s="3911"/>
      <c r="AW190" s="3911"/>
      <c r="AX190" s="3911"/>
      <c r="AY190" s="3911"/>
      <c r="AZ190" s="3912"/>
      <c r="BA190" s="3396"/>
      <c r="BG190" s="3914"/>
      <c r="BH190" s="3910"/>
      <c r="BI190" s="3911"/>
      <c r="BJ190" s="3911"/>
      <c r="BK190" s="3911"/>
      <c r="BL190" s="3911"/>
      <c r="BM190" s="3911"/>
      <c r="BN190" s="3911"/>
      <c r="BO190" s="3911"/>
      <c r="BP190" s="3911"/>
      <c r="BQ190" s="3911"/>
      <c r="BR190" s="3911"/>
      <c r="BS190" s="3911"/>
      <c r="BT190" s="3911"/>
      <c r="BU190" s="3911"/>
      <c r="BV190" s="3911"/>
      <c r="BW190" s="3912"/>
      <c r="BX190" s="3396"/>
    </row>
    <row r="191" spans="4:76" ht="17.100000000000001" customHeight="1" x14ac:dyDescent="0.15">
      <c r="D191" s="3396"/>
      <c r="E191" s="3907"/>
      <c r="F191" s="3908"/>
      <c r="G191" s="3908"/>
      <c r="H191" s="3908"/>
      <c r="I191" s="3908"/>
      <c r="J191" s="3908"/>
      <c r="K191" s="3908"/>
      <c r="L191" s="3908"/>
      <c r="M191" s="3908"/>
      <c r="N191" s="3908"/>
      <c r="O191" s="3908"/>
      <c r="P191" s="3908"/>
      <c r="Q191" s="3908"/>
      <c r="R191" s="3908"/>
      <c r="S191" s="3908"/>
      <c r="T191" s="3909"/>
      <c r="U191" s="3913"/>
      <c r="AA191" s="3396"/>
      <c r="AB191" s="3907"/>
      <c r="AC191" s="3908"/>
      <c r="AD191" s="3908"/>
      <c r="AE191" s="3908"/>
      <c r="AF191" s="3908"/>
      <c r="AG191" s="3908"/>
      <c r="AH191" s="3908"/>
      <c r="AI191" s="3908"/>
      <c r="AJ191" s="3908"/>
      <c r="AK191" s="3909"/>
      <c r="AL191" s="3913"/>
      <c r="AP191" s="3914"/>
      <c r="AQ191" s="3907"/>
      <c r="AR191" s="3908"/>
      <c r="AS191" s="3908"/>
      <c r="AT191" s="3908"/>
      <c r="AU191" s="3908"/>
      <c r="AV191" s="3908"/>
      <c r="AW191" s="3908"/>
      <c r="AX191" s="3908"/>
      <c r="AY191" s="3908"/>
      <c r="AZ191" s="3909"/>
      <c r="BA191" s="3396"/>
      <c r="BG191" s="3914"/>
      <c r="BH191" s="3907"/>
      <c r="BI191" s="3908"/>
      <c r="BJ191" s="3908"/>
      <c r="BK191" s="3908"/>
      <c r="BL191" s="3908"/>
      <c r="BM191" s="3908"/>
      <c r="BN191" s="3908"/>
      <c r="BO191" s="3908"/>
      <c r="BP191" s="3908"/>
      <c r="BQ191" s="3908"/>
      <c r="BR191" s="3908"/>
      <c r="BS191" s="3908"/>
      <c r="BT191" s="3908"/>
      <c r="BU191" s="3908"/>
      <c r="BV191" s="3908"/>
      <c r="BW191" s="3909"/>
      <c r="BX191" s="3396"/>
    </row>
    <row r="192" spans="4:76" ht="17.100000000000001" customHeight="1" x14ac:dyDescent="0.15">
      <c r="D192" s="3396"/>
      <c r="E192" s="3910"/>
      <c r="F192" s="3911"/>
      <c r="G192" s="3911"/>
      <c r="H192" s="3911"/>
      <c r="I192" s="3911"/>
      <c r="J192" s="3911"/>
      <c r="K192" s="3911"/>
      <c r="L192" s="3911"/>
      <c r="M192" s="3911"/>
      <c r="N192" s="3911"/>
      <c r="O192" s="3911"/>
      <c r="P192" s="3911"/>
      <c r="Q192" s="3911"/>
      <c r="R192" s="3911"/>
      <c r="S192" s="3911"/>
      <c r="T192" s="3912"/>
      <c r="U192" s="3914"/>
      <c r="AA192" s="3396"/>
      <c r="AB192" s="3910"/>
      <c r="AC192" s="3911"/>
      <c r="AD192" s="3911"/>
      <c r="AE192" s="3911"/>
      <c r="AF192" s="3911"/>
      <c r="AG192" s="3911"/>
      <c r="AH192" s="3911"/>
      <c r="AI192" s="3911"/>
      <c r="AJ192" s="3911"/>
      <c r="AK192" s="3912"/>
      <c r="AL192" s="3914"/>
      <c r="AP192" s="3914"/>
      <c r="AQ192" s="3910"/>
      <c r="AR192" s="3911"/>
      <c r="AS192" s="3911"/>
      <c r="AT192" s="3911"/>
      <c r="AU192" s="3911"/>
      <c r="AV192" s="3911"/>
      <c r="AW192" s="3911"/>
      <c r="AX192" s="3911"/>
      <c r="AY192" s="3911"/>
      <c r="AZ192" s="3912"/>
      <c r="BA192" s="3396"/>
      <c r="BG192" s="3914"/>
      <c r="BH192" s="3910"/>
      <c r="BI192" s="3911"/>
      <c r="BJ192" s="3911"/>
      <c r="BK192" s="3911"/>
      <c r="BL192" s="3911"/>
      <c r="BM192" s="3911"/>
      <c r="BN192" s="3911"/>
      <c r="BO192" s="3911"/>
      <c r="BP192" s="3911"/>
      <c r="BQ192" s="3911"/>
      <c r="BR192" s="3911"/>
      <c r="BS192" s="3911"/>
      <c r="BT192" s="3911"/>
      <c r="BU192" s="3911"/>
      <c r="BV192" s="3911"/>
      <c r="BW192" s="3912"/>
      <c r="BX192" s="3396"/>
    </row>
    <row r="193" spans="4:76" ht="17.100000000000001" customHeight="1" x14ac:dyDescent="0.15">
      <c r="D193" s="3396"/>
      <c r="E193" s="3907"/>
      <c r="F193" s="3908"/>
      <c r="G193" s="3908"/>
      <c r="H193" s="3908"/>
      <c r="I193" s="3908"/>
      <c r="J193" s="3908"/>
      <c r="K193" s="3908"/>
      <c r="L193" s="3908"/>
      <c r="M193" s="3908"/>
      <c r="N193" s="3908"/>
      <c r="O193" s="3908"/>
      <c r="P193" s="3908"/>
      <c r="Q193" s="3908"/>
      <c r="R193" s="3908"/>
      <c r="S193" s="3908"/>
      <c r="T193" s="3909"/>
      <c r="U193" s="3913"/>
      <c r="AA193" s="3396"/>
      <c r="AB193" s="3907"/>
      <c r="AC193" s="3908"/>
      <c r="AD193" s="3908"/>
      <c r="AE193" s="3908"/>
      <c r="AF193" s="3908"/>
      <c r="AG193" s="3908"/>
      <c r="AH193" s="3908"/>
      <c r="AI193" s="3908"/>
      <c r="AJ193" s="3908"/>
      <c r="AK193" s="3909"/>
      <c r="AL193" s="3913"/>
      <c r="AP193" s="3914"/>
      <c r="AQ193" s="3907"/>
      <c r="AR193" s="3908"/>
      <c r="AS193" s="3908"/>
      <c r="AT193" s="3908"/>
      <c r="AU193" s="3908"/>
      <c r="AV193" s="3908"/>
      <c r="AW193" s="3908"/>
      <c r="AX193" s="3908"/>
      <c r="AY193" s="3908"/>
      <c r="AZ193" s="3909"/>
      <c r="BA193" s="3396"/>
      <c r="BG193" s="3914"/>
      <c r="BH193" s="3907"/>
      <c r="BI193" s="3908"/>
      <c r="BJ193" s="3908"/>
      <c r="BK193" s="3908"/>
      <c r="BL193" s="3908"/>
      <c r="BM193" s="3908"/>
      <c r="BN193" s="3908"/>
      <c r="BO193" s="3908"/>
      <c r="BP193" s="3908"/>
      <c r="BQ193" s="3908"/>
      <c r="BR193" s="3908"/>
      <c r="BS193" s="3908"/>
      <c r="BT193" s="3908"/>
      <c r="BU193" s="3908"/>
      <c r="BV193" s="3908"/>
      <c r="BW193" s="3909"/>
      <c r="BX193" s="3396"/>
    </row>
    <row r="194" spans="4:76" ht="17.100000000000001" customHeight="1" x14ac:dyDescent="0.15">
      <c r="D194" s="3396"/>
      <c r="E194" s="3910"/>
      <c r="F194" s="3911"/>
      <c r="G194" s="3911"/>
      <c r="H194" s="3911"/>
      <c r="I194" s="3911"/>
      <c r="J194" s="3911"/>
      <c r="K194" s="3911"/>
      <c r="L194" s="3911"/>
      <c r="M194" s="3911"/>
      <c r="N194" s="3911"/>
      <c r="O194" s="3911"/>
      <c r="P194" s="3911"/>
      <c r="Q194" s="3911"/>
      <c r="R194" s="3911"/>
      <c r="S194" s="3911"/>
      <c r="T194" s="3912"/>
      <c r="U194" s="3914"/>
      <c r="AA194" s="3396"/>
      <c r="AB194" s="3910"/>
      <c r="AC194" s="3911"/>
      <c r="AD194" s="3911"/>
      <c r="AE194" s="3911"/>
      <c r="AF194" s="3911"/>
      <c r="AG194" s="3911"/>
      <c r="AH194" s="3911"/>
      <c r="AI194" s="3911"/>
      <c r="AJ194" s="3911"/>
      <c r="AK194" s="3912"/>
      <c r="AL194" s="3914"/>
      <c r="AP194" s="3914"/>
      <c r="AQ194" s="3910"/>
      <c r="AR194" s="3911"/>
      <c r="AS194" s="3911"/>
      <c r="AT194" s="3911"/>
      <c r="AU194" s="3911"/>
      <c r="AV194" s="3911"/>
      <c r="AW194" s="3911"/>
      <c r="AX194" s="3911"/>
      <c r="AY194" s="3911"/>
      <c r="AZ194" s="3912"/>
      <c r="BA194" s="3396"/>
      <c r="BG194" s="3914"/>
      <c r="BH194" s="3910"/>
      <c r="BI194" s="3911"/>
      <c r="BJ194" s="3911"/>
      <c r="BK194" s="3911"/>
      <c r="BL194" s="3911"/>
      <c r="BM194" s="3911"/>
      <c r="BN194" s="3911"/>
      <c r="BO194" s="3911"/>
      <c r="BP194" s="3911"/>
      <c r="BQ194" s="3911"/>
      <c r="BR194" s="3911"/>
      <c r="BS194" s="3911"/>
      <c r="BT194" s="3911"/>
      <c r="BU194" s="3911"/>
      <c r="BV194" s="3911"/>
      <c r="BW194" s="3912"/>
      <c r="BX194" s="3396"/>
    </row>
    <row r="195" spans="4:76" ht="17.100000000000001" customHeight="1" x14ac:dyDescent="0.15">
      <c r="D195" s="3396"/>
      <c r="E195" s="3907"/>
      <c r="F195" s="3908"/>
      <c r="G195" s="3908"/>
      <c r="H195" s="3908"/>
      <c r="I195" s="3908"/>
      <c r="J195" s="3908"/>
      <c r="K195" s="3908"/>
      <c r="L195" s="3908"/>
      <c r="M195" s="3908"/>
      <c r="N195" s="3908"/>
      <c r="O195" s="3908"/>
      <c r="P195" s="3908"/>
      <c r="Q195" s="3908"/>
      <c r="R195" s="3908"/>
      <c r="S195" s="3908"/>
      <c r="T195" s="3909"/>
      <c r="U195" s="3913"/>
      <c r="AA195" s="3396"/>
      <c r="AB195" s="3907"/>
      <c r="AC195" s="3908"/>
      <c r="AD195" s="3908"/>
      <c r="AE195" s="3908"/>
      <c r="AF195" s="3908"/>
      <c r="AG195" s="3908"/>
      <c r="AH195" s="3908"/>
      <c r="AI195" s="3908"/>
      <c r="AJ195" s="3908"/>
      <c r="AK195" s="3909"/>
      <c r="AL195" s="3913"/>
      <c r="AP195" s="3914"/>
      <c r="AQ195" s="3907"/>
      <c r="AR195" s="3908"/>
      <c r="AS195" s="3908"/>
      <c r="AT195" s="3908"/>
      <c r="AU195" s="3908"/>
      <c r="AV195" s="3908"/>
      <c r="AW195" s="3908"/>
      <c r="AX195" s="3908"/>
      <c r="AY195" s="3908"/>
      <c r="AZ195" s="3909"/>
      <c r="BA195" s="3396"/>
      <c r="BG195" s="3914"/>
      <c r="BH195" s="3907"/>
      <c r="BI195" s="3908"/>
      <c r="BJ195" s="3908"/>
      <c r="BK195" s="3908"/>
      <c r="BL195" s="3908"/>
      <c r="BM195" s="3908"/>
      <c r="BN195" s="3908"/>
      <c r="BO195" s="3908"/>
      <c r="BP195" s="3908"/>
      <c r="BQ195" s="3908"/>
      <c r="BR195" s="3908"/>
      <c r="BS195" s="3908"/>
      <c r="BT195" s="3908"/>
      <c r="BU195" s="3908"/>
      <c r="BV195" s="3908"/>
      <c r="BW195" s="3909"/>
      <c r="BX195" s="3396"/>
    </row>
    <row r="196" spans="4:76" ht="17.100000000000001" customHeight="1" x14ac:dyDescent="0.15">
      <c r="D196" s="3396"/>
      <c r="E196" s="3910"/>
      <c r="F196" s="3911"/>
      <c r="G196" s="3911"/>
      <c r="H196" s="3911"/>
      <c r="I196" s="3911"/>
      <c r="J196" s="3911"/>
      <c r="K196" s="3911"/>
      <c r="L196" s="3911"/>
      <c r="M196" s="3911"/>
      <c r="N196" s="3911"/>
      <c r="O196" s="3911"/>
      <c r="P196" s="3911"/>
      <c r="Q196" s="3911"/>
      <c r="R196" s="3911"/>
      <c r="S196" s="3911"/>
      <c r="T196" s="3912"/>
      <c r="U196" s="3914"/>
      <c r="AA196" s="3396"/>
      <c r="AB196" s="3910"/>
      <c r="AC196" s="3911"/>
      <c r="AD196" s="3911"/>
      <c r="AE196" s="3911"/>
      <c r="AF196" s="3911"/>
      <c r="AG196" s="3911"/>
      <c r="AH196" s="3911"/>
      <c r="AI196" s="3911"/>
      <c r="AJ196" s="3911"/>
      <c r="AK196" s="3912"/>
      <c r="AL196" s="3914"/>
      <c r="AP196" s="3914"/>
      <c r="AQ196" s="3910"/>
      <c r="AR196" s="3911"/>
      <c r="AS196" s="3911"/>
      <c r="AT196" s="3911"/>
      <c r="AU196" s="3911"/>
      <c r="AV196" s="3911"/>
      <c r="AW196" s="3911"/>
      <c r="AX196" s="3911"/>
      <c r="AY196" s="3911"/>
      <c r="AZ196" s="3912"/>
      <c r="BA196" s="3396"/>
      <c r="BG196" s="3914"/>
      <c r="BH196" s="3910"/>
      <c r="BI196" s="3911"/>
      <c r="BJ196" s="3911"/>
      <c r="BK196" s="3911"/>
      <c r="BL196" s="3911"/>
      <c r="BM196" s="3911"/>
      <c r="BN196" s="3911"/>
      <c r="BO196" s="3911"/>
      <c r="BP196" s="3911"/>
      <c r="BQ196" s="3911"/>
      <c r="BR196" s="3911"/>
      <c r="BS196" s="3911"/>
      <c r="BT196" s="3911"/>
      <c r="BU196" s="3911"/>
      <c r="BV196" s="3911"/>
      <c r="BW196" s="3912"/>
      <c r="BX196" s="3396"/>
    </row>
    <row r="197" spans="4:76" ht="17.100000000000001" customHeight="1" x14ac:dyDescent="0.15">
      <c r="D197" s="3396"/>
      <c r="E197" s="3907"/>
      <c r="F197" s="3908"/>
      <c r="G197" s="3908"/>
      <c r="H197" s="3908"/>
      <c r="I197" s="3908"/>
      <c r="J197" s="3908"/>
      <c r="K197" s="3908"/>
      <c r="L197" s="3908"/>
      <c r="M197" s="3908"/>
      <c r="N197" s="3908"/>
      <c r="O197" s="3908"/>
      <c r="P197" s="3908"/>
      <c r="Q197" s="3908"/>
      <c r="R197" s="3908"/>
      <c r="S197" s="3908"/>
      <c r="T197" s="3909"/>
      <c r="U197" s="3913"/>
      <c r="AA197" s="3396"/>
      <c r="AB197" s="3907"/>
      <c r="AC197" s="3908"/>
      <c r="AD197" s="3908"/>
      <c r="AE197" s="3908"/>
      <c r="AF197" s="3908"/>
      <c r="AG197" s="3908"/>
      <c r="AH197" s="3908"/>
      <c r="AI197" s="3908"/>
      <c r="AJ197" s="3908"/>
      <c r="AK197" s="3909"/>
      <c r="AL197" s="3913"/>
      <c r="AP197" s="3914"/>
      <c r="AQ197" s="3907"/>
      <c r="AR197" s="3908"/>
      <c r="AS197" s="3908"/>
      <c r="AT197" s="3908"/>
      <c r="AU197" s="3908"/>
      <c r="AV197" s="3908"/>
      <c r="AW197" s="3908"/>
      <c r="AX197" s="3908"/>
      <c r="AY197" s="3908"/>
      <c r="AZ197" s="3909"/>
      <c r="BA197" s="3396"/>
      <c r="BG197" s="3914"/>
      <c r="BH197" s="3907"/>
      <c r="BI197" s="3908"/>
      <c r="BJ197" s="3908"/>
      <c r="BK197" s="3908"/>
      <c r="BL197" s="3908"/>
      <c r="BM197" s="3908"/>
      <c r="BN197" s="3908"/>
      <c r="BO197" s="3908"/>
      <c r="BP197" s="3908"/>
      <c r="BQ197" s="3908"/>
      <c r="BR197" s="3908"/>
      <c r="BS197" s="3908"/>
      <c r="BT197" s="3908"/>
      <c r="BU197" s="3908"/>
      <c r="BV197" s="3908"/>
      <c r="BW197" s="3909"/>
      <c r="BX197" s="3396"/>
    </row>
    <row r="198" spans="4:76" ht="17.100000000000001" customHeight="1" x14ac:dyDescent="0.15">
      <c r="D198" s="3396"/>
      <c r="E198" s="3910"/>
      <c r="F198" s="3911"/>
      <c r="G198" s="3911"/>
      <c r="H198" s="3911"/>
      <c r="I198" s="3911"/>
      <c r="J198" s="3911"/>
      <c r="K198" s="3911"/>
      <c r="L198" s="3911"/>
      <c r="M198" s="3911"/>
      <c r="N198" s="3911"/>
      <c r="O198" s="3911"/>
      <c r="P198" s="3911"/>
      <c r="Q198" s="3911"/>
      <c r="R198" s="3911"/>
      <c r="S198" s="3911"/>
      <c r="T198" s="3912"/>
      <c r="U198" s="3914"/>
      <c r="AA198" s="3396"/>
      <c r="AB198" s="3910"/>
      <c r="AC198" s="3911"/>
      <c r="AD198" s="3911"/>
      <c r="AE198" s="3911"/>
      <c r="AF198" s="3911"/>
      <c r="AG198" s="3911"/>
      <c r="AH198" s="3911"/>
      <c r="AI198" s="3911"/>
      <c r="AJ198" s="3911"/>
      <c r="AK198" s="3912"/>
      <c r="AL198" s="3914"/>
      <c r="AP198" s="3914"/>
      <c r="AQ198" s="3910"/>
      <c r="AR198" s="3911"/>
      <c r="AS198" s="3911"/>
      <c r="AT198" s="3911"/>
      <c r="AU198" s="3911"/>
      <c r="AV198" s="3911"/>
      <c r="AW198" s="3911"/>
      <c r="AX198" s="3911"/>
      <c r="AY198" s="3911"/>
      <c r="AZ198" s="3912"/>
      <c r="BA198" s="3396"/>
      <c r="BG198" s="3914"/>
      <c r="BH198" s="3910"/>
      <c r="BI198" s="3911"/>
      <c r="BJ198" s="3911"/>
      <c r="BK198" s="3911"/>
      <c r="BL198" s="3911"/>
      <c r="BM198" s="3911"/>
      <c r="BN198" s="3911"/>
      <c r="BO198" s="3911"/>
      <c r="BP198" s="3911"/>
      <c r="BQ198" s="3911"/>
      <c r="BR198" s="3911"/>
      <c r="BS198" s="3911"/>
      <c r="BT198" s="3911"/>
      <c r="BU198" s="3911"/>
      <c r="BV198" s="3911"/>
      <c r="BW198" s="3912"/>
      <c r="BX198" s="3396"/>
    </row>
    <row r="199" spans="4:76" ht="17.100000000000001" customHeight="1" x14ac:dyDescent="0.15">
      <c r="D199" s="3396"/>
      <c r="E199" s="3907"/>
      <c r="F199" s="3908"/>
      <c r="G199" s="3908"/>
      <c r="H199" s="3908"/>
      <c r="I199" s="3908"/>
      <c r="J199" s="3908"/>
      <c r="K199" s="3908"/>
      <c r="L199" s="3908"/>
      <c r="M199" s="3908"/>
      <c r="N199" s="3908"/>
      <c r="O199" s="3908"/>
      <c r="P199" s="3908"/>
      <c r="Q199" s="3908"/>
      <c r="R199" s="3908"/>
      <c r="S199" s="3908"/>
      <c r="T199" s="3909"/>
      <c r="U199" s="3913"/>
      <c r="AA199" s="3396"/>
      <c r="AB199" s="3907"/>
      <c r="AC199" s="3908"/>
      <c r="AD199" s="3908"/>
      <c r="AE199" s="3908"/>
      <c r="AF199" s="3908"/>
      <c r="AG199" s="3908"/>
      <c r="AH199" s="3908"/>
      <c r="AI199" s="3908"/>
      <c r="AJ199" s="3908"/>
      <c r="AK199" s="3909"/>
      <c r="AL199" s="3913"/>
      <c r="AP199" s="3914"/>
      <c r="AQ199" s="3907"/>
      <c r="AR199" s="3908"/>
      <c r="AS199" s="3908"/>
      <c r="AT199" s="3908"/>
      <c r="AU199" s="3908"/>
      <c r="AV199" s="3908"/>
      <c r="AW199" s="3908"/>
      <c r="AX199" s="3908"/>
      <c r="AY199" s="3908"/>
      <c r="AZ199" s="3909"/>
      <c r="BA199" s="3396"/>
      <c r="BG199" s="3914"/>
      <c r="BH199" s="3907"/>
      <c r="BI199" s="3908"/>
      <c r="BJ199" s="3908"/>
      <c r="BK199" s="3908"/>
      <c r="BL199" s="3908"/>
      <c r="BM199" s="3908"/>
      <c r="BN199" s="3908"/>
      <c r="BO199" s="3908"/>
      <c r="BP199" s="3908"/>
      <c r="BQ199" s="3908"/>
      <c r="BR199" s="3908"/>
      <c r="BS199" s="3908"/>
      <c r="BT199" s="3908"/>
      <c r="BU199" s="3908"/>
      <c r="BV199" s="3908"/>
      <c r="BW199" s="3909"/>
      <c r="BX199" s="3396"/>
    </row>
    <row r="200" spans="4:76" ht="17.100000000000001" customHeight="1" x14ac:dyDescent="0.15">
      <c r="D200" s="3396"/>
      <c r="E200" s="3910"/>
      <c r="F200" s="3911"/>
      <c r="G200" s="3911"/>
      <c r="H200" s="3911"/>
      <c r="I200" s="3911"/>
      <c r="J200" s="3911"/>
      <c r="K200" s="3911"/>
      <c r="L200" s="3911"/>
      <c r="M200" s="3911"/>
      <c r="N200" s="3911"/>
      <c r="O200" s="3911"/>
      <c r="P200" s="3911"/>
      <c r="Q200" s="3911"/>
      <c r="R200" s="3911"/>
      <c r="S200" s="3911"/>
      <c r="T200" s="3912"/>
      <c r="U200" s="3914"/>
      <c r="AA200" s="3396"/>
      <c r="AB200" s="3910"/>
      <c r="AC200" s="3911"/>
      <c r="AD200" s="3911"/>
      <c r="AE200" s="3911"/>
      <c r="AF200" s="3911"/>
      <c r="AG200" s="3911"/>
      <c r="AH200" s="3911"/>
      <c r="AI200" s="3911"/>
      <c r="AJ200" s="3911"/>
      <c r="AK200" s="3912"/>
      <c r="AL200" s="3914"/>
      <c r="AP200" s="3914"/>
      <c r="AQ200" s="3910"/>
      <c r="AR200" s="3911"/>
      <c r="AS200" s="3911"/>
      <c r="AT200" s="3911"/>
      <c r="AU200" s="3911"/>
      <c r="AV200" s="3911"/>
      <c r="AW200" s="3911"/>
      <c r="AX200" s="3911"/>
      <c r="AY200" s="3911"/>
      <c r="AZ200" s="3912"/>
      <c r="BA200" s="3396"/>
      <c r="BG200" s="3914"/>
      <c r="BH200" s="3910"/>
      <c r="BI200" s="3911"/>
      <c r="BJ200" s="3911"/>
      <c r="BK200" s="3911"/>
      <c r="BL200" s="3911"/>
      <c r="BM200" s="3911"/>
      <c r="BN200" s="3911"/>
      <c r="BO200" s="3911"/>
      <c r="BP200" s="3911"/>
      <c r="BQ200" s="3911"/>
      <c r="BR200" s="3911"/>
      <c r="BS200" s="3911"/>
      <c r="BT200" s="3911"/>
      <c r="BU200" s="3911"/>
      <c r="BV200" s="3911"/>
      <c r="BW200" s="3912"/>
      <c r="BX200" s="3396"/>
    </row>
    <row r="201" spans="4:76" ht="17.100000000000001" customHeight="1" x14ac:dyDescent="0.15">
      <c r="D201" s="3396"/>
      <c r="E201" s="3907"/>
      <c r="F201" s="3908"/>
      <c r="G201" s="3908"/>
      <c r="H201" s="3908"/>
      <c r="I201" s="3908"/>
      <c r="J201" s="3908"/>
      <c r="K201" s="3908"/>
      <c r="L201" s="3908"/>
      <c r="M201" s="3908"/>
      <c r="N201" s="3908"/>
      <c r="O201" s="3908"/>
      <c r="P201" s="3908"/>
      <c r="Q201" s="3908"/>
      <c r="R201" s="3908"/>
      <c r="S201" s="3908"/>
      <c r="T201" s="3909"/>
      <c r="U201" s="3913"/>
      <c r="AA201" s="3396"/>
      <c r="AB201" s="3907"/>
      <c r="AC201" s="3908"/>
      <c r="AD201" s="3908"/>
      <c r="AE201" s="3908"/>
      <c r="AF201" s="3908"/>
      <c r="AG201" s="3908"/>
      <c r="AH201" s="3908"/>
      <c r="AI201" s="3908"/>
      <c r="AJ201" s="3908"/>
      <c r="AK201" s="3909"/>
      <c r="AL201" s="3913"/>
      <c r="AP201" s="3914"/>
      <c r="AQ201" s="3907"/>
      <c r="AR201" s="3908"/>
      <c r="AS201" s="3908"/>
      <c r="AT201" s="3908"/>
      <c r="AU201" s="3908"/>
      <c r="AV201" s="3908"/>
      <c r="AW201" s="3908"/>
      <c r="AX201" s="3908"/>
      <c r="AY201" s="3908"/>
      <c r="AZ201" s="3909"/>
      <c r="BA201" s="3396"/>
      <c r="BG201" s="3914"/>
      <c r="BH201" s="3907"/>
      <c r="BI201" s="3908"/>
      <c r="BJ201" s="3908"/>
      <c r="BK201" s="3908"/>
      <c r="BL201" s="3908"/>
      <c r="BM201" s="3908"/>
      <c r="BN201" s="3908"/>
      <c r="BO201" s="3908"/>
      <c r="BP201" s="3908"/>
      <c r="BQ201" s="3908"/>
      <c r="BR201" s="3908"/>
      <c r="BS201" s="3908"/>
      <c r="BT201" s="3908"/>
      <c r="BU201" s="3908"/>
      <c r="BV201" s="3908"/>
      <c r="BW201" s="3909"/>
      <c r="BX201" s="3396"/>
    </row>
    <row r="202" spans="4:76" ht="17.100000000000001" customHeight="1" x14ac:dyDescent="0.15">
      <c r="D202" s="3396"/>
      <c r="E202" s="3910"/>
      <c r="F202" s="3911"/>
      <c r="G202" s="3911"/>
      <c r="H202" s="3911"/>
      <c r="I202" s="3911"/>
      <c r="J202" s="3911"/>
      <c r="K202" s="3911"/>
      <c r="L202" s="3911"/>
      <c r="M202" s="3911"/>
      <c r="N202" s="3911"/>
      <c r="O202" s="3911"/>
      <c r="P202" s="3911"/>
      <c r="Q202" s="3911"/>
      <c r="R202" s="3911"/>
      <c r="S202" s="3911"/>
      <c r="T202" s="3912"/>
      <c r="U202" s="3914"/>
      <c r="AA202" s="3396"/>
      <c r="AB202" s="3910"/>
      <c r="AC202" s="3911"/>
      <c r="AD202" s="3911"/>
      <c r="AE202" s="3911"/>
      <c r="AF202" s="3911"/>
      <c r="AG202" s="3911"/>
      <c r="AH202" s="3911"/>
      <c r="AI202" s="3911"/>
      <c r="AJ202" s="3911"/>
      <c r="AK202" s="3912"/>
      <c r="AL202" s="3914"/>
      <c r="AP202" s="3914"/>
      <c r="AQ202" s="3910"/>
      <c r="AR202" s="3911"/>
      <c r="AS202" s="3911"/>
      <c r="AT202" s="3911"/>
      <c r="AU202" s="3911"/>
      <c r="AV202" s="3911"/>
      <c r="AW202" s="3911"/>
      <c r="AX202" s="3911"/>
      <c r="AY202" s="3911"/>
      <c r="AZ202" s="3912"/>
      <c r="BA202" s="3396"/>
      <c r="BG202" s="3914"/>
      <c r="BH202" s="3910"/>
      <c r="BI202" s="3911"/>
      <c r="BJ202" s="3911"/>
      <c r="BK202" s="3911"/>
      <c r="BL202" s="3911"/>
      <c r="BM202" s="3911"/>
      <c r="BN202" s="3911"/>
      <c r="BO202" s="3911"/>
      <c r="BP202" s="3911"/>
      <c r="BQ202" s="3911"/>
      <c r="BR202" s="3911"/>
      <c r="BS202" s="3911"/>
      <c r="BT202" s="3911"/>
      <c r="BU202" s="3911"/>
      <c r="BV202" s="3911"/>
      <c r="BW202" s="3912"/>
      <c r="BX202" s="3396"/>
    </row>
    <row r="203" spans="4:76" ht="17.100000000000001" customHeight="1" x14ac:dyDescent="0.15">
      <c r="D203" s="3396"/>
      <c r="E203" s="3907"/>
      <c r="F203" s="3908"/>
      <c r="G203" s="3908"/>
      <c r="H203" s="3908"/>
      <c r="I203" s="3908"/>
      <c r="J203" s="3908"/>
      <c r="K203" s="3908"/>
      <c r="L203" s="3908"/>
      <c r="M203" s="3908"/>
      <c r="N203" s="3908"/>
      <c r="O203" s="3908"/>
      <c r="P203" s="3908"/>
      <c r="Q203" s="3908"/>
      <c r="R203" s="3908"/>
      <c r="S203" s="3908"/>
      <c r="T203" s="3909"/>
      <c r="U203" s="3913"/>
      <c r="AA203" s="3396"/>
      <c r="AB203" s="3907"/>
      <c r="AC203" s="3908"/>
      <c r="AD203" s="3908"/>
      <c r="AE203" s="3908"/>
      <c r="AF203" s="3908"/>
      <c r="AG203" s="3908"/>
      <c r="AH203" s="3908"/>
      <c r="AI203" s="3908"/>
      <c r="AJ203" s="3908"/>
      <c r="AK203" s="3909"/>
      <c r="AL203" s="3913"/>
      <c r="AP203" s="3914"/>
      <c r="AQ203" s="3907"/>
      <c r="AR203" s="3908"/>
      <c r="AS203" s="3908"/>
      <c r="AT203" s="3908"/>
      <c r="AU203" s="3908"/>
      <c r="AV203" s="3908"/>
      <c r="AW203" s="3908"/>
      <c r="AX203" s="3908"/>
      <c r="AY203" s="3908"/>
      <c r="AZ203" s="3909"/>
      <c r="BA203" s="3396"/>
      <c r="BG203" s="3914"/>
      <c r="BH203" s="3907"/>
      <c r="BI203" s="3908"/>
      <c r="BJ203" s="3908"/>
      <c r="BK203" s="3908"/>
      <c r="BL203" s="3908"/>
      <c r="BM203" s="3908"/>
      <c r="BN203" s="3908"/>
      <c r="BO203" s="3908"/>
      <c r="BP203" s="3908"/>
      <c r="BQ203" s="3908"/>
      <c r="BR203" s="3908"/>
      <c r="BS203" s="3908"/>
      <c r="BT203" s="3908"/>
      <c r="BU203" s="3908"/>
      <c r="BV203" s="3908"/>
      <c r="BW203" s="3909"/>
      <c r="BX203" s="3396"/>
    </row>
    <row r="204" spans="4:76" ht="17.100000000000001" customHeight="1" x14ac:dyDescent="0.15">
      <c r="D204" s="3396"/>
      <c r="E204" s="3910"/>
      <c r="F204" s="3911"/>
      <c r="G204" s="3911"/>
      <c r="H204" s="3911"/>
      <c r="I204" s="3911"/>
      <c r="J204" s="3911"/>
      <c r="K204" s="3911"/>
      <c r="L204" s="3911"/>
      <c r="M204" s="3911"/>
      <c r="N204" s="3911"/>
      <c r="O204" s="3911"/>
      <c r="P204" s="3911"/>
      <c r="Q204" s="3911"/>
      <c r="R204" s="3911"/>
      <c r="S204" s="3911"/>
      <c r="T204" s="3912"/>
      <c r="U204" s="3914"/>
      <c r="AA204" s="3396"/>
      <c r="AB204" s="3910"/>
      <c r="AC204" s="3911"/>
      <c r="AD204" s="3911"/>
      <c r="AE204" s="3911"/>
      <c r="AF204" s="3911"/>
      <c r="AG204" s="3911"/>
      <c r="AH204" s="3911"/>
      <c r="AI204" s="3911"/>
      <c r="AJ204" s="3911"/>
      <c r="AK204" s="3912"/>
      <c r="AL204" s="3914"/>
      <c r="AP204" s="3914"/>
      <c r="AQ204" s="3910"/>
      <c r="AR204" s="3911"/>
      <c r="AS204" s="3911"/>
      <c r="AT204" s="3911"/>
      <c r="AU204" s="3911"/>
      <c r="AV204" s="3911"/>
      <c r="AW204" s="3911"/>
      <c r="AX204" s="3911"/>
      <c r="AY204" s="3911"/>
      <c r="AZ204" s="3912"/>
      <c r="BA204" s="3396"/>
      <c r="BG204" s="3914"/>
      <c r="BH204" s="3910"/>
      <c r="BI204" s="3911"/>
      <c r="BJ204" s="3911"/>
      <c r="BK204" s="3911"/>
      <c r="BL204" s="3911"/>
      <c r="BM204" s="3911"/>
      <c r="BN204" s="3911"/>
      <c r="BO204" s="3911"/>
      <c r="BP204" s="3911"/>
      <c r="BQ204" s="3911"/>
      <c r="BR204" s="3911"/>
      <c r="BS204" s="3911"/>
      <c r="BT204" s="3911"/>
      <c r="BU204" s="3911"/>
      <c r="BV204" s="3911"/>
      <c r="BW204" s="3912"/>
      <c r="BX204" s="3396"/>
    </row>
    <row r="205" spans="4:76" ht="17.100000000000001" customHeight="1" x14ac:dyDescent="0.15">
      <c r="D205" s="3396"/>
      <c r="E205" s="3907"/>
      <c r="F205" s="3908"/>
      <c r="G205" s="3908"/>
      <c r="H205" s="3908"/>
      <c r="I205" s="3908"/>
      <c r="J205" s="3908"/>
      <c r="K205" s="3908"/>
      <c r="L205" s="3908"/>
      <c r="M205" s="3908"/>
      <c r="N205" s="3908"/>
      <c r="O205" s="3908"/>
      <c r="P205" s="3908"/>
      <c r="Q205" s="3908"/>
      <c r="R205" s="3908"/>
      <c r="S205" s="3908"/>
      <c r="T205" s="3909"/>
      <c r="U205" s="3913"/>
      <c r="AA205" s="3396"/>
      <c r="AB205" s="3907"/>
      <c r="AC205" s="3908"/>
      <c r="AD205" s="3908"/>
      <c r="AE205" s="3908"/>
      <c r="AF205" s="3908"/>
      <c r="AG205" s="3908"/>
      <c r="AH205" s="3908"/>
      <c r="AI205" s="3908"/>
      <c r="AJ205" s="3908"/>
      <c r="AK205" s="3909"/>
      <c r="AL205" s="3913"/>
      <c r="AP205" s="3914"/>
      <c r="AQ205" s="3907"/>
      <c r="AR205" s="3908"/>
      <c r="AS205" s="3908"/>
      <c r="AT205" s="3908"/>
      <c r="AU205" s="3908"/>
      <c r="AV205" s="3908"/>
      <c r="AW205" s="3908"/>
      <c r="AX205" s="3908"/>
      <c r="AY205" s="3908"/>
      <c r="AZ205" s="3909"/>
      <c r="BA205" s="3396"/>
      <c r="BG205" s="3914"/>
      <c r="BH205" s="3907"/>
      <c r="BI205" s="3908"/>
      <c r="BJ205" s="3908"/>
      <c r="BK205" s="3908"/>
      <c r="BL205" s="3908"/>
      <c r="BM205" s="3908"/>
      <c r="BN205" s="3908"/>
      <c r="BO205" s="3908"/>
      <c r="BP205" s="3908"/>
      <c r="BQ205" s="3908"/>
      <c r="BR205" s="3908"/>
      <c r="BS205" s="3908"/>
      <c r="BT205" s="3908"/>
      <c r="BU205" s="3908"/>
      <c r="BV205" s="3908"/>
      <c r="BW205" s="3909"/>
      <c r="BX205" s="3396"/>
    </row>
    <row r="206" spans="4:76" ht="17.100000000000001" customHeight="1" x14ac:dyDescent="0.15">
      <c r="D206" s="3396"/>
      <c r="E206" s="3910"/>
      <c r="F206" s="3911"/>
      <c r="G206" s="3911"/>
      <c r="H206" s="3911"/>
      <c r="I206" s="3911"/>
      <c r="J206" s="3911"/>
      <c r="K206" s="3911"/>
      <c r="L206" s="3911"/>
      <c r="M206" s="3911"/>
      <c r="N206" s="3911"/>
      <c r="O206" s="3911"/>
      <c r="P206" s="3911"/>
      <c r="Q206" s="3911"/>
      <c r="R206" s="3911"/>
      <c r="S206" s="3911"/>
      <c r="T206" s="3912"/>
      <c r="U206" s="3914"/>
      <c r="AA206" s="3396"/>
      <c r="AB206" s="3910"/>
      <c r="AC206" s="3911"/>
      <c r="AD206" s="3911"/>
      <c r="AE206" s="3911"/>
      <c r="AF206" s="3911"/>
      <c r="AG206" s="3911"/>
      <c r="AH206" s="3911"/>
      <c r="AI206" s="3911"/>
      <c r="AJ206" s="3911"/>
      <c r="AK206" s="3912"/>
      <c r="AL206" s="3914"/>
      <c r="AP206" s="3914"/>
      <c r="AQ206" s="3910"/>
      <c r="AR206" s="3911"/>
      <c r="AS206" s="3911"/>
      <c r="AT206" s="3911"/>
      <c r="AU206" s="3911"/>
      <c r="AV206" s="3911"/>
      <c r="AW206" s="3911"/>
      <c r="AX206" s="3911"/>
      <c r="AY206" s="3911"/>
      <c r="AZ206" s="3912"/>
      <c r="BA206" s="3396"/>
      <c r="BG206" s="3914"/>
      <c r="BH206" s="3910"/>
      <c r="BI206" s="3911"/>
      <c r="BJ206" s="3911"/>
      <c r="BK206" s="3911"/>
      <c r="BL206" s="3911"/>
      <c r="BM206" s="3911"/>
      <c r="BN206" s="3911"/>
      <c r="BO206" s="3911"/>
      <c r="BP206" s="3911"/>
      <c r="BQ206" s="3911"/>
      <c r="BR206" s="3911"/>
      <c r="BS206" s="3911"/>
      <c r="BT206" s="3911"/>
      <c r="BU206" s="3911"/>
      <c r="BV206" s="3911"/>
      <c r="BW206" s="3912"/>
      <c r="BX206" s="3396"/>
    </row>
    <row r="207" spans="4:76" ht="17.100000000000001" customHeight="1" x14ac:dyDescent="0.15">
      <c r="D207" s="3396"/>
      <c r="E207" s="3907"/>
      <c r="F207" s="3908"/>
      <c r="G207" s="3908"/>
      <c r="H207" s="3908"/>
      <c r="I207" s="3908"/>
      <c r="J207" s="3908"/>
      <c r="K207" s="3908"/>
      <c r="L207" s="3908"/>
      <c r="M207" s="3908"/>
      <c r="N207" s="3908"/>
      <c r="O207" s="3908"/>
      <c r="P207" s="3908"/>
      <c r="Q207" s="3908"/>
      <c r="R207" s="3908"/>
      <c r="S207" s="3908"/>
      <c r="T207" s="3909"/>
      <c r="U207" s="3913"/>
      <c r="AA207" s="3396"/>
      <c r="AB207" s="3907"/>
      <c r="AC207" s="3908"/>
      <c r="AD207" s="3908"/>
      <c r="AE207" s="3908"/>
      <c r="AF207" s="3908"/>
      <c r="AG207" s="3908"/>
      <c r="AH207" s="3908"/>
      <c r="AI207" s="3908"/>
      <c r="AJ207" s="3908"/>
      <c r="AK207" s="3909"/>
      <c r="AL207" s="3913"/>
      <c r="AP207" s="3914"/>
      <c r="AQ207" s="3907"/>
      <c r="AR207" s="3908"/>
      <c r="AS207" s="3908"/>
      <c r="AT207" s="3908"/>
      <c r="AU207" s="3908"/>
      <c r="AV207" s="3908"/>
      <c r="AW207" s="3908"/>
      <c r="AX207" s="3908"/>
      <c r="AY207" s="3908"/>
      <c r="AZ207" s="3909"/>
      <c r="BA207" s="3396"/>
      <c r="BG207" s="3914"/>
      <c r="BH207" s="3907"/>
      <c r="BI207" s="3908"/>
      <c r="BJ207" s="3908"/>
      <c r="BK207" s="3908"/>
      <c r="BL207" s="3908"/>
      <c r="BM207" s="3908"/>
      <c r="BN207" s="3908"/>
      <c r="BO207" s="3908"/>
      <c r="BP207" s="3908"/>
      <c r="BQ207" s="3908"/>
      <c r="BR207" s="3908"/>
      <c r="BS207" s="3908"/>
      <c r="BT207" s="3908"/>
      <c r="BU207" s="3908"/>
      <c r="BV207" s="3908"/>
      <c r="BW207" s="3909"/>
      <c r="BX207" s="3396"/>
    </row>
    <row r="208" spans="4:76" ht="17.100000000000001" customHeight="1" x14ac:dyDescent="0.15">
      <c r="D208" s="3396"/>
      <c r="E208" s="3910"/>
      <c r="F208" s="3911"/>
      <c r="G208" s="3911"/>
      <c r="H208" s="3911"/>
      <c r="I208" s="3911"/>
      <c r="J208" s="3911"/>
      <c r="K208" s="3911"/>
      <c r="L208" s="3911"/>
      <c r="M208" s="3911"/>
      <c r="N208" s="3911"/>
      <c r="O208" s="3911"/>
      <c r="P208" s="3911"/>
      <c r="Q208" s="3911"/>
      <c r="R208" s="3911"/>
      <c r="S208" s="3911"/>
      <c r="T208" s="3912"/>
      <c r="U208" s="3914"/>
      <c r="AA208" s="3396"/>
      <c r="AB208" s="3910"/>
      <c r="AC208" s="3911"/>
      <c r="AD208" s="3911"/>
      <c r="AE208" s="3911"/>
      <c r="AF208" s="3911"/>
      <c r="AG208" s="3911"/>
      <c r="AH208" s="3911"/>
      <c r="AI208" s="3911"/>
      <c r="AJ208" s="3911"/>
      <c r="AK208" s="3912"/>
      <c r="AL208" s="3914"/>
      <c r="AP208" s="3914"/>
      <c r="AQ208" s="3910"/>
      <c r="AR208" s="3911"/>
      <c r="AS208" s="3911"/>
      <c r="AT208" s="3911"/>
      <c r="AU208" s="3911"/>
      <c r="AV208" s="3911"/>
      <c r="AW208" s="3911"/>
      <c r="AX208" s="3911"/>
      <c r="AY208" s="3911"/>
      <c r="AZ208" s="3912"/>
      <c r="BA208" s="3396"/>
      <c r="BG208" s="3914"/>
      <c r="BH208" s="3910"/>
      <c r="BI208" s="3911"/>
      <c r="BJ208" s="3911"/>
      <c r="BK208" s="3911"/>
      <c r="BL208" s="3911"/>
      <c r="BM208" s="3911"/>
      <c r="BN208" s="3911"/>
      <c r="BO208" s="3911"/>
      <c r="BP208" s="3911"/>
      <c r="BQ208" s="3911"/>
      <c r="BR208" s="3911"/>
      <c r="BS208" s="3911"/>
      <c r="BT208" s="3911"/>
      <c r="BU208" s="3911"/>
      <c r="BV208" s="3911"/>
      <c r="BW208" s="3912"/>
      <c r="BX208" s="3396"/>
    </row>
    <row r="209" spans="4:76" ht="17.100000000000001" customHeight="1" x14ac:dyDescent="0.15">
      <c r="D209" s="3396"/>
      <c r="E209" s="3907"/>
      <c r="F209" s="3908"/>
      <c r="G209" s="3908"/>
      <c r="H209" s="3908"/>
      <c r="I209" s="3908"/>
      <c r="J209" s="3908"/>
      <c r="K209" s="3908"/>
      <c r="L209" s="3908"/>
      <c r="M209" s="3908"/>
      <c r="N209" s="3908"/>
      <c r="O209" s="3908"/>
      <c r="P209" s="3908"/>
      <c r="Q209" s="3908"/>
      <c r="R209" s="3908"/>
      <c r="S209" s="3908"/>
      <c r="T209" s="3909"/>
      <c r="U209" s="3913"/>
      <c r="AA209" s="3396"/>
      <c r="AB209" s="3907"/>
      <c r="AC209" s="3908"/>
      <c r="AD209" s="3908"/>
      <c r="AE209" s="3908"/>
      <c r="AF209" s="3908"/>
      <c r="AG209" s="3908"/>
      <c r="AH209" s="3908"/>
      <c r="AI209" s="3908"/>
      <c r="AJ209" s="3908"/>
      <c r="AK209" s="3909"/>
      <c r="AL209" s="3913"/>
      <c r="AP209" s="3914"/>
      <c r="AQ209" s="3907"/>
      <c r="AR209" s="3908"/>
      <c r="AS209" s="3908"/>
      <c r="AT209" s="3908"/>
      <c r="AU209" s="3908"/>
      <c r="AV209" s="3908"/>
      <c r="AW209" s="3908"/>
      <c r="AX209" s="3908"/>
      <c r="AY209" s="3908"/>
      <c r="AZ209" s="3909"/>
      <c r="BA209" s="3396"/>
      <c r="BG209" s="3914"/>
      <c r="BH209" s="3907"/>
      <c r="BI209" s="3908"/>
      <c r="BJ209" s="3908"/>
      <c r="BK209" s="3908"/>
      <c r="BL209" s="3908"/>
      <c r="BM209" s="3908"/>
      <c r="BN209" s="3908"/>
      <c r="BO209" s="3908"/>
      <c r="BP209" s="3908"/>
      <c r="BQ209" s="3908"/>
      <c r="BR209" s="3908"/>
      <c r="BS209" s="3908"/>
      <c r="BT209" s="3908"/>
      <c r="BU209" s="3908"/>
      <c r="BV209" s="3908"/>
      <c r="BW209" s="3909"/>
      <c r="BX209" s="3396"/>
    </row>
    <row r="210" spans="4:76" ht="17.100000000000001" customHeight="1" x14ac:dyDescent="0.15">
      <c r="D210" s="3396"/>
      <c r="E210" s="3910"/>
      <c r="F210" s="3911"/>
      <c r="G210" s="3911"/>
      <c r="H210" s="3911"/>
      <c r="I210" s="3911"/>
      <c r="J210" s="3911"/>
      <c r="K210" s="3911"/>
      <c r="L210" s="3911"/>
      <c r="M210" s="3911"/>
      <c r="N210" s="3911"/>
      <c r="O210" s="3911"/>
      <c r="P210" s="3911"/>
      <c r="Q210" s="3911"/>
      <c r="R210" s="3911"/>
      <c r="S210" s="3911"/>
      <c r="T210" s="3912"/>
      <c r="U210" s="3914"/>
      <c r="AA210" s="3396"/>
      <c r="AB210" s="3910"/>
      <c r="AC210" s="3911"/>
      <c r="AD210" s="3911"/>
      <c r="AE210" s="3911"/>
      <c r="AF210" s="3911"/>
      <c r="AG210" s="3911"/>
      <c r="AH210" s="3911"/>
      <c r="AI210" s="3911"/>
      <c r="AJ210" s="3911"/>
      <c r="AK210" s="3912"/>
      <c r="AL210" s="3914"/>
      <c r="AP210" s="3914"/>
      <c r="AQ210" s="3910"/>
      <c r="AR210" s="3911"/>
      <c r="AS210" s="3911"/>
      <c r="AT210" s="3911"/>
      <c r="AU210" s="3911"/>
      <c r="AV210" s="3911"/>
      <c r="AW210" s="3911"/>
      <c r="AX210" s="3911"/>
      <c r="AY210" s="3911"/>
      <c r="AZ210" s="3912"/>
      <c r="BA210" s="3396"/>
      <c r="BG210" s="3914"/>
      <c r="BH210" s="3910"/>
      <c r="BI210" s="3911"/>
      <c r="BJ210" s="3911"/>
      <c r="BK210" s="3911"/>
      <c r="BL210" s="3911"/>
      <c r="BM210" s="3911"/>
      <c r="BN210" s="3911"/>
      <c r="BO210" s="3911"/>
      <c r="BP210" s="3911"/>
      <c r="BQ210" s="3911"/>
      <c r="BR210" s="3911"/>
      <c r="BS210" s="3911"/>
      <c r="BT210" s="3911"/>
      <c r="BU210" s="3911"/>
      <c r="BV210" s="3911"/>
      <c r="BW210" s="3912"/>
      <c r="BX210" s="3396"/>
    </row>
    <row r="211" spans="4:76" ht="17.100000000000001" customHeight="1" x14ac:dyDescent="0.15">
      <c r="D211" s="3396"/>
      <c r="E211" s="3907"/>
      <c r="F211" s="3908"/>
      <c r="G211" s="3908"/>
      <c r="H211" s="3908"/>
      <c r="I211" s="3908"/>
      <c r="J211" s="3908"/>
      <c r="K211" s="3908"/>
      <c r="L211" s="3908"/>
      <c r="M211" s="3908"/>
      <c r="N211" s="3908"/>
      <c r="O211" s="3908"/>
      <c r="P211" s="3908"/>
      <c r="Q211" s="3908"/>
      <c r="R211" s="3908"/>
      <c r="S211" s="3908"/>
      <c r="T211" s="3909"/>
      <c r="U211" s="3913"/>
      <c r="AA211" s="3396"/>
      <c r="AB211" s="3907"/>
      <c r="AC211" s="3908"/>
      <c r="AD211" s="3908"/>
      <c r="AE211" s="3908"/>
      <c r="AF211" s="3908"/>
      <c r="AG211" s="3908"/>
      <c r="AH211" s="3908"/>
      <c r="AI211" s="3908"/>
      <c r="AJ211" s="3908"/>
      <c r="AK211" s="3909"/>
      <c r="AL211" s="3913"/>
      <c r="AP211" s="3914"/>
      <c r="AQ211" s="3907"/>
      <c r="AR211" s="3908"/>
      <c r="AS211" s="3908"/>
      <c r="AT211" s="3908"/>
      <c r="AU211" s="3908"/>
      <c r="AV211" s="3908"/>
      <c r="AW211" s="3908"/>
      <c r="AX211" s="3908"/>
      <c r="AY211" s="3908"/>
      <c r="AZ211" s="3909"/>
      <c r="BA211" s="3396"/>
      <c r="BG211" s="3914"/>
      <c r="BH211" s="3907"/>
      <c r="BI211" s="3908"/>
      <c r="BJ211" s="3908"/>
      <c r="BK211" s="3908"/>
      <c r="BL211" s="3908"/>
      <c r="BM211" s="3908"/>
      <c r="BN211" s="3908"/>
      <c r="BO211" s="3908"/>
      <c r="BP211" s="3908"/>
      <c r="BQ211" s="3908"/>
      <c r="BR211" s="3908"/>
      <c r="BS211" s="3908"/>
      <c r="BT211" s="3908"/>
      <c r="BU211" s="3908"/>
      <c r="BV211" s="3908"/>
      <c r="BW211" s="3909"/>
      <c r="BX211" s="3396"/>
    </row>
    <row r="212" spans="4:76" ht="17.100000000000001" customHeight="1" x14ac:dyDescent="0.15">
      <c r="D212" s="3396"/>
      <c r="E212" s="3910"/>
      <c r="F212" s="3911"/>
      <c r="G212" s="3911"/>
      <c r="H212" s="3911"/>
      <c r="I212" s="3911"/>
      <c r="J212" s="3911"/>
      <c r="K212" s="3911"/>
      <c r="L212" s="3911"/>
      <c r="M212" s="3911"/>
      <c r="N212" s="3911"/>
      <c r="O212" s="3911"/>
      <c r="P212" s="3911"/>
      <c r="Q212" s="3911"/>
      <c r="R212" s="3911"/>
      <c r="S212" s="3911"/>
      <c r="T212" s="3912"/>
      <c r="U212" s="3914"/>
      <c r="AA212" s="3396"/>
      <c r="AB212" s="3910"/>
      <c r="AC212" s="3911"/>
      <c r="AD212" s="3911"/>
      <c r="AE212" s="3911"/>
      <c r="AF212" s="3911"/>
      <c r="AG212" s="3911"/>
      <c r="AH212" s="3911"/>
      <c r="AI212" s="3911"/>
      <c r="AJ212" s="3911"/>
      <c r="AK212" s="3912"/>
      <c r="AL212" s="3914"/>
      <c r="AP212" s="3914"/>
      <c r="AQ212" s="3910"/>
      <c r="AR212" s="3911"/>
      <c r="AS212" s="3911"/>
      <c r="AT212" s="3911"/>
      <c r="AU212" s="3911"/>
      <c r="AV212" s="3911"/>
      <c r="AW212" s="3911"/>
      <c r="AX212" s="3911"/>
      <c r="AY212" s="3911"/>
      <c r="AZ212" s="3912"/>
      <c r="BA212" s="3396"/>
      <c r="BG212" s="3914"/>
      <c r="BH212" s="3910"/>
      <c r="BI212" s="3911"/>
      <c r="BJ212" s="3911"/>
      <c r="BK212" s="3911"/>
      <c r="BL212" s="3911"/>
      <c r="BM212" s="3911"/>
      <c r="BN212" s="3911"/>
      <c r="BO212" s="3911"/>
      <c r="BP212" s="3911"/>
      <c r="BQ212" s="3911"/>
      <c r="BR212" s="3911"/>
      <c r="BS212" s="3911"/>
      <c r="BT212" s="3911"/>
      <c r="BU212" s="3911"/>
      <c r="BV212" s="3911"/>
      <c r="BW212" s="3912"/>
      <c r="BX212" s="3396"/>
    </row>
    <row r="213" spans="4:76" ht="17.100000000000001" customHeight="1" x14ac:dyDescent="0.15">
      <c r="D213" s="3396"/>
      <c r="E213" s="3907"/>
      <c r="F213" s="3908"/>
      <c r="G213" s="3908"/>
      <c r="H213" s="3908"/>
      <c r="I213" s="3908"/>
      <c r="J213" s="3908"/>
      <c r="K213" s="3908"/>
      <c r="L213" s="3908"/>
      <c r="M213" s="3908"/>
      <c r="N213" s="3908"/>
      <c r="O213" s="3908"/>
      <c r="P213" s="3908"/>
      <c r="Q213" s="3908"/>
      <c r="R213" s="3908"/>
      <c r="S213" s="3908"/>
      <c r="T213" s="3909"/>
      <c r="U213" s="3913"/>
      <c r="AA213" s="3396"/>
      <c r="AB213" s="3907"/>
      <c r="AC213" s="3908"/>
      <c r="AD213" s="3908"/>
      <c r="AE213" s="3908"/>
      <c r="AF213" s="3908"/>
      <c r="AG213" s="3908"/>
      <c r="AH213" s="3908"/>
      <c r="AI213" s="3908"/>
      <c r="AJ213" s="3908"/>
      <c r="AK213" s="3909"/>
      <c r="AL213" s="3913"/>
      <c r="AP213" s="3914"/>
      <c r="AQ213" s="3907"/>
      <c r="AR213" s="3908"/>
      <c r="AS213" s="3908"/>
      <c r="AT213" s="3908"/>
      <c r="AU213" s="3908"/>
      <c r="AV213" s="3908"/>
      <c r="AW213" s="3908"/>
      <c r="AX213" s="3908"/>
      <c r="AY213" s="3908"/>
      <c r="AZ213" s="3909"/>
      <c r="BA213" s="3396"/>
      <c r="BG213" s="3914"/>
      <c r="BH213" s="3907"/>
      <c r="BI213" s="3908"/>
      <c r="BJ213" s="3908"/>
      <c r="BK213" s="3908"/>
      <c r="BL213" s="3908"/>
      <c r="BM213" s="3908"/>
      <c r="BN213" s="3908"/>
      <c r="BO213" s="3908"/>
      <c r="BP213" s="3908"/>
      <c r="BQ213" s="3908"/>
      <c r="BR213" s="3908"/>
      <c r="BS213" s="3908"/>
      <c r="BT213" s="3908"/>
      <c r="BU213" s="3908"/>
      <c r="BV213" s="3908"/>
      <c r="BW213" s="3909"/>
      <c r="BX213" s="3396"/>
    </row>
    <row r="214" spans="4:76" ht="17.100000000000001" customHeight="1" x14ac:dyDescent="0.15">
      <c r="D214" s="3396"/>
      <c r="E214" s="3910"/>
      <c r="F214" s="3911"/>
      <c r="G214" s="3911"/>
      <c r="H214" s="3911"/>
      <c r="I214" s="3911"/>
      <c r="J214" s="3911"/>
      <c r="K214" s="3911"/>
      <c r="L214" s="3911"/>
      <c r="M214" s="3911"/>
      <c r="N214" s="3911"/>
      <c r="O214" s="3911"/>
      <c r="P214" s="3911"/>
      <c r="Q214" s="3911"/>
      <c r="R214" s="3911"/>
      <c r="S214" s="3911"/>
      <c r="T214" s="3912"/>
      <c r="U214" s="3914"/>
      <c r="AA214" s="3396"/>
      <c r="AB214" s="3910"/>
      <c r="AC214" s="3911"/>
      <c r="AD214" s="3911"/>
      <c r="AE214" s="3911"/>
      <c r="AF214" s="3911"/>
      <c r="AG214" s="3911"/>
      <c r="AH214" s="3911"/>
      <c r="AI214" s="3911"/>
      <c r="AJ214" s="3911"/>
      <c r="AK214" s="3912"/>
      <c r="AL214" s="3914"/>
      <c r="AP214" s="3914"/>
      <c r="AQ214" s="3910"/>
      <c r="AR214" s="3911"/>
      <c r="AS214" s="3911"/>
      <c r="AT214" s="3911"/>
      <c r="AU214" s="3911"/>
      <c r="AV214" s="3911"/>
      <c r="AW214" s="3911"/>
      <c r="AX214" s="3911"/>
      <c r="AY214" s="3911"/>
      <c r="AZ214" s="3912"/>
      <c r="BA214" s="3396"/>
      <c r="BG214" s="3914"/>
      <c r="BH214" s="3910"/>
      <c r="BI214" s="3911"/>
      <c r="BJ214" s="3911"/>
      <c r="BK214" s="3911"/>
      <c r="BL214" s="3911"/>
      <c r="BM214" s="3911"/>
      <c r="BN214" s="3911"/>
      <c r="BO214" s="3911"/>
      <c r="BP214" s="3911"/>
      <c r="BQ214" s="3911"/>
      <c r="BR214" s="3911"/>
      <c r="BS214" s="3911"/>
      <c r="BT214" s="3911"/>
      <c r="BU214" s="3911"/>
      <c r="BV214" s="3911"/>
      <c r="BW214" s="3912"/>
      <c r="BX214" s="3396"/>
    </row>
    <row r="215" spans="4:76" ht="17.100000000000001" customHeight="1" x14ac:dyDescent="0.15">
      <c r="D215" s="3396"/>
      <c r="E215" s="3907"/>
      <c r="F215" s="3908"/>
      <c r="G215" s="3908"/>
      <c r="H215" s="3908"/>
      <c r="I215" s="3908"/>
      <c r="J215" s="3908"/>
      <c r="K215" s="3908"/>
      <c r="L215" s="3908"/>
      <c r="M215" s="3908"/>
      <c r="N215" s="3908"/>
      <c r="O215" s="3908"/>
      <c r="P215" s="3908"/>
      <c r="Q215" s="3908"/>
      <c r="R215" s="3908"/>
      <c r="S215" s="3908"/>
      <c r="T215" s="3909"/>
      <c r="U215" s="3913"/>
      <c r="AA215" s="3396"/>
      <c r="AB215" s="3907"/>
      <c r="AC215" s="3908"/>
      <c r="AD215" s="3908"/>
      <c r="AE215" s="3908"/>
      <c r="AF215" s="3908"/>
      <c r="AG215" s="3908"/>
      <c r="AH215" s="3908"/>
      <c r="AI215" s="3908"/>
      <c r="AJ215" s="3908"/>
      <c r="AK215" s="3909"/>
      <c r="AL215" s="3913"/>
      <c r="AP215" s="3914"/>
      <c r="AQ215" s="3907"/>
      <c r="AR215" s="3908"/>
      <c r="AS215" s="3908"/>
      <c r="AT215" s="3908"/>
      <c r="AU215" s="3908"/>
      <c r="AV215" s="3908"/>
      <c r="AW215" s="3908"/>
      <c r="AX215" s="3908"/>
      <c r="AY215" s="3908"/>
      <c r="AZ215" s="3909"/>
      <c r="BA215" s="3396"/>
      <c r="BG215" s="3914"/>
      <c r="BH215" s="3907"/>
      <c r="BI215" s="3908"/>
      <c r="BJ215" s="3908"/>
      <c r="BK215" s="3908"/>
      <c r="BL215" s="3908"/>
      <c r="BM215" s="3908"/>
      <c r="BN215" s="3908"/>
      <c r="BO215" s="3908"/>
      <c r="BP215" s="3908"/>
      <c r="BQ215" s="3908"/>
      <c r="BR215" s="3908"/>
      <c r="BS215" s="3908"/>
      <c r="BT215" s="3908"/>
      <c r="BU215" s="3908"/>
      <c r="BV215" s="3908"/>
      <c r="BW215" s="3909"/>
      <c r="BX215" s="3396"/>
    </row>
    <row r="216" spans="4:76" ht="17.100000000000001" customHeight="1" x14ac:dyDescent="0.15">
      <c r="D216" s="3396"/>
      <c r="E216" s="3910"/>
      <c r="F216" s="3911"/>
      <c r="G216" s="3911"/>
      <c r="H216" s="3911"/>
      <c r="I216" s="3911"/>
      <c r="J216" s="3911"/>
      <c r="K216" s="3911"/>
      <c r="L216" s="3911"/>
      <c r="M216" s="3911"/>
      <c r="N216" s="3911"/>
      <c r="O216" s="3911"/>
      <c r="P216" s="3911"/>
      <c r="Q216" s="3911"/>
      <c r="R216" s="3911"/>
      <c r="S216" s="3911"/>
      <c r="T216" s="3912"/>
      <c r="U216" s="3914"/>
      <c r="AA216" s="3396"/>
      <c r="AB216" s="3910"/>
      <c r="AC216" s="3911"/>
      <c r="AD216" s="3911"/>
      <c r="AE216" s="3911"/>
      <c r="AF216" s="3911"/>
      <c r="AG216" s="3911"/>
      <c r="AH216" s="3911"/>
      <c r="AI216" s="3911"/>
      <c r="AJ216" s="3911"/>
      <c r="AK216" s="3912"/>
      <c r="AL216" s="3914"/>
      <c r="AP216" s="3914"/>
      <c r="AQ216" s="3910"/>
      <c r="AR216" s="3911"/>
      <c r="AS216" s="3911"/>
      <c r="AT216" s="3911"/>
      <c r="AU216" s="3911"/>
      <c r="AV216" s="3911"/>
      <c r="AW216" s="3911"/>
      <c r="AX216" s="3911"/>
      <c r="AY216" s="3911"/>
      <c r="AZ216" s="3912"/>
      <c r="BA216" s="3396"/>
      <c r="BG216" s="3914"/>
      <c r="BH216" s="3910"/>
      <c r="BI216" s="3911"/>
      <c r="BJ216" s="3911"/>
      <c r="BK216" s="3911"/>
      <c r="BL216" s="3911"/>
      <c r="BM216" s="3911"/>
      <c r="BN216" s="3911"/>
      <c r="BO216" s="3911"/>
      <c r="BP216" s="3911"/>
      <c r="BQ216" s="3911"/>
      <c r="BR216" s="3911"/>
      <c r="BS216" s="3911"/>
      <c r="BT216" s="3911"/>
      <c r="BU216" s="3911"/>
      <c r="BV216" s="3911"/>
      <c r="BW216" s="3912"/>
      <c r="BX216" s="3396"/>
    </row>
    <row r="217" spans="4:76" ht="17.100000000000001" customHeight="1" x14ac:dyDescent="0.15">
      <c r="D217" s="3396"/>
      <c r="E217" s="3907"/>
      <c r="F217" s="3908"/>
      <c r="G217" s="3908"/>
      <c r="H217" s="3908"/>
      <c r="I217" s="3908"/>
      <c r="J217" s="3908"/>
      <c r="K217" s="3908"/>
      <c r="L217" s="3908"/>
      <c r="M217" s="3908"/>
      <c r="N217" s="3908"/>
      <c r="O217" s="3908"/>
      <c r="P217" s="3908"/>
      <c r="Q217" s="3908"/>
      <c r="R217" s="3908"/>
      <c r="S217" s="3908"/>
      <c r="T217" s="3909"/>
      <c r="U217" s="3913"/>
      <c r="AA217" s="3396"/>
      <c r="AB217" s="3907"/>
      <c r="AC217" s="3908"/>
      <c r="AD217" s="3908"/>
      <c r="AE217" s="3908"/>
      <c r="AF217" s="3908"/>
      <c r="AG217" s="3908"/>
      <c r="AH217" s="3908"/>
      <c r="AI217" s="3908"/>
      <c r="AJ217" s="3908"/>
      <c r="AK217" s="3909"/>
      <c r="AL217" s="3913"/>
      <c r="AP217" s="3914"/>
      <c r="AQ217" s="3907"/>
      <c r="AR217" s="3908"/>
      <c r="AS217" s="3908"/>
      <c r="AT217" s="3908"/>
      <c r="AU217" s="3908"/>
      <c r="AV217" s="3908"/>
      <c r="AW217" s="3908"/>
      <c r="AX217" s="3908"/>
      <c r="AY217" s="3908"/>
      <c r="AZ217" s="3909"/>
      <c r="BA217" s="3396"/>
      <c r="BG217" s="3914"/>
      <c r="BH217" s="3907"/>
      <c r="BI217" s="3908"/>
      <c r="BJ217" s="3908"/>
      <c r="BK217" s="3908"/>
      <c r="BL217" s="3908"/>
      <c r="BM217" s="3908"/>
      <c r="BN217" s="3908"/>
      <c r="BO217" s="3908"/>
      <c r="BP217" s="3908"/>
      <c r="BQ217" s="3908"/>
      <c r="BR217" s="3908"/>
      <c r="BS217" s="3908"/>
      <c r="BT217" s="3908"/>
      <c r="BU217" s="3908"/>
      <c r="BV217" s="3908"/>
      <c r="BW217" s="3909"/>
      <c r="BX217" s="3396"/>
    </row>
    <row r="218" spans="4:76" ht="17.100000000000001" customHeight="1" x14ac:dyDescent="0.15">
      <c r="D218" s="3396"/>
      <c r="E218" s="3910"/>
      <c r="F218" s="3911"/>
      <c r="G218" s="3911"/>
      <c r="H218" s="3911"/>
      <c r="I218" s="3911"/>
      <c r="J218" s="3911"/>
      <c r="K218" s="3911"/>
      <c r="L218" s="3911"/>
      <c r="M218" s="3911"/>
      <c r="N218" s="3911"/>
      <c r="O218" s="3911"/>
      <c r="P218" s="3911"/>
      <c r="Q218" s="3911"/>
      <c r="R218" s="3911"/>
      <c r="S218" s="3911"/>
      <c r="T218" s="3912"/>
      <c r="U218" s="3914"/>
      <c r="AA218" s="3396"/>
      <c r="AB218" s="3910"/>
      <c r="AC218" s="3911"/>
      <c r="AD218" s="3911"/>
      <c r="AE218" s="3911"/>
      <c r="AF218" s="3911"/>
      <c r="AG218" s="3911"/>
      <c r="AH218" s="3911"/>
      <c r="AI218" s="3911"/>
      <c r="AJ218" s="3911"/>
      <c r="AK218" s="3912"/>
      <c r="AL218" s="3914"/>
      <c r="AP218" s="3914"/>
      <c r="AQ218" s="3910"/>
      <c r="AR218" s="3911"/>
      <c r="AS218" s="3911"/>
      <c r="AT218" s="3911"/>
      <c r="AU218" s="3911"/>
      <c r="AV218" s="3911"/>
      <c r="AW218" s="3911"/>
      <c r="AX218" s="3911"/>
      <c r="AY218" s="3911"/>
      <c r="AZ218" s="3912"/>
      <c r="BA218" s="3396"/>
      <c r="BG218" s="3914"/>
      <c r="BH218" s="3910"/>
      <c r="BI218" s="3911"/>
      <c r="BJ218" s="3911"/>
      <c r="BK218" s="3911"/>
      <c r="BL218" s="3911"/>
      <c r="BM218" s="3911"/>
      <c r="BN218" s="3911"/>
      <c r="BO218" s="3911"/>
      <c r="BP218" s="3911"/>
      <c r="BQ218" s="3911"/>
      <c r="BR218" s="3911"/>
      <c r="BS218" s="3911"/>
      <c r="BT218" s="3911"/>
      <c r="BU218" s="3911"/>
      <c r="BV218" s="3911"/>
      <c r="BW218" s="3912"/>
      <c r="BX218" s="3396"/>
    </row>
    <row r="219" spans="4:76" ht="17.100000000000001" customHeight="1" x14ac:dyDescent="0.15">
      <c r="D219" s="3396"/>
      <c r="E219" s="3907"/>
      <c r="F219" s="3908"/>
      <c r="G219" s="3908"/>
      <c r="H219" s="3908"/>
      <c r="I219" s="3908"/>
      <c r="J219" s="3908"/>
      <c r="K219" s="3908"/>
      <c r="L219" s="3908"/>
      <c r="M219" s="3908"/>
      <c r="N219" s="3908"/>
      <c r="O219" s="3908"/>
      <c r="P219" s="3908"/>
      <c r="Q219" s="3908"/>
      <c r="R219" s="3908"/>
      <c r="S219" s="3908"/>
      <c r="T219" s="3909"/>
      <c r="U219" s="3913"/>
      <c r="AA219" s="3396"/>
      <c r="AB219" s="3907"/>
      <c r="AC219" s="3908"/>
      <c r="AD219" s="3908"/>
      <c r="AE219" s="3908"/>
      <c r="AF219" s="3908"/>
      <c r="AG219" s="3908"/>
      <c r="AH219" s="3908"/>
      <c r="AI219" s="3908"/>
      <c r="AJ219" s="3908"/>
      <c r="AK219" s="3909"/>
      <c r="AL219" s="3913"/>
      <c r="AP219" s="3914"/>
      <c r="AQ219" s="3907"/>
      <c r="AR219" s="3908"/>
      <c r="AS219" s="3908"/>
      <c r="AT219" s="3908"/>
      <c r="AU219" s="3908"/>
      <c r="AV219" s="3908"/>
      <c r="AW219" s="3908"/>
      <c r="AX219" s="3908"/>
      <c r="AY219" s="3908"/>
      <c r="AZ219" s="3909"/>
      <c r="BA219" s="3396"/>
      <c r="BG219" s="3914"/>
      <c r="BH219" s="3907"/>
      <c r="BI219" s="3908"/>
      <c r="BJ219" s="3908"/>
      <c r="BK219" s="3908"/>
      <c r="BL219" s="3908"/>
      <c r="BM219" s="3908"/>
      <c r="BN219" s="3908"/>
      <c r="BO219" s="3908"/>
      <c r="BP219" s="3908"/>
      <c r="BQ219" s="3908"/>
      <c r="BR219" s="3908"/>
      <c r="BS219" s="3908"/>
      <c r="BT219" s="3908"/>
      <c r="BU219" s="3908"/>
      <c r="BV219" s="3908"/>
      <c r="BW219" s="3909"/>
      <c r="BX219" s="3396"/>
    </row>
    <row r="220" spans="4:76" ht="17.100000000000001" customHeight="1" x14ac:dyDescent="0.15">
      <c r="D220" s="3396"/>
      <c r="E220" s="3910"/>
      <c r="F220" s="3911"/>
      <c r="G220" s="3911"/>
      <c r="H220" s="3911"/>
      <c r="I220" s="3911"/>
      <c r="J220" s="3911"/>
      <c r="K220" s="3911"/>
      <c r="L220" s="3911"/>
      <c r="M220" s="3911"/>
      <c r="N220" s="3911"/>
      <c r="O220" s="3911"/>
      <c r="P220" s="3911"/>
      <c r="Q220" s="3911"/>
      <c r="R220" s="3911"/>
      <c r="S220" s="3911"/>
      <c r="T220" s="3912"/>
      <c r="U220" s="3914"/>
      <c r="AA220" s="3396"/>
      <c r="AB220" s="3910"/>
      <c r="AC220" s="3911"/>
      <c r="AD220" s="3911"/>
      <c r="AE220" s="3911"/>
      <c r="AF220" s="3911"/>
      <c r="AG220" s="3911"/>
      <c r="AH220" s="3911"/>
      <c r="AI220" s="3911"/>
      <c r="AJ220" s="3911"/>
      <c r="AK220" s="3912"/>
      <c r="AL220" s="3914"/>
      <c r="AP220" s="3914"/>
      <c r="AQ220" s="3910"/>
      <c r="AR220" s="3911"/>
      <c r="AS220" s="3911"/>
      <c r="AT220" s="3911"/>
      <c r="AU220" s="3911"/>
      <c r="AV220" s="3911"/>
      <c r="AW220" s="3911"/>
      <c r="AX220" s="3911"/>
      <c r="AY220" s="3911"/>
      <c r="AZ220" s="3912"/>
      <c r="BA220" s="3396"/>
      <c r="BG220" s="3914"/>
      <c r="BH220" s="3910"/>
      <c r="BI220" s="3911"/>
      <c r="BJ220" s="3911"/>
      <c r="BK220" s="3911"/>
      <c r="BL220" s="3911"/>
      <c r="BM220" s="3911"/>
      <c r="BN220" s="3911"/>
      <c r="BO220" s="3911"/>
      <c r="BP220" s="3911"/>
      <c r="BQ220" s="3911"/>
      <c r="BR220" s="3911"/>
      <c r="BS220" s="3911"/>
      <c r="BT220" s="3911"/>
      <c r="BU220" s="3911"/>
      <c r="BV220" s="3911"/>
      <c r="BW220" s="3912"/>
      <c r="BX220" s="3396"/>
    </row>
    <row r="221" spans="4:76" ht="17.100000000000001" customHeight="1" x14ac:dyDescent="0.15">
      <c r="D221" s="3396"/>
      <c r="E221" s="3907"/>
      <c r="F221" s="3908"/>
      <c r="G221" s="3908"/>
      <c r="H221" s="3908"/>
      <c r="I221" s="3908"/>
      <c r="J221" s="3908"/>
      <c r="K221" s="3908"/>
      <c r="L221" s="3908"/>
      <c r="M221" s="3908"/>
      <c r="N221" s="3908"/>
      <c r="O221" s="3908"/>
      <c r="P221" s="3908"/>
      <c r="Q221" s="3908"/>
      <c r="R221" s="3908"/>
      <c r="S221" s="3908"/>
      <c r="T221" s="3909"/>
      <c r="U221" s="3913"/>
      <c r="AA221" s="3396"/>
      <c r="AB221" s="3907"/>
      <c r="AC221" s="3908"/>
      <c r="AD221" s="3908"/>
      <c r="AE221" s="3908"/>
      <c r="AF221" s="3908"/>
      <c r="AG221" s="3908"/>
      <c r="AH221" s="3908"/>
      <c r="AI221" s="3908"/>
      <c r="AJ221" s="3908"/>
      <c r="AK221" s="3909"/>
      <c r="AL221" s="3913"/>
      <c r="AP221" s="3914"/>
      <c r="AQ221" s="3907"/>
      <c r="AR221" s="3908"/>
      <c r="AS221" s="3908"/>
      <c r="AT221" s="3908"/>
      <c r="AU221" s="3908"/>
      <c r="AV221" s="3908"/>
      <c r="AW221" s="3908"/>
      <c r="AX221" s="3908"/>
      <c r="AY221" s="3908"/>
      <c r="AZ221" s="3909"/>
      <c r="BA221" s="3396"/>
      <c r="BG221" s="3914"/>
      <c r="BH221" s="3907"/>
      <c r="BI221" s="3908"/>
      <c r="BJ221" s="3908"/>
      <c r="BK221" s="3908"/>
      <c r="BL221" s="3908"/>
      <c r="BM221" s="3908"/>
      <c r="BN221" s="3908"/>
      <c r="BO221" s="3908"/>
      <c r="BP221" s="3908"/>
      <c r="BQ221" s="3908"/>
      <c r="BR221" s="3908"/>
      <c r="BS221" s="3908"/>
      <c r="BT221" s="3908"/>
      <c r="BU221" s="3908"/>
      <c r="BV221" s="3908"/>
      <c r="BW221" s="3909"/>
      <c r="BX221" s="3396"/>
    </row>
    <row r="222" spans="4:76" ht="17.100000000000001" customHeight="1" x14ac:dyDescent="0.15">
      <c r="D222" s="3396"/>
      <c r="E222" s="3910"/>
      <c r="F222" s="3911"/>
      <c r="G222" s="3911"/>
      <c r="H222" s="3911"/>
      <c r="I222" s="3911"/>
      <c r="J222" s="3911"/>
      <c r="K222" s="3911"/>
      <c r="L222" s="3911"/>
      <c r="M222" s="3911"/>
      <c r="N222" s="3911"/>
      <c r="O222" s="3911"/>
      <c r="P222" s="3911"/>
      <c r="Q222" s="3911"/>
      <c r="R222" s="3911"/>
      <c r="S222" s="3911"/>
      <c r="T222" s="3912"/>
      <c r="U222" s="3914"/>
      <c r="AA222" s="3396"/>
      <c r="AB222" s="3910"/>
      <c r="AC222" s="3911"/>
      <c r="AD222" s="3911"/>
      <c r="AE222" s="3911"/>
      <c r="AF222" s="3911"/>
      <c r="AG222" s="3911"/>
      <c r="AH222" s="3911"/>
      <c r="AI222" s="3911"/>
      <c r="AJ222" s="3911"/>
      <c r="AK222" s="3912"/>
      <c r="AL222" s="3914"/>
      <c r="AP222" s="3914"/>
      <c r="AQ222" s="3910"/>
      <c r="AR222" s="3911"/>
      <c r="AS222" s="3911"/>
      <c r="AT222" s="3911"/>
      <c r="AU222" s="3911"/>
      <c r="AV222" s="3911"/>
      <c r="AW222" s="3911"/>
      <c r="AX222" s="3911"/>
      <c r="AY222" s="3911"/>
      <c r="AZ222" s="3912"/>
      <c r="BA222" s="3396"/>
      <c r="BG222" s="3914"/>
      <c r="BH222" s="3910"/>
      <c r="BI222" s="3911"/>
      <c r="BJ222" s="3911"/>
      <c r="BK222" s="3911"/>
      <c r="BL222" s="3911"/>
      <c r="BM222" s="3911"/>
      <c r="BN222" s="3911"/>
      <c r="BO222" s="3911"/>
      <c r="BP222" s="3911"/>
      <c r="BQ222" s="3911"/>
      <c r="BR222" s="3911"/>
      <c r="BS222" s="3911"/>
      <c r="BT222" s="3911"/>
      <c r="BU222" s="3911"/>
      <c r="BV222" s="3911"/>
      <c r="BW222" s="3912"/>
      <c r="BX222" s="3396"/>
    </row>
    <row r="223" spans="4:76" ht="17.100000000000001" customHeight="1" x14ac:dyDescent="0.15">
      <c r="D223" s="3396"/>
      <c r="E223" s="3907"/>
      <c r="F223" s="3908"/>
      <c r="G223" s="3908"/>
      <c r="H223" s="3908"/>
      <c r="I223" s="3908"/>
      <c r="J223" s="3908"/>
      <c r="K223" s="3908"/>
      <c r="L223" s="3908"/>
      <c r="M223" s="3908"/>
      <c r="N223" s="3908"/>
      <c r="O223" s="3908"/>
      <c r="P223" s="3908"/>
      <c r="Q223" s="3908"/>
      <c r="R223" s="3908"/>
      <c r="S223" s="3908"/>
      <c r="T223" s="3909"/>
      <c r="U223" s="3913"/>
      <c r="AA223" s="3396"/>
      <c r="AB223" s="3907"/>
      <c r="AC223" s="3908"/>
      <c r="AD223" s="3908"/>
      <c r="AE223" s="3908"/>
      <c r="AF223" s="3908"/>
      <c r="AG223" s="3908"/>
      <c r="AH223" s="3908"/>
      <c r="AI223" s="3908"/>
      <c r="AJ223" s="3908"/>
      <c r="AK223" s="3909"/>
      <c r="AL223" s="3913"/>
      <c r="AP223" s="3914"/>
      <c r="AQ223" s="3907"/>
      <c r="AR223" s="3908"/>
      <c r="AS223" s="3908"/>
      <c r="AT223" s="3908"/>
      <c r="AU223" s="3908"/>
      <c r="AV223" s="3908"/>
      <c r="AW223" s="3908"/>
      <c r="AX223" s="3908"/>
      <c r="AY223" s="3908"/>
      <c r="AZ223" s="3909"/>
      <c r="BA223" s="3396"/>
      <c r="BG223" s="3914"/>
      <c r="BH223" s="3907"/>
      <c r="BI223" s="3908"/>
      <c r="BJ223" s="3908"/>
      <c r="BK223" s="3908"/>
      <c r="BL223" s="3908"/>
      <c r="BM223" s="3908"/>
      <c r="BN223" s="3908"/>
      <c r="BO223" s="3908"/>
      <c r="BP223" s="3908"/>
      <c r="BQ223" s="3908"/>
      <c r="BR223" s="3908"/>
      <c r="BS223" s="3908"/>
      <c r="BT223" s="3908"/>
      <c r="BU223" s="3908"/>
      <c r="BV223" s="3908"/>
      <c r="BW223" s="3909"/>
      <c r="BX223" s="3396"/>
    </row>
    <row r="224" spans="4:76" ht="17.100000000000001" customHeight="1" x14ac:dyDescent="0.15">
      <c r="D224" s="3396"/>
      <c r="E224" s="3910"/>
      <c r="F224" s="3911"/>
      <c r="G224" s="3911"/>
      <c r="H224" s="3911"/>
      <c r="I224" s="3911"/>
      <c r="J224" s="3911"/>
      <c r="K224" s="3911"/>
      <c r="L224" s="3911"/>
      <c r="M224" s="3911"/>
      <c r="N224" s="3911"/>
      <c r="O224" s="3911"/>
      <c r="P224" s="3911"/>
      <c r="Q224" s="3911"/>
      <c r="R224" s="3911"/>
      <c r="S224" s="3911"/>
      <c r="T224" s="3912"/>
      <c r="U224" s="3914"/>
      <c r="AA224" s="3396"/>
      <c r="AB224" s="3910"/>
      <c r="AC224" s="3911"/>
      <c r="AD224" s="3911"/>
      <c r="AE224" s="3911"/>
      <c r="AF224" s="3911"/>
      <c r="AG224" s="3911"/>
      <c r="AH224" s="3911"/>
      <c r="AI224" s="3911"/>
      <c r="AJ224" s="3911"/>
      <c r="AK224" s="3912"/>
      <c r="AL224" s="3914"/>
      <c r="AP224" s="3914"/>
      <c r="AQ224" s="3910"/>
      <c r="AR224" s="3911"/>
      <c r="AS224" s="3911"/>
      <c r="AT224" s="3911"/>
      <c r="AU224" s="3911"/>
      <c r="AV224" s="3911"/>
      <c r="AW224" s="3911"/>
      <c r="AX224" s="3911"/>
      <c r="AY224" s="3911"/>
      <c r="AZ224" s="3912"/>
      <c r="BA224" s="3396"/>
      <c r="BG224" s="3914"/>
      <c r="BH224" s="3910"/>
      <c r="BI224" s="3911"/>
      <c r="BJ224" s="3911"/>
      <c r="BK224" s="3911"/>
      <c r="BL224" s="3911"/>
      <c r="BM224" s="3911"/>
      <c r="BN224" s="3911"/>
      <c r="BO224" s="3911"/>
      <c r="BP224" s="3911"/>
      <c r="BQ224" s="3911"/>
      <c r="BR224" s="3911"/>
      <c r="BS224" s="3911"/>
      <c r="BT224" s="3911"/>
      <c r="BU224" s="3911"/>
      <c r="BV224" s="3911"/>
      <c r="BW224" s="3912"/>
      <c r="BX224" s="3396"/>
    </row>
    <row r="225" spans="4:76" ht="17.100000000000001" customHeight="1" x14ac:dyDescent="0.15">
      <c r="D225" s="3396"/>
      <c r="E225" s="3907"/>
      <c r="F225" s="3908"/>
      <c r="G225" s="3908"/>
      <c r="H225" s="3908"/>
      <c r="I225" s="3908"/>
      <c r="J225" s="3908"/>
      <c r="K225" s="3908"/>
      <c r="L225" s="3908"/>
      <c r="M225" s="3908"/>
      <c r="N225" s="3908"/>
      <c r="O225" s="3908"/>
      <c r="P225" s="3908"/>
      <c r="Q225" s="3908"/>
      <c r="R225" s="3908"/>
      <c r="S225" s="3908"/>
      <c r="T225" s="3909"/>
      <c r="U225" s="3913"/>
      <c r="AA225" s="3396"/>
      <c r="AB225" s="3907"/>
      <c r="AC225" s="3908"/>
      <c r="AD225" s="3908"/>
      <c r="AE225" s="3908"/>
      <c r="AF225" s="3908"/>
      <c r="AG225" s="3908"/>
      <c r="AH225" s="3908"/>
      <c r="AI225" s="3908"/>
      <c r="AJ225" s="3908"/>
      <c r="AK225" s="3909"/>
      <c r="AL225" s="3913"/>
      <c r="AP225" s="3914"/>
      <c r="AQ225" s="3907"/>
      <c r="AR225" s="3908"/>
      <c r="AS225" s="3908"/>
      <c r="AT225" s="3908"/>
      <c r="AU225" s="3908"/>
      <c r="AV225" s="3908"/>
      <c r="AW225" s="3908"/>
      <c r="AX225" s="3908"/>
      <c r="AY225" s="3908"/>
      <c r="AZ225" s="3909"/>
      <c r="BA225" s="3396"/>
      <c r="BG225" s="3914"/>
      <c r="BH225" s="3907"/>
      <c r="BI225" s="3908"/>
      <c r="BJ225" s="3908"/>
      <c r="BK225" s="3908"/>
      <c r="BL225" s="3908"/>
      <c r="BM225" s="3908"/>
      <c r="BN225" s="3908"/>
      <c r="BO225" s="3908"/>
      <c r="BP225" s="3908"/>
      <c r="BQ225" s="3908"/>
      <c r="BR225" s="3908"/>
      <c r="BS225" s="3908"/>
      <c r="BT225" s="3908"/>
      <c r="BU225" s="3908"/>
      <c r="BV225" s="3908"/>
      <c r="BW225" s="3909"/>
      <c r="BX225" s="3396"/>
    </row>
    <row r="226" spans="4:76" ht="17.100000000000001" customHeight="1" x14ac:dyDescent="0.15">
      <c r="D226" s="3396"/>
      <c r="E226" s="3910"/>
      <c r="F226" s="3911"/>
      <c r="G226" s="3911"/>
      <c r="H226" s="3911"/>
      <c r="I226" s="3911"/>
      <c r="J226" s="3911"/>
      <c r="K226" s="3911"/>
      <c r="L226" s="3911"/>
      <c r="M226" s="3911"/>
      <c r="N226" s="3911"/>
      <c r="O226" s="3911"/>
      <c r="P226" s="3911"/>
      <c r="Q226" s="3911"/>
      <c r="R226" s="3911"/>
      <c r="S226" s="3911"/>
      <c r="T226" s="3912"/>
      <c r="U226" s="3914"/>
      <c r="AA226" s="3396"/>
      <c r="AB226" s="3910"/>
      <c r="AC226" s="3911"/>
      <c r="AD226" s="3911"/>
      <c r="AE226" s="3911"/>
      <c r="AF226" s="3911"/>
      <c r="AG226" s="3911"/>
      <c r="AH226" s="3911"/>
      <c r="AI226" s="3911"/>
      <c r="AJ226" s="3911"/>
      <c r="AK226" s="3912"/>
      <c r="AL226" s="3914"/>
      <c r="AP226" s="3914"/>
      <c r="AQ226" s="3910"/>
      <c r="AR226" s="3911"/>
      <c r="AS226" s="3911"/>
      <c r="AT226" s="3911"/>
      <c r="AU226" s="3911"/>
      <c r="AV226" s="3911"/>
      <c r="AW226" s="3911"/>
      <c r="AX226" s="3911"/>
      <c r="AY226" s="3911"/>
      <c r="AZ226" s="3912"/>
      <c r="BA226" s="3396"/>
      <c r="BG226" s="3914"/>
      <c r="BH226" s="3910"/>
      <c r="BI226" s="3911"/>
      <c r="BJ226" s="3911"/>
      <c r="BK226" s="3911"/>
      <c r="BL226" s="3911"/>
      <c r="BM226" s="3911"/>
      <c r="BN226" s="3911"/>
      <c r="BO226" s="3911"/>
      <c r="BP226" s="3911"/>
      <c r="BQ226" s="3911"/>
      <c r="BR226" s="3911"/>
      <c r="BS226" s="3911"/>
      <c r="BT226" s="3911"/>
      <c r="BU226" s="3911"/>
      <c r="BV226" s="3911"/>
      <c r="BW226" s="3912"/>
      <c r="BX226" s="3396"/>
    </row>
    <row r="227" spans="4:76" ht="17.100000000000001" customHeight="1" x14ac:dyDescent="0.15">
      <c r="D227" s="3396"/>
      <c r="E227" s="3907"/>
      <c r="F227" s="3908"/>
      <c r="G227" s="3908"/>
      <c r="H227" s="3908"/>
      <c r="I227" s="3908"/>
      <c r="J227" s="3908"/>
      <c r="K227" s="3908"/>
      <c r="L227" s="3908"/>
      <c r="M227" s="3908"/>
      <c r="N227" s="3908"/>
      <c r="O227" s="3908"/>
      <c r="P227" s="3908"/>
      <c r="Q227" s="3908"/>
      <c r="R227" s="3908"/>
      <c r="S227" s="3908"/>
      <c r="T227" s="3909"/>
      <c r="U227" s="3913"/>
      <c r="AA227" s="3396"/>
      <c r="AB227" s="3907"/>
      <c r="AC227" s="3908"/>
      <c r="AD227" s="3908"/>
      <c r="AE227" s="3908"/>
      <c r="AF227" s="3908"/>
      <c r="AG227" s="3908"/>
      <c r="AH227" s="3908"/>
      <c r="AI227" s="3908"/>
      <c r="AJ227" s="3908"/>
      <c r="AK227" s="3909"/>
      <c r="AL227" s="3913"/>
      <c r="AP227" s="3914"/>
      <c r="AQ227" s="3907"/>
      <c r="AR227" s="3908"/>
      <c r="AS227" s="3908"/>
      <c r="AT227" s="3908"/>
      <c r="AU227" s="3908"/>
      <c r="AV227" s="3908"/>
      <c r="AW227" s="3908"/>
      <c r="AX227" s="3908"/>
      <c r="AY227" s="3908"/>
      <c r="AZ227" s="3909"/>
      <c r="BA227" s="3396"/>
      <c r="BG227" s="3914"/>
      <c r="BH227" s="3907"/>
      <c r="BI227" s="3908"/>
      <c r="BJ227" s="3908"/>
      <c r="BK227" s="3908"/>
      <c r="BL227" s="3908"/>
      <c r="BM227" s="3908"/>
      <c r="BN227" s="3908"/>
      <c r="BO227" s="3908"/>
      <c r="BP227" s="3908"/>
      <c r="BQ227" s="3908"/>
      <c r="BR227" s="3908"/>
      <c r="BS227" s="3908"/>
      <c r="BT227" s="3908"/>
      <c r="BU227" s="3908"/>
      <c r="BV227" s="3908"/>
      <c r="BW227" s="3909"/>
      <c r="BX227" s="3396"/>
    </row>
    <row r="228" spans="4:76" ht="17.100000000000001" customHeight="1" x14ac:dyDescent="0.15">
      <c r="D228" s="3396"/>
      <c r="E228" s="3910"/>
      <c r="F228" s="3911"/>
      <c r="G228" s="3911"/>
      <c r="H228" s="3911"/>
      <c r="I228" s="3911"/>
      <c r="J228" s="3911"/>
      <c r="K228" s="3911"/>
      <c r="L228" s="3911"/>
      <c r="M228" s="3911"/>
      <c r="N228" s="3911"/>
      <c r="O228" s="3911"/>
      <c r="P228" s="3911"/>
      <c r="Q228" s="3911"/>
      <c r="R228" s="3911"/>
      <c r="S228" s="3911"/>
      <c r="T228" s="3912"/>
      <c r="U228" s="3914"/>
      <c r="AA228" s="3396"/>
      <c r="AB228" s="3910"/>
      <c r="AC228" s="3911"/>
      <c r="AD228" s="3911"/>
      <c r="AE228" s="3911"/>
      <c r="AF228" s="3911"/>
      <c r="AG228" s="3911"/>
      <c r="AH228" s="3911"/>
      <c r="AI228" s="3911"/>
      <c r="AJ228" s="3911"/>
      <c r="AK228" s="3912"/>
      <c r="AL228" s="3914"/>
      <c r="AP228" s="3914"/>
      <c r="AQ228" s="3910"/>
      <c r="AR228" s="3911"/>
      <c r="AS228" s="3911"/>
      <c r="AT228" s="3911"/>
      <c r="AU228" s="3911"/>
      <c r="AV228" s="3911"/>
      <c r="AW228" s="3911"/>
      <c r="AX228" s="3911"/>
      <c r="AY228" s="3911"/>
      <c r="AZ228" s="3912"/>
      <c r="BA228" s="3396"/>
      <c r="BG228" s="3914"/>
      <c r="BH228" s="3910"/>
      <c r="BI228" s="3911"/>
      <c r="BJ228" s="3911"/>
      <c r="BK228" s="3911"/>
      <c r="BL228" s="3911"/>
      <c r="BM228" s="3911"/>
      <c r="BN228" s="3911"/>
      <c r="BO228" s="3911"/>
      <c r="BP228" s="3911"/>
      <c r="BQ228" s="3911"/>
      <c r="BR228" s="3911"/>
      <c r="BS228" s="3911"/>
      <c r="BT228" s="3911"/>
      <c r="BU228" s="3911"/>
      <c r="BV228" s="3911"/>
      <c r="BW228" s="3912"/>
      <c r="BX228" s="3396"/>
    </row>
    <row r="229" spans="4:76" ht="17.100000000000001" customHeight="1" x14ac:dyDescent="0.15">
      <c r="D229" s="3396"/>
      <c r="E229" s="3907"/>
      <c r="F229" s="3908"/>
      <c r="G229" s="3908"/>
      <c r="H229" s="3908"/>
      <c r="I229" s="3908"/>
      <c r="J229" s="3908"/>
      <c r="K229" s="3908"/>
      <c r="L229" s="3908"/>
      <c r="M229" s="3908"/>
      <c r="N229" s="3908"/>
      <c r="O229" s="3908"/>
      <c r="P229" s="3908"/>
      <c r="Q229" s="3908"/>
      <c r="R229" s="3908"/>
      <c r="S229" s="3908"/>
      <c r="T229" s="3909"/>
      <c r="U229" s="3913"/>
      <c r="AA229" s="3396"/>
      <c r="AB229" s="3907"/>
      <c r="AC229" s="3908"/>
      <c r="AD229" s="3908"/>
      <c r="AE229" s="3908"/>
      <c r="AF229" s="3908"/>
      <c r="AG229" s="3908"/>
      <c r="AH229" s="3908"/>
      <c r="AI229" s="3908"/>
      <c r="AJ229" s="3908"/>
      <c r="AK229" s="3909"/>
      <c r="AL229" s="3913"/>
      <c r="AP229" s="3914"/>
      <c r="AQ229" s="3907"/>
      <c r="AR229" s="3908"/>
      <c r="AS229" s="3908"/>
      <c r="AT229" s="3908"/>
      <c r="AU229" s="3908"/>
      <c r="AV229" s="3908"/>
      <c r="AW229" s="3908"/>
      <c r="AX229" s="3908"/>
      <c r="AY229" s="3908"/>
      <c r="AZ229" s="3909"/>
      <c r="BA229" s="3396"/>
      <c r="BG229" s="3914"/>
      <c r="BH229" s="3907"/>
      <c r="BI229" s="3908"/>
      <c r="BJ229" s="3908"/>
      <c r="BK229" s="3908"/>
      <c r="BL229" s="3908"/>
      <c r="BM229" s="3908"/>
      <c r="BN229" s="3908"/>
      <c r="BO229" s="3908"/>
      <c r="BP229" s="3908"/>
      <c r="BQ229" s="3908"/>
      <c r="BR229" s="3908"/>
      <c r="BS229" s="3908"/>
      <c r="BT229" s="3908"/>
      <c r="BU229" s="3908"/>
      <c r="BV229" s="3908"/>
      <c r="BW229" s="3909"/>
      <c r="BX229" s="3396"/>
    </row>
    <row r="230" spans="4:76" ht="17.100000000000001" customHeight="1" x14ac:dyDescent="0.15">
      <c r="D230" s="3396"/>
      <c r="E230" s="3910"/>
      <c r="F230" s="3911"/>
      <c r="G230" s="3911"/>
      <c r="H230" s="3911"/>
      <c r="I230" s="3911"/>
      <c r="J230" s="3911"/>
      <c r="K230" s="3911"/>
      <c r="L230" s="3911"/>
      <c r="M230" s="3911"/>
      <c r="N230" s="3911"/>
      <c r="O230" s="3911"/>
      <c r="P230" s="3911"/>
      <c r="Q230" s="3911"/>
      <c r="R230" s="3911"/>
      <c r="S230" s="3911"/>
      <c r="T230" s="3912"/>
      <c r="U230" s="3914"/>
      <c r="AA230" s="3396"/>
      <c r="AB230" s="3910"/>
      <c r="AC230" s="3911"/>
      <c r="AD230" s="3911"/>
      <c r="AE230" s="3911"/>
      <c r="AF230" s="3911"/>
      <c r="AG230" s="3911"/>
      <c r="AH230" s="3911"/>
      <c r="AI230" s="3911"/>
      <c r="AJ230" s="3911"/>
      <c r="AK230" s="3912"/>
      <c r="AL230" s="3914"/>
      <c r="AP230" s="3914"/>
      <c r="AQ230" s="3910"/>
      <c r="AR230" s="3911"/>
      <c r="AS230" s="3911"/>
      <c r="AT230" s="3911"/>
      <c r="AU230" s="3911"/>
      <c r="AV230" s="3911"/>
      <c r="AW230" s="3911"/>
      <c r="AX230" s="3911"/>
      <c r="AY230" s="3911"/>
      <c r="AZ230" s="3912"/>
      <c r="BA230" s="3396"/>
      <c r="BG230" s="3914"/>
      <c r="BH230" s="3910"/>
      <c r="BI230" s="3911"/>
      <c r="BJ230" s="3911"/>
      <c r="BK230" s="3911"/>
      <c r="BL230" s="3911"/>
      <c r="BM230" s="3911"/>
      <c r="BN230" s="3911"/>
      <c r="BO230" s="3911"/>
      <c r="BP230" s="3911"/>
      <c r="BQ230" s="3911"/>
      <c r="BR230" s="3911"/>
      <c r="BS230" s="3911"/>
      <c r="BT230" s="3911"/>
      <c r="BU230" s="3911"/>
      <c r="BV230" s="3911"/>
      <c r="BW230" s="3912"/>
      <c r="BX230" s="3396"/>
    </row>
    <row r="231" spans="4:76" ht="17.100000000000001" customHeight="1" x14ac:dyDescent="0.15">
      <c r="D231" s="3396"/>
      <c r="E231" s="3907"/>
      <c r="F231" s="3908"/>
      <c r="G231" s="3908"/>
      <c r="H231" s="3908"/>
      <c r="I231" s="3908"/>
      <c r="J231" s="3908"/>
      <c r="K231" s="3908"/>
      <c r="L231" s="3908"/>
      <c r="M231" s="3908"/>
      <c r="N231" s="3908"/>
      <c r="O231" s="3908"/>
      <c r="P231" s="3908"/>
      <c r="Q231" s="3908"/>
      <c r="R231" s="3908"/>
      <c r="S231" s="3908"/>
      <c r="T231" s="3909"/>
      <c r="U231" s="3913"/>
      <c r="AA231" s="3396"/>
      <c r="AB231" s="3907"/>
      <c r="AC231" s="3908"/>
      <c r="AD231" s="3908"/>
      <c r="AE231" s="3908"/>
      <c r="AF231" s="3908"/>
      <c r="AG231" s="3908"/>
      <c r="AH231" s="3908"/>
      <c r="AI231" s="3908"/>
      <c r="AJ231" s="3908"/>
      <c r="AK231" s="3909"/>
      <c r="AL231" s="3913"/>
      <c r="AP231" s="3914"/>
      <c r="AQ231" s="3907"/>
      <c r="AR231" s="3908"/>
      <c r="AS231" s="3908"/>
      <c r="AT231" s="3908"/>
      <c r="AU231" s="3908"/>
      <c r="AV231" s="3908"/>
      <c r="AW231" s="3908"/>
      <c r="AX231" s="3908"/>
      <c r="AY231" s="3908"/>
      <c r="AZ231" s="3909"/>
      <c r="BA231" s="3396"/>
      <c r="BG231" s="3914"/>
      <c r="BH231" s="3907"/>
      <c r="BI231" s="3908"/>
      <c r="BJ231" s="3908"/>
      <c r="BK231" s="3908"/>
      <c r="BL231" s="3908"/>
      <c r="BM231" s="3908"/>
      <c r="BN231" s="3908"/>
      <c r="BO231" s="3908"/>
      <c r="BP231" s="3908"/>
      <c r="BQ231" s="3908"/>
      <c r="BR231" s="3908"/>
      <c r="BS231" s="3908"/>
      <c r="BT231" s="3908"/>
      <c r="BU231" s="3908"/>
      <c r="BV231" s="3908"/>
      <c r="BW231" s="3909"/>
      <c r="BX231" s="3396"/>
    </row>
    <row r="232" spans="4:76" ht="17.100000000000001" customHeight="1" x14ac:dyDescent="0.15">
      <c r="D232" s="3396"/>
      <c r="E232" s="3910"/>
      <c r="F232" s="3911"/>
      <c r="G232" s="3911"/>
      <c r="H232" s="3911"/>
      <c r="I232" s="3911"/>
      <c r="J232" s="3911"/>
      <c r="K232" s="3911"/>
      <c r="L232" s="3911"/>
      <c r="M232" s="3911"/>
      <c r="N232" s="3911"/>
      <c r="O232" s="3911"/>
      <c r="P232" s="3911"/>
      <c r="Q232" s="3911"/>
      <c r="R232" s="3911"/>
      <c r="S232" s="3911"/>
      <c r="T232" s="3912"/>
      <c r="U232" s="3914"/>
      <c r="AA232" s="3396"/>
      <c r="AB232" s="3910"/>
      <c r="AC232" s="3911"/>
      <c r="AD232" s="3911"/>
      <c r="AE232" s="3911"/>
      <c r="AF232" s="3911"/>
      <c r="AG232" s="3911"/>
      <c r="AH232" s="3911"/>
      <c r="AI232" s="3911"/>
      <c r="AJ232" s="3911"/>
      <c r="AK232" s="3912"/>
      <c r="AL232" s="3914"/>
      <c r="AP232" s="3914"/>
      <c r="AQ232" s="3910"/>
      <c r="AR232" s="3911"/>
      <c r="AS232" s="3911"/>
      <c r="AT232" s="3911"/>
      <c r="AU232" s="3911"/>
      <c r="AV232" s="3911"/>
      <c r="AW232" s="3911"/>
      <c r="AX232" s="3911"/>
      <c r="AY232" s="3911"/>
      <c r="AZ232" s="3912"/>
      <c r="BA232" s="3396"/>
      <c r="BG232" s="3914"/>
      <c r="BH232" s="3910"/>
      <c r="BI232" s="3911"/>
      <c r="BJ232" s="3911"/>
      <c r="BK232" s="3911"/>
      <c r="BL232" s="3911"/>
      <c r="BM232" s="3911"/>
      <c r="BN232" s="3911"/>
      <c r="BO232" s="3911"/>
      <c r="BP232" s="3911"/>
      <c r="BQ232" s="3911"/>
      <c r="BR232" s="3911"/>
      <c r="BS232" s="3911"/>
      <c r="BT232" s="3911"/>
      <c r="BU232" s="3911"/>
      <c r="BV232" s="3911"/>
      <c r="BW232" s="3912"/>
      <c r="BX232" s="3396"/>
    </row>
    <row r="233" spans="4:76" ht="17.100000000000001" customHeight="1" x14ac:dyDescent="0.15">
      <c r="D233" s="3396"/>
      <c r="E233" s="3907"/>
      <c r="F233" s="3908"/>
      <c r="G233" s="3908"/>
      <c r="H233" s="3908"/>
      <c r="I233" s="3908"/>
      <c r="J233" s="3908"/>
      <c r="K233" s="3908"/>
      <c r="L233" s="3908"/>
      <c r="M233" s="3908"/>
      <c r="N233" s="3908"/>
      <c r="O233" s="3908"/>
      <c r="P233" s="3908"/>
      <c r="Q233" s="3908"/>
      <c r="R233" s="3908"/>
      <c r="S233" s="3908"/>
      <c r="T233" s="3909"/>
      <c r="U233" s="3913"/>
      <c r="AA233" s="3396"/>
      <c r="AB233" s="3907"/>
      <c r="AC233" s="3908"/>
      <c r="AD233" s="3908"/>
      <c r="AE233" s="3908"/>
      <c r="AF233" s="3908"/>
      <c r="AG233" s="3908"/>
      <c r="AH233" s="3908"/>
      <c r="AI233" s="3908"/>
      <c r="AJ233" s="3908"/>
      <c r="AK233" s="3909"/>
      <c r="AL233" s="3913"/>
      <c r="AP233" s="3914"/>
      <c r="AQ233" s="3907"/>
      <c r="AR233" s="3908"/>
      <c r="AS233" s="3908"/>
      <c r="AT233" s="3908"/>
      <c r="AU233" s="3908"/>
      <c r="AV233" s="3908"/>
      <c r="AW233" s="3908"/>
      <c r="AX233" s="3908"/>
      <c r="AY233" s="3908"/>
      <c r="AZ233" s="3909"/>
      <c r="BA233" s="3396"/>
      <c r="BG233" s="3914"/>
      <c r="BH233" s="3907"/>
      <c r="BI233" s="3908"/>
      <c r="BJ233" s="3908"/>
      <c r="BK233" s="3908"/>
      <c r="BL233" s="3908"/>
      <c r="BM233" s="3908"/>
      <c r="BN233" s="3908"/>
      <c r="BO233" s="3908"/>
      <c r="BP233" s="3908"/>
      <c r="BQ233" s="3908"/>
      <c r="BR233" s="3908"/>
      <c r="BS233" s="3908"/>
      <c r="BT233" s="3908"/>
      <c r="BU233" s="3908"/>
      <c r="BV233" s="3908"/>
      <c r="BW233" s="3909"/>
      <c r="BX233" s="3396"/>
    </row>
    <row r="234" spans="4:76" ht="17.100000000000001" customHeight="1" x14ac:dyDescent="0.15">
      <c r="D234" s="3396"/>
      <c r="E234" s="3910"/>
      <c r="F234" s="3911"/>
      <c r="G234" s="3911"/>
      <c r="H234" s="3911"/>
      <c r="I234" s="3911"/>
      <c r="J234" s="3911"/>
      <c r="K234" s="3911"/>
      <c r="L234" s="3911"/>
      <c r="M234" s="3911"/>
      <c r="N234" s="3911"/>
      <c r="O234" s="3911"/>
      <c r="P234" s="3911"/>
      <c r="Q234" s="3911"/>
      <c r="R234" s="3911"/>
      <c r="S234" s="3911"/>
      <c r="T234" s="3912"/>
      <c r="U234" s="3914"/>
      <c r="AA234" s="3396"/>
      <c r="AB234" s="3910"/>
      <c r="AC234" s="3911"/>
      <c r="AD234" s="3911"/>
      <c r="AE234" s="3911"/>
      <c r="AF234" s="3911"/>
      <c r="AG234" s="3911"/>
      <c r="AH234" s="3911"/>
      <c r="AI234" s="3911"/>
      <c r="AJ234" s="3911"/>
      <c r="AK234" s="3912"/>
      <c r="AL234" s="3914"/>
      <c r="AP234" s="3914"/>
      <c r="AQ234" s="3910"/>
      <c r="AR234" s="3911"/>
      <c r="AS234" s="3911"/>
      <c r="AT234" s="3911"/>
      <c r="AU234" s="3911"/>
      <c r="AV234" s="3911"/>
      <c r="AW234" s="3911"/>
      <c r="AX234" s="3911"/>
      <c r="AY234" s="3911"/>
      <c r="AZ234" s="3912"/>
      <c r="BA234" s="3396"/>
      <c r="BG234" s="3914"/>
      <c r="BH234" s="3910"/>
      <c r="BI234" s="3911"/>
      <c r="BJ234" s="3911"/>
      <c r="BK234" s="3911"/>
      <c r="BL234" s="3911"/>
      <c r="BM234" s="3911"/>
      <c r="BN234" s="3911"/>
      <c r="BO234" s="3911"/>
      <c r="BP234" s="3911"/>
      <c r="BQ234" s="3911"/>
      <c r="BR234" s="3911"/>
      <c r="BS234" s="3911"/>
      <c r="BT234" s="3911"/>
      <c r="BU234" s="3911"/>
      <c r="BV234" s="3911"/>
      <c r="BW234" s="3912"/>
      <c r="BX234" s="3396"/>
    </row>
    <row r="235" spans="4:76" ht="17.100000000000001" customHeight="1" x14ac:dyDescent="0.15">
      <c r="D235" s="3396"/>
      <c r="E235" s="3907"/>
      <c r="F235" s="3908"/>
      <c r="G235" s="3908"/>
      <c r="H235" s="3908"/>
      <c r="I235" s="3908"/>
      <c r="J235" s="3908"/>
      <c r="K235" s="3908"/>
      <c r="L235" s="3908"/>
      <c r="M235" s="3908"/>
      <c r="N235" s="3908"/>
      <c r="O235" s="3908"/>
      <c r="P235" s="3908"/>
      <c r="Q235" s="3908"/>
      <c r="R235" s="3908"/>
      <c r="S235" s="3908"/>
      <c r="T235" s="3909"/>
      <c r="U235" s="3913"/>
      <c r="AA235" s="3396"/>
      <c r="AB235" s="3907"/>
      <c r="AC235" s="3908"/>
      <c r="AD235" s="3908"/>
      <c r="AE235" s="3908"/>
      <c r="AF235" s="3908"/>
      <c r="AG235" s="3908"/>
      <c r="AH235" s="3908"/>
      <c r="AI235" s="3908"/>
      <c r="AJ235" s="3908"/>
      <c r="AK235" s="3909"/>
      <c r="AL235" s="3913"/>
      <c r="AP235" s="3914"/>
      <c r="AQ235" s="3907"/>
      <c r="AR235" s="3908"/>
      <c r="AS235" s="3908"/>
      <c r="AT235" s="3908"/>
      <c r="AU235" s="3908"/>
      <c r="AV235" s="3908"/>
      <c r="AW235" s="3908"/>
      <c r="AX235" s="3908"/>
      <c r="AY235" s="3908"/>
      <c r="AZ235" s="3909"/>
      <c r="BA235" s="3396"/>
      <c r="BG235" s="3914"/>
      <c r="BH235" s="3907"/>
      <c r="BI235" s="3908"/>
      <c r="BJ235" s="3908"/>
      <c r="BK235" s="3908"/>
      <c r="BL235" s="3908"/>
      <c r="BM235" s="3908"/>
      <c r="BN235" s="3908"/>
      <c r="BO235" s="3908"/>
      <c r="BP235" s="3908"/>
      <c r="BQ235" s="3908"/>
      <c r="BR235" s="3908"/>
      <c r="BS235" s="3908"/>
      <c r="BT235" s="3908"/>
      <c r="BU235" s="3908"/>
      <c r="BV235" s="3908"/>
      <c r="BW235" s="3909"/>
      <c r="BX235" s="3396"/>
    </row>
    <row r="236" spans="4:76" ht="17.100000000000001" customHeight="1" x14ac:dyDescent="0.15">
      <c r="D236" s="3396"/>
      <c r="E236" s="3910"/>
      <c r="F236" s="3911"/>
      <c r="G236" s="3911"/>
      <c r="H236" s="3911"/>
      <c r="I236" s="3911"/>
      <c r="J236" s="3911"/>
      <c r="K236" s="3911"/>
      <c r="L236" s="3911"/>
      <c r="M236" s="3911"/>
      <c r="N236" s="3911"/>
      <c r="O236" s="3911"/>
      <c r="P236" s="3911"/>
      <c r="Q236" s="3911"/>
      <c r="R236" s="3911"/>
      <c r="S236" s="3911"/>
      <c r="T236" s="3912"/>
      <c r="U236" s="3914"/>
      <c r="AA236" s="3396"/>
      <c r="AB236" s="3910"/>
      <c r="AC236" s="3911"/>
      <c r="AD236" s="3911"/>
      <c r="AE236" s="3911"/>
      <c r="AF236" s="3911"/>
      <c r="AG236" s="3911"/>
      <c r="AH236" s="3911"/>
      <c r="AI236" s="3911"/>
      <c r="AJ236" s="3911"/>
      <c r="AK236" s="3912"/>
      <c r="AL236" s="3914"/>
      <c r="AP236" s="3914"/>
      <c r="AQ236" s="3910"/>
      <c r="AR236" s="3911"/>
      <c r="AS236" s="3911"/>
      <c r="AT236" s="3911"/>
      <c r="AU236" s="3911"/>
      <c r="AV236" s="3911"/>
      <c r="AW236" s="3911"/>
      <c r="AX236" s="3911"/>
      <c r="AY236" s="3911"/>
      <c r="AZ236" s="3912"/>
      <c r="BA236" s="3396"/>
      <c r="BG236" s="3914"/>
      <c r="BH236" s="3910"/>
      <c r="BI236" s="3911"/>
      <c r="BJ236" s="3911"/>
      <c r="BK236" s="3911"/>
      <c r="BL236" s="3911"/>
      <c r="BM236" s="3911"/>
      <c r="BN236" s="3911"/>
      <c r="BO236" s="3911"/>
      <c r="BP236" s="3911"/>
      <c r="BQ236" s="3911"/>
      <c r="BR236" s="3911"/>
      <c r="BS236" s="3911"/>
      <c r="BT236" s="3911"/>
      <c r="BU236" s="3911"/>
      <c r="BV236" s="3911"/>
      <c r="BW236" s="3912"/>
      <c r="BX236" s="3396"/>
    </row>
    <row r="237" spans="4:76" ht="17.100000000000001" customHeight="1" x14ac:dyDescent="0.15">
      <c r="D237" s="3396"/>
      <c r="E237" s="3907"/>
      <c r="F237" s="3908"/>
      <c r="G237" s="3908"/>
      <c r="H237" s="3908"/>
      <c r="I237" s="3908"/>
      <c r="J237" s="3908"/>
      <c r="K237" s="3908"/>
      <c r="L237" s="3908"/>
      <c r="M237" s="3908"/>
      <c r="N237" s="3908"/>
      <c r="O237" s="3908"/>
      <c r="P237" s="3908"/>
      <c r="Q237" s="3908"/>
      <c r="R237" s="3908"/>
      <c r="S237" s="3908"/>
      <c r="T237" s="3909"/>
      <c r="U237" s="3913"/>
      <c r="AA237" s="3396"/>
      <c r="AB237" s="3907"/>
      <c r="AC237" s="3908"/>
      <c r="AD237" s="3908"/>
      <c r="AE237" s="3908"/>
      <c r="AF237" s="3908"/>
      <c r="AG237" s="3908"/>
      <c r="AH237" s="3908"/>
      <c r="AI237" s="3908"/>
      <c r="AJ237" s="3908"/>
      <c r="AK237" s="3909"/>
      <c r="AL237" s="3913"/>
      <c r="AP237" s="3914"/>
      <c r="AQ237" s="3907"/>
      <c r="AR237" s="3908"/>
      <c r="AS237" s="3908"/>
      <c r="AT237" s="3908"/>
      <c r="AU237" s="3908"/>
      <c r="AV237" s="3908"/>
      <c r="AW237" s="3908"/>
      <c r="AX237" s="3908"/>
      <c r="AY237" s="3908"/>
      <c r="AZ237" s="3909"/>
      <c r="BA237" s="3396"/>
      <c r="BG237" s="3914"/>
      <c r="BH237" s="3907"/>
      <c r="BI237" s="3908"/>
      <c r="BJ237" s="3908"/>
      <c r="BK237" s="3908"/>
      <c r="BL237" s="3908"/>
      <c r="BM237" s="3908"/>
      <c r="BN237" s="3908"/>
      <c r="BO237" s="3908"/>
      <c r="BP237" s="3908"/>
      <c r="BQ237" s="3908"/>
      <c r="BR237" s="3908"/>
      <c r="BS237" s="3908"/>
      <c r="BT237" s="3908"/>
      <c r="BU237" s="3908"/>
      <c r="BV237" s="3908"/>
      <c r="BW237" s="3909"/>
      <c r="BX237" s="3396"/>
    </row>
    <row r="238" spans="4:76" ht="17.100000000000001" customHeight="1" x14ac:dyDescent="0.15">
      <c r="D238" s="3396"/>
      <c r="E238" s="3910"/>
      <c r="F238" s="3911"/>
      <c r="G238" s="3911"/>
      <c r="H238" s="3911"/>
      <c r="I238" s="3911"/>
      <c r="J238" s="3911"/>
      <c r="K238" s="3911"/>
      <c r="L238" s="3911"/>
      <c r="M238" s="3911"/>
      <c r="N238" s="3911"/>
      <c r="O238" s="3911"/>
      <c r="P238" s="3911"/>
      <c r="Q238" s="3911"/>
      <c r="R238" s="3911"/>
      <c r="S238" s="3911"/>
      <c r="T238" s="3912"/>
      <c r="U238" s="3914"/>
      <c r="AA238" s="3396"/>
      <c r="AB238" s="3910"/>
      <c r="AC238" s="3911"/>
      <c r="AD238" s="3911"/>
      <c r="AE238" s="3911"/>
      <c r="AF238" s="3911"/>
      <c r="AG238" s="3911"/>
      <c r="AH238" s="3911"/>
      <c r="AI238" s="3911"/>
      <c r="AJ238" s="3911"/>
      <c r="AK238" s="3912"/>
      <c r="AL238" s="3914"/>
      <c r="AP238" s="3914"/>
      <c r="AQ238" s="3910"/>
      <c r="AR238" s="3911"/>
      <c r="AS238" s="3911"/>
      <c r="AT238" s="3911"/>
      <c r="AU238" s="3911"/>
      <c r="AV238" s="3911"/>
      <c r="AW238" s="3911"/>
      <c r="AX238" s="3911"/>
      <c r="AY238" s="3911"/>
      <c r="AZ238" s="3912"/>
      <c r="BA238" s="3396"/>
      <c r="BG238" s="3914"/>
      <c r="BH238" s="3910"/>
      <c r="BI238" s="3911"/>
      <c r="BJ238" s="3911"/>
      <c r="BK238" s="3911"/>
      <c r="BL238" s="3911"/>
      <c r="BM238" s="3911"/>
      <c r="BN238" s="3911"/>
      <c r="BO238" s="3911"/>
      <c r="BP238" s="3911"/>
      <c r="BQ238" s="3911"/>
      <c r="BR238" s="3911"/>
      <c r="BS238" s="3911"/>
      <c r="BT238" s="3911"/>
      <c r="BU238" s="3911"/>
      <c r="BV238" s="3911"/>
      <c r="BW238" s="3912"/>
      <c r="BX238" s="3396"/>
    </row>
    <row r="239" spans="4:76" ht="17.100000000000001" customHeight="1" x14ac:dyDescent="0.15">
      <c r="D239" s="3396"/>
      <c r="E239" s="3907"/>
      <c r="F239" s="3908"/>
      <c r="G239" s="3908"/>
      <c r="H239" s="3908"/>
      <c r="I239" s="3908"/>
      <c r="J239" s="3908"/>
      <c r="K239" s="3908"/>
      <c r="L239" s="3908"/>
      <c r="M239" s="3908"/>
      <c r="N239" s="3908"/>
      <c r="O239" s="3908"/>
      <c r="P239" s="3908"/>
      <c r="Q239" s="3908"/>
      <c r="R239" s="3908"/>
      <c r="S239" s="3908"/>
      <c r="T239" s="3909"/>
      <c r="U239" s="3913"/>
      <c r="AA239" s="3396"/>
      <c r="AB239" s="3907"/>
      <c r="AC239" s="3908"/>
      <c r="AD239" s="3908"/>
      <c r="AE239" s="3908"/>
      <c r="AF239" s="3908"/>
      <c r="AG239" s="3908"/>
      <c r="AH239" s="3908"/>
      <c r="AI239" s="3908"/>
      <c r="AJ239" s="3908"/>
      <c r="AK239" s="3909"/>
      <c r="AL239" s="3913"/>
      <c r="AP239" s="3914"/>
      <c r="AQ239" s="3907"/>
      <c r="AR239" s="3908"/>
      <c r="AS239" s="3908"/>
      <c r="AT239" s="3908"/>
      <c r="AU239" s="3908"/>
      <c r="AV239" s="3908"/>
      <c r="AW239" s="3908"/>
      <c r="AX239" s="3908"/>
      <c r="AY239" s="3908"/>
      <c r="AZ239" s="3909"/>
      <c r="BA239" s="3396"/>
      <c r="BG239" s="3914"/>
      <c r="BH239" s="3907"/>
      <c r="BI239" s="3908"/>
      <c r="BJ239" s="3908"/>
      <c r="BK239" s="3908"/>
      <c r="BL239" s="3908"/>
      <c r="BM239" s="3908"/>
      <c r="BN239" s="3908"/>
      <c r="BO239" s="3908"/>
      <c r="BP239" s="3908"/>
      <c r="BQ239" s="3908"/>
      <c r="BR239" s="3908"/>
      <c r="BS239" s="3908"/>
      <c r="BT239" s="3908"/>
      <c r="BU239" s="3908"/>
      <c r="BV239" s="3908"/>
      <c r="BW239" s="3909"/>
      <c r="BX239" s="3396"/>
    </row>
    <row r="240" spans="4:76" ht="17.100000000000001" customHeight="1" x14ac:dyDescent="0.15">
      <c r="D240" s="3396"/>
      <c r="E240" s="3910"/>
      <c r="F240" s="3911"/>
      <c r="G240" s="3911"/>
      <c r="H240" s="3911"/>
      <c r="I240" s="3911"/>
      <c r="J240" s="3911"/>
      <c r="K240" s="3911"/>
      <c r="L240" s="3911"/>
      <c r="M240" s="3911"/>
      <c r="N240" s="3911"/>
      <c r="O240" s="3911"/>
      <c r="P240" s="3911"/>
      <c r="Q240" s="3911"/>
      <c r="R240" s="3911"/>
      <c r="S240" s="3911"/>
      <c r="T240" s="3912"/>
      <c r="U240" s="3914"/>
      <c r="AA240" s="3396"/>
      <c r="AB240" s="3910"/>
      <c r="AC240" s="3911"/>
      <c r="AD240" s="3911"/>
      <c r="AE240" s="3911"/>
      <c r="AF240" s="3911"/>
      <c r="AG240" s="3911"/>
      <c r="AH240" s="3911"/>
      <c r="AI240" s="3911"/>
      <c r="AJ240" s="3911"/>
      <c r="AK240" s="3912"/>
      <c r="AL240" s="3914"/>
      <c r="AP240" s="3914"/>
      <c r="AQ240" s="3910"/>
      <c r="AR240" s="3911"/>
      <c r="AS240" s="3911"/>
      <c r="AT240" s="3911"/>
      <c r="AU240" s="3911"/>
      <c r="AV240" s="3911"/>
      <c r="AW240" s="3911"/>
      <c r="AX240" s="3911"/>
      <c r="AY240" s="3911"/>
      <c r="AZ240" s="3912"/>
      <c r="BA240" s="3396"/>
      <c r="BG240" s="3914"/>
      <c r="BH240" s="3910"/>
      <c r="BI240" s="3911"/>
      <c r="BJ240" s="3911"/>
      <c r="BK240" s="3911"/>
      <c r="BL240" s="3911"/>
      <c r="BM240" s="3911"/>
      <c r="BN240" s="3911"/>
      <c r="BO240" s="3911"/>
      <c r="BP240" s="3911"/>
      <c r="BQ240" s="3911"/>
      <c r="BR240" s="3911"/>
      <c r="BS240" s="3911"/>
      <c r="BT240" s="3911"/>
      <c r="BU240" s="3911"/>
      <c r="BV240" s="3911"/>
      <c r="BW240" s="3912"/>
      <c r="BX240" s="3396"/>
    </row>
    <row r="241" spans="4:76" ht="17.100000000000001" customHeight="1" x14ac:dyDescent="0.15">
      <c r="D241" s="3396"/>
      <c r="E241" s="3907"/>
      <c r="F241" s="3908"/>
      <c r="G241" s="3908"/>
      <c r="H241" s="3908"/>
      <c r="I241" s="3908"/>
      <c r="J241" s="3908"/>
      <c r="K241" s="3908"/>
      <c r="L241" s="3908"/>
      <c r="M241" s="3908"/>
      <c r="N241" s="3908"/>
      <c r="O241" s="3908"/>
      <c r="P241" s="3908"/>
      <c r="Q241" s="3908"/>
      <c r="R241" s="3908"/>
      <c r="S241" s="3908"/>
      <c r="T241" s="3909"/>
      <c r="U241" s="3913"/>
      <c r="AA241" s="3396"/>
      <c r="AB241" s="3907"/>
      <c r="AC241" s="3908"/>
      <c r="AD241" s="3908"/>
      <c r="AE241" s="3908"/>
      <c r="AF241" s="3908"/>
      <c r="AG241" s="3908"/>
      <c r="AH241" s="3908"/>
      <c r="AI241" s="3908"/>
      <c r="AJ241" s="3908"/>
      <c r="AK241" s="3909"/>
      <c r="AL241" s="3913"/>
      <c r="AP241" s="3914"/>
      <c r="AQ241" s="3907"/>
      <c r="AR241" s="3908"/>
      <c r="AS241" s="3908"/>
      <c r="AT241" s="3908"/>
      <c r="AU241" s="3908"/>
      <c r="AV241" s="3908"/>
      <c r="AW241" s="3908"/>
      <c r="AX241" s="3908"/>
      <c r="AY241" s="3908"/>
      <c r="AZ241" s="3909"/>
      <c r="BA241" s="3396"/>
      <c r="BG241" s="3914"/>
      <c r="BH241" s="3907"/>
      <c r="BI241" s="3908"/>
      <c r="BJ241" s="3908"/>
      <c r="BK241" s="3908"/>
      <c r="BL241" s="3908"/>
      <c r="BM241" s="3908"/>
      <c r="BN241" s="3908"/>
      <c r="BO241" s="3908"/>
      <c r="BP241" s="3908"/>
      <c r="BQ241" s="3908"/>
      <c r="BR241" s="3908"/>
      <c r="BS241" s="3908"/>
      <c r="BT241" s="3908"/>
      <c r="BU241" s="3908"/>
      <c r="BV241" s="3908"/>
      <c r="BW241" s="3909"/>
      <c r="BX241" s="3396"/>
    </row>
    <row r="242" spans="4:76" ht="17.100000000000001" customHeight="1" x14ac:dyDescent="0.15">
      <c r="D242" s="3396"/>
      <c r="E242" s="3910"/>
      <c r="F242" s="3911"/>
      <c r="G242" s="3911"/>
      <c r="H242" s="3911"/>
      <c r="I242" s="3911"/>
      <c r="J242" s="3911"/>
      <c r="K242" s="3911"/>
      <c r="L242" s="3911"/>
      <c r="M242" s="3911"/>
      <c r="N242" s="3911"/>
      <c r="O242" s="3911"/>
      <c r="P242" s="3911"/>
      <c r="Q242" s="3911"/>
      <c r="R242" s="3911"/>
      <c r="S242" s="3911"/>
      <c r="T242" s="3912"/>
      <c r="U242" s="3914"/>
      <c r="AA242" s="3396"/>
      <c r="AB242" s="3910"/>
      <c r="AC242" s="3911"/>
      <c r="AD242" s="3911"/>
      <c r="AE242" s="3911"/>
      <c r="AF242" s="3911"/>
      <c r="AG242" s="3911"/>
      <c r="AH242" s="3911"/>
      <c r="AI242" s="3911"/>
      <c r="AJ242" s="3911"/>
      <c r="AK242" s="3912"/>
      <c r="AL242" s="3914"/>
      <c r="AP242" s="3914"/>
      <c r="AQ242" s="3910"/>
      <c r="AR242" s="3911"/>
      <c r="AS242" s="3911"/>
      <c r="AT242" s="3911"/>
      <c r="AU242" s="3911"/>
      <c r="AV242" s="3911"/>
      <c r="AW242" s="3911"/>
      <c r="AX242" s="3911"/>
      <c r="AY242" s="3911"/>
      <c r="AZ242" s="3912"/>
      <c r="BA242" s="3396"/>
      <c r="BG242" s="3914"/>
      <c r="BH242" s="3910"/>
      <c r="BI242" s="3911"/>
      <c r="BJ242" s="3911"/>
      <c r="BK242" s="3911"/>
      <c r="BL242" s="3911"/>
      <c r="BM242" s="3911"/>
      <c r="BN242" s="3911"/>
      <c r="BO242" s="3911"/>
      <c r="BP242" s="3911"/>
      <c r="BQ242" s="3911"/>
      <c r="BR242" s="3911"/>
      <c r="BS242" s="3911"/>
      <c r="BT242" s="3911"/>
      <c r="BU242" s="3911"/>
      <c r="BV242" s="3911"/>
      <c r="BW242" s="3912"/>
      <c r="BX242" s="3396"/>
    </row>
    <row r="243" spans="4:76" ht="17.100000000000001" customHeight="1" x14ac:dyDescent="0.15">
      <c r="D243" s="3396"/>
      <c r="E243" s="3907"/>
      <c r="F243" s="3908"/>
      <c r="G243" s="3908"/>
      <c r="H243" s="3908"/>
      <c r="I243" s="3908"/>
      <c r="J243" s="3908"/>
      <c r="K243" s="3908"/>
      <c r="L243" s="3908"/>
      <c r="M243" s="3908"/>
      <c r="N243" s="3908"/>
      <c r="O243" s="3908"/>
      <c r="P243" s="3908"/>
      <c r="Q243" s="3908"/>
      <c r="R243" s="3908"/>
      <c r="S243" s="3908"/>
      <c r="T243" s="3909"/>
      <c r="U243" s="3913"/>
      <c r="AA243" s="3396"/>
      <c r="AB243" s="3907"/>
      <c r="AC243" s="3908"/>
      <c r="AD243" s="3908"/>
      <c r="AE243" s="3908"/>
      <c r="AF243" s="3908"/>
      <c r="AG243" s="3908"/>
      <c r="AH243" s="3908"/>
      <c r="AI243" s="3908"/>
      <c r="AJ243" s="3908"/>
      <c r="AK243" s="3909"/>
      <c r="AL243" s="3913"/>
      <c r="AP243" s="3914"/>
      <c r="AQ243" s="3907"/>
      <c r="AR243" s="3908"/>
      <c r="AS243" s="3908"/>
      <c r="AT243" s="3908"/>
      <c r="AU243" s="3908"/>
      <c r="AV243" s="3908"/>
      <c r="AW243" s="3908"/>
      <c r="AX243" s="3908"/>
      <c r="AY243" s="3908"/>
      <c r="AZ243" s="3909"/>
      <c r="BA243" s="3396"/>
      <c r="BG243" s="3914"/>
      <c r="BH243" s="3907"/>
      <c r="BI243" s="3908"/>
      <c r="BJ243" s="3908"/>
      <c r="BK243" s="3908"/>
      <c r="BL243" s="3908"/>
      <c r="BM243" s="3908"/>
      <c r="BN243" s="3908"/>
      <c r="BO243" s="3908"/>
      <c r="BP243" s="3908"/>
      <c r="BQ243" s="3908"/>
      <c r="BR243" s="3908"/>
      <c r="BS243" s="3908"/>
      <c r="BT243" s="3908"/>
      <c r="BU243" s="3908"/>
      <c r="BV243" s="3908"/>
      <c r="BW243" s="3909"/>
      <c r="BX243" s="3396"/>
    </row>
    <row r="244" spans="4:76" ht="17.100000000000001" customHeight="1" x14ac:dyDescent="0.15">
      <c r="D244" s="3396"/>
      <c r="E244" s="3910"/>
      <c r="F244" s="3911"/>
      <c r="G244" s="3911"/>
      <c r="H244" s="3911"/>
      <c r="I244" s="3911"/>
      <c r="J244" s="3911"/>
      <c r="K244" s="3911"/>
      <c r="L244" s="3911"/>
      <c r="M244" s="3911"/>
      <c r="N244" s="3911"/>
      <c r="O244" s="3911"/>
      <c r="P244" s="3911"/>
      <c r="Q244" s="3911"/>
      <c r="R244" s="3911"/>
      <c r="S244" s="3911"/>
      <c r="T244" s="3912"/>
      <c r="U244" s="3914"/>
      <c r="AA244" s="3396"/>
      <c r="AB244" s="3910"/>
      <c r="AC244" s="3911"/>
      <c r="AD244" s="3911"/>
      <c r="AE244" s="3911"/>
      <c r="AF244" s="3911"/>
      <c r="AG244" s="3911"/>
      <c r="AH244" s="3911"/>
      <c r="AI244" s="3911"/>
      <c r="AJ244" s="3911"/>
      <c r="AK244" s="3912"/>
      <c r="AL244" s="3914"/>
      <c r="AP244" s="3914"/>
      <c r="AQ244" s="3910"/>
      <c r="AR244" s="3911"/>
      <c r="AS244" s="3911"/>
      <c r="AT244" s="3911"/>
      <c r="AU244" s="3911"/>
      <c r="AV244" s="3911"/>
      <c r="AW244" s="3911"/>
      <c r="AX244" s="3911"/>
      <c r="AY244" s="3911"/>
      <c r="AZ244" s="3912"/>
      <c r="BA244" s="3396"/>
      <c r="BG244" s="3914"/>
      <c r="BH244" s="3910"/>
      <c r="BI244" s="3911"/>
      <c r="BJ244" s="3911"/>
      <c r="BK244" s="3911"/>
      <c r="BL244" s="3911"/>
      <c r="BM244" s="3911"/>
      <c r="BN244" s="3911"/>
      <c r="BO244" s="3911"/>
      <c r="BP244" s="3911"/>
      <c r="BQ244" s="3911"/>
      <c r="BR244" s="3911"/>
      <c r="BS244" s="3911"/>
      <c r="BT244" s="3911"/>
      <c r="BU244" s="3911"/>
      <c r="BV244" s="3911"/>
      <c r="BW244" s="3912"/>
      <c r="BX244" s="3396"/>
    </row>
    <row r="245" spans="4:76" ht="17.100000000000001" customHeight="1" x14ac:dyDescent="0.15">
      <c r="D245" s="3396"/>
      <c r="E245" s="3907"/>
      <c r="F245" s="3908"/>
      <c r="G245" s="3908"/>
      <c r="H245" s="3908"/>
      <c r="I245" s="3908"/>
      <c r="J245" s="3908"/>
      <c r="K245" s="3908"/>
      <c r="L245" s="3908"/>
      <c r="M245" s="3908"/>
      <c r="N245" s="3908"/>
      <c r="O245" s="3908"/>
      <c r="P245" s="3908"/>
      <c r="Q245" s="3908"/>
      <c r="R245" s="3908"/>
      <c r="S245" s="3908"/>
      <c r="T245" s="3909"/>
      <c r="U245" s="3913"/>
      <c r="AA245" s="3396"/>
      <c r="AB245" s="3907"/>
      <c r="AC245" s="3908"/>
      <c r="AD245" s="3908"/>
      <c r="AE245" s="3908"/>
      <c r="AF245" s="3908"/>
      <c r="AG245" s="3908"/>
      <c r="AH245" s="3908"/>
      <c r="AI245" s="3908"/>
      <c r="AJ245" s="3908"/>
      <c r="AK245" s="3909"/>
      <c r="AL245" s="3913"/>
      <c r="AP245" s="3914"/>
      <c r="AQ245" s="3907"/>
      <c r="AR245" s="3908"/>
      <c r="AS245" s="3908"/>
      <c r="AT245" s="3908"/>
      <c r="AU245" s="3908"/>
      <c r="AV245" s="3908"/>
      <c r="AW245" s="3908"/>
      <c r="AX245" s="3908"/>
      <c r="AY245" s="3908"/>
      <c r="AZ245" s="3909"/>
      <c r="BA245" s="3396"/>
      <c r="BG245" s="3914"/>
      <c r="BH245" s="3907"/>
      <c r="BI245" s="3908"/>
      <c r="BJ245" s="3908"/>
      <c r="BK245" s="3908"/>
      <c r="BL245" s="3908"/>
      <c r="BM245" s="3908"/>
      <c r="BN245" s="3908"/>
      <c r="BO245" s="3908"/>
      <c r="BP245" s="3908"/>
      <c r="BQ245" s="3908"/>
      <c r="BR245" s="3908"/>
      <c r="BS245" s="3908"/>
      <c r="BT245" s="3908"/>
      <c r="BU245" s="3908"/>
      <c r="BV245" s="3908"/>
      <c r="BW245" s="3909"/>
      <c r="BX245" s="3396"/>
    </row>
    <row r="246" spans="4:76" ht="17.100000000000001" customHeight="1" x14ac:dyDescent="0.15">
      <c r="D246" s="3396"/>
      <c r="E246" s="3910"/>
      <c r="F246" s="3911"/>
      <c r="G246" s="3911"/>
      <c r="H246" s="3911"/>
      <c r="I246" s="3911"/>
      <c r="J246" s="3911"/>
      <c r="K246" s="3911"/>
      <c r="L246" s="3911"/>
      <c r="M246" s="3911"/>
      <c r="N246" s="3911"/>
      <c r="O246" s="3911"/>
      <c r="P246" s="3911"/>
      <c r="Q246" s="3911"/>
      <c r="R246" s="3911"/>
      <c r="S246" s="3911"/>
      <c r="T246" s="3912"/>
      <c r="U246" s="3914"/>
      <c r="AA246" s="3396"/>
      <c r="AB246" s="3910"/>
      <c r="AC246" s="3911"/>
      <c r="AD246" s="3911"/>
      <c r="AE246" s="3911"/>
      <c r="AF246" s="3911"/>
      <c r="AG246" s="3911"/>
      <c r="AH246" s="3911"/>
      <c r="AI246" s="3911"/>
      <c r="AJ246" s="3911"/>
      <c r="AK246" s="3912"/>
      <c r="AL246" s="3914"/>
      <c r="AP246" s="3914"/>
      <c r="AQ246" s="3910"/>
      <c r="AR246" s="3911"/>
      <c r="AS246" s="3911"/>
      <c r="AT246" s="3911"/>
      <c r="AU246" s="3911"/>
      <c r="AV246" s="3911"/>
      <c r="AW246" s="3911"/>
      <c r="AX246" s="3911"/>
      <c r="AY246" s="3911"/>
      <c r="AZ246" s="3912"/>
      <c r="BA246" s="3396"/>
      <c r="BG246" s="3914"/>
      <c r="BH246" s="3910"/>
      <c r="BI246" s="3911"/>
      <c r="BJ246" s="3911"/>
      <c r="BK246" s="3911"/>
      <c r="BL246" s="3911"/>
      <c r="BM246" s="3911"/>
      <c r="BN246" s="3911"/>
      <c r="BO246" s="3911"/>
      <c r="BP246" s="3911"/>
      <c r="BQ246" s="3911"/>
      <c r="BR246" s="3911"/>
      <c r="BS246" s="3911"/>
      <c r="BT246" s="3911"/>
      <c r="BU246" s="3911"/>
      <c r="BV246" s="3911"/>
      <c r="BW246" s="3912"/>
      <c r="BX246" s="3396"/>
    </row>
    <row r="247" spans="4:76" ht="17.100000000000001" customHeight="1" x14ac:dyDescent="0.15">
      <c r="D247" s="3396"/>
      <c r="E247" s="3907"/>
      <c r="F247" s="3908"/>
      <c r="G247" s="3908"/>
      <c r="H247" s="3908"/>
      <c r="I247" s="3908"/>
      <c r="J247" s="3908"/>
      <c r="K247" s="3908"/>
      <c r="L247" s="3908"/>
      <c r="M247" s="3908"/>
      <c r="N247" s="3908"/>
      <c r="O247" s="3908"/>
      <c r="P247" s="3908"/>
      <c r="Q247" s="3908"/>
      <c r="R247" s="3908"/>
      <c r="S247" s="3908"/>
      <c r="T247" s="3909"/>
      <c r="U247" s="3913"/>
      <c r="AA247" s="3396"/>
      <c r="AB247" s="3907"/>
      <c r="AC247" s="3908"/>
      <c r="AD247" s="3908"/>
      <c r="AE247" s="3908"/>
      <c r="AF247" s="3908"/>
      <c r="AG247" s="3908"/>
      <c r="AH247" s="3908"/>
      <c r="AI247" s="3908"/>
      <c r="AJ247" s="3908"/>
      <c r="AK247" s="3909"/>
      <c r="AL247" s="3913"/>
      <c r="AP247" s="3914"/>
      <c r="AQ247" s="3907"/>
      <c r="AR247" s="3908"/>
      <c r="AS247" s="3908"/>
      <c r="AT247" s="3908"/>
      <c r="AU247" s="3908"/>
      <c r="AV247" s="3908"/>
      <c r="AW247" s="3908"/>
      <c r="AX247" s="3908"/>
      <c r="AY247" s="3908"/>
      <c r="AZ247" s="3909"/>
      <c r="BA247" s="3396"/>
      <c r="BG247" s="3914"/>
      <c r="BH247" s="3907"/>
      <c r="BI247" s="3908"/>
      <c r="BJ247" s="3908"/>
      <c r="BK247" s="3908"/>
      <c r="BL247" s="3908"/>
      <c r="BM247" s="3908"/>
      <c r="BN247" s="3908"/>
      <c r="BO247" s="3908"/>
      <c r="BP247" s="3908"/>
      <c r="BQ247" s="3908"/>
      <c r="BR247" s="3908"/>
      <c r="BS247" s="3908"/>
      <c r="BT247" s="3908"/>
      <c r="BU247" s="3908"/>
      <c r="BV247" s="3908"/>
      <c r="BW247" s="3909"/>
      <c r="BX247" s="3396"/>
    </row>
    <row r="248" spans="4:76" ht="17.100000000000001" customHeight="1" x14ac:dyDescent="0.15">
      <c r="D248" s="3396"/>
      <c r="E248" s="3910"/>
      <c r="F248" s="3911"/>
      <c r="G248" s="3911"/>
      <c r="H248" s="3911"/>
      <c r="I248" s="3911"/>
      <c r="J248" s="3911"/>
      <c r="K248" s="3911"/>
      <c r="L248" s="3911"/>
      <c r="M248" s="3911"/>
      <c r="N248" s="3911"/>
      <c r="O248" s="3911"/>
      <c r="P248" s="3911"/>
      <c r="Q248" s="3911"/>
      <c r="R248" s="3911"/>
      <c r="S248" s="3911"/>
      <c r="T248" s="3912"/>
      <c r="U248" s="3914"/>
      <c r="AA248" s="3396"/>
      <c r="AB248" s="3910"/>
      <c r="AC248" s="3911"/>
      <c r="AD248" s="3911"/>
      <c r="AE248" s="3911"/>
      <c r="AF248" s="3911"/>
      <c r="AG248" s="3911"/>
      <c r="AH248" s="3911"/>
      <c r="AI248" s="3911"/>
      <c r="AJ248" s="3911"/>
      <c r="AK248" s="3912"/>
      <c r="AL248" s="3914"/>
      <c r="AP248" s="3914"/>
      <c r="AQ248" s="3910"/>
      <c r="AR248" s="3911"/>
      <c r="AS248" s="3911"/>
      <c r="AT248" s="3911"/>
      <c r="AU248" s="3911"/>
      <c r="AV248" s="3911"/>
      <c r="AW248" s="3911"/>
      <c r="AX248" s="3911"/>
      <c r="AY248" s="3911"/>
      <c r="AZ248" s="3912"/>
      <c r="BA248" s="3396"/>
      <c r="BG248" s="3914"/>
      <c r="BH248" s="3910"/>
      <c r="BI248" s="3911"/>
      <c r="BJ248" s="3911"/>
      <c r="BK248" s="3911"/>
      <c r="BL248" s="3911"/>
      <c r="BM248" s="3911"/>
      <c r="BN248" s="3911"/>
      <c r="BO248" s="3911"/>
      <c r="BP248" s="3911"/>
      <c r="BQ248" s="3911"/>
      <c r="BR248" s="3911"/>
      <c r="BS248" s="3911"/>
      <c r="BT248" s="3911"/>
      <c r="BU248" s="3911"/>
      <c r="BV248" s="3911"/>
      <c r="BW248" s="3912"/>
      <c r="BX248" s="3396"/>
    </row>
    <row r="249" spans="4:76" ht="17.100000000000001" customHeight="1" x14ac:dyDescent="0.15">
      <c r="D249" s="3396"/>
      <c r="E249" s="3907"/>
      <c r="F249" s="3908"/>
      <c r="G249" s="3908"/>
      <c r="H249" s="3908"/>
      <c r="I249" s="3908"/>
      <c r="J249" s="3908"/>
      <c r="K249" s="3908"/>
      <c r="L249" s="3908"/>
      <c r="M249" s="3908"/>
      <c r="N249" s="3908"/>
      <c r="O249" s="3908"/>
      <c r="P249" s="3908"/>
      <c r="Q249" s="3908"/>
      <c r="R249" s="3908"/>
      <c r="S249" s="3908"/>
      <c r="T249" s="3909"/>
      <c r="U249" s="3913"/>
      <c r="AA249" s="3396"/>
      <c r="AB249" s="3907"/>
      <c r="AC249" s="3908"/>
      <c r="AD249" s="3908"/>
      <c r="AE249" s="3908"/>
      <c r="AF249" s="3908"/>
      <c r="AG249" s="3908"/>
      <c r="AH249" s="3908"/>
      <c r="AI249" s="3908"/>
      <c r="AJ249" s="3908"/>
      <c r="AK249" s="3909"/>
      <c r="AL249" s="3913"/>
      <c r="AP249" s="3914"/>
      <c r="AQ249" s="3907"/>
      <c r="AR249" s="3908"/>
      <c r="AS249" s="3908"/>
      <c r="AT249" s="3908"/>
      <c r="AU249" s="3908"/>
      <c r="AV249" s="3908"/>
      <c r="AW249" s="3908"/>
      <c r="AX249" s="3908"/>
      <c r="AY249" s="3908"/>
      <c r="AZ249" s="3909"/>
      <c r="BA249" s="3396"/>
      <c r="BG249" s="3914"/>
      <c r="BH249" s="3907"/>
      <c r="BI249" s="3908"/>
      <c r="BJ249" s="3908"/>
      <c r="BK249" s="3908"/>
      <c r="BL249" s="3908"/>
      <c r="BM249" s="3908"/>
      <c r="BN249" s="3908"/>
      <c r="BO249" s="3908"/>
      <c r="BP249" s="3908"/>
      <c r="BQ249" s="3908"/>
      <c r="BR249" s="3908"/>
      <c r="BS249" s="3908"/>
      <c r="BT249" s="3908"/>
      <c r="BU249" s="3908"/>
      <c r="BV249" s="3908"/>
      <c r="BW249" s="3909"/>
      <c r="BX249" s="3396"/>
    </row>
    <row r="250" spans="4:76" ht="17.100000000000001" customHeight="1" x14ac:dyDescent="0.15">
      <c r="D250" s="3396"/>
      <c r="E250" s="3910"/>
      <c r="F250" s="3911"/>
      <c r="G250" s="3911"/>
      <c r="H250" s="3911"/>
      <c r="I250" s="3911"/>
      <c r="J250" s="3911"/>
      <c r="K250" s="3911"/>
      <c r="L250" s="3911"/>
      <c r="M250" s="3911"/>
      <c r="N250" s="3911"/>
      <c r="O250" s="3911"/>
      <c r="P250" s="3911"/>
      <c r="Q250" s="3911"/>
      <c r="R250" s="3911"/>
      <c r="S250" s="3911"/>
      <c r="T250" s="3912"/>
      <c r="U250" s="3914"/>
      <c r="AA250" s="3396"/>
      <c r="AB250" s="3910"/>
      <c r="AC250" s="3911"/>
      <c r="AD250" s="3911"/>
      <c r="AE250" s="3911"/>
      <c r="AF250" s="3911"/>
      <c r="AG250" s="3911"/>
      <c r="AH250" s="3911"/>
      <c r="AI250" s="3911"/>
      <c r="AJ250" s="3911"/>
      <c r="AK250" s="3912"/>
      <c r="AL250" s="3914"/>
      <c r="AP250" s="3914"/>
      <c r="AQ250" s="3910"/>
      <c r="AR250" s="3911"/>
      <c r="AS250" s="3911"/>
      <c r="AT250" s="3911"/>
      <c r="AU250" s="3911"/>
      <c r="AV250" s="3911"/>
      <c r="AW250" s="3911"/>
      <c r="AX250" s="3911"/>
      <c r="AY250" s="3911"/>
      <c r="AZ250" s="3912"/>
      <c r="BA250" s="3396"/>
      <c r="BG250" s="3914"/>
      <c r="BH250" s="3910"/>
      <c r="BI250" s="3911"/>
      <c r="BJ250" s="3911"/>
      <c r="BK250" s="3911"/>
      <c r="BL250" s="3911"/>
      <c r="BM250" s="3911"/>
      <c r="BN250" s="3911"/>
      <c r="BO250" s="3911"/>
      <c r="BP250" s="3911"/>
      <c r="BQ250" s="3911"/>
      <c r="BR250" s="3911"/>
      <c r="BS250" s="3911"/>
      <c r="BT250" s="3911"/>
      <c r="BU250" s="3911"/>
      <c r="BV250" s="3911"/>
      <c r="BW250" s="3912"/>
      <c r="BX250" s="3396"/>
    </row>
    <row r="251" spans="4:76" ht="17.100000000000001" customHeight="1" x14ac:dyDescent="0.15">
      <c r="D251" s="3396"/>
      <c r="E251" s="3907"/>
      <c r="F251" s="3908"/>
      <c r="G251" s="3908"/>
      <c r="H251" s="3908"/>
      <c r="I251" s="3908"/>
      <c r="J251" s="3908"/>
      <c r="K251" s="3908"/>
      <c r="L251" s="3908"/>
      <c r="M251" s="3908"/>
      <c r="N251" s="3908"/>
      <c r="O251" s="3908"/>
      <c r="P251" s="3908"/>
      <c r="Q251" s="3908"/>
      <c r="R251" s="3908"/>
      <c r="S251" s="3908"/>
      <c r="T251" s="3909"/>
      <c r="U251" s="3913"/>
      <c r="AA251" s="3396"/>
      <c r="AB251" s="3907"/>
      <c r="AC251" s="3908"/>
      <c r="AD251" s="3908"/>
      <c r="AE251" s="3908"/>
      <c r="AF251" s="3908"/>
      <c r="AG251" s="3908"/>
      <c r="AH251" s="3908"/>
      <c r="AI251" s="3908"/>
      <c r="AJ251" s="3908"/>
      <c r="AK251" s="3909"/>
      <c r="AL251" s="3913"/>
      <c r="AP251" s="3914"/>
      <c r="AQ251" s="3907"/>
      <c r="AR251" s="3908"/>
      <c r="AS251" s="3908"/>
      <c r="AT251" s="3908"/>
      <c r="AU251" s="3908"/>
      <c r="AV251" s="3908"/>
      <c r="AW251" s="3908"/>
      <c r="AX251" s="3908"/>
      <c r="AY251" s="3908"/>
      <c r="AZ251" s="3909"/>
      <c r="BA251" s="3396"/>
      <c r="BG251" s="3914"/>
      <c r="BH251" s="3907"/>
      <c r="BI251" s="3908"/>
      <c r="BJ251" s="3908"/>
      <c r="BK251" s="3908"/>
      <c r="BL251" s="3908"/>
      <c r="BM251" s="3908"/>
      <c r="BN251" s="3908"/>
      <c r="BO251" s="3908"/>
      <c r="BP251" s="3908"/>
      <c r="BQ251" s="3908"/>
      <c r="BR251" s="3908"/>
      <c r="BS251" s="3908"/>
      <c r="BT251" s="3908"/>
      <c r="BU251" s="3908"/>
      <c r="BV251" s="3908"/>
      <c r="BW251" s="3909"/>
      <c r="BX251" s="3396"/>
    </row>
    <row r="252" spans="4:76" ht="17.100000000000001" customHeight="1" x14ac:dyDescent="0.15">
      <c r="D252" s="3396"/>
      <c r="E252" s="3910"/>
      <c r="F252" s="3911"/>
      <c r="G252" s="3911"/>
      <c r="H252" s="3911"/>
      <c r="I252" s="3911"/>
      <c r="J252" s="3911"/>
      <c r="K252" s="3911"/>
      <c r="L252" s="3911"/>
      <c r="M252" s="3911"/>
      <c r="N252" s="3911"/>
      <c r="O252" s="3911"/>
      <c r="P252" s="3911"/>
      <c r="Q252" s="3911"/>
      <c r="R252" s="3911"/>
      <c r="S252" s="3911"/>
      <c r="T252" s="3912"/>
      <c r="U252" s="3914"/>
      <c r="AA252" s="3396"/>
      <c r="AB252" s="3910"/>
      <c r="AC252" s="3911"/>
      <c r="AD252" s="3911"/>
      <c r="AE252" s="3911"/>
      <c r="AF252" s="3911"/>
      <c r="AG252" s="3911"/>
      <c r="AH252" s="3911"/>
      <c r="AI252" s="3911"/>
      <c r="AJ252" s="3911"/>
      <c r="AK252" s="3912"/>
      <c r="AL252" s="3914"/>
      <c r="AP252" s="3914"/>
      <c r="AQ252" s="3910"/>
      <c r="AR252" s="3911"/>
      <c r="AS252" s="3911"/>
      <c r="AT252" s="3911"/>
      <c r="AU252" s="3911"/>
      <c r="AV252" s="3911"/>
      <c r="AW252" s="3911"/>
      <c r="AX252" s="3911"/>
      <c r="AY252" s="3911"/>
      <c r="AZ252" s="3912"/>
      <c r="BA252" s="3396"/>
      <c r="BG252" s="3914"/>
      <c r="BH252" s="3910"/>
      <c r="BI252" s="3911"/>
      <c r="BJ252" s="3911"/>
      <c r="BK252" s="3911"/>
      <c r="BL252" s="3911"/>
      <c r="BM252" s="3911"/>
      <c r="BN252" s="3911"/>
      <c r="BO252" s="3911"/>
      <c r="BP252" s="3911"/>
      <c r="BQ252" s="3911"/>
      <c r="BR252" s="3911"/>
      <c r="BS252" s="3911"/>
      <c r="BT252" s="3911"/>
      <c r="BU252" s="3911"/>
      <c r="BV252" s="3911"/>
      <c r="BW252" s="3912"/>
      <c r="BX252" s="3396"/>
    </row>
    <row r="253" spans="4:76" ht="17.100000000000001" customHeight="1" x14ac:dyDescent="0.15">
      <c r="D253" s="3396"/>
      <c r="E253" s="3907"/>
      <c r="F253" s="3908"/>
      <c r="G253" s="3908"/>
      <c r="H253" s="3908"/>
      <c r="I253" s="3908"/>
      <c r="J253" s="3908"/>
      <c r="K253" s="3908"/>
      <c r="L253" s="3908"/>
      <c r="M253" s="3908"/>
      <c r="N253" s="3908"/>
      <c r="O253" s="3908"/>
      <c r="P253" s="3908"/>
      <c r="Q253" s="3908"/>
      <c r="R253" s="3908"/>
      <c r="S253" s="3908"/>
      <c r="T253" s="3909"/>
      <c r="U253" s="3913"/>
      <c r="AA253" s="3396"/>
      <c r="AB253" s="3907"/>
      <c r="AC253" s="3908"/>
      <c r="AD253" s="3908"/>
      <c r="AE253" s="3908"/>
      <c r="AF253" s="3908"/>
      <c r="AG253" s="3908"/>
      <c r="AH253" s="3908"/>
      <c r="AI253" s="3908"/>
      <c r="AJ253" s="3908"/>
      <c r="AK253" s="3909"/>
      <c r="AL253" s="3913"/>
      <c r="AP253" s="3914"/>
      <c r="AQ253" s="3907"/>
      <c r="AR253" s="3908"/>
      <c r="AS253" s="3908"/>
      <c r="AT253" s="3908"/>
      <c r="AU253" s="3908"/>
      <c r="AV253" s="3908"/>
      <c r="AW253" s="3908"/>
      <c r="AX253" s="3908"/>
      <c r="AY253" s="3908"/>
      <c r="AZ253" s="3909"/>
      <c r="BA253" s="3396"/>
      <c r="BG253" s="3914"/>
      <c r="BH253" s="3907"/>
      <c r="BI253" s="3908"/>
      <c r="BJ253" s="3908"/>
      <c r="BK253" s="3908"/>
      <c r="BL253" s="3908"/>
      <c r="BM253" s="3908"/>
      <c r="BN253" s="3908"/>
      <c r="BO253" s="3908"/>
      <c r="BP253" s="3908"/>
      <c r="BQ253" s="3908"/>
      <c r="BR253" s="3908"/>
      <c r="BS253" s="3908"/>
      <c r="BT253" s="3908"/>
      <c r="BU253" s="3908"/>
      <c r="BV253" s="3908"/>
      <c r="BW253" s="3909"/>
      <c r="BX253" s="3396"/>
    </row>
    <row r="254" spans="4:76" ht="17.100000000000001" customHeight="1" x14ac:dyDescent="0.15">
      <c r="D254" s="3396"/>
      <c r="E254" s="3910"/>
      <c r="F254" s="3911"/>
      <c r="G254" s="3911"/>
      <c r="H254" s="3911"/>
      <c r="I254" s="3911"/>
      <c r="J254" s="3911"/>
      <c r="K254" s="3911"/>
      <c r="L254" s="3911"/>
      <c r="M254" s="3911"/>
      <c r="N254" s="3911"/>
      <c r="O254" s="3911"/>
      <c r="P254" s="3911"/>
      <c r="Q254" s="3911"/>
      <c r="R254" s="3911"/>
      <c r="S254" s="3911"/>
      <c r="T254" s="3912"/>
      <c r="U254" s="3914"/>
      <c r="AA254" s="3396"/>
      <c r="AB254" s="3910"/>
      <c r="AC254" s="3911"/>
      <c r="AD254" s="3911"/>
      <c r="AE254" s="3911"/>
      <c r="AF254" s="3911"/>
      <c r="AG254" s="3911"/>
      <c r="AH254" s="3911"/>
      <c r="AI254" s="3911"/>
      <c r="AJ254" s="3911"/>
      <c r="AK254" s="3912"/>
      <c r="AL254" s="3914"/>
      <c r="AP254" s="3914"/>
      <c r="AQ254" s="3910"/>
      <c r="AR254" s="3911"/>
      <c r="AS254" s="3911"/>
      <c r="AT254" s="3911"/>
      <c r="AU254" s="3911"/>
      <c r="AV254" s="3911"/>
      <c r="AW254" s="3911"/>
      <c r="AX254" s="3911"/>
      <c r="AY254" s="3911"/>
      <c r="AZ254" s="3912"/>
      <c r="BA254" s="3396"/>
      <c r="BG254" s="3914"/>
      <c r="BH254" s="3910"/>
      <c r="BI254" s="3911"/>
      <c r="BJ254" s="3911"/>
      <c r="BK254" s="3911"/>
      <c r="BL254" s="3911"/>
      <c r="BM254" s="3911"/>
      <c r="BN254" s="3911"/>
      <c r="BO254" s="3911"/>
      <c r="BP254" s="3911"/>
      <c r="BQ254" s="3911"/>
      <c r="BR254" s="3911"/>
      <c r="BS254" s="3911"/>
      <c r="BT254" s="3911"/>
      <c r="BU254" s="3911"/>
      <c r="BV254" s="3911"/>
      <c r="BW254" s="3912"/>
      <c r="BX254" s="3396"/>
    </row>
    <row r="255" spans="4:76" ht="17.100000000000001" customHeight="1" x14ac:dyDescent="0.15">
      <c r="D255" s="3396"/>
      <c r="E255" s="3907"/>
      <c r="F255" s="3908"/>
      <c r="G255" s="3908"/>
      <c r="H255" s="3908"/>
      <c r="I255" s="3908"/>
      <c r="J255" s="3908"/>
      <c r="K255" s="3908"/>
      <c r="L255" s="3908"/>
      <c r="M255" s="3908"/>
      <c r="N255" s="3908"/>
      <c r="O255" s="3908"/>
      <c r="P255" s="3908"/>
      <c r="Q255" s="3908"/>
      <c r="R255" s="3908"/>
      <c r="S255" s="3908"/>
      <c r="T255" s="3909"/>
      <c r="U255" s="3913"/>
      <c r="AA255" s="3396"/>
      <c r="AB255" s="3907"/>
      <c r="AC255" s="3908"/>
      <c r="AD255" s="3908"/>
      <c r="AE255" s="3908"/>
      <c r="AF255" s="3908"/>
      <c r="AG255" s="3908"/>
      <c r="AH255" s="3908"/>
      <c r="AI255" s="3908"/>
      <c r="AJ255" s="3908"/>
      <c r="AK255" s="3909"/>
      <c r="AL255" s="3913"/>
      <c r="AP255" s="3914"/>
      <c r="AQ255" s="3907"/>
      <c r="AR255" s="3908"/>
      <c r="AS255" s="3908"/>
      <c r="AT255" s="3908"/>
      <c r="AU255" s="3908"/>
      <c r="AV255" s="3908"/>
      <c r="AW255" s="3908"/>
      <c r="AX255" s="3908"/>
      <c r="AY255" s="3908"/>
      <c r="AZ255" s="3909"/>
      <c r="BA255" s="3396"/>
      <c r="BG255" s="3914"/>
      <c r="BH255" s="3907"/>
      <c r="BI255" s="3908"/>
      <c r="BJ255" s="3908"/>
      <c r="BK255" s="3908"/>
      <c r="BL255" s="3908"/>
      <c r="BM255" s="3908"/>
      <c r="BN255" s="3908"/>
      <c r="BO255" s="3908"/>
      <c r="BP255" s="3908"/>
      <c r="BQ255" s="3908"/>
      <c r="BR255" s="3908"/>
      <c r="BS255" s="3908"/>
      <c r="BT255" s="3908"/>
      <c r="BU255" s="3908"/>
      <c r="BV255" s="3908"/>
      <c r="BW255" s="3909"/>
      <c r="BX255" s="3396"/>
    </row>
    <row r="256" spans="4:76" ht="17.100000000000001" customHeight="1" x14ac:dyDescent="0.15">
      <c r="D256" s="3396"/>
      <c r="E256" s="3910"/>
      <c r="F256" s="3911"/>
      <c r="G256" s="3911"/>
      <c r="H256" s="3911"/>
      <c r="I256" s="3911"/>
      <c r="J256" s="3911"/>
      <c r="K256" s="3911"/>
      <c r="L256" s="3911"/>
      <c r="M256" s="3911"/>
      <c r="N256" s="3911"/>
      <c r="O256" s="3911"/>
      <c r="P256" s="3911"/>
      <c r="Q256" s="3911"/>
      <c r="R256" s="3911"/>
      <c r="S256" s="3911"/>
      <c r="T256" s="3912"/>
      <c r="U256" s="3914"/>
      <c r="AA256" s="3396"/>
      <c r="AB256" s="3910"/>
      <c r="AC256" s="3911"/>
      <c r="AD256" s="3911"/>
      <c r="AE256" s="3911"/>
      <c r="AF256" s="3911"/>
      <c r="AG256" s="3911"/>
      <c r="AH256" s="3911"/>
      <c r="AI256" s="3911"/>
      <c r="AJ256" s="3911"/>
      <c r="AK256" s="3912"/>
      <c r="AL256" s="3914"/>
      <c r="AP256" s="3914"/>
      <c r="AQ256" s="3910"/>
      <c r="AR256" s="3911"/>
      <c r="AS256" s="3911"/>
      <c r="AT256" s="3911"/>
      <c r="AU256" s="3911"/>
      <c r="AV256" s="3911"/>
      <c r="AW256" s="3911"/>
      <c r="AX256" s="3911"/>
      <c r="AY256" s="3911"/>
      <c r="AZ256" s="3912"/>
      <c r="BA256" s="3396"/>
      <c r="BG256" s="3914"/>
      <c r="BH256" s="3910"/>
      <c r="BI256" s="3911"/>
      <c r="BJ256" s="3911"/>
      <c r="BK256" s="3911"/>
      <c r="BL256" s="3911"/>
      <c r="BM256" s="3911"/>
      <c r="BN256" s="3911"/>
      <c r="BO256" s="3911"/>
      <c r="BP256" s="3911"/>
      <c r="BQ256" s="3911"/>
      <c r="BR256" s="3911"/>
      <c r="BS256" s="3911"/>
      <c r="BT256" s="3911"/>
      <c r="BU256" s="3911"/>
      <c r="BV256" s="3911"/>
      <c r="BW256" s="3912"/>
      <c r="BX256" s="3396"/>
    </row>
    <row r="257" spans="4:76" ht="17.100000000000001" customHeight="1" x14ac:dyDescent="0.15">
      <c r="D257" s="3396"/>
      <c r="E257" s="3907"/>
      <c r="F257" s="3908"/>
      <c r="G257" s="3908"/>
      <c r="H257" s="3908"/>
      <c r="I257" s="3908"/>
      <c r="J257" s="3908"/>
      <c r="K257" s="3908"/>
      <c r="L257" s="3908"/>
      <c r="M257" s="3908"/>
      <c r="N257" s="3908"/>
      <c r="O257" s="3908"/>
      <c r="P257" s="3908"/>
      <c r="Q257" s="3908"/>
      <c r="R257" s="3908"/>
      <c r="S257" s="3908"/>
      <c r="T257" s="3909"/>
      <c r="U257" s="3913"/>
      <c r="AA257" s="3396"/>
      <c r="AB257" s="3907"/>
      <c r="AC257" s="3908"/>
      <c r="AD257" s="3908"/>
      <c r="AE257" s="3908"/>
      <c r="AF257" s="3908"/>
      <c r="AG257" s="3908"/>
      <c r="AH257" s="3908"/>
      <c r="AI257" s="3908"/>
      <c r="AJ257" s="3908"/>
      <c r="AK257" s="3909"/>
      <c r="AL257" s="3913"/>
      <c r="AP257" s="3914"/>
      <c r="AQ257" s="3907"/>
      <c r="AR257" s="3908"/>
      <c r="AS257" s="3908"/>
      <c r="AT257" s="3908"/>
      <c r="AU257" s="3908"/>
      <c r="AV257" s="3908"/>
      <c r="AW257" s="3908"/>
      <c r="AX257" s="3908"/>
      <c r="AY257" s="3908"/>
      <c r="AZ257" s="3909"/>
      <c r="BA257" s="3396"/>
      <c r="BG257" s="3914"/>
      <c r="BH257" s="3907"/>
      <c r="BI257" s="3908"/>
      <c r="BJ257" s="3908"/>
      <c r="BK257" s="3908"/>
      <c r="BL257" s="3908"/>
      <c r="BM257" s="3908"/>
      <c r="BN257" s="3908"/>
      <c r="BO257" s="3908"/>
      <c r="BP257" s="3908"/>
      <c r="BQ257" s="3908"/>
      <c r="BR257" s="3908"/>
      <c r="BS257" s="3908"/>
      <c r="BT257" s="3908"/>
      <c r="BU257" s="3908"/>
      <c r="BV257" s="3908"/>
      <c r="BW257" s="3909"/>
      <c r="BX257" s="3396"/>
    </row>
    <row r="258" spans="4:76" ht="17.100000000000001" customHeight="1" x14ac:dyDescent="0.15">
      <c r="D258" s="3396"/>
      <c r="E258" s="3910"/>
      <c r="F258" s="3911"/>
      <c r="G258" s="3911"/>
      <c r="H258" s="3911"/>
      <c r="I258" s="3911"/>
      <c r="J258" s="3911"/>
      <c r="K258" s="3911"/>
      <c r="L258" s="3911"/>
      <c r="M258" s="3911"/>
      <c r="N258" s="3911"/>
      <c r="O258" s="3911"/>
      <c r="P258" s="3911"/>
      <c r="Q258" s="3911"/>
      <c r="R258" s="3911"/>
      <c r="S258" s="3911"/>
      <c r="T258" s="3912"/>
      <c r="U258" s="3914"/>
      <c r="AA258" s="3396"/>
      <c r="AB258" s="3910"/>
      <c r="AC258" s="3911"/>
      <c r="AD258" s="3911"/>
      <c r="AE258" s="3911"/>
      <c r="AF258" s="3911"/>
      <c r="AG258" s="3911"/>
      <c r="AH258" s="3911"/>
      <c r="AI258" s="3911"/>
      <c r="AJ258" s="3911"/>
      <c r="AK258" s="3912"/>
      <c r="AL258" s="3914"/>
      <c r="AP258" s="3914"/>
      <c r="AQ258" s="3910"/>
      <c r="AR258" s="3911"/>
      <c r="AS258" s="3911"/>
      <c r="AT258" s="3911"/>
      <c r="AU258" s="3911"/>
      <c r="AV258" s="3911"/>
      <c r="AW258" s="3911"/>
      <c r="AX258" s="3911"/>
      <c r="AY258" s="3911"/>
      <c r="AZ258" s="3912"/>
      <c r="BA258" s="3396"/>
      <c r="BG258" s="3914"/>
      <c r="BH258" s="3910"/>
      <c r="BI258" s="3911"/>
      <c r="BJ258" s="3911"/>
      <c r="BK258" s="3911"/>
      <c r="BL258" s="3911"/>
      <c r="BM258" s="3911"/>
      <c r="BN258" s="3911"/>
      <c r="BO258" s="3911"/>
      <c r="BP258" s="3911"/>
      <c r="BQ258" s="3911"/>
      <c r="BR258" s="3911"/>
      <c r="BS258" s="3911"/>
      <c r="BT258" s="3911"/>
      <c r="BU258" s="3911"/>
      <c r="BV258" s="3911"/>
      <c r="BW258" s="3912"/>
      <c r="BX258" s="3396"/>
    </row>
    <row r="259" spans="4:76" ht="17.100000000000001" customHeight="1" x14ac:dyDescent="0.15">
      <c r="D259" s="3396"/>
      <c r="E259" s="3907"/>
      <c r="F259" s="3908"/>
      <c r="G259" s="3908"/>
      <c r="H259" s="3908"/>
      <c r="I259" s="3908"/>
      <c r="J259" s="3908"/>
      <c r="K259" s="3908"/>
      <c r="L259" s="3908"/>
      <c r="M259" s="3908"/>
      <c r="N259" s="3908"/>
      <c r="O259" s="3908"/>
      <c r="P259" s="3908"/>
      <c r="Q259" s="3908"/>
      <c r="R259" s="3908"/>
      <c r="S259" s="3908"/>
      <c r="T259" s="3909"/>
      <c r="U259" s="3913"/>
      <c r="AA259" s="3396"/>
      <c r="AB259" s="3907"/>
      <c r="AC259" s="3908"/>
      <c r="AD259" s="3908"/>
      <c r="AE259" s="3908"/>
      <c r="AF259" s="3908"/>
      <c r="AG259" s="3908"/>
      <c r="AH259" s="3908"/>
      <c r="AI259" s="3908"/>
      <c r="AJ259" s="3908"/>
      <c r="AK259" s="3909"/>
      <c r="AL259" s="3913"/>
      <c r="AP259" s="3914"/>
      <c r="AQ259" s="3907"/>
      <c r="AR259" s="3908"/>
      <c r="AS259" s="3908"/>
      <c r="AT259" s="3908"/>
      <c r="AU259" s="3908"/>
      <c r="AV259" s="3908"/>
      <c r="AW259" s="3908"/>
      <c r="AX259" s="3908"/>
      <c r="AY259" s="3908"/>
      <c r="AZ259" s="3909"/>
      <c r="BA259" s="3396"/>
      <c r="BG259" s="3914"/>
      <c r="BH259" s="3907"/>
      <c r="BI259" s="3908"/>
      <c r="BJ259" s="3908"/>
      <c r="BK259" s="3908"/>
      <c r="BL259" s="3908"/>
      <c r="BM259" s="3908"/>
      <c r="BN259" s="3908"/>
      <c r="BO259" s="3908"/>
      <c r="BP259" s="3908"/>
      <c r="BQ259" s="3908"/>
      <c r="BR259" s="3908"/>
      <c r="BS259" s="3908"/>
      <c r="BT259" s="3908"/>
      <c r="BU259" s="3908"/>
      <c r="BV259" s="3908"/>
      <c r="BW259" s="3909"/>
      <c r="BX259" s="3396"/>
    </row>
    <row r="260" spans="4:76" ht="17.100000000000001" customHeight="1" x14ac:dyDescent="0.15">
      <c r="D260" s="3396"/>
      <c r="E260" s="3910"/>
      <c r="F260" s="3911"/>
      <c r="G260" s="3911"/>
      <c r="H260" s="3911"/>
      <c r="I260" s="3911"/>
      <c r="J260" s="3911"/>
      <c r="K260" s="3911"/>
      <c r="L260" s="3911"/>
      <c r="M260" s="3911"/>
      <c r="N260" s="3911"/>
      <c r="O260" s="3911"/>
      <c r="P260" s="3911"/>
      <c r="Q260" s="3911"/>
      <c r="R260" s="3911"/>
      <c r="S260" s="3911"/>
      <c r="T260" s="3912"/>
      <c r="U260" s="3914"/>
      <c r="AA260" s="3396"/>
      <c r="AB260" s="3910"/>
      <c r="AC260" s="3911"/>
      <c r="AD260" s="3911"/>
      <c r="AE260" s="3911"/>
      <c r="AF260" s="3911"/>
      <c r="AG260" s="3911"/>
      <c r="AH260" s="3911"/>
      <c r="AI260" s="3911"/>
      <c r="AJ260" s="3911"/>
      <c r="AK260" s="3912"/>
      <c r="AL260" s="3914"/>
      <c r="AP260" s="3914"/>
      <c r="AQ260" s="3910"/>
      <c r="AR260" s="3911"/>
      <c r="AS260" s="3911"/>
      <c r="AT260" s="3911"/>
      <c r="AU260" s="3911"/>
      <c r="AV260" s="3911"/>
      <c r="AW260" s="3911"/>
      <c r="AX260" s="3911"/>
      <c r="AY260" s="3911"/>
      <c r="AZ260" s="3912"/>
      <c r="BA260" s="3396"/>
      <c r="BG260" s="3914"/>
      <c r="BH260" s="3910"/>
      <c r="BI260" s="3911"/>
      <c r="BJ260" s="3911"/>
      <c r="BK260" s="3911"/>
      <c r="BL260" s="3911"/>
      <c r="BM260" s="3911"/>
      <c r="BN260" s="3911"/>
      <c r="BO260" s="3911"/>
      <c r="BP260" s="3911"/>
      <c r="BQ260" s="3911"/>
      <c r="BR260" s="3911"/>
      <c r="BS260" s="3911"/>
      <c r="BT260" s="3911"/>
      <c r="BU260" s="3911"/>
      <c r="BV260" s="3911"/>
      <c r="BW260" s="3912"/>
      <c r="BX260" s="3396"/>
    </row>
    <row r="261" spans="4:76" ht="17.100000000000001" customHeight="1" x14ac:dyDescent="0.15">
      <c r="D261" s="3396"/>
      <c r="E261" s="3907"/>
      <c r="F261" s="3908"/>
      <c r="G261" s="3908"/>
      <c r="H261" s="3908"/>
      <c r="I261" s="3908"/>
      <c r="J261" s="3908"/>
      <c r="K261" s="3908"/>
      <c r="L261" s="3908"/>
      <c r="M261" s="3908"/>
      <c r="N261" s="3908"/>
      <c r="O261" s="3908"/>
      <c r="P261" s="3908"/>
      <c r="Q261" s="3908"/>
      <c r="R261" s="3908"/>
      <c r="S261" s="3908"/>
      <c r="T261" s="3909"/>
      <c r="U261" s="3913"/>
      <c r="AA261" s="3396"/>
      <c r="AB261" s="3907"/>
      <c r="AC261" s="3908"/>
      <c r="AD261" s="3908"/>
      <c r="AE261" s="3908"/>
      <c r="AF261" s="3908"/>
      <c r="AG261" s="3908"/>
      <c r="AH261" s="3908"/>
      <c r="AI261" s="3908"/>
      <c r="AJ261" s="3908"/>
      <c r="AK261" s="3909"/>
      <c r="AL261" s="3913"/>
      <c r="AP261" s="3914"/>
      <c r="AQ261" s="3907"/>
      <c r="AR261" s="3908"/>
      <c r="AS261" s="3908"/>
      <c r="AT261" s="3908"/>
      <c r="AU261" s="3908"/>
      <c r="AV261" s="3908"/>
      <c r="AW261" s="3908"/>
      <c r="AX261" s="3908"/>
      <c r="AY261" s="3908"/>
      <c r="AZ261" s="3909"/>
      <c r="BA261" s="3396"/>
      <c r="BG261" s="3914"/>
      <c r="BH261" s="3907"/>
      <c r="BI261" s="3908"/>
      <c r="BJ261" s="3908"/>
      <c r="BK261" s="3908"/>
      <c r="BL261" s="3908"/>
      <c r="BM261" s="3908"/>
      <c r="BN261" s="3908"/>
      <c r="BO261" s="3908"/>
      <c r="BP261" s="3908"/>
      <c r="BQ261" s="3908"/>
      <c r="BR261" s="3908"/>
      <c r="BS261" s="3908"/>
      <c r="BT261" s="3908"/>
      <c r="BU261" s="3908"/>
      <c r="BV261" s="3908"/>
      <c r="BW261" s="3909"/>
      <c r="BX261" s="3396"/>
    </row>
    <row r="262" spans="4:76" ht="17.100000000000001" customHeight="1" x14ac:dyDescent="0.15">
      <c r="D262" s="3396"/>
      <c r="E262" s="3910"/>
      <c r="F262" s="3911"/>
      <c r="G262" s="3911"/>
      <c r="H262" s="3911"/>
      <c r="I262" s="3911"/>
      <c r="J262" s="3911"/>
      <c r="K262" s="3911"/>
      <c r="L262" s="3911"/>
      <c r="M262" s="3911"/>
      <c r="N262" s="3911"/>
      <c r="O262" s="3911"/>
      <c r="P262" s="3911"/>
      <c r="Q262" s="3911"/>
      <c r="R262" s="3911"/>
      <c r="S262" s="3911"/>
      <c r="T262" s="3912"/>
      <c r="U262" s="3914"/>
      <c r="AA262" s="3396"/>
      <c r="AB262" s="3910"/>
      <c r="AC262" s="3911"/>
      <c r="AD262" s="3911"/>
      <c r="AE262" s="3911"/>
      <c r="AF262" s="3911"/>
      <c r="AG262" s="3911"/>
      <c r="AH262" s="3911"/>
      <c r="AI262" s="3911"/>
      <c r="AJ262" s="3911"/>
      <c r="AK262" s="3912"/>
      <c r="AL262" s="3914"/>
      <c r="AP262" s="3914"/>
      <c r="AQ262" s="3910"/>
      <c r="AR262" s="3911"/>
      <c r="AS262" s="3911"/>
      <c r="AT262" s="3911"/>
      <c r="AU262" s="3911"/>
      <c r="AV262" s="3911"/>
      <c r="AW262" s="3911"/>
      <c r="AX262" s="3911"/>
      <c r="AY262" s="3911"/>
      <c r="AZ262" s="3912"/>
      <c r="BA262" s="3396"/>
      <c r="BG262" s="3914"/>
      <c r="BH262" s="3910"/>
      <c r="BI262" s="3911"/>
      <c r="BJ262" s="3911"/>
      <c r="BK262" s="3911"/>
      <c r="BL262" s="3911"/>
      <c r="BM262" s="3911"/>
      <c r="BN262" s="3911"/>
      <c r="BO262" s="3911"/>
      <c r="BP262" s="3911"/>
      <c r="BQ262" s="3911"/>
      <c r="BR262" s="3911"/>
      <c r="BS262" s="3911"/>
      <c r="BT262" s="3911"/>
      <c r="BU262" s="3911"/>
      <c r="BV262" s="3911"/>
      <c r="BW262" s="3912"/>
      <c r="BX262" s="3396"/>
    </row>
    <row r="263" spans="4:76" ht="17.100000000000001" customHeight="1" x14ac:dyDescent="0.15">
      <c r="D263" s="3396"/>
      <c r="E263" s="3907"/>
      <c r="F263" s="3908"/>
      <c r="G263" s="3908"/>
      <c r="H263" s="3908"/>
      <c r="I263" s="3908"/>
      <c r="J263" s="3908"/>
      <c r="K263" s="3908"/>
      <c r="L263" s="3908"/>
      <c r="M263" s="3908"/>
      <c r="N263" s="3908"/>
      <c r="O263" s="3908"/>
      <c r="P263" s="3908"/>
      <c r="Q263" s="3908"/>
      <c r="R263" s="3908"/>
      <c r="S263" s="3908"/>
      <c r="T263" s="3909"/>
      <c r="U263" s="3913"/>
      <c r="AA263" s="3396"/>
      <c r="AB263" s="3907"/>
      <c r="AC263" s="3908"/>
      <c r="AD263" s="3908"/>
      <c r="AE263" s="3908"/>
      <c r="AF263" s="3908"/>
      <c r="AG263" s="3908"/>
      <c r="AH263" s="3908"/>
      <c r="AI263" s="3908"/>
      <c r="AJ263" s="3908"/>
      <c r="AK263" s="3909"/>
      <c r="AL263" s="3913"/>
      <c r="AP263" s="3914"/>
      <c r="AQ263" s="3907"/>
      <c r="AR263" s="3908"/>
      <c r="AS263" s="3908"/>
      <c r="AT263" s="3908"/>
      <c r="AU263" s="3908"/>
      <c r="AV263" s="3908"/>
      <c r="AW263" s="3908"/>
      <c r="AX263" s="3908"/>
      <c r="AY263" s="3908"/>
      <c r="AZ263" s="3909"/>
      <c r="BA263" s="3396"/>
      <c r="BG263" s="3914"/>
      <c r="BH263" s="3907"/>
      <c r="BI263" s="3908"/>
      <c r="BJ263" s="3908"/>
      <c r="BK263" s="3908"/>
      <c r="BL263" s="3908"/>
      <c r="BM263" s="3908"/>
      <c r="BN263" s="3908"/>
      <c r="BO263" s="3908"/>
      <c r="BP263" s="3908"/>
      <c r="BQ263" s="3908"/>
      <c r="BR263" s="3908"/>
      <c r="BS263" s="3908"/>
      <c r="BT263" s="3908"/>
      <c r="BU263" s="3908"/>
      <c r="BV263" s="3908"/>
      <c r="BW263" s="3909"/>
      <c r="BX263" s="3396"/>
    </row>
    <row r="264" spans="4:76" ht="17.100000000000001" customHeight="1" x14ac:dyDescent="0.15">
      <c r="D264" s="3396"/>
      <c r="E264" s="3910"/>
      <c r="F264" s="3911"/>
      <c r="G264" s="3911"/>
      <c r="H264" s="3911"/>
      <c r="I264" s="3911"/>
      <c r="J264" s="3911"/>
      <c r="K264" s="3911"/>
      <c r="L264" s="3911"/>
      <c r="M264" s="3911"/>
      <c r="N264" s="3911"/>
      <c r="O264" s="3911"/>
      <c r="P264" s="3911"/>
      <c r="Q264" s="3911"/>
      <c r="R264" s="3911"/>
      <c r="S264" s="3911"/>
      <c r="T264" s="3912"/>
      <c r="U264" s="3914"/>
      <c r="AA264" s="3396"/>
      <c r="AB264" s="3910"/>
      <c r="AC264" s="3911"/>
      <c r="AD264" s="3911"/>
      <c r="AE264" s="3911"/>
      <c r="AF264" s="3911"/>
      <c r="AG264" s="3911"/>
      <c r="AH264" s="3911"/>
      <c r="AI264" s="3911"/>
      <c r="AJ264" s="3911"/>
      <c r="AK264" s="3912"/>
      <c r="AL264" s="3914"/>
      <c r="AP264" s="3914"/>
      <c r="AQ264" s="3910"/>
      <c r="AR264" s="3911"/>
      <c r="AS264" s="3911"/>
      <c r="AT264" s="3911"/>
      <c r="AU264" s="3911"/>
      <c r="AV264" s="3911"/>
      <c r="AW264" s="3911"/>
      <c r="AX264" s="3911"/>
      <c r="AY264" s="3911"/>
      <c r="AZ264" s="3912"/>
      <c r="BA264" s="3396"/>
      <c r="BG264" s="3914"/>
      <c r="BH264" s="3910"/>
      <c r="BI264" s="3911"/>
      <c r="BJ264" s="3911"/>
      <c r="BK264" s="3911"/>
      <c r="BL264" s="3911"/>
      <c r="BM264" s="3911"/>
      <c r="BN264" s="3911"/>
      <c r="BO264" s="3911"/>
      <c r="BP264" s="3911"/>
      <c r="BQ264" s="3911"/>
      <c r="BR264" s="3911"/>
      <c r="BS264" s="3911"/>
      <c r="BT264" s="3911"/>
      <c r="BU264" s="3911"/>
      <c r="BV264" s="3911"/>
      <c r="BW264" s="3912"/>
      <c r="BX264" s="3396"/>
    </row>
    <row r="265" spans="4:76" ht="17.100000000000001" customHeight="1" x14ac:dyDescent="0.15">
      <c r="D265" s="3396"/>
      <c r="E265" s="3907"/>
      <c r="F265" s="3908"/>
      <c r="G265" s="3908"/>
      <c r="H265" s="3908"/>
      <c r="I265" s="3908"/>
      <c r="J265" s="3908"/>
      <c r="K265" s="3908"/>
      <c r="L265" s="3908"/>
      <c r="M265" s="3908"/>
      <c r="N265" s="3908"/>
      <c r="O265" s="3908"/>
      <c r="P265" s="3908"/>
      <c r="Q265" s="3908"/>
      <c r="R265" s="3908"/>
      <c r="S265" s="3908"/>
      <c r="T265" s="3909"/>
      <c r="U265" s="3913"/>
      <c r="AA265" s="3396"/>
      <c r="AB265" s="3907"/>
      <c r="AC265" s="3908"/>
      <c r="AD265" s="3908"/>
      <c r="AE265" s="3908"/>
      <c r="AF265" s="3908"/>
      <c r="AG265" s="3908"/>
      <c r="AH265" s="3908"/>
      <c r="AI265" s="3908"/>
      <c r="AJ265" s="3908"/>
      <c r="AK265" s="3909"/>
      <c r="AL265" s="3913"/>
      <c r="AP265" s="3914"/>
      <c r="AQ265" s="3907"/>
      <c r="AR265" s="3908"/>
      <c r="AS265" s="3908"/>
      <c r="AT265" s="3908"/>
      <c r="AU265" s="3908"/>
      <c r="AV265" s="3908"/>
      <c r="AW265" s="3908"/>
      <c r="AX265" s="3908"/>
      <c r="AY265" s="3908"/>
      <c r="AZ265" s="3909"/>
      <c r="BA265" s="3396"/>
      <c r="BG265" s="3914"/>
      <c r="BH265" s="3907"/>
      <c r="BI265" s="3908"/>
      <c r="BJ265" s="3908"/>
      <c r="BK265" s="3908"/>
      <c r="BL265" s="3908"/>
      <c r="BM265" s="3908"/>
      <c r="BN265" s="3908"/>
      <c r="BO265" s="3908"/>
      <c r="BP265" s="3908"/>
      <c r="BQ265" s="3908"/>
      <c r="BR265" s="3908"/>
      <c r="BS265" s="3908"/>
      <c r="BT265" s="3908"/>
      <c r="BU265" s="3908"/>
      <c r="BV265" s="3908"/>
      <c r="BW265" s="3909"/>
      <c r="BX265" s="3396"/>
    </row>
    <row r="266" spans="4:76" ht="17.100000000000001" customHeight="1" x14ac:dyDescent="0.15">
      <c r="D266" s="3396"/>
      <c r="E266" s="3910"/>
      <c r="F266" s="3911"/>
      <c r="G266" s="3911"/>
      <c r="H266" s="3911"/>
      <c r="I266" s="3911"/>
      <c r="J266" s="3911"/>
      <c r="K266" s="3911"/>
      <c r="L266" s="3911"/>
      <c r="M266" s="3911"/>
      <c r="N266" s="3911"/>
      <c r="O266" s="3911"/>
      <c r="P266" s="3911"/>
      <c r="Q266" s="3911"/>
      <c r="R266" s="3911"/>
      <c r="S266" s="3911"/>
      <c r="T266" s="3912"/>
      <c r="U266" s="3914"/>
      <c r="AA266" s="3396"/>
      <c r="AB266" s="3910"/>
      <c r="AC266" s="3911"/>
      <c r="AD266" s="3911"/>
      <c r="AE266" s="3911"/>
      <c r="AF266" s="3911"/>
      <c r="AG266" s="3911"/>
      <c r="AH266" s="3911"/>
      <c r="AI266" s="3911"/>
      <c r="AJ266" s="3911"/>
      <c r="AK266" s="3912"/>
      <c r="AL266" s="3914"/>
      <c r="AP266" s="3914"/>
      <c r="AQ266" s="3910"/>
      <c r="AR266" s="3911"/>
      <c r="AS266" s="3911"/>
      <c r="AT266" s="3911"/>
      <c r="AU266" s="3911"/>
      <c r="AV266" s="3911"/>
      <c r="AW266" s="3911"/>
      <c r="AX266" s="3911"/>
      <c r="AY266" s="3911"/>
      <c r="AZ266" s="3912"/>
      <c r="BA266" s="3396"/>
      <c r="BG266" s="3914"/>
      <c r="BH266" s="3910"/>
      <c r="BI266" s="3911"/>
      <c r="BJ266" s="3911"/>
      <c r="BK266" s="3911"/>
      <c r="BL266" s="3911"/>
      <c r="BM266" s="3911"/>
      <c r="BN266" s="3911"/>
      <c r="BO266" s="3911"/>
      <c r="BP266" s="3911"/>
      <c r="BQ266" s="3911"/>
      <c r="BR266" s="3911"/>
      <c r="BS266" s="3911"/>
      <c r="BT266" s="3911"/>
      <c r="BU266" s="3911"/>
      <c r="BV266" s="3911"/>
      <c r="BW266" s="3912"/>
      <c r="BX266" s="3396"/>
    </row>
    <row r="267" spans="4:76" ht="17.100000000000001" customHeight="1" x14ac:dyDescent="0.15">
      <c r="D267" s="3396"/>
      <c r="E267" s="3907"/>
      <c r="F267" s="3908"/>
      <c r="G267" s="3908"/>
      <c r="H267" s="3908"/>
      <c r="I267" s="3908"/>
      <c r="J267" s="3908"/>
      <c r="K267" s="3908"/>
      <c r="L267" s="3908"/>
      <c r="M267" s="3908"/>
      <c r="N267" s="3908"/>
      <c r="O267" s="3908"/>
      <c r="P267" s="3908"/>
      <c r="Q267" s="3908"/>
      <c r="R267" s="3908"/>
      <c r="S267" s="3908"/>
      <c r="T267" s="3909"/>
      <c r="U267" s="3913"/>
      <c r="AA267" s="3396"/>
      <c r="AB267" s="3907"/>
      <c r="AC267" s="3908"/>
      <c r="AD267" s="3908"/>
      <c r="AE267" s="3908"/>
      <c r="AF267" s="3908"/>
      <c r="AG267" s="3908"/>
      <c r="AH267" s="3908"/>
      <c r="AI267" s="3908"/>
      <c r="AJ267" s="3908"/>
      <c r="AK267" s="3909"/>
      <c r="AL267" s="3913"/>
      <c r="AP267" s="3914"/>
      <c r="AQ267" s="3907"/>
      <c r="AR267" s="3908"/>
      <c r="AS267" s="3908"/>
      <c r="AT267" s="3908"/>
      <c r="AU267" s="3908"/>
      <c r="AV267" s="3908"/>
      <c r="AW267" s="3908"/>
      <c r="AX267" s="3908"/>
      <c r="AY267" s="3908"/>
      <c r="AZ267" s="3909"/>
      <c r="BA267" s="3396"/>
      <c r="BG267" s="3914"/>
      <c r="BH267" s="3907"/>
      <c r="BI267" s="3908"/>
      <c r="BJ267" s="3908"/>
      <c r="BK267" s="3908"/>
      <c r="BL267" s="3908"/>
      <c r="BM267" s="3908"/>
      <c r="BN267" s="3908"/>
      <c r="BO267" s="3908"/>
      <c r="BP267" s="3908"/>
      <c r="BQ267" s="3908"/>
      <c r="BR267" s="3908"/>
      <c r="BS267" s="3908"/>
      <c r="BT267" s="3908"/>
      <c r="BU267" s="3908"/>
      <c r="BV267" s="3908"/>
      <c r="BW267" s="3909"/>
      <c r="BX267" s="3396"/>
    </row>
    <row r="268" spans="4:76" ht="17.100000000000001" customHeight="1" x14ac:dyDescent="0.15">
      <c r="D268" s="3396"/>
      <c r="E268" s="3910"/>
      <c r="F268" s="3911"/>
      <c r="G268" s="3911"/>
      <c r="H268" s="3911"/>
      <c r="I268" s="3911"/>
      <c r="J268" s="3911"/>
      <c r="K268" s="3911"/>
      <c r="L268" s="3911"/>
      <c r="M268" s="3911"/>
      <c r="N268" s="3911"/>
      <c r="O268" s="3911"/>
      <c r="P268" s="3911"/>
      <c r="Q268" s="3911"/>
      <c r="R268" s="3911"/>
      <c r="S268" s="3911"/>
      <c r="T268" s="3912"/>
      <c r="U268" s="3914"/>
      <c r="AA268" s="3396"/>
      <c r="AB268" s="3910"/>
      <c r="AC268" s="3911"/>
      <c r="AD268" s="3911"/>
      <c r="AE268" s="3911"/>
      <c r="AF268" s="3911"/>
      <c r="AG268" s="3911"/>
      <c r="AH268" s="3911"/>
      <c r="AI268" s="3911"/>
      <c r="AJ268" s="3911"/>
      <c r="AK268" s="3912"/>
      <c r="AL268" s="3914"/>
      <c r="AP268" s="3914"/>
      <c r="AQ268" s="3910"/>
      <c r="AR268" s="3911"/>
      <c r="AS268" s="3911"/>
      <c r="AT268" s="3911"/>
      <c r="AU268" s="3911"/>
      <c r="AV268" s="3911"/>
      <c r="AW268" s="3911"/>
      <c r="AX268" s="3911"/>
      <c r="AY268" s="3911"/>
      <c r="AZ268" s="3912"/>
      <c r="BA268" s="3396"/>
      <c r="BG268" s="3914"/>
      <c r="BH268" s="3910"/>
      <c r="BI268" s="3911"/>
      <c r="BJ268" s="3911"/>
      <c r="BK268" s="3911"/>
      <c r="BL268" s="3911"/>
      <c r="BM268" s="3911"/>
      <c r="BN268" s="3911"/>
      <c r="BO268" s="3911"/>
      <c r="BP268" s="3911"/>
      <c r="BQ268" s="3911"/>
      <c r="BR268" s="3911"/>
      <c r="BS268" s="3911"/>
      <c r="BT268" s="3911"/>
      <c r="BU268" s="3911"/>
      <c r="BV268" s="3911"/>
      <c r="BW268" s="3912"/>
      <c r="BX268" s="3396"/>
    </row>
    <row r="269" spans="4:76" ht="17.100000000000001" customHeight="1" x14ac:dyDescent="0.15">
      <c r="D269" s="3396"/>
      <c r="E269" s="3907"/>
      <c r="F269" s="3908"/>
      <c r="G269" s="3908"/>
      <c r="H269" s="3908"/>
      <c r="I269" s="3908"/>
      <c r="J269" s="3908"/>
      <c r="K269" s="3908"/>
      <c r="L269" s="3908"/>
      <c r="M269" s="3908"/>
      <c r="N269" s="3908"/>
      <c r="O269" s="3908"/>
      <c r="P269" s="3908"/>
      <c r="Q269" s="3908"/>
      <c r="R269" s="3908"/>
      <c r="S269" s="3908"/>
      <c r="T269" s="3909"/>
      <c r="U269" s="3913"/>
      <c r="AA269" s="3396"/>
      <c r="AB269" s="3907"/>
      <c r="AC269" s="3908"/>
      <c r="AD269" s="3908"/>
      <c r="AE269" s="3908"/>
      <c r="AF269" s="3908"/>
      <c r="AG269" s="3908"/>
      <c r="AH269" s="3908"/>
      <c r="AI269" s="3908"/>
      <c r="AJ269" s="3908"/>
      <c r="AK269" s="3909"/>
      <c r="AL269" s="3913"/>
      <c r="AP269" s="3914"/>
      <c r="AQ269" s="3907"/>
      <c r="AR269" s="3908"/>
      <c r="AS269" s="3908"/>
      <c r="AT269" s="3908"/>
      <c r="AU269" s="3908"/>
      <c r="AV269" s="3908"/>
      <c r="AW269" s="3908"/>
      <c r="AX269" s="3908"/>
      <c r="AY269" s="3908"/>
      <c r="AZ269" s="3909"/>
      <c r="BA269" s="3396"/>
      <c r="BG269" s="3914"/>
      <c r="BH269" s="3907"/>
      <c r="BI269" s="3908"/>
      <c r="BJ269" s="3908"/>
      <c r="BK269" s="3908"/>
      <c r="BL269" s="3908"/>
      <c r="BM269" s="3908"/>
      <c r="BN269" s="3908"/>
      <c r="BO269" s="3908"/>
      <c r="BP269" s="3908"/>
      <c r="BQ269" s="3908"/>
      <c r="BR269" s="3908"/>
      <c r="BS269" s="3908"/>
      <c r="BT269" s="3908"/>
      <c r="BU269" s="3908"/>
      <c r="BV269" s="3908"/>
      <c r="BW269" s="3909"/>
      <c r="BX269" s="3396"/>
    </row>
    <row r="270" spans="4:76" ht="17.100000000000001" customHeight="1" x14ac:dyDescent="0.15">
      <c r="D270" s="3396"/>
      <c r="E270" s="3910"/>
      <c r="F270" s="3911"/>
      <c r="G270" s="3911"/>
      <c r="H270" s="3911"/>
      <c r="I270" s="3911"/>
      <c r="J270" s="3911"/>
      <c r="K270" s="3911"/>
      <c r="L270" s="3911"/>
      <c r="M270" s="3911"/>
      <c r="N270" s="3911"/>
      <c r="O270" s="3911"/>
      <c r="P270" s="3911"/>
      <c r="Q270" s="3911"/>
      <c r="R270" s="3911"/>
      <c r="S270" s="3911"/>
      <c r="T270" s="3912"/>
      <c r="U270" s="3914"/>
      <c r="AA270" s="3396"/>
      <c r="AB270" s="3910"/>
      <c r="AC270" s="3911"/>
      <c r="AD270" s="3911"/>
      <c r="AE270" s="3911"/>
      <c r="AF270" s="3911"/>
      <c r="AG270" s="3911"/>
      <c r="AH270" s="3911"/>
      <c r="AI270" s="3911"/>
      <c r="AJ270" s="3911"/>
      <c r="AK270" s="3912"/>
      <c r="AL270" s="3914"/>
      <c r="AP270" s="3914"/>
      <c r="AQ270" s="3910"/>
      <c r="AR270" s="3911"/>
      <c r="AS270" s="3911"/>
      <c r="AT270" s="3911"/>
      <c r="AU270" s="3911"/>
      <c r="AV270" s="3911"/>
      <c r="AW270" s="3911"/>
      <c r="AX270" s="3911"/>
      <c r="AY270" s="3911"/>
      <c r="AZ270" s="3912"/>
      <c r="BA270" s="3396"/>
      <c r="BG270" s="3914"/>
      <c r="BH270" s="3910"/>
      <c r="BI270" s="3911"/>
      <c r="BJ270" s="3911"/>
      <c r="BK270" s="3911"/>
      <c r="BL270" s="3911"/>
      <c r="BM270" s="3911"/>
      <c r="BN270" s="3911"/>
      <c r="BO270" s="3911"/>
      <c r="BP270" s="3911"/>
      <c r="BQ270" s="3911"/>
      <c r="BR270" s="3911"/>
      <c r="BS270" s="3911"/>
      <c r="BT270" s="3911"/>
      <c r="BU270" s="3911"/>
      <c r="BV270" s="3911"/>
      <c r="BW270" s="3912"/>
      <c r="BX270" s="3396"/>
    </row>
    <row r="271" spans="4:76" ht="17.100000000000001" customHeight="1" x14ac:dyDescent="0.15">
      <c r="D271" s="3396"/>
      <c r="E271" s="3907"/>
      <c r="F271" s="3908"/>
      <c r="G271" s="3908"/>
      <c r="H271" s="3908"/>
      <c r="I271" s="3908"/>
      <c r="J271" s="3908"/>
      <c r="K271" s="3908"/>
      <c r="L271" s="3908"/>
      <c r="M271" s="3908"/>
      <c r="N271" s="3908"/>
      <c r="O271" s="3908"/>
      <c r="P271" s="3908"/>
      <c r="Q271" s="3908"/>
      <c r="R271" s="3908"/>
      <c r="S271" s="3908"/>
      <c r="T271" s="3909"/>
      <c r="U271" s="3913"/>
      <c r="AA271" s="3396"/>
      <c r="AB271" s="3907"/>
      <c r="AC271" s="3908"/>
      <c r="AD271" s="3908"/>
      <c r="AE271" s="3908"/>
      <c r="AF271" s="3908"/>
      <c r="AG271" s="3908"/>
      <c r="AH271" s="3908"/>
      <c r="AI271" s="3908"/>
      <c r="AJ271" s="3908"/>
      <c r="AK271" s="3909"/>
      <c r="AL271" s="3913"/>
      <c r="AP271" s="3914"/>
      <c r="AQ271" s="3907"/>
      <c r="AR271" s="3908"/>
      <c r="AS271" s="3908"/>
      <c r="AT271" s="3908"/>
      <c r="AU271" s="3908"/>
      <c r="AV271" s="3908"/>
      <c r="AW271" s="3908"/>
      <c r="AX271" s="3908"/>
      <c r="AY271" s="3908"/>
      <c r="AZ271" s="3909"/>
      <c r="BA271" s="3396"/>
      <c r="BG271" s="3914"/>
      <c r="BH271" s="3907"/>
      <c r="BI271" s="3908"/>
      <c r="BJ271" s="3908"/>
      <c r="BK271" s="3908"/>
      <c r="BL271" s="3908"/>
      <c r="BM271" s="3908"/>
      <c r="BN271" s="3908"/>
      <c r="BO271" s="3908"/>
      <c r="BP271" s="3908"/>
      <c r="BQ271" s="3908"/>
      <c r="BR271" s="3908"/>
      <c r="BS271" s="3908"/>
      <c r="BT271" s="3908"/>
      <c r="BU271" s="3908"/>
      <c r="BV271" s="3908"/>
      <c r="BW271" s="3909"/>
      <c r="BX271" s="3396"/>
    </row>
    <row r="272" spans="4:76" ht="17.100000000000001" customHeight="1" x14ac:dyDescent="0.15">
      <c r="D272" s="3396"/>
      <c r="E272" s="3910"/>
      <c r="F272" s="3911"/>
      <c r="G272" s="3911"/>
      <c r="H272" s="3911"/>
      <c r="I272" s="3911"/>
      <c r="J272" s="3911"/>
      <c r="K272" s="3911"/>
      <c r="L272" s="3911"/>
      <c r="M272" s="3911"/>
      <c r="N272" s="3911"/>
      <c r="O272" s="3911"/>
      <c r="P272" s="3911"/>
      <c r="Q272" s="3911"/>
      <c r="R272" s="3911"/>
      <c r="S272" s="3911"/>
      <c r="T272" s="3912"/>
      <c r="U272" s="3914"/>
      <c r="AA272" s="3396"/>
      <c r="AB272" s="3910"/>
      <c r="AC272" s="3911"/>
      <c r="AD272" s="3911"/>
      <c r="AE272" s="3911"/>
      <c r="AF272" s="3911"/>
      <c r="AG272" s="3911"/>
      <c r="AH272" s="3911"/>
      <c r="AI272" s="3911"/>
      <c r="AJ272" s="3911"/>
      <c r="AK272" s="3912"/>
      <c r="AL272" s="3914"/>
      <c r="AP272" s="3914"/>
      <c r="AQ272" s="3910"/>
      <c r="AR272" s="3911"/>
      <c r="AS272" s="3911"/>
      <c r="AT272" s="3911"/>
      <c r="AU272" s="3911"/>
      <c r="AV272" s="3911"/>
      <c r="AW272" s="3911"/>
      <c r="AX272" s="3911"/>
      <c r="AY272" s="3911"/>
      <c r="AZ272" s="3912"/>
      <c r="BA272" s="3396"/>
      <c r="BG272" s="3914"/>
      <c r="BH272" s="3910"/>
      <c r="BI272" s="3911"/>
      <c r="BJ272" s="3911"/>
      <c r="BK272" s="3911"/>
      <c r="BL272" s="3911"/>
      <c r="BM272" s="3911"/>
      <c r="BN272" s="3911"/>
      <c r="BO272" s="3911"/>
      <c r="BP272" s="3911"/>
      <c r="BQ272" s="3911"/>
      <c r="BR272" s="3911"/>
      <c r="BS272" s="3911"/>
      <c r="BT272" s="3911"/>
      <c r="BU272" s="3911"/>
      <c r="BV272" s="3911"/>
      <c r="BW272" s="3912"/>
      <c r="BX272" s="3396"/>
    </row>
    <row r="273" spans="4:76" ht="17.100000000000001" customHeight="1" x14ac:dyDescent="0.15">
      <c r="D273" s="3396"/>
      <c r="E273" s="3907"/>
      <c r="F273" s="3908"/>
      <c r="G273" s="3908"/>
      <c r="H273" s="3908"/>
      <c r="I273" s="3908"/>
      <c r="J273" s="3908"/>
      <c r="K273" s="3908"/>
      <c r="L273" s="3908"/>
      <c r="M273" s="3908"/>
      <c r="N273" s="3908"/>
      <c r="O273" s="3908"/>
      <c r="P273" s="3908"/>
      <c r="Q273" s="3908"/>
      <c r="R273" s="3908"/>
      <c r="S273" s="3908"/>
      <c r="T273" s="3909"/>
      <c r="U273" s="3913"/>
      <c r="AA273" s="3396"/>
      <c r="AB273" s="3907"/>
      <c r="AC273" s="3908"/>
      <c r="AD273" s="3908"/>
      <c r="AE273" s="3908"/>
      <c r="AF273" s="3908"/>
      <c r="AG273" s="3908"/>
      <c r="AH273" s="3908"/>
      <c r="AI273" s="3908"/>
      <c r="AJ273" s="3908"/>
      <c r="AK273" s="3909"/>
      <c r="AL273" s="3913"/>
      <c r="AP273" s="3914"/>
      <c r="AQ273" s="3907"/>
      <c r="AR273" s="3908"/>
      <c r="AS273" s="3908"/>
      <c r="AT273" s="3908"/>
      <c r="AU273" s="3908"/>
      <c r="AV273" s="3908"/>
      <c r="AW273" s="3908"/>
      <c r="AX273" s="3908"/>
      <c r="AY273" s="3908"/>
      <c r="AZ273" s="3909"/>
      <c r="BA273" s="3396"/>
      <c r="BG273" s="3914"/>
      <c r="BH273" s="3907"/>
      <c r="BI273" s="3908"/>
      <c r="BJ273" s="3908"/>
      <c r="BK273" s="3908"/>
      <c r="BL273" s="3908"/>
      <c r="BM273" s="3908"/>
      <c r="BN273" s="3908"/>
      <c r="BO273" s="3908"/>
      <c r="BP273" s="3908"/>
      <c r="BQ273" s="3908"/>
      <c r="BR273" s="3908"/>
      <c r="BS273" s="3908"/>
      <c r="BT273" s="3908"/>
      <c r="BU273" s="3908"/>
      <c r="BV273" s="3908"/>
      <c r="BW273" s="3909"/>
      <c r="BX273" s="3396"/>
    </row>
    <row r="274" spans="4:76" ht="17.100000000000001" customHeight="1" x14ac:dyDescent="0.15">
      <c r="D274" s="3396"/>
      <c r="E274" s="3910"/>
      <c r="F274" s="3911"/>
      <c r="G274" s="3911"/>
      <c r="H274" s="3911"/>
      <c r="I274" s="3911"/>
      <c r="J274" s="3911"/>
      <c r="K274" s="3911"/>
      <c r="L274" s="3911"/>
      <c r="M274" s="3911"/>
      <c r="N274" s="3911"/>
      <c r="O274" s="3911"/>
      <c r="P274" s="3911"/>
      <c r="Q274" s="3911"/>
      <c r="R274" s="3911"/>
      <c r="S274" s="3911"/>
      <c r="T274" s="3912"/>
      <c r="U274" s="3914"/>
      <c r="AA274" s="3396"/>
      <c r="AB274" s="3910"/>
      <c r="AC274" s="3911"/>
      <c r="AD274" s="3911"/>
      <c r="AE274" s="3911"/>
      <c r="AF274" s="3911"/>
      <c r="AG274" s="3911"/>
      <c r="AH274" s="3911"/>
      <c r="AI274" s="3911"/>
      <c r="AJ274" s="3911"/>
      <c r="AK274" s="3912"/>
      <c r="AL274" s="3914"/>
      <c r="AP274" s="3914"/>
      <c r="AQ274" s="3910"/>
      <c r="AR274" s="3911"/>
      <c r="AS274" s="3911"/>
      <c r="AT274" s="3911"/>
      <c r="AU274" s="3911"/>
      <c r="AV274" s="3911"/>
      <c r="AW274" s="3911"/>
      <c r="AX274" s="3911"/>
      <c r="AY274" s="3911"/>
      <c r="AZ274" s="3912"/>
      <c r="BA274" s="3396"/>
      <c r="BG274" s="3914"/>
      <c r="BH274" s="3910"/>
      <c r="BI274" s="3911"/>
      <c r="BJ274" s="3911"/>
      <c r="BK274" s="3911"/>
      <c r="BL274" s="3911"/>
      <c r="BM274" s="3911"/>
      <c r="BN274" s="3911"/>
      <c r="BO274" s="3911"/>
      <c r="BP274" s="3911"/>
      <c r="BQ274" s="3911"/>
      <c r="BR274" s="3911"/>
      <c r="BS274" s="3911"/>
      <c r="BT274" s="3911"/>
      <c r="BU274" s="3911"/>
      <c r="BV274" s="3911"/>
      <c r="BW274" s="3912"/>
      <c r="BX274" s="3396"/>
    </row>
    <row r="275" spans="4:76" ht="17.100000000000001" customHeight="1" x14ac:dyDescent="0.15">
      <c r="D275" s="3396"/>
      <c r="E275" s="3907"/>
      <c r="F275" s="3908"/>
      <c r="G275" s="3908"/>
      <c r="H275" s="3908"/>
      <c r="I275" s="3908"/>
      <c r="J275" s="3908"/>
      <c r="K275" s="3908"/>
      <c r="L275" s="3908"/>
      <c r="M275" s="3908"/>
      <c r="N275" s="3908"/>
      <c r="O275" s="3908"/>
      <c r="P275" s="3908"/>
      <c r="Q275" s="3908"/>
      <c r="R275" s="3908"/>
      <c r="S275" s="3908"/>
      <c r="T275" s="3909"/>
      <c r="U275" s="3913"/>
      <c r="AA275" s="3396"/>
      <c r="AB275" s="3907"/>
      <c r="AC275" s="3908"/>
      <c r="AD275" s="3908"/>
      <c r="AE275" s="3908"/>
      <c r="AF275" s="3908"/>
      <c r="AG275" s="3908"/>
      <c r="AH275" s="3908"/>
      <c r="AI275" s="3908"/>
      <c r="AJ275" s="3908"/>
      <c r="AK275" s="3909"/>
      <c r="AL275" s="3913"/>
      <c r="AP275" s="3914"/>
      <c r="AQ275" s="3907"/>
      <c r="AR275" s="3908"/>
      <c r="AS275" s="3908"/>
      <c r="AT275" s="3908"/>
      <c r="AU275" s="3908"/>
      <c r="AV275" s="3908"/>
      <c r="AW275" s="3908"/>
      <c r="AX275" s="3908"/>
      <c r="AY275" s="3908"/>
      <c r="AZ275" s="3909"/>
      <c r="BA275" s="3396"/>
      <c r="BG275" s="3914"/>
      <c r="BH275" s="3907"/>
      <c r="BI275" s="3908"/>
      <c r="BJ275" s="3908"/>
      <c r="BK275" s="3908"/>
      <c r="BL275" s="3908"/>
      <c r="BM275" s="3908"/>
      <c r="BN275" s="3908"/>
      <c r="BO275" s="3908"/>
      <c r="BP275" s="3908"/>
      <c r="BQ275" s="3908"/>
      <c r="BR275" s="3908"/>
      <c r="BS275" s="3908"/>
      <c r="BT275" s="3908"/>
      <c r="BU275" s="3908"/>
      <c r="BV275" s="3908"/>
      <c r="BW275" s="3909"/>
      <c r="BX275" s="3396"/>
    </row>
    <row r="276" spans="4:76" ht="17.100000000000001" customHeight="1" x14ac:dyDescent="0.15">
      <c r="D276" s="3396"/>
      <c r="E276" s="3910"/>
      <c r="F276" s="3911"/>
      <c r="G276" s="3911"/>
      <c r="H276" s="3911"/>
      <c r="I276" s="3911"/>
      <c r="J276" s="3911"/>
      <c r="K276" s="3911"/>
      <c r="L276" s="3911"/>
      <c r="M276" s="3911"/>
      <c r="N276" s="3911"/>
      <c r="O276" s="3911"/>
      <c r="P276" s="3911"/>
      <c r="Q276" s="3911"/>
      <c r="R276" s="3911"/>
      <c r="S276" s="3911"/>
      <c r="T276" s="3912"/>
      <c r="U276" s="3914"/>
      <c r="AA276" s="3396"/>
      <c r="AB276" s="3910"/>
      <c r="AC276" s="3911"/>
      <c r="AD276" s="3911"/>
      <c r="AE276" s="3911"/>
      <c r="AF276" s="3911"/>
      <c r="AG276" s="3911"/>
      <c r="AH276" s="3911"/>
      <c r="AI276" s="3911"/>
      <c r="AJ276" s="3911"/>
      <c r="AK276" s="3912"/>
      <c r="AL276" s="3914"/>
      <c r="AP276" s="3914"/>
      <c r="AQ276" s="3910"/>
      <c r="AR276" s="3911"/>
      <c r="AS276" s="3911"/>
      <c r="AT276" s="3911"/>
      <c r="AU276" s="3911"/>
      <c r="AV276" s="3911"/>
      <c r="AW276" s="3911"/>
      <c r="AX276" s="3911"/>
      <c r="AY276" s="3911"/>
      <c r="AZ276" s="3912"/>
      <c r="BA276" s="3396"/>
      <c r="BG276" s="3914"/>
      <c r="BH276" s="3910"/>
      <c r="BI276" s="3911"/>
      <c r="BJ276" s="3911"/>
      <c r="BK276" s="3911"/>
      <c r="BL276" s="3911"/>
      <c r="BM276" s="3911"/>
      <c r="BN276" s="3911"/>
      <c r="BO276" s="3911"/>
      <c r="BP276" s="3911"/>
      <c r="BQ276" s="3911"/>
      <c r="BR276" s="3911"/>
      <c r="BS276" s="3911"/>
      <c r="BT276" s="3911"/>
      <c r="BU276" s="3911"/>
      <c r="BV276" s="3911"/>
      <c r="BW276" s="3912"/>
      <c r="BX276" s="3396"/>
    </row>
    <row r="277" spans="4:76" ht="17.100000000000001" customHeight="1" x14ac:dyDescent="0.15">
      <c r="D277" s="3396"/>
      <c r="E277" s="3907"/>
      <c r="F277" s="3908"/>
      <c r="G277" s="3908"/>
      <c r="H277" s="3908"/>
      <c r="I277" s="3908"/>
      <c r="J277" s="3908"/>
      <c r="K277" s="3908"/>
      <c r="L277" s="3908"/>
      <c r="M277" s="3908"/>
      <c r="N277" s="3908"/>
      <c r="O277" s="3908"/>
      <c r="P277" s="3908"/>
      <c r="Q277" s="3908"/>
      <c r="R277" s="3908"/>
      <c r="S277" s="3908"/>
      <c r="T277" s="3909"/>
      <c r="U277" s="3913"/>
      <c r="AA277" s="3396"/>
      <c r="AB277" s="3907"/>
      <c r="AC277" s="3908"/>
      <c r="AD277" s="3908"/>
      <c r="AE277" s="3908"/>
      <c r="AF277" s="3908"/>
      <c r="AG277" s="3908"/>
      <c r="AH277" s="3908"/>
      <c r="AI277" s="3908"/>
      <c r="AJ277" s="3908"/>
      <c r="AK277" s="3909"/>
      <c r="AL277" s="3913"/>
      <c r="AP277" s="3914"/>
      <c r="AQ277" s="3907"/>
      <c r="AR277" s="3908"/>
      <c r="AS277" s="3908"/>
      <c r="AT277" s="3908"/>
      <c r="AU277" s="3908"/>
      <c r="AV277" s="3908"/>
      <c r="AW277" s="3908"/>
      <c r="AX277" s="3908"/>
      <c r="AY277" s="3908"/>
      <c r="AZ277" s="3909"/>
      <c r="BA277" s="3396"/>
      <c r="BG277" s="3914"/>
      <c r="BH277" s="3907"/>
      <c r="BI277" s="3908"/>
      <c r="BJ277" s="3908"/>
      <c r="BK277" s="3908"/>
      <c r="BL277" s="3908"/>
      <c r="BM277" s="3908"/>
      <c r="BN277" s="3908"/>
      <c r="BO277" s="3908"/>
      <c r="BP277" s="3908"/>
      <c r="BQ277" s="3908"/>
      <c r="BR277" s="3908"/>
      <c r="BS277" s="3908"/>
      <c r="BT277" s="3908"/>
      <c r="BU277" s="3908"/>
      <c r="BV277" s="3908"/>
      <c r="BW277" s="3909"/>
      <c r="BX277" s="3396"/>
    </row>
    <row r="278" spans="4:76" ht="17.100000000000001" customHeight="1" x14ac:dyDescent="0.15">
      <c r="D278" s="3396"/>
      <c r="E278" s="3910"/>
      <c r="F278" s="3911"/>
      <c r="G278" s="3911"/>
      <c r="H278" s="3911"/>
      <c r="I278" s="3911"/>
      <c r="J278" s="3911"/>
      <c r="K278" s="3911"/>
      <c r="L278" s="3911"/>
      <c r="M278" s="3911"/>
      <c r="N278" s="3911"/>
      <c r="O278" s="3911"/>
      <c r="P278" s="3911"/>
      <c r="Q278" s="3911"/>
      <c r="R278" s="3911"/>
      <c r="S278" s="3911"/>
      <c r="T278" s="3912"/>
      <c r="U278" s="3914"/>
      <c r="AA278" s="3396"/>
      <c r="AB278" s="3910"/>
      <c r="AC278" s="3911"/>
      <c r="AD278" s="3911"/>
      <c r="AE278" s="3911"/>
      <c r="AF278" s="3911"/>
      <c r="AG278" s="3911"/>
      <c r="AH278" s="3911"/>
      <c r="AI278" s="3911"/>
      <c r="AJ278" s="3911"/>
      <c r="AK278" s="3912"/>
      <c r="AL278" s="3914"/>
      <c r="AP278" s="3914"/>
      <c r="AQ278" s="3910"/>
      <c r="AR278" s="3911"/>
      <c r="AS278" s="3911"/>
      <c r="AT278" s="3911"/>
      <c r="AU278" s="3911"/>
      <c r="AV278" s="3911"/>
      <c r="AW278" s="3911"/>
      <c r="AX278" s="3911"/>
      <c r="AY278" s="3911"/>
      <c r="AZ278" s="3912"/>
      <c r="BA278" s="3396"/>
      <c r="BG278" s="3914"/>
      <c r="BH278" s="3910"/>
      <c r="BI278" s="3911"/>
      <c r="BJ278" s="3911"/>
      <c r="BK278" s="3911"/>
      <c r="BL278" s="3911"/>
      <c r="BM278" s="3911"/>
      <c r="BN278" s="3911"/>
      <c r="BO278" s="3911"/>
      <c r="BP278" s="3911"/>
      <c r="BQ278" s="3911"/>
      <c r="BR278" s="3911"/>
      <c r="BS278" s="3911"/>
      <c r="BT278" s="3911"/>
      <c r="BU278" s="3911"/>
      <c r="BV278" s="3911"/>
      <c r="BW278" s="3912"/>
      <c r="BX278" s="3396"/>
    </row>
    <row r="279" spans="4:76" ht="17.100000000000001" customHeight="1" x14ac:dyDescent="0.15">
      <c r="D279" s="3396"/>
      <c r="E279" s="3907"/>
      <c r="F279" s="3908"/>
      <c r="G279" s="3908"/>
      <c r="H279" s="3908"/>
      <c r="I279" s="3908"/>
      <c r="J279" s="3908"/>
      <c r="K279" s="3908"/>
      <c r="L279" s="3908"/>
      <c r="M279" s="3908"/>
      <c r="N279" s="3908"/>
      <c r="O279" s="3908"/>
      <c r="P279" s="3908"/>
      <c r="Q279" s="3908"/>
      <c r="R279" s="3908"/>
      <c r="S279" s="3908"/>
      <c r="T279" s="3909"/>
      <c r="U279" s="3913"/>
      <c r="AA279" s="3396"/>
      <c r="AB279" s="3907"/>
      <c r="AC279" s="3908"/>
      <c r="AD279" s="3908"/>
      <c r="AE279" s="3908"/>
      <c r="AF279" s="3908"/>
      <c r="AG279" s="3908"/>
      <c r="AH279" s="3908"/>
      <c r="AI279" s="3908"/>
      <c r="AJ279" s="3908"/>
      <c r="AK279" s="3909"/>
      <c r="AL279" s="3913"/>
      <c r="AP279" s="3914"/>
      <c r="AQ279" s="3907"/>
      <c r="AR279" s="3908"/>
      <c r="AS279" s="3908"/>
      <c r="AT279" s="3908"/>
      <c r="AU279" s="3908"/>
      <c r="AV279" s="3908"/>
      <c r="AW279" s="3908"/>
      <c r="AX279" s="3908"/>
      <c r="AY279" s="3908"/>
      <c r="AZ279" s="3909"/>
      <c r="BA279" s="3396"/>
      <c r="BG279" s="3914"/>
      <c r="BH279" s="3907"/>
      <c r="BI279" s="3908"/>
      <c r="BJ279" s="3908"/>
      <c r="BK279" s="3908"/>
      <c r="BL279" s="3908"/>
      <c r="BM279" s="3908"/>
      <c r="BN279" s="3908"/>
      <c r="BO279" s="3908"/>
      <c r="BP279" s="3908"/>
      <c r="BQ279" s="3908"/>
      <c r="BR279" s="3908"/>
      <c r="BS279" s="3908"/>
      <c r="BT279" s="3908"/>
      <c r="BU279" s="3908"/>
      <c r="BV279" s="3908"/>
      <c r="BW279" s="3909"/>
      <c r="BX279" s="3396"/>
    </row>
    <row r="280" spans="4:76" ht="17.100000000000001" customHeight="1" x14ac:dyDescent="0.15">
      <c r="D280" s="3396"/>
      <c r="E280" s="3910"/>
      <c r="F280" s="3911"/>
      <c r="G280" s="3911"/>
      <c r="H280" s="3911"/>
      <c r="I280" s="3911"/>
      <c r="J280" s="3911"/>
      <c r="K280" s="3911"/>
      <c r="L280" s="3911"/>
      <c r="M280" s="3911"/>
      <c r="N280" s="3911"/>
      <c r="O280" s="3911"/>
      <c r="P280" s="3911"/>
      <c r="Q280" s="3911"/>
      <c r="R280" s="3911"/>
      <c r="S280" s="3911"/>
      <c r="T280" s="3912"/>
      <c r="U280" s="3914"/>
      <c r="AA280" s="3396"/>
      <c r="AB280" s="3910"/>
      <c r="AC280" s="3911"/>
      <c r="AD280" s="3911"/>
      <c r="AE280" s="3911"/>
      <c r="AF280" s="3911"/>
      <c r="AG280" s="3911"/>
      <c r="AH280" s="3911"/>
      <c r="AI280" s="3911"/>
      <c r="AJ280" s="3911"/>
      <c r="AK280" s="3912"/>
      <c r="AL280" s="3914"/>
      <c r="AP280" s="3914"/>
      <c r="AQ280" s="3910"/>
      <c r="AR280" s="3911"/>
      <c r="AS280" s="3911"/>
      <c r="AT280" s="3911"/>
      <c r="AU280" s="3911"/>
      <c r="AV280" s="3911"/>
      <c r="AW280" s="3911"/>
      <c r="AX280" s="3911"/>
      <c r="AY280" s="3911"/>
      <c r="AZ280" s="3912"/>
      <c r="BA280" s="3396"/>
      <c r="BG280" s="3914"/>
      <c r="BH280" s="3910"/>
      <c r="BI280" s="3911"/>
      <c r="BJ280" s="3911"/>
      <c r="BK280" s="3911"/>
      <c r="BL280" s="3911"/>
      <c r="BM280" s="3911"/>
      <c r="BN280" s="3911"/>
      <c r="BO280" s="3911"/>
      <c r="BP280" s="3911"/>
      <c r="BQ280" s="3911"/>
      <c r="BR280" s="3911"/>
      <c r="BS280" s="3911"/>
      <c r="BT280" s="3911"/>
      <c r="BU280" s="3911"/>
      <c r="BV280" s="3911"/>
      <c r="BW280" s="3912"/>
      <c r="BX280" s="3396"/>
    </row>
    <row r="281" spans="4:76" ht="17.100000000000001" customHeight="1" x14ac:dyDescent="0.15">
      <c r="D281" s="3396"/>
      <c r="E281" s="3907"/>
      <c r="F281" s="3908"/>
      <c r="G281" s="3908"/>
      <c r="H281" s="3908"/>
      <c r="I281" s="3908"/>
      <c r="J281" s="3908"/>
      <c r="K281" s="3908"/>
      <c r="L281" s="3908"/>
      <c r="M281" s="3908"/>
      <c r="N281" s="3908"/>
      <c r="O281" s="3908"/>
      <c r="P281" s="3908"/>
      <c r="Q281" s="3908"/>
      <c r="R281" s="3908"/>
      <c r="S281" s="3908"/>
      <c r="T281" s="3909"/>
      <c r="U281" s="3913"/>
      <c r="AA281" s="3396"/>
      <c r="AB281" s="3907"/>
      <c r="AC281" s="3908"/>
      <c r="AD281" s="3908"/>
      <c r="AE281" s="3908"/>
      <c r="AF281" s="3908"/>
      <c r="AG281" s="3908"/>
      <c r="AH281" s="3908"/>
      <c r="AI281" s="3908"/>
      <c r="AJ281" s="3908"/>
      <c r="AK281" s="3909"/>
      <c r="AL281" s="3913"/>
      <c r="AP281" s="3914"/>
      <c r="AQ281" s="3907"/>
      <c r="AR281" s="3908"/>
      <c r="AS281" s="3908"/>
      <c r="AT281" s="3908"/>
      <c r="AU281" s="3908"/>
      <c r="AV281" s="3908"/>
      <c r="AW281" s="3908"/>
      <c r="AX281" s="3908"/>
      <c r="AY281" s="3908"/>
      <c r="AZ281" s="3909"/>
      <c r="BA281" s="3396"/>
      <c r="BG281" s="3914"/>
      <c r="BH281" s="3907"/>
      <c r="BI281" s="3908"/>
      <c r="BJ281" s="3908"/>
      <c r="BK281" s="3908"/>
      <c r="BL281" s="3908"/>
      <c r="BM281" s="3908"/>
      <c r="BN281" s="3908"/>
      <c r="BO281" s="3908"/>
      <c r="BP281" s="3908"/>
      <c r="BQ281" s="3908"/>
      <c r="BR281" s="3908"/>
      <c r="BS281" s="3908"/>
      <c r="BT281" s="3908"/>
      <c r="BU281" s="3908"/>
      <c r="BV281" s="3908"/>
      <c r="BW281" s="3909"/>
      <c r="BX281" s="3396"/>
    </row>
    <row r="282" spans="4:76" ht="17.100000000000001" customHeight="1" x14ac:dyDescent="0.15">
      <c r="D282" s="3396"/>
      <c r="E282" s="3910"/>
      <c r="F282" s="3911"/>
      <c r="G282" s="3911"/>
      <c r="H282" s="3911"/>
      <c r="I282" s="3911"/>
      <c r="J282" s="3911"/>
      <c r="K282" s="3911"/>
      <c r="L282" s="3911"/>
      <c r="M282" s="3911"/>
      <c r="N282" s="3911"/>
      <c r="O282" s="3911"/>
      <c r="P282" s="3911"/>
      <c r="Q282" s="3911"/>
      <c r="R282" s="3911"/>
      <c r="S282" s="3911"/>
      <c r="T282" s="3912"/>
      <c r="U282" s="3914"/>
      <c r="AA282" s="3396"/>
      <c r="AB282" s="3910"/>
      <c r="AC282" s="3911"/>
      <c r="AD282" s="3911"/>
      <c r="AE282" s="3911"/>
      <c r="AF282" s="3911"/>
      <c r="AG282" s="3911"/>
      <c r="AH282" s="3911"/>
      <c r="AI282" s="3911"/>
      <c r="AJ282" s="3911"/>
      <c r="AK282" s="3912"/>
      <c r="AL282" s="3914"/>
      <c r="AP282" s="3914"/>
      <c r="AQ282" s="3910"/>
      <c r="AR282" s="3911"/>
      <c r="AS282" s="3911"/>
      <c r="AT282" s="3911"/>
      <c r="AU282" s="3911"/>
      <c r="AV282" s="3911"/>
      <c r="AW282" s="3911"/>
      <c r="AX282" s="3911"/>
      <c r="AY282" s="3911"/>
      <c r="AZ282" s="3912"/>
      <c r="BA282" s="3396"/>
      <c r="BG282" s="3914"/>
      <c r="BH282" s="3910"/>
      <c r="BI282" s="3911"/>
      <c r="BJ282" s="3911"/>
      <c r="BK282" s="3911"/>
      <c r="BL282" s="3911"/>
      <c r="BM282" s="3911"/>
      <c r="BN282" s="3911"/>
      <c r="BO282" s="3911"/>
      <c r="BP282" s="3911"/>
      <c r="BQ282" s="3911"/>
      <c r="BR282" s="3911"/>
      <c r="BS282" s="3911"/>
      <c r="BT282" s="3911"/>
      <c r="BU282" s="3911"/>
      <c r="BV282" s="3911"/>
      <c r="BW282" s="3912"/>
      <c r="BX282" s="3396"/>
    </row>
    <row r="283" spans="4:76" ht="17.100000000000001" customHeight="1" x14ac:dyDescent="0.15">
      <c r="D283" s="3396"/>
      <c r="E283" s="3907"/>
      <c r="F283" s="3908"/>
      <c r="G283" s="3908"/>
      <c r="H283" s="3908"/>
      <c r="I283" s="3908"/>
      <c r="J283" s="3908"/>
      <c r="K283" s="3908"/>
      <c r="L283" s="3908"/>
      <c r="M283" s="3908"/>
      <c r="N283" s="3908"/>
      <c r="O283" s="3908"/>
      <c r="P283" s="3908"/>
      <c r="Q283" s="3908"/>
      <c r="R283" s="3908"/>
      <c r="S283" s="3908"/>
      <c r="T283" s="3909"/>
      <c r="U283" s="3913"/>
      <c r="AA283" s="3396"/>
      <c r="AB283" s="3907"/>
      <c r="AC283" s="3908"/>
      <c r="AD283" s="3908"/>
      <c r="AE283" s="3908"/>
      <c r="AF283" s="3908"/>
      <c r="AG283" s="3908"/>
      <c r="AH283" s="3908"/>
      <c r="AI283" s="3908"/>
      <c r="AJ283" s="3908"/>
      <c r="AK283" s="3909"/>
      <c r="AL283" s="3913"/>
      <c r="AP283" s="3914"/>
      <c r="AQ283" s="3907"/>
      <c r="AR283" s="3908"/>
      <c r="AS283" s="3908"/>
      <c r="AT283" s="3908"/>
      <c r="AU283" s="3908"/>
      <c r="AV283" s="3908"/>
      <c r="AW283" s="3908"/>
      <c r="AX283" s="3908"/>
      <c r="AY283" s="3908"/>
      <c r="AZ283" s="3909"/>
      <c r="BA283" s="3396"/>
      <c r="BG283" s="3914"/>
      <c r="BH283" s="3907"/>
      <c r="BI283" s="3908"/>
      <c r="BJ283" s="3908"/>
      <c r="BK283" s="3908"/>
      <c r="BL283" s="3908"/>
      <c r="BM283" s="3908"/>
      <c r="BN283" s="3908"/>
      <c r="BO283" s="3908"/>
      <c r="BP283" s="3908"/>
      <c r="BQ283" s="3908"/>
      <c r="BR283" s="3908"/>
      <c r="BS283" s="3908"/>
      <c r="BT283" s="3908"/>
      <c r="BU283" s="3908"/>
      <c r="BV283" s="3908"/>
      <c r="BW283" s="3909"/>
      <c r="BX283" s="3396"/>
    </row>
    <row r="284" spans="4:76" ht="17.100000000000001" customHeight="1" x14ac:dyDescent="0.15">
      <c r="D284" s="3396"/>
      <c r="E284" s="3910"/>
      <c r="F284" s="3911"/>
      <c r="G284" s="3911"/>
      <c r="H284" s="3911"/>
      <c r="I284" s="3911"/>
      <c r="J284" s="3911"/>
      <c r="K284" s="3911"/>
      <c r="L284" s="3911"/>
      <c r="M284" s="3911"/>
      <c r="N284" s="3911"/>
      <c r="O284" s="3911"/>
      <c r="P284" s="3911"/>
      <c r="Q284" s="3911"/>
      <c r="R284" s="3911"/>
      <c r="S284" s="3911"/>
      <c r="T284" s="3912"/>
      <c r="U284" s="3914"/>
      <c r="AA284" s="3396"/>
      <c r="AB284" s="3910"/>
      <c r="AC284" s="3911"/>
      <c r="AD284" s="3911"/>
      <c r="AE284" s="3911"/>
      <c r="AF284" s="3911"/>
      <c r="AG284" s="3911"/>
      <c r="AH284" s="3911"/>
      <c r="AI284" s="3911"/>
      <c r="AJ284" s="3911"/>
      <c r="AK284" s="3912"/>
      <c r="AL284" s="3914"/>
      <c r="AP284" s="3914"/>
      <c r="AQ284" s="3910"/>
      <c r="AR284" s="3911"/>
      <c r="AS284" s="3911"/>
      <c r="AT284" s="3911"/>
      <c r="AU284" s="3911"/>
      <c r="AV284" s="3911"/>
      <c r="AW284" s="3911"/>
      <c r="AX284" s="3911"/>
      <c r="AY284" s="3911"/>
      <c r="AZ284" s="3912"/>
      <c r="BA284" s="3396"/>
      <c r="BG284" s="3914"/>
      <c r="BH284" s="3910"/>
      <c r="BI284" s="3911"/>
      <c r="BJ284" s="3911"/>
      <c r="BK284" s="3911"/>
      <c r="BL284" s="3911"/>
      <c r="BM284" s="3911"/>
      <c r="BN284" s="3911"/>
      <c r="BO284" s="3911"/>
      <c r="BP284" s="3911"/>
      <c r="BQ284" s="3911"/>
      <c r="BR284" s="3911"/>
      <c r="BS284" s="3911"/>
      <c r="BT284" s="3911"/>
      <c r="BU284" s="3911"/>
      <c r="BV284" s="3911"/>
      <c r="BW284" s="3912"/>
      <c r="BX284" s="3396"/>
    </row>
    <row r="285" spans="4:76" ht="17.100000000000001" customHeight="1" x14ac:dyDescent="0.15">
      <c r="D285" s="3396"/>
      <c r="E285" s="3907"/>
      <c r="F285" s="3908"/>
      <c r="G285" s="3908"/>
      <c r="H285" s="3908"/>
      <c r="I285" s="3908"/>
      <c r="J285" s="3908"/>
      <c r="K285" s="3908"/>
      <c r="L285" s="3908"/>
      <c r="M285" s="3908"/>
      <c r="N285" s="3908"/>
      <c r="O285" s="3908"/>
      <c r="P285" s="3908"/>
      <c r="Q285" s="3908"/>
      <c r="R285" s="3908"/>
      <c r="S285" s="3908"/>
      <c r="T285" s="3909"/>
      <c r="U285" s="3913"/>
      <c r="AA285" s="3396"/>
      <c r="AB285" s="3907"/>
      <c r="AC285" s="3908"/>
      <c r="AD285" s="3908"/>
      <c r="AE285" s="3908"/>
      <c r="AF285" s="3908"/>
      <c r="AG285" s="3908"/>
      <c r="AH285" s="3908"/>
      <c r="AI285" s="3908"/>
      <c r="AJ285" s="3908"/>
      <c r="AK285" s="3909"/>
      <c r="AL285" s="3913"/>
      <c r="AP285" s="3914"/>
      <c r="AQ285" s="3907"/>
      <c r="AR285" s="3908"/>
      <c r="AS285" s="3908"/>
      <c r="AT285" s="3908"/>
      <c r="AU285" s="3908"/>
      <c r="AV285" s="3908"/>
      <c r="AW285" s="3908"/>
      <c r="AX285" s="3908"/>
      <c r="AY285" s="3908"/>
      <c r="AZ285" s="3909"/>
      <c r="BA285" s="3396"/>
      <c r="BG285" s="3914"/>
      <c r="BH285" s="3907"/>
      <c r="BI285" s="3908"/>
      <c r="BJ285" s="3908"/>
      <c r="BK285" s="3908"/>
      <c r="BL285" s="3908"/>
      <c r="BM285" s="3908"/>
      <c r="BN285" s="3908"/>
      <c r="BO285" s="3908"/>
      <c r="BP285" s="3908"/>
      <c r="BQ285" s="3908"/>
      <c r="BR285" s="3908"/>
      <c r="BS285" s="3908"/>
      <c r="BT285" s="3908"/>
      <c r="BU285" s="3908"/>
      <c r="BV285" s="3908"/>
      <c r="BW285" s="3909"/>
      <c r="BX285" s="3396"/>
    </row>
    <row r="286" spans="4:76" ht="17.100000000000001" customHeight="1" x14ac:dyDescent="0.15">
      <c r="D286" s="3396"/>
      <c r="E286" s="3910"/>
      <c r="F286" s="3911"/>
      <c r="G286" s="3911"/>
      <c r="H286" s="3911"/>
      <c r="I286" s="3911"/>
      <c r="J286" s="3911"/>
      <c r="K286" s="3911"/>
      <c r="L286" s="3911"/>
      <c r="M286" s="3911"/>
      <c r="N286" s="3911"/>
      <c r="O286" s="3911"/>
      <c r="P286" s="3911"/>
      <c r="Q286" s="3911"/>
      <c r="R286" s="3911"/>
      <c r="S286" s="3911"/>
      <c r="T286" s="3912"/>
      <c r="U286" s="3914"/>
      <c r="AA286" s="3396"/>
      <c r="AB286" s="3910"/>
      <c r="AC286" s="3911"/>
      <c r="AD286" s="3911"/>
      <c r="AE286" s="3911"/>
      <c r="AF286" s="3911"/>
      <c r="AG286" s="3911"/>
      <c r="AH286" s="3911"/>
      <c r="AI286" s="3911"/>
      <c r="AJ286" s="3911"/>
      <c r="AK286" s="3912"/>
      <c r="AL286" s="3914"/>
      <c r="AP286" s="3914"/>
      <c r="AQ286" s="3910"/>
      <c r="AR286" s="3911"/>
      <c r="AS286" s="3911"/>
      <c r="AT286" s="3911"/>
      <c r="AU286" s="3911"/>
      <c r="AV286" s="3911"/>
      <c r="AW286" s="3911"/>
      <c r="AX286" s="3911"/>
      <c r="AY286" s="3911"/>
      <c r="AZ286" s="3912"/>
      <c r="BA286" s="3396"/>
      <c r="BG286" s="3914"/>
      <c r="BH286" s="3910"/>
      <c r="BI286" s="3911"/>
      <c r="BJ286" s="3911"/>
      <c r="BK286" s="3911"/>
      <c r="BL286" s="3911"/>
      <c r="BM286" s="3911"/>
      <c r="BN286" s="3911"/>
      <c r="BO286" s="3911"/>
      <c r="BP286" s="3911"/>
      <c r="BQ286" s="3911"/>
      <c r="BR286" s="3911"/>
      <c r="BS286" s="3911"/>
      <c r="BT286" s="3911"/>
      <c r="BU286" s="3911"/>
      <c r="BV286" s="3911"/>
      <c r="BW286" s="3912"/>
      <c r="BX286" s="3396"/>
    </row>
    <row r="287" spans="4:76" ht="17.100000000000001" customHeight="1" x14ac:dyDescent="0.15">
      <c r="D287" s="3396"/>
      <c r="E287" s="3907"/>
      <c r="F287" s="3908"/>
      <c r="G287" s="3908"/>
      <c r="H287" s="3908"/>
      <c r="I287" s="3908"/>
      <c r="J287" s="3908"/>
      <c r="K287" s="3908"/>
      <c r="L287" s="3908"/>
      <c r="M287" s="3908"/>
      <c r="N287" s="3908"/>
      <c r="O287" s="3908"/>
      <c r="P287" s="3908"/>
      <c r="Q287" s="3908"/>
      <c r="R287" s="3908"/>
      <c r="S287" s="3908"/>
      <c r="T287" s="3909"/>
      <c r="U287" s="3913"/>
      <c r="AA287" s="3396"/>
      <c r="AB287" s="3907"/>
      <c r="AC287" s="3908"/>
      <c r="AD287" s="3908"/>
      <c r="AE287" s="3908"/>
      <c r="AF287" s="3908"/>
      <c r="AG287" s="3908"/>
      <c r="AH287" s="3908"/>
      <c r="AI287" s="3908"/>
      <c r="AJ287" s="3908"/>
      <c r="AK287" s="3909"/>
      <c r="AL287" s="3913"/>
      <c r="AP287" s="3914"/>
      <c r="AQ287" s="3907"/>
      <c r="AR287" s="3908"/>
      <c r="AS287" s="3908"/>
      <c r="AT287" s="3908"/>
      <c r="AU287" s="3908"/>
      <c r="AV287" s="3908"/>
      <c r="AW287" s="3908"/>
      <c r="AX287" s="3908"/>
      <c r="AY287" s="3908"/>
      <c r="AZ287" s="3909"/>
      <c r="BA287" s="3396"/>
      <c r="BG287" s="3914"/>
      <c r="BH287" s="3907"/>
      <c r="BI287" s="3908"/>
      <c r="BJ287" s="3908"/>
      <c r="BK287" s="3908"/>
      <c r="BL287" s="3908"/>
      <c r="BM287" s="3908"/>
      <c r="BN287" s="3908"/>
      <c r="BO287" s="3908"/>
      <c r="BP287" s="3908"/>
      <c r="BQ287" s="3908"/>
      <c r="BR287" s="3908"/>
      <c r="BS287" s="3908"/>
      <c r="BT287" s="3908"/>
      <c r="BU287" s="3908"/>
      <c r="BV287" s="3908"/>
      <c r="BW287" s="3909"/>
      <c r="BX287" s="3396"/>
    </row>
    <row r="288" spans="4:76" ht="17.100000000000001" customHeight="1" x14ac:dyDescent="0.15">
      <c r="D288" s="3396"/>
      <c r="E288" s="3910"/>
      <c r="F288" s="3911"/>
      <c r="G288" s="3911"/>
      <c r="H288" s="3911"/>
      <c r="I288" s="3911"/>
      <c r="J288" s="3911"/>
      <c r="K288" s="3911"/>
      <c r="L288" s="3911"/>
      <c r="M288" s="3911"/>
      <c r="N288" s="3911"/>
      <c r="O288" s="3911"/>
      <c r="P288" s="3911"/>
      <c r="Q288" s="3911"/>
      <c r="R288" s="3911"/>
      <c r="S288" s="3911"/>
      <c r="T288" s="3912"/>
      <c r="U288" s="3914"/>
      <c r="AA288" s="3396"/>
      <c r="AB288" s="3910"/>
      <c r="AC288" s="3911"/>
      <c r="AD288" s="3911"/>
      <c r="AE288" s="3911"/>
      <c r="AF288" s="3911"/>
      <c r="AG288" s="3911"/>
      <c r="AH288" s="3911"/>
      <c r="AI288" s="3911"/>
      <c r="AJ288" s="3911"/>
      <c r="AK288" s="3912"/>
      <c r="AL288" s="3914"/>
      <c r="AP288" s="3914"/>
      <c r="AQ288" s="3910"/>
      <c r="AR288" s="3911"/>
      <c r="AS288" s="3911"/>
      <c r="AT288" s="3911"/>
      <c r="AU288" s="3911"/>
      <c r="AV288" s="3911"/>
      <c r="AW288" s="3911"/>
      <c r="AX288" s="3911"/>
      <c r="AY288" s="3911"/>
      <c r="AZ288" s="3912"/>
      <c r="BA288" s="3396"/>
      <c r="BG288" s="3914"/>
      <c r="BH288" s="3910"/>
      <c r="BI288" s="3911"/>
      <c r="BJ288" s="3911"/>
      <c r="BK288" s="3911"/>
      <c r="BL288" s="3911"/>
      <c r="BM288" s="3911"/>
      <c r="BN288" s="3911"/>
      <c r="BO288" s="3911"/>
      <c r="BP288" s="3911"/>
      <c r="BQ288" s="3911"/>
      <c r="BR288" s="3911"/>
      <c r="BS288" s="3911"/>
      <c r="BT288" s="3911"/>
      <c r="BU288" s="3911"/>
      <c r="BV288" s="3911"/>
      <c r="BW288" s="3912"/>
      <c r="BX288" s="3396"/>
    </row>
    <row r="289" spans="4:76" ht="17.100000000000001" customHeight="1" x14ac:dyDescent="0.15">
      <c r="D289" s="3396"/>
      <c r="E289" s="3907"/>
      <c r="F289" s="3908"/>
      <c r="G289" s="3908"/>
      <c r="H289" s="3908"/>
      <c r="I289" s="3908"/>
      <c r="J289" s="3908"/>
      <c r="K289" s="3908"/>
      <c r="L289" s="3908"/>
      <c r="M289" s="3908"/>
      <c r="N289" s="3908"/>
      <c r="O289" s="3908"/>
      <c r="P289" s="3908"/>
      <c r="Q289" s="3908"/>
      <c r="R289" s="3908"/>
      <c r="S289" s="3908"/>
      <c r="T289" s="3909"/>
      <c r="U289" s="3913"/>
      <c r="AA289" s="3396"/>
      <c r="AB289" s="3907"/>
      <c r="AC289" s="3908"/>
      <c r="AD289" s="3908"/>
      <c r="AE289" s="3908"/>
      <c r="AF289" s="3908"/>
      <c r="AG289" s="3908"/>
      <c r="AH289" s="3908"/>
      <c r="AI289" s="3908"/>
      <c r="AJ289" s="3908"/>
      <c r="AK289" s="3909"/>
      <c r="AL289" s="3913"/>
      <c r="AP289" s="3914"/>
      <c r="AQ289" s="3907"/>
      <c r="AR289" s="3908"/>
      <c r="AS289" s="3908"/>
      <c r="AT289" s="3908"/>
      <c r="AU289" s="3908"/>
      <c r="AV289" s="3908"/>
      <c r="AW289" s="3908"/>
      <c r="AX289" s="3908"/>
      <c r="AY289" s="3908"/>
      <c r="AZ289" s="3909"/>
      <c r="BA289" s="3396"/>
      <c r="BG289" s="3914"/>
      <c r="BH289" s="3907"/>
      <c r="BI289" s="3908"/>
      <c r="BJ289" s="3908"/>
      <c r="BK289" s="3908"/>
      <c r="BL289" s="3908"/>
      <c r="BM289" s="3908"/>
      <c r="BN289" s="3908"/>
      <c r="BO289" s="3908"/>
      <c r="BP289" s="3908"/>
      <c r="BQ289" s="3908"/>
      <c r="BR289" s="3908"/>
      <c r="BS289" s="3908"/>
      <c r="BT289" s="3908"/>
      <c r="BU289" s="3908"/>
      <c r="BV289" s="3908"/>
      <c r="BW289" s="3909"/>
      <c r="BX289" s="3396"/>
    </row>
    <row r="290" spans="4:76" ht="17.100000000000001" customHeight="1" x14ac:dyDescent="0.15">
      <c r="D290" s="3396"/>
      <c r="E290" s="3910"/>
      <c r="F290" s="3911"/>
      <c r="G290" s="3911"/>
      <c r="H290" s="3911"/>
      <c r="I290" s="3911"/>
      <c r="J290" s="3911"/>
      <c r="K290" s="3911"/>
      <c r="L290" s="3911"/>
      <c r="M290" s="3911"/>
      <c r="N290" s="3911"/>
      <c r="O290" s="3911"/>
      <c r="P290" s="3911"/>
      <c r="Q290" s="3911"/>
      <c r="R290" s="3911"/>
      <c r="S290" s="3911"/>
      <c r="T290" s="3912"/>
      <c r="U290" s="3914"/>
      <c r="AA290" s="3396"/>
      <c r="AB290" s="3910"/>
      <c r="AC290" s="3911"/>
      <c r="AD290" s="3911"/>
      <c r="AE290" s="3911"/>
      <c r="AF290" s="3911"/>
      <c r="AG290" s="3911"/>
      <c r="AH290" s="3911"/>
      <c r="AI290" s="3911"/>
      <c r="AJ290" s="3911"/>
      <c r="AK290" s="3912"/>
      <c r="AL290" s="3914"/>
      <c r="AP290" s="3914"/>
      <c r="AQ290" s="3910"/>
      <c r="AR290" s="3911"/>
      <c r="AS290" s="3911"/>
      <c r="AT290" s="3911"/>
      <c r="AU290" s="3911"/>
      <c r="AV290" s="3911"/>
      <c r="AW290" s="3911"/>
      <c r="AX290" s="3911"/>
      <c r="AY290" s="3911"/>
      <c r="AZ290" s="3912"/>
      <c r="BA290" s="3396"/>
      <c r="BG290" s="3914"/>
      <c r="BH290" s="3910"/>
      <c r="BI290" s="3911"/>
      <c r="BJ290" s="3911"/>
      <c r="BK290" s="3911"/>
      <c r="BL290" s="3911"/>
      <c r="BM290" s="3911"/>
      <c r="BN290" s="3911"/>
      <c r="BO290" s="3911"/>
      <c r="BP290" s="3911"/>
      <c r="BQ290" s="3911"/>
      <c r="BR290" s="3911"/>
      <c r="BS290" s="3911"/>
      <c r="BT290" s="3911"/>
      <c r="BU290" s="3911"/>
      <c r="BV290" s="3911"/>
      <c r="BW290" s="3912"/>
      <c r="BX290" s="3396"/>
    </row>
    <row r="291" spans="4:76" ht="17.100000000000001" customHeight="1" x14ac:dyDescent="0.15">
      <c r="D291" s="3396"/>
      <c r="E291" s="3907"/>
      <c r="F291" s="3908"/>
      <c r="G291" s="3908"/>
      <c r="H291" s="3908"/>
      <c r="I291" s="3908"/>
      <c r="J291" s="3908"/>
      <c r="K291" s="3908"/>
      <c r="L291" s="3908"/>
      <c r="M291" s="3908"/>
      <c r="N291" s="3908"/>
      <c r="O291" s="3908"/>
      <c r="P291" s="3908"/>
      <c r="Q291" s="3908"/>
      <c r="R291" s="3908"/>
      <c r="S291" s="3908"/>
      <c r="T291" s="3909"/>
      <c r="U291" s="3913"/>
      <c r="AA291" s="3396"/>
      <c r="AB291" s="3907"/>
      <c r="AC291" s="3908"/>
      <c r="AD291" s="3908"/>
      <c r="AE291" s="3908"/>
      <c r="AF291" s="3908"/>
      <c r="AG291" s="3908"/>
      <c r="AH291" s="3908"/>
      <c r="AI291" s="3908"/>
      <c r="AJ291" s="3908"/>
      <c r="AK291" s="3909"/>
      <c r="AL291" s="3913"/>
      <c r="AP291" s="3914"/>
      <c r="AQ291" s="3907"/>
      <c r="AR291" s="3908"/>
      <c r="AS291" s="3908"/>
      <c r="AT291" s="3908"/>
      <c r="AU291" s="3908"/>
      <c r="AV291" s="3908"/>
      <c r="AW291" s="3908"/>
      <c r="AX291" s="3908"/>
      <c r="AY291" s="3908"/>
      <c r="AZ291" s="3909"/>
      <c r="BA291" s="3396"/>
      <c r="BG291" s="3914"/>
      <c r="BH291" s="3907"/>
      <c r="BI291" s="3908"/>
      <c r="BJ291" s="3908"/>
      <c r="BK291" s="3908"/>
      <c r="BL291" s="3908"/>
      <c r="BM291" s="3908"/>
      <c r="BN291" s="3908"/>
      <c r="BO291" s="3908"/>
      <c r="BP291" s="3908"/>
      <c r="BQ291" s="3908"/>
      <c r="BR291" s="3908"/>
      <c r="BS291" s="3908"/>
      <c r="BT291" s="3908"/>
      <c r="BU291" s="3908"/>
      <c r="BV291" s="3908"/>
      <c r="BW291" s="3909"/>
      <c r="BX291" s="3396"/>
    </row>
    <row r="292" spans="4:76" ht="17.100000000000001" customHeight="1" x14ac:dyDescent="0.15">
      <c r="D292" s="3396"/>
      <c r="E292" s="3910"/>
      <c r="F292" s="3911"/>
      <c r="G292" s="3911"/>
      <c r="H292" s="3911"/>
      <c r="I292" s="3911"/>
      <c r="J292" s="3911"/>
      <c r="K292" s="3911"/>
      <c r="L292" s="3911"/>
      <c r="M292" s="3911"/>
      <c r="N292" s="3911"/>
      <c r="O292" s="3911"/>
      <c r="P292" s="3911"/>
      <c r="Q292" s="3911"/>
      <c r="R292" s="3911"/>
      <c r="S292" s="3911"/>
      <c r="T292" s="3912"/>
      <c r="U292" s="3914"/>
      <c r="AA292" s="3396"/>
      <c r="AB292" s="3910"/>
      <c r="AC292" s="3911"/>
      <c r="AD292" s="3911"/>
      <c r="AE292" s="3911"/>
      <c r="AF292" s="3911"/>
      <c r="AG292" s="3911"/>
      <c r="AH292" s="3911"/>
      <c r="AI292" s="3911"/>
      <c r="AJ292" s="3911"/>
      <c r="AK292" s="3912"/>
      <c r="AL292" s="3914"/>
      <c r="AP292" s="3914"/>
      <c r="AQ292" s="3910"/>
      <c r="AR292" s="3911"/>
      <c r="AS292" s="3911"/>
      <c r="AT292" s="3911"/>
      <c r="AU292" s="3911"/>
      <c r="AV292" s="3911"/>
      <c r="AW292" s="3911"/>
      <c r="AX292" s="3911"/>
      <c r="AY292" s="3911"/>
      <c r="AZ292" s="3912"/>
      <c r="BA292" s="3396"/>
      <c r="BG292" s="3914"/>
      <c r="BH292" s="3910"/>
      <c r="BI292" s="3911"/>
      <c r="BJ292" s="3911"/>
      <c r="BK292" s="3911"/>
      <c r="BL292" s="3911"/>
      <c r="BM292" s="3911"/>
      <c r="BN292" s="3911"/>
      <c r="BO292" s="3911"/>
      <c r="BP292" s="3911"/>
      <c r="BQ292" s="3911"/>
      <c r="BR292" s="3911"/>
      <c r="BS292" s="3911"/>
      <c r="BT292" s="3911"/>
      <c r="BU292" s="3911"/>
      <c r="BV292" s="3911"/>
      <c r="BW292" s="3912"/>
      <c r="BX292" s="3396"/>
    </row>
    <row r="293" spans="4:76" ht="17.100000000000001" customHeight="1" x14ac:dyDescent="0.15">
      <c r="D293" s="3396"/>
      <c r="E293" s="3907"/>
      <c r="F293" s="3908"/>
      <c r="G293" s="3908"/>
      <c r="H293" s="3908"/>
      <c r="I293" s="3908"/>
      <c r="J293" s="3908"/>
      <c r="K293" s="3908"/>
      <c r="L293" s="3908"/>
      <c r="M293" s="3908"/>
      <c r="N293" s="3908"/>
      <c r="O293" s="3908"/>
      <c r="P293" s="3908"/>
      <c r="Q293" s="3908"/>
      <c r="R293" s="3908"/>
      <c r="S293" s="3908"/>
      <c r="T293" s="3909"/>
      <c r="U293" s="3913"/>
      <c r="AA293" s="3396"/>
      <c r="AB293" s="3907"/>
      <c r="AC293" s="3908"/>
      <c r="AD293" s="3908"/>
      <c r="AE293" s="3908"/>
      <c r="AF293" s="3908"/>
      <c r="AG293" s="3908"/>
      <c r="AH293" s="3908"/>
      <c r="AI293" s="3908"/>
      <c r="AJ293" s="3908"/>
      <c r="AK293" s="3909"/>
      <c r="AL293" s="3913"/>
      <c r="AP293" s="3914"/>
      <c r="AQ293" s="3907"/>
      <c r="AR293" s="3908"/>
      <c r="AS293" s="3908"/>
      <c r="AT293" s="3908"/>
      <c r="AU293" s="3908"/>
      <c r="AV293" s="3908"/>
      <c r="AW293" s="3908"/>
      <c r="AX293" s="3908"/>
      <c r="AY293" s="3908"/>
      <c r="AZ293" s="3909"/>
      <c r="BA293" s="3396"/>
      <c r="BG293" s="3914"/>
      <c r="BH293" s="3907"/>
      <c r="BI293" s="3908"/>
      <c r="BJ293" s="3908"/>
      <c r="BK293" s="3908"/>
      <c r="BL293" s="3908"/>
      <c r="BM293" s="3908"/>
      <c r="BN293" s="3908"/>
      <c r="BO293" s="3908"/>
      <c r="BP293" s="3908"/>
      <c r="BQ293" s="3908"/>
      <c r="BR293" s="3908"/>
      <c r="BS293" s="3908"/>
      <c r="BT293" s="3908"/>
      <c r="BU293" s="3908"/>
      <c r="BV293" s="3908"/>
      <c r="BW293" s="3909"/>
      <c r="BX293" s="3396"/>
    </row>
    <row r="294" spans="4:76" ht="17.100000000000001" customHeight="1" x14ac:dyDescent="0.15">
      <c r="D294" s="3396"/>
      <c r="E294" s="3910"/>
      <c r="F294" s="3911"/>
      <c r="G294" s="3911"/>
      <c r="H294" s="3911"/>
      <c r="I294" s="3911"/>
      <c r="J294" s="3911"/>
      <c r="K294" s="3911"/>
      <c r="L294" s="3911"/>
      <c r="M294" s="3911"/>
      <c r="N294" s="3911"/>
      <c r="O294" s="3911"/>
      <c r="P294" s="3911"/>
      <c r="Q294" s="3911"/>
      <c r="R294" s="3911"/>
      <c r="S294" s="3911"/>
      <c r="T294" s="3912"/>
      <c r="U294" s="3914"/>
      <c r="AA294" s="3396"/>
      <c r="AB294" s="3910"/>
      <c r="AC294" s="3911"/>
      <c r="AD294" s="3911"/>
      <c r="AE294" s="3911"/>
      <c r="AF294" s="3911"/>
      <c r="AG294" s="3911"/>
      <c r="AH294" s="3911"/>
      <c r="AI294" s="3911"/>
      <c r="AJ294" s="3911"/>
      <c r="AK294" s="3912"/>
      <c r="AL294" s="3914"/>
      <c r="AP294" s="3914"/>
      <c r="AQ294" s="3910"/>
      <c r="AR294" s="3911"/>
      <c r="AS294" s="3911"/>
      <c r="AT294" s="3911"/>
      <c r="AU294" s="3911"/>
      <c r="AV294" s="3911"/>
      <c r="AW294" s="3911"/>
      <c r="AX294" s="3911"/>
      <c r="AY294" s="3911"/>
      <c r="AZ294" s="3912"/>
      <c r="BA294" s="3396"/>
      <c r="BG294" s="3914"/>
      <c r="BH294" s="3910"/>
      <c r="BI294" s="3911"/>
      <c r="BJ294" s="3911"/>
      <c r="BK294" s="3911"/>
      <c r="BL294" s="3911"/>
      <c r="BM294" s="3911"/>
      <c r="BN294" s="3911"/>
      <c r="BO294" s="3911"/>
      <c r="BP294" s="3911"/>
      <c r="BQ294" s="3911"/>
      <c r="BR294" s="3911"/>
      <c r="BS294" s="3911"/>
      <c r="BT294" s="3911"/>
      <c r="BU294" s="3911"/>
      <c r="BV294" s="3911"/>
      <c r="BW294" s="3912"/>
      <c r="BX294" s="3396"/>
    </row>
    <row r="295" spans="4:76" ht="17.100000000000001" customHeight="1" x14ac:dyDescent="0.15">
      <c r="D295" s="3396"/>
      <c r="E295" s="3907"/>
      <c r="F295" s="3908"/>
      <c r="G295" s="3908"/>
      <c r="H295" s="3908"/>
      <c r="I295" s="3908"/>
      <c r="J295" s="3908"/>
      <c r="K295" s="3908"/>
      <c r="L295" s="3908"/>
      <c r="M295" s="3908"/>
      <c r="N295" s="3908"/>
      <c r="O295" s="3908"/>
      <c r="P295" s="3908"/>
      <c r="Q295" s="3908"/>
      <c r="R295" s="3908"/>
      <c r="S295" s="3908"/>
      <c r="T295" s="3909"/>
      <c r="U295" s="3913"/>
      <c r="AA295" s="3396"/>
      <c r="AB295" s="3907"/>
      <c r="AC295" s="3908"/>
      <c r="AD295" s="3908"/>
      <c r="AE295" s="3908"/>
      <c r="AF295" s="3908"/>
      <c r="AG295" s="3908"/>
      <c r="AH295" s="3908"/>
      <c r="AI295" s="3908"/>
      <c r="AJ295" s="3908"/>
      <c r="AK295" s="3909"/>
      <c r="AL295" s="3913"/>
      <c r="AP295" s="3914"/>
      <c r="AQ295" s="3907"/>
      <c r="AR295" s="3908"/>
      <c r="AS295" s="3908"/>
      <c r="AT295" s="3908"/>
      <c r="AU295" s="3908"/>
      <c r="AV295" s="3908"/>
      <c r="AW295" s="3908"/>
      <c r="AX295" s="3908"/>
      <c r="AY295" s="3908"/>
      <c r="AZ295" s="3909"/>
      <c r="BA295" s="3396"/>
      <c r="BG295" s="3914"/>
      <c r="BH295" s="3907"/>
      <c r="BI295" s="3908"/>
      <c r="BJ295" s="3908"/>
      <c r="BK295" s="3908"/>
      <c r="BL295" s="3908"/>
      <c r="BM295" s="3908"/>
      <c r="BN295" s="3908"/>
      <c r="BO295" s="3908"/>
      <c r="BP295" s="3908"/>
      <c r="BQ295" s="3908"/>
      <c r="BR295" s="3908"/>
      <c r="BS295" s="3908"/>
      <c r="BT295" s="3908"/>
      <c r="BU295" s="3908"/>
      <c r="BV295" s="3908"/>
      <c r="BW295" s="3909"/>
      <c r="BX295" s="3396"/>
    </row>
    <row r="296" spans="4:76" ht="17.100000000000001" customHeight="1" x14ac:dyDescent="0.15">
      <c r="D296" s="3396"/>
      <c r="E296" s="3910"/>
      <c r="F296" s="3911"/>
      <c r="G296" s="3911"/>
      <c r="H296" s="3911"/>
      <c r="I296" s="3911"/>
      <c r="J296" s="3911"/>
      <c r="K296" s="3911"/>
      <c r="L296" s="3911"/>
      <c r="M296" s="3911"/>
      <c r="N296" s="3911"/>
      <c r="O296" s="3911"/>
      <c r="P296" s="3911"/>
      <c r="Q296" s="3911"/>
      <c r="R296" s="3911"/>
      <c r="S296" s="3911"/>
      <c r="T296" s="3912"/>
      <c r="U296" s="3914"/>
      <c r="AA296" s="3396"/>
      <c r="AB296" s="3910"/>
      <c r="AC296" s="3911"/>
      <c r="AD296" s="3911"/>
      <c r="AE296" s="3911"/>
      <c r="AF296" s="3911"/>
      <c r="AG296" s="3911"/>
      <c r="AH296" s="3911"/>
      <c r="AI296" s="3911"/>
      <c r="AJ296" s="3911"/>
      <c r="AK296" s="3912"/>
      <c r="AL296" s="3914"/>
      <c r="AP296" s="3914"/>
      <c r="AQ296" s="3910"/>
      <c r="AR296" s="3911"/>
      <c r="AS296" s="3911"/>
      <c r="AT296" s="3911"/>
      <c r="AU296" s="3911"/>
      <c r="AV296" s="3911"/>
      <c r="AW296" s="3911"/>
      <c r="AX296" s="3911"/>
      <c r="AY296" s="3911"/>
      <c r="AZ296" s="3912"/>
      <c r="BA296" s="3396"/>
      <c r="BG296" s="3914"/>
      <c r="BH296" s="3910"/>
      <c r="BI296" s="3911"/>
      <c r="BJ296" s="3911"/>
      <c r="BK296" s="3911"/>
      <c r="BL296" s="3911"/>
      <c r="BM296" s="3911"/>
      <c r="BN296" s="3911"/>
      <c r="BO296" s="3911"/>
      <c r="BP296" s="3911"/>
      <c r="BQ296" s="3911"/>
      <c r="BR296" s="3911"/>
      <c r="BS296" s="3911"/>
      <c r="BT296" s="3911"/>
      <c r="BU296" s="3911"/>
      <c r="BV296" s="3911"/>
      <c r="BW296" s="3912"/>
      <c r="BX296" s="3396"/>
    </row>
    <row r="297" spans="4:76" ht="17.100000000000001" customHeight="1" x14ac:dyDescent="0.15">
      <c r="D297" s="3396"/>
      <c r="E297" s="3907"/>
      <c r="F297" s="3908"/>
      <c r="G297" s="3908"/>
      <c r="H297" s="3908"/>
      <c r="I297" s="3908"/>
      <c r="J297" s="3908"/>
      <c r="K297" s="3908"/>
      <c r="L297" s="3908"/>
      <c r="M297" s="3908"/>
      <c r="N297" s="3908"/>
      <c r="O297" s="3908"/>
      <c r="P297" s="3908"/>
      <c r="Q297" s="3908"/>
      <c r="R297" s="3908"/>
      <c r="S297" s="3908"/>
      <c r="T297" s="3909"/>
      <c r="U297" s="3913"/>
      <c r="AA297" s="3396"/>
      <c r="AB297" s="3907"/>
      <c r="AC297" s="3908"/>
      <c r="AD297" s="3908"/>
      <c r="AE297" s="3908"/>
      <c r="AF297" s="3908"/>
      <c r="AG297" s="3908"/>
      <c r="AH297" s="3908"/>
      <c r="AI297" s="3908"/>
      <c r="AJ297" s="3908"/>
      <c r="AK297" s="3909"/>
      <c r="AL297" s="3913"/>
      <c r="AP297" s="3914"/>
      <c r="AQ297" s="3907"/>
      <c r="AR297" s="3908"/>
      <c r="AS297" s="3908"/>
      <c r="AT297" s="3908"/>
      <c r="AU297" s="3908"/>
      <c r="AV297" s="3908"/>
      <c r="AW297" s="3908"/>
      <c r="AX297" s="3908"/>
      <c r="AY297" s="3908"/>
      <c r="AZ297" s="3909"/>
      <c r="BA297" s="3396"/>
      <c r="BG297" s="3914"/>
      <c r="BH297" s="3907"/>
      <c r="BI297" s="3908"/>
      <c r="BJ297" s="3908"/>
      <c r="BK297" s="3908"/>
      <c r="BL297" s="3908"/>
      <c r="BM297" s="3908"/>
      <c r="BN297" s="3908"/>
      <c r="BO297" s="3908"/>
      <c r="BP297" s="3908"/>
      <c r="BQ297" s="3908"/>
      <c r="BR297" s="3908"/>
      <c r="BS297" s="3908"/>
      <c r="BT297" s="3908"/>
      <c r="BU297" s="3908"/>
      <c r="BV297" s="3908"/>
      <c r="BW297" s="3909"/>
      <c r="BX297" s="3396"/>
    </row>
    <row r="298" spans="4:76" ht="17.100000000000001" customHeight="1" x14ac:dyDescent="0.15">
      <c r="D298" s="3396"/>
      <c r="E298" s="3910"/>
      <c r="F298" s="3911"/>
      <c r="G298" s="3911"/>
      <c r="H298" s="3911"/>
      <c r="I298" s="3911"/>
      <c r="J298" s="3911"/>
      <c r="K298" s="3911"/>
      <c r="L298" s="3911"/>
      <c r="M298" s="3911"/>
      <c r="N298" s="3911"/>
      <c r="O298" s="3911"/>
      <c r="P298" s="3911"/>
      <c r="Q298" s="3911"/>
      <c r="R298" s="3911"/>
      <c r="S298" s="3911"/>
      <c r="T298" s="3912"/>
      <c r="U298" s="3914"/>
      <c r="AA298" s="3396"/>
      <c r="AB298" s="3910"/>
      <c r="AC298" s="3911"/>
      <c r="AD298" s="3911"/>
      <c r="AE298" s="3911"/>
      <c r="AF298" s="3911"/>
      <c r="AG298" s="3911"/>
      <c r="AH298" s="3911"/>
      <c r="AI298" s="3911"/>
      <c r="AJ298" s="3911"/>
      <c r="AK298" s="3912"/>
      <c r="AL298" s="3914"/>
      <c r="AP298" s="3914"/>
      <c r="AQ298" s="3910"/>
      <c r="AR298" s="3911"/>
      <c r="AS298" s="3911"/>
      <c r="AT298" s="3911"/>
      <c r="AU298" s="3911"/>
      <c r="AV298" s="3911"/>
      <c r="AW298" s="3911"/>
      <c r="AX298" s="3911"/>
      <c r="AY298" s="3911"/>
      <c r="AZ298" s="3912"/>
      <c r="BA298" s="3396"/>
      <c r="BG298" s="3914"/>
      <c r="BH298" s="3910"/>
      <c r="BI298" s="3911"/>
      <c r="BJ298" s="3911"/>
      <c r="BK298" s="3911"/>
      <c r="BL298" s="3911"/>
      <c r="BM298" s="3911"/>
      <c r="BN298" s="3911"/>
      <c r="BO298" s="3911"/>
      <c r="BP298" s="3911"/>
      <c r="BQ298" s="3911"/>
      <c r="BR298" s="3911"/>
      <c r="BS298" s="3911"/>
      <c r="BT298" s="3911"/>
      <c r="BU298" s="3911"/>
      <c r="BV298" s="3911"/>
      <c r="BW298" s="3912"/>
      <c r="BX298" s="3396"/>
    </row>
    <row r="299" spans="4:76" ht="17.100000000000001" customHeight="1" x14ac:dyDescent="0.15">
      <c r="D299" s="3396"/>
      <c r="E299" s="3907"/>
      <c r="F299" s="3908"/>
      <c r="G299" s="3908"/>
      <c r="H299" s="3908"/>
      <c r="I299" s="3908"/>
      <c r="J299" s="3908"/>
      <c r="K299" s="3908"/>
      <c r="L299" s="3908"/>
      <c r="M299" s="3908"/>
      <c r="N299" s="3908"/>
      <c r="O299" s="3908"/>
      <c r="P299" s="3908"/>
      <c r="Q299" s="3908"/>
      <c r="R299" s="3908"/>
      <c r="S299" s="3908"/>
      <c r="T299" s="3909"/>
      <c r="U299" s="3913"/>
      <c r="AA299" s="3396"/>
      <c r="AB299" s="3907"/>
      <c r="AC299" s="3908"/>
      <c r="AD299" s="3908"/>
      <c r="AE299" s="3908"/>
      <c r="AF299" s="3908"/>
      <c r="AG299" s="3908"/>
      <c r="AH299" s="3908"/>
      <c r="AI299" s="3908"/>
      <c r="AJ299" s="3908"/>
      <c r="AK299" s="3909"/>
      <c r="AL299" s="3913"/>
      <c r="AP299" s="3914"/>
      <c r="AQ299" s="3907"/>
      <c r="AR299" s="3908"/>
      <c r="AS299" s="3908"/>
      <c r="AT299" s="3908"/>
      <c r="AU299" s="3908"/>
      <c r="AV299" s="3908"/>
      <c r="AW299" s="3908"/>
      <c r="AX299" s="3908"/>
      <c r="AY299" s="3908"/>
      <c r="AZ299" s="3909"/>
      <c r="BA299" s="3396"/>
      <c r="BG299" s="3914"/>
      <c r="BH299" s="3907"/>
      <c r="BI299" s="3908"/>
      <c r="BJ299" s="3908"/>
      <c r="BK299" s="3908"/>
      <c r="BL299" s="3908"/>
      <c r="BM299" s="3908"/>
      <c r="BN299" s="3908"/>
      <c r="BO299" s="3908"/>
      <c r="BP299" s="3908"/>
      <c r="BQ299" s="3908"/>
      <c r="BR299" s="3908"/>
      <c r="BS299" s="3908"/>
      <c r="BT299" s="3908"/>
      <c r="BU299" s="3908"/>
      <c r="BV299" s="3908"/>
      <c r="BW299" s="3909"/>
      <c r="BX299" s="3396"/>
    </row>
    <row r="300" spans="4:76" ht="17.100000000000001" customHeight="1" x14ac:dyDescent="0.15">
      <c r="D300" s="3396"/>
      <c r="E300" s="3910"/>
      <c r="F300" s="3911"/>
      <c r="G300" s="3911"/>
      <c r="H300" s="3911"/>
      <c r="I300" s="3911"/>
      <c r="J300" s="3911"/>
      <c r="K300" s="3911"/>
      <c r="L300" s="3911"/>
      <c r="M300" s="3911"/>
      <c r="N300" s="3911"/>
      <c r="O300" s="3911"/>
      <c r="P300" s="3911"/>
      <c r="Q300" s="3911"/>
      <c r="R300" s="3911"/>
      <c r="S300" s="3911"/>
      <c r="T300" s="3912"/>
      <c r="U300" s="3914"/>
      <c r="AA300" s="3396"/>
      <c r="AB300" s="3910"/>
      <c r="AC300" s="3911"/>
      <c r="AD300" s="3911"/>
      <c r="AE300" s="3911"/>
      <c r="AF300" s="3911"/>
      <c r="AG300" s="3911"/>
      <c r="AH300" s="3911"/>
      <c r="AI300" s="3911"/>
      <c r="AJ300" s="3911"/>
      <c r="AK300" s="3912"/>
      <c r="AL300" s="3914"/>
      <c r="AP300" s="3914"/>
      <c r="AQ300" s="3910"/>
      <c r="AR300" s="3911"/>
      <c r="AS300" s="3911"/>
      <c r="AT300" s="3911"/>
      <c r="AU300" s="3911"/>
      <c r="AV300" s="3911"/>
      <c r="AW300" s="3911"/>
      <c r="AX300" s="3911"/>
      <c r="AY300" s="3911"/>
      <c r="AZ300" s="3912"/>
      <c r="BA300" s="3396"/>
      <c r="BG300" s="3914"/>
      <c r="BH300" s="3910"/>
      <c r="BI300" s="3911"/>
      <c r="BJ300" s="3911"/>
      <c r="BK300" s="3911"/>
      <c r="BL300" s="3911"/>
      <c r="BM300" s="3911"/>
      <c r="BN300" s="3911"/>
      <c r="BO300" s="3911"/>
      <c r="BP300" s="3911"/>
      <c r="BQ300" s="3911"/>
      <c r="BR300" s="3911"/>
      <c r="BS300" s="3911"/>
      <c r="BT300" s="3911"/>
      <c r="BU300" s="3911"/>
      <c r="BV300" s="3911"/>
      <c r="BW300" s="3912"/>
      <c r="BX300" s="3396"/>
    </row>
    <row r="301" spans="4:76" ht="17.100000000000001" customHeight="1" x14ac:dyDescent="0.15">
      <c r="D301" s="3396"/>
      <c r="E301" s="3907"/>
      <c r="F301" s="3908"/>
      <c r="G301" s="3908"/>
      <c r="H301" s="3908"/>
      <c r="I301" s="3908"/>
      <c r="J301" s="3908"/>
      <c r="K301" s="3908"/>
      <c r="L301" s="3908"/>
      <c r="M301" s="3908"/>
      <c r="N301" s="3908"/>
      <c r="O301" s="3908"/>
      <c r="P301" s="3908"/>
      <c r="Q301" s="3908"/>
      <c r="R301" s="3908"/>
      <c r="S301" s="3908"/>
      <c r="T301" s="3909"/>
      <c r="U301" s="3913"/>
      <c r="AA301" s="3396"/>
      <c r="AB301" s="3907"/>
      <c r="AC301" s="3908"/>
      <c r="AD301" s="3908"/>
      <c r="AE301" s="3908"/>
      <c r="AF301" s="3908"/>
      <c r="AG301" s="3908"/>
      <c r="AH301" s="3908"/>
      <c r="AI301" s="3908"/>
      <c r="AJ301" s="3908"/>
      <c r="AK301" s="3909"/>
      <c r="AL301" s="3913"/>
      <c r="AP301" s="3914"/>
      <c r="AQ301" s="3907"/>
      <c r="AR301" s="3908"/>
      <c r="AS301" s="3908"/>
      <c r="AT301" s="3908"/>
      <c r="AU301" s="3908"/>
      <c r="AV301" s="3908"/>
      <c r="AW301" s="3908"/>
      <c r="AX301" s="3908"/>
      <c r="AY301" s="3908"/>
      <c r="AZ301" s="3909"/>
      <c r="BA301" s="3396"/>
      <c r="BG301" s="3914"/>
      <c r="BH301" s="3907"/>
      <c r="BI301" s="3908"/>
      <c r="BJ301" s="3908"/>
      <c r="BK301" s="3908"/>
      <c r="BL301" s="3908"/>
      <c r="BM301" s="3908"/>
      <c r="BN301" s="3908"/>
      <c r="BO301" s="3908"/>
      <c r="BP301" s="3908"/>
      <c r="BQ301" s="3908"/>
      <c r="BR301" s="3908"/>
      <c r="BS301" s="3908"/>
      <c r="BT301" s="3908"/>
      <c r="BU301" s="3908"/>
      <c r="BV301" s="3908"/>
      <c r="BW301" s="3909"/>
      <c r="BX301" s="3396"/>
    </row>
    <row r="302" spans="4:76" ht="17.100000000000001" customHeight="1" x14ac:dyDescent="0.15">
      <c r="D302" s="3396"/>
      <c r="E302" s="3910"/>
      <c r="F302" s="3911"/>
      <c r="G302" s="3911"/>
      <c r="H302" s="3911"/>
      <c r="I302" s="3911"/>
      <c r="J302" s="3911"/>
      <c r="K302" s="3911"/>
      <c r="L302" s="3911"/>
      <c r="M302" s="3911"/>
      <c r="N302" s="3911"/>
      <c r="O302" s="3911"/>
      <c r="P302" s="3911"/>
      <c r="Q302" s="3911"/>
      <c r="R302" s="3911"/>
      <c r="S302" s="3911"/>
      <c r="T302" s="3912"/>
      <c r="U302" s="3914"/>
      <c r="AA302" s="3396"/>
      <c r="AB302" s="3910"/>
      <c r="AC302" s="3911"/>
      <c r="AD302" s="3911"/>
      <c r="AE302" s="3911"/>
      <c r="AF302" s="3911"/>
      <c r="AG302" s="3911"/>
      <c r="AH302" s="3911"/>
      <c r="AI302" s="3911"/>
      <c r="AJ302" s="3911"/>
      <c r="AK302" s="3912"/>
      <c r="AL302" s="3914"/>
      <c r="AP302" s="3914"/>
      <c r="AQ302" s="3910"/>
      <c r="AR302" s="3911"/>
      <c r="AS302" s="3911"/>
      <c r="AT302" s="3911"/>
      <c r="AU302" s="3911"/>
      <c r="AV302" s="3911"/>
      <c r="AW302" s="3911"/>
      <c r="AX302" s="3911"/>
      <c r="AY302" s="3911"/>
      <c r="AZ302" s="3912"/>
      <c r="BA302" s="3396"/>
      <c r="BG302" s="3914"/>
      <c r="BH302" s="3910"/>
      <c r="BI302" s="3911"/>
      <c r="BJ302" s="3911"/>
      <c r="BK302" s="3911"/>
      <c r="BL302" s="3911"/>
      <c r="BM302" s="3911"/>
      <c r="BN302" s="3911"/>
      <c r="BO302" s="3911"/>
      <c r="BP302" s="3911"/>
      <c r="BQ302" s="3911"/>
      <c r="BR302" s="3911"/>
      <c r="BS302" s="3911"/>
      <c r="BT302" s="3911"/>
      <c r="BU302" s="3911"/>
      <c r="BV302" s="3911"/>
      <c r="BW302" s="3912"/>
      <c r="BX302" s="3396"/>
    </row>
    <row r="303" spans="4:76" ht="17.100000000000001" customHeight="1" x14ac:dyDescent="0.15">
      <c r="D303" s="3396"/>
      <c r="E303" s="3907"/>
      <c r="F303" s="3908"/>
      <c r="G303" s="3908"/>
      <c r="H303" s="3908"/>
      <c r="I303" s="3908"/>
      <c r="J303" s="3908"/>
      <c r="K303" s="3908"/>
      <c r="L303" s="3908"/>
      <c r="M303" s="3908"/>
      <c r="N303" s="3908"/>
      <c r="O303" s="3908"/>
      <c r="P303" s="3908"/>
      <c r="Q303" s="3908"/>
      <c r="R303" s="3908"/>
      <c r="S303" s="3908"/>
      <c r="T303" s="3909"/>
      <c r="U303" s="3913"/>
      <c r="AA303" s="3396"/>
      <c r="AB303" s="3907"/>
      <c r="AC303" s="3908"/>
      <c r="AD303" s="3908"/>
      <c r="AE303" s="3908"/>
      <c r="AF303" s="3908"/>
      <c r="AG303" s="3908"/>
      <c r="AH303" s="3908"/>
      <c r="AI303" s="3908"/>
      <c r="AJ303" s="3908"/>
      <c r="AK303" s="3909"/>
      <c r="AL303" s="3913"/>
      <c r="AP303" s="3914"/>
      <c r="AQ303" s="3907"/>
      <c r="AR303" s="3908"/>
      <c r="AS303" s="3908"/>
      <c r="AT303" s="3908"/>
      <c r="AU303" s="3908"/>
      <c r="AV303" s="3908"/>
      <c r="AW303" s="3908"/>
      <c r="AX303" s="3908"/>
      <c r="AY303" s="3908"/>
      <c r="AZ303" s="3909"/>
      <c r="BA303" s="3396"/>
      <c r="BG303" s="3914"/>
      <c r="BH303" s="3907"/>
      <c r="BI303" s="3908"/>
      <c r="BJ303" s="3908"/>
      <c r="BK303" s="3908"/>
      <c r="BL303" s="3908"/>
      <c r="BM303" s="3908"/>
      <c r="BN303" s="3908"/>
      <c r="BO303" s="3908"/>
      <c r="BP303" s="3908"/>
      <c r="BQ303" s="3908"/>
      <c r="BR303" s="3908"/>
      <c r="BS303" s="3908"/>
      <c r="BT303" s="3908"/>
      <c r="BU303" s="3908"/>
      <c r="BV303" s="3908"/>
      <c r="BW303" s="3909"/>
      <c r="BX303" s="3396"/>
    </row>
    <row r="304" spans="4:76" ht="17.100000000000001" customHeight="1" x14ac:dyDescent="0.15">
      <c r="D304" s="3396"/>
      <c r="E304" s="3910"/>
      <c r="F304" s="3911"/>
      <c r="G304" s="3911"/>
      <c r="H304" s="3911"/>
      <c r="I304" s="3911"/>
      <c r="J304" s="3911"/>
      <c r="K304" s="3911"/>
      <c r="L304" s="3911"/>
      <c r="M304" s="3911"/>
      <c r="N304" s="3911"/>
      <c r="O304" s="3911"/>
      <c r="P304" s="3911"/>
      <c r="Q304" s="3911"/>
      <c r="R304" s="3911"/>
      <c r="S304" s="3911"/>
      <c r="T304" s="3912"/>
      <c r="U304" s="3914"/>
      <c r="AA304" s="3396"/>
      <c r="AB304" s="3910"/>
      <c r="AC304" s="3911"/>
      <c r="AD304" s="3911"/>
      <c r="AE304" s="3911"/>
      <c r="AF304" s="3911"/>
      <c r="AG304" s="3911"/>
      <c r="AH304" s="3911"/>
      <c r="AI304" s="3911"/>
      <c r="AJ304" s="3911"/>
      <c r="AK304" s="3912"/>
      <c r="AL304" s="3914"/>
      <c r="AP304" s="3914"/>
      <c r="AQ304" s="3910"/>
      <c r="AR304" s="3911"/>
      <c r="AS304" s="3911"/>
      <c r="AT304" s="3911"/>
      <c r="AU304" s="3911"/>
      <c r="AV304" s="3911"/>
      <c r="AW304" s="3911"/>
      <c r="AX304" s="3911"/>
      <c r="AY304" s="3911"/>
      <c r="AZ304" s="3912"/>
      <c r="BA304" s="3396"/>
      <c r="BG304" s="3914"/>
      <c r="BH304" s="3910"/>
      <c r="BI304" s="3911"/>
      <c r="BJ304" s="3911"/>
      <c r="BK304" s="3911"/>
      <c r="BL304" s="3911"/>
      <c r="BM304" s="3911"/>
      <c r="BN304" s="3911"/>
      <c r="BO304" s="3911"/>
      <c r="BP304" s="3911"/>
      <c r="BQ304" s="3911"/>
      <c r="BR304" s="3911"/>
      <c r="BS304" s="3911"/>
      <c r="BT304" s="3911"/>
      <c r="BU304" s="3911"/>
      <c r="BV304" s="3911"/>
      <c r="BW304" s="3912"/>
      <c r="BX304" s="3396"/>
    </row>
    <row r="305" spans="4:76" ht="17.100000000000001" customHeight="1" x14ac:dyDescent="0.15">
      <c r="D305" s="3396"/>
      <c r="E305" s="3907"/>
      <c r="F305" s="3908"/>
      <c r="G305" s="3908"/>
      <c r="H305" s="3908"/>
      <c r="I305" s="3908"/>
      <c r="J305" s="3908"/>
      <c r="K305" s="3908"/>
      <c r="L305" s="3908"/>
      <c r="M305" s="3908"/>
      <c r="N305" s="3908"/>
      <c r="O305" s="3908"/>
      <c r="P305" s="3908"/>
      <c r="Q305" s="3908"/>
      <c r="R305" s="3908"/>
      <c r="S305" s="3908"/>
      <c r="T305" s="3909"/>
      <c r="U305" s="3913"/>
      <c r="AA305" s="3396"/>
      <c r="AB305" s="3907"/>
      <c r="AC305" s="3908"/>
      <c r="AD305" s="3908"/>
      <c r="AE305" s="3908"/>
      <c r="AF305" s="3908"/>
      <c r="AG305" s="3908"/>
      <c r="AH305" s="3908"/>
      <c r="AI305" s="3908"/>
      <c r="AJ305" s="3908"/>
      <c r="AK305" s="3909"/>
      <c r="AL305" s="3913"/>
      <c r="AP305" s="3914"/>
      <c r="AQ305" s="3907"/>
      <c r="AR305" s="3908"/>
      <c r="AS305" s="3908"/>
      <c r="AT305" s="3908"/>
      <c r="AU305" s="3908"/>
      <c r="AV305" s="3908"/>
      <c r="AW305" s="3908"/>
      <c r="AX305" s="3908"/>
      <c r="AY305" s="3908"/>
      <c r="AZ305" s="3909"/>
      <c r="BA305" s="3396"/>
      <c r="BG305" s="3914"/>
      <c r="BH305" s="3907"/>
      <c r="BI305" s="3908"/>
      <c r="BJ305" s="3908"/>
      <c r="BK305" s="3908"/>
      <c r="BL305" s="3908"/>
      <c r="BM305" s="3908"/>
      <c r="BN305" s="3908"/>
      <c r="BO305" s="3908"/>
      <c r="BP305" s="3908"/>
      <c r="BQ305" s="3908"/>
      <c r="BR305" s="3908"/>
      <c r="BS305" s="3908"/>
      <c r="BT305" s="3908"/>
      <c r="BU305" s="3908"/>
      <c r="BV305" s="3908"/>
      <c r="BW305" s="3909"/>
      <c r="BX305" s="3396"/>
    </row>
    <row r="306" spans="4:76" ht="17.100000000000001" customHeight="1" x14ac:dyDescent="0.15">
      <c r="D306" s="3396"/>
      <c r="E306" s="3910"/>
      <c r="F306" s="3911"/>
      <c r="G306" s="3911"/>
      <c r="H306" s="3911"/>
      <c r="I306" s="3911"/>
      <c r="J306" s="3911"/>
      <c r="K306" s="3911"/>
      <c r="L306" s="3911"/>
      <c r="M306" s="3911"/>
      <c r="N306" s="3911"/>
      <c r="O306" s="3911"/>
      <c r="P306" s="3911"/>
      <c r="Q306" s="3911"/>
      <c r="R306" s="3911"/>
      <c r="S306" s="3911"/>
      <c r="T306" s="3912"/>
      <c r="U306" s="3914"/>
      <c r="AA306" s="3396"/>
      <c r="AB306" s="3910"/>
      <c r="AC306" s="3911"/>
      <c r="AD306" s="3911"/>
      <c r="AE306" s="3911"/>
      <c r="AF306" s="3911"/>
      <c r="AG306" s="3911"/>
      <c r="AH306" s="3911"/>
      <c r="AI306" s="3911"/>
      <c r="AJ306" s="3911"/>
      <c r="AK306" s="3912"/>
      <c r="AL306" s="3914"/>
      <c r="AP306" s="3914"/>
      <c r="AQ306" s="3910"/>
      <c r="AR306" s="3911"/>
      <c r="AS306" s="3911"/>
      <c r="AT306" s="3911"/>
      <c r="AU306" s="3911"/>
      <c r="AV306" s="3911"/>
      <c r="AW306" s="3911"/>
      <c r="AX306" s="3911"/>
      <c r="AY306" s="3911"/>
      <c r="AZ306" s="3912"/>
      <c r="BA306" s="3396"/>
      <c r="BG306" s="3914"/>
      <c r="BH306" s="3910"/>
      <c r="BI306" s="3911"/>
      <c r="BJ306" s="3911"/>
      <c r="BK306" s="3911"/>
      <c r="BL306" s="3911"/>
      <c r="BM306" s="3911"/>
      <c r="BN306" s="3911"/>
      <c r="BO306" s="3911"/>
      <c r="BP306" s="3911"/>
      <c r="BQ306" s="3911"/>
      <c r="BR306" s="3911"/>
      <c r="BS306" s="3911"/>
      <c r="BT306" s="3911"/>
      <c r="BU306" s="3911"/>
      <c r="BV306" s="3911"/>
      <c r="BW306" s="3912"/>
      <c r="BX306" s="3396"/>
    </row>
    <row r="307" spans="4:76" ht="17.100000000000001" customHeight="1" x14ac:dyDescent="0.15">
      <c r="D307" s="3396"/>
      <c r="E307" s="3907"/>
      <c r="F307" s="3908"/>
      <c r="G307" s="3908"/>
      <c r="H307" s="3908"/>
      <c r="I307" s="3908"/>
      <c r="J307" s="3908"/>
      <c r="K307" s="3908"/>
      <c r="L307" s="3908"/>
      <c r="M307" s="3908"/>
      <c r="N307" s="3908"/>
      <c r="O307" s="3908"/>
      <c r="P307" s="3908"/>
      <c r="Q307" s="3908"/>
      <c r="R307" s="3908"/>
      <c r="S307" s="3908"/>
      <c r="T307" s="3909"/>
      <c r="U307" s="3913"/>
      <c r="AA307" s="3396"/>
      <c r="AB307" s="3907"/>
      <c r="AC307" s="3908"/>
      <c r="AD307" s="3908"/>
      <c r="AE307" s="3908"/>
      <c r="AF307" s="3908"/>
      <c r="AG307" s="3908"/>
      <c r="AH307" s="3908"/>
      <c r="AI307" s="3908"/>
      <c r="AJ307" s="3908"/>
      <c r="AK307" s="3909"/>
      <c r="AL307" s="3913"/>
      <c r="AP307" s="3914"/>
      <c r="AQ307" s="3907"/>
      <c r="AR307" s="3908"/>
      <c r="AS307" s="3908"/>
      <c r="AT307" s="3908"/>
      <c r="AU307" s="3908"/>
      <c r="AV307" s="3908"/>
      <c r="AW307" s="3908"/>
      <c r="AX307" s="3908"/>
      <c r="AY307" s="3908"/>
      <c r="AZ307" s="3909"/>
      <c r="BA307" s="3396"/>
      <c r="BG307" s="3914"/>
      <c r="BH307" s="3907"/>
      <c r="BI307" s="3908"/>
      <c r="BJ307" s="3908"/>
      <c r="BK307" s="3908"/>
      <c r="BL307" s="3908"/>
      <c r="BM307" s="3908"/>
      <c r="BN307" s="3908"/>
      <c r="BO307" s="3908"/>
      <c r="BP307" s="3908"/>
      <c r="BQ307" s="3908"/>
      <c r="BR307" s="3908"/>
      <c r="BS307" s="3908"/>
      <c r="BT307" s="3908"/>
      <c r="BU307" s="3908"/>
      <c r="BV307" s="3908"/>
      <c r="BW307" s="3909"/>
      <c r="BX307" s="3396"/>
    </row>
    <row r="308" spans="4:76" ht="17.100000000000001" customHeight="1" x14ac:dyDescent="0.15">
      <c r="D308" s="3396"/>
      <c r="E308" s="3910"/>
      <c r="F308" s="3911"/>
      <c r="G308" s="3911"/>
      <c r="H308" s="3911"/>
      <c r="I308" s="3911"/>
      <c r="J308" s="3911"/>
      <c r="K308" s="3911"/>
      <c r="L308" s="3911"/>
      <c r="M308" s="3911"/>
      <c r="N308" s="3911"/>
      <c r="O308" s="3911"/>
      <c r="P308" s="3911"/>
      <c r="Q308" s="3911"/>
      <c r="R308" s="3911"/>
      <c r="S308" s="3911"/>
      <c r="T308" s="3912"/>
      <c r="U308" s="3914"/>
      <c r="AA308" s="3396"/>
      <c r="AB308" s="3910"/>
      <c r="AC308" s="3911"/>
      <c r="AD308" s="3911"/>
      <c r="AE308" s="3911"/>
      <c r="AF308" s="3911"/>
      <c r="AG308" s="3911"/>
      <c r="AH308" s="3911"/>
      <c r="AI308" s="3911"/>
      <c r="AJ308" s="3911"/>
      <c r="AK308" s="3912"/>
      <c r="AL308" s="3914"/>
      <c r="AP308" s="3914"/>
      <c r="AQ308" s="3910"/>
      <c r="AR308" s="3911"/>
      <c r="AS308" s="3911"/>
      <c r="AT308" s="3911"/>
      <c r="AU308" s="3911"/>
      <c r="AV308" s="3911"/>
      <c r="AW308" s="3911"/>
      <c r="AX308" s="3911"/>
      <c r="AY308" s="3911"/>
      <c r="AZ308" s="3912"/>
      <c r="BA308" s="3396"/>
      <c r="BG308" s="3914"/>
      <c r="BH308" s="3910"/>
      <c r="BI308" s="3911"/>
      <c r="BJ308" s="3911"/>
      <c r="BK308" s="3911"/>
      <c r="BL308" s="3911"/>
      <c r="BM308" s="3911"/>
      <c r="BN308" s="3911"/>
      <c r="BO308" s="3911"/>
      <c r="BP308" s="3911"/>
      <c r="BQ308" s="3911"/>
      <c r="BR308" s="3911"/>
      <c r="BS308" s="3911"/>
      <c r="BT308" s="3911"/>
      <c r="BU308" s="3911"/>
      <c r="BV308" s="3911"/>
      <c r="BW308" s="3912"/>
      <c r="BX308" s="3396"/>
    </row>
    <row r="309" spans="4:76" ht="17.100000000000001" customHeight="1" x14ac:dyDescent="0.15">
      <c r="D309" s="3396"/>
      <c r="E309" s="3907"/>
      <c r="F309" s="3908"/>
      <c r="G309" s="3908"/>
      <c r="H309" s="3908"/>
      <c r="I309" s="3908"/>
      <c r="J309" s="3908"/>
      <c r="K309" s="3908"/>
      <c r="L309" s="3908"/>
      <c r="M309" s="3908"/>
      <c r="N309" s="3908"/>
      <c r="O309" s="3908"/>
      <c r="P309" s="3908"/>
      <c r="Q309" s="3908"/>
      <c r="R309" s="3908"/>
      <c r="S309" s="3908"/>
      <c r="T309" s="3909"/>
      <c r="U309" s="3913"/>
      <c r="AA309" s="3396"/>
      <c r="AB309" s="3907"/>
      <c r="AC309" s="3908"/>
      <c r="AD309" s="3908"/>
      <c r="AE309" s="3908"/>
      <c r="AF309" s="3908"/>
      <c r="AG309" s="3908"/>
      <c r="AH309" s="3908"/>
      <c r="AI309" s="3908"/>
      <c r="AJ309" s="3908"/>
      <c r="AK309" s="3909"/>
      <c r="AL309" s="3913"/>
      <c r="AP309" s="3914"/>
      <c r="AQ309" s="3907"/>
      <c r="AR309" s="3908"/>
      <c r="AS309" s="3908"/>
      <c r="AT309" s="3908"/>
      <c r="AU309" s="3908"/>
      <c r="AV309" s="3908"/>
      <c r="AW309" s="3908"/>
      <c r="AX309" s="3908"/>
      <c r="AY309" s="3908"/>
      <c r="AZ309" s="3909"/>
      <c r="BA309" s="3396"/>
      <c r="BG309" s="3914"/>
      <c r="BH309" s="3907"/>
      <c r="BI309" s="3908"/>
      <c r="BJ309" s="3908"/>
      <c r="BK309" s="3908"/>
      <c r="BL309" s="3908"/>
      <c r="BM309" s="3908"/>
      <c r="BN309" s="3908"/>
      <c r="BO309" s="3908"/>
      <c r="BP309" s="3908"/>
      <c r="BQ309" s="3908"/>
      <c r="BR309" s="3908"/>
      <c r="BS309" s="3908"/>
      <c r="BT309" s="3908"/>
      <c r="BU309" s="3908"/>
      <c r="BV309" s="3908"/>
      <c r="BW309" s="3909"/>
      <c r="BX309" s="3396"/>
    </row>
    <row r="310" spans="4:76" ht="17.100000000000001" customHeight="1" x14ac:dyDescent="0.15">
      <c r="D310" s="3396"/>
      <c r="E310" s="3910"/>
      <c r="F310" s="3911"/>
      <c r="G310" s="3911"/>
      <c r="H310" s="3911"/>
      <c r="I310" s="3911"/>
      <c r="J310" s="3911"/>
      <c r="K310" s="3911"/>
      <c r="L310" s="3911"/>
      <c r="M310" s="3911"/>
      <c r="N310" s="3911"/>
      <c r="O310" s="3911"/>
      <c r="P310" s="3911"/>
      <c r="Q310" s="3911"/>
      <c r="R310" s="3911"/>
      <c r="S310" s="3911"/>
      <c r="T310" s="3912"/>
      <c r="U310" s="3914"/>
      <c r="AA310" s="3396"/>
      <c r="AB310" s="3910"/>
      <c r="AC310" s="3911"/>
      <c r="AD310" s="3911"/>
      <c r="AE310" s="3911"/>
      <c r="AF310" s="3911"/>
      <c r="AG310" s="3911"/>
      <c r="AH310" s="3911"/>
      <c r="AI310" s="3911"/>
      <c r="AJ310" s="3911"/>
      <c r="AK310" s="3912"/>
      <c r="AL310" s="3914"/>
      <c r="AP310" s="3914"/>
      <c r="AQ310" s="3910"/>
      <c r="AR310" s="3911"/>
      <c r="AS310" s="3911"/>
      <c r="AT310" s="3911"/>
      <c r="AU310" s="3911"/>
      <c r="AV310" s="3911"/>
      <c r="AW310" s="3911"/>
      <c r="AX310" s="3911"/>
      <c r="AY310" s="3911"/>
      <c r="AZ310" s="3912"/>
      <c r="BA310" s="3396"/>
      <c r="BG310" s="3914"/>
      <c r="BH310" s="3910"/>
      <c r="BI310" s="3911"/>
      <c r="BJ310" s="3911"/>
      <c r="BK310" s="3911"/>
      <c r="BL310" s="3911"/>
      <c r="BM310" s="3911"/>
      <c r="BN310" s="3911"/>
      <c r="BO310" s="3911"/>
      <c r="BP310" s="3911"/>
      <c r="BQ310" s="3911"/>
      <c r="BR310" s="3911"/>
      <c r="BS310" s="3911"/>
      <c r="BT310" s="3911"/>
      <c r="BU310" s="3911"/>
      <c r="BV310" s="3911"/>
      <c r="BW310" s="3912"/>
      <c r="BX310" s="3396"/>
    </row>
    <row r="311" spans="4:76" ht="17.100000000000001" customHeight="1" x14ac:dyDescent="0.15">
      <c r="D311" s="3396"/>
      <c r="E311" s="3907"/>
      <c r="F311" s="3908"/>
      <c r="G311" s="3908"/>
      <c r="H311" s="3908"/>
      <c r="I311" s="3908"/>
      <c r="J311" s="3908"/>
      <c r="K311" s="3908"/>
      <c r="L311" s="3908"/>
      <c r="M311" s="3908"/>
      <c r="N311" s="3908"/>
      <c r="O311" s="3908"/>
      <c r="P311" s="3908"/>
      <c r="Q311" s="3908"/>
      <c r="R311" s="3908"/>
      <c r="S311" s="3908"/>
      <c r="T311" s="3909"/>
      <c r="U311" s="3913"/>
      <c r="AA311" s="3396"/>
      <c r="AB311" s="3907"/>
      <c r="AC311" s="3908"/>
      <c r="AD311" s="3908"/>
      <c r="AE311" s="3908"/>
      <c r="AF311" s="3908"/>
      <c r="AG311" s="3908"/>
      <c r="AH311" s="3908"/>
      <c r="AI311" s="3908"/>
      <c r="AJ311" s="3908"/>
      <c r="AK311" s="3909"/>
      <c r="AL311" s="3913"/>
      <c r="AP311" s="3914"/>
      <c r="AQ311" s="3907"/>
      <c r="AR311" s="3908"/>
      <c r="AS311" s="3908"/>
      <c r="AT311" s="3908"/>
      <c r="AU311" s="3908"/>
      <c r="AV311" s="3908"/>
      <c r="AW311" s="3908"/>
      <c r="AX311" s="3908"/>
      <c r="AY311" s="3908"/>
      <c r="AZ311" s="3909"/>
      <c r="BA311" s="3396"/>
      <c r="BG311" s="3914"/>
      <c r="BH311" s="3907"/>
      <c r="BI311" s="3908"/>
      <c r="BJ311" s="3908"/>
      <c r="BK311" s="3908"/>
      <c r="BL311" s="3908"/>
      <c r="BM311" s="3908"/>
      <c r="BN311" s="3908"/>
      <c r="BO311" s="3908"/>
      <c r="BP311" s="3908"/>
      <c r="BQ311" s="3908"/>
      <c r="BR311" s="3908"/>
      <c r="BS311" s="3908"/>
      <c r="BT311" s="3908"/>
      <c r="BU311" s="3908"/>
      <c r="BV311" s="3908"/>
      <c r="BW311" s="3909"/>
      <c r="BX311" s="3396"/>
    </row>
    <row r="312" spans="4:76" ht="17.100000000000001" customHeight="1" x14ac:dyDescent="0.15">
      <c r="D312" s="3396"/>
      <c r="E312" s="3910"/>
      <c r="F312" s="3911"/>
      <c r="G312" s="3911"/>
      <c r="H312" s="3911"/>
      <c r="I312" s="3911"/>
      <c r="J312" s="3911"/>
      <c r="K312" s="3911"/>
      <c r="L312" s="3911"/>
      <c r="M312" s="3911"/>
      <c r="N312" s="3911"/>
      <c r="O312" s="3911"/>
      <c r="P312" s="3911"/>
      <c r="Q312" s="3911"/>
      <c r="R312" s="3911"/>
      <c r="S312" s="3911"/>
      <c r="T312" s="3912"/>
      <c r="U312" s="3914"/>
      <c r="AA312" s="3396"/>
      <c r="AB312" s="3910"/>
      <c r="AC312" s="3911"/>
      <c r="AD312" s="3911"/>
      <c r="AE312" s="3911"/>
      <c r="AF312" s="3911"/>
      <c r="AG312" s="3911"/>
      <c r="AH312" s="3911"/>
      <c r="AI312" s="3911"/>
      <c r="AJ312" s="3911"/>
      <c r="AK312" s="3912"/>
      <c r="AL312" s="3914"/>
      <c r="AP312" s="3914"/>
      <c r="AQ312" s="3910"/>
      <c r="AR312" s="3911"/>
      <c r="AS312" s="3911"/>
      <c r="AT312" s="3911"/>
      <c r="AU312" s="3911"/>
      <c r="AV312" s="3911"/>
      <c r="AW312" s="3911"/>
      <c r="AX312" s="3911"/>
      <c r="AY312" s="3911"/>
      <c r="AZ312" s="3912"/>
      <c r="BA312" s="3396"/>
      <c r="BG312" s="3914"/>
      <c r="BH312" s="3910"/>
      <c r="BI312" s="3911"/>
      <c r="BJ312" s="3911"/>
      <c r="BK312" s="3911"/>
      <c r="BL312" s="3911"/>
      <c r="BM312" s="3911"/>
      <c r="BN312" s="3911"/>
      <c r="BO312" s="3911"/>
      <c r="BP312" s="3911"/>
      <c r="BQ312" s="3911"/>
      <c r="BR312" s="3911"/>
      <c r="BS312" s="3911"/>
      <c r="BT312" s="3911"/>
      <c r="BU312" s="3911"/>
      <c r="BV312" s="3911"/>
      <c r="BW312" s="3912"/>
      <c r="BX312" s="3396"/>
    </row>
    <row r="313" spans="4:76" ht="17.100000000000001" customHeight="1" x14ac:dyDescent="0.15">
      <c r="D313" s="3396"/>
      <c r="E313" s="3907"/>
      <c r="F313" s="3908"/>
      <c r="G313" s="3908"/>
      <c r="H313" s="3908"/>
      <c r="I313" s="3908"/>
      <c r="J313" s="3908"/>
      <c r="K313" s="3908"/>
      <c r="L313" s="3908"/>
      <c r="M313" s="3908"/>
      <c r="N313" s="3908"/>
      <c r="O313" s="3908"/>
      <c r="P313" s="3908"/>
      <c r="Q313" s="3908"/>
      <c r="R313" s="3908"/>
      <c r="S313" s="3908"/>
      <c r="T313" s="3909"/>
      <c r="U313" s="3913"/>
      <c r="AA313" s="3396"/>
      <c r="AB313" s="3907"/>
      <c r="AC313" s="3908"/>
      <c r="AD313" s="3908"/>
      <c r="AE313" s="3908"/>
      <c r="AF313" s="3908"/>
      <c r="AG313" s="3908"/>
      <c r="AH313" s="3908"/>
      <c r="AI313" s="3908"/>
      <c r="AJ313" s="3908"/>
      <c r="AK313" s="3909"/>
      <c r="AL313" s="3913"/>
      <c r="AP313" s="3914"/>
      <c r="AQ313" s="3907"/>
      <c r="AR313" s="3908"/>
      <c r="AS313" s="3908"/>
      <c r="AT313" s="3908"/>
      <c r="AU313" s="3908"/>
      <c r="AV313" s="3908"/>
      <c r="AW313" s="3908"/>
      <c r="AX313" s="3908"/>
      <c r="AY313" s="3908"/>
      <c r="AZ313" s="3909"/>
      <c r="BA313" s="3396"/>
      <c r="BG313" s="3914"/>
      <c r="BH313" s="3907"/>
      <c r="BI313" s="3908"/>
      <c r="BJ313" s="3908"/>
      <c r="BK313" s="3908"/>
      <c r="BL313" s="3908"/>
      <c r="BM313" s="3908"/>
      <c r="BN313" s="3908"/>
      <c r="BO313" s="3908"/>
      <c r="BP313" s="3908"/>
      <c r="BQ313" s="3908"/>
      <c r="BR313" s="3908"/>
      <c r="BS313" s="3908"/>
      <c r="BT313" s="3908"/>
      <c r="BU313" s="3908"/>
      <c r="BV313" s="3908"/>
      <c r="BW313" s="3909"/>
      <c r="BX313" s="3396"/>
    </row>
    <row r="314" spans="4:76" ht="17.100000000000001" customHeight="1" x14ac:dyDescent="0.15">
      <c r="D314" s="3396"/>
      <c r="E314" s="3910"/>
      <c r="F314" s="3911"/>
      <c r="G314" s="3911"/>
      <c r="H314" s="3911"/>
      <c r="I314" s="3911"/>
      <c r="J314" s="3911"/>
      <c r="K314" s="3911"/>
      <c r="L314" s="3911"/>
      <c r="M314" s="3911"/>
      <c r="N314" s="3911"/>
      <c r="O314" s="3911"/>
      <c r="P314" s="3911"/>
      <c r="Q314" s="3911"/>
      <c r="R314" s="3911"/>
      <c r="S314" s="3911"/>
      <c r="T314" s="3912"/>
      <c r="U314" s="3914"/>
      <c r="AA314" s="3396"/>
      <c r="AB314" s="3910"/>
      <c r="AC314" s="3911"/>
      <c r="AD314" s="3911"/>
      <c r="AE314" s="3911"/>
      <c r="AF314" s="3911"/>
      <c r="AG314" s="3911"/>
      <c r="AH314" s="3911"/>
      <c r="AI314" s="3911"/>
      <c r="AJ314" s="3911"/>
      <c r="AK314" s="3912"/>
      <c r="AL314" s="3914"/>
      <c r="AP314" s="3914"/>
      <c r="AQ314" s="3910"/>
      <c r="AR314" s="3911"/>
      <c r="AS314" s="3911"/>
      <c r="AT314" s="3911"/>
      <c r="AU314" s="3911"/>
      <c r="AV314" s="3911"/>
      <c r="AW314" s="3911"/>
      <c r="AX314" s="3911"/>
      <c r="AY314" s="3911"/>
      <c r="AZ314" s="3912"/>
      <c r="BA314" s="3396"/>
      <c r="BG314" s="3914"/>
      <c r="BH314" s="3910"/>
      <c r="BI314" s="3911"/>
      <c r="BJ314" s="3911"/>
      <c r="BK314" s="3911"/>
      <c r="BL314" s="3911"/>
      <c r="BM314" s="3911"/>
      <c r="BN314" s="3911"/>
      <c r="BO314" s="3911"/>
      <c r="BP314" s="3911"/>
      <c r="BQ314" s="3911"/>
      <c r="BR314" s="3911"/>
      <c r="BS314" s="3911"/>
      <c r="BT314" s="3911"/>
      <c r="BU314" s="3911"/>
      <c r="BV314" s="3911"/>
      <c r="BW314" s="3912"/>
      <c r="BX314" s="3396"/>
    </row>
    <row r="315" spans="4:76" ht="17.100000000000001" customHeight="1" x14ac:dyDescent="0.15">
      <c r="D315" s="3396"/>
      <c r="E315" s="3907"/>
      <c r="F315" s="3908"/>
      <c r="G315" s="3908"/>
      <c r="H315" s="3908"/>
      <c r="I315" s="3908"/>
      <c r="J315" s="3908"/>
      <c r="K315" s="3908"/>
      <c r="L315" s="3908"/>
      <c r="M315" s="3908"/>
      <c r="N315" s="3908"/>
      <c r="O315" s="3908"/>
      <c r="P315" s="3908"/>
      <c r="Q315" s="3908"/>
      <c r="R315" s="3908"/>
      <c r="S315" s="3908"/>
      <c r="T315" s="3909"/>
      <c r="U315" s="3913"/>
      <c r="AA315" s="3396"/>
      <c r="AB315" s="3907"/>
      <c r="AC315" s="3908"/>
      <c r="AD315" s="3908"/>
      <c r="AE315" s="3908"/>
      <c r="AF315" s="3908"/>
      <c r="AG315" s="3908"/>
      <c r="AH315" s="3908"/>
      <c r="AI315" s="3908"/>
      <c r="AJ315" s="3908"/>
      <c r="AK315" s="3909"/>
      <c r="AL315" s="3913"/>
      <c r="AP315" s="3914"/>
      <c r="AQ315" s="3907"/>
      <c r="AR315" s="3908"/>
      <c r="AS315" s="3908"/>
      <c r="AT315" s="3908"/>
      <c r="AU315" s="3908"/>
      <c r="AV315" s="3908"/>
      <c r="AW315" s="3908"/>
      <c r="AX315" s="3908"/>
      <c r="AY315" s="3908"/>
      <c r="AZ315" s="3909"/>
      <c r="BA315" s="3396"/>
      <c r="BG315" s="3914"/>
      <c r="BH315" s="3907"/>
      <c r="BI315" s="3908"/>
      <c r="BJ315" s="3908"/>
      <c r="BK315" s="3908"/>
      <c r="BL315" s="3908"/>
      <c r="BM315" s="3908"/>
      <c r="BN315" s="3908"/>
      <c r="BO315" s="3908"/>
      <c r="BP315" s="3908"/>
      <c r="BQ315" s="3908"/>
      <c r="BR315" s="3908"/>
      <c r="BS315" s="3908"/>
      <c r="BT315" s="3908"/>
      <c r="BU315" s="3908"/>
      <c r="BV315" s="3908"/>
      <c r="BW315" s="3909"/>
      <c r="BX315" s="3396"/>
    </row>
    <row r="316" spans="4:76" ht="17.100000000000001" customHeight="1" x14ac:dyDescent="0.15">
      <c r="D316" s="3396"/>
      <c r="E316" s="3910"/>
      <c r="F316" s="3911"/>
      <c r="G316" s="3911"/>
      <c r="H316" s="3911"/>
      <c r="I316" s="3911"/>
      <c r="J316" s="3911"/>
      <c r="K316" s="3911"/>
      <c r="L316" s="3911"/>
      <c r="M316" s="3911"/>
      <c r="N316" s="3911"/>
      <c r="O316" s="3911"/>
      <c r="P316" s="3911"/>
      <c r="Q316" s="3911"/>
      <c r="R316" s="3911"/>
      <c r="S316" s="3911"/>
      <c r="T316" s="3912"/>
      <c r="U316" s="3914"/>
      <c r="AA316" s="3396"/>
      <c r="AB316" s="3910"/>
      <c r="AC316" s="3911"/>
      <c r="AD316" s="3911"/>
      <c r="AE316" s="3911"/>
      <c r="AF316" s="3911"/>
      <c r="AG316" s="3911"/>
      <c r="AH316" s="3911"/>
      <c r="AI316" s="3911"/>
      <c r="AJ316" s="3911"/>
      <c r="AK316" s="3912"/>
      <c r="AL316" s="3914"/>
      <c r="AP316" s="3914"/>
      <c r="AQ316" s="3910"/>
      <c r="AR316" s="3911"/>
      <c r="AS316" s="3911"/>
      <c r="AT316" s="3911"/>
      <c r="AU316" s="3911"/>
      <c r="AV316" s="3911"/>
      <c r="AW316" s="3911"/>
      <c r="AX316" s="3911"/>
      <c r="AY316" s="3911"/>
      <c r="AZ316" s="3912"/>
      <c r="BA316" s="3396"/>
      <c r="BG316" s="3914"/>
      <c r="BH316" s="3910"/>
      <c r="BI316" s="3911"/>
      <c r="BJ316" s="3911"/>
      <c r="BK316" s="3911"/>
      <c r="BL316" s="3911"/>
      <c r="BM316" s="3911"/>
      <c r="BN316" s="3911"/>
      <c r="BO316" s="3911"/>
      <c r="BP316" s="3911"/>
      <c r="BQ316" s="3911"/>
      <c r="BR316" s="3911"/>
      <c r="BS316" s="3911"/>
      <c r="BT316" s="3911"/>
      <c r="BU316" s="3911"/>
      <c r="BV316" s="3911"/>
      <c r="BW316" s="3912"/>
      <c r="BX316" s="3396"/>
    </row>
    <row r="317" spans="4:76" ht="17.100000000000001" customHeight="1" x14ac:dyDescent="0.15">
      <c r="D317" s="3396"/>
      <c r="E317" s="3907"/>
      <c r="F317" s="3908"/>
      <c r="G317" s="3908"/>
      <c r="H317" s="3908"/>
      <c r="I317" s="3908"/>
      <c r="J317" s="3908"/>
      <c r="K317" s="3908"/>
      <c r="L317" s="3908"/>
      <c r="M317" s="3908"/>
      <c r="N317" s="3908"/>
      <c r="O317" s="3908"/>
      <c r="P317" s="3908"/>
      <c r="Q317" s="3908"/>
      <c r="R317" s="3908"/>
      <c r="S317" s="3908"/>
      <c r="T317" s="3909"/>
      <c r="U317" s="3913"/>
      <c r="AA317" s="3396"/>
      <c r="AB317" s="3907"/>
      <c r="AC317" s="3908"/>
      <c r="AD317" s="3908"/>
      <c r="AE317" s="3908"/>
      <c r="AF317" s="3908"/>
      <c r="AG317" s="3908"/>
      <c r="AH317" s="3908"/>
      <c r="AI317" s="3908"/>
      <c r="AJ317" s="3908"/>
      <c r="AK317" s="3909"/>
      <c r="AL317" s="3913"/>
      <c r="AP317" s="3914"/>
      <c r="AQ317" s="3907"/>
      <c r="AR317" s="3908"/>
      <c r="AS317" s="3908"/>
      <c r="AT317" s="3908"/>
      <c r="AU317" s="3908"/>
      <c r="AV317" s="3908"/>
      <c r="AW317" s="3908"/>
      <c r="AX317" s="3908"/>
      <c r="AY317" s="3908"/>
      <c r="AZ317" s="3909"/>
      <c r="BA317" s="3396"/>
      <c r="BG317" s="3914"/>
      <c r="BH317" s="3907"/>
      <c r="BI317" s="3908"/>
      <c r="BJ317" s="3908"/>
      <c r="BK317" s="3908"/>
      <c r="BL317" s="3908"/>
      <c r="BM317" s="3908"/>
      <c r="BN317" s="3908"/>
      <c r="BO317" s="3908"/>
      <c r="BP317" s="3908"/>
      <c r="BQ317" s="3908"/>
      <c r="BR317" s="3908"/>
      <c r="BS317" s="3908"/>
      <c r="BT317" s="3908"/>
      <c r="BU317" s="3908"/>
      <c r="BV317" s="3908"/>
      <c r="BW317" s="3909"/>
      <c r="BX317" s="3396"/>
    </row>
    <row r="318" spans="4:76" ht="17.100000000000001" customHeight="1" x14ac:dyDescent="0.15">
      <c r="D318" s="3396"/>
      <c r="E318" s="3910"/>
      <c r="F318" s="3911"/>
      <c r="G318" s="3911"/>
      <c r="H318" s="3911"/>
      <c r="I318" s="3911"/>
      <c r="J318" s="3911"/>
      <c r="K318" s="3911"/>
      <c r="L318" s="3911"/>
      <c r="M318" s="3911"/>
      <c r="N318" s="3911"/>
      <c r="O318" s="3911"/>
      <c r="P318" s="3911"/>
      <c r="Q318" s="3911"/>
      <c r="R318" s="3911"/>
      <c r="S318" s="3911"/>
      <c r="T318" s="3912"/>
      <c r="U318" s="3914"/>
      <c r="AA318" s="3396"/>
      <c r="AB318" s="3910"/>
      <c r="AC318" s="3911"/>
      <c r="AD318" s="3911"/>
      <c r="AE318" s="3911"/>
      <c r="AF318" s="3911"/>
      <c r="AG318" s="3911"/>
      <c r="AH318" s="3911"/>
      <c r="AI318" s="3911"/>
      <c r="AJ318" s="3911"/>
      <c r="AK318" s="3912"/>
      <c r="AL318" s="3914"/>
      <c r="AP318" s="3914"/>
      <c r="AQ318" s="3910"/>
      <c r="AR318" s="3911"/>
      <c r="AS318" s="3911"/>
      <c r="AT318" s="3911"/>
      <c r="AU318" s="3911"/>
      <c r="AV318" s="3911"/>
      <c r="AW318" s="3911"/>
      <c r="AX318" s="3911"/>
      <c r="AY318" s="3911"/>
      <c r="AZ318" s="3912"/>
      <c r="BA318" s="3396"/>
      <c r="BG318" s="3914"/>
      <c r="BH318" s="3910"/>
      <c r="BI318" s="3911"/>
      <c r="BJ318" s="3911"/>
      <c r="BK318" s="3911"/>
      <c r="BL318" s="3911"/>
      <c r="BM318" s="3911"/>
      <c r="BN318" s="3911"/>
      <c r="BO318" s="3911"/>
      <c r="BP318" s="3911"/>
      <c r="BQ318" s="3911"/>
      <c r="BR318" s="3911"/>
      <c r="BS318" s="3911"/>
      <c r="BT318" s="3911"/>
      <c r="BU318" s="3911"/>
      <c r="BV318" s="3911"/>
      <c r="BW318" s="3912"/>
      <c r="BX318" s="3396"/>
    </row>
    <row r="319" spans="4:76" ht="17.100000000000001" customHeight="1" x14ac:dyDescent="0.15">
      <c r="D319" s="3396"/>
      <c r="E319" s="3907"/>
      <c r="F319" s="3908"/>
      <c r="G319" s="3908"/>
      <c r="H319" s="3908"/>
      <c r="I319" s="3908"/>
      <c r="J319" s="3908"/>
      <c r="K319" s="3908"/>
      <c r="L319" s="3908"/>
      <c r="M319" s="3908"/>
      <c r="N319" s="3908"/>
      <c r="O319" s="3908"/>
      <c r="P319" s="3908"/>
      <c r="Q319" s="3908"/>
      <c r="R319" s="3908"/>
      <c r="S319" s="3908"/>
      <c r="T319" s="3909"/>
      <c r="U319" s="3913"/>
      <c r="AA319" s="3396"/>
      <c r="AB319" s="3907"/>
      <c r="AC319" s="3908"/>
      <c r="AD319" s="3908"/>
      <c r="AE319" s="3908"/>
      <c r="AF319" s="3908"/>
      <c r="AG319" s="3908"/>
      <c r="AH319" s="3908"/>
      <c r="AI319" s="3908"/>
      <c r="AJ319" s="3908"/>
      <c r="AK319" s="3909"/>
      <c r="AL319" s="3913"/>
      <c r="AP319" s="3914"/>
      <c r="AQ319" s="3907"/>
      <c r="AR319" s="3908"/>
      <c r="AS319" s="3908"/>
      <c r="AT319" s="3908"/>
      <c r="AU319" s="3908"/>
      <c r="AV319" s="3908"/>
      <c r="AW319" s="3908"/>
      <c r="AX319" s="3908"/>
      <c r="AY319" s="3908"/>
      <c r="AZ319" s="3909"/>
      <c r="BA319" s="3396"/>
      <c r="BG319" s="3914"/>
      <c r="BH319" s="3907"/>
      <c r="BI319" s="3908"/>
      <c r="BJ319" s="3908"/>
      <c r="BK319" s="3908"/>
      <c r="BL319" s="3908"/>
      <c r="BM319" s="3908"/>
      <c r="BN319" s="3908"/>
      <c r="BO319" s="3908"/>
      <c r="BP319" s="3908"/>
      <c r="BQ319" s="3908"/>
      <c r="BR319" s="3908"/>
      <c r="BS319" s="3908"/>
      <c r="BT319" s="3908"/>
      <c r="BU319" s="3908"/>
      <c r="BV319" s="3908"/>
      <c r="BW319" s="3909"/>
      <c r="BX319" s="3396"/>
    </row>
    <row r="320" spans="4:76" ht="17.100000000000001" customHeight="1" x14ac:dyDescent="0.15">
      <c r="D320" s="3396"/>
      <c r="E320" s="3910"/>
      <c r="F320" s="3911"/>
      <c r="G320" s="3911"/>
      <c r="H320" s="3911"/>
      <c r="I320" s="3911"/>
      <c r="J320" s="3911"/>
      <c r="K320" s="3911"/>
      <c r="L320" s="3911"/>
      <c r="M320" s="3911"/>
      <c r="N320" s="3911"/>
      <c r="O320" s="3911"/>
      <c r="P320" s="3911"/>
      <c r="Q320" s="3911"/>
      <c r="R320" s="3911"/>
      <c r="S320" s="3911"/>
      <c r="T320" s="3912"/>
      <c r="U320" s="3914"/>
      <c r="AA320" s="3396"/>
      <c r="AB320" s="3910"/>
      <c r="AC320" s="3911"/>
      <c r="AD320" s="3911"/>
      <c r="AE320" s="3911"/>
      <c r="AF320" s="3911"/>
      <c r="AG320" s="3911"/>
      <c r="AH320" s="3911"/>
      <c r="AI320" s="3911"/>
      <c r="AJ320" s="3911"/>
      <c r="AK320" s="3912"/>
      <c r="AL320" s="3914"/>
      <c r="AP320" s="3914"/>
      <c r="AQ320" s="3910"/>
      <c r="AR320" s="3911"/>
      <c r="AS320" s="3911"/>
      <c r="AT320" s="3911"/>
      <c r="AU320" s="3911"/>
      <c r="AV320" s="3911"/>
      <c r="AW320" s="3911"/>
      <c r="AX320" s="3911"/>
      <c r="AY320" s="3911"/>
      <c r="AZ320" s="3912"/>
      <c r="BA320" s="3396"/>
      <c r="BG320" s="3914"/>
      <c r="BH320" s="3910"/>
      <c r="BI320" s="3911"/>
      <c r="BJ320" s="3911"/>
      <c r="BK320" s="3911"/>
      <c r="BL320" s="3911"/>
      <c r="BM320" s="3911"/>
      <c r="BN320" s="3911"/>
      <c r="BO320" s="3911"/>
      <c r="BP320" s="3911"/>
      <c r="BQ320" s="3911"/>
      <c r="BR320" s="3911"/>
      <c r="BS320" s="3911"/>
      <c r="BT320" s="3911"/>
      <c r="BU320" s="3911"/>
      <c r="BV320" s="3911"/>
      <c r="BW320" s="3912"/>
      <c r="BX320" s="3396"/>
    </row>
    <row r="321" spans="4:76" ht="17.100000000000001" customHeight="1" x14ac:dyDescent="0.15">
      <c r="D321" s="3396"/>
      <c r="E321" s="3907"/>
      <c r="F321" s="3908"/>
      <c r="G321" s="3908"/>
      <c r="H321" s="3908"/>
      <c r="I321" s="3908"/>
      <c r="J321" s="3908"/>
      <c r="K321" s="3908"/>
      <c r="L321" s="3908"/>
      <c r="M321" s="3908"/>
      <c r="N321" s="3908"/>
      <c r="O321" s="3908"/>
      <c r="P321" s="3908"/>
      <c r="Q321" s="3908"/>
      <c r="R321" s="3908"/>
      <c r="S321" s="3908"/>
      <c r="T321" s="3909"/>
      <c r="U321" s="3913"/>
      <c r="AA321" s="3396"/>
      <c r="AB321" s="3907"/>
      <c r="AC321" s="3908"/>
      <c r="AD321" s="3908"/>
      <c r="AE321" s="3908"/>
      <c r="AF321" s="3908"/>
      <c r="AG321" s="3908"/>
      <c r="AH321" s="3908"/>
      <c r="AI321" s="3908"/>
      <c r="AJ321" s="3908"/>
      <c r="AK321" s="3909"/>
      <c r="AL321" s="3913"/>
      <c r="AP321" s="3914"/>
      <c r="AQ321" s="3907"/>
      <c r="AR321" s="3908"/>
      <c r="AS321" s="3908"/>
      <c r="AT321" s="3908"/>
      <c r="AU321" s="3908"/>
      <c r="AV321" s="3908"/>
      <c r="AW321" s="3908"/>
      <c r="AX321" s="3908"/>
      <c r="AY321" s="3908"/>
      <c r="AZ321" s="3909"/>
      <c r="BA321" s="3396"/>
      <c r="BG321" s="3914"/>
      <c r="BH321" s="3907"/>
      <c r="BI321" s="3908"/>
      <c r="BJ321" s="3908"/>
      <c r="BK321" s="3908"/>
      <c r="BL321" s="3908"/>
      <c r="BM321" s="3908"/>
      <c r="BN321" s="3908"/>
      <c r="BO321" s="3908"/>
      <c r="BP321" s="3908"/>
      <c r="BQ321" s="3908"/>
      <c r="BR321" s="3908"/>
      <c r="BS321" s="3908"/>
      <c r="BT321" s="3908"/>
      <c r="BU321" s="3908"/>
      <c r="BV321" s="3908"/>
      <c r="BW321" s="3909"/>
      <c r="BX321" s="3396"/>
    </row>
    <row r="322" spans="4:76" ht="17.100000000000001" customHeight="1" x14ac:dyDescent="0.15">
      <c r="D322" s="3396"/>
      <c r="E322" s="3910"/>
      <c r="F322" s="3911"/>
      <c r="G322" s="3911"/>
      <c r="H322" s="3911"/>
      <c r="I322" s="3911"/>
      <c r="J322" s="3911"/>
      <c r="K322" s="3911"/>
      <c r="L322" s="3911"/>
      <c r="M322" s="3911"/>
      <c r="N322" s="3911"/>
      <c r="O322" s="3911"/>
      <c r="P322" s="3911"/>
      <c r="Q322" s="3911"/>
      <c r="R322" s="3911"/>
      <c r="S322" s="3911"/>
      <c r="T322" s="3912"/>
      <c r="U322" s="3914"/>
      <c r="AA322" s="3396"/>
      <c r="AB322" s="3910"/>
      <c r="AC322" s="3911"/>
      <c r="AD322" s="3911"/>
      <c r="AE322" s="3911"/>
      <c r="AF322" s="3911"/>
      <c r="AG322" s="3911"/>
      <c r="AH322" s="3911"/>
      <c r="AI322" s="3911"/>
      <c r="AJ322" s="3911"/>
      <c r="AK322" s="3912"/>
      <c r="AL322" s="3914"/>
      <c r="AP322" s="3914"/>
      <c r="AQ322" s="3910"/>
      <c r="AR322" s="3911"/>
      <c r="AS322" s="3911"/>
      <c r="AT322" s="3911"/>
      <c r="AU322" s="3911"/>
      <c r="AV322" s="3911"/>
      <c r="AW322" s="3911"/>
      <c r="AX322" s="3911"/>
      <c r="AY322" s="3911"/>
      <c r="AZ322" s="3912"/>
      <c r="BA322" s="3396"/>
      <c r="BG322" s="3914"/>
      <c r="BH322" s="3910"/>
      <c r="BI322" s="3911"/>
      <c r="BJ322" s="3911"/>
      <c r="BK322" s="3911"/>
      <c r="BL322" s="3911"/>
      <c r="BM322" s="3911"/>
      <c r="BN322" s="3911"/>
      <c r="BO322" s="3911"/>
      <c r="BP322" s="3911"/>
      <c r="BQ322" s="3911"/>
      <c r="BR322" s="3911"/>
      <c r="BS322" s="3911"/>
      <c r="BT322" s="3911"/>
      <c r="BU322" s="3911"/>
      <c r="BV322" s="3911"/>
      <c r="BW322" s="3912"/>
      <c r="BX322" s="3396"/>
    </row>
    <row r="323" spans="4:76" ht="17.100000000000001" customHeight="1" x14ac:dyDescent="0.15">
      <c r="D323" s="3396"/>
      <c r="E323" s="3907"/>
      <c r="F323" s="3908"/>
      <c r="G323" s="3908"/>
      <c r="H323" s="3908"/>
      <c r="I323" s="3908"/>
      <c r="J323" s="3908"/>
      <c r="K323" s="3908"/>
      <c r="L323" s="3908"/>
      <c r="M323" s="3908"/>
      <c r="N323" s="3908"/>
      <c r="O323" s="3908"/>
      <c r="P323" s="3908"/>
      <c r="Q323" s="3908"/>
      <c r="R323" s="3908"/>
      <c r="S323" s="3908"/>
      <c r="T323" s="3909"/>
      <c r="U323" s="3913"/>
      <c r="AA323" s="3396"/>
      <c r="AB323" s="3907"/>
      <c r="AC323" s="3908"/>
      <c r="AD323" s="3908"/>
      <c r="AE323" s="3908"/>
      <c r="AF323" s="3908"/>
      <c r="AG323" s="3908"/>
      <c r="AH323" s="3908"/>
      <c r="AI323" s="3908"/>
      <c r="AJ323" s="3908"/>
      <c r="AK323" s="3909"/>
      <c r="AL323" s="3913"/>
      <c r="AP323" s="3914"/>
      <c r="AQ323" s="3907"/>
      <c r="AR323" s="3908"/>
      <c r="AS323" s="3908"/>
      <c r="AT323" s="3908"/>
      <c r="AU323" s="3908"/>
      <c r="AV323" s="3908"/>
      <c r="AW323" s="3908"/>
      <c r="AX323" s="3908"/>
      <c r="AY323" s="3908"/>
      <c r="AZ323" s="3909"/>
      <c r="BA323" s="3396"/>
      <c r="BG323" s="3914"/>
      <c r="BH323" s="3907"/>
      <c r="BI323" s="3908"/>
      <c r="BJ323" s="3908"/>
      <c r="BK323" s="3908"/>
      <c r="BL323" s="3908"/>
      <c r="BM323" s="3908"/>
      <c r="BN323" s="3908"/>
      <c r="BO323" s="3908"/>
      <c r="BP323" s="3908"/>
      <c r="BQ323" s="3908"/>
      <c r="BR323" s="3908"/>
      <c r="BS323" s="3908"/>
      <c r="BT323" s="3908"/>
      <c r="BU323" s="3908"/>
      <c r="BV323" s="3908"/>
      <c r="BW323" s="3909"/>
      <c r="BX323" s="3396"/>
    </row>
    <row r="324" spans="4:76" ht="17.100000000000001" customHeight="1" x14ac:dyDescent="0.15">
      <c r="D324" s="3396"/>
      <c r="E324" s="3910"/>
      <c r="F324" s="3911"/>
      <c r="G324" s="3911"/>
      <c r="H324" s="3911"/>
      <c r="I324" s="3911"/>
      <c r="J324" s="3911"/>
      <c r="K324" s="3911"/>
      <c r="L324" s="3911"/>
      <c r="M324" s="3911"/>
      <c r="N324" s="3911"/>
      <c r="O324" s="3911"/>
      <c r="P324" s="3911"/>
      <c r="Q324" s="3911"/>
      <c r="R324" s="3911"/>
      <c r="S324" s="3911"/>
      <c r="T324" s="3912"/>
      <c r="U324" s="3914"/>
      <c r="AA324" s="3396"/>
      <c r="AB324" s="3910"/>
      <c r="AC324" s="3911"/>
      <c r="AD324" s="3911"/>
      <c r="AE324" s="3911"/>
      <c r="AF324" s="3911"/>
      <c r="AG324" s="3911"/>
      <c r="AH324" s="3911"/>
      <c r="AI324" s="3911"/>
      <c r="AJ324" s="3911"/>
      <c r="AK324" s="3912"/>
      <c r="AL324" s="3914"/>
      <c r="AP324" s="3914"/>
      <c r="AQ324" s="3910"/>
      <c r="AR324" s="3911"/>
      <c r="AS324" s="3911"/>
      <c r="AT324" s="3911"/>
      <c r="AU324" s="3911"/>
      <c r="AV324" s="3911"/>
      <c r="AW324" s="3911"/>
      <c r="AX324" s="3911"/>
      <c r="AY324" s="3911"/>
      <c r="AZ324" s="3912"/>
      <c r="BA324" s="3396"/>
      <c r="BG324" s="3914"/>
      <c r="BH324" s="3910"/>
      <c r="BI324" s="3911"/>
      <c r="BJ324" s="3911"/>
      <c r="BK324" s="3911"/>
      <c r="BL324" s="3911"/>
      <c r="BM324" s="3911"/>
      <c r="BN324" s="3911"/>
      <c r="BO324" s="3911"/>
      <c r="BP324" s="3911"/>
      <c r="BQ324" s="3911"/>
      <c r="BR324" s="3911"/>
      <c r="BS324" s="3911"/>
      <c r="BT324" s="3911"/>
      <c r="BU324" s="3911"/>
      <c r="BV324" s="3911"/>
      <c r="BW324" s="3912"/>
      <c r="BX324" s="3396"/>
    </row>
    <row r="325" spans="4:76" ht="17.100000000000001" customHeight="1" thickBot="1" x14ac:dyDescent="0.2"/>
    <row r="326" spans="4:76" ht="17.100000000000001" customHeight="1" x14ac:dyDescent="0.15">
      <c r="D326" s="4092"/>
      <c r="E326" s="4093"/>
      <c r="F326" s="4093"/>
      <c r="G326" s="4093"/>
      <c r="H326" s="4093"/>
      <c r="I326" s="4093"/>
      <c r="J326" s="4093"/>
      <c r="K326" s="4093"/>
      <c r="L326" s="4093"/>
      <c r="M326" s="4093"/>
      <c r="N326" s="4093"/>
      <c r="O326" s="4093"/>
      <c r="P326" s="4093"/>
      <c r="Q326" s="4093"/>
      <c r="R326" s="4093"/>
      <c r="S326" s="4093"/>
      <c r="T326" s="4093"/>
      <c r="U326" s="4093"/>
      <c r="V326" s="4093"/>
      <c r="W326" s="4093"/>
      <c r="X326" s="4093"/>
      <c r="Y326" s="4093"/>
      <c r="Z326" s="4093"/>
      <c r="AA326" s="4093"/>
      <c r="AB326" s="4093"/>
      <c r="AC326" s="4093"/>
      <c r="AD326" s="4093"/>
      <c r="AE326" s="4093"/>
      <c r="AF326" s="4093"/>
      <c r="AG326" s="4093"/>
      <c r="AH326" s="4093"/>
      <c r="AI326" s="4093"/>
      <c r="AJ326" s="4093"/>
      <c r="AK326" s="4093"/>
      <c r="AL326" s="4093"/>
      <c r="AM326" s="4093"/>
      <c r="AN326" s="4093"/>
      <c r="AO326" s="4093"/>
      <c r="AP326" s="4093"/>
      <c r="AQ326" s="4093"/>
      <c r="AR326" s="4093"/>
      <c r="AS326" s="4093"/>
      <c r="AT326" s="4093"/>
      <c r="AU326" s="4093"/>
      <c r="AV326" s="4093"/>
      <c r="AW326" s="4093"/>
      <c r="AX326" s="4093"/>
      <c r="AY326" s="4093"/>
      <c r="AZ326" s="4093"/>
      <c r="BA326" s="4093"/>
      <c r="BB326" s="4093"/>
      <c r="BC326" s="4093"/>
      <c r="BD326" s="4093"/>
      <c r="BE326" s="4093"/>
      <c r="BF326" s="4093"/>
      <c r="BG326" s="4093"/>
      <c r="BH326" s="4093"/>
      <c r="BI326" s="4093"/>
      <c r="BJ326" s="4093"/>
      <c r="BK326" s="4093"/>
      <c r="BL326" s="4093"/>
      <c r="BM326" s="4093"/>
      <c r="BN326" s="4093"/>
      <c r="BO326" s="4093"/>
      <c r="BP326" s="4093"/>
      <c r="BQ326" s="4093"/>
      <c r="BR326" s="4093"/>
      <c r="BS326" s="4093"/>
      <c r="BT326" s="4093"/>
      <c r="BU326" s="4093"/>
      <c r="BV326" s="4093"/>
      <c r="BW326" s="4093"/>
      <c r="BX326" s="4094"/>
    </row>
    <row r="327" spans="4:76" ht="17.100000000000001" customHeight="1" thickBot="1" x14ac:dyDescent="0.2">
      <c r="D327" s="4095"/>
      <c r="E327" s="4096"/>
      <c r="F327" s="4096"/>
      <c r="G327" s="4096"/>
      <c r="H327" s="4096"/>
      <c r="I327" s="4096"/>
      <c r="J327" s="4096"/>
      <c r="K327" s="4096"/>
      <c r="L327" s="4096"/>
      <c r="M327" s="4096"/>
      <c r="N327" s="4096"/>
      <c r="O327" s="4096"/>
      <c r="P327" s="4096"/>
      <c r="Q327" s="4096"/>
      <c r="R327" s="4096"/>
      <c r="S327" s="4096"/>
      <c r="T327" s="4096"/>
      <c r="U327" s="4096"/>
      <c r="V327" s="4096"/>
      <c r="W327" s="4096"/>
      <c r="X327" s="4096"/>
      <c r="Y327" s="4096"/>
      <c r="Z327" s="4096"/>
      <c r="AA327" s="4096"/>
      <c r="AB327" s="4096"/>
      <c r="AC327" s="4096"/>
      <c r="AD327" s="4096"/>
      <c r="AE327" s="4096"/>
      <c r="AF327" s="4096"/>
      <c r="AG327" s="4096"/>
      <c r="AH327" s="4096"/>
      <c r="AI327" s="4096"/>
      <c r="AJ327" s="4096"/>
      <c r="AK327" s="4096"/>
      <c r="AL327" s="4096"/>
      <c r="AM327" s="4096"/>
      <c r="AN327" s="4096"/>
      <c r="AO327" s="4096"/>
      <c r="AP327" s="4096"/>
      <c r="AQ327" s="4096"/>
      <c r="AR327" s="4096"/>
      <c r="AS327" s="4096"/>
      <c r="AT327" s="4096"/>
      <c r="AU327" s="4096"/>
      <c r="AV327" s="4096"/>
      <c r="AW327" s="4096"/>
      <c r="AX327" s="4096"/>
      <c r="AY327" s="4096"/>
      <c r="AZ327" s="4096"/>
      <c r="BA327" s="4096"/>
      <c r="BB327" s="4096"/>
      <c r="BC327" s="4096"/>
      <c r="BD327" s="4096"/>
      <c r="BE327" s="4096"/>
      <c r="BF327" s="4096"/>
      <c r="BG327" s="4096"/>
      <c r="BH327" s="4096"/>
      <c r="BI327" s="4096"/>
      <c r="BJ327" s="4096"/>
      <c r="BK327" s="4096"/>
      <c r="BL327" s="4096"/>
      <c r="BM327" s="4096"/>
      <c r="BN327" s="4096"/>
      <c r="BO327" s="4096"/>
      <c r="BP327" s="4096"/>
      <c r="BQ327" s="4096"/>
      <c r="BR327" s="4096"/>
      <c r="BS327" s="4096"/>
      <c r="BT327" s="4096"/>
      <c r="BU327" s="4096"/>
      <c r="BV327" s="4096"/>
      <c r="BW327" s="4096"/>
      <c r="BX327" s="4097"/>
    </row>
  </sheetData>
  <sheetProtection sheet="1" scenarios="1"/>
  <dataConsolidate/>
  <mergeCells count="1676">
    <mergeCell ref="AV4:BB4"/>
    <mergeCell ref="Z4:AF4"/>
    <mergeCell ref="BA14:BA15"/>
    <mergeCell ref="BF12:BF13"/>
    <mergeCell ref="BF18:BF19"/>
    <mergeCell ref="BF20:BF21"/>
    <mergeCell ref="E6:T7"/>
    <mergeCell ref="BG3:BN3"/>
    <mergeCell ref="BF4:BF5"/>
    <mergeCell ref="BF6:BF7"/>
    <mergeCell ref="AE10:AF10"/>
    <mergeCell ref="BH10:BW11"/>
    <mergeCell ref="BX10:BX11"/>
    <mergeCell ref="AX8:BA8"/>
    <mergeCell ref="BF8:BF9"/>
    <mergeCell ref="Y14:Z21"/>
    <mergeCell ref="AA16:AA17"/>
    <mergeCell ref="AB16:AK17"/>
    <mergeCell ref="BH12:BW13"/>
    <mergeCell ref="BX8:BX9"/>
    <mergeCell ref="BH8:BW9"/>
    <mergeCell ref="BH14:BW15"/>
    <mergeCell ref="AB14:AK15"/>
    <mergeCell ref="AN18:AN33"/>
    <mergeCell ref="DX69:EB69"/>
    <mergeCell ref="BA36:BA37"/>
    <mergeCell ref="BX32:BX33"/>
    <mergeCell ref="BF36:BF37"/>
    <mergeCell ref="AQ34:AZ35"/>
    <mergeCell ref="BH32:BW33"/>
    <mergeCell ref="BX20:BX21"/>
    <mergeCell ref="BH20:BW21"/>
    <mergeCell ref="BF16:BF17"/>
    <mergeCell ref="AO28:AO29"/>
    <mergeCell ref="AQ20:AZ21"/>
    <mergeCell ref="AQ18:AZ19"/>
    <mergeCell ref="BA22:BA23"/>
    <mergeCell ref="CH39:CL39"/>
    <mergeCell ref="CH42:CL42"/>
    <mergeCell ref="CH41:CL41"/>
    <mergeCell ref="AQ30:AZ31"/>
    <mergeCell ref="BX56:BX57"/>
    <mergeCell ref="BA26:BA27"/>
    <mergeCell ref="AQ26:AZ27"/>
    <mergeCell ref="BA28:BA29"/>
    <mergeCell ref="AQ28:AZ29"/>
    <mergeCell ref="DX68:EB68"/>
    <mergeCell ref="BH16:BW17"/>
    <mergeCell ref="AO22:AO23"/>
    <mergeCell ref="BQ41:BR42"/>
    <mergeCell ref="DX66:EB66"/>
    <mergeCell ref="CH40:CL40"/>
    <mergeCell ref="BY14:BZ25"/>
    <mergeCell ref="BF26:BF27"/>
    <mergeCell ref="BX44:BX45"/>
    <mergeCell ref="BX47:BX48"/>
    <mergeCell ref="BY2:BZ3"/>
    <mergeCell ref="AL5:AP5"/>
    <mergeCell ref="BX22:BX23"/>
    <mergeCell ref="BH22:BW23"/>
    <mergeCell ref="E8:T9"/>
    <mergeCell ref="AE6:AF6"/>
    <mergeCell ref="AL6:AP8"/>
    <mergeCell ref="AA8:AD8"/>
    <mergeCell ref="BF2:BF3"/>
    <mergeCell ref="BF10:BF11"/>
    <mergeCell ref="BF14:BF15"/>
    <mergeCell ref="BA16:BA17"/>
    <mergeCell ref="BX24:BX25"/>
    <mergeCell ref="BX14:BX15"/>
    <mergeCell ref="DX67:EB67"/>
    <mergeCell ref="AV8:AW8"/>
    <mergeCell ref="BX18:BX19"/>
    <mergeCell ref="AA20:AA21"/>
    <mergeCell ref="AB20:AK21"/>
    <mergeCell ref="AO18:AO19"/>
    <mergeCell ref="CX31:DA31"/>
    <mergeCell ref="Y30:Z37"/>
    <mergeCell ref="BO2:BX3"/>
    <mergeCell ref="AM2:AO2"/>
    <mergeCell ref="AA10:AD10"/>
    <mergeCell ref="AL4:AP4"/>
    <mergeCell ref="N2:U2"/>
    <mergeCell ref="AA18:AA19"/>
    <mergeCell ref="AB18:AK19"/>
    <mergeCell ref="BG2:BN2"/>
    <mergeCell ref="BX16:BX17"/>
    <mergeCell ref="BX6:BX7"/>
    <mergeCell ref="D181:D182"/>
    <mergeCell ref="E181:T182"/>
    <mergeCell ref="U181:U182"/>
    <mergeCell ref="AA181:AA182"/>
    <mergeCell ref="AB181:AK182"/>
    <mergeCell ref="AL181:AL182"/>
    <mergeCell ref="AP181:AP182"/>
    <mergeCell ref="AQ181:AZ182"/>
    <mergeCell ref="BA181:BA182"/>
    <mergeCell ref="BG181:BG182"/>
    <mergeCell ref="BH181:BW182"/>
    <mergeCell ref="BX181:BX182"/>
    <mergeCell ref="D179:D180"/>
    <mergeCell ref="E179:T180"/>
    <mergeCell ref="U179:U180"/>
    <mergeCell ref="AA179:AA180"/>
    <mergeCell ref="AB179:AK180"/>
    <mergeCell ref="AL179:AL180"/>
    <mergeCell ref="AP179:AP180"/>
    <mergeCell ref="BA179:BA180"/>
    <mergeCell ref="AQ179:AZ180"/>
    <mergeCell ref="BG179:BG180"/>
    <mergeCell ref="BH179:BW180"/>
    <mergeCell ref="BX179:BX180"/>
    <mergeCell ref="AB177:AK178"/>
    <mergeCell ref="AL177:AL178"/>
    <mergeCell ref="AP177:AP178"/>
    <mergeCell ref="AQ177:AZ178"/>
    <mergeCell ref="BA177:BA178"/>
    <mergeCell ref="BG177:BG178"/>
    <mergeCell ref="BH177:BW178"/>
    <mergeCell ref="BX177:BX178"/>
    <mergeCell ref="D175:D176"/>
    <mergeCell ref="E175:T176"/>
    <mergeCell ref="U175:U176"/>
    <mergeCell ref="AA175:AA176"/>
    <mergeCell ref="AB175:AK176"/>
    <mergeCell ref="AL175:AL176"/>
    <mergeCell ref="AP175:AP176"/>
    <mergeCell ref="AQ175:AZ176"/>
    <mergeCell ref="BA175:BA176"/>
    <mergeCell ref="BH175:BW176"/>
    <mergeCell ref="BG175:BG176"/>
    <mergeCell ref="BX175:BX176"/>
    <mergeCell ref="D177:D178"/>
    <mergeCell ref="E177:T178"/>
    <mergeCell ref="U177:U178"/>
    <mergeCell ref="AA177:AA178"/>
    <mergeCell ref="BA173:BA174"/>
    <mergeCell ref="BG173:BG174"/>
    <mergeCell ref="BH173:BW174"/>
    <mergeCell ref="BX173:BX174"/>
    <mergeCell ref="D171:D172"/>
    <mergeCell ref="E171:T172"/>
    <mergeCell ref="U171:U172"/>
    <mergeCell ref="AA171:AA172"/>
    <mergeCell ref="AB171:AK172"/>
    <mergeCell ref="AL171:AL172"/>
    <mergeCell ref="AP171:AP172"/>
    <mergeCell ref="AQ171:AZ172"/>
    <mergeCell ref="BA171:BA172"/>
    <mergeCell ref="BG171:BG172"/>
    <mergeCell ref="BH171:BW172"/>
    <mergeCell ref="BX171:BX172"/>
    <mergeCell ref="D173:D174"/>
    <mergeCell ref="E173:T174"/>
    <mergeCell ref="U173:U174"/>
    <mergeCell ref="AA173:AA174"/>
    <mergeCell ref="AB173:AK174"/>
    <mergeCell ref="AL173:AL174"/>
    <mergeCell ref="AP173:AP174"/>
    <mergeCell ref="AQ173:AZ174"/>
    <mergeCell ref="BH167:BW168"/>
    <mergeCell ref="BX167:BX168"/>
    <mergeCell ref="D169:D170"/>
    <mergeCell ref="E169:T170"/>
    <mergeCell ref="U169:U170"/>
    <mergeCell ref="AA169:AA170"/>
    <mergeCell ref="AB169:AK170"/>
    <mergeCell ref="AL169:AL170"/>
    <mergeCell ref="AP169:AP170"/>
    <mergeCell ref="AQ169:AZ170"/>
    <mergeCell ref="BA169:BA170"/>
    <mergeCell ref="BG169:BG170"/>
    <mergeCell ref="BH169:BW170"/>
    <mergeCell ref="BX169:BX170"/>
    <mergeCell ref="D167:D168"/>
    <mergeCell ref="E167:T168"/>
    <mergeCell ref="U167:U168"/>
    <mergeCell ref="AA167:AA168"/>
    <mergeCell ref="AB167:AK168"/>
    <mergeCell ref="AL167:AL168"/>
    <mergeCell ref="AP167:AP168"/>
    <mergeCell ref="AQ167:AZ168"/>
    <mergeCell ref="BA167:BA168"/>
    <mergeCell ref="BG167:BG168"/>
    <mergeCell ref="BH163:BW164"/>
    <mergeCell ref="BX163:BX164"/>
    <mergeCell ref="D165:D166"/>
    <mergeCell ref="E165:T166"/>
    <mergeCell ref="U165:U166"/>
    <mergeCell ref="AA165:AA166"/>
    <mergeCell ref="AB165:AK166"/>
    <mergeCell ref="AL165:AL166"/>
    <mergeCell ref="AP165:AP166"/>
    <mergeCell ref="AQ165:AZ166"/>
    <mergeCell ref="BA165:BA166"/>
    <mergeCell ref="BG165:BG166"/>
    <mergeCell ref="BH165:BW166"/>
    <mergeCell ref="BX165:BX166"/>
    <mergeCell ref="D163:D164"/>
    <mergeCell ref="E163:T164"/>
    <mergeCell ref="U163:U164"/>
    <mergeCell ref="AA163:AA164"/>
    <mergeCell ref="AP163:AP164"/>
    <mergeCell ref="AQ163:AZ164"/>
    <mergeCell ref="BA163:BA164"/>
    <mergeCell ref="AB163:AK164"/>
    <mergeCell ref="AL163:AL164"/>
    <mergeCell ref="BG163:BG164"/>
    <mergeCell ref="BH159:BW160"/>
    <mergeCell ref="BX159:BX160"/>
    <mergeCell ref="D161:D162"/>
    <mergeCell ref="E161:T162"/>
    <mergeCell ref="U161:U162"/>
    <mergeCell ref="AA161:AA162"/>
    <mergeCell ref="AB161:AK162"/>
    <mergeCell ref="AL161:AL162"/>
    <mergeCell ref="AP161:AP162"/>
    <mergeCell ref="AQ161:AZ162"/>
    <mergeCell ref="BA161:BA162"/>
    <mergeCell ref="BG161:BG162"/>
    <mergeCell ref="BH161:BW162"/>
    <mergeCell ref="BX161:BX162"/>
    <mergeCell ref="D159:D160"/>
    <mergeCell ref="E159:T160"/>
    <mergeCell ref="U159:U160"/>
    <mergeCell ref="AA159:AA160"/>
    <mergeCell ref="AB159:AK160"/>
    <mergeCell ref="AL159:AL160"/>
    <mergeCell ref="AP159:AP160"/>
    <mergeCell ref="AQ159:AZ160"/>
    <mergeCell ref="BA159:BA160"/>
    <mergeCell ref="BG159:BG160"/>
    <mergeCell ref="BH155:BW156"/>
    <mergeCell ref="BX155:BX156"/>
    <mergeCell ref="D157:D158"/>
    <mergeCell ref="E157:T158"/>
    <mergeCell ref="U157:U158"/>
    <mergeCell ref="AA157:AA158"/>
    <mergeCell ref="AB157:AK158"/>
    <mergeCell ref="AL157:AL158"/>
    <mergeCell ref="AP157:AP158"/>
    <mergeCell ref="AQ157:AZ158"/>
    <mergeCell ref="BA157:BA158"/>
    <mergeCell ref="BG157:BG158"/>
    <mergeCell ref="BH157:BW158"/>
    <mergeCell ref="BX157:BX158"/>
    <mergeCell ref="D155:D156"/>
    <mergeCell ref="E155:T156"/>
    <mergeCell ref="U155:U156"/>
    <mergeCell ref="AA155:AA156"/>
    <mergeCell ref="Y157:Y158"/>
    <mergeCell ref="BC157:BC158"/>
    <mergeCell ref="AL155:AL156"/>
    <mergeCell ref="AP155:AP156"/>
    <mergeCell ref="AQ155:AZ156"/>
    <mergeCell ref="BA155:BA156"/>
    <mergeCell ref="BG155:BG156"/>
    <mergeCell ref="BH151:BW152"/>
    <mergeCell ref="BX151:BX152"/>
    <mergeCell ref="D153:D154"/>
    <mergeCell ref="E153:T154"/>
    <mergeCell ref="U153:U154"/>
    <mergeCell ref="AA153:AA154"/>
    <mergeCell ref="AB153:AK154"/>
    <mergeCell ref="AL153:AL154"/>
    <mergeCell ref="AP153:AP154"/>
    <mergeCell ref="AQ153:AZ154"/>
    <mergeCell ref="BA153:BA154"/>
    <mergeCell ref="BG153:BG154"/>
    <mergeCell ref="BH153:BW154"/>
    <mergeCell ref="BX153:BX154"/>
    <mergeCell ref="D151:D152"/>
    <mergeCell ref="E151:T152"/>
    <mergeCell ref="U151:U152"/>
    <mergeCell ref="AA151:AA152"/>
    <mergeCell ref="AB151:AK152"/>
    <mergeCell ref="AL151:AL152"/>
    <mergeCell ref="AP151:AP152"/>
    <mergeCell ref="AQ151:AZ152"/>
    <mergeCell ref="BA151:BA152"/>
    <mergeCell ref="Y153:Y154"/>
    <mergeCell ref="BC153:BC154"/>
    <mergeCell ref="BG151:BG152"/>
    <mergeCell ref="BG183:BG184"/>
    <mergeCell ref="BH183:BW184"/>
    <mergeCell ref="BX183:BX184"/>
    <mergeCell ref="AL183:AL184"/>
    <mergeCell ref="AP183:AP184"/>
    <mergeCell ref="BX149:BX150"/>
    <mergeCell ref="D147:D148"/>
    <mergeCell ref="E147:T148"/>
    <mergeCell ref="U147:U148"/>
    <mergeCell ref="AA147:AA148"/>
    <mergeCell ref="AB147:AK148"/>
    <mergeCell ref="AQ147:AZ148"/>
    <mergeCell ref="BA147:BA148"/>
    <mergeCell ref="BG147:BG148"/>
    <mergeCell ref="BH147:BW148"/>
    <mergeCell ref="D149:D150"/>
    <mergeCell ref="E149:T150"/>
    <mergeCell ref="U149:U150"/>
    <mergeCell ref="AA149:AA150"/>
    <mergeCell ref="AB149:AK150"/>
    <mergeCell ref="AQ149:AZ150"/>
    <mergeCell ref="BA149:BA150"/>
    <mergeCell ref="BG149:BG150"/>
    <mergeCell ref="BH149:BW150"/>
    <mergeCell ref="D183:D184"/>
    <mergeCell ref="E183:T184"/>
    <mergeCell ref="U183:U184"/>
    <mergeCell ref="AA183:AA184"/>
    <mergeCell ref="AB183:AK184"/>
    <mergeCell ref="AQ183:AZ184"/>
    <mergeCell ref="BA183:BA184"/>
    <mergeCell ref="AB155:AK156"/>
    <mergeCell ref="BX147:BX148"/>
    <mergeCell ref="AL147:AL148"/>
    <mergeCell ref="AL149:AL150"/>
    <mergeCell ref="AP147:AP148"/>
    <mergeCell ref="AP149:AP150"/>
    <mergeCell ref="BX143:BX144"/>
    <mergeCell ref="D145:D146"/>
    <mergeCell ref="E145:T146"/>
    <mergeCell ref="U145:U146"/>
    <mergeCell ref="AA145:AA146"/>
    <mergeCell ref="AB145:AK146"/>
    <mergeCell ref="AQ145:AZ146"/>
    <mergeCell ref="BA145:BA146"/>
    <mergeCell ref="BG145:BG146"/>
    <mergeCell ref="BH145:BW146"/>
    <mergeCell ref="BX145:BX146"/>
    <mergeCell ref="D143:D144"/>
    <mergeCell ref="E143:T144"/>
    <mergeCell ref="U143:U144"/>
    <mergeCell ref="AA143:AA144"/>
    <mergeCell ref="AB143:AK144"/>
    <mergeCell ref="AQ143:AZ144"/>
    <mergeCell ref="BA143:BA144"/>
    <mergeCell ref="BG143:BG144"/>
    <mergeCell ref="Y145:Y146"/>
    <mergeCell ref="Y149:Y150"/>
    <mergeCell ref="BC145:BC146"/>
    <mergeCell ref="BC149:BC150"/>
    <mergeCell ref="AL145:AL146"/>
    <mergeCell ref="AP143:AP144"/>
    <mergeCell ref="AP145:AP146"/>
    <mergeCell ref="BH143:BW144"/>
    <mergeCell ref="AA139:AA140"/>
    <mergeCell ref="AB139:AK140"/>
    <mergeCell ref="AQ139:AZ140"/>
    <mergeCell ref="BA139:BA140"/>
    <mergeCell ref="BG139:BG140"/>
    <mergeCell ref="BH139:BW140"/>
    <mergeCell ref="BX139:BX140"/>
    <mergeCell ref="AA141:AA142"/>
    <mergeCell ref="AB141:AK142"/>
    <mergeCell ref="AQ141:AZ142"/>
    <mergeCell ref="BA141:BA142"/>
    <mergeCell ref="BG141:BG142"/>
    <mergeCell ref="BH141:BW142"/>
    <mergeCell ref="BX141:BX142"/>
    <mergeCell ref="AL137:AL138"/>
    <mergeCell ref="AL139:AL140"/>
    <mergeCell ref="AQ137:AZ138"/>
    <mergeCell ref="BA137:BA138"/>
    <mergeCell ref="AA137:AA138"/>
    <mergeCell ref="AB137:AK138"/>
    <mergeCell ref="BC137:BC138"/>
    <mergeCell ref="BC141:BC142"/>
    <mergeCell ref="AL141:AL142"/>
    <mergeCell ref="AP137:AP138"/>
    <mergeCell ref="AP139:AP140"/>
    <mergeCell ref="AP141:AP142"/>
    <mergeCell ref="BZ133:BZ134"/>
    <mergeCell ref="D135:D136"/>
    <mergeCell ref="E135:T136"/>
    <mergeCell ref="U135:U136"/>
    <mergeCell ref="AA135:AA136"/>
    <mergeCell ref="AB135:AK136"/>
    <mergeCell ref="AQ135:AZ136"/>
    <mergeCell ref="BA135:BA136"/>
    <mergeCell ref="BG135:BG136"/>
    <mergeCell ref="BH135:BW136"/>
    <mergeCell ref="BX135:BX136"/>
    <mergeCell ref="AL133:AL134"/>
    <mergeCell ref="AL135:AL136"/>
    <mergeCell ref="AP133:AP134"/>
    <mergeCell ref="AP135:AP136"/>
    <mergeCell ref="BG137:BG138"/>
    <mergeCell ref="BH137:BW138"/>
    <mergeCell ref="BX137:BX138"/>
    <mergeCell ref="AL143:AL144"/>
    <mergeCell ref="D137:D138"/>
    <mergeCell ref="E137:T138"/>
    <mergeCell ref="U137:U138"/>
    <mergeCell ref="D139:D140"/>
    <mergeCell ref="E139:T140"/>
    <mergeCell ref="U139:U140"/>
    <mergeCell ref="D141:D142"/>
    <mergeCell ref="E141:T142"/>
    <mergeCell ref="U141:U142"/>
    <mergeCell ref="Y137:Y138"/>
    <mergeCell ref="Y141:Y142"/>
    <mergeCell ref="BX131:BX132"/>
    <mergeCell ref="B133:B134"/>
    <mergeCell ref="D133:D134"/>
    <mergeCell ref="E133:T134"/>
    <mergeCell ref="U133:U134"/>
    <mergeCell ref="Y133:Y134"/>
    <mergeCell ref="AA133:AA134"/>
    <mergeCell ref="AB133:AK134"/>
    <mergeCell ref="AQ133:AZ134"/>
    <mergeCell ref="BA133:BA134"/>
    <mergeCell ref="BC133:BC134"/>
    <mergeCell ref="BG133:BG134"/>
    <mergeCell ref="BH133:BW134"/>
    <mergeCell ref="BX133:BX134"/>
    <mergeCell ref="D131:D132"/>
    <mergeCell ref="E131:T132"/>
    <mergeCell ref="U131:U132"/>
    <mergeCell ref="AA131:AA132"/>
    <mergeCell ref="BG131:BG132"/>
    <mergeCell ref="BH131:BW132"/>
    <mergeCell ref="BZ125:BZ126"/>
    <mergeCell ref="AL125:AL126"/>
    <mergeCell ref="AP125:AP126"/>
    <mergeCell ref="B129:B130"/>
    <mergeCell ref="Y129:Y130"/>
    <mergeCell ref="AA129:AA130"/>
    <mergeCell ref="AB129:AK130"/>
    <mergeCell ref="AQ129:AZ130"/>
    <mergeCell ref="BA129:BA130"/>
    <mergeCell ref="BC129:BC130"/>
    <mergeCell ref="BG129:BG130"/>
    <mergeCell ref="BH129:BW130"/>
    <mergeCell ref="AL129:AL130"/>
    <mergeCell ref="AP129:AP130"/>
    <mergeCell ref="BZ129:BZ130"/>
    <mergeCell ref="D127:D128"/>
    <mergeCell ref="E127:T128"/>
    <mergeCell ref="U127:U128"/>
    <mergeCell ref="D129:D130"/>
    <mergeCell ref="E129:T130"/>
    <mergeCell ref="B125:B126"/>
    <mergeCell ref="Y125:Y126"/>
    <mergeCell ref="AB125:AK126"/>
    <mergeCell ref="D125:D126"/>
    <mergeCell ref="E125:T126"/>
    <mergeCell ref="U125:U126"/>
    <mergeCell ref="BG125:BG126"/>
    <mergeCell ref="BH125:BW126"/>
    <mergeCell ref="BX129:BX130"/>
    <mergeCell ref="BH109:BW110"/>
    <mergeCell ref="BX109:BX110"/>
    <mergeCell ref="BG111:BG112"/>
    <mergeCell ref="BH111:BW112"/>
    <mergeCell ref="BA127:BA128"/>
    <mergeCell ref="BG127:BG128"/>
    <mergeCell ref="BH127:BW128"/>
    <mergeCell ref="BX127:BX128"/>
    <mergeCell ref="AL127:AL128"/>
    <mergeCell ref="AP127:AP128"/>
    <mergeCell ref="AB127:AK128"/>
    <mergeCell ref="AQ125:AZ126"/>
    <mergeCell ref="BA125:BA126"/>
    <mergeCell ref="BC125:BC126"/>
    <mergeCell ref="BH107:BW108"/>
    <mergeCell ref="D107:D108"/>
    <mergeCell ref="E107:T108"/>
    <mergeCell ref="BX107:BX108"/>
    <mergeCell ref="BG109:BG110"/>
    <mergeCell ref="U109:U110"/>
    <mergeCell ref="BC107:BC108"/>
    <mergeCell ref="D111:D112"/>
    <mergeCell ref="E111:T112"/>
    <mergeCell ref="U111:U112"/>
    <mergeCell ref="Y111:Y112"/>
    <mergeCell ref="AA111:AA112"/>
    <mergeCell ref="AB111:AK112"/>
    <mergeCell ref="AQ111:AZ112"/>
    <mergeCell ref="BA111:BA112"/>
    <mergeCell ref="E117:T118"/>
    <mergeCell ref="U117:U118"/>
    <mergeCell ref="BC111:BC112"/>
    <mergeCell ref="D326:BX327"/>
    <mergeCell ref="BY4:BZ13"/>
    <mergeCell ref="BX4:BX5"/>
    <mergeCell ref="BH4:BW5"/>
    <mergeCell ref="AA14:AA15"/>
    <mergeCell ref="AA34:AA35"/>
    <mergeCell ref="AB34:AK35"/>
    <mergeCell ref="AB36:AK37"/>
    <mergeCell ref="AB28:AK29"/>
    <mergeCell ref="AM30:AM31"/>
    <mergeCell ref="AM32:AM33"/>
    <mergeCell ref="AQ93:AZ94"/>
    <mergeCell ref="BA93:BA94"/>
    <mergeCell ref="AQ95:AZ96"/>
    <mergeCell ref="AA26:AA27"/>
    <mergeCell ref="BH6:BW7"/>
    <mergeCell ref="BG99:BG100"/>
    <mergeCell ref="U129:U130"/>
    <mergeCell ref="AA127:AA128"/>
    <mergeCell ref="AQ127:AZ128"/>
    <mergeCell ref="BG103:BG104"/>
    <mergeCell ref="BH103:BW104"/>
    <mergeCell ref="AB107:AK108"/>
    <mergeCell ref="AA125:AA126"/>
    <mergeCell ref="D122:BX123"/>
    <mergeCell ref="AQ107:AZ108"/>
    <mergeCell ref="BA107:BA108"/>
    <mergeCell ref="AQ109:AZ110"/>
    <mergeCell ref="BA109:BA110"/>
    <mergeCell ref="AV6:AW6"/>
    <mergeCell ref="BG107:BG108"/>
    <mergeCell ref="D109:D110"/>
    <mergeCell ref="B83:B84"/>
    <mergeCell ref="B87:B88"/>
    <mergeCell ref="B91:B92"/>
    <mergeCell ref="Y22:Z29"/>
    <mergeCell ref="D32:D33"/>
    <mergeCell ref="E32:T33"/>
    <mergeCell ref="E30:T31"/>
    <mergeCell ref="B14:C25"/>
    <mergeCell ref="D28:D29"/>
    <mergeCell ref="AA6:AD6"/>
    <mergeCell ref="AB32:AK33"/>
    <mergeCell ref="AB83:AK84"/>
    <mergeCell ref="E83:T84"/>
    <mergeCell ref="U83:U84"/>
    <mergeCell ref="Y91:Y92"/>
    <mergeCell ref="E91:T92"/>
    <mergeCell ref="U91:U92"/>
    <mergeCell ref="E89:T90"/>
    <mergeCell ref="AE8:AF8"/>
    <mergeCell ref="E12:T13"/>
    <mergeCell ref="Y87:Y88"/>
    <mergeCell ref="AA22:AA23"/>
    <mergeCell ref="AB22:AK23"/>
    <mergeCell ref="D10:D11"/>
    <mergeCell ref="E10:T11"/>
    <mergeCell ref="Y83:Y84"/>
    <mergeCell ref="D80:BX81"/>
    <mergeCell ref="BX12:BX13"/>
    <mergeCell ref="AM28:AM29"/>
    <mergeCell ref="E26:T27"/>
    <mergeCell ref="AB26:AK27"/>
    <mergeCell ref="AM26:AM27"/>
    <mergeCell ref="BZ87:BZ88"/>
    <mergeCell ref="BZ91:BZ92"/>
    <mergeCell ref="AA28:AA29"/>
    <mergeCell ref="AA36:AA37"/>
    <mergeCell ref="AA91:AA92"/>
    <mergeCell ref="AB91:AK92"/>
    <mergeCell ref="BA83:BA84"/>
    <mergeCell ref="BA85:BA86"/>
    <mergeCell ref="BA87:BA88"/>
    <mergeCell ref="AQ89:AZ90"/>
    <mergeCell ref="BA89:BA90"/>
    <mergeCell ref="AQ91:AZ92"/>
    <mergeCell ref="BA91:BA92"/>
    <mergeCell ref="BY26:BZ37"/>
    <mergeCell ref="BX26:BX27"/>
    <mergeCell ref="BX28:BX29"/>
    <mergeCell ref="BH28:BW29"/>
    <mergeCell ref="BF28:BF29"/>
    <mergeCell ref="BH26:BW27"/>
    <mergeCell ref="BZ83:BZ84"/>
    <mergeCell ref="BT53:BW54"/>
    <mergeCell ref="AO26:AO27"/>
    <mergeCell ref="BA32:BA33"/>
    <mergeCell ref="BA34:BA35"/>
    <mergeCell ref="BH83:BW84"/>
    <mergeCell ref="BT59:BW60"/>
    <mergeCell ref="AO34:AO35"/>
    <mergeCell ref="AO36:AO37"/>
    <mergeCell ref="BT65:BW66"/>
    <mergeCell ref="BT67:BX69"/>
    <mergeCell ref="BT41:BW42"/>
    <mergeCell ref="AM36:AM37"/>
    <mergeCell ref="BT61:BX63"/>
    <mergeCell ref="BF32:BF33"/>
    <mergeCell ref="AB30:AK31"/>
    <mergeCell ref="AM18:AM19"/>
    <mergeCell ref="BX30:BX31"/>
    <mergeCell ref="AM34:AM35"/>
    <mergeCell ref="D85:D86"/>
    <mergeCell ref="BG83:BG84"/>
    <mergeCell ref="D58:H62"/>
    <mergeCell ref="D54:H57"/>
    <mergeCell ref="AA83:AA84"/>
    <mergeCell ref="AQ32:AZ33"/>
    <mergeCell ref="BF34:BF35"/>
    <mergeCell ref="BB30:BC37"/>
    <mergeCell ref="BH30:BW31"/>
    <mergeCell ref="AO30:AO31"/>
    <mergeCell ref="AO32:AO33"/>
    <mergeCell ref="BB14:BC21"/>
    <mergeCell ref="AM20:AM21"/>
    <mergeCell ref="AO14:AO15"/>
    <mergeCell ref="AQ14:AZ15"/>
    <mergeCell ref="BH18:BW19"/>
    <mergeCell ref="BB22:BC29"/>
    <mergeCell ref="D22:D23"/>
    <mergeCell ref="BX83:BX84"/>
    <mergeCell ref="D51:H53"/>
    <mergeCell ref="D34:D35"/>
    <mergeCell ref="D30:D31"/>
    <mergeCell ref="BT47:BW48"/>
    <mergeCell ref="BT44:BW45"/>
    <mergeCell ref="BH34:BW35"/>
    <mergeCell ref="BX50:BX51"/>
    <mergeCell ref="BT50:BW51"/>
    <mergeCell ref="BT56:BW57"/>
    <mergeCell ref="BX53:BX54"/>
    <mergeCell ref="BX41:BX42"/>
    <mergeCell ref="BX36:BX37"/>
    <mergeCell ref="BH36:BW37"/>
    <mergeCell ref="BF22:BF23"/>
    <mergeCell ref="BF24:BF25"/>
    <mergeCell ref="AO20:AO21"/>
    <mergeCell ref="AA32:AA33"/>
    <mergeCell ref="D12:D13"/>
    <mergeCell ref="AQ22:AZ23"/>
    <mergeCell ref="E20:T21"/>
    <mergeCell ref="AO16:AO17"/>
    <mergeCell ref="BH24:BW25"/>
    <mergeCell ref="E34:T35"/>
    <mergeCell ref="E28:T29"/>
    <mergeCell ref="AA30:AA31"/>
    <mergeCell ref="BA24:BA25"/>
    <mergeCell ref="BA30:BA31"/>
    <mergeCell ref="BF30:BF31"/>
    <mergeCell ref="BX34:BX35"/>
    <mergeCell ref="D36:D37"/>
    <mergeCell ref="E49:H50"/>
    <mergeCell ref="AK12:AQ12"/>
    <mergeCell ref="BT71:BW72"/>
    <mergeCell ref="BT73:BX75"/>
    <mergeCell ref="BH99:BW100"/>
    <mergeCell ref="BX99:BX100"/>
    <mergeCell ref="D99:D100"/>
    <mergeCell ref="E99:T100"/>
    <mergeCell ref="U99:U100"/>
    <mergeCell ref="D95:D96"/>
    <mergeCell ref="E95:T96"/>
    <mergeCell ref="U95:U96"/>
    <mergeCell ref="D93:D94"/>
    <mergeCell ref="E93:T94"/>
    <mergeCell ref="U93:U94"/>
    <mergeCell ref="AA95:AA96"/>
    <mergeCell ref="Y95:Y96"/>
    <mergeCell ref="AA89:AA90"/>
    <mergeCell ref="D83:D84"/>
    <mergeCell ref="AQ83:AZ84"/>
    <mergeCell ref="BC83:BC84"/>
    <mergeCell ref="E85:T86"/>
    <mergeCell ref="BH101:BW102"/>
    <mergeCell ref="BX93:BX94"/>
    <mergeCell ref="BG85:BG86"/>
    <mergeCell ref="BX89:BX90"/>
    <mergeCell ref="BH85:BW86"/>
    <mergeCell ref="BX85:BX86"/>
    <mergeCell ref="BG87:BG88"/>
    <mergeCell ref="BG89:BG90"/>
    <mergeCell ref="BH89:BW90"/>
    <mergeCell ref="BX97:BX98"/>
    <mergeCell ref="BH91:BW92"/>
    <mergeCell ref="BX91:BX92"/>
    <mergeCell ref="BX95:BX96"/>
    <mergeCell ref="BG91:BG92"/>
    <mergeCell ref="D97:D98"/>
    <mergeCell ref="E97:T98"/>
    <mergeCell ref="U97:U98"/>
    <mergeCell ref="AQ97:AZ98"/>
    <mergeCell ref="U89:U90"/>
    <mergeCell ref="D91:D92"/>
    <mergeCell ref="BA97:BA98"/>
    <mergeCell ref="BG97:BG98"/>
    <mergeCell ref="BH97:BW98"/>
    <mergeCell ref="BG93:BG94"/>
    <mergeCell ref="BA95:BA96"/>
    <mergeCell ref="BG95:BG96"/>
    <mergeCell ref="BH93:BW94"/>
    <mergeCell ref="BC87:BC88"/>
    <mergeCell ref="BH95:BW96"/>
    <mergeCell ref="BX87:BX88"/>
    <mergeCell ref="BC95:BC96"/>
    <mergeCell ref="BX105:BX106"/>
    <mergeCell ref="AA97:AA98"/>
    <mergeCell ref="AB97:AK98"/>
    <mergeCell ref="AA101:AA102"/>
    <mergeCell ref="AB101:AK102"/>
    <mergeCell ref="BG101:BG102"/>
    <mergeCell ref="AA85:AA86"/>
    <mergeCell ref="AA87:AA88"/>
    <mergeCell ref="BH87:BW88"/>
    <mergeCell ref="BA99:BA100"/>
    <mergeCell ref="AQ85:AZ86"/>
    <mergeCell ref="BC91:BC92"/>
    <mergeCell ref="AB103:AK104"/>
    <mergeCell ref="BC99:BC100"/>
    <mergeCell ref="BC103:BC104"/>
    <mergeCell ref="BG105:BG106"/>
    <mergeCell ref="BH105:BW106"/>
    <mergeCell ref="AQ87:AZ88"/>
    <mergeCell ref="AA93:AA94"/>
    <mergeCell ref="AA99:AA100"/>
    <mergeCell ref="AB99:AK100"/>
    <mergeCell ref="AQ103:AZ104"/>
    <mergeCell ref="BA103:BA104"/>
    <mergeCell ref="AQ105:AZ106"/>
    <mergeCell ref="BA105:BA106"/>
    <mergeCell ref="BX101:BX102"/>
    <mergeCell ref="AB93:AK94"/>
    <mergeCell ref="AB95:AK96"/>
    <mergeCell ref="AB89:AK90"/>
    <mergeCell ref="AB85:AK86"/>
    <mergeCell ref="AB87:AK88"/>
    <mergeCell ref="BX103:BX104"/>
    <mergeCell ref="B2:C3"/>
    <mergeCell ref="AX10:BA10"/>
    <mergeCell ref="AT11:AU11"/>
    <mergeCell ref="AQ24:AZ25"/>
    <mergeCell ref="AV10:AW10"/>
    <mergeCell ref="AO24:AO25"/>
    <mergeCell ref="AM14:AM15"/>
    <mergeCell ref="AM16:AM17"/>
    <mergeCell ref="D14:D15"/>
    <mergeCell ref="E14:T15"/>
    <mergeCell ref="E24:T25"/>
    <mergeCell ref="AB24:AK25"/>
    <mergeCell ref="AX6:BA6"/>
    <mergeCell ref="AX7:BA7"/>
    <mergeCell ref="E36:T37"/>
    <mergeCell ref="D41:D42"/>
    <mergeCell ref="D89:D90"/>
    <mergeCell ref="AQ36:AZ37"/>
    <mergeCell ref="E41:K42"/>
    <mergeCell ref="D87:D88"/>
    <mergeCell ref="D24:D25"/>
    <mergeCell ref="D16:D17"/>
    <mergeCell ref="E16:T17"/>
    <mergeCell ref="E22:T23"/>
    <mergeCell ref="U85:U86"/>
    <mergeCell ref="U87:U88"/>
    <mergeCell ref="E87:T88"/>
    <mergeCell ref="D69:H75"/>
    <mergeCell ref="AJ41:AR42"/>
    <mergeCell ref="AM24:AM25"/>
    <mergeCell ref="AM22:AM23"/>
    <mergeCell ref="AA24:AA25"/>
    <mergeCell ref="B4:C13"/>
    <mergeCell ref="D4:D5"/>
    <mergeCell ref="AV9:AW9"/>
    <mergeCell ref="AK2:AL2"/>
    <mergeCell ref="N3:U3"/>
    <mergeCell ref="AP2:AQ2"/>
    <mergeCell ref="D8:D9"/>
    <mergeCell ref="V2:V3"/>
    <mergeCell ref="AQ16:AZ17"/>
    <mergeCell ref="E4:T5"/>
    <mergeCell ref="AX9:BA9"/>
    <mergeCell ref="AA9:AD9"/>
    <mergeCell ref="AE9:AF9"/>
    <mergeCell ref="AL10:AP10"/>
    <mergeCell ref="E105:T106"/>
    <mergeCell ref="U105:U106"/>
    <mergeCell ref="AA103:AA104"/>
    <mergeCell ref="AA105:AA106"/>
    <mergeCell ref="AB105:AK106"/>
    <mergeCell ref="AQ101:AZ102"/>
    <mergeCell ref="BA101:BA102"/>
    <mergeCell ref="D63:H68"/>
    <mergeCell ref="AQ99:AZ100"/>
    <mergeCell ref="B26:C37"/>
    <mergeCell ref="D26:D27"/>
    <mergeCell ref="D18:D19"/>
    <mergeCell ref="E18:T19"/>
    <mergeCell ref="D20:D21"/>
    <mergeCell ref="BA20:BA21"/>
    <mergeCell ref="BA18:BA19"/>
    <mergeCell ref="D2:M3"/>
    <mergeCell ref="D6:D7"/>
    <mergeCell ref="AA109:AA110"/>
    <mergeCell ref="AB109:AK110"/>
    <mergeCell ref="E109:T110"/>
    <mergeCell ref="Y99:Y100"/>
    <mergeCell ref="Y103:Y104"/>
    <mergeCell ref="Y107:Y108"/>
    <mergeCell ref="D103:D104"/>
    <mergeCell ref="E103:T104"/>
    <mergeCell ref="U103:U104"/>
    <mergeCell ref="D105:D106"/>
    <mergeCell ref="U107:U108"/>
    <mergeCell ref="AA107:AA108"/>
    <mergeCell ref="D101:D102"/>
    <mergeCell ref="E101:T102"/>
    <mergeCell ref="U101:U102"/>
    <mergeCell ref="AA117:AA118"/>
    <mergeCell ref="AB117:AK118"/>
    <mergeCell ref="AQ117:AZ118"/>
    <mergeCell ref="BA117:BA118"/>
    <mergeCell ref="BG117:BG118"/>
    <mergeCell ref="BH117:BW118"/>
    <mergeCell ref="BX117:BX118"/>
    <mergeCell ref="D115:D116"/>
    <mergeCell ref="E115:T116"/>
    <mergeCell ref="U115:U116"/>
    <mergeCell ref="Y115:Y116"/>
    <mergeCell ref="AA115:AA116"/>
    <mergeCell ref="AB115:AK116"/>
    <mergeCell ref="AQ115:AZ116"/>
    <mergeCell ref="BA115:BA116"/>
    <mergeCell ref="BC115:BC116"/>
    <mergeCell ref="BX111:BX112"/>
    <mergeCell ref="D113:D114"/>
    <mergeCell ref="E113:T114"/>
    <mergeCell ref="U113:U114"/>
    <mergeCell ref="AA113:AA114"/>
    <mergeCell ref="AB113:AK114"/>
    <mergeCell ref="AQ113:AZ114"/>
    <mergeCell ref="BA113:BA114"/>
    <mergeCell ref="BG113:BG114"/>
    <mergeCell ref="BH113:BW114"/>
    <mergeCell ref="BX113:BX114"/>
    <mergeCell ref="BG115:BG116"/>
    <mergeCell ref="BH115:BW116"/>
    <mergeCell ref="BX115:BX116"/>
    <mergeCell ref="D117:D118"/>
    <mergeCell ref="AP187:AP188"/>
    <mergeCell ref="AQ187:AZ188"/>
    <mergeCell ref="BA187:BA188"/>
    <mergeCell ref="BG187:BG188"/>
    <mergeCell ref="BH187:BW188"/>
    <mergeCell ref="BX187:BX188"/>
    <mergeCell ref="D185:D186"/>
    <mergeCell ref="E185:T186"/>
    <mergeCell ref="U185:U186"/>
    <mergeCell ref="AA185:AA186"/>
    <mergeCell ref="AB185:AK186"/>
    <mergeCell ref="AL185:AL186"/>
    <mergeCell ref="AP185:AP186"/>
    <mergeCell ref="AQ185:AZ186"/>
    <mergeCell ref="BA185:BA186"/>
    <mergeCell ref="BG185:BG186"/>
    <mergeCell ref="BH185:BW186"/>
    <mergeCell ref="BX185:BX186"/>
    <mergeCell ref="D187:D188"/>
    <mergeCell ref="E187:T188"/>
    <mergeCell ref="U187:U188"/>
    <mergeCell ref="AA187:AA188"/>
    <mergeCell ref="AQ131:AZ132"/>
    <mergeCell ref="BA131:BA132"/>
    <mergeCell ref="BX125:BX126"/>
    <mergeCell ref="AL131:AL132"/>
    <mergeCell ref="AP131:AP132"/>
    <mergeCell ref="AB131:AK132"/>
    <mergeCell ref="BG189:BG190"/>
    <mergeCell ref="BH189:BW190"/>
    <mergeCell ref="BX189:BX190"/>
    <mergeCell ref="D191:D192"/>
    <mergeCell ref="E191:T192"/>
    <mergeCell ref="U191:U192"/>
    <mergeCell ref="AA191:AA192"/>
    <mergeCell ref="AB191:AK192"/>
    <mergeCell ref="AL191:AL192"/>
    <mergeCell ref="AP191:AP192"/>
    <mergeCell ref="AQ191:AZ192"/>
    <mergeCell ref="BA191:BA192"/>
    <mergeCell ref="BG191:BG192"/>
    <mergeCell ref="BH191:BW192"/>
    <mergeCell ref="BX191:BX192"/>
    <mergeCell ref="D189:D190"/>
    <mergeCell ref="E189:T190"/>
    <mergeCell ref="U189:U190"/>
    <mergeCell ref="AA189:AA190"/>
    <mergeCell ref="AB189:AK190"/>
    <mergeCell ref="AL189:AL190"/>
    <mergeCell ref="AP189:AP190"/>
    <mergeCell ref="AQ189:AZ190"/>
    <mergeCell ref="BA189:BA190"/>
    <mergeCell ref="AB187:AK188"/>
    <mergeCell ref="AL187:AL188"/>
    <mergeCell ref="BG193:BG194"/>
    <mergeCell ref="BH193:BW194"/>
    <mergeCell ref="BX193:BX194"/>
    <mergeCell ref="D195:D196"/>
    <mergeCell ref="E195:T196"/>
    <mergeCell ref="U195:U196"/>
    <mergeCell ref="AA195:AA196"/>
    <mergeCell ref="AB195:AK196"/>
    <mergeCell ref="AL195:AL196"/>
    <mergeCell ref="AP195:AP196"/>
    <mergeCell ref="AQ195:AZ196"/>
    <mergeCell ref="BA195:BA196"/>
    <mergeCell ref="BG195:BG196"/>
    <mergeCell ref="BH195:BW196"/>
    <mergeCell ref="BX195:BX196"/>
    <mergeCell ref="D193:D194"/>
    <mergeCell ref="E193:T194"/>
    <mergeCell ref="U193:U194"/>
    <mergeCell ref="AA193:AA194"/>
    <mergeCell ref="AB193:AK194"/>
    <mergeCell ref="AL193:AL194"/>
    <mergeCell ref="AP193:AP194"/>
    <mergeCell ref="AQ193:AZ194"/>
    <mergeCell ref="BA193:BA194"/>
    <mergeCell ref="D199:D200"/>
    <mergeCell ref="E199:T200"/>
    <mergeCell ref="U199:U200"/>
    <mergeCell ref="AA199:AA200"/>
    <mergeCell ref="AB199:AK200"/>
    <mergeCell ref="AL199:AL200"/>
    <mergeCell ref="AP199:AP200"/>
    <mergeCell ref="AQ199:AZ200"/>
    <mergeCell ref="BA199:BA200"/>
    <mergeCell ref="BG199:BG200"/>
    <mergeCell ref="BH199:BW200"/>
    <mergeCell ref="BX199:BX200"/>
    <mergeCell ref="D197:D198"/>
    <mergeCell ref="E197:T198"/>
    <mergeCell ref="U197:U198"/>
    <mergeCell ref="AA197:AA198"/>
    <mergeCell ref="AB197:AK198"/>
    <mergeCell ref="AL197:AL198"/>
    <mergeCell ref="AP197:AP198"/>
    <mergeCell ref="AQ197:AZ198"/>
    <mergeCell ref="BA197:BA198"/>
    <mergeCell ref="BG197:BG198"/>
    <mergeCell ref="BH197:BW198"/>
    <mergeCell ref="BX197:BX198"/>
    <mergeCell ref="D203:D204"/>
    <mergeCell ref="E203:T204"/>
    <mergeCell ref="U203:U204"/>
    <mergeCell ref="AA203:AA204"/>
    <mergeCell ref="AB203:AK204"/>
    <mergeCell ref="AL203:AL204"/>
    <mergeCell ref="AP203:AP204"/>
    <mergeCell ref="AQ203:AZ204"/>
    <mergeCell ref="BA203:BA204"/>
    <mergeCell ref="BG203:BG204"/>
    <mergeCell ref="BH203:BW204"/>
    <mergeCell ref="BX203:BX204"/>
    <mergeCell ref="D201:D202"/>
    <mergeCell ref="E201:T202"/>
    <mergeCell ref="U201:U202"/>
    <mergeCell ref="AA201:AA202"/>
    <mergeCell ref="AB201:AK202"/>
    <mergeCell ref="AL201:AL202"/>
    <mergeCell ref="AP201:AP202"/>
    <mergeCell ref="AQ201:AZ202"/>
    <mergeCell ref="BA201:BA202"/>
    <mergeCell ref="BG201:BG202"/>
    <mergeCell ref="BH201:BW202"/>
    <mergeCell ref="BX201:BX202"/>
    <mergeCell ref="D207:D208"/>
    <mergeCell ref="E207:T208"/>
    <mergeCell ref="U207:U208"/>
    <mergeCell ref="AA207:AA208"/>
    <mergeCell ref="AB207:AK208"/>
    <mergeCell ref="AL207:AL208"/>
    <mergeCell ref="AP207:AP208"/>
    <mergeCell ref="AQ207:AZ208"/>
    <mergeCell ref="BA207:BA208"/>
    <mergeCell ref="BG207:BG208"/>
    <mergeCell ref="BH207:BW208"/>
    <mergeCell ref="BX207:BX208"/>
    <mergeCell ref="D205:D206"/>
    <mergeCell ref="E205:T206"/>
    <mergeCell ref="U205:U206"/>
    <mergeCell ref="AA205:AA206"/>
    <mergeCell ref="AB205:AK206"/>
    <mergeCell ref="AL205:AL206"/>
    <mergeCell ref="AP205:AP206"/>
    <mergeCell ref="AQ205:AZ206"/>
    <mergeCell ref="BA205:BA206"/>
    <mergeCell ref="BG205:BG206"/>
    <mergeCell ref="BH205:BW206"/>
    <mergeCell ref="BX205:BX206"/>
    <mergeCell ref="D211:D212"/>
    <mergeCell ref="E211:T212"/>
    <mergeCell ref="U211:U212"/>
    <mergeCell ref="AA211:AA212"/>
    <mergeCell ref="AB211:AK212"/>
    <mergeCell ref="AL211:AL212"/>
    <mergeCell ref="AP211:AP212"/>
    <mergeCell ref="AQ211:AZ212"/>
    <mergeCell ref="BA211:BA212"/>
    <mergeCell ref="BG211:BG212"/>
    <mergeCell ref="BH211:BW212"/>
    <mergeCell ref="BX211:BX212"/>
    <mergeCell ref="D209:D210"/>
    <mergeCell ref="E209:T210"/>
    <mergeCell ref="U209:U210"/>
    <mergeCell ref="AA209:AA210"/>
    <mergeCell ref="AB209:AK210"/>
    <mergeCell ref="AL209:AL210"/>
    <mergeCell ref="AP209:AP210"/>
    <mergeCell ref="AQ209:AZ210"/>
    <mergeCell ref="BA209:BA210"/>
    <mergeCell ref="BG209:BG210"/>
    <mergeCell ref="BH209:BW210"/>
    <mergeCell ref="BX209:BX210"/>
    <mergeCell ref="AQ215:AZ216"/>
    <mergeCell ref="BA215:BA216"/>
    <mergeCell ref="BG215:BG216"/>
    <mergeCell ref="BH215:BW216"/>
    <mergeCell ref="BX215:BX216"/>
    <mergeCell ref="D213:D214"/>
    <mergeCell ref="E213:T214"/>
    <mergeCell ref="U213:U214"/>
    <mergeCell ref="AA213:AA214"/>
    <mergeCell ref="AB213:AK214"/>
    <mergeCell ref="AL213:AL214"/>
    <mergeCell ref="AP213:AP214"/>
    <mergeCell ref="AQ213:AZ214"/>
    <mergeCell ref="BA213:BA214"/>
    <mergeCell ref="BG213:BG214"/>
    <mergeCell ref="BH213:BW214"/>
    <mergeCell ref="BX213:BX214"/>
    <mergeCell ref="D215:D216"/>
    <mergeCell ref="E215:T216"/>
    <mergeCell ref="U215:U216"/>
    <mergeCell ref="AA215:AA216"/>
    <mergeCell ref="AB215:AK216"/>
    <mergeCell ref="AL215:AL216"/>
    <mergeCell ref="AP215:AP216"/>
    <mergeCell ref="D219:D220"/>
    <mergeCell ref="E219:T220"/>
    <mergeCell ref="U219:U220"/>
    <mergeCell ref="AA219:AA220"/>
    <mergeCell ref="AB219:AK220"/>
    <mergeCell ref="AL219:AL220"/>
    <mergeCell ref="AP219:AP220"/>
    <mergeCell ref="AQ219:AZ220"/>
    <mergeCell ref="BA219:BA220"/>
    <mergeCell ref="BG219:BG220"/>
    <mergeCell ref="BH219:BW220"/>
    <mergeCell ref="BX219:BX220"/>
    <mergeCell ref="D217:D218"/>
    <mergeCell ref="E217:T218"/>
    <mergeCell ref="U217:U218"/>
    <mergeCell ref="AA217:AA218"/>
    <mergeCell ref="AB217:AK218"/>
    <mergeCell ref="AL217:AL218"/>
    <mergeCell ref="AP217:AP218"/>
    <mergeCell ref="AQ217:AZ218"/>
    <mergeCell ref="BA217:BA218"/>
    <mergeCell ref="BG217:BG218"/>
    <mergeCell ref="BH217:BW218"/>
    <mergeCell ref="BX217:BX218"/>
    <mergeCell ref="D221:D222"/>
    <mergeCell ref="E221:T222"/>
    <mergeCell ref="U221:U222"/>
    <mergeCell ref="AA221:AA222"/>
    <mergeCell ref="AB221:AK222"/>
    <mergeCell ref="AL221:AL222"/>
    <mergeCell ref="AP221:AP222"/>
    <mergeCell ref="AQ221:AZ222"/>
    <mergeCell ref="BA221:BA222"/>
    <mergeCell ref="BG221:BG222"/>
    <mergeCell ref="BH221:BW222"/>
    <mergeCell ref="BX221:BX222"/>
    <mergeCell ref="D223:D224"/>
    <mergeCell ref="E223:T224"/>
    <mergeCell ref="U223:U224"/>
    <mergeCell ref="AA223:AA224"/>
    <mergeCell ref="AB223:AK224"/>
    <mergeCell ref="AL223:AL224"/>
    <mergeCell ref="AP223:AP224"/>
    <mergeCell ref="AQ223:AZ224"/>
    <mergeCell ref="BA223:BA224"/>
    <mergeCell ref="BG223:BG224"/>
    <mergeCell ref="BH223:BW224"/>
    <mergeCell ref="BX223:BX224"/>
    <mergeCell ref="D225:D226"/>
    <mergeCell ref="E225:T226"/>
    <mergeCell ref="U225:U226"/>
    <mergeCell ref="AA225:AA226"/>
    <mergeCell ref="AB225:AK226"/>
    <mergeCell ref="AL225:AL226"/>
    <mergeCell ref="AP225:AP226"/>
    <mergeCell ref="AQ225:AZ226"/>
    <mergeCell ref="BA225:BA226"/>
    <mergeCell ref="BG225:BG226"/>
    <mergeCell ref="BH225:BW226"/>
    <mergeCell ref="BX225:BX226"/>
    <mergeCell ref="D227:D228"/>
    <mergeCell ref="E227:T228"/>
    <mergeCell ref="U227:U228"/>
    <mergeCell ref="AA227:AA228"/>
    <mergeCell ref="AB227:AK228"/>
    <mergeCell ref="AL227:AL228"/>
    <mergeCell ref="AP227:AP228"/>
    <mergeCell ref="AQ227:AZ228"/>
    <mergeCell ref="BA227:BA228"/>
    <mergeCell ref="BG227:BG228"/>
    <mergeCell ref="BH227:BW228"/>
    <mergeCell ref="BX227:BX228"/>
    <mergeCell ref="D229:D230"/>
    <mergeCell ref="E229:T230"/>
    <mergeCell ref="U229:U230"/>
    <mergeCell ref="AA229:AA230"/>
    <mergeCell ref="AB229:AK230"/>
    <mergeCell ref="AL229:AL230"/>
    <mergeCell ref="AP229:AP230"/>
    <mergeCell ref="AQ229:AZ230"/>
    <mergeCell ref="BA229:BA230"/>
    <mergeCell ref="BG229:BG230"/>
    <mergeCell ref="BH229:BW230"/>
    <mergeCell ref="BX229:BX230"/>
    <mergeCell ref="D231:D232"/>
    <mergeCell ref="E231:T232"/>
    <mergeCell ref="U231:U232"/>
    <mergeCell ref="AA231:AA232"/>
    <mergeCell ref="AB231:AK232"/>
    <mergeCell ref="AL231:AL232"/>
    <mergeCell ref="AP231:AP232"/>
    <mergeCell ref="AQ231:AZ232"/>
    <mergeCell ref="BA231:BA232"/>
    <mergeCell ref="BG231:BG232"/>
    <mergeCell ref="BH231:BW232"/>
    <mergeCell ref="BX231:BX232"/>
    <mergeCell ref="D233:D234"/>
    <mergeCell ref="E233:T234"/>
    <mergeCell ref="U233:U234"/>
    <mergeCell ref="AA233:AA234"/>
    <mergeCell ref="AB233:AK234"/>
    <mergeCell ref="AL233:AL234"/>
    <mergeCell ref="AP233:AP234"/>
    <mergeCell ref="AQ233:AZ234"/>
    <mergeCell ref="BA233:BA234"/>
    <mergeCell ref="BG233:BG234"/>
    <mergeCell ref="BH233:BW234"/>
    <mergeCell ref="BX233:BX234"/>
    <mergeCell ref="D235:D236"/>
    <mergeCell ref="E235:T236"/>
    <mergeCell ref="U235:U236"/>
    <mergeCell ref="AA235:AA236"/>
    <mergeCell ref="AB235:AK236"/>
    <mergeCell ref="AL235:AL236"/>
    <mergeCell ref="AP235:AP236"/>
    <mergeCell ref="AQ235:AZ236"/>
    <mergeCell ref="BA235:BA236"/>
    <mergeCell ref="BG235:BG236"/>
    <mergeCell ref="BH235:BW236"/>
    <mergeCell ref="BX235:BX236"/>
    <mergeCell ref="D237:D238"/>
    <mergeCell ref="E237:T238"/>
    <mergeCell ref="U237:U238"/>
    <mergeCell ref="AA237:AA238"/>
    <mergeCell ref="AB237:AK238"/>
    <mergeCell ref="AL237:AL238"/>
    <mergeCell ref="AP237:AP238"/>
    <mergeCell ref="AQ237:AZ238"/>
    <mergeCell ref="BA237:BA238"/>
    <mergeCell ref="BG237:BG238"/>
    <mergeCell ref="BH237:BW238"/>
    <mergeCell ref="BX237:BX238"/>
    <mergeCell ref="D239:D240"/>
    <mergeCell ref="E239:T240"/>
    <mergeCell ref="U239:U240"/>
    <mergeCell ref="AA239:AA240"/>
    <mergeCell ref="AB239:AK240"/>
    <mergeCell ref="AL239:AL240"/>
    <mergeCell ref="AP239:AP240"/>
    <mergeCell ref="AQ239:AZ240"/>
    <mergeCell ref="BA239:BA240"/>
    <mergeCell ref="BG239:BG240"/>
    <mergeCell ref="BH239:BW240"/>
    <mergeCell ref="BX239:BX240"/>
    <mergeCell ref="D241:D242"/>
    <mergeCell ref="E241:T242"/>
    <mergeCell ref="U241:U242"/>
    <mergeCell ref="AA241:AA242"/>
    <mergeCell ref="AB241:AK242"/>
    <mergeCell ref="AL241:AL242"/>
    <mergeCell ref="AP241:AP242"/>
    <mergeCell ref="AQ241:AZ242"/>
    <mergeCell ref="BA241:BA242"/>
    <mergeCell ref="BG241:BG242"/>
    <mergeCell ref="BH241:BW242"/>
    <mergeCell ref="BX241:BX242"/>
    <mergeCell ref="D243:D244"/>
    <mergeCell ref="E243:T244"/>
    <mergeCell ref="U243:U244"/>
    <mergeCell ref="AA243:AA244"/>
    <mergeCell ref="AB243:AK244"/>
    <mergeCell ref="AL243:AL244"/>
    <mergeCell ref="AP243:AP244"/>
    <mergeCell ref="AQ243:AZ244"/>
    <mergeCell ref="BA243:BA244"/>
    <mergeCell ref="BG243:BG244"/>
    <mergeCell ref="BH243:BW244"/>
    <mergeCell ref="BX243:BX244"/>
    <mergeCell ref="D245:D246"/>
    <mergeCell ref="E245:T246"/>
    <mergeCell ref="U245:U246"/>
    <mergeCell ref="AA245:AA246"/>
    <mergeCell ref="AB245:AK246"/>
    <mergeCell ref="AL245:AL246"/>
    <mergeCell ref="AP245:AP246"/>
    <mergeCell ref="AQ245:AZ246"/>
    <mergeCell ref="BA245:BA246"/>
    <mergeCell ref="BG245:BG246"/>
    <mergeCell ref="BH245:BW246"/>
    <mergeCell ref="BX245:BX246"/>
    <mergeCell ref="D247:D248"/>
    <mergeCell ref="E247:T248"/>
    <mergeCell ref="U247:U248"/>
    <mergeCell ref="AA247:AA248"/>
    <mergeCell ref="AB247:AK248"/>
    <mergeCell ref="AL247:AL248"/>
    <mergeCell ref="AP247:AP248"/>
    <mergeCell ref="AQ247:AZ248"/>
    <mergeCell ref="BA247:BA248"/>
    <mergeCell ref="BG247:BG248"/>
    <mergeCell ref="BH247:BW248"/>
    <mergeCell ref="BX247:BX248"/>
    <mergeCell ref="D249:D250"/>
    <mergeCell ref="E249:T250"/>
    <mergeCell ref="U249:U250"/>
    <mergeCell ref="AA249:AA250"/>
    <mergeCell ref="AB249:AK250"/>
    <mergeCell ref="AL249:AL250"/>
    <mergeCell ref="AP249:AP250"/>
    <mergeCell ref="AQ249:AZ250"/>
    <mergeCell ref="BA249:BA250"/>
    <mergeCell ref="BG249:BG250"/>
    <mergeCell ref="BH249:BW250"/>
    <mergeCell ref="BX249:BX250"/>
    <mergeCell ref="D251:D252"/>
    <mergeCell ref="E251:T252"/>
    <mergeCell ref="U251:U252"/>
    <mergeCell ref="AA251:AA252"/>
    <mergeCell ref="AB251:AK252"/>
    <mergeCell ref="AL251:AL252"/>
    <mergeCell ref="AP251:AP252"/>
    <mergeCell ref="AQ251:AZ252"/>
    <mergeCell ref="BA251:BA252"/>
    <mergeCell ref="BG251:BG252"/>
    <mergeCell ref="BH251:BW252"/>
    <mergeCell ref="BX251:BX252"/>
    <mergeCell ref="D253:D254"/>
    <mergeCell ref="E253:T254"/>
    <mergeCell ref="U253:U254"/>
    <mergeCell ref="AA253:AA254"/>
    <mergeCell ref="AB253:AK254"/>
    <mergeCell ref="AL253:AL254"/>
    <mergeCell ref="AP253:AP254"/>
    <mergeCell ref="AQ253:AZ254"/>
    <mergeCell ref="BA253:BA254"/>
    <mergeCell ref="BG253:BG254"/>
    <mergeCell ref="BH253:BW254"/>
    <mergeCell ref="BX253:BX254"/>
    <mergeCell ref="D255:D256"/>
    <mergeCell ref="E255:T256"/>
    <mergeCell ref="U255:U256"/>
    <mergeCell ref="AA255:AA256"/>
    <mergeCell ref="AB255:AK256"/>
    <mergeCell ref="AL255:AL256"/>
    <mergeCell ref="AP255:AP256"/>
    <mergeCell ref="AQ255:AZ256"/>
    <mergeCell ref="BA255:BA256"/>
    <mergeCell ref="BG255:BG256"/>
    <mergeCell ref="BH255:BW256"/>
    <mergeCell ref="BX255:BX256"/>
    <mergeCell ref="D257:D258"/>
    <mergeCell ref="E257:T258"/>
    <mergeCell ref="U257:U258"/>
    <mergeCell ref="AA257:AA258"/>
    <mergeCell ref="AB257:AK258"/>
    <mergeCell ref="AL257:AL258"/>
    <mergeCell ref="AP257:AP258"/>
    <mergeCell ref="AQ257:AZ258"/>
    <mergeCell ref="BA257:BA258"/>
    <mergeCell ref="BG257:BG258"/>
    <mergeCell ref="BH257:BW258"/>
    <mergeCell ref="BX257:BX258"/>
    <mergeCell ref="D259:D260"/>
    <mergeCell ref="E259:T260"/>
    <mergeCell ref="U259:U260"/>
    <mergeCell ref="AA259:AA260"/>
    <mergeCell ref="AB259:AK260"/>
    <mergeCell ref="AL259:AL260"/>
    <mergeCell ref="AP259:AP260"/>
    <mergeCell ref="AQ259:AZ260"/>
    <mergeCell ref="BA259:BA260"/>
    <mergeCell ref="BG259:BG260"/>
    <mergeCell ref="BH259:BW260"/>
    <mergeCell ref="BX259:BX260"/>
    <mergeCell ref="D261:D262"/>
    <mergeCell ref="E261:T262"/>
    <mergeCell ref="U261:U262"/>
    <mergeCell ref="AA261:AA262"/>
    <mergeCell ref="AB261:AK262"/>
    <mergeCell ref="AL261:AL262"/>
    <mergeCell ref="AP261:AP262"/>
    <mergeCell ref="AQ261:AZ262"/>
    <mergeCell ref="BA261:BA262"/>
    <mergeCell ref="BG261:BG262"/>
    <mergeCell ref="BH261:BW262"/>
    <mergeCell ref="BX261:BX262"/>
    <mergeCell ref="D263:D264"/>
    <mergeCell ref="E263:T264"/>
    <mergeCell ref="U263:U264"/>
    <mergeCell ref="AA263:AA264"/>
    <mergeCell ref="AB263:AK264"/>
    <mergeCell ref="AL263:AL264"/>
    <mergeCell ref="AP263:AP264"/>
    <mergeCell ref="AQ263:AZ264"/>
    <mergeCell ref="BA263:BA264"/>
    <mergeCell ref="BG263:BG264"/>
    <mergeCell ref="BH263:BW264"/>
    <mergeCell ref="BX263:BX264"/>
    <mergeCell ref="D265:D266"/>
    <mergeCell ref="E265:T266"/>
    <mergeCell ref="U265:U266"/>
    <mergeCell ref="AA265:AA266"/>
    <mergeCell ref="AB265:AK266"/>
    <mergeCell ref="AL265:AL266"/>
    <mergeCell ref="AP265:AP266"/>
    <mergeCell ref="AQ265:AZ266"/>
    <mergeCell ref="BA265:BA266"/>
    <mergeCell ref="BG265:BG266"/>
    <mergeCell ref="BH265:BW266"/>
    <mergeCell ref="BX265:BX266"/>
    <mergeCell ref="D267:D268"/>
    <mergeCell ref="E267:T268"/>
    <mergeCell ref="U267:U268"/>
    <mergeCell ref="AA267:AA268"/>
    <mergeCell ref="AB267:AK268"/>
    <mergeCell ref="AL267:AL268"/>
    <mergeCell ref="AP267:AP268"/>
    <mergeCell ref="AQ267:AZ268"/>
    <mergeCell ref="BA267:BA268"/>
    <mergeCell ref="BG267:BG268"/>
    <mergeCell ref="BH267:BW268"/>
    <mergeCell ref="BX267:BX268"/>
    <mergeCell ref="D269:D270"/>
    <mergeCell ref="E269:T270"/>
    <mergeCell ref="U269:U270"/>
    <mergeCell ref="AA269:AA270"/>
    <mergeCell ref="AB269:AK270"/>
    <mergeCell ref="AL269:AL270"/>
    <mergeCell ref="AP269:AP270"/>
    <mergeCell ref="AQ269:AZ270"/>
    <mergeCell ref="BA269:BA270"/>
    <mergeCell ref="BG269:BG270"/>
    <mergeCell ref="BH269:BW270"/>
    <mergeCell ref="BX269:BX270"/>
    <mergeCell ref="D271:D272"/>
    <mergeCell ref="E271:T272"/>
    <mergeCell ref="U271:U272"/>
    <mergeCell ref="AA271:AA272"/>
    <mergeCell ref="AB271:AK272"/>
    <mergeCell ref="AL271:AL272"/>
    <mergeCell ref="AP271:AP272"/>
    <mergeCell ref="AQ271:AZ272"/>
    <mergeCell ref="BA271:BA272"/>
    <mergeCell ref="BG271:BG272"/>
    <mergeCell ref="BH271:BW272"/>
    <mergeCell ref="BX271:BX272"/>
    <mergeCell ref="D273:D274"/>
    <mergeCell ref="E273:T274"/>
    <mergeCell ref="U273:U274"/>
    <mergeCell ref="AA273:AA274"/>
    <mergeCell ref="AB273:AK274"/>
    <mergeCell ref="AL273:AL274"/>
    <mergeCell ref="AP273:AP274"/>
    <mergeCell ref="AQ273:AZ274"/>
    <mergeCell ref="BA273:BA274"/>
    <mergeCell ref="BG273:BG274"/>
    <mergeCell ref="BH273:BW274"/>
    <mergeCell ref="BX273:BX274"/>
    <mergeCell ref="D275:D276"/>
    <mergeCell ref="E275:T276"/>
    <mergeCell ref="U275:U276"/>
    <mergeCell ref="AA275:AA276"/>
    <mergeCell ref="AB275:AK276"/>
    <mergeCell ref="AL275:AL276"/>
    <mergeCell ref="AP275:AP276"/>
    <mergeCell ref="AQ275:AZ276"/>
    <mergeCell ref="BA275:BA276"/>
    <mergeCell ref="BG275:BG276"/>
    <mergeCell ref="BH275:BW276"/>
    <mergeCell ref="BX275:BX276"/>
    <mergeCell ref="D277:D278"/>
    <mergeCell ref="E277:T278"/>
    <mergeCell ref="U277:U278"/>
    <mergeCell ref="AA277:AA278"/>
    <mergeCell ref="AB277:AK278"/>
    <mergeCell ref="AL277:AL278"/>
    <mergeCell ref="AP277:AP278"/>
    <mergeCell ref="AQ277:AZ278"/>
    <mergeCell ref="BA277:BA278"/>
    <mergeCell ref="BG277:BG278"/>
    <mergeCell ref="BH277:BW278"/>
    <mergeCell ref="BX277:BX278"/>
    <mergeCell ref="D279:D280"/>
    <mergeCell ref="E279:T280"/>
    <mergeCell ref="U279:U280"/>
    <mergeCell ref="AA279:AA280"/>
    <mergeCell ref="AB279:AK280"/>
    <mergeCell ref="AL279:AL280"/>
    <mergeCell ref="AP279:AP280"/>
    <mergeCell ref="AQ279:AZ280"/>
    <mergeCell ref="BA279:BA280"/>
    <mergeCell ref="BG279:BG280"/>
    <mergeCell ref="BH279:BW280"/>
    <mergeCell ref="BX279:BX280"/>
    <mergeCell ref="D281:D282"/>
    <mergeCell ref="E281:T282"/>
    <mergeCell ref="U281:U282"/>
    <mergeCell ref="AA281:AA282"/>
    <mergeCell ref="AB281:AK282"/>
    <mergeCell ref="AL281:AL282"/>
    <mergeCell ref="AP281:AP282"/>
    <mergeCell ref="AQ281:AZ282"/>
    <mergeCell ref="BA281:BA282"/>
    <mergeCell ref="BG281:BG282"/>
    <mergeCell ref="BH281:BW282"/>
    <mergeCell ref="BX281:BX282"/>
    <mergeCell ref="D283:D284"/>
    <mergeCell ref="E283:T284"/>
    <mergeCell ref="U283:U284"/>
    <mergeCell ref="AA283:AA284"/>
    <mergeCell ref="AB283:AK284"/>
    <mergeCell ref="AL283:AL284"/>
    <mergeCell ref="AP283:AP284"/>
    <mergeCell ref="AQ283:AZ284"/>
    <mergeCell ref="BA283:BA284"/>
    <mergeCell ref="BG283:BG284"/>
    <mergeCell ref="BH283:BW284"/>
    <mergeCell ref="BX283:BX284"/>
    <mergeCell ref="D285:D286"/>
    <mergeCell ref="E285:T286"/>
    <mergeCell ref="U285:U286"/>
    <mergeCell ref="AA285:AA286"/>
    <mergeCell ref="AB285:AK286"/>
    <mergeCell ref="AL285:AL286"/>
    <mergeCell ref="AP285:AP286"/>
    <mergeCell ref="AQ285:AZ286"/>
    <mergeCell ref="BA285:BA286"/>
    <mergeCell ref="BG285:BG286"/>
    <mergeCell ref="BH285:BW286"/>
    <mergeCell ref="BX285:BX286"/>
    <mergeCell ref="D287:D288"/>
    <mergeCell ref="E287:T288"/>
    <mergeCell ref="U287:U288"/>
    <mergeCell ref="AA287:AA288"/>
    <mergeCell ref="AB287:AK288"/>
    <mergeCell ref="AL287:AL288"/>
    <mergeCell ref="AP287:AP288"/>
    <mergeCell ref="AQ287:AZ288"/>
    <mergeCell ref="BA287:BA288"/>
    <mergeCell ref="BG287:BG288"/>
    <mergeCell ref="BH287:BW288"/>
    <mergeCell ref="BX287:BX288"/>
    <mergeCell ref="D289:D290"/>
    <mergeCell ref="E289:T290"/>
    <mergeCell ref="U289:U290"/>
    <mergeCell ref="AA289:AA290"/>
    <mergeCell ref="AB289:AK290"/>
    <mergeCell ref="AL289:AL290"/>
    <mergeCell ref="AP289:AP290"/>
    <mergeCell ref="AQ289:AZ290"/>
    <mergeCell ref="BA289:BA290"/>
    <mergeCell ref="BG289:BG290"/>
    <mergeCell ref="BH289:BW290"/>
    <mergeCell ref="BX289:BX290"/>
    <mergeCell ref="D291:D292"/>
    <mergeCell ref="E291:T292"/>
    <mergeCell ref="U291:U292"/>
    <mergeCell ref="AA291:AA292"/>
    <mergeCell ref="AB291:AK292"/>
    <mergeCell ref="AL291:AL292"/>
    <mergeCell ref="AP291:AP292"/>
    <mergeCell ref="AQ291:AZ292"/>
    <mergeCell ref="BA291:BA292"/>
    <mergeCell ref="BG291:BG292"/>
    <mergeCell ref="BH291:BW292"/>
    <mergeCell ref="BX291:BX292"/>
    <mergeCell ref="D293:D294"/>
    <mergeCell ref="E293:T294"/>
    <mergeCell ref="U293:U294"/>
    <mergeCell ref="AA293:AA294"/>
    <mergeCell ref="AB293:AK294"/>
    <mergeCell ref="AL293:AL294"/>
    <mergeCell ref="AP293:AP294"/>
    <mergeCell ref="AQ293:AZ294"/>
    <mergeCell ref="BA293:BA294"/>
    <mergeCell ref="BG293:BG294"/>
    <mergeCell ref="BH293:BW294"/>
    <mergeCell ref="BX293:BX294"/>
    <mergeCell ref="D295:D296"/>
    <mergeCell ref="E295:T296"/>
    <mergeCell ref="U295:U296"/>
    <mergeCell ref="AA295:AA296"/>
    <mergeCell ref="AB295:AK296"/>
    <mergeCell ref="AL295:AL296"/>
    <mergeCell ref="AP295:AP296"/>
    <mergeCell ref="AQ295:AZ296"/>
    <mergeCell ref="BA295:BA296"/>
    <mergeCell ref="BG295:BG296"/>
    <mergeCell ref="BH295:BW296"/>
    <mergeCell ref="BX295:BX296"/>
    <mergeCell ref="D297:D298"/>
    <mergeCell ref="E297:T298"/>
    <mergeCell ref="U297:U298"/>
    <mergeCell ref="AA297:AA298"/>
    <mergeCell ref="AB297:AK298"/>
    <mergeCell ref="AL297:AL298"/>
    <mergeCell ref="AP297:AP298"/>
    <mergeCell ref="AQ297:AZ298"/>
    <mergeCell ref="BA297:BA298"/>
    <mergeCell ref="BG297:BG298"/>
    <mergeCell ref="BH297:BW298"/>
    <mergeCell ref="BX297:BX298"/>
    <mergeCell ref="D299:D300"/>
    <mergeCell ref="E299:T300"/>
    <mergeCell ref="U299:U300"/>
    <mergeCell ref="AA299:AA300"/>
    <mergeCell ref="AB299:AK300"/>
    <mergeCell ref="AL299:AL300"/>
    <mergeCell ref="AP299:AP300"/>
    <mergeCell ref="AQ299:AZ300"/>
    <mergeCell ref="BA299:BA300"/>
    <mergeCell ref="BG299:BG300"/>
    <mergeCell ref="BH299:BW300"/>
    <mergeCell ref="BX299:BX300"/>
    <mergeCell ref="D301:D302"/>
    <mergeCell ref="E301:T302"/>
    <mergeCell ref="U301:U302"/>
    <mergeCell ref="AA301:AA302"/>
    <mergeCell ref="AB301:AK302"/>
    <mergeCell ref="AL301:AL302"/>
    <mergeCell ref="AP301:AP302"/>
    <mergeCell ref="AQ301:AZ302"/>
    <mergeCell ref="BA301:BA302"/>
    <mergeCell ref="BG301:BG302"/>
    <mergeCell ref="BH301:BW302"/>
    <mergeCell ref="BX301:BX302"/>
    <mergeCell ref="D303:D304"/>
    <mergeCell ref="E303:T304"/>
    <mergeCell ref="U303:U304"/>
    <mergeCell ref="AA303:AA304"/>
    <mergeCell ref="AB303:AK304"/>
    <mergeCell ref="AL303:AL304"/>
    <mergeCell ref="AP303:AP304"/>
    <mergeCell ref="AQ303:AZ304"/>
    <mergeCell ref="BA303:BA304"/>
    <mergeCell ref="BG303:BG304"/>
    <mergeCell ref="BH303:BW304"/>
    <mergeCell ref="BX303:BX304"/>
    <mergeCell ref="D305:D306"/>
    <mergeCell ref="E305:T306"/>
    <mergeCell ref="U305:U306"/>
    <mergeCell ref="AA305:AA306"/>
    <mergeCell ref="AB305:AK306"/>
    <mergeCell ref="AL305:AL306"/>
    <mergeCell ref="AP305:AP306"/>
    <mergeCell ref="AQ305:AZ306"/>
    <mergeCell ref="BA305:BA306"/>
    <mergeCell ref="BG305:BG306"/>
    <mergeCell ref="BH305:BW306"/>
    <mergeCell ref="BX305:BX306"/>
    <mergeCell ref="D307:D308"/>
    <mergeCell ref="E307:T308"/>
    <mergeCell ref="U307:U308"/>
    <mergeCell ref="AA307:AA308"/>
    <mergeCell ref="AB307:AK308"/>
    <mergeCell ref="AL307:AL308"/>
    <mergeCell ref="AP307:AP308"/>
    <mergeCell ref="AQ307:AZ308"/>
    <mergeCell ref="BA307:BA308"/>
    <mergeCell ref="BG307:BG308"/>
    <mergeCell ref="BH307:BW308"/>
    <mergeCell ref="BX307:BX308"/>
    <mergeCell ref="D309:D310"/>
    <mergeCell ref="E309:T310"/>
    <mergeCell ref="U309:U310"/>
    <mergeCell ref="AA309:AA310"/>
    <mergeCell ref="AB309:AK310"/>
    <mergeCell ref="AL309:AL310"/>
    <mergeCell ref="AP309:AP310"/>
    <mergeCell ref="AQ309:AZ310"/>
    <mergeCell ref="BA309:BA310"/>
    <mergeCell ref="BG309:BG310"/>
    <mergeCell ref="BH309:BW310"/>
    <mergeCell ref="BX309:BX310"/>
    <mergeCell ref="D311:D312"/>
    <mergeCell ref="E311:T312"/>
    <mergeCell ref="U311:U312"/>
    <mergeCell ref="AA311:AA312"/>
    <mergeCell ref="AB311:AK312"/>
    <mergeCell ref="AL311:AL312"/>
    <mergeCell ref="AP311:AP312"/>
    <mergeCell ref="AQ311:AZ312"/>
    <mergeCell ref="BA311:BA312"/>
    <mergeCell ref="BG311:BG312"/>
    <mergeCell ref="BH311:BW312"/>
    <mergeCell ref="BX311:BX312"/>
    <mergeCell ref="D313:D314"/>
    <mergeCell ref="E313:T314"/>
    <mergeCell ref="U313:U314"/>
    <mergeCell ref="AA313:AA314"/>
    <mergeCell ref="AB313:AK314"/>
    <mergeCell ref="AL313:AL314"/>
    <mergeCell ref="AP313:AP314"/>
    <mergeCell ref="AQ313:AZ314"/>
    <mergeCell ref="BA313:BA314"/>
    <mergeCell ref="BG313:BG314"/>
    <mergeCell ref="BH313:BW314"/>
    <mergeCell ref="BX313:BX314"/>
    <mergeCell ref="D315:D316"/>
    <mergeCell ref="E315:T316"/>
    <mergeCell ref="U315:U316"/>
    <mergeCell ref="AA315:AA316"/>
    <mergeCell ref="AB315:AK316"/>
    <mergeCell ref="AL315:AL316"/>
    <mergeCell ref="AP315:AP316"/>
    <mergeCell ref="AQ315:AZ316"/>
    <mergeCell ref="BA315:BA316"/>
    <mergeCell ref="BG315:BG316"/>
    <mergeCell ref="BH315:BW316"/>
    <mergeCell ref="BX315:BX316"/>
    <mergeCell ref="AQ317:AZ318"/>
    <mergeCell ref="BA317:BA318"/>
    <mergeCell ref="BG317:BG318"/>
    <mergeCell ref="BH317:BW318"/>
    <mergeCell ref="BX317:BX318"/>
    <mergeCell ref="D319:D320"/>
    <mergeCell ref="E319:T320"/>
    <mergeCell ref="U319:U320"/>
    <mergeCell ref="AA319:AA320"/>
    <mergeCell ref="AB319:AK320"/>
    <mergeCell ref="AL319:AL320"/>
    <mergeCell ref="AP319:AP320"/>
    <mergeCell ref="AQ319:AZ320"/>
    <mergeCell ref="BA319:BA320"/>
    <mergeCell ref="BG319:BG320"/>
    <mergeCell ref="BH319:BW320"/>
    <mergeCell ref="BX319:BX320"/>
    <mergeCell ref="D317:D318"/>
    <mergeCell ref="E317:T318"/>
    <mergeCell ref="U317:U318"/>
    <mergeCell ref="AA317:AA318"/>
    <mergeCell ref="AB317:AK318"/>
    <mergeCell ref="AL317:AL318"/>
    <mergeCell ref="AP317:AP318"/>
    <mergeCell ref="D321:D322"/>
    <mergeCell ref="E321:T322"/>
    <mergeCell ref="U321:U322"/>
    <mergeCell ref="AA321:AA322"/>
    <mergeCell ref="AB321:AK322"/>
    <mergeCell ref="AL321:AL322"/>
    <mergeCell ref="AP321:AP322"/>
    <mergeCell ref="AQ321:AZ322"/>
    <mergeCell ref="BA321:BA322"/>
    <mergeCell ref="BG321:BG322"/>
    <mergeCell ref="BH321:BW322"/>
    <mergeCell ref="BX321:BX322"/>
    <mergeCell ref="D323:D324"/>
    <mergeCell ref="E323:T324"/>
    <mergeCell ref="U323:U324"/>
    <mergeCell ref="AA323:AA324"/>
    <mergeCell ref="AB323:AK324"/>
    <mergeCell ref="AL323:AL324"/>
    <mergeCell ref="AP323:AP324"/>
    <mergeCell ref="AQ323:AZ324"/>
    <mergeCell ref="BA323:BA324"/>
    <mergeCell ref="BG323:BG324"/>
    <mergeCell ref="BH323:BW324"/>
    <mergeCell ref="BX323:BX324"/>
  </mergeCells>
  <phoneticPr fontId="39" type="noConversion"/>
  <conditionalFormatting sqref="D4">
    <cfRule type="expression" dxfId="4652" priority="2206">
      <formula>OR(E4="",$A$3=$N$43,$A$3=$O$43,$A$3=$P$43,$A$3=$Q$43,$A$3=$R$43,$A$3=$S$43,$A$3=$T$43)</formula>
    </cfRule>
  </conditionalFormatting>
  <conditionalFormatting sqref="D4:D37">
    <cfRule type="expression" dxfId="4651" priority="53178">
      <formula>OR(V4&lt;&gt;"",U5="")</formula>
    </cfRule>
  </conditionalFormatting>
  <conditionalFormatting sqref="D14:D25">
    <cfRule type="expression" dxfId="4650" priority="33">
      <formula>CU14=1</formula>
    </cfRule>
    <cfRule type="expression" dxfId="4649" priority="1791">
      <formula>E14=""</formula>
    </cfRule>
  </conditionalFormatting>
  <conditionalFormatting sqref="E125 E127">
    <cfRule type="expression" dxfId="4648" priority="2181">
      <formula>U125="JUN"</formula>
    </cfRule>
    <cfRule type="expression" dxfId="4647" priority="2182">
      <formula>U125="MAY"</formula>
    </cfRule>
    <cfRule type="expression" dxfId="4646" priority="2183">
      <formula>U125="APR"</formula>
    </cfRule>
    <cfRule type="expression" dxfId="4645" priority="2184">
      <formula>U125="MAR"</formula>
    </cfRule>
    <cfRule type="expression" dxfId="4644" priority="2185">
      <formula>U125="FEB"</formula>
    </cfRule>
    <cfRule type="expression" dxfId="4643" priority="2186">
      <formula>U125="JAN"</formula>
    </cfRule>
    <cfRule type="expression" dxfId="4642" priority="2187">
      <formula>U125="DEC"</formula>
    </cfRule>
    <cfRule type="expression" dxfId="4641" priority="2188">
      <formula>U125="NOV"</formula>
    </cfRule>
    <cfRule type="expression" dxfId="4640" priority="2189">
      <formula>U125="OCT"</formula>
    </cfRule>
    <cfRule type="expression" dxfId="4639" priority="2190">
      <formula>U125="SEP"</formula>
    </cfRule>
    <cfRule type="expression" dxfId="4638" priority="2191">
      <formula>U125="AUG"</formula>
    </cfRule>
    <cfRule type="expression" dxfId="4637" priority="2192">
      <formula>U125="JUL"</formula>
    </cfRule>
  </conditionalFormatting>
  <conditionalFormatting sqref="E129">
    <cfRule type="expression" dxfId="4636" priority="2193">
      <formula>U129="JUN"</formula>
    </cfRule>
    <cfRule type="expression" dxfId="4635" priority="2194">
      <formula>U129="MAY"</formula>
    </cfRule>
    <cfRule type="expression" dxfId="4634" priority="2195">
      <formula>U129="APR"</formula>
    </cfRule>
    <cfRule type="expression" dxfId="4633" priority="2196">
      <formula>U129="MAR"</formula>
    </cfRule>
    <cfRule type="expression" dxfId="4632" priority="2197">
      <formula>U129="FEB"</formula>
    </cfRule>
    <cfRule type="expression" dxfId="4631" priority="2198">
      <formula>U129="JAN"</formula>
    </cfRule>
    <cfRule type="expression" dxfId="4630" priority="2199">
      <formula>U129="DEC"</formula>
    </cfRule>
    <cfRule type="expression" dxfId="4629" priority="2200">
      <formula>U129="NOV"</formula>
    </cfRule>
    <cfRule type="expression" dxfId="4628" priority="2201">
      <formula>U129="OCT"</formula>
    </cfRule>
    <cfRule type="expression" dxfId="4627" priority="2202">
      <formula>U129="SEP"</formula>
    </cfRule>
    <cfRule type="expression" dxfId="4626" priority="2203">
      <formula>U129="AUG"</formula>
    </cfRule>
    <cfRule type="expression" dxfId="4625" priority="2204">
      <formula>U129="JUL"</formula>
    </cfRule>
  </conditionalFormatting>
  <conditionalFormatting sqref="E131 E133 E135 E137 E139 E141 E143 E145 E147 E149 E183 E185 E187 E189 E191 E193 E195 E197 E199 E201 E203 E205 E207 E209 E211 E213 E215 E217 E219">
    <cfRule type="expression" dxfId="4624" priority="2169">
      <formula>U131="JUN"</formula>
    </cfRule>
    <cfRule type="expression" dxfId="4623" priority="2170">
      <formula>U131="MAY"</formula>
    </cfRule>
    <cfRule type="expression" dxfId="4622" priority="2171">
      <formula>U131="APR"</formula>
    </cfRule>
    <cfRule type="expression" dxfId="4621" priority="2172">
      <formula>U131="MAR"</formula>
    </cfRule>
    <cfRule type="expression" dxfId="4620" priority="2173">
      <formula>U131="FEB"</formula>
    </cfRule>
    <cfRule type="expression" dxfId="4619" priority="2174">
      <formula>U131="JAN"</formula>
    </cfRule>
    <cfRule type="expression" dxfId="4618" priority="2175">
      <formula>U131="DEC"</formula>
    </cfRule>
    <cfRule type="expression" dxfId="4617" priority="2176">
      <formula>U131="NOV"</formula>
    </cfRule>
    <cfRule type="expression" dxfId="4616" priority="2177">
      <formula>U131="OCT"</formula>
    </cfRule>
    <cfRule type="expression" dxfId="4615" priority="2178">
      <formula>U131="SEP"</formula>
    </cfRule>
    <cfRule type="expression" dxfId="4614" priority="2179">
      <formula>U131="AUG"</formula>
    </cfRule>
    <cfRule type="expression" dxfId="4613" priority="2180">
      <formula>U131="JUL"</formula>
    </cfRule>
  </conditionalFormatting>
  <conditionalFormatting sqref="E151 E153 E155 E157 E159 E161 E163 E165 E167 E169 E171 E173 E175">
    <cfRule type="expression" dxfId="4612" priority="2049">
      <formula>U151="JUN"</formula>
    </cfRule>
    <cfRule type="expression" dxfId="4611" priority="2050">
      <formula>U151="MAY"</formula>
    </cfRule>
    <cfRule type="expression" dxfId="4610" priority="2051">
      <formula>U151="APR"</formula>
    </cfRule>
    <cfRule type="expression" dxfId="4609" priority="2052">
      <formula>U151="MAR"</formula>
    </cfRule>
    <cfRule type="expression" dxfId="4608" priority="2053">
      <formula>U151="FEB"</formula>
    </cfRule>
    <cfRule type="expression" dxfId="4607" priority="2054">
      <formula>U151="JAN"</formula>
    </cfRule>
    <cfRule type="expression" dxfId="4606" priority="2055">
      <formula>U151="DEC"</formula>
    </cfRule>
    <cfRule type="expression" dxfId="4605" priority="2056">
      <formula>U151="NOV"</formula>
    </cfRule>
    <cfRule type="expression" dxfId="4604" priority="2057">
      <formula>U151="OCT"</formula>
    </cfRule>
    <cfRule type="expression" dxfId="4603" priority="2058">
      <formula>U151="SEP"</formula>
    </cfRule>
    <cfRule type="expression" dxfId="4602" priority="2059">
      <formula>U151="AUG"</formula>
    </cfRule>
    <cfRule type="expression" dxfId="4601" priority="2060">
      <formula>U151="JUL"</formula>
    </cfRule>
  </conditionalFormatting>
  <conditionalFormatting sqref="E177 E179 E181">
    <cfRule type="expression" dxfId="4600" priority="2001">
      <formula>U177="JUN"</formula>
    </cfRule>
    <cfRule type="expression" dxfId="4599" priority="2002">
      <formula>U177="MAY"</formula>
    </cfRule>
    <cfRule type="expression" dxfId="4598" priority="2003">
      <formula>U177="APR"</formula>
    </cfRule>
    <cfRule type="expression" dxfId="4597" priority="2004">
      <formula>U177="MAR"</formula>
    </cfRule>
    <cfRule type="expression" dxfId="4596" priority="2005">
      <formula>U177="FEB"</formula>
    </cfRule>
    <cfRule type="expression" dxfId="4595" priority="2006">
      <formula>U177="JAN"</formula>
    </cfRule>
    <cfRule type="expression" dxfId="4594" priority="2007">
      <formula>U177="DEC"</formula>
    </cfRule>
    <cfRule type="expression" dxfId="4593" priority="2008">
      <formula>U177="NOV"</formula>
    </cfRule>
    <cfRule type="expression" dxfId="4592" priority="2009">
      <formula>U177="OCT"</formula>
    </cfRule>
    <cfRule type="expression" dxfId="4591" priority="2010">
      <formula>U177="SEP"</formula>
    </cfRule>
    <cfRule type="expression" dxfId="4590" priority="2011">
      <formula>U177="AUG"</formula>
    </cfRule>
    <cfRule type="expression" dxfId="4589" priority="2012">
      <formula>U177="JUL"</formula>
    </cfRule>
  </conditionalFormatting>
  <conditionalFormatting sqref="E26:L37">
    <cfRule type="expression" dxfId="4588" priority="32299">
      <formula>AND($AL$9=$AM$2,$AL$6=D26)</formula>
    </cfRule>
  </conditionalFormatting>
  <conditionalFormatting sqref="E4 U4 U5">
    <cfRule type="expression" dxfId="4587" priority="959">
      <formula>OR($A$3=$N$43,$A$3=$O$43,$A$3=$P$43,$A$3=$Q$43,$A$3=$R$43,$A$3=$S$43,$A$3=$T$43)</formula>
    </cfRule>
  </conditionalFormatting>
  <conditionalFormatting sqref="E4:J13 T4:T13 K13:S13 K4:S10">
    <cfRule type="expression" dxfId="4586" priority="36439">
      <formula>AND(U4&gt;0%,U5=$AM$2)</formula>
    </cfRule>
  </conditionalFormatting>
  <conditionalFormatting sqref="E14:T25">
    <cfRule type="expression" dxfId="4585" priority="36440">
      <formula>AND(U14&gt;0%,U15=$AP$2)</formula>
    </cfRule>
  </conditionalFormatting>
  <conditionalFormatting sqref="E26:T37">
    <cfRule type="expression" dxfId="4584" priority="32302">
      <formula>AND(U26&gt;0%,U27=$AK$2)</formula>
    </cfRule>
  </conditionalFormatting>
  <conditionalFormatting sqref="U4 U6 U8 U10 U12">
    <cfRule type="expression" dxfId="4583" priority="961">
      <formula>AND(E4="",U4=0%)</formula>
    </cfRule>
  </conditionalFormatting>
  <conditionalFormatting sqref="U14 U16 U18 U20 U22 U24 U26 U28 U30 U32 U34 U36">
    <cfRule type="expression" dxfId="4582" priority="32291">
      <formula>AND(E14="",U14=0%)</formula>
    </cfRule>
  </conditionalFormatting>
  <conditionalFormatting sqref="V4 V10 V8 V6 V16 V20 V22 V24 V12 V14 V18">
    <cfRule type="expression" dxfId="4581" priority="775">
      <formula>CI4=1</formula>
    </cfRule>
    <cfRule type="expression" dxfId="4580" priority="901">
      <formula>E4=""</formula>
    </cfRule>
    <cfRule type="expression" dxfId="4579" priority="902">
      <formula>V4=0</formula>
    </cfRule>
  </conditionalFormatting>
  <conditionalFormatting sqref="AA6:AD6 AA8:AD10">
    <cfRule type="expression" dxfId="4578" priority="774">
      <formula>AE6=0</formula>
    </cfRule>
  </conditionalFormatting>
  <conditionalFormatting sqref="AB125">
    <cfRule type="expression" dxfId="4577" priority="2133">
      <formula>AL125="JUN"</formula>
    </cfRule>
    <cfRule type="expression" dxfId="4576" priority="2134">
      <formula>AL125="MAY"</formula>
    </cfRule>
    <cfRule type="expression" dxfId="4575" priority="2135">
      <formula>AL125="APR"</formula>
    </cfRule>
    <cfRule type="expression" dxfId="4574" priority="2136">
      <formula>AL125="MAR"</formula>
    </cfRule>
    <cfRule type="expression" dxfId="4573" priority="2137">
      <formula>AL125="FEB"</formula>
    </cfRule>
    <cfRule type="expression" dxfId="4572" priority="2138">
      <formula>AL125="JAN"</formula>
    </cfRule>
    <cfRule type="expression" dxfId="4571" priority="2139">
      <formula>AL125="DEC"</formula>
    </cfRule>
    <cfRule type="expression" dxfId="4570" priority="2140">
      <formula>AL125="NOV"</formula>
    </cfRule>
    <cfRule type="expression" dxfId="4569" priority="2141">
      <formula>AL125="OCT"</formula>
    </cfRule>
    <cfRule type="expression" dxfId="4568" priority="2142">
      <formula>AL125="SEP"</formula>
    </cfRule>
    <cfRule type="expression" dxfId="4567" priority="2143">
      <formula>AL125="AUG"</formula>
    </cfRule>
    <cfRule type="expression" dxfId="4566" priority="2144">
      <formula>AL125="JUL"</formula>
    </cfRule>
  </conditionalFormatting>
  <conditionalFormatting sqref="AB127 AB129 AB131 AB133 AB135 AB137 AB139 AB141 AB143 AB145 AB147 AB149 AB183 AB185 AB187 AB189 AB191 AB193 AB195 AB197 AB199 AB201 AB203 AB205 AB207 AB209 AB211 AB213 AB215 AB217 AB219">
    <cfRule type="expression" dxfId="4565" priority="2121">
      <formula>AL127="JUN"</formula>
    </cfRule>
    <cfRule type="expression" dxfId="4564" priority="2122">
      <formula>AL127="MAY"</formula>
    </cfRule>
    <cfRule type="expression" dxfId="4563" priority="2123">
      <formula>AL127="APR"</formula>
    </cfRule>
    <cfRule type="expression" dxfId="4562" priority="2124">
      <formula>AL127="MAR"</formula>
    </cfRule>
    <cfRule type="expression" dxfId="4561" priority="2125">
      <formula>AL127="FEB"</formula>
    </cfRule>
    <cfRule type="expression" dxfId="4560" priority="2126">
      <formula>AL127="JAN"</formula>
    </cfRule>
    <cfRule type="expression" dxfId="4559" priority="2127">
      <formula>AL127="DEC"</formula>
    </cfRule>
    <cfRule type="expression" dxfId="4558" priority="2128">
      <formula>AL127="NOV"</formula>
    </cfRule>
    <cfRule type="expression" dxfId="4557" priority="2129">
      <formula>AL127="OCT"</formula>
    </cfRule>
    <cfRule type="expression" dxfId="4556" priority="2130">
      <formula>AL127="SEP"</formula>
    </cfRule>
    <cfRule type="expression" dxfId="4555" priority="2131">
      <formula>AL127="AUG"</formula>
    </cfRule>
    <cfRule type="expression" dxfId="4554" priority="2132">
      <formula>AL127="JUL"</formula>
    </cfRule>
  </conditionalFormatting>
  <conditionalFormatting sqref="AB151 AB153 AB155 AB157 AB159 AB161 AB163 AB165 AB167 AB169 AB171 AB173 AB175">
    <cfRule type="expression" dxfId="4553" priority="2037">
      <formula>AL151="JUN"</formula>
    </cfRule>
    <cfRule type="expression" dxfId="4552" priority="2038">
      <formula>AL151="MAY"</formula>
    </cfRule>
    <cfRule type="expression" dxfId="4551" priority="2039">
      <formula>AL151="APR"</formula>
    </cfRule>
    <cfRule type="expression" dxfId="4550" priority="2040">
      <formula>AL151="MAR"</formula>
    </cfRule>
    <cfRule type="expression" dxfId="4549" priority="2041">
      <formula>AL151="FEB"</formula>
    </cfRule>
    <cfRule type="expression" dxfId="4548" priority="2042">
      <formula>AL151="JAN"</formula>
    </cfRule>
    <cfRule type="expression" dxfId="4547" priority="2043">
      <formula>AL151="DEC"</formula>
    </cfRule>
    <cfRule type="expression" dxfId="4546" priority="2044">
      <formula>AL151="NOV"</formula>
    </cfRule>
    <cfRule type="expression" dxfId="4545" priority="2045">
      <formula>AL151="OCT"</formula>
    </cfRule>
    <cfRule type="expression" dxfId="4544" priority="2046">
      <formula>AL151="SEP"</formula>
    </cfRule>
    <cfRule type="expression" dxfId="4543" priority="2047">
      <formula>AL151="AUG"</formula>
    </cfRule>
    <cfRule type="expression" dxfId="4542" priority="2048">
      <formula>AL151="JUL"</formula>
    </cfRule>
  </conditionalFormatting>
  <conditionalFormatting sqref="AB177 AB179 AB181">
    <cfRule type="expression" dxfId="4541" priority="1989">
      <formula>AL177="JUN"</formula>
    </cfRule>
    <cfRule type="expression" dxfId="4540" priority="1990">
      <formula>AL177="MAY"</formula>
    </cfRule>
    <cfRule type="expression" dxfId="4539" priority="1991">
      <formula>AL177="APR"</formula>
    </cfRule>
    <cfRule type="expression" dxfId="4538" priority="1992">
      <formula>AL177="MAR"</formula>
    </cfRule>
    <cfRule type="expression" dxfId="4537" priority="1993">
      <formula>AL177="FEB"</formula>
    </cfRule>
    <cfRule type="expression" dxfId="4536" priority="1994">
      <formula>AL177="JAN"</formula>
    </cfRule>
    <cfRule type="expression" dxfId="4535" priority="1995">
      <formula>AL177="DEC"</formula>
    </cfRule>
    <cfRule type="expression" dxfId="4534" priority="1996">
      <formula>AL177="NOV"</formula>
    </cfRule>
    <cfRule type="expression" dxfId="4533" priority="1997">
      <formula>AL177="OCT"</formula>
    </cfRule>
    <cfRule type="expression" dxfId="4532" priority="1998">
      <formula>AL177="SEP"</formula>
    </cfRule>
    <cfRule type="expression" dxfId="4531" priority="1999">
      <formula>AL177="AUG"</formula>
    </cfRule>
    <cfRule type="expression" dxfId="4530" priority="2000">
      <formula>AL177="JUL"</formula>
    </cfRule>
  </conditionalFormatting>
  <conditionalFormatting sqref="AB14:AC37 AD21:AD37 AE14:AK37 AD15:AD17 AD19">
    <cfRule type="expression" dxfId="4529" priority="32336">
      <formula>AND($AL$9=$AM$2,$AL$6=AA14)</formula>
    </cfRule>
    <cfRule type="expression" dxfId="4528" priority="32337">
      <formula>AL14&gt;0%</formula>
    </cfRule>
  </conditionalFormatting>
  <conditionalFormatting sqref="AE6:AF6">
    <cfRule type="expression" dxfId="4527" priority="773">
      <formula>AE6=0</formula>
    </cfRule>
  </conditionalFormatting>
  <conditionalFormatting sqref="AE8:AF10">
    <cfRule type="expression" dxfId="4526" priority="771">
      <formula>AE8=0</formula>
    </cfRule>
  </conditionalFormatting>
  <conditionalFormatting sqref="AL14 AL16 AL18 AL20 AL22 AL24 AL26 AL28 AL30 AL32 AL34 AL36">
    <cfRule type="expression" dxfId="4525" priority="57">
      <formula>AM14&lt;&gt;""</formula>
    </cfRule>
    <cfRule type="expression" dxfId="4524" priority="5705">
      <formula>AND(AB14="",AL14=0%)</formula>
    </cfRule>
  </conditionalFormatting>
  <conditionalFormatting sqref="AL15 AL17 AL19 AL21 AL23 AL25 AL27 AL29 AL31 AL33 AL35 AL37">
    <cfRule type="expression" dxfId="4523" priority="791">
      <formula>AM14&lt;&gt;""</formula>
    </cfRule>
  </conditionalFormatting>
  <conditionalFormatting sqref="AL4:AP4 AL10:AP10">
    <cfRule type="expression" dxfId="4522" priority="1004">
      <formula>AND($AL$6&lt;&gt;"",$AL$9=$AM$2)</formula>
    </cfRule>
  </conditionalFormatting>
  <conditionalFormatting sqref="AL6:AP8">
    <cfRule type="expression" dxfId="4521" priority="29092">
      <formula>AND($AL$9=$AM$2,$AL$6&lt;&gt;"")</formula>
    </cfRule>
  </conditionalFormatting>
  <conditionalFormatting sqref="AP14 AP16 AP18 AP20 AP22 AP24 AP26 AP28 AP30 AP32 AP34 AP36 BG4 BG6 BG8 BG10 BG12 BG14 BG16 BG18 BG20 BG22 BG24 BG26 BG28 BG30 BG32 BG34 BG36">
    <cfRule type="expression" dxfId="4520" priority="58">
      <formula>AO4&lt;&gt;""</formula>
    </cfRule>
    <cfRule type="expression" dxfId="4519" priority="4954">
      <formula>AND(AQ4="",AP4=0%)</formula>
    </cfRule>
  </conditionalFormatting>
  <conditionalFormatting sqref="AP15 AP17 AP19 AP21 AP23 AP25 AP27 AP29 AP31 AP33 AP35 AP37 BG5 BG7 BG9 BG11 BG13 BG15 BG17 BG19 BG21 BG23 BG25 BG27 BG29 BG31 BG33 BG35 BG37">
    <cfRule type="expression" dxfId="4518" priority="803">
      <formula>AO4&lt;&gt;""</formula>
    </cfRule>
  </conditionalFormatting>
  <conditionalFormatting sqref="AQ125">
    <cfRule type="expression" dxfId="4517" priority="2085">
      <formula>AP125="JUN"</formula>
    </cfRule>
    <cfRule type="expression" dxfId="4516" priority="2086">
      <formula>AP125="MAY"</formula>
    </cfRule>
    <cfRule type="expression" dxfId="4515" priority="2087">
      <formula>AP125="APR"</formula>
    </cfRule>
    <cfRule type="expression" dxfId="4514" priority="2088">
      <formula>AP125="MAR"</formula>
    </cfRule>
    <cfRule type="expression" dxfId="4513" priority="2089">
      <formula>AP125="FEB"</formula>
    </cfRule>
    <cfRule type="expression" dxfId="4512" priority="2090">
      <formula>AP125="JAN"</formula>
    </cfRule>
    <cfRule type="expression" dxfId="4511" priority="2091">
      <formula>AP125="DEC"</formula>
    </cfRule>
    <cfRule type="expression" dxfId="4510" priority="2092">
      <formula>AP125="NOV"</formula>
    </cfRule>
    <cfRule type="expression" dxfId="4509" priority="2093">
      <formula>AP125="OCT"</formula>
    </cfRule>
    <cfRule type="expression" dxfId="4508" priority="2094">
      <formula>AP125="SEP"</formula>
    </cfRule>
    <cfRule type="expression" dxfId="4507" priority="2095">
      <formula>AP125="AUG"</formula>
    </cfRule>
    <cfRule type="expression" dxfId="4506" priority="2096">
      <formula>AP125="JUL"</formula>
    </cfRule>
  </conditionalFormatting>
  <conditionalFormatting sqref="AQ127 AQ129 AQ131 AQ133 AQ135 AQ137 AQ139 AQ141 AQ143 AQ145 AQ147 AQ149 AQ183 AQ185 AQ187 AQ189 AQ191 AQ193 AQ195 AQ197 AQ199 AQ201 AQ203 AQ205 AQ207 AQ209 AQ211 AQ213 AQ215 AQ217 AQ219">
    <cfRule type="expression" dxfId="4505" priority="2073">
      <formula>AP127="JUN"</formula>
    </cfRule>
    <cfRule type="expression" dxfId="4504" priority="2074">
      <formula>AP127="MAY"</formula>
    </cfRule>
    <cfRule type="expression" dxfId="4503" priority="2075">
      <formula>AP127="APR"</formula>
    </cfRule>
    <cfRule type="expression" dxfId="4502" priority="2076">
      <formula>AP127="MAR"</formula>
    </cfRule>
    <cfRule type="expression" dxfId="4501" priority="2077">
      <formula>AP127="FEB"</formula>
    </cfRule>
    <cfRule type="expression" dxfId="4500" priority="2078">
      <formula>AP127="JAN"</formula>
    </cfRule>
    <cfRule type="expression" dxfId="4499" priority="2079">
      <formula>AP127="DEC"</formula>
    </cfRule>
    <cfRule type="expression" dxfId="4498" priority="2080">
      <formula>AP127="NOV"</formula>
    </cfRule>
    <cfRule type="expression" dxfId="4497" priority="2081">
      <formula>AP127="OCT"</formula>
    </cfRule>
    <cfRule type="expression" dxfId="4496" priority="2082">
      <formula>AP127="SEP"</formula>
    </cfRule>
    <cfRule type="expression" dxfId="4495" priority="2083">
      <formula>AP127="AUG"</formula>
    </cfRule>
    <cfRule type="expression" dxfId="4494" priority="2084">
      <formula>AP127="JUL"</formula>
    </cfRule>
  </conditionalFormatting>
  <conditionalFormatting sqref="AQ151 AQ153 AQ155 AQ157 AQ159 AQ161 AQ163 AQ165 AQ167 AQ169 AQ171 AQ173 AQ175">
    <cfRule type="expression" dxfId="4493" priority="2025">
      <formula>AP151="JUN"</formula>
    </cfRule>
    <cfRule type="expression" dxfId="4492" priority="2026">
      <formula>AP151="MAY"</formula>
    </cfRule>
    <cfRule type="expression" dxfId="4491" priority="2027">
      <formula>AP151="APR"</formula>
    </cfRule>
    <cfRule type="expression" dxfId="4490" priority="2028">
      <formula>AP151="MAR"</formula>
    </cfRule>
    <cfRule type="expression" dxfId="4489" priority="2029">
      <formula>AP151="FEB"</formula>
    </cfRule>
    <cfRule type="expression" dxfId="4488" priority="2030">
      <formula>AP151="JAN"</formula>
    </cfRule>
    <cfRule type="expression" dxfId="4487" priority="2031">
      <formula>AP151="DEC"</formula>
    </cfRule>
    <cfRule type="expression" dxfId="4486" priority="2032">
      <formula>AP151="NOV"</formula>
    </cfRule>
    <cfRule type="expression" dxfId="4485" priority="2033">
      <formula>AP151="OCT"</formula>
    </cfRule>
    <cfRule type="expression" dxfId="4484" priority="2034">
      <formula>AP151="SEP"</formula>
    </cfRule>
    <cfRule type="expression" dxfId="4483" priority="2035">
      <formula>AP151="AUG"</formula>
    </cfRule>
    <cfRule type="expression" dxfId="4482" priority="2036">
      <formula>AP151="JUL"</formula>
    </cfRule>
  </conditionalFormatting>
  <conditionalFormatting sqref="AQ177 AQ179 AQ181">
    <cfRule type="expression" dxfId="4481" priority="1977">
      <formula>AP177="JUN"</formula>
    </cfRule>
    <cfRule type="expression" dxfId="4480" priority="1978">
      <formula>AP177="MAY"</formula>
    </cfRule>
    <cfRule type="expression" dxfId="4479" priority="1979">
      <formula>AP177="APR"</formula>
    </cfRule>
    <cfRule type="expression" dxfId="4478" priority="1980">
      <formula>AP177="MAR"</formula>
    </cfRule>
    <cfRule type="expression" dxfId="4477" priority="1981">
      <formula>AP177="FEB"</formula>
    </cfRule>
    <cfRule type="expression" dxfId="4476" priority="1982">
      <formula>AP177="JAN"</formula>
    </cfRule>
    <cfRule type="expression" dxfId="4475" priority="1983">
      <formula>AP177="DEC"</formula>
    </cfRule>
    <cfRule type="expression" dxfId="4474" priority="1984">
      <formula>AP177="NOV"</formula>
    </cfRule>
    <cfRule type="expression" dxfId="4473" priority="1985">
      <formula>AP177="OCT"</formula>
    </cfRule>
    <cfRule type="expression" dxfId="4472" priority="1986">
      <formula>AP177="SEP"</formula>
    </cfRule>
    <cfRule type="expression" dxfId="4471" priority="1987">
      <formula>AP177="AUG"</formula>
    </cfRule>
    <cfRule type="expression" dxfId="4470" priority="1988">
      <formula>AP177="JUL"</formula>
    </cfRule>
  </conditionalFormatting>
  <conditionalFormatting sqref="AQ14:AZ37">
    <cfRule type="expression" dxfId="4469" priority="32335">
      <formula>AND($AL$9=$AM$2,$AL$6=BA14)</formula>
    </cfRule>
    <cfRule type="expression" dxfId="4468" priority="32338">
      <formula>AP14&gt;0%</formula>
    </cfRule>
  </conditionalFormatting>
  <conditionalFormatting sqref="AV6:AW6">
    <cfRule type="expression" dxfId="4467" priority="917">
      <formula>AV6=0</formula>
    </cfRule>
  </conditionalFormatting>
  <conditionalFormatting sqref="AV8:AW10">
    <cfRule type="expression" dxfId="4466" priority="1912">
      <formula>AV8=0</formula>
    </cfRule>
  </conditionalFormatting>
  <conditionalFormatting sqref="AX6:BA6 AX8:BA10">
    <cfRule type="expression" dxfId="4465" priority="916">
      <formula>AV6=0</formula>
    </cfRule>
  </conditionalFormatting>
  <conditionalFormatting sqref="BH125 BH127 BH129 BH131 BH133 BH135 BH137 BH139 BH141 BH143 BH145 BH147 BH149 BH183 BH185 BH187 BH189 BH191 BH193 BH195 BH197 BH199 BH201 BH203 BH205 BH207 BH209 BH211 BH213 BH215 BH217 BH219">
    <cfRule type="expression" dxfId="4464" priority="2061">
      <formula>BG125="JUN"</formula>
    </cfRule>
    <cfRule type="expression" dxfId="4463" priority="2062">
      <formula>BG125="MAY"</formula>
    </cfRule>
    <cfRule type="expression" dxfId="4462" priority="2063">
      <formula>BG125="APR"</formula>
    </cfRule>
    <cfRule type="expression" dxfId="4461" priority="2064">
      <formula>BG125="MAR"</formula>
    </cfRule>
    <cfRule type="expression" dxfId="4460" priority="2065">
      <formula>BG125="FEB"</formula>
    </cfRule>
    <cfRule type="expression" dxfId="4459" priority="2066">
      <formula>BG125="JAN"</formula>
    </cfRule>
    <cfRule type="expression" dxfId="4458" priority="2067">
      <formula>BG125="DEC"</formula>
    </cfRule>
    <cfRule type="expression" dxfId="4457" priority="2068">
      <formula>BG125="NOV"</formula>
    </cfRule>
    <cfRule type="expression" dxfId="4456" priority="2069">
      <formula>BG125="OCT"</formula>
    </cfRule>
    <cfRule type="expression" dxfId="4455" priority="2070">
      <formula>BG125="SEP"</formula>
    </cfRule>
    <cfRule type="expression" dxfId="4454" priority="2071">
      <formula>BG125="AUG"</formula>
    </cfRule>
    <cfRule type="expression" dxfId="4453" priority="2072">
      <formula>BG125="JUL"</formula>
    </cfRule>
  </conditionalFormatting>
  <conditionalFormatting sqref="BH151 BH153 BH155 BH157 BH159 BH161 BH163 BH165 BH167 BH169 BH171 BH173 BH175">
    <cfRule type="expression" dxfId="4452" priority="2013">
      <formula>BG151="JUN"</formula>
    </cfRule>
    <cfRule type="expression" dxfId="4451" priority="2014">
      <formula>BG151="MAY"</formula>
    </cfRule>
    <cfRule type="expression" dxfId="4450" priority="2015">
      <formula>BG151="APR"</formula>
    </cfRule>
    <cfRule type="expression" dxfId="4449" priority="2016">
      <formula>BG151="MAR"</formula>
    </cfRule>
    <cfRule type="expression" dxfId="4448" priority="2017">
      <formula>BG151="FEB"</formula>
    </cfRule>
    <cfRule type="expression" dxfId="4447" priority="2018">
      <formula>BG151="JAN"</formula>
    </cfRule>
    <cfRule type="expression" dxfId="4446" priority="2019">
      <formula>BG151="DEC"</formula>
    </cfRule>
    <cfRule type="expression" dxfId="4445" priority="2020">
      <formula>BG151="NOV"</formula>
    </cfRule>
    <cfRule type="expression" dxfId="4444" priority="2021">
      <formula>BG151="OCT"</formula>
    </cfRule>
    <cfRule type="expression" dxfId="4443" priority="2022">
      <formula>BG151="SEP"</formula>
    </cfRule>
    <cfRule type="expression" dxfId="4442" priority="2023">
      <formula>BG151="AUG"</formula>
    </cfRule>
    <cfRule type="expression" dxfId="4441" priority="2024">
      <formula>BG151="JUL"</formula>
    </cfRule>
  </conditionalFormatting>
  <conditionalFormatting sqref="BH177 BH179 BH181">
    <cfRule type="expression" dxfId="4440" priority="1965">
      <formula>BG177="JUN"</formula>
    </cfRule>
    <cfRule type="expression" dxfId="4439" priority="1966">
      <formula>BG177="MAY"</formula>
    </cfRule>
    <cfRule type="expression" dxfId="4438" priority="1967">
      <formula>BG177="APR"</formula>
    </cfRule>
    <cfRule type="expression" dxfId="4437" priority="1968">
      <formula>BG177="MAR"</formula>
    </cfRule>
    <cfRule type="expression" dxfId="4436" priority="1969">
      <formula>BG177="FEB"</formula>
    </cfRule>
    <cfRule type="expression" dxfId="4435" priority="1970">
      <formula>BG177="JAN"</formula>
    </cfRule>
    <cfRule type="expression" dxfId="4434" priority="1971">
      <formula>BG177="DEC"</formula>
    </cfRule>
    <cfRule type="expression" dxfId="4433" priority="1972">
      <formula>BG177="NOV"</formula>
    </cfRule>
    <cfRule type="expression" dxfId="4432" priority="1973">
      <formula>BG177="OCT"</formula>
    </cfRule>
    <cfRule type="expression" dxfId="4431" priority="1974">
      <formula>BG177="SEP"</formula>
    </cfRule>
    <cfRule type="expression" dxfId="4430" priority="1975">
      <formula>BG177="AUG"</formula>
    </cfRule>
    <cfRule type="expression" dxfId="4429" priority="1976">
      <formula>BG177="JUL"</formula>
    </cfRule>
  </conditionalFormatting>
  <conditionalFormatting sqref="BH4:BN37">
    <cfRule type="expression" dxfId="4428" priority="32312">
      <formula>AND($AL$9=$AM$2,$AL$6=BX4)</formula>
    </cfRule>
  </conditionalFormatting>
  <conditionalFormatting sqref="BH4:BW37">
    <cfRule type="expression" dxfId="4427" priority="32314">
      <formula>BG4&gt;0%</formula>
    </cfRule>
  </conditionalFormatting>
  <conditionalFormatting sqref="BO4:BW37">
    <cfRule type="expression" dxfId="4426" priority="32313">
      <formula>AND($AL$9=$AM$2,$AL$6=BY4)</formula>
    </cfRule>
  </conditionalFormatting>
  <conditionalFormatting sqref="E221 E223">
    <cfRule type="expression" dxfId="4425" priority="590">
      <formula>U221="JUN"</formula>
    </cfRule>
    <cfRule type="expression" dxfId="4424" priority="591">
      <formula>U221="MAY"</formula>
    </cfRule>
    <cfRule type="expression" dxfId="4423" priority="592">
      <formula>U221="APR"</formula>
    </cfRule>
    <cfRule type="expression" dxfId="4422" priority="593">
      <formula>U221="MAR"</formula>
    </cfRule>
    <cfRule type="expression" dxfId="4421" priority="594">
      <formula>U221="FEB"</formula>
    </cfRule>
    <cfRule type="expression" dxfId="4420" priority="595">
      <formula>U221="JAN"</formula>
    </cfRule>
    <cfRule type="expression" dxfId="4419" priority="596">
      <formula>U221="DEC"</formula>
    </cfRule>
    <cfRule type="expression" dxfId="4418" priority="597">
      <formula>U221="NOV"</formula>
    </cfRule>
    <cfRule type="expression" dxfId="4417" priority="598">
      <formula>U221="OCT"</formula>
    </cfRule>
    <cfRule type="expression" dxfId="4416" priority="599">
      <formula>U221="SEP"</formula>
    </cfRule>
    <cfRule type="expression" dxfId="4415" priority="600">
      <formula>U221="AUG"</formula>
    </cfRule>
    <cfRule type="expression" dxfId="4414" priority="601">
      <formula>U221="JUL"</formula>
    </cfRule>
  </conditionalFormatting>
  <conditionalFormatting sqref="AB221 AB223">
    <cfRule type="expression" dxfId="4413" priority="578">
      <formula>AL221="JUN"</formula>
    </cfRule>
    <cfRule type="expression" dxfId="4412" priority="579">
      <formula>AL221="MAY"</formula>
    </cfRule>
    <cfRule type="expression" dxfId="4411" priority="580">
      <formula>AL221="APR"</formula>
    </cfRule>
    <cfRule type="expression" dxfId="4410" priority="581">
      <formula>AL221="MAR"</formula>
    </cfRule>
    <cfRule type="expression" dxfId="4409" priority="582">
      <formula>AL221="FEB"</formula>
    </cfRule>
    <cfRule type="expression" dxfId="4408" priority="583">
      <formula>AL221="JAN"</formula>
    </cfRule>
    <cfRule type="expression" dxfId="4407" priority="584">
      <formula>AL221="DEC"</formula>
    </cfRule>
    <cfRule type="expression" dxfId="4406" priority="585">
      <formula>AL221="NOV"</formula>
    </cfRule>
    <cfRule type="expression" dxfId="4405" priority="586">
      <formula>AL221="OCT"</formula>
    </cfRule>
    <cfRule type="expression" dxfId="4404" priority="587">
      <formula>AL221="SEP"</formula>
    </cfRule>
    <cfRule type="expression" dxfId="4403" priority="588">
      <formula>AL221="AUG"</formula>
    </cfRule>
    <cfRule type="expression" dxfId="4402" priority="589">
      <formula>AL221="JUL"</formula>
    </cfRule>
  </conditionalFormatting>
  <conditionalFormatting sqref="AQ221 AQ223">
    <cfRule type="expression" dxfId="4401" priority="566">
      <formula>AP221="JUN"</formula>
    </cfRule>
    <cfRule type="expression" dxfId="4400" priority="567">
      <formula>AP221="MAY"</formula>
    </cfRule>
    <cfRule type="expression" dxfId="4399" priority="568">
      <formula>AP221="APR"</formula>
    </cfRule>
    <cfRule type="expression" dxfId="4398" priority="569">
      <formula>AP221="MAR"</formula>
    </cfRule>
    <cfRule type="expression" dxfId="4397" priority="570">
      <formula>AP221="FEB"</formula>
    </cfRule>
    <cfRule type="expression" dxfId="4396" priority="571">
      <formula>AP221="JAN"</formula>
    </cfRule>
    <cfRule type="expression" dxfId="4395" priority="572">
      <formula>AP221="DEC"</formula>
    </cfRule>
    <cfRule type="expression" dxfId="4394" priority="573">
      <formula>AP221="NOV"</formula>
    </cfRule>
    <cfRule type="expression" dxfId="4393" priority="574">
      <formula>AP221="OCT"</formula>
    </cfRule>
    <cfRule type="expression" dxfId="4392" priority="575">
      <formula>AP221="SEP"</formula>
    </cfRule>
    <cfRule type="expression" dxfId="4391" priority="576">
      <formula>AP221="AUG"</formula>
    </cfRule>
    <cfRule type="expression" dxfId="4390" priority="577">
      <formula>AP221="JUL"</formula>
    </cfRule>
  </conditionalFormatting>
  <conditionalFormatting sqref="BH221 BH223">
    <cfRule type="expression" dxfId="4389" priority="554">
      <formula>BG221="JUN"</formula>
    </cfRule>
    <cfRule type="expression" dxfId="4388" priority="555">
      <formula>BG221="MAY"</formula>
    </cfRule>
    <cfRule type="expression" dxfId="4387" priority="556">
      <formula>BG221="APR"</formula>
    </cfRule>
    <cfRule type="expression" dxfId="4386" priority="557">
      <formula>BG221="MAR"</formula>
    </cfRule>
    <cfRule type="expression" dxfId="4385" priority="558">
      <formula>BG221="FEB"</formula>
    </cfRule>
    <cfRule type="expression" dxfId="4384" priority="559">
      <formula>BG221="JAN"</formula>
    </cfRule>
    <cfRule type="expression" dxfId="4383" priority="560">
      <formula>BG221="DEC"</formula>
    </cfRule>
    <cfRule type="expression" dxfId="4382" priority="561">
      <formula>BG221="NOV"</formula>
    </cfRule>
    <cfRule type="expression" dxfId="4381" priority="562">
      <formula>BG221="OCT"</formula>
    </cfRule>
    <cfRule type="expression" dxfId="4380" priority="563">
      <formula>BG221="SEP"</formula>
    </cfRule>
    <cfRule type="expression" dxfId="4379" priority="564">
      <formula>BG221="AUG"</formula>
    </cfRule>
    <cfRule type="expression" dxfId="4378" priority="565">
      <formula>BG221="JUL"</formula>
    </cfRule>
  </conditionalFormatting>
  <conditionalFormatting sqref="E225 E227 E229 E231 E233 E235 E237 E239">
    <cfRule type="expression" dxfId="4377" priority="542">
      <formula>U225="JUN"</formula>
    </cfRule>
    <cfRule type="expression" dxfId="4376" priority="543">
      <formula>U225="MAY"</formula>
    </cfRule>
    <cfRule type="expression" dxfId="4375" priority="544">
      <formula>U225="APR"</formula>
    </cfRule>
    <cfRule type="expression" dxfId="4374" priority="545">
      <formula>U225="MAR"</formula>
    </cfRule>
    <cfRule type="expression" dxfId="4373" priority="546">
      <formula>U225="FEB"</formula>
    </cfRule>
    <cfRule type="expression" dxfId="4372" priority="547">
      <formula>U225="JAN"</formula>
    </cfRule>
    <cfRule type="expression" dxfId="4371" priority="548">
      <formula>U225="DEC"</formula>
    </cfRule>
    <cfRule type="expression" dxfId="4370" priority="549">
      <formula>U225="NOV"</formula>
    </cfRule>
    <cfRule type="expression" dxfId="4369" priority="550">
      <formula>U225="OCT"</formula>
    </cfRule>
    <cfRule type="expression" dxfId="4368" priority="551">
      <formula>U225="SEP"</formula>
    </cfRule>
    <cfRule type="expression" dxfId="4367" priority="552">
      <formula>U225="AUG"</formula>
    </cfRule>
    <cfRule type="expression" dxfId="4366" priority="553">
      <formula>U225="JUL"</formula>
    </cfRule>
  </conditionalFormatting>
  <conditionalFormatting sqref="AB225 AB227 AB229 AB231 AB233 AB235 AB237 AB239">
    <cfRule type="expression" dxfId="4365" priority="530">
      <formula>AL225="JUN"</formula>
    </cfRule>
    <cfRule type="expression" dxfId="4364" priority="531">
      <formula>AL225="MAY"</formula>
    </cfRule>
    <cfRule type="expression" dxfId="4363" priority="532">
      <formula>AL225="APR"</formula>
    </cfRule>
    <cfRule type="expression" dxfId="4362" priority="533">
      <formula>AL225="MAR"</formula>
    </cfRule>
    <cfRule type="expression" dxfId="4361" priority="534">
      <formula>AL225="FEB"</formula>
    </cfRule>
    <cfRule type="expression" dxfId="4360" priority="535">
      <formula>AL225="JAN"</formula>
    </cfRule>
    <cfRule type="expression" dxfId="4359" priority="536">
      <formula>AL225="DEC"</formula>
    </cfRule>
    <cfRule type="expression" dxfId="4358" priority="537">
      <formula>AL225="NOV"</formula>
    </cfRule>
    <cfRule type="expression" dxfId="4357" priority="538">
      <formula>AL225="OCT"</formula>
    </cfRule>
    <cfRule type="expression" dxfId="4356" priority="539">
      <formula>AL225="SEP"</formula>
    </cfRule>
    <cfRule type="expression" dxfId="4355" priority="540">
      <formula>AL225="AUG"</formula>
    </cfRule>
    <cfRule type="expression" dxfId="4354" priority="541">
      <formula>AL225="JUL"</formula>
    </cfRule>
  </conditionalFormatting>
  <conditionalFormatting sqref="AQ225 AQ227 AQ229 AQ231 AQ233 AQ235 AQ237 AQ239">
    <cfRule type="expression" dxfId="4353" priority="518">
      <formula>AP225="JUN"</formula>
    </cfRule>
    <cfRule type="expression" dxfId="4352" priority="519">
      <formula>AP225="MAY"</formula>
    </cfRule>
    <cfRule type="expression" dxfId="4351" priority="520">
      <formula>AP225="APR"</formula>
    </cfRule>
    <cfRule type="expression" dxfId="4350" priority="521">
      <formula>AP225="MAR"</formula>
    </cfRule>
    <cfRule type="expression" dxfId="4349" priority="522">
      <formula>AP225="FEB"</formula>
    </cfRule>
    <cfRule type="expression" dxfId="4348" priority="523">
      <formula>AP225="JAN"</formula>
    </cfRule>
    <cfRule type="expression" dxfId="4347" priority="524">
      <formula>AP225="DEC"</formula>
    </cfRule>
    <cfRule type="expression" dxfId="4346" priority="525">
      <formula>AP225="NOV"</formula>
    </cfRule>
    <cfRule type="expression" dxfId="4345" priority="526">
      <formula>AP225="OCT"</formula>
    </cfRule>
    <cfRule type="expression" dxfId="4344" priority="527">
      <formula>AP225="SEP"</formula>
    </cfRule>
    <cfRule type="expression" dxfId="4343" priority="528">
      <formula>AP225="AUG"</formula>
    </cfRule>
    <cfRule type="expression" dxfId="4342" priority="529">
      <formula>AP225="JUL"</formula>
    </cfRule>
  </conditionalFormatting>
  <conditionalFormatting sqref="BH225 BH227 BH229 BH231 BH233 BH235 BH237 BH239">
    <cfRule type="expression" dxfId="4341" priority="506">
      <formula>BG225="JUN"</formula>
    </cfRule>
    <cfRule type="expression" dxfId="4340" priority="507">
      <formula>BG225="MAY"</formula>
    </cfRule>
    <cfRule type="expression" dxfId="4339" priority="508">
      <formula>BG225="APR"</formula>
    </cfRule>
    <cfRule type="expression" dxfId="4338" priority="509">
      <formula>BG225="MAR"</formula>
    </cfRule>
    <cfRule type="expression" dxfId="4337" priority="510">
      <formula>BG225="FEB"</formula>
    </cfRule>
    <cfRule type="expression" dxfId="4336" priority="511">
      <formula>BG225="JAN"</formula>
    </cfRule>
    <cfRule type="expression" dxfId="4335" priority="512">
      <formula>BG225="DEC"</formula>
    </cfRule>
    <cfRule type="expression" dxfId="4334" priority="513">
      <formula>BG225="NOV"</formula>
    </cfRule>
    <cfRule type="expression" dxfId="4333" priority="514">
      <formula>BG225="OCT"</formula>
    </cfRule>
    <cfRule type="expression" dxfId="4332" priority="515">
      <formula>BG225="SEP"</formula>
    </cfRule>
    <cfRule type="expression" dxfId="4331" priority="516">
      <formula>BG225="AUG"</formula>
    </cfRule>
    <cfRule type="expression" dxfId="4330" priority="517">
      <formula>BG225="JUL"</formula>
    </cfRule>
  </conditionalFormatting>
  <conditionalFormatting sqref="E241 E243">
    <cfRule type="expression" dxfId="4329" priority="494">
      <formula>U241="JUN"</formula>
    </cfRule>
    <cfRule type="expression" dxfId="4328" priority="495">
      <formula>U241="MAY"</formula>
    </cfRule>
    <cfRule type="expression" dxfId="4327" priority="496">
      <formula>U241="APR"</formula>
    </cfRule>
    <cfRule type="expression" dxfId="4326" priority="497">
      <formula>U241="MAR"</formula>
    </cfRule>
    <cfRule type="expression" dxfId="4325" priority="498">
      <formula>U241="FEB"</formula>
    </cfRule>
    <cfRule type="expression" dxfId="4324" priority="499">
      <formula>U241="JAN"</formula>
    </cfRule>
    <cfRule type="expression" dxfId="4323" priority="500">
      <formula>U241="DEC"</formula>
    </cfRule>
    <cfRule type="expression" dxfId="4322" priority="501">
      <formula>U241="NOV"</formula>
    </cfRule>
    <cfRule type="expression" dxfId="4321" priority="502">
      <formula>U241="OCT"</formula>
    </cfRule>
    <cfRule type="expression" dxfId="4320" priority="503">
      <formula>U241="SEP"</formula>
    </cfRule>
    <cfRule type="expression" dxfId="4319" priority="504">
      <formula>U241="AUG"</formula>
    </cfRule>
    <cfRule type="expression" dxfId="4318" priority="505">
      <formula>U241="JUL"</formula>
    </cfRule>
  </conditionalFormatting>
  <conditionalFormatting sqref="AB241 AB243">
    <cfRule type="expression" dxfId="4317" priority="482">
      <formula>AL241="JUN"</formula>
    </cfRule>
    <cfRule type="expression" dxfId="4316" priority="483">
      <formula>AL241="MAY"</formula>
    </cfRule>
    <cfRule type="expression" dxfId="4315" priority="484">
      <formula>AL241="APR"</formula>
    </cfRule>
    <cfRule type="expression" dxfId="4314" priority="485">
      <formula>AL241="MAR"</formula>
    </cfRule>
    <cfRule type="expression" dxfId="4313" priority="486">
      <formula>AL241="FEB"</formula>
    </cfRule>
    <cfRule type="expression" dxfId="4312" priority="487">
      <formula>AL241="JAN"</formula>
    </cfRule>
    <cfRule type="expression" dxfId="4311" priority="488">
      <formula>AL241="DEC"</formula>
    </cfRule>
    <cfRule type="expression" dxfId="4310" priority="489">
      <formula>AL241="NOV"</formula>
    </cfRule>
    <cfRule type="expression" dxfId="4309" priority="490">
      <formula>AL241="OCT"</formula>
    </cfRule>
    <cfRule type="expression" dxfId="4308" priority="491">
      <formula>AL241="SEP"</formula>
    </cfRule>
    <cfRule type="expression" dxfId="4307" priority="492">
      <formula>AL241="AUG"</formula>
    </cfRule>
    <cfRule type="expression" dxfId="4306" priority="493">
      <formula>AL241="JUL"</formula>
    </cfRule>
  </conditionalFormatting>
  <conditionalFormatting sqref="AQ241 AQ243">
    <cfRule type="expression" dxfId="4305" priority="470">
      <formula>AP241="JUN"</formula>
    </cfRule>
    <cfRule type="expression" dxfId="4304" priority="471">
      <formula>AP241="MAY"</formula>
    </cfRule>
    <cfRule type="expression" dxfId="4303" priority="472">
      <formula>AP241="APR"</formula>
    </cfRule>
    <cfRule type="expression" dxfId="4302" priority="473">
      <formula>AP241="MAR"</formula>
    </cfRule>
    <cfRule type="expression" dxfId="4301" priority="474">
      <formula>AP241="FEB"</formula>
    </cfRule>
    <cfRule type="expression" dxfId="4300" priority="475">
      <formula>AP241="JAN"</formula>
    </cfRule>
    <cfRule type="expression" dxfId="4299" priority="476">
      <formula>AP241="DEC"</formula>
    </cfRule>
    <cfRule type="expression" dxfId="4298" priority="477">
      <formula>AP241="NOV"</formula>
    </cfRule>
    <cfRule type="expression" dxfId="4297" priority="478">
      <formula>AP241="OCT"</formula>
    </cfRule>
    <cfRule type="expression" dxfId="4296" priority="479">
      <formula>AP241="SEP"</formula>
    </cfRule>
    <cfRule type="expression" dxfId="4295" priority="480">
      <formula>AP241="AUG"</formula>
    </cfRule>
    <cfRule type="expression" dxfId="4294" priority="481">
      <formula>AP241="JUL"</formula>
    </cfRule>
  </conditionalFormatting>
  <conditionalFormatting sqref="BH241 BH243">
    <cfRule type="expression" dxfId="4293" priority="458">
      <formula>BG241="JUN"</formula>
    </cfRule>
    <cfRule type="expression" dxfId="4292" priority="459">
      <formula>BG241="MAY"</formula>
    </cfRule>
    <cfRule type="expression" dxfId="4291" priority="460">
      <formula>BG241="APR"</formula>
    </cfRule>
    <cfRule type="expression" dxfId="4290" priority="461">
      <formula>BG241="MAR"</formula>
    </cfRule>
    <cfRule type="expression" dxfId="4289" priority="462">
      <formula>BG241="FEB"</formula>
    </cfRule>
    <cfRule type="expression" dxfId="4288" priority="463">
      <formula>BG241="JAN"</formula>
    </cfRule>
    <cfRule type="expression" dxfId="4287" priority="464">
      <formula>BG241="DEC"</formula>
    </cfRule>
    <cfRule type="expression" dxfId="4286" priority="465">
      <formula>BG241="NOV"</formula>
    </cfRule>
    <cfRule type="expression" dxfId="4285" priority="466">
      <formula>BG241="OCT"</formula>
    </cfRule>
    <cfRule type="expression" dxfId="4284" priority="467">
      <formula>BG241="SEP"</formula>
    </cfRule>
    <cfRule type="expression" dxfId="4283" priority="468">
      <formula>BG241="AUG"</formula>
    </cfRule>
    <cfRule type="expression" dxfId="4282" priority="469">
      <formula>BG241="JUL"</formula>
    </cfRule>
  </conditionalFormatting>
  <conditionalFormatting sqref="E245 E247 E249 E251 E253 E255 E257 E259">
    <cfRule type="expression" dxfId="4281" priority="446">
      <formula>U245="JUN"</formula>
    </cfRule>
    <cfRule type="expression" dxfId="4280" priority="447">
      <formula>U245="MAY"</formula>
    </cfRule>
    <cfRule type="expression" dxfId="4279" priority="448">
      <formula>U245="APR"</formula>
    </cfRule>
    <cfRule type="expression" dxfId="4278" priority="449">
      <formula>U245="MAR"</formula>
    </cfRule>
    <cfRule type="expression" dxfId="4277" priority="450">
      <formula>U245="FEB"</formula>
    </cfRule>
    <cfRule type="expression" dxfId="4276" priority="451">
      <formula>U245="JAN"</formula>
    </cfRule>
    <cfRule type="expression" dxfId="4275" priority="452">
      <formula>U245="DEC"</formula>
    </cfRule>
    <cfRule type="expression" dxfId="4274" priority="453">
      <formula>U245="NOV"</formula>
    </cfRule>
    <cfRule type="expression" dxfId="4273" priority="454">
      <formula>U245="OCT"</formula>
    </cfRule>
    <cfRule type="expression" dxfId="4272" priority="455">
      <formula>U245="SEP"</formula>
    </cfRule>
    <cfRule type="expression" dxfId="4271" priority="456">
      <formula>U245="AUG"</formula>
    </cfRule>
    <cfRule type="expression" dxfId="4270" priority="457">
      <formula>U245="JUL"</formula>
    </cfRule>
  </conditionalFormatting>
  <conditionalFormatting sqref="AB245 AB247 AB249 AB251 AB253 AB255 AB257 AB259">
    <cfRule type="expression" dxfId="4269" priority="434">
      <formula>AL245="JUN"</formula>
    </cfRule>
    <cfRule type="expression" dxfId="4268" priority="435">
      <formula>AL245="MAY"</formula>
    </cfRule>
    <cfRule type="expression" dxfId="4267" priority="436">
      <formula>AL245="APR"</formula>
    </cfRule>
    <cfRule type="expression" dxfId="4266" priority="437">
      <formula>AL245="MAR"</formula>
    </cfRule>
    <cfRule type="expression" dxfId="4265" priority="438">
      <formula>AL245="FEB"</formula>
    </cfRule>
    <cfRule type="expression" dxfId="4264" priority="439">
      <formula>AL245="JAN"</formula>
    </cfRule>
    <cfRule type="expression" dxfId="4263" priority="440">
      <formula>AL245="DEC"</formula>
    </cfRule>
    <cfRule type="expression" dxfId="4262" priority="441">
      <formula>AL245="NOV"</formula>
    </cfRule>
    <cfRule type="expression" dxfId="4261" priority="442">
      <formula>AL245="OCT"</formula>
    </cfRule>
    <cfRule type="expression" dxfId="4260" priority="443">
      <formula>AL245="SEP"</formula>
    </cfRule>
    <cfRule type="expression" dxfId="4259" priority="444">
      <formula>AL245="AUG"</formula>
    </cfRule>
    <cfRule type="expression" dxfId="4258" priority="445">
      <formula>AL245="JUL"</formula>
    </cfRule>
  </conditionalFormatting>
  <conditionalFormatting sqref="AQ245 AQ247 AQ249 AQ251 AQ253 AQ255 AQ257 AQ259">
    <cfRule type="expression" dxfId="4257" priority="422">
      <formula>AP245="JUN"</formula>
    </cfRule>
    <cfRule type="expression" dxfId="4256" priority="423">
      <formula>AP245="MAY"</formula>
    </cfRule>
    <cfRule type="expression" dxfId="4255" priority="424">
      <formula>AP245="APR"</formula>
    </cfRule>
    <cfRule type="expression" dxfId="4254" priority="425">
      <formula>AP245="MAR"</formula>
    </cfRule>
    <cfRule type="expression" dxfId="4253" priority="426">
      <formula>AP245="FEB"</formula>
    </cfRule>
    <cfRule type="expression" dxfId="4252" priority="427">
      <formula>AP245="JAN"</formula>
    </cfRule>
    <cfRule type="expression" dxfId="4251" priority="428">
      <formula>AP245="DEC"</formula>
    </cfRule>
    <cfRule type="expression" dxfId="4250" priority="429">
      <formula>AP245="NOV"</formula>
    </cfRule>
    <cfRule type="expression" dxfId="4249" priority="430">
      <formula>AP245="OCT"</formula>
    </cfRule>
    <cfRule type="expression" dxfId="4248" priority="431">
      <formula>AP245="SEP"</formula>
    </cfRule>
    <cfRule type="expression" dxfId="4247" priority="432">
      <formula>AP245="AUG"</formula>
    </cfRule>
    <cfRule type="expression" dxfId="4246" priority="433">
      <formula>AP245="JUL"</formula>
    </cfRule>
  </conditionalFormatting>
  <conditionalFormatting sqref="BH245 BH247 BH249 BH251 BH253 BH255 BH257 BH259">
    <cfRule type="expression" dxfId="4245" priority="410">
      <formula>BG245="JUN"</formula>
    </cfRule>
    <cfRule type="expression" dxfId="4244" priority="411">
      <formula>BG245="MAY"</formula>
    </cfRule>
    <cfRule type="expression" dxfId="4243" priority="412">
      <formula>BG245="APR"</formula>
    </cfRule>
    <cfRule type="expression" dxfId="4242" priority="413">
      <formula>BG245="MAR"</formula>
    </cfRule>
    <cfRule type="expression" dxfId="4241" priority="414">
      <formula>BG245="FEB"</formula>
    </cfRule>
    <cfRule type="expression" dxfId="4240" priority="415">
      <formula>BG245="JAN"</formula>
    </cfRule>
    <cfRule type="expression" dxfId="4239" priority="416">
      <formula>BG245="DEC"</formula>
    </cfRule>
    <cfRule type="expression" dxfId="4238" priority="417">
      <formula>BG245="NOV"</formula>
    </cfRule>
    <cfRule type="expression" dxfId="4237" priority="418">
      <formula>BG245="OCT"</formula>
    </cfRule>
    <cfRule type="expression" dxfId="4236" priority="419">
      <formula>BG245="SEP"</formula>
    </cfRule>
    <cfRule type="expression" dxfId="4235" priority="420">
      <formula>BG245="AUG"</formula>
    </cfRule>
    <cfRule type="expression" dxfId="4234" priority="421">
      <formula>BG245="JUL"</formula>
    </cfRule>
  </conditionalFormatting>
  <conditionalFormatting sqref="E261 E263">
    <cfRule type="expression" dxfId="4233" priority="398">
      <formula>U261="JUN"</formula>
    </cfRule>
    <cfRule type="expression" dxfId="4232" priority="399">
      <formula>U261="MAY"</formula>
    </cfRule>
    <cfRule type="expression" dxfId="4231" priority="400">
      <formula>U261="APR"</formula>
    </cfRule>
    <cfRule type="expression" dxfId="4230" priority="401">
      <formula>U261="MAR"</formula>
    </cfRule>
    <cfRule type="expression" dxfId="4229" priority="402">
      <formula>U261="FEB"</formula>
    </cfRule>
    <cfRule type="expression" dxfId="4228" priority="403">
      <formula>U261="JAN"</formula>
    </cfRule>
    <cfRule type="expression" dxfId="4227" priority="404">
      <formula>U261="DEC"</formula>
    </cfRule>
    <cfRule type="expression" dxfId="4226" priority="405">
      <formula>U261="NOV"</formula>
    </cfRule>
    <cfRule type="expression" dxfId="4225" priority="406">
      <formula>U261="OCT"</formula>
    </cfRule>
    <cfRule type="expression" dxfId="4224" priority="407">
      <formula>U261="SEP"</formula>
    </cfRule>
    <cfRule type="expression" dxfId="4223" priority="408">
      <formula>U261="AUG"</formula>
    </cfRule>
    <cfRule type="expression" dxfId="4222" priority="409">
      <formula>U261="JUL"</formula>
    </cfRule>
  </conditionalFormatting>
  <conditionalFormatting sqref="AB261 AB263">
    <cfRule type="expression" dxfId="4221" priority="386">
      <formula>AL261="JUN"</formula>
    </cfRule>
    <cfRule type="expression" dxfId="4220" priority="387">
      <formula>AL261="MAY"</formula>
    </cfRule>
    <cfRule type="expression" dxfId="4219" priority="388">
      <formula>AL261="APR"</formula>
    </cfRule>
    <cfRule type="expression" dxfId="4218" priority="389">
      <formula>AL261="MAR"</formula>
    </cfRule>
    <cfRule type="expression" dxfId="4217" priority="390">
      <formula>AL261="FEB"</formula>
    </cfRule>
    <cfRule type="expression" dxfId="4216" priority="391">
      <formula>AL261="JAN"</formula>
    </cfRule>
    <cfRule type="expression" dxfId="4215" priority="392">
      <formula>AL261="DEC"</formula>
    </cfRule>
    <cfRule type="expression" dxfId="4214" priority="393">
      <formula>AL261="NOV"</formula>
    </cfRule>
    <cfRule type="expression" dxfId="4213" priority="394">
      <formula>AL261="OCT"</formula>
    </cfRule>
    <cfRule type="expression" dxfId="4212" priority="395">
      <formula>AL261="SEP"</formula>
    </cfRule>
    <cfRule type="expression" dxfId="4211" priority="396">
      <formula>AL261="AUG"</formula>
    </cfRule>
    <cfRule type="expression" dxfId="4210" priority="397">
      <formula>AL261="JUL"</formula>
    </cfRule>
  </conditionalFormatting>
  <conditionalFormatting sqref="AQ261 AQ263">
    <cfRule type="expression" dxfId="4209" priority="374">
      <formula>AP261="JUN"</formula>
    </cfRule>
    <cfRule type="expression" dxfId="4208" priority="375">
      <formula>AP261="MAY"</formula>
    </cfRule>
    <cfRule type="expression" dxfId="4207" priority="376">
      <formula>AP261="APR"</formula>
    </cfRule>
    <cfRule type="expression" dxfId="4206" priority="377">
      <formula>AP261="MAR"</formula>
    </cfRule>
    <cfRule type="expression" dxfId="4205" priority="378">
      <formula>AP261="FEB"</formula>
    </cfRule>
    <cfRule type="expression" dxfId="4204" priority="379">
      <formula>AP261="JAN"</formula>
    </cfRule>
    <cfRule type="expression" dxfId="4203" priority="380">
      <formula>AP261="DEC"</formula>
    </cfRule>
    <cfRule type="expression" dxfId="4202" priority="381">
      <formula>AP261="NOV"</formula>
    </cfRule>
    <cfRule type="expression" dxfId="4201" priority="382">
      <formula>AP261="OCT"</formula>
    </cfRule>
    <cfRule type="expression" dxfId="4200" priority="383">
      <formula>AP261="SEP"</formula>
    </cfRule>
    <cfRule type="expression" dxfId="4199" priority="384">
      <formula>AP261="AUG"</formula>
    </cfRule>
    <cfRule type="expression" dxfId="4198" priority="385">
      <formula>AP261="JUL"</formula>
    </cfRule>
  </conditionalFormatting>
  <conditionalFormatting sqref="BH261 BH263">
    <cfRule type="expression" dxfId="4197" priority="362">
      <formula>BG261="JUN"</formula>
    </cfRule>
    <cfRule type="expression" dxfId="4196" priority="363">
      <formula>BG261="MAY"</formula>
    </cfRule>
    <cfRule type="expression" dxfId="4195" priority="364">
      <formula>BG261="APR"</formula>
    </cfRule>
    <cfRule type="expression" dxfId="4194" priority="365">
      <formula>BG261="MAR"</formula>
    </cfRule>
    <cfRule type="expression" dxfId="4193" priority="366">
      <formula>BG261="FEB"</formula>
    </cfRule>
    <cfRule type="expression" dxfId="4192" priority="367">
      <formula>BG261="JAN"</formula>
    </cfRule>
    <cfRule type="expression" dxfId="4191" priority="368">
      <formula>BG261="DEC"</formula>
    </cfRule>
    <cfRule type="expression" dxfId="4190" priority="369">
      <formula>BG261="NOV"</formula>
    </cfRule>
    <cfRule type="expression" dxfId="4189" priority="370">
      <formula>BG261="OCT"</formula>
    </cfRule>
    <cfRule type="expression" dxfId="4188" priority="371">
      <formula>BG261="SEP"</formula>
    </cfRule>
    <cfRule type="expression" dxfId="4187" priority="372">
      <formula>BG261="AUG"</formula>
    </cfRule>
    <cfRule type="expression" dxfId="4186" priority="373">
      <formula>BG261="JUL"</formula>
    </cfRule>
  </conditionalFormatting>
  <conditionalFormatting sqref="E265 E267 E269 E271 E273 E275 E277 E279">
    <cfRule type="expression" dxfId="4185" priority="350">
      <formula>U265="JUN"</formula>
    </cfRule>
    <cfRule type="expression" dxfId="4184" priority="351">
      <formula>U265="MAY"</formula>
    </cfRule>
    <cfRule type="expression" dxfId="4183" priority="352">
      <formula>U265="APR"</formula>
    </cfRule>
    <cfRule type="expression" dxfId="4182" priority="353">
      <formula>U265="MAR"</formula>
    </cfRule>
    <cfRule type="expression" dxfId="4181" priority="354">
      <formula>U265="FEB"</formula>
    </cfRule>
    <cfRule type="expression" dxfId="4180" priority="355">
      <formula>U265="JAN"</formula>
    </cfRule>
    <cfRule type="expression" dxfId="4179" priority="356">
      <formula>U265="DEC"</formula>
    </cfRule>
    <cfRule type="expression" dxfId="4178" priority="357">
      <formula>U265="NOV"</formula>
    </cfRule>
    <cfRule type="expression" dxfId="4177" priority="358">
      <formula>U265="OCT"</formula>
    </cfRule>
    <cfRule type="expression" dxfId="4176" priority="359">
      <formula>U265="SEP"</formula>
    </cfRule>
    <cfRule type="expression" dxfId="4175" priority="360">
      <formula>U265="AUG"</formula>
    </cfRule>
    <cfRule type="expression" dxfId="4174" priority="361">
      <formula>U265="JUL"</formula>
    </cfRule>
  </conditionalFormatting>
  <conditionalFormatting sqref="AB265 AB267 AB269 AB271 AB273 AB275 AB277 AB279">
    <cfRule type="expression" dxfId="4173" priority="338">
      <formula>AL265="JUN"</formula>
    </cfRule>
    <cfRule type="expression" dxfId="4172" priority="339">
      <formula>AL265="MAY"</formula>
    </cfRule>
    <cfRule type="expression" dxfId="4171" priority="340">
      <formula>AL265="APR"</formula>
    </cfRule>
    <cfRule type="expression" dxfId="4170" priority="341">
      <formula>AL265="MAR"</formula>
    </cfRule>
    <cfRule type="expression" dxfId="4169" priority="342">
      <formula>AL265="FEB"</formula>
    </cfRule>
    <cfRule type="expression" dxfId="4168" priority="343">
      <formula>AL265="JAN"</formula>
    </cfRule>
    <cfRule type="expression" dxfId="4167" priority="344">
      <formula>AL265="DEC"</formula>
    </cfRule>
    <cfRule type="expression" dxfId="4166" priority="345">
      <formula>AL265="NOV"</formula>
    </cfRule>
    <cfRule type="expression" dxfId="4165" priority="346">
      <formula>AL265="OCT"</formula>
    </cfRule>
    <cfRule type="expression" dxfId="4164" priority="347">
      <formula>AL265="SEP"</formula>
    </cfRule>
    <cfRule type="expression" dxfId="4163" priority="348">
      <formula>AL265="AUG"</formula>
    </cfRule>
    <cfRule type="expression" dxfId="4162" priority="349">
      <formula>AL265="JUL"</formula>
    </cfRule>
  </conditionalFormatting>
  <conditionalFormatting sqref="AQ265 AQ267 AQ269 AQ271 AQ273 AQ275 AQ277 AQ279">
    <cfRule type="expression" dxfId="4161" priority="326">
      <formula>AP265="JUN"</formula>
    </cfRule>
    <cfRule type="expression" dxfId="4160" priority="327">
      <formula>AP265="MAY"</formula>
    </cfRule>
    <cfRule type="expression" dxfId="4159" priority="328">
      <formula>AP265="APR"</formula>
    </cfRule>
    <cfRule type="expression" dxfId="4158" priority="329">
      <formula>AP265="MAR"</formula>
    </cfRule>
    <cfRule type="expression" dxfId="4157" priority="330">
      <formula>AP265="FEB"</formula>
    </cfRule>
    <cfRule type="expression" dxfId="4156" priority="331">
      <formula>AP265="JAN"</formula>
    </cfRule>
    <cfRule type="expression" dxfId="4155" priority="332">
      <formula>AP265="DEC"</formula>
    </cfRule>
    <cfRule type="expression" dxfId="4154" priority="333">
      <formula>AP265="NOV"</formula>
    </cfRule>
    <cfRule type="expression" dxfId="4153" priority="334">
      <formula>AP265="OCT"</formula>
    </cfRule>
    <cfRule type="expression" dxfId="4152" priority="335">
      <formula>AP265="SEP"</formula>
    </cfRule>
    <cfRule type="expression" dxfId="4151" priority="336">
      <formula>AP265="AUG"</formula>
    </cfRule>
    <cfRule type="expression" dxfId="4150" priority="337">
      <formula>AP265="JUL"</formula>
    </cfRule>
  </conditionalFormatting>
  <conditionalFormatting sqref="BH265 BH267 BH269 BH271 BH273 BH275 BH277 BH279">
    <cfRule type="expression" dxfId="4149" priority="314">
      <formula>BG265="JUN"</formula>
    </cfRule>
    <cfRule type="expression" dxfId="4148" priority="315">
      <formula>BG265="MAY"</formula>
    </cfRule>
    <cfRule type="expression" dxfId="4147" priority="316">
      <formula>BG265="APR"</formula>
    </cfRule>
    <cfRule type="expression" dxfId="4146" priority="317">
      <formula>BG265="MAR"</formula>
    </cfRule>
    <cfRule type="expression" dxfId="4145" priority="318">
      <formula>BG265="FEB"</formula>
    </cfRule>
    <cfRule type="expression" dxfId="4144" priority="319">
      <formula>BG265="JAN"</formula>
    </cfRule>
    <cfRule type="expression" dxfId="4143" priority="320">
      <formula>BG265="DEC"</formula>
    </cfRule>
    <cfRule type="expression" dxfId="4142" priority="321">
      <formula>BG265="NOV"</formula>
    </cfRule>
    <cfRule type="expression" dxfId="4141" priority="322">
      <formula>BG265="OCT"</formula>
    </cfRule>
    <cfRule type="expression" dxfId="4140" priority="323">
      <formula>BG265="SEP"</formula>
    </cfRule>
    <cfRule type="expression" dxfId="4139" priority="324">
      <formula>BG265="AUG"</formula>
    </cfRule>
    <cfRule type="expression" dxfId="4138" priority="325">
      <formula>BG265="JUL"</formula>
    </cfRule>
  </conditionalFormatting>
  <conditionalFormatting sqref="E281 E283">
    <cfRule type="expression" dxfId="4137" priority="302">
      <formula>U281="JUN"</formula>
    </cfRule>
    <cfRule type="expression" dxfId="4136" priority="303">
      <formula>U281="MAY"</formula>
    </cfRule>
    <cfRule type="expression" dxfId="4135" priority="304">
      <formula>U281="APR"</formula>
    </cfRule>
    <cfRule type="expression" dxfId="4134" priority="305">
      <formula>U281="MAR"</formula>
    </cfRule>
    <cfRule type="expression" dxfId="4133" priority="306">
      <formula>U281="FEB"</formula>
    </cfRule>
    <cfRule type="expression" dxfId="4132" priority="307">
      <formula>U281="JAN"</formula>
    </cfRule>
    <cfRule type="expression" dxfId="4131" priority="308">
      <formula>U281="DEC"</formula>
    </cfRule>
    <cfRule type="expression" dxfId="4130" priority="309">
      <formula>U281="NOV"</formula>
    </cfRule>
    <cfRule type="expression" dxfId="4129" priority="310">
      <formula>U281="OCT"</formula>
    </cfRule>
    <cfRule type="expression" dxfId="4128" priority="311">
      <formula>U281="SEP"</formula>
    </cfRule>
    <cfRule type="expression" dxfId="4127" priority="312">
      <formula>U281="AUG"</formula>
    </cfRule>
    <cfRule type="expression" dxfId="4126" priority="313">
      <formula>U281="JUL"</formula>
    </cfRule>
  </conditionalFormatting>
  <conditionalFormatting sqref="AB281 AB283">
    <cfRule type="expression" dxfId="4125" priority="290">
      <formula>AL281="JUN"</formula>
    </cfRule>
    <cfRule type="expression" dxfId="4124" priority="291">
      <formula>AL281="MAY"</formula>
    </cfRule>
    <cfRule type="expression" dxfId="4123" priority="292">
      <formula>AL281="APR"</formula>
    </cfRule>
    <cfRule type="expression" dxfId="4122" priority="293">
      <formula>AL281="MAR"</formula>
    </cfRule>
    <cfRule type="expression" dxfId="4121" priority="294">
      <formula>AL281="FEB"</formula>
    </cfRule>
    <cfRule type="expression" dxfId="4120" priority="295">
      <formula>AL281="JAN"</formula>
    </cfRule>
    <cfRule type="expression" dxfId="4119" priority="296">
      <formula>AL281="DEC"</formula>
    </cfRule>
    <cfRule type="expression" dxfId="4118" priority="297">
      <formula>AL281="NOV"</formula>
    </cfRule>
    <cfRule type="expression" dxfId="4117" priority="298">
      <formula>AL281="OCT"</formula>
    </cfRule>
    <cfRule type="expression" dxfId="4116" priority="299">
      <formula>AL281="SEP"</formula>
    </cfRule>
    <cfRule type="expression" dxfId="4115" priority="300">
      <formula>AL281="AUG"</formula>
    </cfRule>
    <cfRule type="expression" dxfId="4114" priority="301">
      <formula>AL281="JUL"</formula>
    </cfRule>
  </conditionalFormatting>
  <conditionalFormatting sqref="AQ281 AQ283">
    <cfRule type="expression" dxfId="4113" priority="278">
      <formula>AP281="JUN"</formula>
    </cfRule>
    <cfRule type="expression" dxfId="4112" priority="279">
      <formula>AP281="MAY"</formula>
    </cfRule>
    <cfRule type="expression" dxfId="4111" priority="280">
      <formula>AP281="APR"</formula>
    </cfRule>
    <cfRule type="expression" dxfId="4110" priority="281">
      <formula>AP281="MAR"</formula>
    </cfRule>
    <cfRule type="expression" dxfId="4109" priority="282">
      <formula>AP281="FEB"</formula>
    </cfRule>
    <cfRule type="expression" dxfId="4108" priority="283">
      <formula>AP281="JAN"</formula>
    </cfRule>
    <cfRule type="expression" dxfId="4107" priority="284">
      <formula>AP281="DEC"</formula>
    </cfRule>
    <cfRule type="expression" dxfId="4106" priority="285">
      <formula>AP281="NOV"</formula>
    </cfRule>
    <cfRule type="expression" dxfId="4105" priority="286">
      <formula>AP281="OCT"</formula>
    </cfRule>
    <cfRule type="expression" dxfId="4104" priority="287">
      <formula>AP281="SEP"</formula>
    </cfRule>
    <cfRule type="expression" dxfId="4103" priority="288">
      <formula>AP281="AUG"</formula>
    </cfRule>
    <cfRule type="expression" dxfId="4102" priority="289">
      <formula>AP281="JUL"</formula>
    </cfRule>
  </conditionalFormatting>
  <conditionalFormatting sqref="BH281 BH283">
    <cfRule type="expression" dxfId="4101" priority="266">
      <formula>BG281="JUN"</formula>
    </cfRule>
    <cfRule type="expression" dxfId="4100" priority="267">
      <formula>BG281="MAY"</formula>
    </cfRule>
    <cfRule type="expression" dxfId="4099" priority="268">
      <formula>BG281="APR"</formula>
    </cfRule>
    <cfRule type="expression" dxfId="4098" priority="269">
      <formula>BG281="MAR"</formula>
    </cfRule>
    <cfRule type="expression" dxfId="4097" priority="270">
      <formula>BG281="FEB"</formula>
    </cfRule>
    <cfRule type="expression" dxfId="4096" priority="271">
      <formula>BG281="JAN"</formula>
    </cfRule>
    <cfRule type="expression" dxfId="4095" priority="272">
      <formula>BG281="DEC"</formula>
    </cfRule>
    <cfRule type="expression" dxfId="4094" priority="273">
      <formula>BG281="NOV"</formula>
    </cfRule>
    <cfRule type="expression" dxfId="4093" priority="274">
      <formula>BG281="OCT"</formula>
    </cfRule>
    <cfRule type="expression" dxfId="4092" priority="275">
      <formula>BG281="SEP"</formula>
    </cfRule>
    <cfRule type="expression" dxfId="4091" priority="276">
      <formula>BG281="AUG"</formula>
    </cfRule>
    <cfRule type="expression" dxfId="4090" priority="277">
      <formula>BG281="JUL"</formula>
    </cfRule>
  </conditionalFormatting>
  <conditionalFormatting sqref="E285 E287 E289 E291 E293 E295 E297 E299">
    <cfRule type="expression" dxfId="4089" priority="254">
      <formula>U285="JUN"</formula>
    </cfRule>
    <cfRule type="expression" dxfId="4088" priority="255">
      <formula>U285="MAY"</formula>
    </cfRule>
    <cfRule type="expression" dxfId="4087" priority="256">
      <formula>U285="APR"</formula>
    </cfRule>
    <cfRule type="expression" dxfId="4086" priority="257">
      <formula>U285="MAR"</formula>
    </cfRule>
    <cfRule type="expression" dxfId="4085" priority="258">
      <formula>U285="FEB"</formula>
    </cfRule>
    <cfRule type="expression" dxfId="4084" priority="259">
      <formula>U285="JAN"</formula>
    </cfRule>
    <cfRule type="expression" dxfId="4083" priority="260">
      <formula>U285="DEC"</formula>
    </cfRule>
    <cfRule type="expression" dxfId="4082" priority="261">
      <formula>U285="NOV"</formula>
    </cfRule>
    <cfRule type="expression" dxfId="4081" priority="262">
      <formula>U285="OCT"</formula>
    </cfRule>
    <cfRule type="expression" dxfId="4080" priority="263">
      <formula>U285="SEP"</formula>
    </cfRule>
    <cfRule type="expression" dxfId="4079" priority="264">
      <formula>U285="AUG"</formula>
    </cfRule>
    <cfRule type="expression" dxfId="4078" priority="265">
      <formula>U285="JUL"</formula>
    </cfRule>
  </conditionalFormatting>
  <conditionalFormatting sqref="AB285 AB287 AB289 AB291 AB293 AB295 AB297 AB299">
    <cfRule type="expression" dxfId="4077" priority="242">
      <formula>AL285="JUN"</formula>
    </cfRule>
    <cfRule type="expression" dxfId="4076" priority="243">
      <formula>AL285="MAY"</formula>
    </cfRule>
    <cfRule type="expression" dxfId="4075" priority="244">
      <formula>AL285="APR"</formula>
    </cfRule>
    <cfRule type="expression" dxfId="4074" priority="245">
      <formula>AL285="MAR"</formula>
    </cfRule>
    <cfRule type="expression" dxfId="4073" priority="246">
      <formula>AL285="FEB"</formula>
    </cfRule>
    <cfRule type="expression" dxfId="4072" priority="247">
      <formula>AL285="JAN"</formula>
    </cfRule>
    <cfRule type="expression" dxfId="4071" priority="248">
      <formula>AL285="DEC"</formula>
    </cfRule>
    <cfRule type="expression" dxfId="4070" priority="249">
      <formula>AL285="NOV"</formula>
    </cfRule>
    <cfRule type="expression" dxfId="4069" priority="250">
      <formula>AL285="OCT"</formula>
    </cfRule>
    <cfRule type="expression" dxfId="4068" priority="251">
      <formula>AL285="SEP"</formula>
    </cfRule>
    <cfRule type="expression" dxfId="4067" priority="252">
      <formula>AL285="AUG"</formula>
    </cfRule>
    <cfRule type="expression" dxfId="4066" priority="253">
      <formula>AL285="JUL"</formula>
    </cfRule>
  </conditionalFormatting>
  <conditionalFormatting sqref="AQ285 AQ287 AQ289 AQ291 AQ293 AQ295 AQ297 AQ299">
    <cfRule type="expression" dxfId="4065" priority="230">
      <formula>AP285="JUN"</formula>
    </cfRule>
    <cfRule type="expression" dxfId="4064" priority="231">
      <formula>AP285="MAY"</formula>
    </cfRule>
    <cfRule type="expression" dxfId="4063" priority="232">
      <formula>AP285="APR"</formula>
    </cfRule>
    <cfRule type="expression" dxfId="4062" priority="233">
      <formula>AP285="MAR"</formula>
    </cfRule>
    <cfRule type="expression" dxfId="4061" priority="234">
      <formula>AP285="FEB"</formula>
    </cfRule>
    <cfRule type="expression" dxfId="4060" priority="235">
      <formula>AP285="JAN"</formula>
    </cfRule>
    <cfRule type="expression" dxfId="4059" priority="236">
      <formula>AP285="DEC"</formula>
    </cfRule>
    <cfRule type="expression" dxfId="4058" priority="237">
      <formula>AP285="NOV"</formula>
    </cfRule>
    <cfRule type="expression" dxfId="4057" priority="238">
      <formula>AP285="OCT"</formula>
    </cfRule>
    <cfRule type="expression" dxfId="4056" priority="239">
      <formula>AP285="SEP"</formula>
    </cfRule>
    <cfRule type="expression" dxfId="4055" priority="240">
      <formula>AP285="AUG"</formula>
    </cfRule>
    <cfRule type="expression" dxfId="4054" priority="241">
      <formula>AP285="JUL"</formula>
    </cfRule>
  </conditionalFormatting>
  <conditionalFormatting sqref="BH285 BH287 BH289 BH291 BH293 BH295 BH297 BH299">
    <cfRule type="expression" dxfId="4053" priority="218">
      <formula>BG285="JUN"</formula>
    </cfRule>
    <cfRule type="expression" dxfId="4052" priority="219">
      <formula>BG285="MAY"</formula>
    </cfRule>
    <cfRule type="expression" dxfId="4051" priority="220">
      <formula>BG285="APR"</formula>
    </cfRule>
    <cfRule type="expression" dxfId="4050" priority="221">
      <formula>BG285="MAR"</formula>
    </cfRule>
    <cfRule type="expression" dxfId="4049" priority="222">
      <formula>BG285="FEB"</formula>
    </cfRule>
    <cfRule type="expression" dxfId="4048" priority="223">
      <formula>BG285="JAN"</formula>
    </cfRule>
    <cfRule type="expression" dxfId="4047" priority="224">
      <formula>BG285="DEC"</formula>
    </cfRule>
    <cfRule type="expression" dxfId="4046" priority="225">
      <formula>BG285="NOV"</formula>
    </cfRule>
    <cfRule type="expression" dxfId="4045" priority="226">
      <formula>BG285="OCT"</formula>
    </cfRule>
    <cfRule type="expression" dxfId="4044" priority="227">
      <formula>BG285="SEP"</formula>
    </cfRule>
    <cfRule type="expression" dxfId="4043" priority="228">
      <formula>BG285="AUG"</formula>
    </cfRule>
    <cfRule type="expression" dxfId="4042" priority="229">
      <formula>BG285="JUL"</formula>
    </cfRule>
  </conditionalFormatting>
  <conditionalFormatting sqref="E301 E303">
    <cfRule type="expression" dxfId="4041" priority="206">
      <formula>U301="JUN"</formula>
    </cfRule>
    <cfRule type="expression" dxfId="4040" priority="207">
      <formula>U301="MAY"</formula>
    </cfRule>
    <cfRule type="expression" dxfId="4039" priority="208">
      <formula>U301="APR"</formula>
    </cfRule>
    <cfRule type="expression" dxfId="4038" priority="209">
      <formula>U301="MAR"</formula>
    </cfRule>
    <cfRule type="expression" dxfId="4037" priority="210">
      <formula>U301="FEB"</formula>
    </cfRule>
    <cfRule type="expression" dxfId="4036" priority="211">
      <formula>U301="JAN"</formula>
    </cfRule>
    <cfRule type="expression" dxfId="4035" priority="212">
      <formula>U301="DEC"</formula>
    </cfRule>
    <cfRule type="expression" dxfId="4034" priority="213">
      <formula>U301="NOV"</formula>
    </cfRule>
    <cfRule type="expression" dxfId="4033" priority="214">
      <formula>U301="OCT"</formula>
    </cfRule>
    <cfRule type="expression" dxfId="4032" priority="215">
      <formula>U301="SEP"</formula>
    </cfRule>
    <cfRule type="expression" dxfId="4031" priority="216">
      <formula>U301="AUG"</formula>
    </cfRule>
    <cfRule type="expression" dxfId="4030" priority="217">
      <formula>U301="JUL"</formula>
    </cfRule>
  </conditionalFormatting>
  <conditionalFormatting sqref="AB301 AB303">
    <cfRule type="expression" dxfId="4029" priority="194">
      <formula>AL301="JUN"</formula>
    </cfRule>
    <cfRule type="expression" dxfId="4028" priority="195">
      <formula>AL301="MAY"</formula>
    </cfRule>
    <cfRule type="expression" dxfId="4027" priority="196">
      <formula>AL301="APR"</formula>
    </cfRule>
    <cfRule type="expression" dxfId="4026" priority="197">
      <formula>AL301="MAR"</formula>
    </cfRule>
    <cfRule type="expression" dxfId="4025" priority="198">
      <formula>AL301="FEB"</formula>
    </cfRule>
    <cfRule type="expression" dxfId="4024" priority="199">
      <formula>AL301="JAN"</formula>
    </cfRule>
    <cfRule type="expression" dxfId="4023" priority="200">
      <formula>AL301="DEC"</formula>
    </cfRule>
    <cfRule type="expression" dxfId="4022" priority="201">
      <formula>AL301="NOV"</formula>
    </cfRule>
    <cfRule type="expression" dxfId="4021" priority="202">
      <formula>AL301="OCT"</formula>
    </cfRule>
    <cfRule type="expression" dxfId="4020" priority="203">
      <formula>AL301="SEP"</formula>
    </cfRule>
    <cfRule type="expression" dxfId="4019" priority="204">
      <formula>AL301="AUG"</formula>
    </cfRule>
    <cfRule type="expression" dxfId="4018" priority="205">
      <formula>AL301="JUL"</formula>
    </cfRule>
  </conditionalFormatting>
  <conditionalFormatting sqref="AQ301 AQ303">
    <cfRule type="expression" dxfId="4017" priority="182">
      <formula>AP301="JUN"</formula>
    </cfRule>
    <cfRule type="expression" dxfId="4016" priority="183">
      <formula>AP301="MAY"</formula>
    </cfRule>
    <cfRule type="expression" dxfId="4015" priority="184">
      <formula>AP301="APR"</formula>
    </cfRule>
    <cfRule type="expression" dxfId="4014" priority="185">
      <formula>AP301="MAR"</formula>
    </cfRule>
    <cfRule type="expression" dxfId="4013" priority="186">
      <formula>AP301="FEB"</formula>
    </cfRule>
    <cfRule type="expression" dxfId="4012" priority="187">
      <formula>AP301="JAN"</formula>
    </cfRule>
    <cfRule type="expression" dxfId="4011" priority="188">
      <formula>AP301="DEC"</formula>
    </cfRule>
    <cfRule type="expression" dxfId="4010" priority="189">
      <formula>AP301="NOV"</formula>
    </cfRule>
    <cfRule type="expression" dxfId="4009" priority="190">
      <formula>AP301="OCT"</formula>
    </cfRule>
    <cfRule type="expression" dxfId="4008" priority="191">
      <formula>AP301="SEP"</formula>
    </cfRule>
    <cfRule type="expression" dxfId="4007" priority="192">
      <formula>AP301="AUG"</formula>
    </cfRule>
    <cfRule type="expression" dxfId="4006" priority="193">
      <formula>AP301="JUL"</formula>
    </cfRule>
  </conditionalFormatting>
  <conditionalFormatting sqref="BH301 BH303">
    <cfRule type="expression" dxfId="4005" priority="170">
      <formula>BG301="JUN"</formula>
    </cfRule>
    <cfRule type="expression" dxfId="4004" priority="171">
      <formula>BG301="MAY"</formula>
    </cfRule>
    <cfRule type="expression" dxfId="4003" priority="172">
      <formula>BG301="APR"</formula>
    </cfRule>
    <cfRule type="expression" dxfId="4002" priority="173">
      <formula>BG301="MAR"</formula>
    </cfRule>
    <cfRule type="expression" dxfId="4001" priority="174">
      <formula>BG301="FEB"</formula>
    </cfRule>
    <cfRule type="expression" dxfId="4000" priority="175">
      <formula>BG301="JAN"</formula>
    </cfRule>
    <cfRule type="expression" dxfId="3999" priority="176">
      <formula>BG301="DEC"</formula>
    </cfRule>
    <cfRule type="expression" dxfId="3998" priority="177">
      <formula>BG301="NOV"</formula>
    </cfRule>
    <cfRule type="expression" dxfId="3997" priority="178">
      <formula>BG301="OCT"</formula>
    </cfRule>
    <cfRule type="expression" dxfId="3996" priority="179">
      <formula>BG301="SEP"</formula>
    </cfRule>
    <cfRule type="expression" dxfId="3995" priority="180">
      <formula>BG301="AUG"</formula>
    </cfRule>
    <cfRule type="expression" dxfId="3994" priority="181">
      <formula>BG301="JUL"</formula>
    </cfRule>
  </conditionalFormatting>
  <conditionalFormatting sqref="E305 E307 E309 E311 E313 E315 E317 E319">
    <cfRule type="expression" dxfId="3993" priority="158">
      <formula>U305="JUN"</formula>
    </cfRule>
    <cfRule type="expression" dxfId="3992" priority="159">
      <formula>U305="MAY"</formula>
    </cfRule>
    <cfRule type="expression" dxfId="3991" priority="160">
      <formula>U305="APR"</formula>
    </cfRule>
    <cfRule type="expression" dxfId="3990" priority="161">
      <formula>U305="MAR"</formula>
    </cfRule>
    <cfRule type="expression" dxfId="3989" priority="162">
      <formula>U305="FEB"</formula>
    </cfRule>
    <cfRule type="expression" dxfId="3988" priority="163">
      <formula>U305="JAN"</formula>
    </cfRule>
    <cfRule type="expression" dxfId="3987" priority="164">
      <formula>U305="DEC"</formula>
    </cfRule>
    <cfRule type="expression" dxfId="3986" priority="165">
      <formula>U305="NOV"</formula>
    </cfRule>
    <cfRule type="expression" dxfId="3985" priority="166">
      <formula>U305="OCT"</formula>
    </cfRule>
    <cfRule type="expression" dxfId="3984" priority="167">
      <formula>U305="SEP"</formula>
    </cfRule>
    <cfRule type="expression" dxfId="3983" priority="168">
      <formula>U305="AUG"</formula>
    </cfRule>
    <cfRule type="expression" dxfId="3982" priority="169">
      <formula>U305="JUL"</formula>
    </cfRule>
  </conditionalFormatting>
  <conditionalFormatting sqref="AB305 AB307 AB309 AB311 AB313 AB315 AB317 AB319">
    <cfRule type="expression" dxfId="3981" priority="146">
      <formula>AL305="JUN"</formula>
    </cfRule>
    <cfRule type="expression" dxfId="3980" priority="147">
      <formula>AL305="MAY"</formula>
    </cfRule>
    <cfRule type="expression" dxfId="3979" priority="148">
      <formula>AL305="APR"</formula>
    </cfRule>
    <cfRule type="expression" dxfId="3978" priority="149">
      <formula>AL305="MAR"</formula>
    </cfRule>
    <cfRule type="expression" dxfId="3977" priority="150">
      <formula>AL305="FEB"</formula>
    </cfRule>
    <cfRule type="expression" dxfId="3976" priority="151">
      <formula>AL305="JAN"</formula>
    </cfRule>
    <cfRule type="expression" dxfId="3975" priority="152">
      <formula>AL305="DEC"</formula>
    </cfRule>
    <cfRule type="expression" dxfId="3974" priority="153">
      <formula>AL305="NOV"</formula>
    </cfRule>
    <cfRule type="expression" dxfId="3973" priority="154">
      <formula>AL305="OCT"</formula>
    </cfRule>
    <cfRule type="expression" dxfId="3972" priority="155">
      <formula>AL305="SEP"</formula>
    </cfRule>
    <cfRule type="expression" dxfId="3971" priority="156">
      <formula>AL305="AUG"</formula>
    </cfRule>
    <cfRule type="expression" dxfId="3970" priority="157">
      <formula>AL305="JUL"</formula>
    </cfRule>
  </conditionalFormatting>
  <conditionalFormatting sqref="AQ305 AQ307 AQ309 AQ311 AQ313 AQ315 AQ317 AQ319">
    <cfRule type="expression" dxfId="3969" priority="134">
      <formula>AP305="JUN"</formula>
    </cfRule>
    <cfRule type="expression" dxfId="3968" priority="135">
      <formula>AP305="MAY"</formula>
    </cfRule>
    <cfRule type="expression" dxfId="3967" priority="136">
      <formula>AP305="APR"</formula>
    </cfRule>
    <cfRule type="expression" dxfId="3966" priority="137">
      <formula>AP305="MAR"</formula>
    </cfRule>
    <cfRule type="expression" dxfId="3965" priority="138">
      <formula>AP305="FEB"</formula>
    </cfRule>
    <cfRule type="expression" dxfId="3964" priority="139">
      <formula>AP305="JAN"</formula>
    </cfRule>
    <cfRule type="expression" dxfId="3963" priority="140">
      <formula>AP305="DEC"</formula>
    </cfRule>
    <cfRule type="expression" dxfId="3962" priority="141">
      <formula>AP305="NOV"</formula>
    </cfRule>
    <cfRule type="expression" dxfId="3961" priority="142">
      <formula>AP305="OCT"</formula>
    </cfRule>
    <cfRule type="expression" dxfId="3960" priority="143">
      <formula>AP305="SEP"</formula>
    </cfRule>
    <cfRule type="expression" dxfId="3959" priority="144">
      <formula>AP305="AUG"</formula>
    </cfRule>
    <cfRule type="expression" dxfId="3958" priority="145">
      <formula>AP305="JUL"</formula>
    </cfRule>
  </conditionalFormatting>
  <conditionalFormatting sqref="BH305 BH307 BH309 BH311 BH313 BH315 BH317 BH319">
    <cfRule type="expression" dxfId="3957" priority="122">
      <formula>BG305="JUN"</formula>
    </cfRule>
    <cfRule type="expression" dxfId="3956" priority="123">
      <formula>BG305="MAY"</formula>
    </cfRule>
    <cfRule type="expression" dxfId="3955" priority="124">
      <formula>BG305="APR"</formula>
    </cfRule>
    <cfRule type="expression" dxfId="3954" priority="125">
      <formula>BG305="MAR"</formula>
    </cfRule>
    <cfRule type="expression" dxfId="3953" priority="126">
      <formula>BG305="FEB"</formula>
    </cfRule>
    <cfRule type="expression" dxfId="3952" priority="127">
      <formula>BG305="JAN"</formula>
    </cfRule>
    <cfRule type="expression" dxfId="3951" priority="128">
      <formula>BG305="DEC"</formula>
    </cfRule>
    <cfRule type="expression" dxfId="3950" priority="129">
      <formula>BG305="NOV"</formula>
    </cfRule>
    <cfRule type="expression" dxfId="3949" priority="130">
      <formula>BG305="OCT"</formula>
    </cfRule>
    <cfRule type="expression" dxfId="3948" priority="131">
      <formula>BG305="SEP"</formula>
    </cfRule>
    <cfRule type="expression" dxfId="3947" priority="132">
      <formula>BG305="AUG"</formula>
    </cfRule>
    <cfRule type="expression" dxfId="3946" priority="133">
      <formula>BG305="JUL"</formula>
    </cfRule>
  </conditionalFormatting>
  <conditionalFormatting sqref="E321 E323">
    <cfRule type="expression" dxfId="3945" priority="110">
      <formula>U321="JUN"</formula>
    </cfRule>
    <cfRule type="expression" dxfId="3944" priority="111">
      <formula>U321="MAY"</formula>
    </cfRule>
    <cfRule type="expression" dxfId="3943" priority="112">
      <formula>U321="APR"</formula>
    </cfRule>
    <cfRule type="expression" dxfId="3942" priority="113">
      <formula>U321="MAR"</formula>
    </cfRule>
    <cfRule type="expression" dxfId="3941" priority="114">
      <formula>U321="FEB"</formula>
    </cfRule>
    <cfRule type="expression" dxfId="3940" priority="115">
      <formula>U321="JAN"</formula>
    </cfRule>
    <cfRule type="expression" dxfId="3939" priority="116">
      <formula>U321="DEC"</formula>
    </cfRule>
    <cfRule type="expression" dxfId="3938" priority="117">
      <formula>U321="NOV"</formula>
    </cfRule>
    <cfRule type="expression" dxfId="3937" priority="118">
      <formula>U321="OCT"</formula>
    </cfRule>
    <cfRule type="expression" dxfId="3936" priority="119">
      <formula>U321="SEP"</formula>
    </cfRule>
    <cfRule type="expression" dxfId="3935" priority="120">
      <formula>U321="AUG"</formula>
    </cfRule>
    <cfRule type="expression" dxfId="3934" priority="121">
      <formula>U321="JUL"</formula>
    </cfRule>
  </conditionalFormatting>
  <conditionalFormatting sqref="AB321 AB323">
    <cfRule type="expression" dxfId="3933" priority="98">
      <formula>AL321="JUN"</formula>
    </cfRule>
    <cfRule type="expression" dxfId="3932" priority="99">
      <formula>AL321="MAY"</formula>
    </cfRule>
    <cfRule type="expression" dxfId="3931" priority="100">
      <formula>AL321="APR"</formula>
    </cfRule>
    <cfRule type="expression" dxfId="3930" priority="101">
      <formula>AL321="MAR"</formula>
    </cfRule>
    <cfRule type="expression" dxfId="3929" priority="102">
      <formula>AL321="FEB"</formula>
    </cfRule>
    <cfRule type="expression" dxfId="3928" priority="103">
      <formula>AL321="JAN"</formula>
    </cfRule>
    <cfRule type="expression" dxfId="3927" priority="104">
      <formula>AL321="DEC"</formula>
    </cfRule>
    <cfRule type="expression" dxfId="3926" priority="105">
      <formula>AL321="NOV"</formula>
    </cfRule>
    <cfRule type="expression" dxfId="3925" priority="106">
      <formula>AL321="OCT"</formula>
    </cfRule>
    <cfRule type="expression" dxfId="3924" priority="107">
      <formula>AL321="SEP"</formula>
    </cfRule>
    <cfRule type="expression" dxfId="3923" priority="108">
      <formula>AL321="AUG"</formula>
    </cfRule>
    <cfRule type="expression" dxfId="3922" priority="109">
      <formula>AL321="JUL"</formula>
    </cfRule>
  </conditionalFormatting>
  <conditionalFormatting sqref="AQ321 AQ323">
    <cfRule type="expression" dxfId="3921" priority="86">
      <formula>AP321="JUN"</formula>
    </cfRule>
    <cfRule type="expression" dxfId="3920" priority="87">
      <formula>AP321="MAY"</formula>
    </cfRule>
    <cfRule type="expression" dxfId="3919" priority="88">
      <formula>AP321="APR"</formula>
    </cfRule>
    <cfRule type="expression" dxfId="3918" priority="89">
      <formula>AP321="MAR"</formula>
    </cfRule>
    <cfRule type="expression" dxfId="3917" priority="90">
      <formula>AP321="FEB"</formula>
    </cfRule>
    <cfRule type="expression" dxfId="3916" priority="91">
      <formula>AP321="JAN"</formula>
    </cfRule>
    <cfRule type="expression" dxfId="3915" priority="92">
      <formula>AP321="DEC"</formula>
    </cfRule>
    <cfRule type="expression" dxfId="3914" priority="93">
      <formula>AP321="NOV"</formula>
    </cfRule>
    <cfRule type="expression" dxfId="3913" priority="94">
      <formula>AP321="OCT"</formula>
    </cfRule>
    <cfRule type="expression" dxfId="3912" priority="95">
      <formula>AP321="SEP"</formula>
    </cfRule>
    <cfRule type="expression" dxfId="3911" priority="96">
      <formula>AP321="AUG"</formula>
    </cfRule>
    <cfRule type="expression" dxfId="3910" priority="97">
      <formula>AP321="JUL"</formula>
    </cfRule>
  </conditionalFormatting>
  <conditionalFormatting sqref="BH321 BH323">
    <cfRule type="expression" dxfId="3909" priority="74">
      <formula>BG321="JUN"</formula>
    </cfRule>
    <cfRule type="expression" dxfId="3908" priority="75">
      <formula>BG321="MAY"</formula>
    </cfRule>
    <cfRule type="expression" dxfId="3907" priority="76">
      <formula>BG321="APR"</formula>
    </cfRule>
    <cfRule type="expression" dxfId="3906" priority="77">
      <formula>BG321="MAR"</formula>
    </cfRule>
    <cfRule type="expression" dxfId="3905" priority="78">
      <formula>BG321="FEB"</formula>
    </cfRule>
    <cfRule type="expression" dxfId="3904" priority="79">
      <formula>BG321="JAN"</formula>
    </cfRule>
    <cfRule type="expression" dxfId="3903" priority="80">
      <formula>BG321="DEC"</formula>
    </cfRule>
    <cfRule type="expression" dxfId="3902" priority="81">
      <formula>BG321="NOV"</formula>
    </cfRule>
    <cfRule type="expression" dxfId="3901" priority="82">
      <formula>BG321="OCT"</formula>
    </cfRule>
    <cfRule type="expression" dxfId="3900" priority="83">
      <formula>BG321="SEP"</formula>
    </cfRule>
    <cfRule type="expression" dxfId="3899" priority="84">
      <formula>BG321="AUG"</formula>
    </cfRule>
    <cfRule type="expression" dxfId="3898" priority="85">
      <formula>BG321="JUL"</formula>
    </cfRule>
  </conditionalFormatting>
  <conditionalFormatting sqref="D6:D7">
    <cfRule type="expression" dxfId="3897" priority="720">
      <formula>OR(E6="",$A$3=$N$44,$A$3=$O$44,$A$3=$P$44,$A$3=$Q$44,$A$3=$R$44,$A$3=$S$44,$A$3=$T$44)</formula>
    </cfRule>
  </conditionalFormatting>
  <conditionalFormatting sqref="E6 U6 U7">
    <cfRule type="expression" dxfId="3896" priority="73">
      <formula>OR($A$3=$N$44,$A$3=$O$44,$A$3=$P$44,$A$3=$Q$44,$A$3=$R$44,$A$3=$S$44,$A$3=$T$44)</formula>
    </cfRule>
  </conditionalFormatting>
  <conditionalFormatting sqref="D8:D9">
    <cfRule type="expression" dxfId="3895" priority="72">
      <formula>OR(E8="",$A$3=$N$45,$A$3=$O$45,$A$3=$P$45,$A$3=$Q$45,$A$3=$R$45,$A$3=$S$45,$A$3=$T$45)</formula>
    </cfRule>
  </conditionalFormatting>
  <conditionalFormatting sqref="E8 U8 U9">
    <cfRule type="expression" dxfId="3894" priority="71">
      <formula>OR($A$3=$N$45,$A$3=$O$45,$A$3=$P$45,$A$3=$Q$45,$A$3=$R$45,$A$3=$S$45,$A$3=$T$45)</formula>
    </cfRule>
  </conditionalFormatting>
  <conditionalFormatting sqref="D10:D11">
    <cfRule type="expression" dxfId="3893" priority="70">
      <formula>OR(E10="",$A$3=$N$46,$A$3=$O$46,$A$3=$P$46,$A$3=$Q$46,$A$3=$R$46,$A$3=$S$46,$A$3=$T$46)</formula>
    </cfRule>
  </conditionalFormatting>
  <conditionalFormatting sqref="E10 U10 U11">
    <cfRule type="expression" dxfId="3892" priority="69">
      <formula>OR($A$3=$N$46,$A$3=$O$46,$A$3=$P$46,$A$3=$Q$46,$A$3=$R$46,$A$3=$S$46,$A$3=$T$46)</formula>
    </cfRule>
  </conditionalFormatting>
  <conditionalFormatting sqref="D12:D13">
    <cfRule type="expression" dxfId="3891" priority="68">
      <formula>OR(E12="",$A$3=$N$47,$A$3=$O$47,$A$3=$P$47,$A$3=$Q$47,$A$3=$R$47,$A$3=$S$47,$A$3=$T$47)</formula>
    </cfRule>
  </conditionalFormatting>
  <conditionalFormatting sqref="E12 U12 U13">
    <cfRule type="expression" dxfId="3890" priority="67">
      <formula>OR($A$3=$N$47,$A$3=$O$47,$A$3=$P$47,$A$3=$Q$47,$A$3=$R$47,$A$3=$S$47,$A$3=$T$47)</formula>
    </cfRule>
  </conditionalFormatting>
  <conditionalFormatting sqref="E47:K47">
    <cfRule type="expression" dxfId="3889" priority="65">
      <formula>$E$12=""</formula>
    </cfRule>
  </conditionalFormatting>
  <conditionalFormatting sqref="E46:K46">
    <cfRule type="expression" dxfId="3888" priority="64">
      <formula>$E$10=""</formula>
    </cfRule>
  </conditionalFormatting>
  <conditionalFormatting sqref="E45:K45">
    <cfRule type="expression" dxfId="3887" priority="63">
      <formula>$E$8=""</formula>
    </cfRule>
  </conditionalFormatting>
  <conditionalFormatting sqref="E44:K44">
    <cfRule type="expression" dxfId="3886" priority="62">
      <formula>$E$6=""</formula>
    </cfRule>
  </conditionalFormatting>
  <conditionalFormatting sqref="E43:K43">
    <cfRule type="expression" dxfId="3885" priority="61">
      <formula>$E$4=""</formula>
    </cfRule>
  </conditionalFormatting>
  <conditionalFormatting sqref="AB14 AB16 AB18 AB20 AB22 AB24 AB26 AB28 AB30 AB32 AB34 AB36">
    <cfRule type="expression" dxfId="3884" priority="59">
      <formula>AM14&lt;&gt;""</formula>
    </cfRule>
  </conditionalFormatting>
  <conditionalFormatting sqref="AQ14 AQ16 AQ18 AQ20 AQ22 AQ24 AQ26 AQ28 AQ30 AQ32 AQ34 AQ36 BH4:BN4 BH6:BN6 BH8:BN8 BH10:BN10 BH12:BN12 BH14:BN14 BH16:BN16 BH18:BN18 BH20:BN20 BH22:BN22 BH24:BN24 BH26:BN26 BH28:BN28 BH30:BN30 BH32:BN32 BH34:BN34 BH36:BN36">
    <cfRule type="expression" dxfId="3883" priority="60">
      <formula>AO4&lt;&gt;""</formula>
    </cfRule>
  </conditionalFormatting>
  <conditionalFormatting sqref="U5 U7 U9 U11 U13 U15 U17 U19 U21 U23 U25 U27 U29 U31 U33 U35 U37">
    <cfRule type="expression" dxfId="3882" priority="49">
      <formula>E4=""</formula>
    </cfRule>
  </conditionalFormatting>
  <conditionalFormatting sqref="AD14">
    <cfRule type="expression" dxfId="3881" priority="39738">
      <formula>AND($AL$9=$AM$2,$AL$6=AC14)</formula>
    </cfRule>
    <cfRule type="expression" dxfId="3880" priority="39739">
      <formula>#REF!&gt;0%</formula>
    </cfRule>
  </conditionalFormatting>
  <conditionalFormatting sqref="D4:D13">
    <cfRule type="expression" dxfId="3879" priority="47">
      <formula>CS4=1</formula>
    </cfRule>
  </conditionalFormatting>
  <conditionalFormatting sqref="V5 V7 V9 V11 V13">
    <cfRule type="expression" dxfId="3878" priority="28">
      <formula>E4=""</formula>
    </cfRule>
  </conditionalFormatting>
  <conditionalFormatting sqref="V15 V17 V19 V21 V23 V25">
    <cfRule type="expression" dxfId="3877" priority="27">
      <formula>E14=""</formula>
    </cfRule>
  </conditionalFormatting>
  <conditionalFormatting sqref="V4 V6 V8 V10 V12">
    <cfRule type="expression" dxfId="3876" priority="21">
      <formula>CT4=1</formula>
    </cfRule>
  </conditionalFormatting>
  <conditionalFormatting sqref="V14 V16 V18 V20 V22 V24">
    <cfRule type="expression" dxfId="3875" priority="20">
      <formula>CW14=1</formula>
    </cfRule>
  </conditionalFormatting>
  <conditionalFormatting sqref="E127:T324 BH127:BW324">
    <cfRule type="expression" dxfId="3874" priority="7">
      <formula>AND(E125="",E127="")</formula>
    </cfRule>
  </conditionalFormatting>
  <conditionalFormatting sqref="D127:D324 BG127:BG324">
    <cfRule type="expression" dxfId="3873" priority="6">
      <formula>AND(E125="",E127="")</formula>
    </cfRule>
  </conditionalFormatting>
  <conditionalFormatting sqref="U127:U324 BX127:BX324">
    <cfRule type="expression" dxfId="3872" priority="5">
      <formula>AND(E125="",E127="")</formula>
    </cfRule>
  </conditionalFormatting>
  <conditionalFormatting sqref="AB127:AK324 AQ127:AZ324">
    <cfRule type="expression" dxfId="3871" priority="3">
      <formula>AND(AB125="",AB127="")</formula>
    </cfRule>
  </conditionalFormatting>
  <conditionalFormatting sqref="AA127:AA324 AP127:AP324">
    <cfRule type="expression" dxfId="3870" priority="2">
      <formula>AND(AB125="",AB127="")</formula>
    </cfRule>
  </conditionalFormatting>
  <conditionalFormatting sqref="AL127:AL324 BA127:BA324">
    <cfRule type="expression" dxfId="3869" priority="1">
      <formula>AND(AB125="",AB127="")</formula>
    </cfRule>
  </conditionalFormatting>
  <conditionalFormatting sqref="D26:D37">
    <cfRule type="expression" dxfId="3868" priority="32292">
      <formula>E26=""</formula>
    </cfRule>
    <cfRule type="expression" dxfId="3867" priority="51938">
      <formula>AND($B$1=28,U26&lt;100%,$AK$2="JUN")</formula>
    </cfRule>
    <cfRule type="expression" dxfId="3866" priority="51939">
      <formula>AND($B$1=29,U26&lt;100%,$AK$2="MAY")</formula>
    </cfRule>
    <cfRule type="expression" dxfId="3865" priority="51940">
      <formula>AND($B$1=28,U26&lt;100%,$AK$2="APR")</formula>
    </cfRule>
    <cfRule type="expression" dxfId="3864" priority="51941">
      <formula>AND($B$1=29,U26&lt;100%,$AK$2="MAR")</formula>
    </cfRule>
    <cfRule type="expression" dxfId="3863" priority="51942">
      <formula>AND($B$1=29,U26&lt;100%,$AK$2="JAN")</formula>
    </cfRule>
    <cfRule type="expression" dxfId="3862" priority="51943">
      <formula>AND($B$1=29,U26&lt;100%,$AK$2="DEC")</formula>
    </cfRule>
    <cfRule type="expression" dxfId="3861" priority="51944">
      <formula>AND($B$1=28,U26&lt;100%,$AK$2="NOV")</formula>
    </cfRule>
    <cfRule type="expression" dxfId="3860" priority="51945">
      <formula>AND($B$1=29,U26&lt;100%,$AK$2="OCT")</formula>
    </cfRule>
    <cfRule type="expression" dxfId="3859" priority="51946">
      <formula>AND($B$1=28,U26&lt;100%,$AK$2="SEP")</formula>
    </cfRule>
    <cfRule type="expression" dxfId="3858" priority="51947">
      <formula>AND($B$1=29,U26&lt;100%,$AK$2="AUG")</formula>
    </cfRule>
    <cfRule type="expression" dxfId="3857" priority="51948">
      <formula>AND($B$1=29,U26&lt;100%,$AK$2="JUL")</formula>
    </cfRule>
    <cfRule type="expression" dxfId="3856" priority="51949">
      <formula>AND($B$1=27,U26&lt;100%,$AK$2="JUN")</formula>
    </cfRule>
    <cfRule type="expression" dxfId="3855" priority="51950">
      <formula>AND($B$1=29,U26&lt;100%,$AK$2="JUN")</formula>
    </cfRule>
    <cfRule type="expression" dxfId="3854" priority="51951">
      <formula>AND($B$1=28,U26&lt;100%,$AK$2="MAY")</formula>
    </cfRule>
    <cfRule type="expression" dxfId="3853" priority="51952">
      <formula>AND($B$1=30,U26&lt;100%,$AK$2="MAY")</formula>
    </cfRule>
    <cfRule type="expression" dxfId="3852" priority="51953">
      <formula>AND($B$1=27,U26&lt;100%,$AK$2="APR")</formula>
    </cfRule>
    <cfRule type="expression" dxfId="3851" priority="51954">
      <formula>AND($B$1=29,U26&lt;100%,$AK$2="APR")</formula>
    </cfRule>
    <cfRule type="expression" dxfId="3850" priority="51955">
      <formula>AND($B$1=28,U26&lt;100%,$AK$2="MAR")</formula>
    </cfRule>
    <cfRule type="expression" dxfId="3849" priority="51956">
      <formula>AND($B$1=30,U26&lt;100%,$AK$2="MAR")</formula>
    </cfRule>
    <cfRule type="expression" dxfId="3848" priority="51957">
      <formula>AND($B$1=28,U26&lt;100%,$AK$2="JAN")</formula>
    </cfRule>
    <cfRule type="expression" dxfId="3847" priority="51958">
      <formula>AND($B$1=30,U26&lt;100%,$AK$2="JAN")</formula>
    </cfRule>
    <cfRule type="expression" dxfId="3846" priority="51959">
      <formula>AND($B$1=28,U26&lt;100%,$AK$2="DEC")</formula>
    </cfRule>
    <cfRule type="expression" dxfId="3845" priority="51960">
      <formula>AND($B$1=30,U26&lt;100%,$AK$2="DEC")</formula>
    </cfRule>
    <cfRule type="expression" dxfId="3844" priority="51961">
      <formula>AND($B$1=27,U26&lt;100%,$AK$2="NOV")</formula>
    </cfRule>
    <cfRule type="expression" dxfId="3843" priority="51962">
      <formula>AND($B$1=29,U26&lt;100%,$AK$2="NOV")</formula>
    </cfRule>
    <cfRule type="expression" dxfId="3842" priority="51963">
      <formula>AND($B$1=28,U26&lt;100%,$AK$2="OCT")</formula>
    </cfRule>
    <cfRule type="expression" dxfId="3841" priority="51964">
      <formula>AND($B$1=30,U26&lt;100%,$AK$2="OCT")</formula>
    </cfRule>
    <cfRule type="expression" dxfId="3840" priority="51965">
      <formula>AND($B$1=27,U26&lt;100%,$AK$2="SEP")</formula>
    </cfRule>
    <cfRule type="expression" dxfId="3839" priority="51966">
      <formula>AND($B$1=29,U26&lt;100%,$AK$2="SEP")</formula>
    </cfRule>
    <cfRule type="expression" dxfId="3838" priority="51967">
      <formula>AND($B$1=28,U26&lt;100%,$AK$2="AUG")</formula>
    </cfRule>
    <cfRule type="expression" dxfId="3837" priority="51968">
      <formula>AND($B$1=30,U26&lt;100%,$AK$2="AUG")</formula>
    </cfRule>
    <cfRule type="expression" dxfId="3836" priority="51969">
      <formula>AND($B$1=28,U26&lt;100%,$AK$2="JUL")</formula>
    </cfRule>
    <cfRule type="expression" dxfId="3835" priority="51970">
      <formula>AND($B$1=30,U26&lt;100%,$AK$2="JUL")</formula>
    </cfRule>
    <cfRule type="expression" dxfId="3834" priority="51971">
      <formula>AND($B$1=31,U26&lt;100%)</formula>
    </cfRule>
    <cfRule type="expression" dxfId="3833" priority="51972">
      <formula>AND($B$1=31,U26&lt;100%,OR($AK$2="APR",$AK$2="JUN",$AK$2="SEP",$AK$2="NOV"))</formula>
    </cfRule>
    <cfRule type="expression" dxfId="3832" priority="51973">
      <formula>AND($B$1=32,U26&lt;100%)</formula>
    </cfRule>
  </conditionalFormatting>
  <conditionalFormatting sqref="AA14:AA37">
    <cfRule type="expression" dxfId="3831" priority="51975">
      <formula>OR(AB14="",AM14&lt;&gt;"")</formula>
    </cfRule>
    <cfRule type="expression" dxfId="3830" priority="51976">
      <formula>OR(AM14&lt;&gt;"",AL15="")</formula>
    </cfRule>
    <cfRule type="expression" dxfId="3829" priority="51977">
      <formula>AND(AND(($B$1+3)=AL15,AL14&lt;$BZ$43),$AK$2="JUN")</formula>
    </cfRule>
    <cfRule type="expression" dxfId="3828" priority="51978">
      <formula>AND(AND(($B$1+3)=AL15,AL14&lt;$BZ$43),$AK$2="MAY")</formula>
    </cfRule>
    <cfRule type="expression" dxfId="3827" priority="51979">
      <formula>AND(AND(($B$1+3)=AL15,AL14&lt;$BZ$43),$AK$2="MAR")</formula>
    </cfRule>
    <cfRule type="expression" dxfId="3826" priority="51980">
      <formula>AND(AND(($B$1+3)=AL15,AL14&lt;$BZ$43),$AK$2="APR")</formula>
    </cfRule>
    <cfRule type="expression" dxfId="3825" priority="51981">
      <formula>AND(AND(($B$1+3)=AL15,AL14&lt;$BZ$43),$AK$2="JAN")</formula>
    </cfRule>
    <cfRule type="expression" dxfId="3824" priority="51982">
      <formula>AND(AND(($B$1+3)=AL15,AL14&lt;$BZ$43),$AK$2="FEB")</formula>
    </cfRule>
    <cfRule type="expression" dxfId="3823" priority="51983">
      <formula>AND(AND(($B$1+3)=AL15,AL14&lt;$BZ$43),$AK$2="DEC")</formula>
    </cfRule>
    <cfRule type="expression" dxfId="3822" priority="51984">
      <formula>AND(AND(($B$1+3)=AL15,AL14&lt;$BZ$43),$AK$2="NOV")</formula>
    </cfRule>
    <cfRule type="expression" dxfId="3821" priority="51985">
      <formula>AND(AND(($B$1+3)=AL15,AL14&lt;$BZ$43),$AK$2="OCT")</formula>
    </cfRule>
    <cfRule type="expression" dxfId="3820" priority="51986">
      <formula>AND(AND(($B$1+3)=AL15,AL14&lt;$BZ$43),$AK$2="SEP")</formula>
    </cfRule>
    <cfRule type="expression" dxfId="3819" priority="51987">
      <formula>AND(AND(($B$1+3)=AL15,AL14&lt;$BZ$43),$AK$2="AUG")</formula>
    </cfRule>
    <cfRule type="expression" dxfId="3818" priority="51988">
      <formula>AND(AND(($B$1+3)=AL15,AL14&lt;$BZ$43),$AK$2="JUL")</formula>
    </cfRule>
    <cfRule type="expression" dxfId="3817" priority="51989">
      <formula>AND(AND(($B$1+2)=AL15,AL14&lt;$BZ$42),$AK$2="JUN")</formula>
    </cfRule>
    <cfRule type="expression" dxfId="3816" priority="51990">
      <formula>AND(AND(($B$1+2)=AL15,AL14&lt;$BZ$42),$AK$2="MAY")</formula>
    </cfRule>
    <cfRule type="expression" dxfId="3815" priority="51991">
      <formula>AND(AND(($B$1+2)=AL15,AL14&lt;$BZ$42),$AK$2="APR")</formula>
    </cfRule>
    <cfRule type="expression" dxfId="3814" priority="51992">
      <formula>AND(AND(($B$1+2)=AL15,AL14&lt;$BZ$42),$AK$2="MAR")</formula>
    </cfRule>
    <cfRule type="expression" dxfId="3813" priority="51993">
      <formula>AND(AND(($B$1+2)=AL15,AL14&lt;$BZ$42),$AK$2="FEB")</formula>
    </cfRule>
    <cfRule type="expression" dxfId="3812" priority="51994">
      <formula>AND(AND(($B$1+2)=AL15,AL14&lt;$BZ$42),$AK$2="JAN")</formula>
    </cfRule>
    <cfRule type="expression" dxfId="3811" priority="51995">
      <formula>AND(AND(($B$1+2)=AL15,AL14&lt;$BZ$42),$AK$2="DEC")</formula>
    </cfRule>
    <cfRule type="expression" dxfId="3810" priority="51996">
      <formula>AND(AND(($B$1+2)=AL15,AL14&lt;$BZ$42),$AK$2="NOV")</formula>
    </cfRule>
    <cfRule type="expression" dxfId="3809" priority="51997">
      <formula>AND(AND(($B$1+2)=AL15,AL14&lt;$BZ$42),$AK$2="OCT")</formula>
    </cfRule>
    <cfRule type="expression" dxfId="3808" priority="51998">
      <formula>AND(AND(($B$1+2)=AL15,AL14&lt;$BZ$42),$AK$2="SEP")</formula>
    </cfRule>
    <cfRule type="expression" dxfId="3807" priority="51999">
      <formula>AND(AND(($B$1+2)=AL15,AL14&lt;$BZ$42),$AK$2="AUG")</formula>
    </cfRule>
    <cfRule type="expression" dxfId="3806" priority="52000">
      <formula>AND(AND(($B$1+2)=AL15,AL14&lt;$BZ$42),$AK$2="JUL")</formula>
    </cfRule>
    <cfRule type="expression" dxfId="3805" priority="52001">
      <formula>AND(AND(($B$1+1)=AL15,AL14&lt;$BZ$41),$AK$2="JUN")</formula>
    </cfRule>
    <cfRule type="expression" dxfId="3804" priority="52002">
      <formula>AND(AND(($B$1+1)=AL15,AL14&lt;$BZ$41),$AK$2="MAY")</formula>
    </cfRule>
    <cfRule type="expression" dxfId="3803" priority="52003">
      <formula>AND(AND(($B$1+1)=AL15,AL14&lt;$BZ$41),$AK$2="APR")</formula>
    </cfRule>
    <cfRule type="expression" dxfId="3802" priority="52004">
      <formula>AND(AND(($B$1+1)=AL15,AL14&lt;$BZ$41),$AK$2="MAR")</formula>
    </cfRule>
    <cfRule type="expression" dxfId="3801" priority="52005">
      <formula>AND(AND(($B$1+1)=AL15,AL14&lt;$BZ$41),$AK$2="FEB")</formula>
    </cfRule>
    <cfRule type="expression" dxfId="3800" priority="52006">
      <formula>AND(AND(($B$1+1)=AL15,AL14&lt;$BZ$41),$AK$2="JAN")</formula>
    </cfRule>
    <cfRule type="expression" dxfId="3799" priority="52007">
      <formula>AND(AND(($B$1+1)=AL15,AL14&lt;$BZ$41),$AK$2="DEC")</formula>
    </cfRule>
    <cfRule type="expression" dxfId="3798" priority="52008">
      <formula>AND(AND(($B$1+1)=AL15,AL14&lt;$BZ$41),$AK$2="NOV")</formula>
    </cfRule>
    <cfRule type="expression" dxfId="3797" priority="52009">
      <formula>AND(AND(($B$1+1)=AL15,AL14&lt;$BZ$41),$AK$2="OCT")</formula>
    </cfRule>
    <cfRule type="expression" dxfId="3796" priority="52010">
      <formula>AND(AND(($B$1+1)=AL15,AL14&lt;$BZ$41),$AK$2="SEP")</formula>
    </cfRule>
    <cfRule type="expression" dxfId="3795" priority="52011">
      <formula>AND(AND(($B$1+1)=AL15,AL14&lt;$BZ$41),$AK$2="AUG")</formula>
    </cfRule>
    <cfRule type="expression" dxfId="3794" priority="52012">
      <formula>AND(AND(($B$1+1)=AL15,AL14&lt;$BZ$41),$AK$2="JUL")</formula>
    </cfRule>
    <cfRule type="expression" dxfId="3793" priority="52013">
      <formula>AND($B$1=AL15,AL14&lt;$BZ$40)</formula>
    </cfRule>
    <cfRule type="expression" dxfId="3792" priority="52014">
      <formula>AND($B$1&gt;AL15,AL14&lt;100%)</formula>
    </cfRule>
  </conditionalFormatting>
  <conditionalFormatting sqref="BA14 BA16 BA18 BA20 BA22 BA24 BA26 BA28 BA30 BA32 BA34 BA36">
    <cfRule type="expression" dxfId="3791" priority="52015">
      <formula>OR(AO14&lt;&gt;"",AQ14="")</formula>
    </cfRule>
    <cfRule type="expression" dxfId="3790" priority="52016">
      <formula>OR(AO14&lt;&gt;"",AP15="")</formula>
    </cfRule>
    <cfRule type="expression" dxfId="3789" priority="52017">
      <formula>AND(AND(($B$1+3)=AP15,AP14&lt;$BZ$43),$AK$2="JUN")</formula>
    </cfRule>
    <cfRule type="expression" dxfId="3788" priority="52018">
      <formula>AND(AND(($B$1+3)=AP15,AP14&lt;$BZ$43),$AK$2="MAY")</formula>
    </cfRule>
    <cfRule type="expression" dxfId="3787" priority="52019">
      <formula>AND(AND(($B$1+3)=AP15,AP14&lt;$BZ$43),$AK$2="MAR")</formula>
    </cfRule>
    <cfRule type="expression" dxfId="3786" priority="52020">
      <formula>AND(AND(($B$1+3)=AP15,AP14&lt;$BZ$43),$AK$2="APR")</formula>
    </cfRule>
    <cfRule type="expression" dxfId="3785" priority="52021">
      <formula>AND(AND(($B$1+3)=AP15,AP14&lt;$BZ$43),$AK$2="JAN")</formula>
    </cfRule>
    <cfRule type="expression" dxfId="3784" priority="52022">
      <formula>AND(AND(($B$1+3)=AP15,AP14&lt;$BZ$43),$AK$2="FEB")</formula>
    </cfRule>
    <cfRule type="expression" dxfId="3783" priority="52023">
      <formula>AND(AND(($B$1+3)=AP15,AP14&lt;$BZ$43),$AK$2="DEC")</formula>
    </cfRule>
    <cfRule type="expression" dxfId="3782" priority="52024">
      <formula>AND(AND(($B$1+3)=AP15,AP14&lt;$BZ$43),$AK$2="NOV")</formula>
    </cfRule>
    <cfRule type="expression" dxfId="3781" priority="52025">
      <formula>AND(AND(($B$1+3)=AP15,AP14&lt;$BZ$43),$AK$2="OCT")</formula>
    </cfRule>
    <cfRule type="expression" dxfId="3780" priority="52026">
      <formula>AND(AND(($B$1+3)=AP15,AP14&lt;$BZ$43),$AK$2="SEP")</formula>
    </cfRule>
    <cfRule type="expression" dxfId="3779" priority="52027">
      <formula>AND(AND(($B$1+3)=AP15,AP14&lt;$BZ$43),$AK$2="AUG")</formula>
    </cfRule>
    <cfRule type="expression" dxfId="3778" priority="52028">
      <formula>AND(AND(($B$1+3)=AP15,AP14&lt;$BZ$43),$AK$2="JUL")</formula>
    </cfRule>
    <cfRule type="expression" dxfId="3777" priority="52029">
      <formula>AND(AND(($B$1+2)=AP15,AP14&lt;$BZ$42),$AK$2="JUN")</formula>
    </cfRule>
    <cfRule type="expression" dxfId="3776" priority="52030">
      <formula>AND(AND(($B$1+2)=AP15,AP14&lt;$BZ$42),$AK$2="MAY")</formula>
    </cfRule>
    <cfRule type="expression" dxfId="3775" priority="52031">
      <formula>AND(AND(($B$1+2)=AP15,AP14&lt;$BZ$42),$AK$2="APR")</formula>
    </cfRule>
    <cfRule type="expression" dxfId="3774" priority="52032">
      <formula>AND(AND(($B$1+2)=AP15,AP14&lt;$BZ$42),$AK$2="MAR")</formula>
    </cfRule>
    <cfRule type="expression" dxfId="3773" priority="52033">
      <formula>AND(AND(($B$1+2)=AP15,AP14&lt;$BZ$42),$AK$2="FEB")</formula>
    </cfRule>
    <cfRule type="expression" dxfId="3772" priority="52034">
      <formula>AND(AND(($B$1+2)=AP15,AP14&lt;$BZ$42),$AK$2="JAN")</formula>
    </cfRule>
    <cfRule type="expression" dxfId="3771" priority="52035">
      <formula>AND(AND(($B$1+2)=AP15,AP14&lt;$BZ$42),$AK$2="DEC")</formula>
    </cfRule>
    <cfRule type="expression" dxfId="3770" priority="52036">
      <formula>AND(AND(($B$1+2)=AP15,AP14&lt;$BZ$42),$AK$2="NOV")</formula>
    </cfRule>
    <cfRule type="expression" dxfId="3769" priority="52037">
      <formula>AND(AND(($B$1+2)=AP15,AP14&lt;$BZ$42),$AK$2="OCT")</formula>
    </cfRule>
    <cfRule type="expression" dxfId="3768" priority="52038">
      <formula>AND(AND(($B$1+2)=AP15,AP14&lt;$BZ$42),$AK$2="SEP")</formula>
    </cfRule>
    <cfRule type="expression" dxfId="3767" priority="52039">
      <formula>AND(AND(($B$1+2)=AP15,AP14&lt;$BZ$42),$AK$2="AUG")</formula>
    </cfRule>
    <cfRule type="expression" dxfId="3766" priority="52040">
      <formula>AND(AND(($B$1+2)=AP15,AP14&lt;$BZ$42),$AK$2="JUL")</formula>
    </cfRule>
    <cfRule type="expression" dxfId="3765" priority="52041">
      <formula>AND(AND(($B$1+1)=AP15,AP14&lt;$BZ$41),$AK$2="JUN")</formula>
    </cfRule>
    <cfRule type="expression" dxfId="3764" priority="52042">
      <formula>AND(AND(($B$1+1)=AP15,AP14&lt;$BZ$41),$AK$2="MAY")</formula>
    </cfRule>
    <cfRule type="expression" dxfId="3763" priority="52043">
      <formula>AND(AND(($B$1+1)=AP15,AP14&lt;$BZ$41),$AK$2="APR")</formula>
    </cfRule>
    <cfRule type="expression" dxfId="3762" priority="52044">
      <formula>AND(AND(($B$1+1)=AP15,AP14&lt;$BZ$41),$AK$2="MAR")</formula>
    </cfRule>
    <cfRule type="expression" dxfId="3761" priority="52045">
      <formula>AND(AND(($B$1+1)=AP15,AP14&lt;$BZ$41),$AK$2="FEB")</formula>
    </cfRule>
    <cfRule type="expression" dxfId="3760" priority="52046">
      <formula>AND(AND(($B$1+1)=AP15,AP14&lt;$BZ$41),$AK$2="JAN")</formula>
    </cfRule>
    <cfRule type="expression" dxfId="3759" priority="52047">
      <formula>AND(AND(($B$1+1)=AP15,AP14&lt;$BZ$41),$AK$2="DEC")</formula>
    </cfRule>
    <cfRule type="expression" dxfId="3758" priority="52048">
      <formula>AND(AND(($B$1+1)=AP15,AP14&lt;$BZ$41),$AK$2="NOV")</formula>
    </cfRule>
    <cfRule type="expression" dxfId="3757" priority="52049">
      <formula>AND(AND(($B$1+1)=AP15,AP14&lt;$BZ$41),$AK$2="OCT")</formula>
    </cfRule>
    <cfRule type="expression" dxfId="3756" priority="52050">
      <formula>AND(AND(($B$1+1)=AP15,AP14&lt;$BZ$41),$AK$2="SEP")</formula>
    </cfRule>
    <cfRule type="expression" dxfId="3755" priority="52051">
      <formula>AND(AND(($B$1+1)=AP15,AP14&lt;$BZ$41),$AK$2="AUG")</formula>
    </cfRule>
    <cfRule type="expression" dxfId="3754" priority="52052">
      <formula>AND(AND(($B$1+1)=AP15,AP14&lt;$BZ$41),$AK$2="JUL")</formula>
    </cfRule>
    <cfRule type="expression" dxfId="3753" priority="52053">
      <formula>AND($B$1=AP15,AP14&lt;$BZ$40)</formula>
    </cfRule>
    <cfRule type="expression" dxfId="3752" priority="52054">
      <formula>AND($B$1&gt;AP15,AP14&lt;100%)</formula>
    </cfRule>
  </conditionalFormatting>
  <conditionalFormatting sqref="BX4 BX6 BX8 BX10 BX12 BX14 BX16 BX18 BX20 BX22 BX24 BX26 BX28 BX30 BX32 BX34 BX36">
    <cfRule type="expression" dxfId="3751" priority="52495">
      <formula>OR(BF4&lt;&gt;"",BH4="")</formula>
    </cfRule>
    <cfRule type="expression" dxfId="3750" priority="52496">
      <formula>OR(BF4&lt;&gt;"",BG5="")</formula>
    </cfRule>
    <cfRule type="expression" dxfId="3749" priority="52497">
      <formula>AND(AND(($B$1+3)=BG5,BG4&lt;$BZ$43),$AK$2="JUN")</formula>
    </cfRule>
    <cfRule type="expression" dxfId="3748" priority="52498">
      <formula>AND(AND(($B$1+3)=BG5,BG4&lt;$BZ$43),$AK$2="MAY")</formula>
    </cfRule>
    <cfRule type="expression" dxfId="3747" priority="52499">
      <formula>AND(AND(($B$1+3)=BG5,BG4&lt;$BZ$43),$AK$2="MAR")</formula>
    </cfRule>
    <cfRule type="expression" dxfId="3746" priority="52500">
      <formula>AND(AND(($B$1+3)=BG5,BG4&lt;$BZ$43),$AK$2="APR")</formula>
    </cfRule>
    <cfRule type="expression" dxfId="3745" priority="52501">
      <formula>AND(AND(($B$1+3)=BG5,BG4&lt;$BZ$43),$AK$2="JAN")</formula>
    </cfRule>
    <cfRule type="expression" dxfId="3744" priority="52502">
      <formula>AND(AND(($B$1+3)=BG5,BG4&lt;$BZ$43),$AK$2="FEB")</formula>
    </cfRule>
    <cfRule type="expression" dxfId="3743" priority="52503">
      <formula>AND(AND(($B$1+3)=BG5,BG4&lt;$BZ$43),$AK$2="DEC")</formula>
    </cfRule>
    <cfRule type="expression" dxfId="3742" priority="52504">
      <formula>AND(AND(($B$1+3)=BG5,BG4&lt;$BZ$43),$AK$2="NOV")</formula>
    </cfRule>
    <cfRule type="expression" dxfId="3741" priority="52505">
      <formula>AND(AND(($B$1+3)=BG5,BG4&lt;$BZ$43),$AK$2="OCT")</formula>
    </cfRule>
    <cfRule type="expression" dxfId="3740" priority="52506">
      <formula>AND(AND(($B$1+3)=BG5,BG4&lt;$BZ$43),$AK$2="SEP")</formula>
    </cfRule>
    <cfRule type="expression" dxfId="3739" priority="52507">
      <formula>AND(AND(($B$1+3)=BG5,BG4&lt;$BZ$43),$AK$2="AUG")</formula>
    </cfRule>
    <cfRule type="expression" dxfId="3738" priority="52508">
      <formula>AND(AND(($B$1+3)=BG5,BG4&lt;$BZ$43),$AK$2="JUL")</formula>
    </cfRule>
    <cfRule type="expression" dxfId="3737" priority="52509">
      <formula>AND(AND(($B$1+2)=BG5,BG4&lt;$BZ$42),$AK$2="JUN")</formula>
    </cfRule>
    <cfRule type="expression" dxfId="3736" priority="52510">
      <formula>AND(AND(($B$1+2)=BG5,BG4&lt;$BZ$42),$AK$2="MAY")</formula>
    </cfRule>
    <cfRule type="expression" dxfId="3735" priority="52511">
      <formula>AND(AND(($B$1+2)=BG5,BG4&lt;$BZ$42),$AK$2="APR")</formula>
    </cfRule>
    <cfRule type="expression" dxfId="3734" priority="52512">
      <formula>AND(AND(($B$1+2)=BG5,BG4&lt;$BZ$42),$AK$2="MAR")</formula>
    </cfRule>
    <cfRule type="expression" dxfId="3733" priority="52513">
      <formula>AND(AND(($B$1+2)=BG5,BG4&lt;$BZ$42),$AK$2="FEB")</formula>
    </cfRule>
    <cfRule type="expression" dxfId="3732" priority="52514">
      <formula>AND(AND(($B$1+2)=BG5,BG4&lt;$BZ$42),$AK$2="JAN")</formula>
    </cfRule>
    <cfRule type="expression" dxfId="3731" priority="52515">
      <formula>AND(AND(($B$1+2)=BG5,BG4&lt;$BZ$42),$AK$2="DEC")</formula>
    </cfRule>
    <cfRule type="expression" dxfId="3730" priority="52516">
      <formula>AND(AND(($B$1+2)=BG5,BG4&lt;$BZ$42),$AK$2="NOV")</formula>
    </cfRule>
    <cfRule type="expression" dxfId="3729" priority="52517">
      <formula>AND(AND(($B$1+2)=BG5,BG4&lt;$BZ$42),$AK$2="OCT")</formula>
    </cfRule>
    <cfRule type="expression" dxfId="3728" priority="52518">
      <formula>AND(AND(($B$1+2)=BG5,BG4&lt;$BZ$42),$AK$2="SEP")</formula>
    </cfRule>
    <cfRule type="expression" dxfId="3727" priority="52519">
      <formula>AND(AND(($B$1+2)=BG5,BG4&lt;$BZ$42),$AK$2="AUG")</formula>
    </cfRule>
    <cfRule type="expression" dxfId="3726" priority="52520">
      <formula>AND(AND(($B$1+2)=BG5,BG4&lt;$BZ$42),$AK$2="JUL")</formula>
    </cfRule>
    <cfRule type="expression" dxfId="3725" priority="52521">
      <formula>AND(AND(($B$1+1)=BG5,BG4&lt;$BZ$41),$AK$2="JUN")</formula>
    </cfRule>
    <cfRule type="expression" dxfId="3724" priority="52522">
      <formula>AND(AND(($B$1+1)=BG5,BG4&lt;$BZ$41),$AK$2="MAY")</formula>
    </cfRule>
    <cfRule type="expression" dxfId="3723" priority="52523">
      <formula>AND(AND(($B$1+1)=BG5,BG4&lt;$BZ$41),$AK$2="APR")</formula>
    </cfRule>
    <cfRule type="expression" dxfId="3722" priority="52524">
      <formula>AND(AND(($B$1+1)=BG5,BG4&lt;$BZ$41),$AK$2="MAR")</formula>
    </cfRule>
    <cfRule type="expression" dxfId="3721" priority="52525">
      <formula>AND(AND(($B$1+1)=BG5,BG4&lt;$BZ$41),$AK$2="FEB")</formula>
    </cfRule>
    <cfRule type="expression" dxfId="3720" priority="52526">
      <formula>AND(AND(($B$1+1)=BG5,BG4&lt;$BZ$41),$AK$2="JAN")</formula>
    </cfRule>
    <cfRule type="expression" dxfId="3719" priority="52527">
      <formula>AND(AND(($B$1+1)=BG5,BG4&lt;$BZ$41),$AK$2="DEC")</formula>
    </cfRule>
    <cfRule type="expression" dxfId="3718" priority="52528">
      <formula>AND(AND(($B$1+1)=BG5,BG4&lt;$BZ$41),$AK$2="NOV")</formula>
    </cfRule>
    <cfRule type="expression" dxfId="3717" priority="52529">
      <formula>AND(AND(($B$1+1)=BG5,BG4&lt;$BZ$41),$AK$2="OCT")</formula>
    </cfRule>
    <cfRule type="expression" dxfId="3716" priority="52530">
      <formula>AND(AND(($B$1+1)=BG5,BG4&lt;$BZ$41),$AK$2="SEP")</formula>
    </cfRule>
    <cfRule type="expression" dxfId="3715" priority="52531">
      <formula>AND(AND(($B$1+1)=BG5,BG4&lt;$BZ$41),$AK$2="AUG")</formula>
    </cfRule>
    <cfRule type="expression" dxfId="3714" priority="52532">
      <formula>AND(AND(($B$1+1)=BG5,BG4&lt;$BZ$41),$AK$2="JUL")</formula>
    </cfRule>
    <cfRule type="expression" dxfId="3713" priority="52533">
      <formula>AND($B$1=BG5,BG4&lt;$BZ$40)</formula>
    </cfRule>
    <cfRule type="expression" dxfId="3712" priority="52534">
      <formula>AND($B$1&gt;BG5,BG4&lt;100%)</formula>
    </cfRule>
  </conditionalFormatting>
  <conditionalFormatting sqref="K12:S12">
    <cfRule type="expression" dxfId="3711" priority="58786">
      <formula>AND(#REF!&gt;0%,AA13=$AM$2)</formula>
    </cfRule>
  </conditionalFormatting>
  <conditionalFormatting sqref="K11:S11">
    <cfRule type="expression" dxfId="3710" priority="58787">
      <formula>AND(AA11&gt;0%,#REF!=$AM$2)</formula>
    </cfRule>
  </conditionalFormatting>
  <conditionalFormatting sqref="AD18">
    <cfRule type="expression" dxfId="3709" priority="58800">
      <formula>AND($AL$9=$AM$2,$AL$6=AC18)</formula>
    </cfRule>
    <cfRule type="expression" dxfId="3708" priority="58801">
      <formula>#REF!&gt;0%</formula>
    </cfRule>
  </conditionalFormatting>
  <conditionalFormatting sqref="AD20">
    <cfRule type="expression" dxfId="3707" priority="58802">
      <formula>AND($AL$9=$AM$2,$AL$6=AC20)</formula>
    </cfRule>
    <cfRule type="expression" dxfId="3706" priority="58803">
      <formula>AN18&gt;0%</formula>
    </cfRule>
  </conditionalFormatting>
  <dataValidations count="51">
    <dataValidation type="list" errorStyle="information" allowBlank="1" showInputMessage="1" showErrorMessage="1" errorTitle="Enter Day Date" error="Number 1 to 31" sqref="BG37 BG35 BG33 BG31 BG29 BG27 BG25 BG23 BG21 BG19 BG17 BG15 BG13 BG11 BG9 BG7 AL15 AL17 AL19 AL21 AL23 AL25 AL27 AL29 AL31 AL33 AL35 AL37 AP37 AP35 AP33 AP31 AP29 AP27 AP25 AP23 AP21 AP19 AP17 AP15 BG5" xr:uid="{22172B83-1E36-4898-849E-6DF5A6793F57}">
      <formula1>$CC$66:$CC$96</formula1>
    </dataValidation>
    <dataValidation type="list" allowBlank="1" showInputMessage="1" showErrorMessage="1" errorTitle="Enter Letter-Number Code" error="Valid codes are:_x000a_- Repeating: Month_x000a_- Singular: Now, Soon or Later_x000a_- Skills: any_x000a__x000a_[Repeating Day and Week are not valid]" prompt="Select the mission to focus on._x000a__x000a_" sqref="AL6:AP8" xr:uid="{F0AC3C2A-CFB4-497A-8AF6-24922C5ACE42}">
      <formula1>$CI$78:$CI$125</formula1>
    </dataValidation>
    <dataValidation type="decimal" allowBlank="1" showInputMessage="1" showErrorMessage="1" errorTitle="Enter a percentage" error="0% to 100%" sqref="U34 BG14 U32 BG4 U28 U36 AP14 AP16 AP18 AP20 AP22 AP24 AP26 AP28 AP30 AP32 AP34 AP36 U22 U20 U18 U16 U14 U12 BG24 BG12 BG10 BG8 BG6 U30 U10 U8 U6 U4 BG26 BG28 BG36 BG34 BG32 BG30 U26 BG22 BG20 BG18 BG16 U24 AL36 AL34 AL32 AL30 AL28 AL26 AL24 AL22 AL20 AL18 AL16 AL14" xr:uid="{049366C2-D297-4D67-B79B-7B517A64F7E7}">
      <formula1>0</formula1>
      <formula2>1</formula2>
    </dataValidation>
    <dataValidation type="list" allowBlank="1" showInputMessage="1" showErrorMessage="1" prompt="Choose a skill to focus missions on." sqref="Y14:Z37 BB14:BC37" xr:uid="{7B0C6635-C2E8-4A07-90C8-801EE043F875}">
      <formula1>$CO$40:$CO$57</formula1>
    </dataValidation>
    <dataValidation type="list" allowBlank="1" showInputMessage="1" showErrorMessage="1" sqref="U125:U324 AP125:AP324 BG125:BG324 AL125:AL324" xr:uid="{08A6178A-750C-4D47-A4DE-9BFA81BEBEB5}">
      <formula1>$CD$66:$CD$77</formula1>
    </dataValidation>
    <dataValidation type="list" allowBlank="1" showInputMessage="1" showErrorMessage="1" sqref="AA83:AA118 AA125:AA324 BA125:BA324 BA83:BA118" xr:uid="{545323AE-A89E-4EE9-BCDE-1D7E98FFA40E}">
      <formula1>$CO$59:$CO$76</formula1>
    </dataValidation>
    <dataValidation type="list" allowBlank="1" showInputMessage="1" showErrorMessage="1" sqref="D125:D324 D83:D118" xr:uid="{7512238F-AFF4-4F92-915E-458FF91E7E65}">
      <formula1>$CC$101:$CC$103</formula1>
    </dataValidation>
    <dataValidation type="list" allowBlank="1" showInputMessage="1" showErrorMessage="1" sqref="BX83:BX118 BX125:BX324" xr:uid="{7A47D664-81D6-4CC7-9A2E-645B4F7B8129}">
      <formula1>$CC$105:$CC$107</formula1>
    </dataValidation>
    <dataValidation allowBlank="1" showInputMessage="1" showErrorMessage="1" prompt="Status of current mission focus or previous one. " sqref="AL10:AP10" xr:uid="{84BCBEC0-C0D7-4D5B-8BD5-3B0208361330}"/>
    <dataValidation allowBlank="1" showInputMessage="1" showErrorMessage="1" promptTitle="Focus" prompt="Choose and highlight a mission to focus on in the central cell below." sqref="AL4:AP4" xr:uid="{21D48387-C24F-482C-8E48-603F459CF316}"/>
    <dataValidation type="list" allowBlank="1" showInputMessage="1" showErrorMessage="1" sqref="E43:E47" xr:uid="{0439C4A7-8AB7-4980-81D2-23C9BD1FC458}">
      <formula1>$N$41</formula1>
    </dataValidation>
    <dataValidation type="list" allowBlank="1" showInputMessage="1" showErrorMessage="1" sqref="F43:F47" xr:uid="{01A172A7-038A-4DB0-9F56-3DE27758384E}">
      <formula1>$O$41</formula1>
    </dataValidation>
    <dataValidation type="list" allowBlank="1" showInputMessage="1" showErrorMessage="1" sqref="G43:G47" xr:uid="{6E4B090F-5462-487C-9A9D-9458858AC368}">
      <formula1>$P$41</formula1>
    </dataValidation>
    <dataValidation type="list" allowBlank="1" showInputMessage="1" showErrorMessage="1" sqref="H43:H47" xr:uid="{6611E023-BF48-45BC-B397-EB8E7A166B12}">
      <formula1>$Q$41</formula1>
    </dataValidation>
    <dataValidation type="list" allowBlank="1" showInputMessage="1" showErrorMessage="1" sqref="I43:I47" xr:uid="{50F1AC78-7289-4618-9C6A-42B0E9EAFB4C}">
      <formula1>$R$41</formula1>
    </dataValidation>
    <dataValidation type="list" allowBlank="1" showInputMessage="1" showErrorMessage="1" sqref="J43:J47" xr:uid="{26374EAC-EDE7-460B-8D8E-72210E4877C5}">
      <formula1>$S$41</formula1>
    </dataValidation>
    <dataValidation type="list" allowBlank="1" showInputMessage="1" showErrorMessage="1" sqref="K43:K47" xr:uid="{2F3A8C97-2985-41FF-A202-44B90B31ABE8}">
      <formula1>$T$41</formula1>
    </dataValidation>
    <dataValidation allowBlank="1" showInputMessage="1" showErrorMessage="1" prompt="Count of ongoing Skill missions (left and right side)" sqref="AA10:AF10" xr:uid="{992362E5-437E-4589-BB11-7517AD11D345}"/>
    <dataValidation allowBlank="1" showInputMessage="1" showErrorMessage="1" prompt="Count of complete Skill missions (left and right side)" sqref="AV10:BA10" xr:uid="{1917FD85-67B3-4B81-BD33-D73DEEBE7DC6}"/>
    <dataValidation allowBlank="1" showInputMessage="1" showErrorMessage="1" prompt="Count of ongoing Singular missions (Now, Soon, Later)" sqref="AA9:AF9" xr:uid="{A036786F-A940-4723-89B1-281CD308D43A}"/>
    <dataValidation allowBlank="1" showInputMessage="1" showErrorMessage="1" prompt="Count of complete Singular missions (Now, Soon, Later)" sqref="AV9:BA9" xr:uid="{1C9DA584-A299-445B-BE42-3B6161DB5954}"/>
    <dataValidation allowBlank="1" showInputMessage="1" showErrorMessage="1" prompt="Count of ongoing Repeating missions (Day and Week repeat targets not yet met, Month not complete)" sqref="AA8:AF8" xr:uid="{ED0EF383-5DC0-41BE-A72E-001F3225A6EC}"/>
    <dataValidation allowBlank="1" showInputMessage="1" showErrorMessage="1" prompt="Count of complete Repeating missions (Day and Week repeat targets met, Month complete)" sqref="AV8:BA8" xr:uid="{0EDEF2A1-D498-4173-9AD0-AAFF3B159A1E}"/>
    <dataValidation type="list" errorStyle="information" allowBlank="1" showInputMessage="1" showErrorMessage="1" errorTitle="Enter Month" error="Short form, caps, eg. MTH" sqref="AM14:AM37 AO14:AO37 BF4:BF37" xr:uid="{70B937A5-5346-41F8-9727-CA48408B4EE6}">
      <formula1>$CE$66:$CE$68</formula1>
    </dataValidation>
    <dataValidation type="list" allowBlank="1" showDropDown="1" showInputMessage="1" showErrorMessage="1" sqref="U5 U7 U9 U11 U13" xr:uid="{5A512A94-08AC-4839-B77F-9C046BFF3726}">
      <formula1>$AM$2</formula1>
    </dataValidation>
    <dataValidation type="whole" allowBlank="1" showInputMessage="1" showErrorMessage="1" promptTitle="Repeats Count" prompt="Number of times weekly mission has been completed. " sqref="V14 V16 V18 V20 V22 V24" xr:uid="{51E1A52C-287F-4FBC-9C45-3C8F7FEA1928}">
      <formula1>0</formula1>
      <formula2>31</formula2>
    </dataValidation>
    <dataValidation type="list" allowBlank="1" showDropDown="1" showInputMessage="1" showErrorMessage="1" sqref="U15 U17 U19 U21 U23 U25" xr:uid="{0EF393E0-285E-44F2-AACF-FC32585805FE}">
      <formula1>$AP$2</formula1>
    </dataValidation>
    <dataValidation type="list" allowBlank="1" showDropDown="1" showInputMessage="1" showErrorMessage="1" sqref="U27 U29 U31 U33 U35 U37" xr:uid="{593B7708-CEE1-4DD6-A0CF-6D4267299D70}">
      <formula1>$AK$2</formula1>
    </dataValidation>
    <dataValidation allowBlank="1" showInputMessage="1" showErrorMessage="1" promptTitle="Repeating Missions" prompt="Day date, week number and current month automatically updated when adding progress percentage. " sqref="D2:U3" xr:uid="{D34BD2F8-C926-4FF0-B513-BB6C303F480D}"/>
    <dataValidation allowBlank="1" showInputMessage="1" showErrorMessage="1" promptTitle="Day" prompt="Missions that reset automatically at the end of the day. _x000a__x000a_Day date automatically updated when adding progress percentage. " sqref="B4:C13" xr:uid="{6D57FA39-0C97-48C4-9DAA-2C8EEE52C756}"/>
    <dataValidation allowBlank="1" showInputMessage="1" showErrorMessage="1" promptTitle="Week" prompt="Missions that reset automatically at the end of the week. _x000a__x000a_Week number automatically updated when adding progress percentage. " sqref="B14:C25" xr:uid="{998E3D8B-ED7F-4B2C-91D9-EA7EDBAFF6A2}"/>
    <dataValidation allowBlank="1" showInputMessage="1" showErrorMessage="1" promptTitle="Month" prompt="Missions that reset automatically to match current month._x000a_ _x000a_Month automatically updated when adding progress percentage. " sqref="B26:C37" xr:uid="{BE60D960-A5F3-49DF-8087-CFE9B6F994A8}"/>
    <dataValidation allowBlank="1" showInputMessage="1" showErrorMessage="1" promptTitle="Singular Missions" prompt="Specify deadline day number, if not this month, highlight month to the left of day number. " sqref="BG2:BX3" xr:uid="{73F63EF9-6A01-45B1-84C6-086B93B0C164}"/>
    <dataValidation allowBlank="1" showInputMessage="1" showErrorMessage="1" promptTitle="Now" prompt="Missions that are of highest priority or time sensitivity._x000a__x000a_Specify deadline day number, if not this month, highlight month to the left of day number. " sqref="BY4:BZ13" xr:uid="{B30017B7-8425-4279-836D-EE79063E4BA8}"/>
    <dataValidation allowBlank="1" showInputMessage="1" showErrorMessage="1" promptTitle="Soon" prompt="Missions that are important or of medium urgency._x000a__x000a_Specify deadline day number, if not this month, highlight month to the left of day number. " sqref="BY14:BZ25" xr:uid="{AB7FFB92-ADF4-46E5-8061-A32884C52EC1}"/>
    <dataValidation allowBlank="1" showInputMessage="1" showErrorMessage="1" promptTitle="Later" prompt="Missions that are less important or not time sensitive._x000a__x000a_Specify deadline day number, if not this month, highlight month to the left of day number. " sqref="BY26:BZ37" xr:uid="{AC6EB5DD-BCD6-448F-AE0D-07066940FD39}"/>
    <dataValidation allowBlank="1" showInputMessage="1" showErrorMessage="1" promptTitle="Afterward" prompt="Missions ideas for the future or things to complete later." sqref="D80:BX81" xr:uid="{C15CB2BE-170D-4544-A189-45048B9BD66A}"/>
    <dataValidation allowBlank="1" showInputMessage="1" showErrorMessage="1" promptTitle="Year Complete So Far" prompt="Missions that have been complete in the months preceding this one. _x000a__x000a_This area highlights the year's missions achievements and productivity." sqref="D122:BX123" xr:uid="{E1DCA02C-D494-457E-BCC9-77D6F6603380}"/>
    <dataValidation allowBlank="1" showInputMessage="1" showErrorMessage="1" promptTitle="Repeats Counts &amp; Targets" prompt="Number of times each repeating mission has been completed compared to its target. " sqref="V2:V3" xr:uid="{06D7FBE9-2F63-4150-90AD-BEAEF8862E88}"/>
    <dataValidation allowBlank="1" showInputMessage="1" showErrorMessage="1" promptTitle="Repeats Target" prompt="Number of times each daily mission should be completed. " sqref="V13 V11 V9 V7 V5" xr:uid="{5D0D4E0C-FEE0-43E6-863C-46AA03C9B19A}"/>
    <dataValidation type="whole" allowBlank="1" showInputMessage="1" showErrorMessage="1" promptTitle="Repeats Count" prompt="Number of times daily mission has been completed. " sqref="V4 V8 V6 V10 V12" xr:uid="{7B6CDA12-25C4-4931-AC6C-85A42EA98093}">
      <formula1>0</formula1>
      <formula2>31</formula2>
    </dataValidation>
    <dataValidation allowBlank="1" showInputMessage="1" showErrorMessage="1" promptTitle="Repeats Target" prompt="Number of times each weekly mission should be completed. " sqref="V15 V17 V19 V21 V23 V25" xr:uid="{5F69E50B-E6B7-4ED3-8A76-E17EA7FC6622}"/>
    <dataValidation allowBlank="1" showInputMessage="1" showErrorMessage="1" promptTitle="Subsequent Month" prompt="Select a month for deadlines beyond this month. Delete selections once month is reached. " sqref="BF2:BF3" xr:uid="{66BFEB49-BF6E-460E-911B-116BE1627BBC}"/>
    <dataValidation allowBlank="1" showInputMessage="1" showErrorMessage="1" promptTitle=" MISSIONS" prompt="This is the to-do list and action list._x000a_ _x000a_Here you can:_x000a_• input actions, deadlines and progress_x000a_• set a mission focus for the day_x000a_• pin resources and useful info_x000a_ _x000a_Select individual cells for specific information and instructions._x000a_" sqref="CA1" xr:uid="{9FB77768-04DF-419A-9F4E-025C606245D4}"/>
    <dataValidation allowBlank="1" showInputMessage="1" showErrorMessage="1" promptTitle=" HUD = Overview" prompt=" LOGS = Journal           PLANS = Calendar_x000a_ NOTES = Ideas            TIMINGS = Schedule_x000a__x000a_[MISSIONS = Tasks]_x000a_ ACTIONS = Input_x000a_ PROGRESS = Output_x000a_ JOURNEY = Status_x000a__x000a_ BOUNTY = Rewards   MONEY = Finance_x000a_ VICTORY = Success    RESPITE = Media_x000a_ GUIDE = History" sqref="A1" xr:uid="{6E57E6CF-4251-4CDB-8FA4-F599593C1D45}"/>
    <dataValidation allowBlank="1" showInputMessage="1" showErrorMessage="1" promptTitle="Resources" prompt="Use the shape templates to create and pin notes in the grid area with useful or vital information to help with current missions." sqref="AJ41:AR42" xr:uid="{13853073-75B9-49A3-9E42-30FEBFB5AE08}"/>
    <dataValidation allowBlank="1" showInputMessage="1" showErrorMessage="1" promptTitle="Week Dates" prompt="Start and end dates for each week this month." sqref="AK12:AQ12" xr:uid="{2A677C3E-05FA-41A3-A098-CAB1047C4311}"/>
    <dataValidation allowBlank="1" showInputMessage="1" showErrorMessage="1" promptTitle="Month" prompt="Current" sqref="AK2:AL2" xr:uid="{57381B64-BE98-43B3-AC4A-D3570B906C98}"/>
    <dataValidation allowBlank="1" showInputMessage="1" showErrorMessage="1" promptTitle="Day" prompt="Date" sqref="AM2:AO2" xr:uid="{57B6A620-A8AE-40F7-A4B8-D65D4A2E3465}"/>
    <dataValidation allowBlank="1" showInputMessage="1" showErrorMessage="1" promptTitle="Week" prompt="Number" sqref="AP2:AQ2" xr:uid="{F1BB1C09-E0AF-49A4-AD01-55D3538E8DA3}"/>
    <dataValidation allowBlank="1" showInputMessage="1" showErrorMessage="1" promptTitle="Skill Missions" prompt="Choose the skills to focus on from drop-down menus._x000a__x000a_Specify deadline day number, if not this month, highlight month to the side of day number. " sqref="AN18" xr:uid="{73677E7D-716C-40B7-BD86-2110C713C0C4}"/>
  </dataValidations>
  <printOptions horizontalCentered="1" verticalCentered="1" gridLines="1"/>
  <pageMargins left="0.39370078740157483" right="0.39370078740157483" top="0.39370078740157483" bottom="0.39370078740157483" header="0" footer="0"/>
  <pageSetup paperSize="9" scale="50" fitToWidth="0" fitToHeight="0" orientation="landscape" r:id="rId1"/>
  <headerFooter>
    <oddHeader>&amp;C&amp;"Lucida Console,Bold"GAMEPLAN</oddHeader>
  </headerFooter>
  <drawing r:id="rId2"/>
  <extLst>
    <ext xmlns:x14="http://schemas.microsoft.com/office/spreadsheetml/2009/9/main" uri="{78C0D931-6437-407d-A8EE-F0AAD7539E65}">
      <x14:conditionalFormattings>
        <x14:conditionalFormatting xmlns:xm="http://schemas.microsoft.com/office/excel/2006/main">
          <x14:cfRule type="expression" priority="34" id="{89DC8ACC-B2E1-42B8-8B38-30D9C2A9F00C}">
            <xm:f>AND(CS14=1,PLANS!$F$3="JANUARY")</xm:f>
            <x14:dxf>
              <font>
                <color theme="0"/>
              </font>
              <fill>
                <patternFill>
                  <bgColor rgb="FF0070C0"/>
                </patternFill>
              </fill>
            </x14:dxf>
          </x14:cfRule>
          <x14:cfRule type="expression" priority="36" id="{8E004B3C-E794-4BD7-9A07-D71947179281}">
            <xm:f>AND(CS14=1,PLANS!$F$3="FEBRUARY")</xm:f>
            <x14:dxf>
              <font>
                <color theme="0"/>
              </font>
              <fill>
                <patternFill>
                  <bgColor rgb="FF00B0F0"/>
                </patternFill>
              </fill>
            </x14:dxf>
          </x14:cfRule>
          <x14:cfRule type="expression" priority="37" id="{7ED415D8-CC4B-4563-8768-F770337357C5}">
            <xm:f>AND(CS14=1,PLANS!$F$3="MARCH")</xm:f>
            <x14:dxf>
              <font>
                <color theme="0"/>
              </font>
              <fill>
                <patternFill>
                  <bgColor rgb="FF00B050"/>
                </patternFill>
              </fill>
            </x14:dxf>
          </x14:cfRule>
          <x14:cfRule type="expression" priority="38" id="{FE03B0A0-2398-46C5-9138-6E2B91EA71EC}">
            <xm:f>AND(CS14=1,PLANS!$F$3="APRIL")</xm:f>
            <x14:dxf>
              <font>
                <color theme="0"/>
              </font>
              <fill>
                <patternFill>
                  <bgColor rgb="FF92D050"/>
                </patternFill>
              </fill>
            </x14:dxf>
          </x14:cfRule>
          <x14:cfRule type="expression" priority="39" id="{D38CBCD4-3E0B-4FBF-842A-EEC5AF5D288C}">
            <xm:f>AND(CS14=1,PLANS!$F$3="MAY")</xm:f>
            <x14:dxf>
              <font>
                <color theme="0"/>
              </font>
              <fill>
                <patternFill>
                  <bgColor rgb="FFEBE600"/>
                </patternFill>
              </fill>
            </x14:dxf>
          </x14:cfRule>
          <x14:cfRule type="expression" priority="40" id="{9F1C6E1E-7293-4D53-86BE-7522CC9DEC8E}">
            <xm:f>AND(CS14=1,PLANS!$F$3="JUNE")</xm:f>
            <x14:dxf>
              <font>
                <color theme="0"/>
              </font>
              <fill>
                <patternFill>
                  <bgColor rgb="FFFFC000"/>
                </patternFill>
              </fill>
            </x14:dxf>
          </x14:cfRule>
          <x14:cfRule type="expression" priority="41" id="{9D769C0B-B670-4E9F-9329-05A2B4F4CC4A}">
            <xm:f>AND(CS14=1,PLANS!$F$3="JULY")</xm:f>
            <x14:dxf>
              <font>
                <color theme="0"/>
              </font>
              <fill>
                <patternFill>
                  <bgColor rgb="FFFF6600"/>
                </patternFill>
              </fill>
            </x14:dxf>
          </x14:cfRule>
          <x14:cfRule type="expression" priority="42" id="{A53AE945-6D7D-48D2-AC24-9A3630FFB2CF}">
            <xm:f>AND(CS14=1,PLANS!$F$3="AUGUST")</xm:f>
            <x14:dxf>
              <font>
                <color theme="0"/>
              </font>
              <fill>
                <patternFill>
                  <bgColor rgb="FFC00000"/>
                </patternFill>
              </fill>
            </x14:dxf>
          </x14:cfRule>
          <x14:cfRule type="expression" priority="43" id="{F235C6D7-7D20-4E1C-A55F-7EBA9482DAF6}">
            <xm:f>AND(CS14=1,PLANS!$F$3="SEPTEMBER")</xm:f>
            <x14:dxf>
              <font>
                <color theme="0"/>
              </font>
              <fill>
                <patternFill>
                  <bgColor rgb="FFFF0000"/>
                </patternFill>
              </fill>
            </x14:dxf>
          </x14:cfRule>
          <x14:cfRule type="expression" priority="44" id="{4A9C794B-661E-45C3-A0DF-F0E40356FD1E}">
            <xm:f>AND(CS14=1,PLANS!$F$3="OCTOBER")</xm:f>
            <x14:dxf>
              <font>
                <color theme="0"/>
              </font>
              <fill>
                <patternFill>
                  <bgColor rgb="FFFF00FF"/>
                </patternFill>
              </fill>
            </x14:dxf>
          </x14:cfRule>
          <x14:cfRule type="expression" priority="45" id="{7F3B6790-7B2D-4DC6-9198-BFA651000244}">
            <xm:f>AND(CS14=1,PLANS!$F$3="NOVEMBER")</xm:f>
            <x14:dxf>
              <font>
                <color theme="0"/>
              </font>
              <fill>
                <patternFill>
                  <bgColor rgb="FF9900CC"/>
                </patternFill>
              </fill>
            </x14:dxf>
          </x14:cfRule>
          <x14:cfRule type="expression" priority="46" id="{58AF069F-93E1-48E4-91CA-CE3C08A1E973}">
            <xm:f>AND(CS14=1,PLANS!$F$3="DECEMBER")</xm:f>
            <x14:dxf>
              <font>
                <color theme="0"/>
              </font>
              <fill>
                <patternFill>
                  <bgColor rgb="FF6600CC"/>
                </patternFill>
              </fill>
            </x14:dxf>
          </x14:cfRule>
          <xm:sqref>D14:D25</xm:sqref>
        </x14:conditionalFormatting>
        <x14:conditionalFormatting xmlns:xm="http://schemas.microsoft.com/office/excel/2006/main">
          <x14:cfRule type="expression" priority="960" id="{2A3DB363-0EC1-414E-907B-F88E22625A6B}">
            <xm:f>AND(U4=100%,U5=$AM$2,PLANS!$F$3="JUNE")</xm:f>
            <x14:dxf>
              <fill>
                <patternFill>
                  <bgColor rgb="FFFFC000"/>
                </patternFill>
              </fill>
            </x14:dxf>
          </x14:cfRule>
          <x14:cfRule type="expression" priority="962" id="{8450BF65-0BF0-424B-91DC-5EC718F88305}">
            <xm:f>AND(U4=100%,U5=$AM$2,PLANS!$F$3="MAY")</xm:f>
            <x14:dxf>
              <fill>
                <patternFill>
                  <bgColor rgb="FFEBE600"/>
                </patternFill>
              </fill>
            </x14:dxf>
          </x14:cfRule>
          <x14:cfRule type="expression" priority="963" id="{C05DE05B-3FAB-467A-84D9-6BAC5F8095B0}">
            <xm:f>AND(U4=100%,U5=$AM$2,PLANS!$F$3="APRIL")</xm:f>
            <x14:dxf>
              <fill>
                <patternFill>
                  <bgColor rgb="FF92D050"/>
                </patternFill>
              </fill>
            </x14:dxf>
          </x14:cfRule>
          <x14:cfRule type="expression" priority="964" id="{3F0E5CE3-0D5B-46D9-981D-43F177E02F11}">
            <xm:f>AND(U4=100%,U5=$AM$2,PLANS!$F$3="MARCH")</xm:f>
            <x14:dxf>
              <fill>
                <patternFill>
                  <bgColor rgb="FF00B050"/>
                </patternFill>
              </fill>
            </x14:dxf>
          </x14:cfRule>
          <x14:cfRule type="expression" priority="965" id="{D76EA35C-FF93-4A06-B8A5-AF492B9BE01A}">
            <xm:f>AND(U4=100%,U5=$AM$2,PLANS!$F$3="FEBRUARY")</xm:f>
            <x14:dxf>
              <fill>
                <patternFill>
                  <bgColor rgb="FF00B0F0"/>
                </patternFill>
              </fill>
            </x14:dxf>
          </x14:cfRule>
          <x14:cfRule type="expression" priority="966" id="{7BCCD6A1-9576-4B73-807A-F60FB45672EE}">
            <xm:f>AND(U4=100%,U5=$AM$2,PLANS!$F$3="JANUARY")</xm:f>
            <x14:dxf>
              <fill>
                <patternFill>
                  <bgColor rgb="FF0070C0"/>
                </patternFill>
              </fill>
            </x14:dxf>
          </x14:cfRule>
          <x14:cfRule type="expression" priority="967" id="{F1384EDA-B10A-412E-9D61-53BA78D62AF3}">
            <xm:f>AND(U4=100%,U5=$AM$2,PLANS!$F$3="DECEMBER")</xm:f>
            <x14:dxf>
              <fill>
                <patternFill>
                  <bgColor rgb="FF6600CC"/>
                </patternFill>
              </fill>
            </x14:dxf>
          </x14:cfRule>
          <x14:cfRule type="expression" priority="968" id="{0FF18600-B690-4EC6-9E2F-3C2389A0E653}">
            <xm:f>AND(U4=100%,U5=$AM$2,PLANS!$F$3="NOVEMBER")</xm:f>
            <x14:dxf>
              <fill>
                <patternFill>
                  <bgColor rgb="FF9900CC"/>
                </patternFill>
              </fill>
            </x14:dxf>
          </x14:cfRule>
          <x14:cfRule type="expression" priority="969" id="{9AA3987F-A910-41A8-85CA-35D1793A5101}">
            <xm:f>AND(U4=100%,U5=$AM$2,PLANS!$F$3="OCTOBER")</xm:f>
            <x14:dxf>
              <fill>
                <patternFill>
                  <bgColor rgb="FFFF00FF"/>
                </patternFill>
              </fill>
            </x14:dxf>
          </x14:cfRule>
          <x14:cfRule type="expression" priority="970" id="{43673495-7228-4211-9462-119439827C14}">
            <xm:f>AND(U4=100%,U5=$AM$2,PLANS!$F$3="SEPTEMBER")</xm:f>
            <x14:dxf>
              <fill>
                <patternFill>
                  <bgColor rgb="FFFF0000"/>
                </patternFill>
              </fill>
            </x14:dxf>
          </x14:cfRule>
          <x14:cfRule type="expression" priority="971" id="{09B928F4-C28B-4F0B-95BC-D2087805314A}">
            <xm:f>AND(U4=100%,U5=$AM$2,PLANS!$F$3="AUGUST")</xm:f>
            <x14:dxf>
              <fill>
                <patternFill>
                  <bgColor rgb="FFC00000"/>
                </patternFill>
              </fill>
            </x14:dxf>
          </x14:cfRule>
          <x14:cfRule type="expression" priority="1820" id="{81E61690-1E3B-4A0D-9388-6F0CA89C4F8E}">
            <xm:f>AND(U4=100%,U5=$AM$2,PLANS!$F$3="JULY")</xm:f>
            <x14:dxf>
              <fill>
                <patternFill>
                  <bgColor rgb="FFFF6600"/>
                </patternFill>
              </fill>
            </x14:dxf>
          </x14:cfRule>
          <xm:sqref>E4 E6 E8 E10 E12</xm:sqref>
        </x14:conditionalFormatting>
        <x14:conditionalFormatting xmlns:xm="http://schemas.microsoft.com/office/excel/2006/main">
          <x14:cfRule type="expression" priority="1792" id="{E9C3A207-A266-44BB-90AD-14D3CAC48887}">
            <xm:f>AND(U14=100%,U15=$AP$2,PLANS!$F$3="JUNE")</xm:f>
            <x14:dxf>
              <fill>
                <patternFill>
                  <bgColor rgb="FFFFC000"/>
                </patternFill>
              </fill>
            </x14:dxf>
          </x14:cfRule>
          <x14:cfRule type="expression" priority="1794" id="{1E4FF2C0-7236-4926-A4FC-5A68A23337AC}">
            <xm:f>AND(U14=100%,U15=$AP$2,PLANS!$F$3="MAY")</xm:f>
            <x14:dxf>
              <fill>
                <patternFill>
                  <bgColor rgb="FFEBE600"/>
                </patternFill>
              </fill>
            </x14:dxf>
          </x14:cfRule>
          <x14:cfRule type="expression" priority="1811" id="{B3A3A573-25CF-49D4-966E-31985D015F0D}">
            <xm:f>AND(U14=100%,U15=$AP$2,PLANS!$F$3="APRIL")</xm:f>
            <x14:dxf>
              <fill>
                <patternFill>
                  <bgColor rgb="FF92D050"/>
                </patternFill>
              </fill>
            </x14:dxf>
          </x14:cfRule>
          <x14:cfRule type="expression" priority="1812" id="{1384E579-6617-4625-81DE-CC43D53C3DE8}">
            <xm:f>AND(U14=100%,U15=$AP$2,PLANS!$F$3="MARCH")</xm:f>
            <x14:dxf>
              <fill>
                <patternFill>
                  <bgColor rgb="FF00B050"/>
                </patternFill>
              </fill>
            </x14:dxf>
          </x14:cfRule>
          <x14:cfRule type="expression" priority="1813" id="{3AB38B7C-34A2-4585-AA60-545A8B0B8C03}">
            <xm:f>AND(U14=100%,U15=$AP$2,PLANS!$F$3="FEBRUARY")</xm:f>
            <x14:dxf>
              <fill>
                <patternFill>
                  <bgColor rgb="FF00B0F0"/>
                </patternFill>
              </fill>
            </x14:dxf>
          </x14:cfRule>
          <x14:cfRule type="expression" priority="1814" id="{1C43E3B7-9C83-4354-9DDA-7811BF09F9A7}">
            <xm:f>AND(U14=100%,U15=$AP$2,PLANS!$F$3="JANUARY")</xm:f>
            <x14:dxf>
              <fill>
                <patternFill>
                  <bgColor rgb="FF0070C0"/>
                </patternFill>
              </fill>
            </x14:dxf>
          </x14:cfRule>
          <x14:cfRule type="expression" priority="1815" id="{BFA91E6E-A548-4C9F-9CAA-A9D4670F1EEC}">
            <xm:f>AND(U14=100%,U15=$AP$2,PLANS!$F$3="DECEMBER")</xm:f>
            <x14:dxf>
              <fill>
                <patternFill>
                  <bgColor rgb="FF6600CC"/>
                </patternFill>
              </fill>
            </x14:dxf>
          </x14:cfRule>
          <x14:cfRule type="expression" priority="1816" id="{2BFF1403-E739-46E3-B321-127D10D1AED8}">
            <xm:f>AND(U14=100%,U15=$AP$2,PLANS!$F$3="NOVEMBER")</xm:f>
            <x14:dxf>
              <fill>
                <patternFill>
                  <bgColor rgb="FF9900CC"/>
                </patternFill>
              </fill>
            </x14:dxf>
          </x14:cfRule>
          <x14:cfRule type="expression" priority="1817" id="{29753311-C507-47A6-AD3F-CF95F8540487}">
            <xm:f>AND(U14=100%,U15=$AP$2,PLANS!$F$3="OCTOBER")</xm:f>
            <x14:dxf>
              <fill>
                <patternFill>
                  <bgColor rgb="FFFF00FF"/>
                </patternFill>
              </fill>
            </x14:dxf>
          </x14:cfRule>
          <x14:cfRule type="expression" priority="1818" id="{BA91C8F5-6D42-445F-8745-BEBCAF8948F7}">
            <xm:f>AND(U14=100%,U15=$AP$2,PLANS!$F$3="SEPTEMBER")</xm:f>
            <x14:dxf>
              <fill>
                <patternFill>
                  <bgColor rgb="FFFF0000"/>
                </patternFill>
              </fill>
            </x14:dxf>
          </x14:cfRule>
          <x14:cfRule type="expression" priority="1819" id="{6CE57D53-7718-4E0D-A725-F9ADD9FEEAB2}">
            <xm:f>AND(U14=100%,U15=$AP$2,PLANS!$F$3="AUGUST")</xm:f>
            <x14:dxf>
              <fill>
                <patternFill>
                  <bgColor rgb="FFC00000"/>
                </patternFill>
              </fill>
            </x14:dxf>
          </x14:cfRule>
          <x14:cfRule type="expression" priority="1821" id="{573CF6D8-7CF2-4D8F-8DC9-CB9EF76CF119}">
            <xm:f>AND(U14=100%,U15=$AP$2,PLANS!$F$3="JULY")</xm:f>
            <x14:dxf>
              <fill>
                <patternFill>
                  <bgColor rgb="FFFF6600"/>
                </patternFill>
              </fill>
            </x14:dxf>
          </x14:cfRule>
          <xm:sqref>E14 E16 E18 E20 E22 E24</xm:sqref>
        </x14:conditionalFormatting>
        <x14:conditionalFormatting xmlns:xm="http://schemas.microsoft.com/office/excel/2006/main">
          <x14:cfRule type="expression" priority="972" id="{DC23F15D-F6E2-470D-9444-9E28E9A68107}">
            <xm:f>AND(U26=100%,U27=$AK$2,PLANS!$F$3="JUNE")</xm:f>
            <x14:dxf>
              <fill>
                <patternFill>
                  <bgColor rgb="FFFFC000"/>
                </patternFill>
              </fill>
            </x14:dxf>
          </x14:cfRule>
          <x14:cfRule type="expression" priority="1780" id="{3805FC54-1087-43AB-8EBC-2F74E6AE3EA9}">
            <xm:f>AND(U26=100%,U27=$AK$2,PLANS!$F$3="MAY")</xm:f>
            <x14:dxf>
              <fill>
                <patternFill>
                  <bgColor rgb="FFEBE600"/>
                </patternFill>
              </fill>
            </x14:dxf>
          </x14:cfRule>
          <x14:cfRule type="expression" priority="1781" id="{3A1F3857-5608-4FF5-BD7E-740DF9B78CDF}">
            <xm:f>AND(U26=100%,U27=$AK$2,PLANS!$F$3="APRIL")</xm:f>
            <x14:dxf>
              <fill>
                <patternFill>
                  <bgColor rgb="FF92D050"/>
                </patternFill>
              </fill>
            </x14:dxf>
          </x14:cfRule>
          <x14:cfRule type="expression" priority="1782" id="{14CC3327-0822-475F-95F4-D8DA6A08B6C7}">
            <xm:f>AND(U26=100%,U27=$AK$2,PLANS!$F$3="MARCH")</xm:f>
            <x14:dxf>
              <fill>
                <patternFill>
                  <bgColor rgb="FF00B050"/>
                </patternFill>
              </fill>
            </x14:dxf>
          </x14:cfRule>
          <x14:cfRule type="expression" priority="1783" id="{628D81AC-B5A3-4B0A-BF56-24994FADFE19}">
            <xm:f>AND(U26=100%,U27=$AK$2,PLANS!$F$3="FEBRUARY")</xm:f>
            <x14:dxf>
              <fill>
                <patternFill>
                  <bgColor rgb="FF00B0F0"/>
                </patternFill>
              </fill>
            </x14:dxf>
          </x14:cfRule>
          <x14:cfRule type="expression" priority="1784" id="{AB6B01F4-C899-41C2-BAEE-568360186106}">
            <xm:f>AND(U26=100%,U27=$AK$2,PLANS!$F$3="JANUARY")</xm:f>
            <x14:dxf>
              <fill>
                <patternFill>
                  <bgColor rgb="FF0070C0"/>
                </patternFill>
              </fill>
            </x14:dxf>
          </x14:cfRule>
          <x14:cfRule type="expression" priority="1785" id="{E40514F6-11A7-4C10-884C-3F24A25FF9A5}">
            <xm:f>AND(U26=100%,U27=$AK$2,PLANS!$F$3="DECEMBER")</xm:f>
            <x14:dxf>
              <fill>
                <patternFill>
                  <bgColor rgb="FF6600CC"/>
                </patternFill>
              </fill>
            </x14:dxf>
          </x14:cfRule>
          <x14:cfRule type="expression" priority="1786" id="{5CF2B9B2-7003-4784-A0FB-12B14631D0D3}">
            <xm:f>AND(U26=100%,U27=$AK$2,PLANS!$F$3="NOVEMBER")</xm:f>
            <x14:dxf>
              <fill>
                <patternFill>
                  <bgColor rgb="FF9900CC"/>
                </patternFill>
              </fill>
            </x14:dxf>
          </x14:cfRule>
          <x14:cfRule type="expression" priority="1787" id="{C5DBB8AA-4EDC-4859-88F8-17F43E175611}">
            <xm:f>AND(U26=100%,U27=$AK$2,PLANS!$F$3="OCTOBER")</xm:f>
            <x14:dxf>
              <fill>
                <patternFill>
                  <bgColor rgb="FFFF00FF"/>
                </patternFill>
              </fill>
            </x14:dxf>
          </x14:cfRule>
          <x14:cfRule type="expression" priority="1788" id="{053C8EA2-DF90-4837-B881-FC4836776E17}">
            <xm:f>AND(U26=100%,U27=$AK$2,PLANS!$F$3="SEPTEMBER")</xm:f>
            <x14:dxf>
              <fill>
                <patternFill>
                  <bgColor rgb="FFFF0000"/>
                </patternFill>
              </fill>
            </x14:dxf>
          </x14:cfRule>
          <x14:cfRule type="expression" priority="1789" id="{D017094E-7D33-41B5-8D8A-BB10D013960B}">
            <xm:f>AND(U26=100%,U27=$AK$2,PLANS!$F$3="AUGUST")</xm:f>
            <x14:dxf>
              <fill>
                <patternFill>
                  <bgColor rgb="FFC00000"/>
                </patternFill>
              </fill>
            </x14:dxf>
          </x14:cfRule>
          <x14:cfRule type="expression" priority="1790" id="{6E4CDE2E-1CA8-4688-A93D-D691C2A3E3AF}">
            <xm:f>AND(U26=100%,U27=$AK$2,PLANS!$F$3="JULY")</xm:f>
            <x14:dxf>
              <fill>
                <patternFill>
                  <bgColor rgb="FFFF6600"/>
                </patternFill>
              </fill>
            </x14:dxf>
          </x14:cfRule>
          <xm:sqref>E26 E28 E30 E32 E34 E36</xm:sqref>
        </x14:conditionalFormatting>
        <x14:conditionalFormatting xmlns:xm="http://schemas.microsoft.com/office/excel/2006/main">
          <x14:cfRule type="expression" priority="1733" id="{9D0AF547-91A4-4113-8E6B-C0ED84073F28}">
            <xm:f>AND(AL14=100%,PLANS!$F$3="JUNE")</xm:f>
            <x14:dxf>
              <fill>
                <patternFill>
                  <bgColor rgb="FFFFC000"/>
                </patternFill>
              </fill>
            </x14:dxf>
          </x14:cfRule>
          <x14:cfRule type="expression" priority="1734" id="{F4A7A487-169C-4C8D-A981-0761C4DCBBBA}">
            <xm:f>AND(AL14=100%,PLANS!$F$3="MAY")</xm:f>
            <x14:dxf>
              <fill>
                <patternFill>
                  <bgColor rgb="FFEBE600"/>
                </patternFill>
              </fill>
            </x14:dxf>
          </x14:cfRule>
          <x14:cfRule type="expression" priority="1750" id="{25E6224C-3313-424B-ABBC-61D2F9417E94}">
            <xm:f>AND(AL14=100%,PLANS!$F$3="APRIL")</xm:f>
            <x14:dxf>
              <fill>
                <patternFill>
                  <bgColor rgb="FF92D050"/>
                </patternFill>
              </fill>
            </x14:dxf>
          </x14:cfRule>
          <x14:cfRule type="expression" priority="1751" id="{CDF2FA14-9F41-4759-830D-59E4E9BBBF20}">
            <xm:f>AND(AL14=100%,PLANS!$F$3="MARCH")</xm:f>
            <x14:dxf>
              <fill>
                <patternFill>
                  <bgColor rgb="FF00B050"/>
                </patternFill>
              </fill>
            </x14:dxf>
          </x14:cfRule>
          <x14:cfRule type="expression" priority="1752" id="{884D6B9C-A256-4728-8B65-3516F8926D5C}">
            <xm:f>AND(AL14=100%,PLANS!$F$3="FEBRUARY")</xm:f>
            <x14:dxf>
              <fill>
                <patternFill>
                  <bgColor rgb="FF00B0F0"/>
                </patternFill>
              </fill>
            </x14:dxf>
          </x14:cfRule>
          <x14:cfRule type="expression" priority="1753" id="{65397837-6BE6-4C2D-8628-7BBB57A113A1}">
            <xm:f>AND(AL14=100%,PLANS!$F$3="JANUARY")</xm:f>
            <x14:dxf>
              <fill>
                <patternFill>
                  <bgColor rgb="FF0070C0"/>
                </patternFill>
              </fill>
            </x14:dxf>
          </x14:cfRule>
          <x14:cfRule type="expression" priority="1754" id="{538E27B2-577E-4FD4-9EBB-21524F8AC412}">
            <xm:f>AND(AL14=100%,PLANS!$F$3="DECEMBER")</xm:f>
            <x14:dxf>
              <fill>
                <patternFill>
                  <bgColor rgb="FF6600CC"/>
                </patternFill>
              </fill>
            </x14:dxf>
          </x14:cfRule>
          <x14:cfRule type="expression" priority="1755" id="{12A7DA9E-5F2C-4CE9-A2BA-3DCFA663B58D}">
            <xm:f>AND(AL14=100%,PLANS!$F$3="NOVEMBER")</xm:f>
            <x14:dxf>
              <fill>
                <patternFill>
                  <bgColor rgb="FF9900CC"/>
                </patternFill>
              </fill>
            </x14:dxf>
          </x14:cfRule>
          <x14:cfRule type="expression" priority="1756" id="{8783C8AC-F629-4DEB-8396-06850FC38D17}">
            <xm:f>AND(AL14=100%,PLANS!$F$3="OCTOBER")</xm:f>
            <x14:dxf>
              <fill>
                <patternFill>
                  <bgColor rgb="FFFF00FF"/>
                </patternFill>
              </fill>
            </x14:dxf>
          </x14:cfRule>
          <x14:cfRule type="expression" priority="1757" id="{E80A2CDB-1438-4B7C-A692-D8429C345AED}">
            <xm:f>AND(AL14=100%,PLANS!$F$3="SEPTEMBER")</xm:f>
            <x14:dxf>
              <fill>
                <patternFill>
                  <bgColor rgb="FFFF0000"/>
                </patternFill>
              </fill>
            </x14:dxf>
          </x14:cfRule>
          <x14:cfRule type="expression" priority="1758" id="{397FCCBA-3197-4FB5-A638-A88563311F4D}">
            <xm:f>AND(AL14=100%,PLANS!$F$3="AUGUST")</xm:f>
            <x14:dxf>
              <fill>
                <patternFill>
                  <bgColor rgb="FFC00000"/>
                </patternFill>
              </fill>
            </x14:dxf>
          </x14:cfRule>
          <x14:cfRule type="expression" priority="1759" id="{EBF74EC2-466B-44A7-B17E-7B5711FA0E28}">
            <xm:f>AND(AL14=100%,PLANS!$F$3="JULY")</xm:f>
            <x14:dxf>
              <fill>
                <patternFill>
                  <bgColor rgb="FFFF6600"/>
                </patternFill>
              </fill>
            </x14:dxf>
          </x14:cfRule>
          <xm:sqref>AB14 AB16 AB18 AB20 AB22 AB24 AB26 AB28 AB30 AB32 AB34 AB36</xm:sqref>
        </x14:conditionalFormatting>
        <x14:conditionalFormatting xmlns:xm="http://schemas.microsoft.com/office/excel/2006/main">
          <x14:cfRule type="expression" priority="29077" id="{DB4D6007-4761-40EE-A3D3-5ACEA074921E}">
            <xm:f>AND($AL$9=$AM$2,$AN$11=100%,PLANS!$F$3="JUNE")</xm:f>
            <x14:dxf>
              <fill>
                <patternFill>
                  <bgColor rgb="FFFFC000"/>
                </patternFill>
              </fill>
            </x14:dxf>
          </x14:cfRule>
          <x14:cfRule type="expression" priority="29081" id="{AEA47890-8039-4CE3-BEA7-A06B56462E1F}">
            <xm:f>AND($AL$9=$AM$2,$AN$11=100%,PLANS!$F$3="MAY")</xm:f>
            <x14:dxf>
              <fill>
                <patternFill>
                  <bgColor rgb="FFEBE600"/>
                </patternFill>
              </fill>
            </x14:dxf>
          </x14:cfRule>
          <x14:cfRule type="expression" priority="29082" id="{A87DFF69-76F7-4A3C-9B37-9349029123E8}">
            <xm:f>AND($AL$9=$AM$2,$AN$11=100%,PLANS!$F$3="APRIL")</xm:f>
            <x14:dxf>
              <fill>
                <patternFill>
                  <bgColor rgb="FF92D050"/>
                </patternFill>
              </fill>
            </x14:dxf>
          </x14:cfRule>
          <x14:cfRule type="expression" priority="29083" id="{E8CA5B0C-290F-491E-9E1C-67E5A0F8A884}">
            <xm:f>AND($AL$9=$AM$2,$AN$11=100%,PLANS!$F$3="MARCH")</xm:f>
            <x14:dxf>
              <fill>
                <patternFill>
                  <bgColor rgb="FF00B050"/>
                </patternFill>
              </fill>
            </x14:dxf>
          </x14:cfRule>
          <x14:cfRule type="expression" priority="29084" id="{BE13ECFF-DF1A-4C6A-98C4-D27DBCB0EA37}">
            <xm:f>AND($AL$9=$AM$2,$AN$11=100%,PLANS!$F$3="FEBRUARY")</xm:f>
            <x14:dxf>
              <fill>
                <patternFill>
                  <bgColor rgb="FF00B0F0"/>
                </patternFill>
              </fill>
            </x14:dxf>
          </x14:cfRule>
          <x14:cfRule type="expression" priority="29085" id="{2561AFAC-925A-4F6A-A183-E121E333DC9D}">
            <xm:f>AND($AL$9=$AM$2,$AN$11=100%,PLANS!$F$3="JANUARY")</xm:f>
            <x14:dxf>
              <fill>
                <patternFill>
                  <bgColor rgb="FF0070C0"/>
                </patternFill>
              </fill>
            </x14:dxf>
          </x14:cfRule>
          <x14:cfRule type="expression" priority="29086" id="{8B2A31E8-69CB-45FC-BD54-3DE7D38D74B9}">
            <xm:f>AND($AL$9=$AM$2,$AN$11=100%,PLANS!$F$3="DECEMBER")</xm:f>
            <x14:dxf>
              <fill>
                <patternFill>
                  <bgColor rgb="FF6600CC"/>
                </patternFill>
              </fill>
            </x14:dxf>
          </x14:cfRule>
          <x14:cfRule type="expression" priority="29087" id="{FC186B91-B2D4-4D4A-A790-CAA43A2C9A8C}">
            <xm:f>AND($AL$9=$AM$2,$AN$11=100%,PLANS!$F$3="NOVEMBER")</xm:f>
            <x14:dxf>
              <fill>
                <patternFill>
                  <bgColor rgb="FF9900CC"/>
                </patternFill>
              </fill>
            </x14:dxf>
          </x14:cfRule>
          <x14:cfRule type="expression" priority="29088" id="{2D0805B0-5F78-4094-A6AF-63FD15467D96}">
            <xm:f>AND($AL$9=$AM$2,$AN$11=100%,PLANS!$F$3="OCTOBER")</xm:f>
            <x14:dxf>
              <fill>
                <patternFill>
                  <bgColor rgb="FFFF00FF"/>
                </patternFill>
              </fill>
            </x14:dxf>
          </x14:cfRule>
          <x14:cfRule type="expression" priority="29089" id="{02114C8B-565C-4910-A874-F6E951B43895}">
            <xm:f>AND($AL$9=$AM$2,$AN$11=100%,PLANS!$F$3="SEPTEMBER")</xm:f>
            <x14:dxf>
              <fill>
                <patternFill>
                  <bgColor rgb="FFFF0000"/>
                </patternFill>
              </fill>
            </x14:dxf>
          </x14:cfRule>
          <x14:cfRule type="expression" priority="29090" id="{AA0DDC02-8C57-4ACD-85D8-65942D75535A}">
            <xm:f>AND($AL$9=$AM$2,$AN$11=100%,PLANS!$F$3="AUGUST")</xm:f>
            <x14:dxf>
              <fill>
                <patternFill>
                  <bgColor rgb="FFC00000"/>
                </patternFill>
              </fill>
            </x14:dxf>
          </x14:cfRule>
          <x14:cfRule type="expression" priority="29091" id="{7B7C123C-C51F-409D-9654-4C20C638BA9C}">
            <xm:f>AND($AL$9=$AM$2,$AN$11=100%,PLANS!$F$3="JULY")</xm:f>
            <x14:dxf>
              <fill>
                <patternFill>
                  <bgColor rgb="FFFF6600"/>
                </patternFill>
              </fill>
            </x14:dxf>
          </x14:cfRule>
          <xm:sqref>AL6</xm:sqref>
        </x14:conditionalFormatting>
        <x14:conditionalFormatting xmlns:xm="http://schemas.microsoft.com/office/excel/2006/main">
          <x14:cfRule type="expression" priority="1721" id="{F48B5578-3C16-4E75-B32F-80C4066F55AD}">
            <xm:f>AND(AP4=100%,PLANS!$F$3="JUNE")</xm:f>
            <x14:dxf>
              <fill>
                <patternFill>
                  <bgColor rgb="FFFFC000"/>
                </patternFill>
              </fill>
            </x14:dxf>
          </x14:cfRule>
          <x14:cfRule type="expression" priority="1722" id="{A2ACC151-46E9-4ED0-B7B8-F41F5FBE3B09}">
            <xm:f>AND(AP4=100%,PLANS!$F$3="MAY")</xm:f>
            <x14:dxf>
              <fill>
                <patternFill>
                  <bgColor rgb="FFEBE600"/>
                </patternFill>
              </fill>
            </x14:dxf>
          </x14:cfRule>
          <x14:cfRule type="expression" priority="1723" id="{83297506-94D2-4FE3-A039-35A7C344E7A3}">
            <xm:f>AND(AP4=100%,PLANS!$F$3="APRIL")</xm:f>
            <x14:dxf>
              <fill>
                <patternFill>
                  <bgColor rgb="FF92D050"/>
                </patternFill>
              </fill>
            </x14:dxf>
          </x14:cfRule>
          <x14:cfRule type="expression" priority="1724" id="{2CF1575C-92F9-4DD3-93F9-58C00EA21974}">
            <xm:f>AND(AP4=100%,PLANS!$F$3="MARCH")</xm:f>
            <x14:dxf>
              <fill>
                <patternFill>
                  <bgColor rgb="FF00B050"/>
                </patternFill>
              </fill>
            </x14:dxf>
          </x14:cfRule>
          <x14:cfRule type="expression" priority="1725" id="{E0B032E8-4F8D-4514-9FBF-DAFA3EB30DDD}">
            <xm:f>AND(AP4=100%,PLANS!$F$3="FEBRUARY")</xm:f>
            <x14:dxf>
              <fill>
                <patternFill>
                  <bgColor rgb="FF00B0F0"/>
                </patternFill>
              </fill>
            </x14:dxf>
          </x14:cfRule>
          <x14:cfRule type="expression" priority="1726" id="{D254F751-BF34-42A2-AC23-09D49ABD43AC}">
            <xm:f>AND(AP4=100%,PLANS!$F$3="JANUARY")</xm:f>
            <x14:dxf>
              <fill>
                <patternFill>
                  <bgColor rgb="FF0070C0"/>
                </patternFill>
              </fill>
            </x14:dxf>
          </x14:cfRule>
          <x14:cfRule type="expression" priority="1727" id="{468C4370-E175-4145-ACDC-353AA230C896}">
            <xm:f>AND(AP4=100%,PLANS!$F$3="DECEMBER")</xm:f>
            <x14:dxf>
              <fill>
                <patternFill>
                  <bgColor rgb="FF6600CC"/>
                </patternFill>
              </fill>
            </x14:dxf>
          </x14:cfRule>
          <x14:cfRule type="expression" priority="1728" id="{E9403395-7507-4ED4-9A83-9B69863A2420}">
            <xm:f>AND(AP4=100%,PLANS!$F$3="NOVEMBER")</xm:f>
            <x14:dxf>
              <fill>
                <patternFill>
                  <bgColor rgb="FF9900CC"/>
                </patternFill>
              </fill>
            </x14:dxf>
          </x14:cfRule>
          <x14:cfRule type="expression" priority="1729" id="{2DA4B9E3-4580-45A2-9376-94692F402A4E}">
            <xm:f>AND(AP4=100%,PLANS!$F$3="OCTOBER")</xm:f>
            <x14:dxf>
              <fill>
                <patternFill>
                  <bgColor rgb="FFFF00FF"/>
                </patternFill>
              </fill>
            </x14:dxf>
          </x14:cfRule>
          <x14:cfRule type="expression" priority="1730" id="{05DFA866-FC15-4DC6-8186-0898E8977ABD}">
            <xm:f>AND(AP4=100%,PLANS!$F$3="SEPTEMBER")</xm:f>
            <x14:dxf>
              <fill>
                <patternFill>
                  <bgColor rgb="FFFF0000"/>
                </patternFill>
              </fill>
            </x14:dxf>
          </x14:cfRule>
          <x14:cfRule type="expression" priority="1731" id="{EC8318B7-6A67-4F24-9417-0FD0D47DCBE4}">
            <xm:f>AND(AP4=100%,PLANS!$F$3="AUGUST")</xm:f>
            <x14:dxf>
              <fill>
                <patternFill>
                  <bgColor rgb="FFC00000"/>
                </patternFill>
              </fill>
            </x14:dxf>
          </x14:cfRule>
          <x14:cfRule type="expression" priority="1732" id="{6540D117-493E-4DA8-8868-BB2B27EC82FA}">
            <xm:f>AND(AP4=100%,PLANS!$F$3="JULY")</xm:f>
            <x14:dxf>
              <fill>
                <patternFill>
                  <bgColor rgb="FFFF6600"/>
                </patternFill>
              </fill>
            </x14:dxf>
          </x14:cfRule>
          <xm:sqref>AQ14 AQ16 AQ18 AQ20 AQ22 AQ24 AQ26 AQ28 AQ30 AQ32 AQ34 AQ36 BH4:BN4 BH6:BN6 BH8:BN8 BH10:BN10 BH12:BN12 BH14:BN14 BH16:BN16 BH18:BN18 BH20:BN20 BH22:BN22 BH24:BN24 BH26:BN26 BH28:BN28 BH30:BN30 BH32:BN32 BH34:BN34 BH36:BN36</xm:sqref>
        </x14:conditionalFormatting>
        <x14:conditionalFormatting xmlns:xm="http://schemas.microsoft.com/office/excel/2006/main">
          <x14:cfRule type="expression" priority="602" id="{51028E28-6422-4B20-B49C-9F864CB6A885}">
            <xm:f>PLANS!$F$3="JUNE"</xm:f>
            <x14:dxf>
              <font>
                <color rgb="FFFFC000"/>
              </font>
            </x14:dxf>
          </x14:cfRule>
          <x14:cfRule type="expression" priority="603" id="{DACBE4A5-9275-4B8A-9FC9-44BE4BB346F6}">
            <xm:f>PLANS!$F$3="MAY"</xm:f>
            <x14:dxf>
              <font>
                <color rgb="FFEBE600"/>
              </font>
            </x14:dxf>
          </x14:cfRule>
          <x14:cfRule type="expression" priority="604" id="{F9DC1454-4A14-4F55-BBEF-99E99E19CEDA}">
            <xm:f>PLANS!$F$3="APRIL"</xm:f>
            <x14:dxf>
              <font>
                <color rgb="FF92D050"/>
              </font>
            </x14:dxf>
          </x14:cfRule>
          <x14:cfRule type="expression" priority="605" id="{979E3EAD-FDBE-4ABC-B35D-EAFD186E82E5}">
            <xm:f>PLANS!$F$3="MARCH"</xm:f>
            <x14:dxf>
              <font>
                <color rgb="FF00B050"/>
              </font>
            </x14:dxf>
          </x14:cfRule>
          <x14:cfRule type="expression" priority="606" id="{5D76806C-4803-42AA-A35C-5665BF471C07}">
            <xm:f>PLANS!$F$3="FEBRUARY"</xm:f>
            <x14:dxf>
              <font>
                <color rgb="FF00B0F0"/>
              </font>
            </x14:dxf>
          </x14:cfRule>
          <x14:cfRule type="expression" priority="607" id="{D1CACCF7-C804-4AAE-BB13-8C8F348DB49E}">
            <xm:f>PLANS!$F$3="JANUARY"</xm:f>
            <x14:dxf>
              <font>
                <color rgb="FF0070C0"/>
              </font>
            </x14:dxf>
          </x14:cfRule>
          <x14:cfRule type="expression" priority="608" id="{53FA1325-0917-4878-9590-ECC38262EB28}">
            <xm:f>PLANS!$F$3="DECEMBER"</xm:f>
            <x14:dxf>
              <font>
                <color rgb="FF6600CC"/>
              </font>
            </x14:dxf>
          </x14:cfRule>
          <x14:cfRule type="expression" priority="609" id="{7B2E1599-9BBC-4527-A162-A02ACD3383C2}">
            <xm:f>PLANS!$F$3="NOVEMBER"</xm:f>
            <x14:dxf>
              <font>
                <color rgb="FF9900CC"/>
              </font>
            </x14:dxf>
          </x14:cfRule>
          <x14:cfRule type="expression" priority="610" id="{3CAA6CDE-7C29-4541-AE24-CEE49BA91FE1}">
            <xm:f>PLANS!$F$3="OCTOBER"</xm:f>
            <x14:dxf>
              <font>
                <color rgb="FFFF00FF"/>
              </font>
            </x14:dxf>
          </x14:cfRule>
          <x14:cfRule type="expression" priority="611" id="{3020046F-1B54-49A3-856C-AA71F51BFAF9}">
            <xm:f>PLANS!$F$3="SEPTEMBER"</xm:f>
            <x14:dxf>
              <font>
                <color rgb="FFFF0000"/>
              </font>
            </x14:dxf>
          </x14:cfRule>
          <x14:cfRule type="expression" priority="612" id="{F649A86B-2D2A-4DCC-B6B2-C727A92605AE}">
            <xm:f>PLANS!$F$3="AUGUST"</xm:f>
            <x14:dxf>
              <font>
                <color rgb="FFC00000"/>
              </font>
            </x14:dxf>
          </x14:cfRule>
          <x14:cfRule type="expression" priority="613" id="{E3774367-3F3C-4D12-9411-79B893E6712E}">
            <xm:f>PLANS!$F$3="JULY"</xm:f>
            <x14:dxf>
              <font>
                <color rgb="FFFF6600"/>
              </font>
            </x14:dxf>
          </x14:cfRule>
          <xm:sqref>BT67</xm:sqref>
        </x14:conditionalFormatting>
        <x14:conditionalFormatting xmlns:xm="http://schemas.microsoft.com/office/excel/2006/main">
          <x14:cfRule type="expression" priority="6119" id="{43FFAB67-5FB3-48FB-A741-038D91CE6522}">
            <xm:f>PLANS!$F$3="JUNE"</xm:f>
            <x14:dxf>
              <fill>
                <patternFill>
                  <bgColor rgb="FFFFC000"/>
                </patternFill>
              </fill>
            </x14:dxf>
          </x14:cfRule>
          <x14:cfRule type="expression" priority="6120" id="{389E1C95-6331-408E-9BE8-3B70751B8851}">
            <xm:f>PLANS!$F$3="MAY"</xm:f>
            <x14:dxf>
              <fill>
                <patternFill>
                  <bgColor rgb="FFEBE600"/>
                </patternFill>
              </fill>
            </x14:dxf>
          </x14:cfRule>
          <x14:cfRule type="expression" priority="6121" id="{4DA8FA44-B913-4778-AFE5-84B2FE89C21E}">
            <xm:f>PLANS!$F$3="APRIL"</xm:f>
            <x14:dxf>
              <fill>
                <patternFill>
                  <bgColor rgb="FF92D050"/>
                </patternFill>
              </fill>
            </x14:dxf>
          </x14:cfRule>
          <x14:cfRule type="expression" priority="6122" id="{341BD59C-7F10-4270-AC78-9ADB69A6162D}">
            <xm:f>PLANS!$F$3="MARCH"</xm:f>
            <x14:dxf>
              <fill>
                <patternFill>
                  <bgColor rgb="FF00B050"/>
                </patternFill>
              </fill>
            </x14:dxf>
          </x14:cfRule>
          <x14:cfRule type="expression" priority="6123" id="{840A6589-9C6C-48FA-A549-0732A681972E}">
            <xm:f>PLANS!$F$3="FEBRUARY"</xm:f>
            <x14:dxf>
              <fill>
                <patternFill>
                  <bgColor rgb="FF00B0F0"/>
                </patternFill>
              </fill>
            </x14:dxf>
          </x14:cfRule>
          <x14:cfRule type="expression" priority="6124" id="{75B66E91-D849-445A-B802-92B11BA5EE16}">
            <xm:f>PLANS!$F$3="JANUARY"</xm:f>
            <x14:dxf>
              <fill>
                <patternFill>
                  <bgColor rgb="FF0070C0"/>
                </patternFill>
              </fill>
            </x14:dxf>
          </x14:cfRule>
          <x14:cfRule type="expression" priority="6125" id="{2AD161E6-3A72-4CEB-96D1-899AB4A1E4B3}">
            <xm:f>PLANS!$F$3="DECEMBER"</xm:f>
            <x14:dxf>
              <fill>
                <patternFill>
                  <bgColor rgb="FF6600CC"/>
                </patternFill>
              </fill>
            </x14:dxf>
          </x14:cfRule>
          <x14:cfRule type="expression" priority="6126" id="{0567C93D-4834-4299-B637-B6A0B405F325}">
            <xm:f>PLANS!$F$3="NOVEMBER"</xm:f>
            <x14:dxf>
              <fill>
                <patternFill>
                  <bgColor rgb="FF9900CC"/>
                </patternFill>
              </fill>
            </x14:dxf>
          </x14:cfRule>
          <x14:cfRule type="expression" priority="6127" id="{E2FCEBE1-E563-4D34-B8C0-6C9241B7AF95}">
            <xm:f>PLANS!$F$3="OCTOBER"</xm:f>
            <x14:dxf>
              <fill>
                <patternFill>
                  <bgColor rgb="FFFF00FF"/>
                </patternFill>
              </fill>
            </x14:dxf>
          </x14:cfRule>
          <x14:cfRule type="expression" priority="6128" id="{D998EC04-B9AC-412B-98A1-DBE93009E372}">
            <xm:f>PLANS!$F$3="SEPTEMBER"</xm:f>
            <x14:dxf>
              <fill>
                <patternFill>
                  <bgColor rgb="FFFF0000"/>
                </patternFill>
              </fill>
            </x14:dxf>
          </x14:cfRule>
          <x14:cfRule type="expression" priority="6129" id="{D027FF7A-F555-4803-AE1B-E7CE7DCB32B1}">
            <xm:f>PLANS!$F$3="AUGUST"</xm:f>
            <x14:dxf>
              <fill>
                <patternFill>
                  <bgColor rgb="FFC00000"/>
                </patternFill>
              </fill>
            </x14:dxf>
          </x14:cfRule>
          <x14:cfRule type="expression" priority="6130" id="{32F9B37E-6C4E-4454-9A71-88907442C496}">
            <xm:f>PLANS!$F$3="JULY"</xm:f>
            <x14:dxf>
              <fill>
                <patternFill>
                  <bgColor rgb="FFFF6600"/>
                </patternFill>
              </fill>
            </x14:dxf>
          </x14:cfRule>
          <xm:sqref>BX44</xm:sqref>
        </x14:conditionalFormatting>
        <x14:conditionalFormatting xmlns:xm="http://schemas.microsoft.com/office/excel/2006/main">
          <x14:cfRule type="expression" priority="6107" id="{C4629046-B189-4F80-9586-814ACE29D8B4}">
            <xm:f>PLANS!$F$3="JUNE"</xm:f>
            <x14:dxf>
              <fill>
                <patternFill>
                  <bgColor rgb="FFFFC000"/>
                </patternFill>
              </fill>
            </x14:dxf>
          </x14:cfRule>
          <x14:cfRule type="expression" priority="6108" id="{1A2A999A-94FB-4103-9969-008FAFEC7A8F}">
            <xm:f>PLANS!$F$3="MAY"</xm:f>
            <x14:dxf>
              <fill>
                <patternFill>
                  <bgColor rgb="FFEBE600"/>
                </patternFill>
              </fill>
            </x14:dxf>
          </x14:cfRule>
          <x14:cfRule type="expression" priority="6109" id="{DED2A136-59B9-4497-B3F4-49F60AA27F24}">
            <xm:f>PLANS!$F$3="APRIL"</xm:f>
            <x14:dxf>
              <fill>
                <patternFill>
                  <bgColor rgb="FF92D050"/>
                </patternFill>
              </fill>
            </x14:dxf>
          </x14:cfRule>
          <x14:cfRule type="expression" priority="6110" id="{297DD067-0705-4C21-B37B-D59865C1A08E}">
            <xm:f>PLANS!$F$3="MARCH"</xm:f>
            <x14:dxf>
              <fill>
                <patternFill>
                  <bgColor rgb="FF00B050"/>
                </patternFill>
              </fill>
            </x14:dxf>
          </x14:cfRule>
          <x14:cfRule type="expression" priority="6111" id="{CB6EC595-A80E-4CC0-AEFE-54658C21D7C2}">
            <xm:f>PLANS!$F$3="FEBRUARY"</xm:f>
            <x14:dxf>
              <fill>
                <patternFill>
                  <bgColor rgb="FF00B0F0"/>
                </patternFill>
              </fill>
            </x14:dxf>
          </x14:cfRule>
          <x14:cfRule type="expression" priority="6112" id="{1071E5D3-5288-42F9-8B19-4E1943FC54DE}">
            <xm:f>PLANS!$F$3="JANUARY"</xm:f>
            <x14:dxf>
              <fill>
                <patternFill>
                  <bgColor rgb="FF0070C0"/>
                </patternFill>
              </fill>
            </x14:dxf>
          </x14:cfRule>
          <x14:cfRule type="expression" priority="6113" id="{06EDF93A-8E80-46E6-9F13-98C75AD3436D}">
            <xm:f>PLANS!$F$3="DECEMBER"</xm:f>
            <x14:dxf>
              <fill>
                <patternFill>
                  <bgColor rgb="FF6600CC"/>
                </patternFill>
              </fill>
            </x14:dxf>
          </x14:cfRule>
          <x14:cfRule type="expression" priority="6114" id="{601C8D6B-A2FC-43AB-8DE1-129E5A06FF61}">
            <xm:f>PLANS!$F$3="NOVEMBER"</xm:f>
            <x14:dxf>
              <fill>
                <patternFill>
                  <bgColor rgb="FF9900CC"/>
                </patternFill>
              </fill>
            </x14:dxf>
          </x14:cfRule>
          <x14:cfRule type="expression" priority="6115" id="{66D17F07-0C01-4A22-9D1D-484F2319309C}">
            <xm:f>PLANS!$F$3="OCTOBER"</xm:f>
            <x14:dxf>
              <fill>
                <patternFill>
                  <bgColor rgb="FFFF00FF"/>
                </patternFill>
              </fill>
            </x14:dxf>
          </x14:cfRule>
          <x14:cfRule type="expression" priority="6116" id="{5C0059D7-3A5E-4853-85BB-4378A1C9574D}">
            <xm:f>PLANS!$F$3="SEPTEMBER"</xm:f>
            <x14:dxf>
              <fill>
                <patternFill>
                  <bgColor rgb="FFFF0000"/>
                </patternFill>
              </fill>
            </x14:dxf>
          </x14:cfRule>
          <x14:cfRule type="expression" priority="6117" id="{A3BBBF43-96E5-4DC8-839F-253B2FC0663E}">
            <xm:f>PLANS!$F$3="AUGUST"</xm:f>
            <x14:dxf>
              <fill>
                <patternFill>
                  <bgColor rgb="FFC00000"/>
                </patternFill>
              </fill>
            </x14:dxf>
          </x14:cfRule>
          <x14:cfRule type="expression" priority="6118" id="{2280F7BA-0F4B-4469-9FB9-30DA3041FE0D}">
            <xm:f>PLANS!$F$3="JULY"</xm:f>
            <x14:dxf>
              <fill>
                <patternFill>
                  <bgColor rgb="FFFF6600"/>
                </patternFill>
              </fill>
            </x14:dxf>
          </x14:cfRule>
          <xm:sqref>BX47</xm:sqref>
        </x14:conditionalFormatting>
        <x14:conditionalFormatting xmlns:xm="http://schemas.microsoft.com/office/excel/2006/main">
          <x14:cfRule type="expression" priority="5908" id="{F3984FA7-4F3C-4771-9B32-8A9CB4469197}">
            <xm:f>PLANS!$F$3="JUNE"</xm:f>
            <x14:dxf>
              <fill>
                <patternFill>
                  <bgColor rgb="FFFFC000"/>
                </patternFill>
              </fill>
            </x14:dxf>
          </x14:cfRule>
          <x14:cfRule type="expression" priority="5909" id="{8CC6BAA9-BD47-4129-8D21-3EAB31E4830A}">
            <xm:f>PLANS!$F$3="MAY"</xm:f>
            <x14:dxf>
              <fill>
                <patternFill>
                  <bgColor rgb="FFEBE600"/>
                </patternFill>
              </fill>
            </x14:dxf>
          </x14:cfRule>
          <x14:cfRule type="expression" priority="5910" id="{CFFEACB5-35A3-4306-A774-13FE7636E065}">
            <xm:f>PLANS!$F$3="APRIL"</xm:f>
            <x14:dxf>
              <fill>
                <patternFill>
                  <bgColor rgb="FF92D050"/>
                </patternFill>
              </fill>
            </x14:dxf>
          </x14:cfRule>
          <x14:cfRule type="expression" priority="5911" id="{734259F0-ECA0-47C3-89F1-69C3015490DA}">
            <xm:f>PLANS!$F$3="MARCH"</xm:f>
            <x14:dxf>
              <fill>
                <patternFill>
                  <bgColor rgb="FF00B050"/>
                </patternFill>
              </fill>
            </x14:dxf>
          </x14:cfRule>
          <x14:cfRule type="expression" priority="5912" id="{5D3FD774-39EF-468E-9B4D-67AF89172F46}">
            <xm:f>PLANS!$F$3="FEBRUARY"</xm:f>
            <x14:dxf>
              <fill>
                <patternFill>
                  <bgColor rgb="FF00B0F0"/>
                </patternFill>
              </fill>
            </x14:dxf>
          </x14:cfRule>
          <x14:cfRule type="expression" priority="5913" id="{A7D01D8F-C4B8-4703-A063-F8030C83B22A}">
            <xm:f>PLANS!$F$3="JANUARY"</xm:f>
            <x14:dxf>
              <fill>
                <patternFill>
                  <bgColor rgb="FF0070C0"/>
                </patternFill>
              </fill>
            </x14:dxf>
          </x14:cfRule>
          <x14:cfRule type="expression" priority="5914" id="{DBD38841-4E98-4DCC-A0AD-D23F178ED2ED}">
            <xm:f>PLANS!$F$3="DECEMBER"</xm:f>
            <x14:dxf>
              <fill>
                <patternFill>
                  <bgColor rgb="FF6600CC"/>
                </patternFill>
              </fill>
            </x14:dxf>
          </x14:cfRule>
          <x14:cfRule type="expression" priority="5915" id="{DD759912-8A9D-4C10-ACD5-0520E0A0ABB5}">
            <xm:f>PLANS!$F$3="NOVEMBER"</xm:f>
            <x14:dxf>
              <fill>
                <patternFill>
                  <bgColor rgb="FF9900CC"/>
                </patternFill>
              </fill>
            </x14:dxf>
          </x14:cfRule>
          <x14:cfRule type="expression" priority="5916" id="{ADD24AAD-00C5-4ACE-85EF-5D47971E0CF7}">
            <xm:f>PLANS!$F$3="OCTOBER"</xm:f>
            <x14:dxf>
              <fill>
                <patternFill>
                  <bgColor rgb="FFFF00FF"/>
                </patternFill>
              </fill>
            </x14:dxf>
          </x14:cfRule>
          <x14:cfRule type="expression" priority="5917" id="{E6FB50DA-8111-482E-9157-C5BE8EB6D1CE}">
            <xm:f>PLANS!$F$3="SEPTEMBER"</xm:f>
            <x14:dxf>
              <fill>
                <patternFill>
                  <bgColor rgb="FFFF0000"/>
                </patternFill>
              </fill>
            </x14:dxf>
          </x14:cfRule>
          <x14:cfRule type="expression" priority="5918" id="{541C5BE4-EAB7-4C35-8029-AF5627B56806}">
            <xm:f>PLANS!$F$3="AUGUST"</xm:f>
            <x14:dxf>
              <fill>
                <patternFill>
                  <bgColor rgb="FFC00000"/>
                </patternFill>
              </fill>
            </x14:dxf>
          </x14:cfRule>
          <x14:cfRule type="expression" priority="5919" id="{FE3EBC4B-C065-42EE-B2FD-5242D27148C6}">
            <xm:f>PLANS!$F$3="JULY"</xm:f>
            <x14:dxf>
              <fill>
                <patternFill>
                  <bgColor rgb="FFFF6600"/>
                </patternFill>
              </fill>
            </x14:dxf>
          </x14:cfRule>
          <xm:sqref>BX50</xm:sqref>
        </x14:conditionalFormatting>
        <x14:conditionalFormatting xmlns:xm="http://schemas.microsoft.com/office/excel/2006/main">
          <x14:cfRule type="expression" priority="66" id="{2414C6AC-DBBC-4EAB-BB30-1C9182302D10}">
            <xm:f>PLANS!$DI$78=1</xm:f>
            <x14:dxf>
              <font>
                <color theme="0" tint="-0.24994659260841701"/>
              </font>
            </x14:dxf>
          </x14:cfRule>
          <xm:sqref>D4:U13</xm:sqref>
        </x14:conditionalFormatting>
        <x14:conditionalFormatting xmlns:xm="http://schemas.microsoft.com/office/excel/2006/main">
          <x14:cfRule type="expression" priority="956" id="{E22866CD-1950-4393-B3A2-B4C5DD6F4A31}">
            <xm:f>PLANS!$DI$81=1</xm:f>
            <x14:dxf>
              <font>
                <color theme="0" tint="-0.24994659260841701"/>
              </font>
            </x14:dxf>
          </x14:cfRule>
          <xm:sqref>D14:U25</xm:sqref>
        </x14:conditionalFormatting>
        <x14:conditionalFormatting xmlns:xm="http://schemas.microsoft.com/office/excel/2006/main">
          <x14:cfRule type="expression" priority="51974" id="{00000000-000E-0000-0500-00004E0C0000}">
            <xm:f>AND(OR(AND($B$1=26,PLANS!$CD$57=0),AND($B$1=27,PLANS!$CD$57=1)),U26&lt;100%,$AK$22="FEB")</xm:f>
            <x14:dxf>
              <font>
                <color theme="0" tint="-0.34998626667073579"/>
              </font>
              <fill>
                <patternFill>
                  <bgColor rgb="FF00B0F0"/>
                </patternFill>
              </fill>
            </x14:dxf>
          </x14:cfRule>
          <x14:cfRule type="expression" priority="53175" id="{00000000-000E-0000-0500-00005E0C0000}">
            <xm:f>AND(OR(AND($B$1=25,PLANS!$CD$57=0),AND($B$1=26,PLANS!$CD$57=1)),U26&lt;100%,$AK$22="FEB")</xm:f>
            <x14:dxf>
              <font>
                <color theme="1"/>
              </font>
              <fill>
                <patternFill>
                  <bgColor rgb="FF00B0F0"/>
                </patternFill>
              </fill>
            </x14:dxf>
          </x14:cfRule>
          <x14:cfRule type="expression" priority="53176" id="{00000000-000E-0000-0500-00005F0C0000}">
            <xm:f>AND(OR(AND($B$1=27,PLANS!$CD$57=0),AND($B$1=28,PLANS!$CD$57=1)),U26&lt;100%,$AK$22="FEB")</xm:f>
            <x14:dxf>
              <font>
                <color theme="0"/>
              </font>
              <fill>
                <patternFill>
                  <bgColor rgb="FF00B0F0"/>
                </patternFill>
              </fill>
            </x14:dxf>
          </x14:cfRule>
          <x14:cfRule type="expression" priority="53177" id="{15663A0E-67B1-4DFF-944B-A0278F877CFF}">
            <xm:f>AND(OR(AND($B$1=28,PLANS!$CD$57=0),AND($B$1=29,PLANS!$CD$57=1)),U26&lt;100%)</xm:f>
            <x14:dxf>
              <font>
                <color theme="0"/>
              </font>
              <fill>
                <patternFill>
                  <bgColor theme="1"/>
                </patternFill>
              </fill>
            </x14:dxf>
          </x14:cfRule>
          <xm:sqref>D26:D37</xm:sqref>
        </x14:conditionalFormatting>
        <x14:conditionalFormatting xmlns:xm="http://schemas.microsoft.com/office/excel/2006/main">
          <x14:cfRule type="expression" priority="58386" id="{0E59071F-26C9-41B7-868D-53D43A5E4B6A}">
            <xm:f>AND(data!$FO24="fastest", PLANS!$F$3="JUNE")</xm:f>
            <x14:dxf>
              <font>
                <color rgb="FFFFC000"/>
              </font>
            </x14:dxf>
          </x14:cfRule>
          <x14:cfRule type="expression" priority="58387" id="{FAEA2AB2-CD20-4ED3-9235-AE4CA03FB19B}">
            <xm:f>AND(data!$FO24="fastest", PLANS!$F$3="MAY")</xm:f>
            <x14:dxf>
              <font>
                <color rgb="FFD0CB00"/>
              </font>
            </x14:dxf>
          </x14:cfRule>
          <x14:cfRule type="expression" priority="58388" id="{76678A27-285D-43F4-B17F-6AF187E51F50}">
            <xm:f>AND(data!$FO24="fastest", PLANS!$F$3="APRIL")</xm:f>
            <x14:dxf>
              <font>
                <color rgb="FF92D050"/>
              </font>
            </x14:dxf>
          </x14:cfRule>
          <x14:cfRule type="expression" priority="58389" id="{52066D9F-52C7-4DD4-9ECE-5F0FEF0BB517}">
            <xm:f>AND(data!$FO24="fastest", PLANS!$F$3="MARCH")</xm:f>
            <x14:dxf>
              <font>
                <color rgb="FF00B050"/>
              </font>
            </x14:dxf>
          </x14:cfRule>
          <x14:cfRule type="expression" priority="58390" id="{0BC7625F-F4D3-4E36-9D09-F77B9C4E6C5D}">
            <xm:f>AND(data!$FO24="fastest", PLANS!$F$3="FEBRUARY")</xm:f>
            <x14:dxf>
              <font>
                <color rgb="FF00B0F0"/>
              </font>
            </x14:dxf>
          </x14:cfRule>
          <x14:cfRule type="expression" priority="58391" id="{A3327215-43A9-49FF-83C6-177CD4AC88E3}">
            <xm:f>AND(data!$FO24="fastest", PLANS!$F$3="JANUARY")</xm:f>
            <x14:dxf>
              <font>
                <color rgb="FF0070C0"/>
              </font>
            </x14:dxf>
          </x14:cfRule>
          <x14:cfRule type="expression" priority="58392" id="{D62CB7C1-C4A8-496B-B8B9-0430B0B23DC2}">
            <xm:f>AND(data!$FO24="fastest", PLANS!$F$3="DECEMBER")</xm:f>
            <x14:dxf>
              <font>
                <color rgb="FF6600CC"/>
              </font>
            </x14:dxf>
          </x14:cfRule>
          <x14:cfRule type="expression" priority="58393" id="{50153585-D496-4F00-B067-A6FB372D138C}">
            <xm:f>AND(data!$FO24="fastest", PLANS!$F$3="NOVEMBER")</xm:f>
            <x14:dxf>
              <font>
                <color rgb="FF9900CC"/>
              </font>
            </x14:dxf>
          </x14:cfRule>
          <x14:cfRule type="expression" priority="58394" id="{CD2215D6-F721-4459-B10F-346D57389070}">
            <xm:f>AND(data!$FO24="fastest", PLANS!$F$3="OCTOBER")</xm:f>
            <x14:dxf>
              <font>
                <color rgb="FFFF00FF"/>
              </font>
            </x14:dxf>
          </x14:cfRule>
          <x14:cfRule type="expression" priority="58395" id="{9DB1119B-DC13-4F86-80EF-4C9D96AD0220}">
            <xm:f>AND(data!$FO24="fastest", PLANS!$F$3="SEPTEMBER")</xm:f>
            <x14:dxf>
              <font>
                <color rgb="FFFF0000"/>
              </font>
            </x14:dxf>
          </x14:cfRule>
          <x14:cfRule type="expression" priority="58396" id="{646D3FC1-F5CD-48FE-8EAA-4E43FAE3F3D6}">
            <xm:f>AND(data!$FO24="fastest", PLANS!$F$3="JULY")</xm:f>
            <x14:dxf>
              <font>
                <color rgb="FFFF6600"/>
              </font>
            </x14:dxf>
          </x14:cfRule>
          <x14:cfRule type="expression" priority="58397" id="{DF254F29-E264-4429-8A66-B6DEE64A2B6E}">
            <xm:f>AND(data!$FO24="fastest", PLANS!$F$3="AUGUST")</xm:f>
            <x14:dxf>
              <font>
                <color rgb="FFC00000"/>
              </font>
            </x14:dxf>
          </x14:cfRule>
          <xm:sqref>E4:T37</xm:sqref>
        </x14:conditionalFormatting>
        <x14:conditionalFormatting xmlns:xm="http://schemas.microsoft.com/office/excel/2006/main">
          <x14:cfRule type="expression" priority="58398" id="{E777000C-EE0A-4F3F-B6CE-C36C2B15BCCF}">
            <xm:f>AND(data!$GE34="fastest", PLANS!$F$3="JUNE")</xm:f>
            <x14:dxf>
              <font>
                <color rgb="FFFFC000"/>
              </font>
            </x14:dxf>
          </x14:cfRule>
          <x14:cfRule type="expression" priority="58399" id="{73098821-DA97-4612-A9A5-2BB3C64B14A3}">
            <xm:f>AND(data!$GE34="fastest", PLANS!$F$3="MAY")</xm:f>
            <x14:dxf>
              <font>
                <color rgb="FFD0CB00"/>
              </font>
            </x14:dxf>
          </x14:cfRule>
          <x14:cfRule type="expression" priority="58400" id="{08069589-5B1A-45A9-9D0E-344E347CB3C0}">
            <xm:f>AND(data!$GE34="fastest", PLANS!$F$3="APRIL")</xm:f>
            <x14:dxf>
              <font>
                <color rgb="FF92D050"/>
              </font>
            </x14:dxf>
          </x14:cfRule>
          <x14:cfRule type="expression" priority="58401" id="{99BBBA7C-5EE1-4369-B97C-AAB7A1434E81}">
            <xm:f>AND(data!$GE34="fastest", PLANS!$F$3="MARCH")</xm:f>
            <x14:dxf>
              <font>
                <color rgb="FF00B050"/>
              </font>
            </x14:dxf>
          </x14:cfRule>
          <x14:cfRule type="expression" priority="58402" id="{854DFE3A-E462-4448-89E1-5C1CB2F5410A}">
            <xm:f>AND(data!$GE34="fastest", PLANS!$F$3="FEBRUARY")</xm:f>
            <x14:dxf>
              <font>
                <color rgb="FF00B0F0"/>
              </font>
            </x14:dxf>
          </x14:cfRule>
          <x14:cfRule type="expression" priority="58403" id="{319BEA67-5D78-4DB9-91CD-3332D2C67119}">
            <xm:f>AND(data!$GE34="fastest", PLANS!$F$3="JANUARY")</xm:f>
            <x14:dxf>
              <font>
                <color rgb="FF0070C0"/>
              </font>
            </x14:dxf>
          </x14:cfRule>
          <x14:cfRule type="expression" priority="58404" id="{641FD99F-AE89-4E72-9705-2E3E252CBD20}">
            <xm:f>AND(data!$GE34="fastest", PLANS!$F$3="DECEMBER")</xm:f>
            <x14:dxf>
              <font>
                <color rgb="FF6600CC"/>
              </font>
            </x14:dxf>
          </x14:cfRule>
          <x14:cfRule type="expression" priority="58405" id="{1E9400B0-04DF-4DD2-8B25-9270727F2D79}">
            <xm:f>AND(data!$GE34="fastest", PLANS!$F$3="NOVEMBER")</xm:f>
            <x14:dxf>
              <font>
                <color rgb="FF9900CC"/>
              </font>
            </x14:dxf>
          </x14:cfRule>
          <x14:cfRule type="expression" priority="58406" id="{C10475F6-0D78-4425-A653-E18831CFE765}">
            <xm:f>AND(data!$GE34="fastest", PLANS!$F$3="OCTOBER")</xm:f>
            <x14:dxf>
              <font>
                <color rgb="FFFF00FF"/>
              </font>
            </x14:dxf>
          </x14:cfRule>
          <x14:cfRule type="expression" priority="58407" id="{316D3DB8-FAFA-44E1-B8D3-B9A7E5F91FE0}">
            <xm:f>AND(data!$GE34="fastest", PLANS!$F$3="SEPTEMBER")</xm:f>
            <x14:dxf>
              <font>
                <color rgb="FFFF0000"/>
              </font>
            </x14:dxf>
          </x14:cfRule>
          <x14:cfRule type="expression" priority="58408" id="{AA2E15B5-6390-451A-9B72-A2C76513AADA}">
            <xm:f>AND(data!$GE34="fastest", PLANS!$F$3="JULY")</xm:f>
            <x14:dxf>
              <font>
                <color rgb="FFFF6600"/>
              </font>
            </x14:dxf>
          </x14:cfRule>
          <x14:cfRule type="expression" priority="58409" id="{F601BD22-C3DC-42D7-A148-2072F3D33631}">
            <xm:f>AND(data!$GE34="fastest", PLANS!$F$3="AUGUST")</xm:f>
            <x14:dxf>
              <font>
                <color rgb="FFC00000"/>
              </font>
            </x14:dxf>
          </x14:cfRule>
          <xm:sqref>AB14:AK37</xm:sqref>
        </x14:conditionalFormatting>
        <x14:conditionalFormatting xmlns:xm="http://schemas.microsoft.com/office/excel/2006/main">
          <x14:cfRule type="expression" priority="58410" id="{35E802E0-713A-40B4-B27C-445087625A01}">
            <xm:f>AND(data!$GU34="fastest", PLANS!$F$3="JUNE")</xm:f>
            <x14:dxf>
              <font>
                <color rgb="FFFFC000"/>
              </font>
            </x14:dxf>
          </x14:cfRule>
          <x14:cfRule type="expression" priority="58411" id="{D4DAA73B-688F-4D17-82C9-8D30FD857291}">
            <xm:f>AND(data!$GU34="fastest", PLANS!$F$3="MAY")</xm:f>
            <x14:dxf>
              <font>
                <color rgb="FFD0CB00"/>
              </font>
            </x14:dxf>
          </x14:cfRule>
          <x14:cfRule type="expression" priority="58412" id="{1EC5FB63-A0F9-4857-9CC1-AE2FE372182D}">
            <xm:f>AND(data!$GU34="fastest", PLANS!$F$3="APRIL")</xm:f>
            <x14:dxf>
              <font>
                <color rgb="FF92D050"/>
              </font>
            </x14:dxf>
          </x14:cfRule>
          <x14:cfRule type="expression" priority="58413" id="{1F043ADA-863D-451B-8D0A-EC8F3DE26D98}">
            <xm:f>AND(data!$GU34="fastest", PLANS!$F$3="MARCH")</xm:f>
            <x14:dxf>
              <font>
                <color rgb="FF00B050"/>
              </font>
            </x14:dxf>
          </x14:cfRule>
          <x14:cfRule type="expression" priority="58414" id="{90A996F1-1D6B-484F-A7F1-6F5435B472DA}">
            <xm:f>AND(data!$GU34="fastest", PLANS!$F$3="FEBRUARY")</xm:f>
            <x14:dxf>
              <font>
                <color rgb="FF00B0F0"/>
              </font>
            </x14:dxf>
          </x14:cfRule>
          <x14:cfRule type="expression" priority="58415" id="{46419E1A-D52A-46BC-B52C-3E76B4676552}">
            <xm:f>AND(data!$GU34="fastest", PLANS!$F$3="JANUARY")</xm:f>
            <x14:dxf>
              <font>
                <color rgb="FF0070C0"/>
              </font>
            </x14:dxf>
          </x14:cfRule>
          <x14:cfRule type="expression" priority="58416" id="{39049B81-9468-48C0-BD46-B6114EFCB7B1}">
            <xm:f>AND(data!$GU34="fastest", PLANS!$F$3="DECEMBER")</xm:f>
            <x14:dxf>
              <font>
                <color rgb="FF6600CC"/>
              </font>
            </x14:dxf>
          </x14:cfRule>
          <x14:cfRule type="expression" priority="58417" id="{D43BD84F-89E5-41F0-9822-42100809E3DA}">
            <xm:f>AND(data!$GU34="fastest", PLANS!$F$3="NOVEMBER")</xm:f>
            <x14:dxf>
              <font>
                <color rgb="FF9900CC"/>
              </font>
            </x14:dxf>
          </x14:cfRule>
          <x14:cfRule type="expression" priority="58418" id="{E3C15D1C-8EA6-4624-B129-82D1E58F4054}">
            <xm:f>AND(data!$GU34="fastest", PLANS!$F$3="OCTOBER")</xm:f>
            <x14:dxf>
              <font>
                <color rgb="FFFF00FF"/>
              </font>
            </x14:dxf>
          </x14:cfRule>
          <x14:cfRule type="expression" priority="58419" id="{0978F5B4-F185-41CE-AD76-BC5229B4253E}">
            <xm:f>AND(data!$GU34="fastest", PLANS!$F$3="SEPTEMBER")</xm:f>
            <x14:dxf>
              <font>
                <color rgb="FFFF0000"/>
              </font>
            </x14:dxf>
          </x14:cfRule>
          <x14:cfRule type="expression" priority="58420" id="{8542F958-1829-43A9-BF48-F69C41DAD34D}">
            <xm:f>AND(data!$GU34="fastest", PLANS!$F$3="JULY")</xm:f>
            <x14:dxf>
              <font>
                <color rgb="FFFF6600"/>
              </font>
            </x14:dxf>
          </x14:cfRule>
          <x14:cfRule type="expression" priority="58421" id="{E8381987-B1CD-41E6-9B3E-81D28924E07E}">
            <xm:f>AND(data!$GU34="fastest", PLANS!$F$3="AUGUST")</xm:f>
            <x14:dxf>
              <font>
                <color rgb="FFC00000"/>
              </font>
            </x14:dxf>
          </x14:cfRule>
          <xm:sqref>AQ14:AZ37</xm:sqref>
        </x14:conditionalFormatting>
        <x14:conditionalFormatting xmlns:xm="http://schemas.microsoft.com/office/excel/2006/main">
          <x14:cfRule type="expression" priority="58422" id="{5BC66557-2F50-4A41-A2AC-E557F4F6DBA7}">
            <xm:f>AND(data!$HK24="fastest", PLANS!$F$3="JUNE")</xm:f>
            <x14:dxf>
              <font>
                <color rgb="FFFFC000"/>
              </font>
            </x14:dxf>
          </x14:cfRule>
          <x14:cfRule type="expression" priority="58423" id="{77C598DF-1B6D-414A-ADA9-55481592185D}">
            <xm:f>AND(data!$HK24="fastest", PLANS!$F$3="MAY")</xm:f>
            <x14:dxf>
              <font>
                <color rgb="FFD0CB00"/>
              </font>
            </x14:dxf>
          </x14:cfRule>
          <x14:cfRule type="expression" priority="58424" id="{4C41126D-324B-4DDD-8867-EF3B4D766694}">
            <xm:f>AND(data!$HK24="fastest", PLANS!$F$3="APRIL")</xm:f>
            <x14:dxf>
              <font>
                <color rgb="FF92D050"/>
              </font>
            </x14:dxf>
          </x14:cfRule>
          <x14:cfRule type="expression" priority="58425" id="{68367C88-1072-47A3-B3EE-3A0E74280451}">
            <xm:f>AND(data!$HK24="fastest", PLANS!$F$3="MARCH")</xm:f>
            <x14:dxf>
              <font>
                <color rgb="FF00B050"/>
              </font>
            </x14:dxf>
          </x14:cfRule>
          <x14:cfRule type="expression" priority="58426" id="{8A0A95CD-DDC6-423B-92F9-8E36F0A3D2A4}">
            <xm:f>AND(data!$HK24="fastest", PLANS!$F$3="FEBRUARY")</xm:f>
            <x14:dxf>
              <font>
                <color rgb="FF00B0F0"/>
              </font>
            </x14:dxf>
          </x14:cfRule>
          <x14:cfRule type="expression" priority="58427" id="{702ED3A5-9E70-40E1-8D00-8630B356E0B1}">
            <xm:f>AND(data!$HK24="fastest", PLANS!$F$3="JANUARY")</xm:f>
            <x14:dxf>
              <font>
                <color rgb="FF0070C0"/>
              </font>
            </x14:dxf>
          </x14:cfRule>
          <x14:cfRule type="expression" priority="58428" id="{3662615E-0FDB-41CA-9D37-BAD8613E5A6D}">
            <xm:f>AND(data!$HK24="fastest", PLANS!$F$3="DECEMBER")</xm:f>
            <x14:dxf>
              <font>
                <color rgb="FF6600CC"/>
              </font>
            </x14:dxf>
          </x14:cfRule>
          <x14:cfRule type="expression" priority="58429" id="{302B61DB-E185-4C7C-BE2E-E793E9B61703}">
            <xm:f>AND(data!$HK24="fastest", PLANS!$F$3="NOVEMBER")</xm:f>
            <x14:dxf>
              <font>
                <color rgb="FF9900CC"/>
              </font>
            </x14:dxf>
          </x14:cfRule>
          <x14:cfRule type="expression" priority="58430" id="{E420E25B-11F3-4F4A-A5B8-AD3C56793678}">
            <xm:f>AND(data!$HK24="fastest", PLANS!$F$3="OCTOBER")</xm:f>
            <x14:dxf>
              <font>
                <color rgb="FFFF00FF"/>
              </font>
            </x14:dxf>
          </x14:cfRule>
          <x14:cfRule type="expression" priority="58431" id="{F0C2061D-DB69-40CB-917A-895157504630}">
            <xm:f>AND(data!$HK24="fastest", PLANS!$F$3="SEPTEMBER")</xm:f>
            <x14:dxf>
              <font>
                <color rgb="FFFF0000"/>
              </font>
            </x14:dxf>
          </x14:cfRule>
          <x14:cfRule type="expression" priority="58432" id="{DFD73CB5-1A62-49F2-B454-41F03C935460}">
            <xm:f>AND(data!$HK24="fastest", PLANS!$F$3="JULY")</xm:f>
            <x14:dxf>
              <font>
                <color rgb="FFFF6600"/>
              </font>
            </x14:dxf>
          </x14:cfRule>
          <x14:cfRule type="expression" priority="58433" id="{18C7DEC6-6E24-4705-A578-B8306EC5620C}">
            <xm:f>AND(data!$HK24="fastest", PLANS!$F$3="AUGUST")</xm:f>
            <x14:dxf>
              <font>
                <color rgb="FFC00000"/>
              </font>
            </x14:dxf>
          </x14:cfRule>
          <xm:sqref>BH4:BW37</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E38B4-A846-4A59-94FA-7D259B4628FC}">
  <sheetPr codeName="Sheet5"/>
  <dimension ref="A1:DS204"/>
  <sheetViews>
    <sheetView showGridLines="0" showRowColHeaders="0" zoomScaleNormal="100" workbookViewId="0"/>
  </sheetViews>
  <sheetFormatPr defaultColWidth="3.42578125" defaultRowHeight="17.100000000000001" customHeight="1" x14ac:dyDescent="0.15"/>
  <cols>
    <col min="1" max="3" width="3.42578125" style="19" customWidth="1"/>
    <col min="4" max="6" width="3.42578125" style="19"/>
    <col min="7" max="11" width="3.42578125" style="19" customWidth="1"/>
    <col min="12" max="13" width="3.42578125" style="19"/>
    <col min="14" max="66" width="3.42578125" style="19" customWidth="1"/>
    <col min="67" max="67" width="3.42578125" style="19"/>
    <col min="68" max="68" width="3.42578125" style="19" customWidth="1"/>
    <col min="69" max="79" width="3.42578125" style="19"/>
    <col min="80" max="123" width="3.42578125" style="19" hidden="1" customWidth="1"/>
    <col min="124" max="124" width="3.42578125" style="19" customWidth="1"/>
    <col min="125" max="16384" width="3.42578125" style="19"/>
  </cols>
  <sheetData>
    <row r="1" spans="1:120" ht="17.100000000000001" customHeight="1" x14ac:dyDescent="0.15">
      <c r="A1" s="2694" t="s">
        <v>1706</v>
      </c>
      <c r="B1" s="47"/>
      <c r="C1" s="1450"/>
      <c r="D1" s="47"/>
      <c r="E1" s="47"/>
      <c r="F1" s="47"/>
      <c r="G1" s="1451"/>
      <c r="H1" s="47"/>
      <c r="I1" s="47"/>
      <c r="J1" s="47"/>
      <c r="K1" s="47"/>
      <c r="L1" s="47"/>
      <c r="M1" s="47"/>
      <c r="N1" s="47">
        <f ca="1">PLANS!$B$1</f>
        <v>32</v>
      </c>
      <c r="O1" s="47" t="str">
        <f>PLANS!$C$1</f>
        <v>MM</v>
      </c>
      <c r="P1" s="47" t="str">
        <f ca="1">MISSIONS!$AP$2</f>
        <v>WK0</v>
      </c>
      <c r="Q1" s="91"/>
      <c r="R1" s="47"/>
      <c r="S1" s="47"/>
      <c r="T1" s="47"/>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7"/>
      <c r="BL1" s="47"/>
      <c r="BM1" s="311">
        <f>SUM(PROGRESS!$AU$27:$AV$36)</f>
        <v>75</v>
      </c>
      <c r="BN1" s="311">
        <f>SUM(PROGRESS!$AD$27:$AD$35,PROGRESS!$BN$27:$BN$35)</f>
        <v>0</v>
      </c>
      <c r="BO1" s="47"/>
      <c r="BP1" s="47"/>
      <c r="BQ1" s="47"/>
      <c r="BR1" s="47"/>
      <c r="BS1" s="47"/>
      <c r="BT1" s="47"/>
      <c r="BU1" s="47"/>
      <c r="BV1" s="47"/>
      <c r="BW1" s="47"/>
      <c r="BX1" s="47"/>
      <c r="BY1" s="47"/>
      <c r="BZ1" s="47"/>
      <c r="CA1" s="18" t="s">
        <v>782</v>
      </c>
      <c r="CI1" s="3223">
        <v>0</v>
      </c>
      <c r="CJ1" s="346">
        <v>0</v>
      </c>
      <c r="CK1" s="344">
        <v>0</v>
      </c>
      <c r="DF1" s="46"/>
      <c r="DG1" s="46"/>
      <c r="DH1" s="46"/>
      <c r="DI1" s="46"/>
      <c r="DK1" s="46"/>
      <c r="DL1" s="46"/>
      <c r="DM1" s="46"/>
      <c r="DN1" s="46"/>
      <c r="DO1" s="46"/>
      <c r="DP1" s="46"/>
    </row>
    <row r="2" spans="1:120" ht="17.100000000000001" customHeight="1" thickBot="1" x14ac:dyDescent="0.25">
      <c r="A2" s="17"/>
      <c r="B2" s="2816"/>
      <c r="C2" s="4135" t="str" cm="1">
        <f t="array" aca="1" ref="C2" ca="1">_xlfn.IFS(
BOUNTY!$CC$83=BOUNTY!$CK$82,"v",
BOUNTY!$CC$83=BOUNTY!$CK$83,"v",
AND(BOUNTY!$CC$83=BOUNTY!$CK$85,BOUNTY!$CC$88="MIND"),"v",
TRUE,"")</f>
        <v/>
      </c>
      <c r="D2" s="4135"/>
      <c r="E2" s="4136" t="str" cm="1">
        <f t="array" aca="1" ref="E2" ca="1">_xlfn.IFS(
BOUNTY!$CC$83=BOUNTY!$CK$82,BOUNTY!$CC$83,
BOUNTY!$CC$83=BOUNTY!$CK$83,BOUNTY!$CC$83,
AND(BOUNTY!$CC$83=BOUNTY!$CK$85,BOUNTY!$CC$88="MIND"),BOUNTY!$CC$83,
TRUE,"")</f>
        <v/>
      </c>
      <c r="F2" s="4136"/>
      <c r="G2" s="4136"/>
      <c r="H2" s="4136"/>
      <c r="I2" s="4136"/>
      <c r="J2" s="4135" t="str" cm="1">
        <f t="array" aca="1" ref="J2" ca="1">_xlfn.IFS(
BOUNTY!$CC$83=BOUNTY!$CK$82,"v",
BOUNTY!$CC$83=BOUNTY!$CK$83,"v",
AND(BOUNTY!$CC$83=BOUNTY!$CK$85,BOUNTY!$CC$88="MIND"),"v",
TRUE,"")</f>
        <v/>
      </c>
      <c r="K2" s="4135"/>
      <c r="L2" s="2817"/>
      <c r="M2" s="17"/>
      <c r="N2" s="823">
        <v>23</v>
      </c>
      <c r="O2" s="823">
        <v>22</v>
      </c>
      <c r="P2" s="823">
        <v>21</v>
      </c>
      <c r="Q2" s="823">
        <v>20</v>
      </c>
      <c r="R2" s="823">
        <v>19</v>
      </c>
      <c r="S2" s="823">
        <v>18</v>
      </c>
      <c r="T2" s="823">
        <v>17</v>
      </c>
      <c r="U2" s="823">
        <v>16</v>
      </c>
      <c r="V2" s="823">
        <v>15</v>
      </c>
      <c r="W2" s="823">
        <v>14</v>
      </c>
      <c r="X2" s="823">
        <v>13</v>
      </c>
      <c r="Y2" s="823">
        <v>12</v>
      </c>
      <c r="Z2" s="823">
        <v>11</v>
      </c>
      <c r="AA2" s="823">
        <v>10</v>
      </c>
      <c r="AB2" s="823">
        <v>9</v>
      </c>
      <c r="AC2" s="823">
        <v>8</v>
      </c>
      <c r="AD2" s="823">
        <v>7</v>
      </c>
      <c r="AE2" s="823">
        <v>6</v>
      </c>
      <c r="AF2" s="823">
        <v>5</v>
      </c>
      <c r="AG2" s="823">
        <v>4</v>
      </c>
      <c r="AH2" s="823">
        <v>3</v>
      </c>
      <c r="AI2" s="823">
        <v>2</v>
      </c>
      <c r="AJ2" s="823">
        <v>1</v>
      </c>
      <c r="AK2" s="4162" t="str">
        <f>IF('^'!$BS$45="","L V L",'^'!$BS$45&amp;" - L V L")</f>
        <v>L V L</v>
      </c>
      <c r="AL2" s="4162"/>
      <c r="AM2" s="4162"/>
      <c r="AN2" s="4162"/>
      <c r="AO2" s="4162"/>
      <c r="AP2" s="4162"/>
      <c r="AQ2" s="4162"/>
      <c r="AR2" s="823">
        <v>1</v>
      </c>
      <c r="AS2" s="823">
        <v>2</v>
      </c>
      <c r="AT2" s="823">
        <v>3</v>
      </c>
      <c r="AU2" s="823">
        <v>4</v>
      </c>
      <c r="AV2" s="823">
        <v>5</v>
      </c>
      <c r="AW2" s="823">
        <v>6</v>
      </c>
      <c r="AX2" s="823">
        <v>7</v>
      </c>
      <c r="AY2" s="823">
        <v>8</v>
      </c>
      <c r="AZ2" s="823">
        <v>9</v>
      </c>
      <c r="BA2" s="823">
        <v>10</v>
      </c>
      <c r="BB2" s="823">
        <v>11</v>
      </c>
      <c r="BC2" s="823">
        <v>12</v>
      </c>
      <c r="BD2" s="823">
        <v>13</v>
      </c>
      <c r="BE2" s="823">
        <v>14</v>
      </c>
      <c r="BF2" s="823">
        <v>15</v>
      </c>
      <c r="BG2" s="823">
        <v>16</v>
      </c>
      <c r="BH2" s="823">
        <v>17</v>
      </c>
      <c r="BI2" s="823">
        <v>18</v>
      </c>
      <c r="BJ2" s="823">
        <v>19</v>
      </c>
      <c r="BK2" s="823">
        <v>20</v>
      </c>
      <c r="BL2" s="823">
        <v>21</v>
      </c>
      <c r="BM2" s="823">
        <v>22</v>
      </c>
      <c r="BN2" s="823">
        <v>23</v>
      </c>
      <c r="BO2" s="17"/>
      <c r="BP2" s="2817"/>
      <c r="BQ2" s="4135" t="str" cm="1">
        <f t="array" aca="1" ref="BQ2" ca="1">_xlfn.IFS(
BOUNTY!$CC$83=BOUNTY!$CK$82,"v",
BOUNTY!$CC$83=BOUNTY!$CK$84,"v",
AND(BOUNTY!$CC$83=BOUNTY!$CK$85,BOUNTY!$CC$88="BODY"),"v",
TRUE,"")</f>
        <v/>
      </c>
      <c r="BR2" s="4135"/>
      <c r="BS2" s="4136" t="str" cm="1">
        <f t="array" aca="1" ref="BS2" ca="1">_xlfn.IFS(
BOUNTY!$CC$83=BOUNTY!$CK$82,BOUNTY!$CC$83,
BOUNTY!$CC$83=BOUNTY!$CK$84,BOUNTY!$CC$83,
AND(BOUNTY!$CC$83=BOUNTY!$CK$85,BOUNTY!$CC$88="BODY"),BOUNTY!$CC$83,
TRUE,"")</f>
        <v/>
      </c>
      <c r="BT2" s="4136"/>
      <c r="BU2" s="4136"/>
      <c r="BV2" s="4136"/>
      <c r="BW2" s="4136"/>
      <c r="BX2" s="4135" t="str" cm="1">
        <f t="array" aca="1" ref="BX2" ca="1">_xlfn.IFS(
BOUNTY!$CC$83=BOUNTY!$CK$82,"v",
BOUNTY!$CC$83=BOUNTY!$CK$84,"v",
AND(BOUNTY!$CC$83=BOUNTY!$CK$85,BOUNTY!$CC$88="BODY"),"v",
TRUE,"")</f>
        <v/>
      </c>
      <c r="BY2" s="4135"/>
      <c r="BZ2" s="2816"/>
      <c r="CA2" s="17"/>
      <c r="CB2" s="46"/>
      <c r="CC2" s="46"/>
      <c r="CD2" s="46"/>
      <c r="CE2" s="46"/>
      <c r="CF2" s="46"/>
      <c r="CI2" s="3224">
        <v>32</v>
      </c>
      <c r="CJ2" s="3225" t="e">
        <f>AVERAGEIF($CB3:$CB$33,"&lt;&gt;0")</f>
        <v>#DIV/0!</v>
      </c>
      <c r="CK2" s="3226" t="e">
        <f t="shared" ref="CK2:CK32" si="0">ROUNDDOWN(CJ2/60,1)</f>
        <v>#DIV/0!</v>
      </c>
      <c r="DD2" s="415" t="s">
        <v>2206</v>
      </c>
      <c r="DF2" s="1520">
        <v>0</v>
      </c>
      <c r="DG2" s="1521">
        <v>0</v>
      </c>
      <c r="DH2" s="262">
        <v>0</v>
      </c>
      <c r="DK2" s="379" t="s">
        <v>0</v>
      </c>
    </row>
    <row r="3" spans="1:120" ht="17.100000000000001" customHeight="1" thickTop="1" thickBot="1" x14ac:dyDescent="0.2">
      <c r="A3" s="825">
        <f>SUM(C3:K3)</f>
        <v>0</v>
      </c>
      <c r="B3" s="2799">
        <v>31</v>
      </c>
      <c r="C3" s="2858"/>
      <c r="D3" s="2858"/>
      <c r="E3" s="2858"/>
      <c r="F3" s="2858"/>
      <c r="G3" s="2858"/>
      <c r="H3" s="2858"/>
      <c r="I3" s="2858"/>
      <c r="J3" s="2858"/>
      <c r="K3" s="2858"/>
      <c r="L3" s="2798" t="str">
        <f ca="1">_xlfn.IFS( AND(BZ3&lt;$N$1,CB3&lt;120,DH3=0),"Í", A3=MAX($A$3:$A$33),"±", CB3=MAX($CB$3:$CB$33),"¯",  TRUE, "­")</f>
        <v>Í</v>
      </c>
      <c r="M3" s="17"/>
      <c r="N3" s="342"/>
      <c r="O3" s="342"/>
      <c r="P3" s="342"/>
      <c r="Q3" s="342"/>
      <c r="R3" s="342"/>
      <c r="S3" s="342"/>
      <c r="T3" s="342"/>
      <c r="U3" s="342"/>
      <c r="V3" s="342"/>
      <c r="W3" s="342"/>
      <c r="X3" s="342"/>
      <c r="Y3" s="342"/>
      <c r="Z3" s="342"/>
      <c r="AA3" s="342"/>
      <c r="AB3" s="342"/>
      <c r="AC3" s="342"/>
      <c r="AD3" s="342"/>
      <c r="AE3" s="342"/>
      <c r="AF3" s="342"/>
      <c r="AG3" s="342"/>
      <c r="AH3" s="342"/>
      <c r="AI3" s="342"/>
      <c r="AJ3" s="342"/>
      <c r="AK3" s="4163">
        <f>data!$BZ$36</f>
        <v>0</v>
      </c>
      <c r="AL3" s="4163"/>
      <c r="AM3" s="4163"/>
      <c r="AN3" s="4163"/>
      <c r="AO3" s="4163"/>
      <c r="AP3" s="4163"/>
      <c r="AQ3" s="4163"/>
      <c r="AR3" s="342"/>
      <c r="AS3" s="342"/>
      <c r="AT3" s="342"/>
      <c r="AU3" s="342"/>
      <c r="AV3" s="342"/>
      <c r="AW3" s="342"/>
      <c r="AX3" s="342"/>
      <c r="AY3" s="342"/>
      <c r="AZ3" s="342"/>
      <c r="BA3" s="342"/>
      <c r="BB3" s="342"/>
      <c r="BC3" s="342"/>
      <c r="BD3" s="342"/>
      <c r="BE3" s="342"/>
      <c r="BF3" s="342"/>
      <c r="BG3" s="342"/>
      <c r="BH3" s="342"/>
      <c r="BI3" s="342"/>
      <c r="BJ3" s="342"/>
      <c r="BK3" s="342"/>
      <c r="BL3" s="342"/>
      <c r="BM3" s="342"/>
      <c r="BN3" s="342"/>
      <c r="BO3" s="17"/>
      <c r="BP3" s="2798" t="str">
        <f t="shared" ref="BP3:BP15" ca="1" si="1">_xlfn.IFS( AND(BZ3&lt;$N$1,CB3&lt;120,DH3=0),"Í", CA3=MAX($CA$3:$CA$33),"±", CB3=MAX($CB$3:$CB$33),"¯",  TRUE, "­")</f>
        <v>Í</v>
      </c>
      <c r="BQ3" s="2858"/>
      <c r="BR3" s="2858"/>
      <c r="BS3" s="2858"/>
      <c r="BT3" s="2858"/>
      <c r="BU3" s="2858"/>
      <c r="BV3" s="2858"/>
      <c r="BW3" s="2858"/>
      <c r="BX3" s="2858"/>
      <c r="BY3" s="2858"/>
      <c r="BZ3" s="2797">
        <v>31</v>
      </c>
      <c r="CA3" s="825">
        <f t="shared" ref="CA3:CA32" si="2">SUM(BQ3:BY3)</f>
        <v>0</v>
      </c>
      <c r="CB3" s="343">
        <f t="shared" ref="CB3:CB33" si="3">SUM(C3:K3,BQ3:BY3)</f>
        <v>0</v>
      </c>
      <c r="CC3" s="344">
        <f t="shared" ref="CC3:CC32" si="4">ROUNDDOWN(CB3/60,1)</f>
        <v>0</v>
      </c>
      <c r="CD3" s="343"/>
      <c r="CE3" s="343">
        <f t="shared" ref="CE3:CE33" ca="1" si="5">IF(BZ3&lt;$N$1,SUM(C3:K3,BQ3:BY3),0)</f>
        <v>0</v>
      </c>
      <c r="CF3" s="344">
        <f t="shared" ref="CF3:CF33" ca="1" si="6">ROUNDDOWN(CE3/60,1)</f>
        <v>0</v>
      </c>
      <c r="CG3" s="345"/>
      <c r="CH3" s="343">
        <f ca="1">IF(
OR(PLANS!$F$3="FEBRUARY",PLANS!$F$3="APRIL",PLANS!$F$3="JUNE",PLANS!$F$3="SEPTEMBER",PLANS!$F$3="NOVEMBER"),
"",
IF(BZ3&lt;$N$1,IF(AND(CJ3&lt;$CT$33,CE3&lt;$CT$29),1,0),0)
)</f>
        <v>1</v>
      </c>
      <c r="CI3" s="3223">
        <v>31</v>
      </c>
      <c r="CJ3" s="346">
        <f>IF(AND(SUM($CB4:$CB$33)&gt;0,CB3&gt;0),AVERAGE($CB4:$CB$33), 0)</f>
        <v>0</v>
      </c>
      <c r="CK3" s="344">
        <f t="shared" si="0"/>
        <v>0</v>
      </c>
      <c r="CL3" s="347"/>
      <c r="CM3" s="343">
        <f t="shared" ref="CM3:CM33" ca="1" si="7">IF(AND(CE3&gt;=$CM$36,CE3&lt;$CN$36),1,0)</f>
        <v>0</v>
      </c>
      <c r="CN3" s="343">
        <f t="shared" ref="CN3:CN33" ca="1" si="8">IF(AND(CE3&gt;=$CN$36,CE3&lt;$CO$36),1,0)</f>
        <v>0</v>
      </c>
      <c r="CO3" s="343">
        <f t="shared" ref="CO3:CO33" ca="1" si="9">IF(AND(CE3&gt;=$CO$36,CE3&lt;$CP$36),1,0)</f>
        <v>0</v>
      </c>
      <c r="CP3" s="343">
        <f t="shared" ref="CP3:CP33" ca="1" si="10">IF(AND(CE3&gt;=$CP$36,CE3&lt;$CQ$36),1,0)</f>
        <v>0</v>
      </c>
      <c r="CQ3" s="343">
        <f t="shared" ref="CQ3:CQ33" ca="1" si="11">IF(AND(CE3&gt;=$CQ$36,CE3&lt;$CR$36),1,0)</f>
        <v>0</v>
      </c>
      <c r="CR3" s="343">
        <f t="shared" ref="CR3:CR33" ca="1" si="12">IF(CE3&gt;=$CR$36,1,0)</f>
        <v>0</v>
      </c>
      <c r="CV3" s="383" t="s">
        <v>75</v>
      </c>
      <c r="DD3" s="415" t="s">
        <v>1077</v>
      </c>
      <c r="DF3" s="1520">
        <f t="shared" ref="DF3:DF33" si="13">BZ3</f>
        <v>31</v>
      </c>
      <c r="DG3" s="1521">
        <f t="shared" ref="DG3:DG33" ca="1" si="14">CF3</f>
        <v>0</v>
      </c>
      <c r="DH3" s="262">
        <f t="shared" ref="DH3:DH32" si="15">IF(CJ3&gt;=$CT$33,1,0)</f>
        <v>0</v>
      </c>
      <c r="DK3" s="497" t="s">
        <v>2066</v>
      </c>
    </row>
    <row r="4" spans="1:120" ht="17.100000000000001" customHeight="1" thickTop="1" thickBot="1" x14ac:dyDescent="0.2">
      <c r="A4" s="825">
        <f t="shared" ref="A4:A32" si="16">SUM(C4:K4)</f>
        <v>0</v>
      </c>
      <c r="B4" s="1520">
        <v>30</v>
      </c>
      <c r="C4" s="336"/>
      <c r="D4" s="336"/>
      <c r="E4" s="336"/>
      <c r="F4" s="336"/>
      <c r="G4" s="336"/>
      <c r="H4" s="336"/>
      <c r="I4" s="336"/>
      <c r="J4" s="336"/>
      <c r="K4" s="336"/>
      <c r="L4" s="341" t="str">
        <f t="shared" ref="L4:L33" ca="1" si="17">_xlfn.IFS( AND(BZ4&lt;$N$1,CB4&lt;120,DH4=0),"Í", A4=MAX($A$3:$A$33),"±", CB4=MAX($CB$3:$CB$33),"¯",  TRUE, "­")</f>
        <v>Í</v>
      </c>
      <c r="M4" s="17"/>
      <c r="N4" s="342"/>
      <c r="O4" s="342"/>
      <c r="P4" s="342"/>
      <c r="Q4" s="342"/>
      <c r="R4" s="342"/>
      <c r="S4" s="342"/>
      <c r="T4" s="342"/>
      <c r="U4" s="342"/>
      <c r="V4" s="342"/>
      <c r="W4" s="342"/>
      <c r="X4" s="342"/>
      <c r="Y4" s="342"/>
      <c r="Z4" s="342"/>
      <c r="AA4" s="342"/>
      <c r="AB4" s="342"/>
      <c r="AC4" s="342"/>
      <c r="AD4" s="342"/>
      <c r="AE4" s="342"/>
      <c r="AF4" s="342"/>
      <c r="AG4" s="342"/>
      <c r="AH4" s="342"/>
      <c r="AI4" s="342"/>
      <c r="AJ4" s="342"/>
      <c r="AK4" s="4163"/>
      <c r="AL4" s="4163"/>
      <c r="AM4" s="4163"/>
      <c r="AN4" s="4163"/>
      <c r="AO4" s="4163"/>
      <c r="AP4" s="4163"/>
      <c r="AQ4" s="4163"/>
      <c r="AR4" s="342"/>
      <c r="AS4" s="342"/>
      <c r="AT4" s="342"/>
      <c r="AU4" s="342"/>
      <c r="AV4" s="342"/>
      <c r="AW4" s="342"/>
      <c r="AX4" s="342"/>
      <c r="AY4" s="342"/>
      <c r="AZ4" s="342"/>
      <c r="BA4" s="342"/>
      <c r="BB4" s="342"/>
      <c r="BC4" s="342"/>
      <c r="BD4" s="342"/>
      <c r="BE4" s="342"/>
      <c r="BF4" s="342"/>
      <c r="BG4" s="342"/>
      <c r="BH4" s="342"/>
      <c r="BI4" s="342"/>
      <c r="BJ4" s="342"/>
      <c r="BK4" s="342"/>
      <c r="BL4" s="342"/>
      <c r="BM4" s="342"/>
      <c r="BN4" s="342"/>
      <c r="BO4" s="17"/>
      <c r="BP4" s="341" t="str">
        <f t="shared" ca="1" si="1"/>
        <v>Í</v>
      </c>
      <c r="BQ4" s="336"/>
      <c r="BR4" s="336"/>
      <c r="BS4" s="336"/>
      <c r="BT4" s="336"/>
      <c r="BU4" s="336"/>
      <c r="BV4" s="336"/>
      <c r="BW4" s="336"/>
      <c r="BX4" s="336"/>
      <c r="BY4" s="336"/>
      <c r="BZ4" s="340">
        <v>30</v>
      </c>
      <c r="CA4" s="825">
        <f t="shared" si="2"/>
        <v>0</v>
      </c>
      <c r="CB4" s="343">
        <f t="shared" si="3"/>
        <v>0</v>
      </c>
      <c r="CC4" s="344">
        <f t="shared" si="4"/>
        <v>0</v>
      </c>
      <c r="CD4" s="343"/>
      <c r="CE4" s="343">
        <f t="shared" ca="1" si="5"/>
        <v>0</v>
      </c>
      <c r="CF4" s="344">
        <f t="shared" ca="1" si="6"/>
        <v>0</v>
      </c>
      <c r="CG4" s="345"/>
      <c r="CH4" s="343">
        <f ca="1">IF(
PLANS!$F$3="FEBRUARY",
"",
IF(BZ4&lt;$N$1,IF(AND(CJ4&lt;$CT$33,CE4&lt;$CT$29),1,0),0)
)</f>
        <v>1</v>
      </c>
      <c r="CI4" s="3223">
        <v>30</v>
      </c>
      <c r="CJ4" s="346">
        <f>IF(AND(SUM($CB5:$CB$33)&gt;0,CB4&gt;0),AVERAGE($CB5:$CB$33), 0)</f>
        <v>0</v>
      </c>
      <c r="CK4" s="344">
        <f t="shared" si="0"/>
        <v>0</v>
      </c>
      <c r="CL4" s="347"/>
      <c r="CM4" s="343">
        <f t="shared" ca="1" si="7"/>
        <v>0</v>
      </c>
      <c r="CN4" s="343">
        <f t="shared" ca="1" si="8"/>
        <v>0</v>
      </c>
      <c r="CO4" s="343">
        <f t="shared" ca="1" si="9"/>
        <v>0</v>
      </c>
      <c r="CP4" s="343">
        <f t="shared" ca="1" si="10"/>
        <v>0</v>
      </c>
      <c r="CQ4" s="343">
        <f t="shared" ca="1" si="11"/>
        <v>0</v>
      </c>
      <c r="CR4" s="343">
        <f t="shared" ca="1" si="12"/>
        <v>0</v>
      </c>
      <c r="CV4" s="383" t="s">
        <v>76</v>
      </c>
      <c r="DF4" s="1520">
        <f t="shared" si="13"/>
        <v>30</v>
      </c>
      <c r="DG4" s="1521">
        <f t="shared" ca="1" si="14"/>
        <v>0</v>
      </c>
      <c r="DH4" s="262">
        <f t="shared" si="15"/>
        <v>0</v>
      </c>
      <c r="DK4" s="383">
        <f ca="1">IF('^'!$BK$45="A C T I V E",1,0)</f>
        <v>0</v>
      </c>
    </row>
    <row r="5" spans="1:120" ht="17.100000000000001" customHeight="1" thickTop="1" thickBot="1" x14ac:dyDescent="0.2">
      <c r="A5" s="825">
        <f t="shared" si="16"/>
        <v>0</v>
      </c>
      <c r="B5" s="1520">
        <v>29</v>
      </c>
      <c r="C5" s="336"/>
      <c r="D5" s="336"/>
      <c r="E5" s="336"/>
      <c r="F5" s="336"/>
      <c r="G5" s="336"/>
      <c r="H5" s="336"/>
      <c r="I5" s="336"/>
      <c r="J5" s="336"/>
      <c r="K5" s="336"/>
      <c r="L5" s="341" t="str">
        <f t="shared" ca="1" si="17"/>
        <v>Í</v>
      </c>
      <c r="M5" s="17"/>
      <c r="N5" s="342"/>
      <c r="O5" s="342"/>
      <c r="P5" s="342"/>
      <c r="Q5" s="342"/>
      <c r="R5" s="342"/>
      <c r="S5" s="342"/>
      <c r="T5" s="342"/>
      <c r="U5" s="342"/>
      <c r="V5" s="342"/>
      <c r="W5" s="342"/>
      <c r="X5" s="342"/>
      <c r="Y5" s="342"/>
      <c r="Z5" s="342"/>
      <c r="AA5" s="342"/>
      <c r="AB5" s="342"/>
      <c r="AC5" s="342"/>
      <c r="AD5" s="342"/>
      <c r="AE5" s="342"/>
      <c r="AF5" s="342"/>
      <c r="AG5" s="342"/>
      <c r="AH5" s="342"/>
      <c r="AI5" s="342"/>
      <c r="AJ5" s="342"/>
      <c r="AK5" s="4163"/>
      <c r="AL5" s="4163"/>
      <c r="AM5" s="4163"/>
      <c r="AN5" s="4163"/>
      <c r="AO5" s="4163"/>
      <c r="AP5" s="4163"/>
      <c r="AQ5" s="4163"/>
      <c r="AR5" s="342"/>
      <c r="AS5" s="342"/>
      <c r="AT5" s="342"/>
      <c r="AU5" s="342"/>
      <c r="AV5" s="342"/>
      <c r="AW5" s="342"/>
      <c r="AX5" s="342"/>
      <c r="AY5" s="342"/>
      <c r="AZ5" s="342"/>
      <c r="BA5" s="342"/>
      <c r="BB5" s="342"/>
      <c r="BC5" s="342"/>
      <c r="BD5" s="342"/>
      <c r="BE5" s="342"/>
      <c r="BF5" s="342"/>
      <c r="BG5" s="342"/>
      <c r="BH5" s="342"/>
      <c r="BI5" s="342"/>
      <c r="BJ5" s="342"/>
      <c r="BK5" s="342"/>
      <c r="BL5" s="342"/>
      <c r="BM5" s="342"/>
      <c r="BN5" s="342"/>
      <c r="BO5" s="17"/>
      <c r="BP5" s="341" t="str">
        <f t="shared" ca="1" si="1"/>
        <v>Í</v>
      </c>
      <c r="BQ5" s="336"/>
      <c r="BR5" s="336"/>
      <c r="BS5" s="336"/>
      <c r="BT5" s="336"/>
      <c r="BU5" s="336"/>
      <c r="BV5" s="336"/>
      <c r="BW5" s="336"/>
      <c r="BX5" s="336"/>
      <c r="BY5" s="336"/>
      <c r="BZ5" s="340">
        <v>29</v>
      </c>
      <c r="CA5" s="825">
        <f t="shared" si="2"/>
        <v>0</v>
      </c>
      <c r="CB5" s="343">
        <f t="shared" si="3"/>
        <v>0</v>
      </c>
      <c r="CC5" s="344">
        <f t="shared" si="4"/>
        <v>0</v>
      </c>
      <c r="CD5" s="343"/>
      <c r="CE5" s="343">
        <f t="shared" ca="1" si="5"/>
        <v>0</v>
      </c>
      <c r="CF5" s="344">
        <f t="shared" ca="1" si="6"/>
        <v>0</v>
      </c>
      <c r="CG5" s="345"/>
      <c r="CH5" s="343">
        <f ca="1">IF(
AND(PLANS!$F$3="FEBRUARY",PLANS!$CD$57=0),
"",
IF(BZ5&lt;$N$1,IF(AND(CJ5&lt;$CT$33,CE5&lt;$CT$29),1,0),0)
)</f>
        <v>1</v>
      </c>
      <c r="CI5" s="3223">
        <v>29</v>
      </c>
      <c r="CJ5" s="346">
        <f>IF(AND(SUM($CB6:$CB$33)&gt;0,CB5&gt;0),AVERAGE($CB6:$CB$33), 0)</f>
        <v>0</v>
      </c>
      <c r="CK5" s="344">
        <f t="shared" si="0"/>
        <v>0</v>
      </c>
      <c r="CL5" s="347"/>
      <c r="CM5" s="343">
        <f t="shared" ca="1" si="7"/>
        <v>0</v>
      </c>
      <c r="CN5" s="343">
        <f t="shared" ca="1" si="8"/>
        <v>0</v>
      </c>
      <c r="CO5" s="343">
        <f t="shared" ca="1" si="9"/>
        <v>0</v>
      </c>
      <c r="CP5" s="343">
        <f t="shared" ca="1" si="10"/>
        <v>0</v>
      </c>
      <c r="CQ5" s="343">
        <f t="shared" ca="1" si="11"/>
        <v>0</v>
      </c>
      <c r="CR5" s="343">
        <f t="shared" ca="1" si="12"/>
        <v>0</v>
      </c>
      <c r="DC5" s="379" t="s">
        <v>1078</v>
      </c>
      <c r="DF5" s="1520">
        <f t="shared" si="13"/>
        <v>29</v>
      </c>
      <c r="DG5" s="1521">
        <f t="shared" ca="1" si="14"/>
        <v>0</v>
      </c>
      <c r="DH5" s="262">
        <f t="shared" si="15"/>
        <v>0</v>
      </c>
    </row>
    <row r="6" spans="1:120" ht="17.100000000000001" customHeight="1" thickTop="1" thickBot="1" x14ac:dyDescent="0.2">
      <c r="A6" s="825">
        <f t="shared" si="16"/>
        <v>0</v>
      </c>
      <c r="B6" s="1520">
        <v>28</v>
      </c>
      <c r="C6" s="336"/>
      <c r="D6" s="336"/>
      <c r="E6" s="336"/>
      <c r="F6" s="336"/>
      <c r="G6" s="336"/>
      <c r="H6" s="336"/>
      <c r="I6" s="336"/>
      <c r="J6" s="336"/>
      <c r="K6" s="336"/>
      <c r="L6" s="341" t="str">
        <f t="shared" ca="1" si="17"/>
        <v>Í</v>
      </c>
      <c r="M6" s="17"/>
      <c r="N6" s="342"/>
      <c r="O6" s="342"/>
      <c r="P6" s="342"/>
      <c r="Q6" s="342"/>
      <c r="R6" s="342"/>
      <c r="S6" s="342"/>
      <c r="T6" s="342"/>
      <c r="U6" s="342"/>
      <c r="V6" s="342"/>
      <c r="W6" s="342"/>
      <c r="X6" s="342"/>
      <c r="Y6" s="342"/>
      <c r="Z6" s="342"/>
      <c r="AA6" s="342"/>
      <c r="AB6" s="342"/>
      <c r="AC6" s="342"/>
      <c r="AD6" s="342"/>
      <c r="AE6" s="342"/>
      <c r="AF6" s="342"/>
      <c r="AG6" s="342"/>
      <c r="AH6" s="342"/>
      <c r="AI6" s="342"/>
      <c r="AJ6" s="342"/>
      <c r="AK6" s="4163"/>
      <c r="AL6" s="4163"/>
      <c r="AM6" s="4163"/>
      <c r="AN6" s="4163"/>
      <c r="AO6" s="4163"/>
      <c r="AP6" s="4163"/>
      <c r="AQ6" s="4163"/>
      <c r="AR6" s="342"/>
      <c r="AS6" s="342"/>
      <c r="AT6" s="342"/>
      <c r="AU6" s="342"/>
      <c r="AV6" s="342"/>
      <c r="AW6" s="342"/>
      <c r="AX6" s="342"/>
      <c r="AY6" s="342"/>
      <c r="AZ6" s="342"/>
      <c r="BA6" s="342"/>
      <c r="BB6" s="342"/>
      <c r="BC6" s="342"/>
      <c r="BD6" s="342"/>
      <c r="BE6" s="342"/>
      <c r="BF6" s="342"/>
      <c r="BG6" s="342"/>
      <c r="BH6" s="342"/>
      <c r="BI6" s="342"/>
      <c r="BJ6" s="342"/>
      <c r="BK6" s="342"/>
      <c r="BL6" s="342"/>
      <c r="BM6" s="342"/>
      <c r="BN6" s="342"/>
      <c r="BO6" s="17"/>
      <c r="BP6" s="341" t="str">
        <f t="shared" ca="1" si="1"/>
        <v>Í</v>
      </c>
      <c r="BQ6" s="336"/>
      <c r="BR6" s="336"/>
      <c r="BS6" s="336"/>
      <c r="BT6" s="336"/>
      <c r="BU6" s="336"/>
      <c r="BV6" s="336"/>
      <c r="BW6" s="336"/>
      <c r="BX6" s="336"/>
      <c r="BY6" s="336"/>
      <c r="BZ6" s="340">
        <v>28</v>
      </c>
      <c r="CA6" s="825">
        <f t="shared" si="2"/>
        <v>0</v>
      </c>
      <c r="CB6" s="343">
        <f t="shared" si="3"/>
        <v>0</v>
      </c>
      <c r="CC6" s="344">
        <f t="shared" si="4"/>
        <v>0</v>
      </c>
      <c r="CD6" s="343"/>
      <c r="CE6" s="343">
        <f t="shared" ca="1" si="5"/>
        <v>0</v>
      </c>
      <c r="CF6" s="344">
        <f t="shared" ca="1" si="6"/>
        <v>0</v>
      </c>
      <c r="CG6" s="345"/>
      <c r="CH6" s="343">
        <f t="shared" ref="CH6:CH33" ca="1" si="18">IF(BZ6&lt;$N$1,IF(AND(CJ6&lt;$CT$33,CE6&lt;$CT$29),1,0),0)</f>
        <v>1</v>
      </c>
      <c r="CI6" s="3223">
        <v>28</v>
      </c>
      <c r="CJ6" s="346">
        <f>IF(AND(SUM($CB7:$CB$33)&gt;0,CB6&gt;0),AVERAGE($CB7:$CB$33), 0)</f>
        <v>0</v>
      </c>
      <c r="CK6" s="344">
        <f t="shared" si="0"/>
        <v>0</v>
      </c>
      <c r="CM6" s="343">
        <f t="shared" ca="1" si="7"/>
        <v>0</v>
      </c>
      <c r="CN6" s="343">
        <f t="shared" ca="1" si="8"/>
        <v>0</v>
      </c>
      <c r="CO6" s="343">
        <f t="shared" ca="1" si="9"/>
        <v>0</v>
      </c>
      <c r="CP6" s="343">
        <f t="shared" ca="1" si="10"/>
        <v>0</v>
      </c>
      <c r="CQ6" s="343">
        <f t="shared" ca="1" si="11"/>
        <v>0</v>
      </c>
      <c r="CR6" s="343">
        <f t="shared" ca="1" si="12"/>
        <v>0</v>
      </c>
      <c r="DB6" s="441" t="s">
        <v>128</v>
      </c>
      <c r="DC6" s="1519">
        <f ca="1">IF($N$1=32,32,$N$1-1)</f>
        <v>32</v>
      </c>
      <c r="DF6" s="1520">
        <f t="shared" si="13"/>
        <v>28</v>
      </c>
      <c r="DG6" s="1521">
        <f t="shared" ca="1" si="14"/>
        <v>0</v>
      </c>
      <c r="DH6" s="262">
        <f t="shared" si="15"/>
        <v>0</v>
      </c>
    </row>
    <row r="7" spans="1:120" ht="17.100000000000001" customHeight="1" thickTop="1" thickBot="1" x14ac:dyDescent="0.2">
      <c r="A7" s="825">
        <f t="shared" si="16"/>
        <v>0</v>
      </c>
      <c r="B7" s="1520">
        <v>27</v>
      </c>
      <c r="C7" s="336"/>
      <c r="D7" s="336"/>
      <c r="E7" s="336"/>
      <c r="F7" s="336"/>
      <c r="G7" s="336"/>
      <c r="H7" s="336"/>
      <c r="I7" s="336"/>
      <c r="J7" s="336"/>
      <c r="K7" s="336"/>
      <c r="L7" s="341" t="str">
        <f t="shared" ca="1" si="17"/>
        <v>Í</v>
      </c>
      <c r="M7" s="17"/>
      <c r="N7" s="342"/>
      <c r="O7" s="342"/>
      <c r="P7" s="342"/>
      <c r="Q7" s="342"/>
      <c r="R7" s="342"/>
      <c r="S7" s="342"/>
      <c r="T7" s="342"/>
      <c r="U7" s="342"/>
      <c r="V7" s="342"/>
      <c r="W7" s="342"/>
      <c r="X7" s="342"/>
      <c r="Y7" s="342"/>
      <c r="Z7" s="342"/>
      <c r="AA7" s="342"/>
      <c r="AB7" s="342"/>
      <c r="AC7" s="342"/>
      <c r="AD7" s="342"/>
      <c r="AE7" s="342"/>
      <c r="AF7" s="342"/>
      <c r="AG7" s="342"/>
      <c r="AH7" s="342"/>
      <c r="AI7" s="342"/>
      <c r="AJ7" s="342"/>
      <c r="AK7" s="4163"/>
      <c r="AL7" s="4163"/>
      <c r="AM7" s="4163"/>
      <c r="AN7" s="4163"/>
      <c r="AO7" s="4163"/>
      <c r="AP7" s="4163"/>
      <c r="AQ7" s="4163"/>
      <c r="AR7" s="342"/>
      <c r="AS7" s="342"/>
      <c r="AT7" s="342"/>
      <c r="AU7" s="342"/>
      <c r="AV7" s="342"/>
      <c r="AW7" s="342"/>
      <c r="AX7" s="342"/>
      <c r="AY7" s="342"/>
      <c r="AZ7" s="342"/>
      <c r="BA7" s="342"/>
      <c r="BB7" s="342"/>
      <c r="BC7" s="342"/>
      <c r="BD7" s="342"/>
      <c r="BE7" s="342"/>
      <c r="BF7" s="342"/>
      <c r="BG7" s="342"/>
      <c r="BH7" s="342"/>
      <c r="BI7" s="342"/>
      <c r="BJ7" s="342"/>
      <c r="BK7" s="342"/>
      <c r="BL7" s="342"/>
      <c r="BM7" s="342"/>
      <c r="BN7" s="342"/>
      <c r="BO7" s="17"/>
      <c r="BP7" s="341" t="str">
        <f t="shared" ca="1" si="1"/>
        <v>Í</v>
      </c>
      <c r="BQ7" s="336"/>
      <c r="BR7" s="336"/>
      <c r="BS7" s="336"/>
      <c r="BT7" s="336"/>
      <c r="BU7" s="336"/>
      <c r="BV7" s="336"/>
      <c r="BW7" s="336"/>
      <c r="BX7" s="336"/>
      <c r="BY7" s="336"/>
      <c r="BZ7" s="340">
        <v>27</v>
      </c>
      <c r="CA7" s="825">
        <f t="shared" si="2"/>
        <v>0</v>
      </c>
      <c r="CB7" s="343">
        <f t="shared" si="3"/>
        <v>0</v>
      </c>
      <c r="CC7" s="344">
        <f t="shared" si="4"/>
        <v>0</v>
      </c>
      <c r="CD7" s="343"/>
      <c r="CE7" s="343">
        <f t="shared" ca="1" si="5"/>
        <v>0</v>
      </c>
      <c r="CF7" s="344">
        <f t="shared" ca="1" si="6"/>
        <v>0</v>
      </c>
      <c r="CG7" s="345"/>
      <c r="CH7" s="343">
        <f t="shared" ca="1" si="18"/>
        <v>1</v>
      </c>
      <c r="CI7" s="3223">
        <v>27</v>
      </c>
      <c r="CJ7" s="346">
        <f>IF(AND(SUM($CB8:$CB$33)&gt;0,CB7&gt;0),AVERAGE($CB8:$CB$33), 0)</f>
        <v>0</v>
      </c>
      <c r="CK7" s="344">
        <f t="shared" si="0"/>
        <v>0</v>
      </c>
      <c r="CM7" s="343">
        <f t="shared" ca="1" si="7"/>
        <v>0</v>
      </c>
      <c r="CN7" s="343">
        <f t="shared" ca="1" si="8"/>
        <v>0</v>
      </c>
      <c r="CO7" s="343">
        <f t="shared" ca="1" si="9"/>
        <v>0</v>
      </c>
      <c r="CP7" s="343">
        <f t="shared" ca="1" si="10"/>
        <v>0</v>
      </c>
      <c r="CQ7" s="343">
        <f t="shared" ca="1" si="11"/>
        <v>0</v>
      </c>
      <c r="CR7" s="343">
        <f t="shared" ca="1" si="12"/>
        <v>0</v>
      </c>
      <c r="DF7" s="1520">
        <f t="shared" si="13"/>
        <v>27</v>
      </c>
      <c r="DG7" s="1521">
        <f t="shared" ca="1" si="14"/>
        <v>0</v>
      </c>
      <c r="DH7" s="262">
        <f t="shared" si="15"/>
        <v>0</v>
      </c>
    </row>
    <row r="8" spans="1:120" ht="17.100000000000001" customHeight="1" thickTop="1" thickBot="1" x14ac:dyDescent="0.25">
      <c r="A8" s="825">
        <f t="shared" si="16"/>
        <v>0</v>
      </c>
      <c r="B8" s="1520">
        <v>26</v>
      </c>
      <c r="C8" s="336"/>
      <c r="D8" s="336"/>
      <c r="E8" s="336"/>
      <c r="F8" s="336"/>
      <c r="G8" s="336"/>
      <c r="H8" s="336"/>
      <c r="I8" s="336"/>
      <c r="J8" s="336"/>
      <c r="K8" s="336"/>
      <c r="L8" s="341" t="str">
        <f t="shared" ca="1" si="17"/>
        <v>Í</v>
      </c>
      <c r="M8" s="17"/>
      <c r="N8" s="342"/>
      <c r="O8" s="342"/>
      <c r="P8" s="342"/>
      <c r="Q8" s="342"/>
      <c r="R8" s="342"/>
      <c r="S8" s="342"/>
      <c r="T8" s="342"/>
      <c r="U8" s="342"/>
      <c r="V8" s="342"/>
      <c r="W8" s="342"/>
      <c r="X8" s="342"/>
      <c r="Y8" s="342"/>
      <c r="Z8" s="342"/>
      <c r="AA8" s="342"/>
      <c r="AB8" s="342"/>
      <c r="AC8" s="342"/>
      <c r="AD8" s="342"/>
      <c r="AE8" s="342"/>
      <c r="AF8" s="342"/>
      <c r="AG8" s="342"/>
      <c r="AH8" s="342"/>
      <c r="AI8" s="342"/>
      <c r="AJ8" s="342"/>
      <c r="AK8" s="4163"/>
      <c r="AL8" s="4163"/>
      <c r="AM8" s="4163"/>
      <c r="AN8" s="4163"/>
      <c r="AO8" s="4163"/>
      <c r="AP8" s="4163"/>
      <c r="AQ8" s="4163"/>
      <c r="AR8" s="342"/>
      <c r="AS8" s="342"/>
      <c r="AT8" s="342"/>
      <c r="AU8" s="342"/>
      <c r="AV8" s="342"/>
      <c r="AW8" s="342"/>
      <c r="AX8" s="342"/>
      <c r="AY8" s="342"/>
      <c r="AZ8" s="342"/>
      <c r="BA8" s="342"/>
      <c r="BB8" s="342"/>
      <c r="BC8" s="342"/>
      <c r="BD8" s="342"/>
      <c r="BE8" s="342"/>
      <c r="BF8" s="342"/>
      <c r="BG8" s="342"/>
      <c r="BH8" s="342"/>
      <c r="BI8" s="342"/>
      <c r="BJ8" s="342"/>
      <c r="BK8" s="342"/>
      <c r="BL8" s="342"/>
      <c r="BM8" s="342"/>
      <c r="BN8" s="342"/>
      <c r="BO8" s="17"/>
      <c r="BP8" s="341" t="str">
        <f t="shared" ca="1" si="1"/>
        <v>Í</v>
      </c>
      <c r="BQ8" s="336"/>
      <c r="BR8" s="336"/>
      <c r="BS8" s="336"/>
      <c r="BT8" s="336"/>
      <c r="BU8" s="336"/>
      <c r="BV8" s="336"/>
      <c r="BW8" s="336"/>
      <c r="BX8" s="336"/>
      <c r="BY8" s="336"/>
      <c r="BZ8" s="340">
        <v>26</v>
      </c>
      <c r="CA8" s="825">
        <f t="shared" si="2"/>
        <v>0</v>
      </c>
      <c r="CB8" s="343">
        <f t="shared" si="3"/>
        <v>0</v>
      </c>
      <c r="CC8" s="344">
        <f t="shared" si="4"/>
        <v>0</v>
      </c>
      <c r="CD8" s="343"/>
      <c r="CE8" s="343">
        <f t="shared" ca="1" si="5"/>
        <v>0</v>
      </c>
      <c r="CF8" s="344">
        <f t="shared" ca="1" si="6"/>
        <v>0</v>
      </c>
      <c r="CG8" s="345"/>
      <c r="CH8" s="343">
        <f t="shared" ca="1" si="18"/>
        <v>1</v>
      </c>
      <c r="CI8" s="3223">
        <v>26</v>
      </c>
      <c r="CJ8" s="346">
        <f>IF(AND(SUM($CB9:$CB$33)&gt;0,CB8&gt;0),AVERAGE($CB9:$CB$33), 0)</f>
        <v>0</v>
      </c>
      <c r="CK8" s="344">
        <f t="shared" si="0"/>
        <v>0</v>
      </c>
      <c r="CM8" s="343">
        <f t="shared" ca="1" si="7"/>
        <v>0</v>
      </c>
      <c r="CN8" s="343">
        <f t="shared" ca="1" si="8"/>
        <v>0</v>
      </c>
      <c r="CO8" s="343">
        <f t="shared" ca="1" si="9"/>
        <v>0</v>
      </c>
      <c r="CP8" s="343">
        <f t="shared" ca="1" si="10"/>
        <v>0</v>
      </c>
      <c r="CQ8" s="343">
        <f t="shared" ca="1" si="11"/>
        <v>0</v>
      </c>
      <c r="CR8" s="343">
        <f t="shared" ca="1" si="12"/>
        <v>0</v>
      </c>
      <c r="DC8" s="379" t="s">
        <v>2206</v>
      </c>
      <c r="DF8" s="1520">
        <f t="shared" si="13"/>
        <v>26</v>
      </c>
      <c r="DG8" s="1521">
        <f t="shared" ca="1" si="14"/>
        <v>0</v>
      </c>
      <c r="DH8" s="262">
        <f t="shared" si="15"/>
        <v>0</v>
      </c>
      <c r="DJ8" s="2715"/>
      <c r="DK8" s="492" t="s">
        <v>1702</v>
      </c>
      <c r="DN8" s="2715"/>
      <c r="DO8" s="492" t="s">
        <v>1704</v>
      </c>
    </row>
    <row r="9" spans="1:120" ht="17.100000000000001" customHeight="1" thickTop="1" thickBot="1" x14ac:dyDescent="0.2">
      <c r="A9" s="825">
        <f t="shared" si="16"/>
        <v>0</v>
      </c>
      <c r="B9" s="1520">
        <v>25</v>
      </c>
      <c r="C9" s="336"/>
      <c r="D9" s="336"/>
      <c r="E9" s="336"/>
      <c r="F9" s="336"/>
      <c r="G9" s="336"/>
      <c r="H9" s="336"/>
      <c r="I9" s="336"/>
      <c r="J9" s="336"/>
      <c r="K9" s="336"/>
      <c r="L9" s="341" t="str">
        <f t="shared" ca="1" si="17"/>
        <v>Í</v>
      </c>
      <c r="M9" s="17"/>
      <c r="N9" s="342"/>
      <c r="O9" s="342"/>
      <c r="P9" s="342"/>
      <c r="Q9" s="342"/>
      <c r="R9" s="342"/>
      <c r="S9" s="342"/>
      <c r="T9" s="342"/>
      <c r="U9" s="342"/>
      <c r="V9" s="342"/>
      <c r="W9" s="342"/>
      <c r="X9" s="342"/>
      <c r="Y9" s="342"/>
      <c r="Z9" s="342"/>
      <c r="AA9" s="342"/>
      <c r="AB9" s="342"/>
      <c r="AC9" s="342"/>
      <c r="AD9" s="342"/>
      <c r="AE9" s="342"/>
      <c r="AF9" s="342"/>
      <c r="AG9" s="342"/>
      <c r="AH9" s="342"/>
      <c r="AI9" s="342"/>
      <c r="AJ9" s="342"/>
      <c r="AK9" s="4163"/>
      <c r="AL9" s="4163"/>
      <c r="AM9" s="4163"/>
      <c r="AN9" s="4163"/>
      <c r="AO9" s="4163"/>
      <c r="AP9" s="4163"/>
      <c r="AQ9" s="4163"/>
      <c r="AR9" s="342"/>
      <c r="AS9" s="342"/>
      <c r="AT9" s="342"/>
      <c r="AU9" s="342"/>
      <c r="AV9" s="342"/>
      <c r="AW9" s="342"/>
      <c r="AX9" s="342"/>
      <c r="AY9" s="342"/>
      <c r="AZ9" s="342"/>
      <c r="BA9" s="342"/>
      <c r="BB9" s="342"/>
      <c r="BC9" s="342"/>
      <c r="BD9" s="342"/>
      <c r="BE9" s="342"/>
      <c r="BF9" s="342"/>
      <c r="BG9" s="342"/>
      <c r="BH9" s="342"/>
      <c r="BI9" s="342"/>
      <c r="BJ9" s="342"/>
      <c r="BK9" s="342"/>
      <c r="BL9" s="342"/>
      <c r="BM9" s="342"/>
      <c r="BN9" s="342"/>
      <c r="BO9" s="17"/>
      <c r="BP9" s="341" t="str">
        <f t="shared" ca="1" si="1"/>
        <v>Í</v>
      </c>
      <c r="BQ9" s="336"/>
      <c r="BR9" s="336"/>
      <c r="BS9" s="336"/>
      <c r="BT9" s="336"/>
      <c r="BU9" s="336"/>
      <c r="BV9" s="336"/>
      <c r="BW9" s="336"/>
      <c r="BX9" s="336"/>
      <c r="BY9" s="336"/>
      <c r="BZ9" s="340">
        <v>25</v>
      </c>
      <c r="CA9" s="825">
        <f t="shared" si="2"/>
        <v>0</v>
      </c>
      <c r="CB9" s="343">
        <f t="shared" si="3"/>
        <v>0</v>
      </c>
      <c r="CC9" s="344">
        <f t="shared" si="4"/>
        <v>0</v>
      </c>
      <c r="CD9" s="343"/>
      <c r="CE9" s="343">
        <f t="shared" ca="1" si="5"/>
        <v>0</v>
      </c>
      <c r="CF9" s="344">
        <f t="shared" ca="1" si="6"/>
        <v>0</v>
      </c>
      <c r="CG9" s="345"/>
      <c r="CH9" s="343">
        <f t="shared" ca="1" si="18"/>
        <v>1</v>
      </c>
      <c r="CI9" s="3223">
        <v>25</v>
      </c>
      <c r="CJ9" s="346">
        <f>IF(AND(SUM($CB10:$CB$33)&gt;0,CB9&gt;0),AVERAGE($CB10:$CB$33), 0)</f>
        <v>0</v>
      </c>
      <c r="CK9" s="344">
        <f t="shared" si="0"/>
        <v>0</v>
      </c>
      <c r="CM9" s="343">
        <f t="shared" ca="1" si="7"/>
        <v>0</v>
      </c>
      <c r="CN9" s="343">
        <f t="shared" ca="1" si="8"/>
        <v>0</v>
      </c>
      <c r="CO9" s="343">
        <f t="shared" ca="1" si="9"/>
        <v>0</v>
      </c>
      <c r="CP9" s="343">
        <f t="shared" ca="1" si="10"/>
        <v>0</v>
      </c>
      <c r="CQ9" s="343">
        <f t="shared" ca="1" si="11"/>
        <v>0</v>
      </c>
      <c r="CR9" s="343">
        <f t="shared" ca="1" si="12"/>
        <v>0</v>
      </c>
      <c r="DB9" s="441" t="s">
        <v>128</v>
      </c>
      <c r="DC9" s="383">
        <f ca="1">IF(AND($DC$6&gt;=1,$DC$6&lt;=30),VLOOKUP($DC$6,$DF$2:$DG$33,2,FALSE),2)</f>
        <v>2</v>
      </c>
      <c r="DF9" s="1520">
        <f t="shared" si="13"/>
        <v>25</v>
      </c>
      <c r="DG9" s="1521">
        <f t="shared" ca="1" si="14"/>
        <v>0</v>
      </c>
      <c r="DH9" s="262">
        <f t="shared" si="15"/>
        <v>0</v>
      </c>
      <c r="DJ9" s="384"/>
      <c r="DK9" s="379" t="s">
        <v>1698</v>
      </c>
      <c r="DN9" s="384"/>
      <c r="DO9" s="379" t="s">
        <v>1698</v>
      </c>
    </row>
    <row r="10" spans="1:120" ht="17.100000000000001" customHeight="1" thickTop="1" thickBot="1" x14ac:dyDescent="0.2">
      <c r="A10" s="825">
        <f t="shared" si="16"/>
        <v>0</v>
      </c>
      <c r="B10" s="1520">
        <v>24</v>
      </c>
      <c r="C10" s="336"/>
      <c r="D10" s="336"/>
      <c r="E10" s="336"/>
      <c r="F10" s="336"/>
      <c r="G10" s="336"/>
      <c r="H10" s="336"/>
      <c r="I10" s="336"/>
      <c r="J10" s="336"/>
      <c r="K10" s="336"/>
      <c r="L10" s="341" t="str">
        <f t="shared" ca="1" si="17"/>
        <v>Í</v>
      </c>
      <c r="M10" s="17"/>
      <c r="N10" s="342"/>
      <c r="O10" s="342"/>
      <c r="P10" s="342"/>
      <c r="Q10" s="342"/>
      <c r="R10" s="342"/>
      <c r="S10" s="342"/>
      <c r="T10" s="342"/>
      <c r="U10" s="342"/>
      <c r="V10" s="342"/>
      <c r="W10" s="342"/>
      <c r="X10" s="342"/>
      <c r="Y10" s="342"/>
      <c r="Z10" s="342"/>
      <c r="AA10" s="342"/>
      <c r="AB10" s="342"/>
      <c r="AC10" s="342"/>
      <c r="AD10" s="342"/>
      <c r="AE10" s="342"/>
      <c r="AF10" s="342"/>
      <c r="AG10" s="342"/>
      <c r="AH10" s="342"/>
      <c r="AI10" s="342"/>
      <c r="AJ10" s="342"/>
      <c r="AK10" s="4163"/>
      <c r="AL10" s="4163"/>
      <c r="AM10" s="4163"/>
      <c r="AN10" s="4163"/>
      <c r="AO10" s="4163"/>
      <c r="AP10" s="4163"/>
      <c r="AQ10" s="4163"/>
      <c r="AR10" s="342"/>
      <c r="AS10" s="342"/>
      <c r="AT10" s="342"/>
      <c r="AU10" s="342"/>
      <c r="AV10" s="342"/>
      <c r="AW10" s="342"/>
      <c r="AX10" s="342"/>
      <c r="AY10" s="342"/>
      <c r="AZ10" s="342"/>
      <c r="BA10" s="342"/>
      <c r="BB10" s="342"/>
      <c r="BC10" s="342"/>
      <c r="BD10" s="342"/>
      <c r="BE10" s="342"/>
      <c r="BF10" s="342"/>
      <c r="BG10" s="342"/>
      <c r="BH10" s="342"/>
      <c r="BI10" s="342"/>
      <c r="BJ10" s="342"/>
      <c r="BK10" s="342"/>
      <c r="BL10" s="342"/>
      <c r="BM10" s="342"/>
      <c r="BN10" s="342"/>
      <c r="BO10" s="17"/>
      <c r="BP10" s="341" t="str">
        <f t="shared" ca="1" si="1"/>
        <v>Í</v>
      </c>
      <c r="BQ10" s="336"/>
      <c r="BR10" s="336"/>
      <c r="BS10" s="336"/>
      <c r="BT10" s="336"/>
      <c r="BU10" s="336"/>
      <c r="BV10" s="336"/>
      <c r="BW10" s="336"/>
      <c r="BX10" s="336"/>
      <c r="BY10" s="336"/>
      <c r="BZ10" s="340">
        <v>24</v>
      </c>
      <c r="CA10" s="825">
        <f t="shared" si="2"/>
        <v>0</v>
      </c>
      <c r="CB10" s="343">
        <f t="shared" si="3"/>
        <v>0</v>
      </c>
      <c r="CC10" s="344">
        <f t="shared" si="4"/>
        <v>0</v>
      </c>
      <c r="CD10" s="343"/>
      <c r="CE10" s="343">
        <f t="shared" ca="1" si="5"/>
        <v>0</v>
      </c>
      <c r="CF10" s="344">
        <f t="shared" ca="1" si="6"/>
        <v>0</v>
      </c>
      <c r="CG10" s="345"/>
      <c r="CH10" s="343">
        <f t="shared" ca="1" si="18"/>
        <v>1</v>
      </c>
      <c r="CI10" s="3223">
        <v>24</v>
      </c>
      <c r="CJ10" s="346">
        <f>IF(AND(SUM($CB11:$CB$33)&gt;0,CB10&gt;0),AVERAGE($CB11:$CB$33), 0)</f>
        <v>0</v>
      </c>
      <c r="CK10" s="344">
        <f t="shared" si="0"/>
        <v>0</v>
      </c>
      <c r="CM10" s="343">
        <f t="shared" ca="1" si="7"/>
        <v>0</v>
      </c>
      <c r="CN10" s="343">
        <f t="shared" ca="1" si="8"/>
        <v>0</v>
      </c>
      <c r="CO10" s="343">
        <f t="shared" ca="1" si="9"/>
        <v>0</v>
      </c>
      <c r="CP10" s="343">
        <f t="shared" ca="1" si="10"/>
        <v>0</v>
      </c>
      <c r="CQ10" s="343">
        <f t="shared" ca="1" si="11"/>
        <v>0</v>
      </c>
      <c r="CR10" s="343">
        <f t="shared" ca="1" si="12"/>
        <v>0</v>
      </c>
      <c r="DF10" s="1520">
        <f t="shared" si="13"/>
        <v>24</v>
      </c>
      <c r="DG10" s="1521">
        <f t="shared" ca="1" si="14"/>
        <v>0</v>
      </c>
      <c r="DH10" s="262">
        <f t="shared" si="15"/>
        <v>0</v>
      </c>
      <c r="DJ10" s="2716"/>
      <c r="DK10" s="497" t="s">
        <v>1703</v>
      </c>
      <c r="DN10" s="2716"/>
      <c r="DO10" s="497" t="s">
        <v>1703</v>
      </c>
    </row>
    <row r="11" spans="1:120" ht="17.100000000000001" customHeight="1" thickTop="1" thickBot="1" x14ac:dyDescent="0.2">
      <c r="A11" s="825">
        <f t="shared" si="16"/>
        <v>0</v>
      </c>
      <c r="B11" s="1520">
        <v>23</v>
      </c>
      <c r="C11" s="336"/>
      <c r="D11" s="336"/>
      <c r="E11" s="336"/>
      <c r="F11" s="336"/>
      <c r="G11" s="336"/>
      <c r="H11" s="336"/>
      <c r="I11" s="336"/>
      <c r="J11" s="336"/>
      <c r="K11" s="336"/>
      <c r="L11" s="341" t="str">
        <f t="shared" ca="1" si="17"/>
        <v>Í</v>
      </c>
      <c r="M11" s="17"/>
      <c r="N11" s="342"/>
      <c r="O11" s="342"/>
      <c r="P11" s="342"/>
      <c r="Q11" s="342"/>
      <c r="R11" s="342"/>
      <c r="S11" s="342"/>
      <c r="T11" s="342"/>
      <c r="U11" s="342"/>
      <c r="V11" s="342"/>
      <c r="W11" s="342"/>
      <c r="X11" s="342"/>
      <c r="Y11" s="342"/>
      <c r="Z11" s="342"/>
      <c r="AA11" s="342"/>
      <c r="AB11" s="342"/>
      <c r="AC11" s="342"/>
      <c r="AD11" s="342"/>
      <c r="AE11" s="342"/>
      <c r="AF11" s="342"/>
      <c r="AG11" s="342"/>
      <c r="AH11" s="342"/>
      <c r="AI11" s="342"/>
      <c r="AJ11" s="342"/>
      <c r="AK11" s="4163"/>
      <c r="AL11" s="4163"/>
      <c r="AM11" s="4163"/>
      <c r="AN11" s="4163"/>
      <c r="AO11" s="4163"/>
      <c r="AP11" s="4163"/>
      <c r="AQ11" s="4163"/>
      <c r="AR11" s="342"/>
      <c r="AS11" s="342"/>
      <c r="AT11" s="342"/>
      <c r="AU11" s="342"/>
      <c r="AV11" s="342"/>
      <c r="AW11" s="342"/>
      <c r="AX11" s="342"/>
      <c r="AY11" s="342"/>
      <c r="AZ11" s="342"/>
      <c r="BA11" s="342"/>
      <c r="BB11" s="342"/>
      <c r="BC11" s="342"/>
      <c r="BD11" s="342"/>
      <c r="BE11" s="342"/>
      <c r="BF11" s="342"/>
      <c r="BG11" s="342"/>
      <c r="BH11" s="342"/>
      <c r="BI11" s="342"/>
      <c r="BJ11" s="342"/>
      <c r="BK11" s="342"/>
      <c r="BL11" s="342"/>
      <c r="BM11" s="342"/>
      <c r="BN11" s="342"/>
      <c r="BO11" s="17"/>
      <c r="BP11" s="341" t="str">
        <f t="shared" ca="1" si="1"/>
        <v>Í</v>
      </c>
      <c r="BQ11" s="336"/>
      <c r="BR11" s="336"/>
      <c r="BS11" s="336"/>
      <c r="BT11" s="336"/>
      <c r="BU11" s="336"/>
      <c r="BV11" s="336"/>
      <c r="BW11" s="336"/>
      <c r="BX11" s="336"/>
      <c r="BY11" s="336"/>
      <c r="BZ11" s="340">
        <v>23</v>
      </c>
      <c r="CA11" s="825">
        <f t="shared" si="2"/>
        <v>0</v>
      </c>
      <c r="CB11" s="343">
        <f t="shared" si="3"/>
        <v>0</v>
      </c>
      <c r="CC11" s="344">
        <f t="shared" si="4"/>
        <v>0</v>
      </c>
      <c r="CD11" s="343"/>
      <c r="CE11" s="343">
        <f t="shared" ca="1" si="5"/>
        <v>0</v>
      </c>
      <c r="CF11" s="344">
        <f t="shared" ca="1" si="6"/>
        <v>0</v>
      </c>
      <c r="CG11" s="345"/>
      <c r="CH11" s="343">
        <f t="shared" ca="1" si="18"/>
        <v>1</v>
      </c>
      <c r="CI11" s="3223">
        <v>23</v>
      </c>
      <c r="CJ11" s="346">
        <f>IF(AND(SUM($CB12:$CB$33)&gt;0,CB11&gt;0),AVERAGE($CB12:$CB$33), 0)</f>
        <v>0</v>
      </c>
      <c r="CK11" s="344">
        <f t="shared" si="0"/>
        <v>0</v>
      </c>
      <c r="CM11" s="343">
        <f t="shared" ca="1" si="7"/>
        <v>0</v>
      </c>
      <c r="CN11" s="343">
        <f t="shared" ca="1" si="8"/>
        <v>0</v>
      </c>
      <c r="CO11" s="343">
        <f t="shared" ca="1" si="9"/>
        <v>0</v>
      </c>
      <c r="CP11" s="343">
        <f t="shared" ca="1" si="10"/>
        <v>0</v>
      </c>
      <c r="CQ11" s="343">
        <f t="shared" ca="1" si="11"/>
        <v>0</v>
      </c>
      <c r="CR11" s="343">
        <f t="shared" ca="1" si="12"/>
        <v>0</v>
      </c>
      <c r="DC11" s="379" t="s">
        <v>2205</v>
      </c>
      <c r="DF11" s="1520">
        <f t="shared" si="13"/>
        <v>23</v>
      </c>
      <c r="DG11" s="1521">
        <f t="shared" ca="1" si="14"/>
        <v>0</v>
      </c>
      <c r="DH11" s="262">
        <f t="shared" si="15"/>
        <v>0</v>
      </c>
      <c r="DJ11" s="307" t="str">
        <f t="shared" ref="DJ11:DJ19" si="19">C44</f>
        <v>MND1</v>
      </c>
      <c r="DK11" s="2714">
        <f ca="1">IF($DK$4=0,0,IF(_xlfn.XLOOKUP($N$1,$B$3:$B$33,$C$3:$C$33)="",0,1))</f>
        <v>0</v>
      </c>
      <c r="DN11" s="307" t="str">
        <f t="shared" ref="DN11:DN19" si="20">BQ44</f>
        <v>BDY1</v>
      </c>
      <c r="DO11" s="2714">
        <f ca="1">IF($DK$4=0,0,IF(_xlfn.XLOOKUP($N$1,$BZ$3:$BZ$33,$BQ$3:$BQ$33)="",0,1))</f>
        <v>0</v>
      </c>
    </row>
    <row r="12" spans="1:120" ht="17.100000000000001" customHeight="1" thickTop="1" x14ac:dyDescent="0.15">
      <c r="A12" s="825">
        <f t="shared" si="16"/>
        <v>0</v>
      </c>
      <c r="B12" s="1520">
        <v>22</v>
      </c>
      <c r="C12" s="336"/>
      <c r="D12" s="336"/>
      <c r="E12" s="336"/>
      <c r="F12" s="336"/>
      <c r="G12" s="336"/>
      <c r="H12" s="336"/>
      <c r="I12" s="336"/>
      <c r="J12" s="336"/>
      <c r="K12" s="336"/>
      <c r="L12" s="341" t="str">
        <f t="shared" ca="1" si="17"/>
        <v>Í</v>
      </c>
      <c r="M12" s="17"/>
      <c r="N12" s="17"/>
      <c r="O12" s="17"/>
      <c r="P12" s="17"/>
      <c r="Q12" s="17"/>
      <c r="R12" s="17"/>
      <c r="S12" s="17"/>
      <c r="T12" s="17"/>
      <c r="U12" s="17"/>
      <c r="V12" s="17"/>
      <c r="W12" s="17"/>
      <c r="X12" s="17"/>
      <c r="Y12" s="17"/>
      <c r="Z12" s="826"/>
      <c r="AA12" s="826"/>
      <c r="AB12" s="17"/>
      <c r="AC12" s="17"/>
      <c r="AD12" s="827"/>
      <c r="AE12" s="827"/>
      <c r="AF12" s="826"/>
      <c r="AG12" s="826"/>
      <c r="AH12" s="826"/>
      <c r="AI12" s="826"/>
      <c r="AJ12" s="826"/>
      <c r="AK12" s="828"/>
      <c r="AL12" s="828"/>
      <c r="AM12" s="348"/>
      <c r="AN12" s="348"/>
      <c r="AO12" s="348"/>
      <c r="AP12" s="828"/>
      <c r="AQ12" s="828"/>
      <c r="AR12" s="826"/>
      <c r="AS12" s="826"/>
      <c r="AT12" s="826"/>
      <c r="AU12" s="826"/>
      <c r="AV12" s="826"/>
      <c r="AW12" s="827"/>
      <c r="AX12" s="827"/>
      <c r="AY12" s="348"/>
      <c r="AZ12" s="829"/>
      <c r="BA12" s="349"/>
      <c r="BB12" s="349"/>
      <c r="BC12" s="349"/>
      <c r="BD12" s="349"/>
      <c r="BE12" s="349"/>
      <c r="BF12" s="830"/>
      <c r="BG12" s="830"/>
      <c r="BH12" s="826"/>
      <c r="BI12" s="826"/>
      <c r="BJ12" s="826"/>
      <c r="BK12" s="826"/>
      <c r="BL12" s="826"/>
      <c r="BM12" s="17"/>
      <c r="BN12" s="17"/>
      <c r="BO12" s="17"/>
      <c r="BP12" s="341" t="str">
        <f t="shared" ca="1" si="1"/>
        <v>Í</v>
      </c>
      <c r="BQ12" s="336"/>
      <c r="BR12" s="336"/>
      <c r="BS12" s="336"/>
      <c r="BT12" s="336"/>
      <c r="BU12" s="336"/>
      <c r="BV12" s="336"/>
      <c r="BW12" s="336"/>
      <c r="BX12" s="336"/>
      <c r="BY12" s="336"/>
      <c r="BZ12" s="340">
        <v>22</v>
      </c>
      <c r="CA12" s="825">
        <f t="shared" si="2"/>
        <v>0</v>
      </c>
      <c r="CB12" s="343">
        <f t="shared" si="3"/>
        <v>0</v>
      </c>
      <c r="CC12" s="344">
        <f t="shared" si="4"/>
        <v>0</v>
      </c>
      <c r="CD12" s="343"/>
      <c r="CE12" s="343">
        <f t="shared" ca="1" si="5"/>
        <v>0</v>
      </c>
      <c r="CF12" s="344">
        <f t="shared" ca="1" si="6"/>
        <v>0</v>
      </c>
      <c r="CG12" s="345"/>
      <c r="CH12" s="343">
        <f t="shared" ca="1" si="18"/>
        <v>1</v>
      </c>
      <c r="CI12" s="3223">
        <v>22</v>
      </c>
      <c r="CJ12" s="346">
        <f>IF(AND(SUM($CB13:$CB$33)&gt;0,CB12&gt;0),AVERAGE($CB13:$CB$33), 0)</f>
        <v>0</v>
      </c>
      <c r="CK12" s="344">
        <f t="shared" si="0"/>
        <v>0</v>
      </c>
      <c r="CM12" s="343">
        <f t="shared" ca="1" si="7"/>
        <v>0</v>
      </c>
      <c r="CN12" s="343">
        <f t="shared" ca="1" si="8"/>
        <v>0</v>
      </c>
      <c r="CO12" s="343">
        <f t="shared" ca="1" si="9"/>
        <v>0</v>
      </c>
      <c r="CP12" s="343">
        <f t="shared" ca="1" si="10"/>
        <v>0</v>
      </c>
      <c r="CQ12" s="343">
        <f t="shared" ca="1" si="11"/>
        <v>0</v>
      </c>
      <c r="CR12" s="343">
        <f t="shared" ca="1" si="12"/>
        <v>0</v>
      </c>
      <c r="DB12" s="441" t="s">
        <v>128</v>
      </c>
      <c r="DC12" s="383" t="e">
        <f ca="1">IF(VLOOKUP($DC$6,$DF$2:$DH$33,3,FALSE)=1,1,0)</f>
        <v>#N/A</v>
      </c>
      <c r="DF12" s="1520">
        <f t="shared" si="13"/>
        <v>22</v>
      </c>
      <c r="DG12" s="1521">
        <f t="shared" ca="1" si="14"/>
        <v>0</v>
      </c>
      <c r="DH12" s="262">
        <f t="shared" si="15"/>
        <v>0</v>
      </c>
      <c r="DJ12" s="307" t="str">
        <f t="shared" si="19"/>
        <v>MND2</v>
      </c>
      <c r="DK12" s="2714">
        <f ca="1">IF($DK$4=0,0,IF(_xlfn.XLOOKUP($N$1,$B$3:$B$33,$D$3:$D$33)="",0,1))</f>
        <v>0</v>
      </c>
      <c r="DN12" s="307" t="str">
        <f t="shared" si="20"/>
        <v>BDY2</v>
      </c>
      <c r="DO12" s="2714">
        <f ca="1">IF($DK$4=0,0,IF(_xlfn.XLOOKUP($N$1,$BZ$3:$BZ$33,$BR$3:$BR$33)="",0,1))</f>
        <v>0</v>
      </c>
    </row>
    <row r="13" spans="1:120" ht="17.100000000000001" customHeight="1" x14ac:dyDescent="0.15">
      <c r="A13" s="825">
        <f t="shared" si="16"/>
        <v>0</v>
      </c>
      <c r="B13" s="1520">
        <v>21</v>
      </c>
      <c r="C13" s="336"/>
      <c r="D13" s="336"/>
      <c r="E13" s="336"/>
      <c r="F13" s="336"/>
      <c r="G13" s="336"/>
      <c r="H13" s="336"/>
      <c r="I13" s="336"/>
      <c r="J13" s="336"/>
      <c r="K13" s="336"/>
      <c r="L13" s="341" t="str">
        <f t="shared" ca="1" si="17"/>
        <v>Í</v>
      </c>
      <c r="M13" s="17"/>
      <c r="N13" s="17"/>
      <c r="O13" s="831" t="str">
        <f ca="1">IF(OR(BOUNTY!$L$15="x",BOUNTY!$AL$8="x",BOUNTY!$AL$24="x"),"x","")</f>
        <v/>
      </c>
      <c r="P13" s="832"/>
      <c r="Q13" s="833" t="str">
        <f ca="1">IF($R$13&gt;0,"û","")</f>
        <v/>
      </c>
      <c r="R13" s="2589">
        <f ca="1">SUM($DE$43:$DF$45,$DE$47:$DF$48)</f>
        <v>0</v>
      </c>
      <c r="S13" s="834"/>
      <c r="T13" s="835" t="str">
        <f>IF( (ACTIONS!$AK$3-ACTIONS!$AM$13)&gt;=data!$JH$48,"","" )</f>
        <v/>
      </c>
      <c r="U13" s="835" t="str">
        <f>IF( PROGRESS!$CI$14+PROGRESS!$CI$18&gt;=data!$JH$49,"","" )</f>
        <v/>
      </c>
      <c r="V13" s="835" t="str">
        <f>IF( (MISSIONS!$FG$21+MISSIONS!$FG$44)&gt;=data!$JH$50,"","" )</f>
        <v/>
      </c>
      <c r="W13" s="835" t="str">
        <f>IF( SUM(ACTIONS!$CU$15:$DC$15,ACTIONS!$CU$18:$DC$18)&gt;=data!$JH$51,"","" )</f>
        <v/>
      </c>
      <c r="X13" s="836"/>
      <c r="Y13" s="837"/>
      <c r="Z13" s="832" t="s">
        <v>505</v>
      </c>
      <c r="AA13" s="838">
        <f>PROGRESS!$CI$14</f>
        <v>0</v>
      </c>
      <c r="AB13" s="839" t="str">
        <f>IF(PROGRESS!$CF$14&gt;=1,"«","")</f>
        <v/>
      </c>
      <c r="AC13" s="840">
        <f>PROGRESS!$CT$14</f>
        <v>0</v>
      </c>
      <c r="AD13" s="841" t="s">
        <v>506</v>
      </c>
      <c r="AE13" s="842"/>
      <c r="AF13" s="827"/>
      <c r="AG13" s="4165" t="str">
        <f>_xlfn.IFS(PLANS!$F$3="JANUARY","END DEC LVL",PLANS!$F$3="FEBRUARY","END JAN LVL",PLANS!$F$3="MARCH"," END FEB LVL",PLANS!$F$3="APRIL","END MAR LVL",PLANS!$F$3="MAY","END APR LVL",PLANS!$F$3="JUNE","END MAY LVL",PLANS!$F$3="JULY","END JUN LVL",PLANS!$F$3="AUGUST","END JUL LVL",PLANS!$F$3="SEPTEMBER","END AUG LVL",PLANS!$F$3="OCTOBER","END SEP LVL",PLANS!$F$3="NOVEMBER","END OCT LVL",PLANS!$F$3="DECEMBER","END NOV LVL",TRUE,"             LVL")</f>
        <v xml:space="preserve">             LVL</v>
      </c>
      <c r="AH13" s="4165"/>
      <c r="AI13" s="4165"/>
      <c r="AJ13" s="4165"/>
      <c r="AK13" s="4164" t="s">
        <v>65</v>
      </c>
      <c r="AL13" s="4164"/>
      <c r="AM13" s="4165">
        <f>data!$CH$36</f>
        <v>0</v>
      </c>
      <c r="AN13" s="4165"/>
      <c r="AO13" s="4165"/>
      <c r="AP13" s="4164" t="s">
        <v>66</v>
      </c>
      <c r="AQ13" s="4164"/>
      <c r="AR13" s="4166" t="str">
        <f>_xlfn.IFS($AK$3-$AM$13=0,"NONE",$AK$3-$AM$13=1,$AK$3-$AM$13&amp;" LVL UP",$AK$3-$AM$13&gt;1,$AK$3-$AM$13&amp;" LVL UPS")</f>
        <v>NONE</v>
      </c>
      <c r="AS13" s="4166"/>
      <c r="AT13" s="4166"/>
      <c r="AU13" s="4166"/>
      <c r="AV13" s="17"/>
      <c r="AW13" s="827"/>
      <c r="AX13" s="832" t="s">
        <v>506</v>
      </c>
      <c r="AY13" s="838">
        <f ca="1">PROGRESS!$CT$18</f>
        <v>0</v>
      </c>
      <c r="AZ13" s="843" t="str">
        <f>IF(PROGRESS!$CF$18&gt;=1,"µ","")</f>
        <v/>
      </c>
      <c r="BA13" s="844">
        <f>PROGRESS!$CI$18</f>
        <v>0</v>
      </c>
      <c r="BB13" s="841" t="s">
        <v>505</v>
      </c>
      <c r="BC13" s="845"/>
      <c r="BD13" s="846"/>
      <c r="BE13" s="835" t="str">
        <f>IF( PROGRESS!$J$2&gt;=data!$JH$52,"","" )</f>
        <v/>
      </c>
      <c r="BF13" s="835" t="str">
        <f>IF( PROGRESS!$BR$2&gt;=data!$JH$53,"","" )</f>
        <v/>
      </c>
      <c r="BG13" s="835" t="str">
        <f>IF( JOURNEY!AS56&gt;=data!$JH$54,"","" )</f>
        <v/>
      </c>
      <c r="BH13" s="835" t="str">
        <f>IF( BOUNTY!$CC$5&gt;=data!$JH$55,"","" )</f>
        <v/>
      </c>
      <c r="BI13" s="17"/>
      <c r="BJ13" s="2588">
        <f>RESPITE!$DB$55</f>
        <v>0</v>
      </c>
      <c r="BK13" s="847" t="str">
        <f>IF($BJ$13&gt;0,"N","")</f>
        <v/>
      </c>
      <c r="BL13" s="841"/>
      <c r="BM13" s="831" t="str">
        <f ca="1">IF(OR(BOUNTY!$BK$15="x",BOUNTY!$AL$8="x",BOUNTY!$AL$24="x"),"x","")</f>
        <v/>
      </c>
      <c r="BN13" s="17"/>
      <c r="BO13" s="17"/>
      <c r="BP13" s="341" t="str">
        <f t="shared" ca="1" si="1"/>
        <v>Í</v>
      </c>
      <c r="BQ13" s="336"/>
      <c r="BR13" s="336"/>
      <c r="BS13" s="336"/>
      <c r="BT13" s="336"/>
      <c r="BU13" s="336"/>
      <c r="BV13" s="336"/>
      <c r="BW13" s="336"/>
      <c r="BX13" s="336"/>
      <c r="BY13" s="336"/>
      <c r="BZ13" s="340">
        <v>21</v>
      </c>
      <c r="CA13" s="825">
        <f t="shared" si="2"/>
        <v>0</v>
      </c>
      <c r="CB13" s="343">
        <f t="shared" si="3"/>
        <v>0</v>
      </c>
      <c r="CC13" s="344">
        <f t="shared" si="4"/>
        <v>0</v>
      </c>
      <c r="CD13" s="343"/>
      <c r="CE13" s="343">
        <f t="shared" ca="1" si="5"/>
        <v>0</v>
      </c>
      <c r="CF13" s="344">
        <f t="shared" ca="1" si="6"/>
        <v>0</v>
      </c>
      <c r="CG13" s="345"/>
      <c r="CH13" s="343">
        <f t="shared" ca="1" si="18"/>
        <v>1</v>
      </c>
      <c r="CI13" s="3223">
        <v>21</v>
      </c>
      <c r="CJ13" s="346">
        <f>IF(AND(SUM($CB14:$CB$33)&gt;0,CB13&gt;0),AVERAGE($CB14:$CB$33), 0)</f>
        <v>0</v>
      </c>
      <c r="CK13" s="344">
        <f t="shared" si="0"/>
        <v>0</v>
      </c>
      <c r="CM13" s="343">
        <f t="shared" ca="1" si="7"/>
        <v>0</v>
      </c>
      <c r="CN13" s="343">
        <f t="shared" ca="1" si="8"/>
        <v>0</v>
      </c>
      <c r="CO13" s="343">
        <f t="shared" ca="1" si="9"/>
        <v>0</v>
      </c>
      <c r="CP13" s="343">
        <f t="shared" ca="1" si="10"/>
        <v>0</v>
      </c>
      <c r="CQ13" s="343">
        <f t="shared" ca="1" si="11"/>
        <v>0</v>
      </c>
      <c r="CR13" s="343">
        <f t="shared" ca="1" si="12"/>
        <v>0</v>
      </c>
      <c r="DF13" s="1520">
        <f t="shared" si="13"/>
        <v>21</v>
      </c>
      <c r="DG13" s="1521">
        <f t="shared" ca="1" si="14"/>
        <v>0</v>
      </c>
      <c r="DH13" s="262">
        <f t="shared" si="15"/>
        <v>0</v>
      </c>
      <c r="DJ13" s="307" t="str">
        <f t="shared" si="19"/>
        <v>MND3</v>
      </c>
      <c r="DK13" s="2714">
        <f ca="1">IF($DK$4=0,0,IF(_xlfn.XLOOKUP($N$1,$B$3:$B$33,$E$3:$E$33)="",0,1))</f>
        <v>0</v>
      </c>
      <c r="DN13" s="307" t="str">
        <f t="shared" si="20"/>
        <v>BDY3</v>
      </c>
      <c r="DO13" s="2714">
        <f ca="1">IF($DK$4=0,0,IF(_xlfn.XLOOKUP($N$1,$BZ$3:$BZ$33,$BS$3:$BS$33)="",0,1))</f>
        <v>0</v>
      </c>
      <c r="DP13" s="46"/>
    </row>
    <row r="14" spans="1:120" ht="17.100000000000001" customHeight="1" thickBot="1" x14ac:dyDescent="0.2">
      <c r="A14" s="825">
        <f t="shared" si="16"/>
        <v>0</v>
      </c>
      <c r="B14" s="1520">
        <v>20</v>
      </c>
      <c r="C14" s="336"/>
      <c r="D14" s="336"/>
      <c r="E14" s="336"/>
      <c r="F14" s="336"/>
      <c r="G14" s="336"/>
      <c r="H14" s="336"/>
      <c r="I14" s="336"/>
      <c r="J14" s="336"/>
      <c r="K14" s="336"/>
      <c r="L14" s="341" t="str">
        <f t="shared" ca="1" si="17"/>
        <v>Í</v>
      </c>
      <c r="M14" s="17"/>
      <c r="N14" s="17"/>
      <c r="O14" s="17"/>
      <c r="P14" s="17"/>
      <c r="Q14" s="17"/>
      <c r="R14" s="17"/>
      <c r="S14" s="17"/>
      <c r="T14" s="17"/>
      <c r="U14" s="17"/>
      <c r="V14" s="17"/>
      <c r="W14" s="17"/>
      <c r="X14" s="17"/>
      <c r="Y14" s="17"/>
      <c r="Z14" s="350"/>
      <c r="AA14" s="350"/>
      <c r="AB14" s="351"/>
      <c r="AC14" s="17"/>
      <c r="AD14" s="352"/>
      <c r="AE14" s="352"/>
      <c r="AF14" s="826"/>
      <c r="AG14" s="826"/>
      <c r="AH14" s="826"/>
      <c r="AI14" s="826"/>
      <c r="AJ14" s="826"/>
      <c r="AK14" s="828"/>
      <c r="AL14" s="828"/>
      <c r="AM14" s="353"/>
      <c r="AN14" s="353"/>
      <c r="AO14" s="353"/>
      <c r="AP14" s="828"/>
      <c r="AQ14" s="828"/>
      <c r="AR14" s="826"/>
      <c r="AS14" s="826"/>
      <c r="AT14" s="826"/>
      <c r="AU14" s="826"/>
      <c r="AV14" s="826"/>
      <c r="AW14" s="352"/>
      <c r="AX14" s="354"/>
      <c r="AY14" s="353"/>
      <c r="AZ14" s="351"/>
      <c r="BA14" s="826"/>
      <c r="BB14" s="826"/>
      <c r="BC14" s="826"/>
      <c r="BD14" s="826"/>
      <c r="BE14" s="826"/>
      <c r="BF14" s="355"/>
      <c r="BG14" s="355"/>
      <c r="BH14" s="826"/>
      <c r="BI14" s="826"/>
      <c r="BJ14" s="826"/>
      <c r="BK14" s="826"/>
      <c r="BL14" s="826"/>
      <c r="BM14" s="17"/>
      <c r="BN14" s="17"/>
      <c r="BO14" s="17"/>
      <c r="BP14" s="341" t="str">
        <f t="shared" ca="1" si="1"/>
        <v>Í</v>
      </c>
      <c r="BQ14" s="336"/>
      <c r="BR14" s="336"/>
      <c r="BS14" s="336"/>
      <c r="BT14" s="336"/>
      <c r="BU14" s="336"/>
      <c r="BV14" s="336"/>
      <c r="BW14" s="336"/>
      <c r="BX14" s="336"/>
      <c r="BY14" s="336"/>
      <c r="BZ14" s="340">
        <v>20</v>
      </c>
      <c r="CA14" s="825">
        <f t="shared" si="2"/>
        <v>0</v>
      </c>
      <c r="CB14" s="343">
        <f t="shared" si="3"/>
        <v>0</v>
      </c>
      <c r="CC14" s="344">
        <f t="shared" si="4"/>
        <v>0</v>
      </c>
      <c r="CD14" s="343"/>
      <c r="CE14" s="343">
        <f t="shared" ca="1" si="5"/>
        <v>0</v>
      </c>
      <c r="CF14" s="344">
        <f t="shared" ca="1" si="6"/>
        <v>0</v>
      </c>
      <c r="CG14" s="345"/>
      <c r="CH14" s="343">
        <f t="shared" ca="1" si="18"/>
        <v>1</v>
      </c>
      <c r="CI14" s="3223">
        <v>20</v>
      </c>
      <c r="CJ14" s="346">
        <f>IF(AND(SUM($CB15:$CB$33)&gt;0,CB14&gt;0),AVERAGE($CB15:$CB$33), 0)</f>
        <v>0</v>
      </c>
      <c r="CK14" s="344">
        <f t="shared" si="0"/>
        <v>0</v>
      </c>
      <c r="CM14" s="343">
        <f t="shared" ca="1" si="7"/>
        <v>0</v>
      </c>
      <c r="CN14" s="343">
        <f t="shared" ca="1" si="8"/>
        <v>0</v>
      </c>
      <c r="CO14" s="343">
        <f t="shared" ca="1" si="9"/>
        <v>0</v>
      </c>
      <c r="CP14" s="343">
        <f t="shared" ca="1" si="10"/>
        <v>0</v>
      </c>
      <c r="CQ14" s="343">
        <f t="shared" ca="1" si="11"/>
        <v>0</v>
      </c>
      <c r="CR14" s="343">
        <f t="shared" ca="1" si="12"/>
        <v>0</v>
      </c>
      <c r="CY14" s="379" t="s">
        <v>1743</v>
      </c>
      <c r="DF14" s="1520">
        <f t="shared" si="13"/>
        <v>20</v>
      </c>
      <c r="DG14" s="1521">
        <f t="shared" ca="1" si="14"/>
        <v>0</v>
      </c>
      <c r="DH14" s="262">
        <f t="shared" si="15"/>
        <v>0</v>
      </c>
      <c r="DJ14" s="307" t="str">
        <f t="shared" si="19"/>
        <v>MND4</v>
      </c>
      <c r="DK14" s="2714">
        <f ca="1">IF($DK$4=0,0,IF(_xlfn.XLOOKUP($N$1,$B$3:$B$33,$F$3:$F$33)="",0,1))</f>
        <v>0</v>
      </c>
      <c r="DN14" s="307" t="str">
        <f t="shared" si="20"/>
        <v>BDY4</v>
      </c>
      <c r="DO14" s="2714">
        <f ca="1">IF($DK$4=0,0,IF(_xlfn.XLOOKUP($N$1,$BZ$3:$BZ$33,$BT$3:$BT$33)="",0,1))</f>
        <v>0</v>
      </c>
      <c r="DP14" s="262"/>
    </row>
    <row r="15" spans="1:120" ht="17.100000000000001" customHeight="1" thickTop="1" x14ac:dyDescent="0.3">
      <c r="A15" s="825">
        <f t="shared" si="16"/>
        <v>0</v>
      </c>
      <c r="B15" s="1520">
        <v>19</v>
      </c>
      <c r="C15" s="336"/>
      <c r="D15" s="336"/>
      <c r="E15" s="336"/>
      <c r="F15" s="336"/>
      <c r="G15" s="336"/>
      <c r="H15" s="336"/>
      <c r="I15" s="336"/>
      <c r="J15" s="336"/>
      <c r="K15" s="336"/>
      <c r="L15" s="341" t="str">
        <f t="shared" ca="1" si="17"/>
        <v>Í</v>
      </c>
      <c r="M15" s="17"/>
      <c r="N15" s="356"/>
      <c r="O15" s="357"/>
      <c r="P15" s="357"/>
      <c r="Q15" s="357"/>
      <c r="R15" s="357"/>
      <c r="S15" s="357"/>
      <c r="T15" s="357"/>
      <c r="U15" s="357"/>
      <c r="V15" s="357"/>
      <c r="W15" s="357"/>
      <c r="X15" s="357"/>
      <c r="Y15" s="358"/>
      <c r="Z15" s="357"/>
      <c r="AA15" s="358"/>
      <c r="AB15" s="357"/>
      <c r="AC15" s="358"/>
      <c r="AD15" s="357"/>
      <c r="AE15" s="358"/>
      <c r="AF15" s="357"/>
      <c r="AG15" s="358"/>
      <c r="AH15" s="357"/>
      <c r="AI15" s="358"/>
      <c r="AJ15" s="357"/>
      <c r="AK15" s="359"/>
      <c r="AL15" s="359"/>
      <c r="AM15" s="359"/>
      <c r="AN15" s="359"/>
      <c r="AO15" s="359"/>
      <c r="AP15" s="359"/>
      <c r="AQ15" s="359"/>
      <c r="AR15" s="357"/>
      <c r="AS15" s="358"/>
      <c r="AT15" s="357"/>
      <c r="AU15" s="358"/>
      <c r="AV15" s="357"/>
      <c r="AW15" s="358"/>
      <c r="AX15" s="357"/>
      <c r="AY15" s="358"/>
      <c r="AZ15" s="357"/>
      <c r="BA15" s="358"/>
      <c r="BB15" s="357"/>
      <c r="BC15" s="358"/>
      <c r="BD15" s="357"/>
      <c r="BE15" s="357"/>
      <c r="BF15" s="357"/>
      <c r="BG15" s="357"/>
      <c r="BH15" s="357"/>
      <c r="BI15" s="357"/>
      <c r="BJ15" s="357"/>
      <c r="BK15" s="357"/>
      <c r="BL15" s="357"/>
      <c r="BM15" s="357"/>
      <c r="BN15" s="360"/>
      <c r="BO15" s="17"/>
      <c r="BP15" s="341" t="str">
        <f t="shared" ca="1" si="1"/>
        <v>Í</v>
      </c>
      <c r="BQ15" s="336"/>
      <c r="BR15" s="336"/>
      <c r="BS15" s="336"/>
      <c r="BT15" s="336"/>
      <c r="BU15" s="336"/>
      <c r="BV15" s="336"/>
      <c r="BW15" s="336"/>
      <c r="BX15" s="336"/>
      <c r="BY15" s="336"/>
      <c r="BZ15" s="340">
        <v>19</v>
      </c>
      <c r="CA15" s="825">
        <f t="shared" si="2"/>
        <v>0</v>
      </c>
      <c r="CB15" s="343">
        <f t="shared" si="3"/>
        <v>0</v>
      </c>
      <c r="CC15" s="344">
        <f t="shared" si="4"/>
        <v>0</v>
      </c>
      <c r="CD15" s="262"/>
      <c r="CE15" s="343">
        <f t="shared" ca="1" si="5"/>
        <v>0</v>
      </c>
      <c r="CF15" s="344">
        <f t="shared" ca="1" si="6"/>
        <v>0</v>
      </c>
      <c r="CG15" s="101"/>
      <c r="CH15" s="343">
        <f t="shared" ca="1" si="18"/>
        <v>1</v>
      </c>
      <c r="CI15" s="3223">
        <v>19</v>
      </c>
      <c r="CJ15" s="346">
        <f>IF(AND(SUM($CB16:$CB$33)&gt;0,CB15&gt;0),AVERAGE($CB16:$CB$33), 0)</f>
        <v>0</v>
      </c>
      <c r="CK15" s="344">
        <f t="shared" si="0"/>
        <v>0</v>
      </c>
      <c r="CM15" s="343">
        <f t="shared" ca="1" si="7"/>
        <v>0</v>
      </c>
      <c r="CN15" s="343">
        <f t="shared" ca="1" si="8"/>
        <v>0</v>
      </c>
      <c r="CO15" s="343">
        <f t="shared" ca="1" si="9"/>
        <v>0</v>
      </c>
      <c r="CP15" s="343">
        <f t="shared" ca="1" si="10"/>
        <v>0</v>
      </c>
      <c r="CQ15" s="343">
        <f t="shared" ca="1" si="11"/>
        <v>0</v>
      </c>
      <c r="CR15" s="343">
        <f t="shared" ca="1" si="12"/>
        <v>0</v>
      </c>
      <c r="CU15" s="391">
        <f t="shared" ref="CU15:DC15" si="21">SUM(C3:C33)</f>
        <v>0</v>
      </c>
      <c r="CV15" s="392">
        <f t="shared" si="21"/>
        <v>0</v>
      </c>
      <c r="CW15" s="393">
        <f t="shared" si="21"/>
        <v>0</v>
      </c>
      <c r="CX15" s="394">
        <f t="shared" si="21"/>
        <v>0</v>
      </c>
      <c r="CY15" s="395">
        <f t="shared" si="21"/>
        <v>0</v>
      </c>
      <c r="CZ15" s="396">
        <f t="shared" si="21"/>
        <v>0</v>
      </c>
      <c r="DA15" s="397">
        <f t="shared" si="21"/>
        <v>0</v>
      </c>
      <c r="DB15" s="398">
        <f t="shared" si="21"/>
        <v>0</v>
      </c>
      <c r="DC15" s="399">
        <f t="shared" si="21"/>
        <v>0</v>
      </c>
      <c r="DF15" s="1520">
        <f t="shared" si="13"/>
        <v>19</v>
      </c>
      <c r="DG15" s="1521">
        <f t="shared" ca="1" si="14"/>
        <v>0</v>
      </c>
      <c r="DH15" s="262">
        <f t="shared" si="15"/>
        <v>0</v>
      </c>
      <c r="DJ15" s="307" t="str">
        <f t="shared" si="19"/>
        <v>MND5</v>
      </c>
      <c r="DK15" s="2714">
        <f ca="1">IF($DK$4=0,0,IF(_xlfn.XLOOKUP($N$1,$B$3:$B$33,$G$3:$G$33)="",0,1))</f>
        <v>0</v>
      </c>
      <c r="DN15" s="307" t="str">
        <f t="shared" si="20"/>
        <v>BDY5</v>
      </c>
      <c r="DO15" s="2714">
        <f ca="1">IF($DK$4=0,0,IF(_xlfn.XLOOKUP($N$1,$BZ$3:$BZ$33,$BU$3:$BU$33)="",0,1))</f>
        <v>0</v>
      </c>
      <c r="DP15" s="262"/>
    </row>
    <row r="16" spans="1:120" ht="17.100000000000001" customHeight="1" x14ac:dyDescent="0.15">
      <c r="A16" s="825">
        <f t="shared" si="16"/>
        <v>0</v>
      </c>
      <c r="B16" s="1520">
        <v>18</v>
      </c>
      <c r="C16" s="336"/>
      <c r="D16" s="336"/>
      <c r="E16" s="336"/>
      <c r="F16" s="336"/>
      <c r="G16" s="336"/>
      <c r="H16" s="336"/>
      <c r="I16" s="336"/>
      <c r="J16" s="336"/>
      <c r="K16" s="336"/>
      <c r="L16" s="341" t="str">
        <f t="shared" ca="1" si="17"/>
        <v>Í</v>
      </c>
      <c r="M16" s="17"/>
      <c r="N16" s="361"/>
      <c r="O16" s="2217"/>
      <c r="P16" s="4230" t="s">
        <v>509</v>
      </c>
      <c r="Q16" s="4230"/>
      <c r="R16" s="1147">
        <f ca="1">MISSIONS!$EL$9</f>
        <v>0</v>
      </c>
      <c r="S16" s="2229" t="str">
        <f ca="1">IF(MISSIONS!$CZ$6&gt;=1,"!","")</f>
        <v/>
      </c>
      <c r="T16" s="848"/>
      <c r="U16" s="4182"/>
      <c r="V16" s="4182"/>
      <c r="W16" s="4182"/>
      <c r="X16" s="4182"/>
      <c r="Y16" s="4182"/>
      <c r="Z16" s="4182"/>
      <c r="AA16" s="4182"/>
      <c r="AB16" s="4182"/>
      <c r="AC16" s="4182"/>
      <c r="AD16" s="4182"/>
      <c r="AE16" s="4182"/>
      <c r="AF16" s="4182"/>
      <c r="AG16" s="4182"/>
      <c r="AH16" s="4262" t="str">
        <f>_xlfn.IFS(
PLANS!$F$3="JANUARY","JANUARY FOCUS",
PLANS!$F$3="FEBRUARY","FEBRUARY FOCUS",
PLANS!$F$3="MARCH","MARCH FOCUS",
PLANS!$F$3="APRIL","APRIL FOCUS",
PLANS!$F$3="MAY","MAY FOCUS",
PLANS!$F$3="JUNE","JUNE FOCUS",
PLANS!$F$3="JULY","JULY FOCUS",
PLANS!$F$3="AUGUST","AUGUST FOCUS",
PLANS!$F$3="SEPTEMBER","SEPTEMBER FOCUS",
PLANS!$F$3="OCTOBER","OCTOBER FOCUS",
PLANS!$F$3="NOVEMBER","NOVEMBER FOCUS",
PLANS!$F$3="DECEMBER","DECEMBER FOCUS",
TRUE,"MONTH FOCUS")</f>
        <v>MONTH FOCUS</v>
      </c>
      <c r="AI16" s="4262"/>
      <c r="AJ16" s="4262"/>
      <c r="AK16" s="4262"/>
      <c r="AL16" s="4262"/>
      <c r="AM16" s="4262"/>
      <c r="AN16" s="4262"/>
      <c r="AO16" s="4262"/>
      <c r="AP16" s="4262"/>
      <c r="AQ16" s="4262"/>
      <c r="AR16" s="4262"/>
      <c r="AS16" s="4262"/>
      <c r="AT16" s="4262"/>
      <c r="AU16" s="4182"/>
      <c r="AV16" s="4182"/>
      <c r="AW16" s="4182"/>
      <c r="AX16" s="4182"/>
      <c r="AY16" s="4182"/>
      <c r="AZ16" s="4182"/>
      <c r="BA16" s="4182"/>
      <c r="BB16" s="4182"/>
      <c r="BC16" s="4182"/>
      <c r="BD16" s="4182"/>
      <c r="BE16" s="4182"/>
      <c r="BF16" s="4182"/>
      <c r="BG16" s="4182"/>
      <c r="BH16" s="848"/>
      <c r="BI16" s="2229" t="str">
        <f ca="1">IF(MISSIONS!$CI$43&gt;=1,"!","")</f>
        <v/>
      </c>
      <c r="BJ16" s="1147">
        <f>MISSIONS!$FY$9</f>
        <v>0</v>
      </c>
      <c r="BK16" s="4183" t="s">
        <v>507</v>
      </c>
      <c r="BL16" s="4183"/>
      <c r="BM16" s="2217" t="str">
        <f>IF(MISSIONS!$DX$12&gt;=1,"!","")</f>
        <v/>
      </c>
      <c r="BN16" s="362"/>
      <c r="BO16" s="17"/>
      <c r="BP16" s="341" t="str">
        <f ca="1">_xlfn.IFS( AND(BZ16&lt;$N$1,CB16&lt;120,DH16=0),"Í", CA16=MAX($CA$3:$CA$33),"±", CB16=MAX($CB$3:$CB$33),"¯",  TRUE, "­")</f>
        <v>Í</v>
      </c>
      <c r="BQ16" s="336"/>
      <c r="BR16" s="336"/>
      <c r="BS16" s="336"/>
      <c r="BT16" s="336"/>
      <c r="BU16" s="336"/>
      <c r="BV16" s="336"/>
      <c r="BW16" s="336"/>
      <c r="BX16" s="336"/>
      <c r="BY16" s="336"/>
      <c r="BZ16" s="340">
        <v>18</v>
      </c>
      <c r="CA16" s="825">
        <f t="shared" si="2"/>
        <v>0</v>
      </c>
      <c r="CB16" s="343">
        <f t="shared" si="3"/>
        <v>0</v>
      </c>
      <c r="CC16" s="344">
        <f t="shared" si="4"/>
        <v>0</v>
      </c>
      <c r="CD16" s="262"/>
      <c r="CE16" s="343">
        <f t="shared" ca="1" si="5"/>
        <v>0</v>
      </c>
      <c r="CF16" s="344">
        <f t="shared" ca="1" si="6"/>
        <v>0</v>
      </c>
      <c r="CG16" s="101"/>
      <c r="CH16" s="343">
        <f t="shared" ca="1" si="18"/>
        <v>1</v>
      </c>
      <c r="CI16" s="3223">
        <v>18</v>
      </c>
      <c r="CJ16" s="346">
        <f>IF(AND(SUM($CB17:$CB$33)&gt;0,CB16&gt;0),AVERAGE($CB17:$CB$33), 0)</f>
        <v>0</v>
      </c>
      <c r="CK16" s="344">
        <f t="shared" si="0"/>
        <v>0</v>
      </c>
      <c r="CM16" s="343">
        <f t="shared" ca="1" si="7"/>
        <v>0</v>
      </c>
      <c r="CN16" s="343">
        <f t="shared" ca="1" si="8"/>
        <v>0</v>
      </c>
      <c r="CO16" s="343">
        <f t="shared" ca="1" si="9"/>
        <v>0</v>
      </c>
      <c r="CP16" s="343">
        <f t="shared" ca="1" si="10"/>
        <v>0</v>
      </c>
      <c r="CQ16" s="343">
        <f t="shared" ca="1" si="11"/>
        <v>0</v>
      </c>
      <c r="CR16" s="343">
        <f t="shared" ca="1" si="12"/>
        <v>0</v>
      </c>
      <c r="DF16" s="1520">
        <f t="shared" si="13"/>
        <v>18</v>
      </c>
      <c r="DG16" s="1521">
        <f t="shared" ca="1" si="14"/>
        <v>0</v>
      </c>
      <c r="DH16" s="262">
        <f t="shared" si="15"/>
        <v>0</v>
      </c>
      <c r="DJ16" s="307" t="str">
        <f t="shared" si="19"/>
        <v>MND6</v>
      </c>
      <c r="DK16" s="2714">
        <f ca="1">IF($DK$4=0,0,IF(_xlfn.XLOOKUP($N$1,$B$3:$B$33,$H$3:$H$33)="",0,1))</f>
        <v>0</v>
      </c>
      <c r="DN16" s="307" t="str">
        <f t="shared" si="20"/>
        <v>BDY6</v>
      </c>
      <c r="DO16" s="2714">
        <f ca="1">IF($DK$4=0,0,IF(_xlfn.XLOOKUP($N$1,$BZ$3:$BZ$33,$BV$3:$BV$33)="",0,1))</f>
        <v>0</v>
      </c>
      <c r="DP16" s="262"/>
    </row>
    <row r="17" spans="1:120" ht="17.100000000000001" customHeight="1" x14ac:dyDescent="0.2">
      <c r="A17" s="825">
        <f t="shared" si="16"/>
        <v>0</v>
      </c>
      <c r="B17" s="1520">
        <v>17</v>
      </c>
      <c r="C17" s="336"/>
      <c r="D17" s="336"/>
      <c r="E17" s="336"/>
      <c r="F17" s="336"/>
      <c r="G17" s="336"/>
      <c r="H17" s="336"/>
      <c r="I17" s="336"/>
      <c r="J17" s="336"/>
      <c r="K17" s="336"/>
      <c r="L17" s="341" t="str">
        <f t="shared" ca="1" si="17"/>
        <v>Í</v>
      </c>
      <c r="M17" s="17"/>
      <c r="N17" s="4243"/>
      <c r="O17" s="2217" t="str">
        <f ca="1">IF(MISSIONS!$CZ$24&gt;=1,"!","")</f>
        <v/>
      </c>
      <c r="P17" s="4230" t="s">
        <v>510</v>
      </c>
      <c r="Q17" s="4230"/>
      <c r="R17" s="1147">
        <f ca="1">MISSIONS!$EL$21</f>
        <v>0</v>
      </c>
      <c r="S17" s="2229" t="str">
        <f ca="1">IF(MISSIONS!$CZ$16&gt;=1,"!","")</f>
        <v/>
      </c>
      <c r="T17" s="849"/>
      <c r="U17" s="4182"/>
      <c r="V17" s="4182"/>
      <c r="W17" s="4182"/>
      <c r="X17" s="4182"/>
      <c r="Y17" s="4182"/>
      <c r="Z17" s="4182"/>
      <c r="AA17" s="4182"/>
      <c r="AB17" s="4182"/>
      <c r="AC17" s="4182"/>
      <c r="AD17" s="4182"/>
      <c r="AE17" s="4182"/>
      <c r="AF17" s="4182"/>
      <c r="AG17" s="4182"/>
      <c r="AH17" s="850"/>
      <c r="AI17" s="850"/>
      <c r="AJ17" s="850"/>
      <c r="AK17" s="850"/>
      <c r="AL17" s="850"/>
      <c r="AM17" s="850"/>
      <c r="AN17" s="850"/>
      <c r="AO17" s="850"/>
      <c r="AP17" s="850"/>
      <c r="AQ17" s="850"/>
      <c r="AR17" s="850"/>
      <c r="AS17" s="850"/>
      <c r="AT17" s="850"/>
      <c r="AU17" s="4182"/>
      <c r="AV17" s="4182"/>
      <c r="AW17" s="4182"/>
      <c r="AX17" s="4182"/>
      <c r="AY17" s="4182"/>
      <c r="AZ17" s="4182"/>
      <c r="BA17" s="4182"/>
      <c r="BB17" s="4182"/>
      <c r="BC17" s="4182"/>
      <c r="BD17" s="4182"/>
      <c r="BE17" s="4182"/>
      <c r="BF17" s="4182"/>
      <c r="BG17" s="4182"/>
      <c r="BH17" s="849"/>
      <c r="BI17" s="2229" t="str">
        <f ca="1">IF(MISSIONS!$CI$53&gt;=1,"!","")</f>
        <v/>
      </c>
      <c r="BJ17" s="1147">
        <f>MISSIONS!$FY$21</f>
        <v>0</v>
      </c>
      <c r="BK17" s="4183" t="s">
        <v>727</v>
      </c>
      <c r="BL17" s="4183"/>
      <c r="BM17" s="2217" t="str">
        <f>IF(MISSIONS!$DX$24&gt;=1,"!","")</f>
        <v/>
      </c>
      <c r="BN17" s="4261"/>
      <c r="BO17" s="17"/>
      <c r="BP17" s="341" t="str">
        <f t="shared" ref="BP17:BP33" ca="1" si="22">_xlfn.IFS( AND(BZ17&lt;$N$1,CB17&lt;120,DH17=0),"Í", CA17=MAX($CA$3:$CA$33),"±", CB17=MAX($CB$3:$CB$33),"¯",  TRUE, "­")</f>
        <v>Í</v>
      </c>
      <c r="BQ17" s="336"/>
      <c r="BR17" s="336"/>
      <c r="BS17" s="336"/>
      <c r="BT17" s="336"/>
      <c r="BU17" s="336"/>
      <c r="BV17" s="336"/>
      <c r="BW17" s="336"/>
      <c r="BX17" s="336"/>
      <c r="BY17" s="336"/>
      <c r="BZ17" s="340">
        <v>17</v>
      </c>
      <c r="CA17" s="825">
        <f t="shared" si="2"/>
        <v>0</v>
      </c>
      <c r="CB17" s="343">
        <f t="shared" si="3"/>
        <v>0</v>
      </c>
      <c r="CC17" s="344">
        <f t="shared" si="4"/>
        <v>0</v>
      </c>
      <c r="CD17" s="262"/>
      <c r="CE17" s="343">
        <f t="shared" ca="1" si="5"/>
        <v>0</v>
      </c>
      <c r="CF17" s="344">
        <f t="shared" ca="1" si="6"/>
        <v>0</v>
      </c>
      <c r="CG17" s="101"/>
      <c r="CH17" s="343">
        <f t="shared" ca="1" si="18"/>
        <v>1</v>
      </c>
      <c r="CI17" s="3223">
        <v>17</v>
      </c>
      <c r="CJ17" s="346">
        <f>IF(AND(SUM($CB18:$CB$33)&gt;0,CB17&gt;0),AVERAGE($CB18:$CB$33), 0)</f>
        <v>0</v>
      </c>
      <c r="CK17" s="344">
        <f t="shared" si="0"/>
        <v>0</v>
      </c>
      <c r="CM17" s="343">
        <f t="shared" ca="1" si="7"/>
        <v>0</v>
      </c>
      <c r="CN17" s="343">
        <f t="shared" ca="1" si="8"/>
        <v>0</v>
      </c>
      <c r="CO17" s="343">
        <f t="shared" ca="1" si="9"/>
        <v>0</v>
      </c>
      <c r="CP17" s="343">
        <f t="shared" ca="1" si="10"/>
        <v>0</v>
      </c>
      <c r="CQ17" s="343">
        <f t="shared" ca="1" si="11"/>
        <v>0</v>
      </c>
      <c r="CR17" s="343">
        <f t="shared" ca="1" si="12"/>
        <v>0</v>
      </c>
      <c r="CY17" s="379" t="s">
        <v>1744</v>
      </c>
      <c r="DF17" s="1520">
        <f t="shared" si="13"/>
        <v>17</v>
      </c>
      <c r="DG17" s="1521">
        <f t="shared" ca="1" si="14"/>
        <v>0</v>
      </c>
      <c r="DH17" s="262">
        <f t="shared" si="15"/>
        <v>0</v>
      </c>
      <c r="DJ17" s="307" t="str">
        <f t="shared" si="19"/>
        <v>MND7</v>
      </c>
      <c r="DK17" s="2714">
        <f ca="1">IF($DK$4=0,0,IF(_xlfn.XLOOKUP($N$1,$B$3:$B$33,$I$3:$I$33)="",0,1))</f>
        <v>0</v>
      </c>
      <c r="DN17" s="307" t="str">
        <f t="shared" si="20"/>
        <v>BDY7</v>
      </c>
      <c r="DO17" s="2714">
        <f ca="1">IF($DK$4=0,0,IF(_xlfn.XLOOKUP($N$1,$BZ$3:$BZ$33,$BW$3:$BW$33)="",0,1))</f>
        <v>0</v>
      </c>
      <c r="DP17" s="262"/>
    </row>
    <row r="18" spans="1:120" ht="17.100000000000001" customHeight="1" x14ac:dyDescent="0.15">
      <c r="A18" s="825">
        <f t="shared" si="16"/>
        <v>0</v>
      </c>
      <c r="B18" s="1520">
        <v>16</v>
      </c>
      <c r="C18" s="336"/>
      <c r="D18" s="336"/>
      <c r="E18" s="336"/>
      <c r="F18" s="336"/>
      <c r="G18" s="336"/>
      <c r="H18" s="336"/>
      <c r="I18" s="336"/>
      <c r="J18" s="336"/>
      <c r="K18" s="336"/>
      <c r="L18" s="341" t="str">
        <f t="shared" ca="1" si="17"/>
        <v>Í</v>
      </c>
      <c r="M18" s="17"/>
      <c r="N18" s="4243"/>
      <c r="O18" s="2217" t="str">
        <f>IF(MISSIONS!$CZ$36&gt;=1,"!","")</f>
        <v/>
      </c>
      <c r="P18" s="4230" t="s">
        <v>511</v>
      </c>
      <c r="Q18" s="4230"/>
      <c r="R18" s="1147">
        <f>MISSIONS!$EL$33</f>
        <v>0</v>
      </c>
      <c r="S18" s="2229" t="str">
        <f ca="1">IF(MISSIONS!$CM$43&gt;=1,"!","")</f>
        <v/>
      </c>
      <c r="T18" s="849"/>
      <c r="U18" s="4182"/>
      <c r="V18" s="4182"/>
      <c r="W18" s="4182"/>
      <c r="X18" s="4182"/>
      <c r="Y18" s="4182"/>
      <c r="Z18" s="4182"/>
      <c r="AA18" s="4182"/>
      <c r="AB18" s="4182"/>
      <c r="AC18" s="4182"/>
      <c r="AD18" s="4182"/>
      <c r="AE18" s="4182"/>
      <c r="AF18" s="4182"/>
      <c r="AG18" s="4182"/>
      <c r="AH18" s="4192"/>
      <c r="AI18" s="4192"/>
      <c r="AJ18" s="4192"/>
      <c r="AK18" s="4192"/>
      <c r="AL18" s="4192"/>
      <c r="AM18" s="4192"/>
      <c r="AN18" s="4192"/>
      <c r="AO18" s="4192"/>
      <c r="AP18" s="4192"/>
      <c r="AQ18" s="4192"/>
      <c r="AR18" s="4192"/>
      <c r="AS18" s="4192"/>
      <c r="AT18" s="4192"/>
      <c r="AU18" s="4182"/>
      <c r="AV18" s="4182"/>
      <c r="AW18" s="4182"/>
      <c r="AX18" s="4182"/>
      <c r="AY18" s="4182"/>
      <c r="AZ18" s="4182"/>
      <c r="BA18" s="4182"/>
      <c r="BB18" s="4182"/>
      <c r="BC18" s="4182"/>
      <c r="BD18" s="4182"/>
      <c r="BE18" s="4182"/>
      <c r="BF18" s="4182"/>
      <c r="BG18" s="4182"/>
      <c r="BH18" s="849"/>
      <c r="BI18" s="2229" t="str">
        <f ca="1">IF(MISSIONS!$CI$65&gt;=1,"!","")</f>
        <v/>
      </c>
      <c r="BJ18" s="1147">
        <f>MISSIONS!$FY$33</f>
        <v>0</v>
      </c>
      <c r="BK18" s="4183" t="s">
        <v>508</v>
      </c>
      <c r="BL18" s="4183"/>
      <c r="BM18" s="2217" t="str">
        <f>IF(MISSIONS!$DX$36&gt;=1,"!","")</f>
        <v/>
      </c>
      <c r="BN18" s="4261"/>
      <c r="BO18" s="17"/>
      <c r="BP18" s="341" t="str">
        <f t="shared" ca="1" si="22"/>
        <v>Í</v>
      </c>
      <c r="BQ18" s="336"/>
      <c r="BR18" s="336"/>
      <c r="BS18" s="336"/>
      <c r="BT18" s="336"/>
      <c r="BU18" s="336"/>
      <c r="BV18" s="336"/>
      <c r="BW18" s="336"/>
      <c r="BX18" s="336"/>
      <c r="BY18" s="336"/>
      <c r="BZ18" s="340">
        <v>16</v>
      </c>
      <c r="CA18" s="825">
        <f t="shared" si="2"/>
        <v>0</v>
      </c>
      <c r="CB18" s="343">
        <f t="shared" si="3"/>
        <v>0</v>
      </c>
      <c r="CC18" s="344">
        <f t="shared" si="4"/>
        <v>0</v>
      </c>
      <c r="CD18" s="262"/>
      <c r="CE18" s="343">
        <f t="shared" ca="1" si="5"/>
        <v>0</v>
      </c>
      <c r="CF18" s="344">
        <f t="shared" ca="1" si="6"/>
        <v>0</v>
      </c>
      <c r="CG18" s="101"/>
      <c r="CH18" s="343">
        <f t="shared" ca="1" si="18"/>
        <v>1</v>
      </c>
      <c r="CI18" s="3223">
        <v>16</v>
      </c>
      <c r="CJ18" s="346">
        <f>IF(AND(SUM($CB19:$CB$33)&gt;0,CB18&gt;0),AVERAGE($CB19:$CB$33), 0)</f>
        <v>0</v>
      </c>
      <c r="CK18" s="344">
        <f t="shared" si="0"/>
        <v>0</v>
      </c>
      <c r="CM18" s="343">
        <f t="shared" ca="1" si="7"/>
        <v>0</v>
      </c>
      <c r="CN18" s="343">
        <f t="shared" ca="1" si="8"/>
        <v>0</v>
      </c>
      <c r="CO18" s="343">
        <f t="shared" ca="1" si="9"/>
        <v>0</v>
      </c>
      <c r="CP18" s="343">
        <f t="shared" ca="1" si="10"/>
        <v>0</v>
      </c>
      <c r="CQ18" s="343">
        <f t="shared" ca="1" si="11"/>
        <v>0</v>
      </c>
      <c r="CR18" s="343">
        <f t="shared" ca="1" si="12"/>
        <v>0</v>
      </c>
      <c r="CU18" s="399">
        <f t="shared" ref="CU18:DC18" si="23">SUM(BQ3:BQ33)</f>
        <v>0</v>
      </c>
      <c r="CV18" s="398">
        <f t="shared" si="23"/>
        <v>0</v>
      </c>
      <c r="CW18" s="397">
        <f t="shared" si="23"/>
        <v>0</v>
      </c>
      <c r="CX18" s="396">
        <f t="shared" si="23"/>
        <v>0</v>
      </c>
      <c r="CY18" s="395">
        <f t="shared" si="23"/>
        <v>0</v>
      </c>
      <c r="CZ18" s="394">
        <f t="shared" si="23"/>
        <v>0</v>
      </c>
      <c r="DA18" s="393">
        <f t="shared" si="23"/>
        <v>0</v>
      </c>
      <c r="DB18" s="392">
        <f t="shared" si="23"/>
        <v>0</v>
      </c>
      <c r="DC18" s="391">
        <f t="shared" si="23"/>
        <v>0</v>
      </c>
      <c r="DE18" s="343"/>
      <c r="DF18" s="1520">
        <f t="shared" si="13"/>
        <v>16</v>
      </c>
      <c r="DG18" s="1521">
        <f t="shared" ca="1" si="14"/>
        <v>0</v>
      </c>
      <c r="DH18" s="262">
        <f t="shared" si="15"/>
        <v>0</v>
      </c>
      <c r="DJ18" s="307" t="str">
        <f t="shared" si="19"/>
        <v>MND8</v>
      </c>
      <c r="DK18" s="2714">
        <f ca="1">IF($DK$4=0,0,IF(_xlfn.XLOOKUP($N$1,$B$3:$B$33,$J$3:$J$33)="",0,1))</f>
        <v>0</v>
      </c>
      <c r="DN18" s="307" t="str">
        <f t="shared" si="20"/>
        <v>BDY8</v>
      </c>
      <c r="DO18" s="2714">
        <f ca="1">IF($DK$4=0,0,IF(_xlfn.XLOOKUP($N$1,$BZ$3:$BZ$33,$BX$3:$BX$33)="",0,1))</f>
        <v>0</v>
      </c>
      <c r="DP18" s="262"/>
    </row>
    <row r="19" spans="1:120" ht="17.100000000000001" customHeight="1" x14ac:dyDescent="0.15">
      <c r="A19" s="825">
        <f t="shared" si="16"/>
        <v>0</v>
      </c>
      <c r="B19" s="1520">
        <v>15</v>
      </c>
      <c r="C19" s="336"/>
      <c r="D19" s="336"/>
      <c r="E19" s="336"/>
      <c r="F19" s="336"/>
      <c r="G19" s="336"/>
      <c r="H19" s="336"/>
      <c r="I19" s="336"/>
      <c r="J19" s="336"/>
      <c r="K19" s="336"/>
      <c r="L19" s="341" t="str">
        <f t="shared" ca="1" si="17"/>
        <v>Í</v>
      </c>
      <c r="M19" s="17"/>
      <c r="N19" s="363"/>
      <c r="O19" s="2217" t="str">
        <f>IF(MISSIONS!$DL$62&gt;=1,"!","")</f>
        <v/>
      </c>
      <c r="P19" s="4230" t="s">
        <v>880</v>
      </c>
      <c r="Q19" s="4230"/>
      <c r="R19" s="1147">
        <f>MISSIONS!$EX$61</f>
        <v>0</v>
      </c>
      <c r="S19" s="2229" t="str">
        <f ca="1">IF(MISSIONS!$DL$67&gt;=1,"!","")</f>
        <v/>
      </c>
      <c r="T19" s="849"/>
      <c r="U19" s="4182"/>
      <c r="V19" s="4182"/>
      <c r="W19" s="4182"/>
      <c r="X19" s="4182"/>
      <c r="Y19" s="4182"/>
      <c r="Z19" s="4182"/>
      <c r="AA19" s="4182"/>
      <c r="AB19" s="4182"/>
      <c r="AC19" s="4182"/>
      <c r="AD19" s="4182"/>
      <c r="AE19" s="4182"/>
      <c r="AF19" s="4182"/>
      <c r="AG19" s="4182"/>
      <c r="AH19" s="4192"/>
      <c r="AI19" s="4192"/>
      <c r="AJ19" s="4192"/>
      <c r="AK19" s="4192"/>
      <c r="AL19" s="4192"/>
      <c r="AM19" s="4192"/>
      <c r="AN19" s="4192"/>
      <c r="AO19" s="4192"/>
      <c r="AP19" s="4192"/>
      <c r="AQ19" s="4192"/>
      <c r="AR19" s="4192"/>
      <c r="AS19" s="4192"/>
      <c r="AT19" s="4192"/>
      <c r="AU19" s="4182"/>
      <c r="AV19" s="4182"/>
      <c r="AW19" s="4182"/>
      <c r="AX19" s="4182"/>
      <c r="AY19" s="4182"/>
      <c r="AZ19" s="4182"/>
      <c r="BA19" s="4182"/>
      <c r="BB19" s="4182"/>
      <c r="BC19" s="4182"/>
      <c r="BD19" s="4182"/>
      <c r="BE19" s="4182"/>
      <c r="BF19" s="4182"/>
      <c r="BG19" s="4182"/>
      <c r="BH19" s="851"/>
      <c r="BI19" s="2229" t="str">
        <f ca="1">IF(MISSIONS!$DQ$67&gt;=1,"!","")</f>
        <v/>
      </c>
      <c r="BJ19" s="1147">
        <f>MISSIONS!$FL$61</f>
        <v>0</v>
      </c>
      <c r="BK19" s="4183" t="s">
        <v>881</v>
      </c>
      <c r="BL19" s="4183"/>
      <c r="BM19" s="2217" t="str">
        <f>IF(MISSIONS!$EJ$62&gt;=1,"!","")</f>
        <v/>
      </c>
      <c r="BN19" s="362"/>
      <c r="BO19" s="17"/>
      <c r="BP19" s="341" t="str">
        <f t="shared" ca="1" si="22"/>
        <v>Í</v>
      </c>
      <c r="BQ19" s="336"/>
      <c r="BR19" s="336"/>
      <c r="BS19" s="336"/>
      <c r="BT19" s="336"/>
      <c r="BU19" s="336"/>
      <c r="BV19" s="336"/>
      <c r="BW19" s="336"/>
      <c r="BX19" s="336"/>
      <c r="BY19" s="336"/>
      <c r="BZ19" s="340">
        <v>15</v>
      </c>
      <c r="CA19" s="825">
        <f t="shared" si="2"/>
        <v>0</v>
      </c>
      <c r="CB19" s="343">
        <f t="shared" si="3"/>
        <v>0</v>
      </c>
      <c r="CC19" s="344">
        <f t="shared" si="4"/>
        <v>0</v>
      </c>
      <c r="CD19" s="262"/>
      <c r="CE19" s="343">
        <f t="shared" ca="1" si="5"/>
        <v>0</v>
      </c>
      <c r="CF19" s="344">
        <f t="shared" ca="1" si="6"/>
        <v>0</v>
      </c>
      <c r="CG19" s="101"/>
      <c r="CH19" s="343">
        <f t="shared" ca="1" si="18"/>
        <v>1</v>
      </c>
      <c r="CI19" s="3223">
        <v>15</v>
      </c>
      <c r="CJ19" s="346">
        <f>IF(AND(SUM($CB20:$CB$33)&gt;0,CB19&gt;0),AVERAGE($CB20:$CB$33), 0)</f>
        <v>0</v>
      </c>
      <c r="CK19" s="344">
        <f t="shared" si="0"/>
        <v>0</v>
      </c>
      <c r="CM19" s="343">
        <f t="shared" ca="1" si="7"/>
        <v>0</v>
      </c>
      <c r="CN19" s="343">
        <f t="shared" ca="1" si="8"/>
        <v>0</v>
      </c>
      <c r="CO19" s="343">
        <f t="shared" ca="1" si="9"/>
        <v>0</v>
      </c>
      <c r="CP19" s="343">
        <f t="shared" ca="1" si="10"/>
        <v>0</v>
      </c>
      <c r="CQ19" s="343">
        <f t="shared" ca="1" si="11"/>
        <v>0</v>
      </c>
      <c r="CR19" s="343">
        <f t="shared" ca="1" si="12"/>
        <v>0</v>
      </c>
      <c r="DF19" s="1520">
        <f t="shared" si="13"/>
        <v>15</v>
      </c>
      <c r="DG19" s="1521">
        <f t="shared" ca="1" si="14"/>
        <v>0</v>
      </c>
      <c r="DH19" s="262">
        <f t="shared" si="15"/>
        <v>0</v>
      </c>
      <c r="DJ19" s="307" t="str">
        <f t="shared" si="19"/>
        <v>MND9</v>
      </c>
      <c r="DK19" s="2714">
        <f ca="1">IF($DK$4=0,0,IF(_xlfn.XLOOKUP($N$1,$B$3:$B$33,$K$3:$K$33)="",0,1))</f>
        <v>0</v>
      </c>
      <c r="DN19" s="307" t="str">
        <f t="shared" si="20"/>
        <v>BDY9</v>
      </c>
      <c r="DO19" s="2714">
        <f ca="1">IF($DK$4=0,0,IF(_xlfn.XLOOKUP($N$1,$BZ$3:$BZ$33,$BY$3:$BY$33)="",0,1))</f>
        <v>0</v>
      </c>
      <c r="DP19" s="262"/>
    </row>
    <row r="20" spans="1:120" ht="17.100000000000001" customHeight="1" thickBot="1" x14ac:dyDescent="0.2">
      <c r="A20" s="825">
        <f t="shared" si="16"/>
        <v>0</v>
      </c>
      <c r="B20" s="1520">
        <v>14</v>
      </c>
      <c r="C20" s="336"/>
      <c r="D20" s="336"/>
      <c r="E20" s="336"/>
      <c r="F20" s="336"/>
      <c r="G20" s="336"/>
      <c r="H20" s="336"/>
      <c r="I20" s="336"/>
      <c r="J20" s="336"/>
      <c r="K20" s="336"/>
      <c r="L20" s="341" t="str">
        <f t="shared" ca="1" si="17"/>
        <v>Í</v>
      </c>
      <c r="M20" s="17"/>
      <c r="N20" s="364"/>
      <c r="O20" s="365"/>
      <c r="P20" s="365"/>
      <c r="Q20" s="365"/>
      <c r="R20" s="365"/>
      <c r="S20" s="366"/>
      <c r="T20" s="366"/>
      <c r="U20" s="1698"/>
      <c r="V20" s="1698"/>
      <c r="W20" s="1698"/>
      <c r="X20" s="1698"/>
      <c r="Y20" s="1698"/>
      <c r="Z20" s="1698"/>
      <c r="AA20" s="1698"/>
      <c r="AB20" s="1698"/>
      <c r="AC20" s="1698"/>
      <c r="AD20" s="1698"/>
      <c r="AE20" s="1698"/>
      <c r="AF20" s="1698"/>
      <c r="AG20" s="1698"/>
      <c r="AH20" s="1698"/>
      <c r="AI20" s="1698"/>
      <c r="AJ20" s="1698"/>
      <c r="AK20" s="1698"/>
      <c r="AL20" s="1698"/>
      <c r="AM20" s="1698"/>
      <c r="AN20" s="1698"/>
      <c r="AO20" s="1698"/>
      <c r="AP20" s="1698"/>
      <c r="AQ20" s="1698"/>
      <c r="AR20" s="1698"/>
      <c r="AS20" s="1698"/>
      <c r="AT20" s="1698"/>
      <c r="AU20" s="1698"/>
      <c r="AV20" s="1698"/>
      <c r="AW20" s="1698"/>
      <c r="AX20" s="1698"/>
      <c r="AY20" s="1698"/>
      <c r="AZ20" s="1698"/>
      <c r="BA20" s="1698"/>
      <c r="BB20" s="1698"/>
      <c r="BC20" s="1698"/>
      <c r="BD20" s="1698"/>
      <c r="BE20" s="1698"/>
      <c r="BF20" s="1698"/>
      <c r="BG20" s="1698"/>
      <c r="BH20" s="365"/>
      <c r="BI20" s="365"/>
      <c r="BJ20" s="365"/>
      <c r="BK20" s="365"/>
      <c r="BL20" s="365"/>
      <c r="BM20" s="365"/>
      <c r="BN20" s="367"/>
      <c r="BO20" s="17"/>
      <c r="BP20" s="341" t="str">
        <f t="shared" ca="1" si="22"/>
        <v>Í</v>
      </c>
      <c r="BQ20" s="336"/>
      <c r="BR20" s="336"/>
      <c r="BS20" s="336"/>
      <c r="BT20" s="336"/>
      <c r="BU20" s="336"/>
      <c r="BV20" s="336"/>
      <c r="BW20" s="336"/>
      <c r="BX20" s="336"/>
      <c r="BY20" s="336"/>
      <c r="BZ20" s="340">
        <v>14</v>
      </c>
      <c r="CA20" s="825">
        <f t="shared" si="2"/>
        <v>0</v>
      </c>
      <c r="CB20" s="343">
        <f t="shared" si="3"/>
        <v>0</v>
      </c>
      <c r="CC20" s="344">
        <f t="shared" si="4"/>
        <v>0</v>
      </c>
      <c r="CD20" s="262"/>
      <c r="CE20" s="343">
        <f t="shared" ca="1" si="5"/>
        <v>0</v>
      </c>
      <c r="CF20" s="344">
        <f t="shared" ca="1" si="6"/>
        <v>0</v>
      </c>
      <c r="CG20" s="101"/>
      <c r="CH20" s="343">
        <f t="shared" ca="1" si="18"/>
        <v>1</v>
      </c>
      <c r="CI20" s="3223">
        <v>14</v>
      </c>
      <c r="CJ20" s="346">
        <f>IF(AND(SUM($CB21:$CB$33)&gt;0,CB20&gt;0),AVERAGE($CB21:$CB$33), 0)</f>
        <v>0</v>
      </c>
      <c r="CK20" s="344">
        <f t="shared" si="0"/>
        <v>0</v>
      </c>
      <c r="CM20" s="343">
        <f t="shared" ca="1" si="7"/>
        <v>0</v>
      </c>
      <c r="CN20" s="343">
        <f t="shared" ca="1" si="8"/>
        <v>0</v>
      </c>
      <c r="CO20" s="343">
        <f t="shared" ca="1" si="9"/>
        <v>0</v>
      </c>
      <c r="CP20" s="343">
        <f t="shared" ca="1" si="10"/>
        <v>0</v>
      </c>
      <c r="CQ20" s="343">
        <f t="shared" ca="1" si="11"/>
        <v>0</v>
      </c>
      <c r="CR20" s="343">
        <f t="shared" ca="1" si="12"/>
        <v>0</v>
      </c>
      <c r="DF20" s="1520">
        <f t="shared" si="13"/>
        <v>14</v>
      </c>
      <c r="DG20" s="1521">
        <f t="shared" ca="1" si="14"/>
        <v>0</v>
      </c>
      <c r="DH20" s="262">
        <f t="shared" si="15"/>
        <v>0</v>
      </c>
      <c r="DP20" s="262"/>
    </row>
    <row r="21" spans="1:120" ht="17.100000000000001" customHeight="1" thickTop="1" x14ac:dyDescent="0.15">
      <c r="A21" s="825">
        <f t="shared" si="16"/>
        <v>0</v>
      </c>
      <c r="B21" s="1520">
        <v>13</v>
      </c>
      <c r="C21" s="336"/>
      <c r="D21" s="336"/>
      <c r="E21" s="336"/>
      <c r="F21" s="336"/>
      <c r="G21" s="336"/>
      <c r="H21" s="336"/>
      <c r="I21" s="336"/>
      <c r="J21" s="336"/>
      <c r="K21" s="336"/>
      <c r="L21" s="341" t="str">
        <f t="shared" ca="1" si="17"/>
        <v>Í</v>
      </c>
      <c r="M21" s="17"/>
      <c r="N21" s="852"/>
      <c r="O21" s="1232">
        <v>12.5</v>
      </c>
      <c r="P21" s="1232">
        <v>10.5</v>
      </c>
      <c r="Q21" s="1232">
        <v>8.5</v>
      </c>
      <c r="R21" s="1232">
        <v>6.5</v>
      </c>
      <c r="S21" s="1232">
        <v>4.5</v>
      </c>
      <c r="T21" s="1232">
        <v>2.5</v>
      </c>
      <c r="U21" s="1232">
        <v>0.5</v>
      </c>
      <c r="V21" s="1230"/>
      <c r="W21" s="1230"/>
      <c r="X21" s="1230"/>
      <c r="Y21" s="1230"/>
      <c r="Z21" s="1230"/>
      <c r="AA21" s="1230"/>
      <c r="AB21" s="1230"/>
      <c r="AC21" s="1230"/>
      <c r="AD21" s="1230"/>
      <c r="AE21" s="1230"/>
      <c r="AF21" s="1230"/>
      <c r="AG21" s="1230"/>
      <c r="AH21" s="1230"/>
      <c r="AI21" s="1230"/>
      <c r="AJ21" s="1230"/>
      <c r="AK21" s="1230"/>
      <c r="AL21" s="1230"/>
      <c r="AM21" s="1230"/>
      <c r="AN21" s="1230"/>
      <c r="AO21" s="1230"/>
      <c r="AP21" s="1230"/>
      <c r="AQ21" s="1230"/>
      <c r="AR21" s="1230"/>
      <c r="AS21" s="1230"/>
      <c r="AT21" s="1230"/>
      <c r="AU21" s="1230"/>
      <c r="AV21" s="1230"/>
      <c r="AW21" s="1230"/>
      <c r="AX21" s="1230"/>
      <c r="AY21" s="1230"/>
      <c r="AZ21" s="1230"/>
      <c r="BA21" s="1230"/>
      <c r="BB21" s="1230"/>
      <c r="BC21" s="1230"/>
      <c r="BD21" s="1230"/>
      <c r="BE21" s="1230"/>
      <c r="BF21" s="1230"/>
      <c r="BG21" s="1232">
        <v>1</v>
      </c>
      <c r="BH21" s="1232">
        <v>3</v>
      </c>
      <c r="BI21" s="1232">
        <v>5</v>
      </c>
      <c r="BJ21" s="1232">
        <v>7</v>
      </c>
      <c r="BK21" s="1232">
        <v>9</v>
      </c>
      <c r="BL21" s="1232">
        <v>11</v>
      </c>
      <c r="BM21" s="1232">
        <v>13</v>
      </c>
      <c r="BN21" s="852"/>
      <c r="BO21" s="17"/>
      <c r="BP21" s="341" t="str">
        <f t="shared" ca="1" si="22"/>
        <v>Í</v>
      </c>
      <c r="BQ21" s="336"/>
      <c r="BR21" s="336"/>
      <c r="BS21" s="336"/>
      <c r="BT21" s="336"/>
      <c r="BU21" s="336"/>
      <c r="BV21" s="336"/>
      <c r="BW21" s="336"/>
      <c r="BX21" s="336"/>
      <c r="BY21" s="336"/>
      <c r="BZ21" s="340">
        <v>13</v>
      </c>
      <c r="CA21" s="825">
        <f t="shared" si="2"/>
        <v>0</v>
      </c>
      <c r="CB21" s="343">
        <f t="shared" si="3"/>
        <v>0</v>
      </c>
      <c r="CC21" s="344">
        <f t="shared" si="4"/>
        <v>0</v>
      </c>
      <c r="CD21" s="262"/>
      <c r="CE21" s="343">
        <f t="shared" ca="1" si="5"/>
        <v>0</v>
      </c>
      <c r="CF21" s="344">
        <f t="shared" ca="1" si="6"/>
        <v>0</v>
      </c>
      <c r="CG21" s="101"/>
      <c r="CH21" s="343">
        <f t="shared" ca="1" si="18"/>
        <v>1</v>
      </c>
      <c r="CI21" s="3223">
        <v>13</v>
      </c>
      <c r="CJ21" s="346">
        <f>IF(AND(SUM($CB22:$CB$33)&gt;0,CB21&gt;0),AVERAGE($CB22:$CB$33), 0)</f>
        <v>0</v>
      </c>
      <c r="CK21" s="344">
        <f t="shared" si="0"/>
        <v>0</v>
      </c>
      <c r="CM21" s="343">
        <f t="shared" ca="1" si="7"/>
        <v>0</v>
      </c>
      <c r="CN21" s="343">
        <f t="shared" ca="1" si="8"/>
        <v>0</v>
      </c>
      <c r="CO21" s="343">
        <f t="shared" ca="1" si="9"/>
        <v>0</v>
      </c>
      <c r="CP21" s="343">
        <f t="shared" ca="1" si="10"/>
        <v>0</v>
      </c>
      <c r="CQ21" s="343">
        <f t="shared" ca="1" si="11"/>
        <v>0</v>
      </c>
      <c r="CR21" s="343">
        <f t="shared" ca="1" si="12"/>
        <v>0</v>
      </c>
      <c r="DF21" s="1520">
        <f t="shared" si="13"/>
        <v>13</v>
      </c>
      <c r="DG21" s="1521">
        <f t="shared" ca="1" si="14"/>
        <v>0</v>
      </c>
      <c r="DH21" s="262">
        <f t="shared" si="15"/>
        <v>0</v>
      </c>
      <c r="DP21" s="262"/>
    </row>
    <row r="22" spans="1:120" ht="17.100000000000001" customHeight="1" x14ac:dyDescent="0.35">
      <c r="A22" s="825">
        <f t="shared" si="16"/>
        <v>0</v>
      </c>
      <c r="B22" s="1520">
        <v>12</v>
      </c>
      <c r="C22" s="336"/>
      <c r="D22" s="336"/>
      <c r="E22" s="336"/>
      <c r="F22" s="336"/>
      <c r="G22" s="336"/>
      <c r="H22" s="336"/>
      <c r="I22" s="336"/>
      <c r="J22" s="336"/>
      <c r="K22" s="336"/>
      <c r="L22" s="341" t="str">
        <f t="shared" ca="1" si="17"/>
        <v>Í</v>
      </c>
      <c r="M22" s="17"/>
      <c r="N22" s="854"/>
      <c r="O22" s="3388" t="str">
        <f ca="1">IF(ACTIONS!$CH$37&gt;=O21,"♥","")</f>
        <v/>
      </c>
      <c r="P22" s="3388" t="str">
        <f ca="1">IF(ACTIONS!$CH$37&gt;=P21,"♥","")</f>
        <v/>
      </c>
      <c r="Q22" s="3388" t="str">
        <f ca="1">IF(ACTIONS!$CH$37&gt;=Q21,"♥","")</f>
        <v/>
      </c>
      <c r="R22" s="3388" t="str">
        <f ca="1">IF(ACTIONS!$CH$37&gt;=R21,"♥","")</f>
        <v/>
      </c>
      <c r="S22" s="3388" t="str">
        <f ca="1">IF(ACTIONS!$CH$37&gt;=S21,"♥","")</f>
        <v/>
      </c>
      <c r="T22" s="3388" t="str">
        <f ca="1">IF(ACTIONS!$CH$37&gt;=T21,"♥","")</f>
        <v>♥</v>
      </c>
      <c r="U22" s="3388" t="str">
        <f ca="1">IF(ACTIONS!$CH$37&gt;=U21,"♥","")</f>
        <v>♥</v>
      </c>
      <c r="V22" s="17"/>
      <c r="W22" s="855" t="s">
        <v>292</v>
      </c>
      <c r="X22" s="853"/>
      <c r="Y22" s="856" t="str">
        <f>IF(PROGRESS!$AF$21&gt;=Y23,"¿","")</f>
        <v/>
      </c>
      <c r="Z22" s="857"/>
      <c r="AA22" s="856" t="str">
        <f>IF(PROGRESS!$AF$21&gt;=AA23,"¿","")</f>
        <v/>
      </c>
      <c r="AB22" s="857"/>
      <c r="AC22" s="856" t="str">
        <f>IF(PROGRESS!$AF$21&gt;=AC23,"¿","")</f>
        <v/>
      </c>
      <c r="AD22" s="857"/>
      <c r="AE22" s="856" t="str">
        <f>IF(PROGRESS!$AF$21&gt;=AE23,"¿","")</f>
        <v/>
      </c>
      <c r="AF22" s="857"/>
      <c r="AG22" s="856" t="str">
        <f>IF(PROGRESS!$AF$21&gt;=AG23,"¿","")</f>
        <v/>
      </c>
      <c r="AH22" s="857"/>
      <c r="AI22" s="856" t="str">
        <f>IF(PROGRESS!$AF$21&gt;=AI23,"¿","")</f>
        <v/>
      </c>
      <c r="AJ22" s="857"/>
      <c r="AK22" s="856" t="str">
        <f>IF(PROGRESS!$AF$21&gt;=AK23,"¿","")</f>
        <v/>
      </c>
      <c r="AL22" s="857"/>
      <c r="AM22" s="856" t="s">
        <v>448</v>
      </c>
      <c r="AN22" s="858"/>
      <c r="AO22" s="856" t="s">
        <v>448</v>
      </c>
      <c r="AP22" s="858"/>
      <c r="AQ22" s="856" t="str">
        <f>IF(PROGRESS!$AF$21&gt;=AQ23,"¿","")</f>
        <v/>
      </c>
      <c r="AR22" s="857"/>
      <c r="AS22" s="856" t="str">
        <f>IF(PROGRESS!$AF$21&gt;=AS23,"¿","")</f>
        <v/>
      </c>
      <c r="AT22" s="859"/>
      <c r="AU22" s="856" t="str">
        <f>IF(PROGRESS!$AF$21&gt;=AU23,"¿","")</f>
        <v/>
      </c>
      <c r="AV22" s="859"/>
      <c r="AW22" s="856" t="str">
        <f>IF(PROGRESS!$AF$21&gt;=AW23,"¿","")</f>
        <v/>
      </c>
      <c r="AX22" s="859"/>
      <c r="AY22" s="856" t="str">
        <f>IF(PROGRESS!$AF$21&gt;=AY23,"¿","")</f>
        <v/>
      </c>
      <c r="AZ22" s="859"/>
      <c r="BA22" s="856" t="str">
        <f>IF(PROGRESS!$AF$21&gt;=BA23,"¿","")</f>
        <v/>
      </c>
      <c r="BB22" s="859"/>
      <c r="BC22" s="856" t="str">
        <f>IF(PROGRESS!$AF$21&gt;=BC23,"¿","")</f>
        <v/>
      </c>
      <c r="BD22" s="853"/>
      <c r="BE22" s="855" t="s">
        <v>292</v>
      </c>
      <c r="BF22" s="17"/>
      <c r="BG22" s="3388" t="str">
        <f ca="1">IF(ACTIONS!$CH$37&gt;=BG21,"♥","")</f>
        <v>♥</v>
      </c>
      <c r="BH22" s="3388" t="str">
        <f ca="1">IF(ACTIONS!$CH$37&gt;=BH21,"♥","")</f>
        <v>♥</v>
      </c>
      <c r="BI22" s="3388" t="str">
        <f ca="1">IF(ACTIONS!$CH$37&gt;=BI21,"♥","")</f>
        <v/>
      </c>
      <c r="BJ22" s="3388" t="str">
        <f ca="1">IF(ACTIONS!$CH$37&gt;=BJ21,"♥","")</f>
        <v/>
      </c>
      <c r="BK22" s="3388" t="str">
        <f ca="1">IF(ACTIONS!$CH$37&gt;=BK21,"♥","")</f>
        <v/>
      </c>
      <c r="BL22" s="3388" t="str">
        <f ca="1">IF(ACTIONS!$CH$37&gt;=BL21,"♥","")</f>
        <v/>
      </c>
      <c r="BM22" s="3388" t="str">
        <f ca="1">IF(ACTIONS!$CH$37&gt;=BM21,"♥","")</f>
        <v/>
      </c>
      <c r="BN22" s="854"/>
      <c r="BO22" s="17"/>
      <c r="BP22" s="341" t="str">
        <f t="shared" ca="1" si="22"/>
        <v>Í</v>
      </c>
      <c r="BQ22" s="336"/>
      <c r="BR22" s="336"/>
      <c r="BS22" s="336"/>
      <c r="BT22" s="336"/>
      <c r="BU22" s="336"/>
      <c r="BV22" s="336"/>
      <c r="BW22" s="336"/>
      <c r="BX22" s="336"/>
      <c r="BY22" s="336"/>
      <c r="BZ22" s="340">
        <v>12</v>
      </c>
      <c r="CA22" s="825">
        <f t="shared" si="2"/>
        <v>0</v>
      </c>
      <c r="CB22" s="343">
        <f t="shared" si="3"/>
        <v>0</v>
      </c>
      <c r="CC22" s="344">
        <f t="shared" si="4"/>
        <v>0</v>
      </c>
      <c r="CD22" s="262"/>
      <c r="CE22" s="343">
        <f t="shared" ca="1" si="5"/>
        <v>0</v>
      </c>
      <c r="CF22" s="344">
        <f t="shared" ca="1" si="6"/>
        <v>0</v>
      </c>
      <c r="CG22" s="101"/>
      <c r="CH22" s="343">
        <f t="shared" ca="1" si="18"/>
        <v>1</v>
      </c>
      <c r="CI22" s="3223">
        <v>12</v>
      </c>
      <c r="CJ22" s="346">
        <f>IF(AND(SUM($CB23:$CB$33)&gt;0,CB22&gt;0),AVERAGE($CB23:$CB$33), 0)</f>
        <v>0</v>
      </c>
      <c r="CK22" s="344">
        <f t="shared" si="0"/>
        <v>0</v>
      </c>
      <c r="CM22" s="343">
        <f t="shared" ca="1" si="7"/>
        <v>0</v>
      </c>
      <c r="CN22" s="343">
        <f t="shared" ca="1" si="8"/>
        <v>0</v>
      </c>
      <c r="CO22" s="343">
        <f t="shared" ca="1" si="9"/>
        <v>0</v>
      </c>
      <c r="CP22" s="343">
        <f t="shared" ca="1" si="10"/>
        <v>0</v>
      </c>
      <c r="CQ22" s="343">
        <f t="shared" ca="1" si="11"/>
        <v>0</v>
      </c>
      <c r="CR22" s="343">
        <f t="shared" ca="1" si="12"/>
        <v>0</v>
      </c>
      <c r="DF22" s="1520">
        <f t="shared" si="13"/>
        <v>12</v>
      </c>
      <c r="DG22" s="1521">
        <f t="shared" ca="1" si="14"/>
        <v>0</v>
      </c>
      <c r="DH22" s="262">
        <f t="shared" si="15"/>
        <v>0</v>
      </c>
      <c r="DP22" s="262"/>
    </row>
    <row r="23" spans="1:120" ht="17.100000000000001" customHeight="1" thickBot="1" x14ac:dyDescent="0.2">
      <c r="A23" s="825">
        <f t="shared" si="16"/>
        <v>0</v>
      </c>
      <c r="B23" s="1520">
        <v>11</v>
      </c>
      <c r="C23" s="336"/>
      <c r="D23" s="336"/>
      <c r="E23" s="336"/>
      <c r="F23" s="336"/>
      <c r="G23" s="336"/>
      <c r="H23" s="336"/>
      <c r="I23" s="336"/>
      <c r="J23" s="336"/>
      <c r="K23" s="336"/>
      <c r="L23" s="341" t="str">
        <f t="shared" ca="1" si="17"/>
        <v>Í</v>
      </c>
      <c r="M23" s="17"/>
      <c r="N23" s="860"/>
      <c r="O23" s="1228">
        <v>13.5</v>
      </c>
      <c r="P23" s="1228">
        <v>11.5</v>
      </c>
      <c r="Q23" s="1228">
        <v>9.5</v>
      </c>
      <c r="R23" s="1228">
        <v>7.5</v>
      </c>
      <c r="S23" s="1228">
        <v>5.5</v>
      </c>
      <c r="T23" s="1228">
        <v>3.5</v>
      </c>
      <c r="U23" s="1228">
        <v>1.5</v>
      </c>
      <c r="V23" s="1229"/>
      <c r="W23" s="1230" t="s">
        <v>4</v>
      </c>
      <c r="X23" s="1229"/>
      <c r="Y23" s="368">
        <v>16</v>
      </c>
      <c r="Z23" s="368">
        <v>16</v>
      </c>
      <c r="AA23" s="368">
        <v>14</v>
      </c>
      <c r="AB23" s="368">
        <v>14</v>
      </c>
      <c r="AC23" s="368">
        <v>12</v>
      </c>
      <c r="AD23" s="368">
        <v>12</v>
      </c>
      <c r="AE23" s="368">
        <v>10</v>
      </c>
      <c r="AF23" s="368">
        <v>10</v>
      </c>
      <c r="AG23" s="368">
        <v>8</v>
      </c>
      <c r="AH23" s="368">
        <v>8</v>
      </c>
      <c r="AI23" s="368">
        <v>6</v>
      </c>
      <c r="AJ23" s="368">
        <v>6</v>
      </c>
      <c r="AK23" s="368">
        <v>4</v>
      </c>
      <c r="AL23" s="368">
        <v>4</v>
      </c>
      <c r="AM23" s="368">
        <v>2</v>
      </c>
      <c r="AN23" s="368">
        <v>2</v>
      </c>
      <c r="AO23" s="368">
        <v>2</v>
      </c>
      <c r="AP23" s="368">
        <v>4</v>
      </c>
      <c r="AQ23" s="368">
        <v>4</v>
      </c>
      <c r="AR23" s="368">
        <v>6</v>
      </c>
      <c r="AS23" s="368">
        <v>6</v>
      </c>
      <c r="AT23" s="368">
        <v>8</v>
      </c>
      <c r="AU23" s="368">
        <v>8</v>
      </c>
      <c r="AV23" s="368">
        <v>10</v>
      </c>
      <c r="AW23" s="368">
        <v>10</v>
      </c>
      <c r="AX23" s="368">
        <v>12</v>
      </c>
      <c r="AY23" s="368">
        <v>12</v>
      </c>
      <c r="AZ23" s="368">
        <v>14</v>
      </c>
      <c r="BA23" s="368">
        <v>14</v>
      </c>
      <c r="BB23" s="368">
        <v>16</v>
      </c>
      <c r="BC23" s="368">
        <v>16</v>
      </c>
      <c r="BD23" s="1231"/>
      <c r="BE23" s="1230" t="s">
        <v>4</v>
      </c>
      <c r="BF23" s="1231"/>
      <c r="BG23" s="1228">
        <v>2</v>
      </c>
      <c r="BH23" s="1228">
        <v>4</v>
      </c>
      <c r="BI23" s="1228">
        <v>6</v>
      </c>
      <c r="BJ23" s="1228">
        <v>8</v>
      </c>
      <c r="BK23" s="1228">
        <v>10</v>
      </c>
      <c r="BL23" s="1228">
        <v>12</v>
      </c>
      <c r="BM23" s="1228">
        <v>14</v>
      </c>
      <c r="BN23" s="860"/>
      <c r="BO23" s="17"/>
      <c r="BP23" s="341" t="str">
        <f t="shared" ca="1" si="22"/>
        <v>Í</v>
      </c>
      <c r="BQ23" s="336"/>
      <c r="BR23" s="336"/>
      <c r="BS23" s="336"/>
      <c r="BT23" s="336"/>
      <c r="BU23" s="336"/>
      <c r="BV23" s="336"/>
      <c r="BW23" s="336"/>
      <c r="BX23" s="336"/>
      <c r="BY23" s="336"/>
      <c r="BZ23" s="340">
        <v>11</v>
      </c>
      <c r="CA23" s="825">
        <f t="shared" si="2"/>
        <v>0</v>
      </c>
      <c r="CB23" s="343">
        <f t="shared" si="3"/>
        <v>0</v>
      </c>
      <c r="CC23" s="344">
        <f t="shared" si="4"/>
        <v>0</v>
      </c>
      <c r="CD23" s="262"/>
      <c r="CE23" s="343">
        <f t="shared" ca="1" si="5"/>
        <v>0</v>
      </c>
      <c r="CF23" s="344">
        <f t="shared" ca="1" si="6"/>
        <v>0</v>
      </c>
      <c r="CG23" s="101"/>
      <c r="CH23" s="343">
        <f t="shared" ca="1" si="18"/>
        <v>1</v>
      </c>
      <c r="CI23" s="3223">
        <v>11</v>
      </c>
      <c r="CJ23" s="346">
        <f>IF(AND(SUM($CB24:$CB$33)&gt;0,CB23&gt;0),AVERAGE($CB24:$CB$33), 0)</f>
        <v>0</v>
      </c>
      <c r="CK23" s="344">
        <f t="shared" si="0"/>
        <v>0</v>
      </c>
      <c r="CM23" s="343">
        <f t="shared" ca="1" si="7"/>
        <v>0</v>
      </c>
      <c r="CN23" s="343">
        <f t="shared" ca="1" si="8"/>
        <v>0</v>
      </c>
      <c r="CO23" s="343">
        <f t="shared" ca="1" si="9"/>
        <v>0</v>
      </c>
      <c r="CP23" s="343">
        <f t="shared" ca="1" si="10"/>
        <v>0</v>
      </c>
      <c r="CQ23" s="343">
        <f t="shared" ca="1" si="11"/>
        <v>0</v>
      </c>
      <c r="CR23" s="343">
        <f t="shared" ca="1" si="12"/>
        <v>0</v>
      </c>
      <c r="DF23" s="1520">
        <f t="shared" si="13"/>
        <v>11</v>
      </c>
      <c r="DG23" s="1521">
        <f t="shared" ca="1" si="14"/>
        <v>0</v>
      </c>
      <c r="DH23" s="262">
        <f t="shared" si="15"/>
        <v>0</v>
      </c>
    </row>
    <row r="24" spans="1:120" ht="17.100000000000001" customHeight="1" thickTop="1" x14ac:dyDescent="0.15">
      <c r="A24" s="825">
        <f t="shared" si="16"/>
        <v>0</v>
      </c>
      <c r="B24" s="1520">
        <v>10</v>
      </c>
      <c r="C24" s="336"/>
      <c r="D24" s="336"/>
      <c r="E24" s="336"/>
      <c r="F24" s="336"/>
      <c r="G24" s="336"/>
      <c r="H24" s="336"/>
      <c r="I24" s="336"/>
      <c r="J24" s="336"/>
      <c r="K24" s="336"/>
      <c r="L24" s="341" t="str">
        <f t="shared" ca="1" si="17"/>
        <v>Í</v>
      </c>
      <c r="M24" s="17"/>
      <c r="N24" s="369"/>
      <c r="O24" s="4237" t="str">
        <f ca="1">IFERROR(INDEX(data!$IL$23:$IW$54,PLANS!$B$1,PLANS!$C$1),"")</f>
        <v/>
      </c>
      <c r="P24" s="4237"/>
      <c r="Q24" s="4237"/>
      <c r="R24" s="4237"/>
      <c r="S24" s="4237"/>
      <c r="T24" s="4237"/>
      <c r="U24" s="4237"/>
      <c r="V24" s="4237"/>
      <c r="W24" s="4237"/>
      <c r="X24" s="4237"/>
      <c r="Y24" s="4237"/>
      <c r="Z24" s="4237"/>
      <c r="AA24" s="4237"/>
      <c r="AB24" s="4237"/>
      <c r="AC24" s="4237"/>
      <c r="AD24" s="4237"/>
      <c r="AE24" s="370"/>
      <c r="AF24" s="4237" t="str">
        <f ca="1">IFERROR(_xlfn.SINGLE(INDEX(data!ID23:$II$54,PLANS!$B$1,_xlfn.SINGLE( _xlfn.IFS(PLANS!$C$1&lt;=6,PLANS!$C$1,PLANS!$C$1&gt;6,PLANS!$C$1-6) ))),"")</f>
        <v/>
      </c>
      <c r="AG24" s="4237"/>
      <c r="AH24" s="4237"/>
      <c r="AI24" s="4237"/>
      <c r="AJ24" s="4237"/>
      <c r="AK24" s="4237"/>
      <c r="AL24" s="4237"/>
      <c r="AM24" s="4237"/>
      <c r="AN24" s="4237"/>
      <c r="AO24" s="4237"/>
      <c r="AP24" s="4237"/>
      <c r="AQ24" s="4237"/>
      <c r="AR24" s="4237"/>
      <c r="AS24" s="4237"/>
      <c r="AT24" s="4237"/>
      <c r="AU24" s="4237"/>
      <c r="AV24" s="4237"/>
      <c r="AW24" s="370"/>
      <c r="AX24" s="4237" t="str">
        <f ca="1">IFERROR(_xlfn.SINGLE(INDEX(data!$IL$23:$IW$54,PLANS!$B$1,_xlfn.SINGLE( _xlfn.IFS(PLANS!$C$1&lt;=6,PLANS!$C$1+4,PLANS!$C$1&gt;6,PLANS!$C$1-4) ))),"")</f>
        <v/>
      </c>
      <c r="AY24" s="4237"/>
      <c r="AZ24" s="4237"/>
      <c r="BA24" s="4237"/>
      <c r="BB24" s="4237"/>
      <c r="BC24" s="4237"/>
      <c r="BD24" s="4237"/>
      <c r="BE24" s="4237"/>
      <c r="BF24" s="4237"/>
      <c r="BG24" s="4237"/>
      <c r="BH24" s="4237"/>
      <c r="BI24" s="4237"/>
      <c r="BJ24" s="4237"/>
      <c r="BK24" s="4237"/>
      <c r="BL24" s="4237"/>
      <c r="BM24" s="4237"/>
      <c r="BN24" s="371"/>
      <c r="BO24" s="17"/>
      <c r="BP24" s="341" t="str">
        <f t="shared" ca="1" si="22"/>
        <v>Í</v>
      </c>
      <c r="BQ24" s="336"/>
      <c r="BR24" s="336"/>
      <c r="BS24" s="336"/>
      <c r="BT24" s="336"/>
      <c r="BU24" s="336"/>
      <c r="BV24" s="336"/>
      <c r="BW24" s="336"/>
      <c r="BX24" s="336"/>
      <c r="BY24" s="336"/>
      <c r="BZ24" s="340">
        <v>10</v>
      </c>
      <c r="CA24" s="825">
        <f t="shared" si="2"/>
        <v>0</v>
      </c>
      <c r="CB24" s="343">
        <f t="shared" si="3"/>
        <v>0</v>
      </c>
      <c r="CC24" s="344">
        <f t="shared" si="4"/>
        <v>0</v>
      </c>
      <c r="CD24" s="343"/>
      <c r="CE24" s="343">
        <f t="shared" ca="1" si="5"/>
        <v>0</v>
      </c>
      <c r="CF24" s="344">
        <f t="shared" ca="1" si="6"/>
        <v>0</v>
      </c>
      <c r="CG24" s="345"/>
      <c r="CH24" s="343">
        <f t="shared" ca="1" si="18"/>
        <v>1</v>
      </c>
      <c r="CI24" s="3223">
        <v>10</v>
      </c>
      <c r="CJ24" s="346">
        <f>IF(AND(SUM($CB25:$CB$33)&gt;0,CB24&gt;0),AVERAGE($CB25:$CB$33), 0)</f>
        <v>0</v>
      </c>
      <c r="CK24" s="344">
        <f t="shared" si="0"/>
        <v>0</v>
      </c>
      <c r="CL24" s="347"/>
      <c r="CM24" s="343">
        <f t="shared" ca="1" si="7"/>
        <v>0</v>
      </c>
      <c r="CN24" s="343">
        <f t="shared" ca="1" si="8"/>
        <v>0</v>
      </c>
      <c r="CO24" s="343">
        <f t="shared" ca="1" si="9"/>
        <v>0</v>
      </c>
      <c r="CP24" s="343">
        <f t="shared" ca="1" si="10"/>
        <v>0</v>
      </c>
      <c r="CQ24" s="343">
        <f t="shared" ca="1" si="11"/>
        <v>0</v>
      </c>
      <c r="CR24" s="343">
        <f t="shared" ca="1" si="12"/>
        <v>0</v>
      </c>
      <c r="CT24" s="36" t="s">
        <v>1076</v>
      </c>
      <c r="DF24" s="1520">
        <f t="shared" si="13"/>
        <v>10</v>
      </c>
      <c r="DG24" s="1521">
        <f t="shared" ca="1" si="14"/>
        <v>0</v>
      </c>
      <c r="DH24" s="262">
        <f t="shared" si="15"/>
        <v>0</v>
      </c>
      <c r="DK24" s="39" t="s">
        <v>2062</v>
      </c>
      <c r="DP24" s="39" t="s">
        <v>2195</v>
      </c>
    </row>
    <row r="25" spans="1:120" ht="17.100000000000001" customHeight="1" x14ac:dyDescent="0.15">
      <c r="A25" s="825">
        <f t="shared" si="16"/>
        <v>0</v>
      </c>
      <c r="B25" s="1520">
        <v>9</v>
      </c>
      <c r="C25" s="336"/>
      <c r="D25" s="336"/>
      <c r="E25" s="336"/>
      <c r="F25" s="336"/>
      <c r="G25" s="336"/>
      <c r="H25" s="336"/>
      <c r="I25" s="336"/>
      <c r="J25" s="336"/>
      <c r="K25" s="336"/>
      <c r="L25" s="341" t="str">
        <f t="shared" ca="1" si="17"/>
        <v>Í</v>
      </c>
      <c r="M25" s="17"/>
      <c r="N25" s="372"/>
      <c r="O25" s="4225"/>
      <c r="P25" s="4225"/>
      <c r="Q25" s="4225"/>
      <c r="R25" s="4225"/>
      <c r="S25" s="4225"/>
      <c r="T25" s="4225"/>
      <c r="U25" s="4225"/>
      <c r="V25" s="4225"/>
      <c r="W25" s="4225"/>
      <c r="X25" s="4225"/>
      <c r="Y25" s="4225"/>
      <c r="Z25" s="4225"/>
      <c r="AA25" s="4225"/>
      <c r="AB25" s="4225"/>
      <c r="AC25" s="4225"/>
      <c r="AD25" s="4225"/>
      <c r="AE25" s="861"/>
      <c r="AF25" s="4225"/>
      <c r="AG25" s="4225"/>
      <c r="AH25" s="4225"/>
      <c r="AI25" s="4225"/>
      <c r="AJ25" s="4225"/>
      <c r="AK25" s="4225"/>
      <c r="AL25" s="4225"/>
      <c r="AM25" s="4225"/>
      <c r="AN25" s="4225"/>
      <c r="AO25" s="4225"/>
      <c r="AP25" s="4225"/>
      <c r="AQ25" s="4225"/>
      <c r="AR25" s="4225"/>
      <c r="AS25" s="4225"/>
      <c r="AT25" s="4225"/>
      <c r="AU25" s="4225"/>
      <c r="AV25" s="4225"/>
      <c r="AW25" s="861"/>
      <c r="AX25" s="4225"/>
      <c r="AY25" s="4225"/>
      <c r="AZ25" s="4225"/>
      <c r="BA25" s="4225"/>
      <c r="BB25" s="4225"/>
      <c r="BC25" s="4225"/>
      <c r="BD25" s="4225"/>
      <c r="BE25" s="4225"/>
      <c r="BF25" s="4225"/>
      <c r="BG25" s="4225"/>
      <c r="BH25" s="4225"/>
      <c r="BI25" s="4225"/>
      <c r="BJ25" s="4225"/>
      <c r="BK25" s="4225"/>
      <c r="BL25" s="4225"/>
      <c r="BM25" s="4225"/>
      <c r="BN25" s="373"/>
      <c r="BO25" s="17"/>
      <c r="BP25" s="341" t="str">
        <f t="shared" ca="1" si="22"/>
        <v>Í</v>
      </c>
      <c r="BQ25" s="336"/>
      <c r="BR25" s="336"/>
      <c r="BS25" s="336"/>
      <c r="BT25" s="336"/>
      <c r="BU25" s="336"/>
      <c r="BV25" s="336"/>
      <c r="BW25" s="336"/>
      <c r="BX25" s="336"/>
      <c r="BY25" s="336"/>
      <c r="BZ25" s="340">
        <v>9</v>
      </c>
      <c r="CA25" s="825">
        <f t="shared" si="2"/>
        <v>0</v>
      </c>
      <c r="CB25" s="343">
        <f t="shared" si="3"/>
        <v>0</v>
      </c>
      <c r="CC25" s="344">
        <f t="shared" si="4"/>
        <v>0</v>
      </c>
      <c r="CD25" s="343"/>
      <c r="CE25" s="343">
        <f t="shared" ca="1" si="5"/>
        <v>0</v>
      </c>
      <c r="CF25" s="344">
        <f t="shared" ca="1" si="6"/>
        <v>0</v>
      </c>
      <c r="CG25" s="345"/>
      <c r="CH25" s="343">
        <f t="shared" ca="1" si="18"/>
        <v>1</v>
      </c>
      <c r="CI25" s="3223">
        <v>9</v>
      </c>
      <c r="CJ25" s="346">
        <f>IF(AND(SUM($CB26:$CB$33)&gt;0,CB25&gt;0),AVERAGE($CB26:$CB$33), 0)</f>
        <v>0</v>
      </c>
      <c r="CK25" s="344">
        <f t="shared" si="0"/>
        <v>0</v>
      </c>
      <c r="CL25" s="347"/>
      <c r="CM25" s="343">
        <f t="shared" ca="1" si="7"/>
        <v>0</v>
      </c>
      <c r="CN25" s="343">
        <f t="shared" ca="1" si="8"/>
        <v>0</v>
      </c>
      <c r="CO25" s="343">
        <f t="shared" ca="1" si="9"/>
        <v>0</v>
      </c>
      <c r="CP25" s="343">
        <f t="shared" ca="1" si="10"/>
        <v>0</v>
      </c>
      <c r="CQ25" s="343">
        <f t="shared" ca="1" si="11"/>
        <v>0</v>
      </c>
      <c r="CR25" s="343">
        <f t="shared" ca="1" si="12"/>
        <v>0</v>
      </c>
      <c r="DF25" s="1520">
        <f t="shared" si="13"/>
        <v>9</v>
      </c>
      <c r="DG25" s="1521">
        <f t="shared" ca="1" si="14"/>
        <v>0</v>
      </c>
      <c r="DH25" s="262">
        <f t="shared" si="15"/>
        <v>0</v>
      </c>
      <c r="DK25" s="1633" t="s">
        <v>2065</v>
      </c>
      <c r="DP25" s="1633" t="s">
        <v>2196</v>
      </c>
    </row>
    <row r="26" spans="1:120" ht="17.100000000000001" customHeight="1" x14ac:dyDescent="0.15">
      <c r="A26" s="825">
        <f t="shared" si="16"/>
        <v>0</v>
      </c>
      <c r="B26" s="1520">
        <v>8</v>
      </c>
      <c r="C26" s="336"/>
      <c r="D26" s="336"/>
      <c r="E26" s="336"/>
      <c r="F26" s="336"/>
      <c r="G26" s="336"/>
      <c r="H26" s="336"/>
      <c r="I26" s="336"/>
      <c r="J26" s="336"/>
      <c r="K26" s="336"/>
      <c r="L26" s="341" t="str">
        <f t="shared" ca="1" si="17"/>
        <v>Í</v>
      </c>
      <c r="M26" s="17"/>
      <c r="N26" s="372"/>
      <c r="O26" s="4225"/>
      <c r="P26" s="4225"/>
      <c r="Q26" s="4225"/>
      <c r="R26" s="4225"/>
      <c r="S26" s="4225"/>
      <c r="T26" s="4225"/>
      <c r="U26" s="4225"/>
      <c r="V26" s="4225"/>
      <c r="W26" s="4225"/>
      <c r="X26" s="4225"/>
      <c r="Y26" s="4225"/>
      <c r="Z26" s="4225"/>
      <c r="AA26" s="4225"/>
      <c r="AB26" s="4225"/>
      <c r="AC26" s="4225"/>
      <c r="AD26" s="4225"/>
      <c r="AE26" s="861"/>
      <c r="AF26" s="4225"/>
      <c r="AG26" s="4225"/>
      <c r="AH26" s="4225"/>
      <c r="AI26" s="4225"/>
      <c r="AJ26" s="4225"/>
      <c r="AK26" s="4225"/>
      <c r="AL26" s="4225"/>
      <c r="AM26" s="4225"/>
      <c r="AN26" s="4225"/>
      <c r="AO26" s="4225"/>
      <c r="AP26" s="4225"/>
      <c r="AQ26" s="4225"/>
      <c r="AR26" s="4225"/>
      <c r="AS26" s="4225"/>
      <c r="AT26" s="4225"/>
      <c r="AU26" s="4225"/>
      <c r="AV26" s="4225"/>
      <c r="AW26" s="861"/>
      <c r="AX26" s="4225"/>
      <c r="AY26" s="4225"/>
      <c r="AZ26" s="4225"/>
      <c r="BA26" s="4225"/>
      <c r="BB26" s="4225"/>
      <c r="BC26" s="4225"/>
      <c r="BD26" s="4225"/>
      <c r="BE26" s="4225"/>
      <c r="BF26" s="4225"/>
      <c r="BG26" s="4225"/>
      <c r="BH26" s="4225"/>
      <c r="BI26" s="4225"/>
      <c r="BJ26" s="4225"/>
      <c r="BK26" s="4225"/>
      <c r="BL26" s="4225"/>
      <c r="BM26" s="4225"/>
      <c r="BN26" s="373"/>
      <c r="BO26" s="17"/>
      <c r="BP26" s="341" t="str">
        <f t="shared" ca="1" si="22"/>
        <v>Í</v>
      </c>
      <c r="BQ26" s="336"/>
      <c r="BR26" s="336"/>
      <c r="BS26" s="336"/>
      <c r="BT26" s="336"/>
      <c r="BU26" s="336"/>
      <c r="BV26" s="336"/>
      <c r="BW26" s="336"/>
      <c r="BX26" s="336"/>
      <c r="BY26" s="336"/>
      <c r="BZ26" s="340">
        <v>8</v>
      </c>
      <c r="CA26" s="825">
        <f t="shared" si="2"/>
        <v>0</v>
      </c>
      <c r="CB26" s="343">
        <f t="shared" si="3"/>
        <v>0</v>
      </c>
      <c r="CC26" s="344">
        <f t="shared" si="4"/>
        <v>0</v>
      </c>
      <c r="CD26" s="343"/>
      <c r="CE26" s="343">
        <f t="shared" ca="1" si="5"/>
        <v>0</v>
      </c>
      <c r="CF26" s="344">
        <f t="shared" ca="1" si="6"/>
        <v>0</v>
      </c>
      <c r="CG26" s="345"/>
      <c r="CH26" s="343">
        <f t="shared" ca="1" si="18"/>
        <v>1</v>
      </c>
      <c r="CI26" s="3223">
        <v>8</v>
      </c>
      <c r="CJ26" s="346">
        <f>IF(AND(SUM($CB27:$CB$33)&gt;0,CB26&gt;0),AVERAGE($CB27:$CB$33), 0)</f>
        <v>0</v>
      </c>
      <c r="CK26" s="344">
        <f t="shared" si="0"/>
        <v>0</v>
      </c>
      <c r="CL26" s="347"/>
      <c r="CM26" s="343">
        <f t="shared" ca="1" si="7"/>
        <v>0</v>
      </c>
      <c r="CN26" s="343">
        <f t="shared" ca="1" si="8"/>
        <v>0</v>
      </c>
      <c r="CO26" s="343">
        <f t="shared" ca="1" si="9"/>
        <v>0</v>
      </c>
      <c r="CP26" s="343">
        <f t="shared" ca="1" si="10"/>
        <v>0</v>
      </c>
      <c r="CQ26" s="343">
        <f t="shared" ca="1" si="11"/>
        <v>0</v>
      </c>
      <c r="CR26" s="343">
        <f t="shared" ca="1" si="12"/>
        <v>0</v>
      </c>
      <c r="DF26" s="1520">
        <f t="shared" si="13"/>
        <v>8</v>
      </c>
      <c r="DG26" s="1521">
        <f t="shared" ca="1" si="14"/>
        <v>0</v>
      </c>
      <c r="DH26" s="262">
        <f t="shared" si="15"/>
        <v>0</v>
      </c>
      <c r="DK26" s="509">
        <f>IF('^'!$BK$49=1,1,0)</f>
        <v>0</v>
      </c>
      <c r="DP26" s="509">
        <f>IF('^'!$CC$29&lt;&gt;"",1,0)</f>
        <v>0</v>
      </c>
    </row>
    <row r="27" spans="1:120" ht="17.100000000000001" customHeight="1" x14ac:dyDescent="0.15">
      <c r="A27" s="825">
        <f t="shared" si="16"/>
        <v>0</v>
      </c>
      <c r="B27" s="1520">
        <v>7</v>
      </c>
      <c r="C27" s="336"/>
      <c r="D27" s="336"/>
      <c r="E27" s="336"/>
      <c r="F27" s="336"/>
      <c r="G27" s="336"/>
      <c r="H27" s="336"/>
      <c r="I27" s="336"/>
      <c r="J27" s="336"/>
      <c r="K27" s="336"/>
      <c r="L27" s="341" t="str">
        <f t="shared" ca="1" si="17"/>
        <v>Í</v>
      </c>
      <c r="M27" s="17"/>
      <c r="N27" s="372"/>
      <c r="O27" s="4225"/>
      <c r="P27" s="4225"/>
      <c r="Q27" s="4225"/>
      <c r="R27" s="4225"/>
      <c r="S27" s="4225"/>
      <c r="T27" s="4225"/>
      <c r="U27" s="4225"/>
      <c r="V27" s="4225"/>
      <c r="W27" s="4225"/>
      <c r="X27" s="4225"/>
      <c r="Y27" s="4225"/>
      <c r="Z27" s="4225"/>
      <c r="AA27" s="4225"/>
      <c r="AB27" s="4225"/>
      <c r="AC27" s="4225"/>
      <c r="AD27" s="4225"/>
      <c r="AE27" s="861"/>
      <c r="AF27" s="4225"/>
      <c r="AG27" s="4225"/>
      <c r="AH27" s="4225"/>
      <c r="AI27" s="4225"/>
      <c r="AJ27" s="4225"/>
      <c r="AK27" s="4225"/>
      <c r="AL27" s="4225"/>
      <c r="AM27" s="4225"/>
      <c r="AN27" s="4225"/>
      <c r="AO27" s="4225"/>
      <c r="AP27" s="4225"/>
      <c r="AQ27" s="4225"/>
      <c r="AR27" s="4225"/>
      <c r="AS27" s="4225"/>
      <c r="AT27" s="4225"/>
      <c r="AU27" s="4225"/>
      <c r="AV27" s="4225"/>
      <c r="AW27" s="861"/>
      <c r="AX27" s="4225"/>
      <c r="AY27" s="4225"/>
      <c r="AZ27" s="4225"/>
      <c r="BA27" s="4225"/>
      <c r="BB27" s="4225"/>
      <c r="BC27" s="4225"/>
      <c r="BD27" s="4225"/>
      <c r="BE27" s="4225"/>
      <c r="BF27" s="4225"/>
      <c r="BG27" s="4225"/>
      <c r="BH27" s="4225"/>
      <c r="BI27" s="4225"/>
      <c r="BJ27" s="4225"/>
      <c r="BK27" s="4225"/>
      <c r="BL27" s="4225"/>
      <c r="BM27" s="4225"/>
      <c r="BN27" s="373"/>
      <c r="BO27" s="17"/>
      <c r="BP27" s="341" t="str">
        <f t="shared" ca="1" si="22"/>
        <v>Í</v>
      </c>
      <c r="BQ27" s="336"/>
      <c r="BR27" s="336"/>
      <c r="BS27" s="336"/>
      <c r="BT27" s="336"/>
      <c r="BU27" s="336"/>
      <c r="BV27" s="336"/>
      <c r="BW27" s="336"/>
      <c r="BX27" s="336"/>
      <c r="BY27" s="336"/>
      <c r="BZ27" s="340">
        <v>7</v>
      </c>
      <c r="CA27" s="825">
        <f t="shared" si="2"/>
        <v>0</v>
      </c>
      <c r="CB27" s="343">
        <f t="shared" si="3"/>
        <v>0</v>
      </c>
      <c r="CC27" s="344">
        <f t="shared" si="4"/>
        <v>0</v>
      </c>
      <c r="CD27" s="343"/>
      <c r="CE27" s="343">
        <f t="shared" ca="1" si="5"/>
        <v>0</v>
      </c>
      <c r="CF27" s="344">
        <f t="shared" ca="1" si="6"/>
        <v>0</v>
      </c>
      <c r="CG27" s="345"/>
      <c r="CH27" s="343">
        <f t="shared" ca="1" si="18"/>
        <v>1</v>
      </c>
      <c r="CI27" s="3223">
        <v>7</v>
      </c>
      <c r="CJ27" s="346">
        <f>IF(AND(SUM($CB28:$CB$33)&gt;0,CB27&gt;0),AVERAGE($CB28:$CB$33), 0)</f>
        <v>0</v>
      </c>
      <c r="CK27" s="344">
        <f t="shared" si="0"/>
        <v>0</v>
      </c>
      <c r="CL27" s="347"/>
      <c r="CM27" s="343">
        <f t="shared" ca="1" si="7"/>
        <v>0</v>
      </c>
      <c r="CN27" s="343">
        <f t="shared" ca="1" si="8"/>
        <v>0</v>
      </c>
      <c r="CO27" s="343">
        <f t="shared" ca="1" si="9"/>
        <v>0</v>
      </c>
      <c r="CP27" s="343">
        <f t="shared" ca="1" si="10"/>
        <v>0</v>
      </c>
      <c r="CQ27" s="343">
        <f t="shared" ca="1" si="11"/>
        <v>0</v>
      </c>
      <c r="CR27" s="343">
        <f t="shared" ca="1" si="12"/>
        <v>0</v>
      </c>
      <c r="CT27" s="36" t="s">
        <v>513</v>
      </c>
      <c r="DF27" s="1520">
        <f t="shared" si="13"/>
        <v>7</v>
      </c>
      <c r="DG27" s="1521">
        <f t="shared" ca="1" si="14"/>
        <v>0</v>
      </c>
      <c r="DH27" s="262">
        <f t="shared" si="15"/>
        <v>0</v>
      </c>
      <c r="DK27" s="34"/>
    </row>
    <row r="28" spans="1:120" ht="17.100000000000001" customHeight="1" x14ac:dyDescent="0.2">
      <c r="A28" s="825">
        <f t="shared" si="16"/>
        <v>0</v>
      </c>
      <c r="B28" s="1520">
        <v>6</v>
      </c>
      <c r="C28" s="336"/>
      <c r="D28" s="336"/>
      <c r="E28" s="336"/>
      <c r="F28" s="336"/>
      <c r="G28" s="336"/>
      <c r="H28" s="336"/>
      <c r="I28" s="336"/>
      <c r="J28" s="336"/>
      <c r="K28" s="336"/>
      <c r="L28" s="341" t="str">
        <f t="shared" ca="1" si="17"/>
        <v>Í</v>
      </c>
      <c r="M28" s="17"/>
      <c r="N28" s="372"/>
      <c r="O28" s="4225"/>
      <c r="P28" s="4225"/>
      <c r="Q28" s="4225"/>
      <c r="R28" s="4225"/>
      <c r="S28" s="4225"/>
      <c r="T28" s="4225"/>
      <c r="U28" s="4225"/>
      <c r="V28" s="4225"/>
      <c r="W28" s="4225"/>
      <c r="X28" s="4225"/>
      <c r="Y28" s="4225"/>
      <c r="Z28" s="4225"/>
      <c r="AA28" s="4225"/>
      <c r="AB28" s="4225"/>
      <c r="AC28" s="4225"/>
      <c r="AD28" s="4225"/>
      <c r="AE28" s="861"/>
      <c r="AF28" s="4225"/>
      <c r="AG28" s="4225"/>
      <c r="AH28" s="4225"/>
      <c r="AI28" s="4225"/>
      <c r="AJ28" s="4225"/>
      <c r="AK28" s="4225"/>
      <c r="AL28" s="4225"/>
      <c r="AM28" s="4225"/>
      <c r="AN28" s="4225"/>
      <c r="AO28" s="4225"/>
      <c r="AP28" s="4225"/>
      <c r="AQ28" s="4225"/>
      <c r="AR28" s="4225"/>
      <c r="AS28" s="4225"/>
      <c r="AT28" s="4225"/>
      <c r="AU28" s="4225"/>
      <c r="AV28" s="4225"/>
      <c r="AW28" s="861"/>
      <c r="AX28" s="4225"/>
      <c r="AY28" s="4225"/>
      <c r="AZ28" s="4225"/>
      <c r="BA28" s="4225"/>
      <c r="BB28" s="4225"/>
      <c r="BC28" s="4225"/>
      <c r="BD28" s="4225"/>
      <c r="BE28" s="4225"/>
      <c r="BF28" s="4225"/>
      <c r="BG28" s="4225"/>
      <c r="BH28" s="4225"/>
      <c r="BI28" s="4225"/>
      <c r="BJ28" s="4225"/>
      <c r="BK28" s="4225"/>
      <c r="BL28" s="4225"/>
      <c r="BM28" s="4225"/>
      <c r="BN28" s="373"/>
      <c r="BO28" s="17"/>
      <c r="BP28" s="341" t="str">
        <f t="shared" ca="1" si="22"/>
        <v>Í</v>
      </c>
      <c r="BQ28" s="336"/>
      <c r="BR28" s="336"/>
      <c r="BS28" s="336"/>
      <c r="BT28" s="336"/>
      <c r="BU28" s="336"/>
      <c r="BV28" s="336"/>
      <c r="BW28" s="336"/>
      <c r="BX28" s="336"/>
      <c r="BY28" s="336"/>
      <c r="BZ28" s="340">
        <v>6</v>
      </c>
      <c r="CA28" s="825">
        <f t="shared" si="2"/>
        <v>0</v>
      </c>
      <c r="CB28" s="343">
        <f t="shared" si="3"/>
        <v>0</v>
      </c>
      <c r="CC28" s="344">
        <f t="shared" si="4"/>
        <v>0</v>
      </c>
      <c r="CD28" s="343"/>
      <c r="CE28" s="343">
        <f t="shared" ca="1" si="5"/>
        <v>0</v>
      </c>
      <c r="CF28" s="344">
        <f t="shared" ca="1" si="6"/>
        <v>0</v>
      </c>
      <c r="CG28" s="345"/>
      <c r="CH28" s="343">
        <f t="shared" ca="1" si="18"/>
        <v>1</v>
      </c>
      <c r="CI28" s="3223">
        <v>6</v>
      </c>
      <c r="CJ28" s="346">
        <f>IF(AND(SUM($CB29:$CB$33)&gt;0,CB28&gt;0),AVERAGE($CB29:$CB$33), 0)</f>
        <v>0</v>
      </c>
      <c r="CK28" s="344">
        <f t="shared" si="0"/>
        <v>0</v>
      </c>
      <c r="CL28" s="347"/>
      <c r="CM28" s="343">
        <f t="shared" ca="1" si="7"/>
        <v>0</v>
      </c>
      <c r="CN28" s="343">
        <f t="shared" ca="1" si="8"/>
        <v>0</v>
      </c>
      <c r="CO28" s="343">
        <f t="shared" ca="1" si="9"/>
        <v>0</v>
      </c>
      <c r="CP28" s="343">
        <f t="shared" ca="1" si="10"/>
        <v>0</v>
      </c>
      <c r="CQ28" s="343">
        <f t="shared" ca="1" si="11"/>
        <v>0</v>
      </c>
      <c r="CR28" s="343">
        <f t="shared" ca="1" si="12"/>
        <v>0</v>
      </c>
      <c r="CT28" s="374">
        <v>2</v>
      </c>
      <c r="CU28" s="36" t="s">
        <v>512</v>
      </c>
      <c r="DF28" s="1520">
        <f t="shared" si="13"/>
        <v>6</v>
      </c>
      <c r="DG28" s="1521">
        <f t="shared" ca="1" si="14"/>
        <v>0</v>
      </c>
      <c r="DH28" s="262">
        <f t="shared" si="15"/>
        <v>0</v>
      </c>
      <c r="DK28" s="3114" t="s">
        <v>9</v>
      </c>
    </row>
    <row r="29" spans="1:120" ht="17.100000000000001" customHeight="1" x14ac:dyDescent="0.15">
      <c r="A29" s="825">
        <f t="shared" si="16"/>
        <v>0</v>
      </c>
      <c r="B29" s="1520">
        <v>5</v>
      </c>
      <c r="C29" s="336"/>
      <c r="D29" s="336"/>
      <c r="E29" s="336"/>
      <c r="F29" s="336"/>
      <c r="G29" s="336"/>
      <c r="H29" s="336"/>
      <c r="I29" s="336"/>
      <c r="J29" s="336"/>
      <c r="K29" s="336"/>
      <c r="L29" s="341" t="str">
        <f t="shared" ca="1" si="17"/>
        <v>Í</v>
      </c>
      <c r="M29" s="17"/>
      <c r="N29" s="372"/>
      <c r="O29" s="4225"/>
      <c r="P29" s="4225"/>
      <c r="Q29" s="4225"/>
      <c r="R29" s="4225"/>
      <c r="S29" s="4225"/>
      <c r="T29" s="4225"/>
      <c r="U29" s="4225"/>
      <c r="V29" s="4225"/>
      <c r="W29" s="4225"/>
      <c r="X29" s="4225"/>
      <c r="Y29" s="4225"/>
      <c r="Z29" s="4225"/>
      <c r="AA29" s="4225"/>
      <c r="AB29" s="4225"/>
      <c r="AC29" s="4225"/>
      <c r="AD29" s="4225"/>
      <c r="AE29" s="861"/>
      <c r="AF29" s="4225"/>
      <c r="AG29" s="4225"/>
      <c r="AH29" s="4225"/>
      <c r="AI29" s="4225"/>
      <c r="AJ29" s="4225"/>
      <c r="AK29" s="4225"/>
      <c r="AL29" s="4225"/>
      <c r="AM29" s="4225"/>
      <c r="AN29" s="4225"/>
      <c r="AO29" s="4225"/>
      <c r="AP29" s="4225"/>
      <c r="AQ29" s="4225"/>
      <c r="AR29" s="4225"/>
      <c r="AS29" s="4225"/>
      <c r="AT29" s="4225"/>
      <c r="AU29" s="4225"/>
      <c r="AV29" s="4225"/>
      <c r="AW29" s="861"/>
      <c r="AX29" s="4225"/>
      <c r="AY29" s="4225"/>
      <c r="AZ29" s="4225"/>
      <c r="BA29" s="4225"/>
      <c r="BB29" s="4225"/>
      <c r="BC29" s="4225"/>
      <c r="BD29" s="4225"/>
      <c r="BE29" s="4225"/>
      <c r="BF29" s="4225"/>
      <c r="BG29" s="4225"/>
      <c r="BH29" s="4225"/>
      <c r="BI29" s="4225"/>
      <c r="BJ29" s="4225"/>
      <c r="BK29" s="4225"/>
      <c r="BL29" s="4225"/>
      <c r="BM29" s="4225"/>
      <c r="BN29" s="373"/>
      <c r="BO29" s="17"/>
      <c r="BP29" s="341" t="str">
        <f t="shared" ca="1" si="22"/>
        <v>Í</v>
      </c>
      <c r="BQ29" s="336"/>
      <c r="BR29" s="336"/>
      <c r="BS29" s="336"/>
      <c r="BT29" s="336"/>
      <c r="BU29" s="336"/>
      <c r="BV29" s="336"/>
      <c r="BW29" s="336"/>
      <c r="BX29" s="336"/>
      <c r="BY29" s="336"/>
      <c r="BZ29" s="340">
        <v>5</v>
      </c>
      <c r="CA29" s="825">
        <f t="shared" si="2"/>
        <v>0</v>
      </c>
      <c r="CB29" s="343">
        <f t="shared" si="3"/>
        <v>0</v>
      </c>
      <c r="CC29" s="344">
        <f t="shared" si="4"/>
        <v>0</v>
      </c>
      <c r="CD29" s="343"/>
      <c r="CE29" s="343">
        <f t="shared" ca="1" si="5"/>
        <v>0</v>
      </c>
      <c r="CF29" s="344">
        <f t="shared" ca="1" si="6"/>
        <v>0</v>
      </c>
      <c r="CG29" s="345"/>
      <c r="CH29" s="343">
        <f t="shared" ca="1" si="18"/>
        <v>1</v>
      </c>
      <c r="CI29" s="3223">
        <v>5</v>
      </c>
      <c r="CJ29" s="346">
        <f>IF(AND(SUM($CB30:$CB$33)&gt;0,CB29&gt;0),AVERAGE($CB30:$CB$33), 0)</f>
        <v>0</v>
      </c>
      <c r="CK29" s="344">
        <f t="shared" si="0"/>
        <v>0</v>
      </c>
      <c r="CL29" s="347"/>
      <c r="CM29" s="343">
        <f t="shared" ca="1" si="7"/>
        <v>0</v>
      </c>
      <c r="CN29" s="343">
        <f t="shared" ca="1" si="8"/>
        <v>0</v>
      </c>
      <c r="CO29" s="343">
        <f t="shared" ca="1" si="9"/>
        <v>0</v>
      </c>
      <c r="CP29" s="343">
        <f t="shared" ca="1" si="10"/>
        <v>0</v>
      </c>
      <c r="CQ29" s="343">
        <f t="shared" ca="1" si="11"/>
        <v>0</v>
      </c>
      <c r="CR29" s="343">
        <f t="shared" ca="1" si="12"/>
        <v>0</v>
      </c>
      <c r="CT29" s="374">
        <f>CT28*60</f>
        <v>120</v>
      </c>
      <c r="CU29" s="36" t="s">
        <v>69</v>
      </c>
      <c r="DF29" s="1520">
        <f t="shared" si="13"/>
        <v>5</v>
      </c>
      <c r="DG29" s="1521">
        <f t="shared" ca="1" si="14"/>
        <v>0</v>
      </c>
      <c r="DH29" s="262">
        <f t="shared" si="15"/>
        <v>0</v>
      </c>
      <c r="DK29" s="39" t="s">
        <v>2063</v>
      </c>
    </row>
    <row r="30" spans="1:120" ht="17.100000000000001" customHeight="1" x14ac:dyDescent="0.15">
      <c r="A30" s="825">
        <f t="shared" si="16"/>
        <v>0</v>
      </c>
      <c r="B30" s="1520">
        <v>4</v>
      </c>
      <c r="C30" s="336"/>
      <c r="D30" s="336"/>
      <c r="E30" s="336"/>
      <c r="F30" s="336"/>
      <c r="G30" s="336"/>
      <c r="H30" s="336"/>
      <c r="I30" s="336"/>
      <c r="J30" s="336"/>
      <c r="K30" s="336"/>
      <c r="L30" s="341" t="str">
        <f t="shared" ca="1" si="17"/>
        <v>Í</v>
      </c>
      <c r="M30" s="17"/>
      <c r="N30" s="372"/>
      <c r="O30" s="862"/>
      <c r="P30" s="862"/>
      <c r="Q30" s="862"/>
      <c r="R30" s="862"/>
      <c r="S30" s="862"/>
      <c r="T30" s="862"/>
      <c r="U30" s="862"/>
      <c r="V30" s="862"/>
      <c r="W30" s="862"/>
      <c r="X30" s="862"/>
      <c r="Y30" s="862"/>
      <c r="Z30" s="862"/>
      <c r="AA30" s="862"/>
      <c r="AB30" s="862"/>
      <c r="AC30" s="862"/>
      <c r="AD30" s="862"/>
      <c r="AE30" s="861"/>
      <c r="AF30" s="4225"/>
      <c r="AG30" s="4225"/>
      <c r="AH30" s="4225"/>
      <c r="AI30" s="4225"/>
      <c r="AJ30" s="4225"/>
      <c r="AK30" s="4225"/>
      <c r="AL30" s="4225"/>
      <c r="AM30" s="4225"/>
      <c r="AN30" s="4225"/>
      <c r="AO30" s="4225"/>
      <c r="AP30" s="4225"/>
      <c r="AQ30" s="4225"/>
      <c r="AR30" s="4225"/>
      <c r="AS30" s="4225"/>
      <c r="AT30" s="4225"/>
      <c r="AU30" s="4225"/>
      <c r="AV30" s="4225"/>
      <c r="AW30" s="861"/>
      <c r="AX30" s="862"/>
      <c r="AY30" s="862"/>
      <c r="AZ30" s="862"/>
      <c r="BA30" s="862"/>
      <c r="BB30" s="862"/>
      <c r="BC30" s="862"/>
      <c r="BD30" s="862"/>
      <c r="BE30" s="862"/>
      <c r="BF30" s="862"/>
      <c r="BG30" s="862"/>
      <c r="BH30" s="862"/>
      <c r="BI30" s="862"/>
      <c r="BJ30" s="862"/>
      <c r="BK30" s="862"/>
      <c r="BL30" s="862"/>
      <c r="BM30" s="862"/>
      <c r="BN30" s="373"/>
      <c r="BO30" s="17"/>
      <c r="BP30" s="341" t="str">
        <f t="shared" ca="1" si="22"/>
        <v>Í</v>
      </c>
      <c r="BQ30" s="336"/>
      <c r="BR30" s="336"/>
      <c r="BS30" s="336"/>
      <c r="BT30" s="336"/>
      <c r="BU30" s="336"/>
      <c r="BV30" s="336"/>
      <c r="BW30" s="336"/>
      <c r="BX30" s="336"/>
      <c r="BY30" s="336"/>
      <c r="BZ30" s="340">
        <v>4</v>
      </c>
      <c r="CA30" s="825">
        <f t="shared" si="2"/>
        <v>0</v>
      </c>
      <c r="CB30" s="343">
        <f t="shared" si="3"/>
        <v>0</v>
      </c>
      <c r="CC30" s="344">
        <f t="shared" si="4"/>
        <v>0</v>
      </c>
      <c r="CD30" s="343"/>
      <c r="CE30" s="343">
        <f t="shared" ca="1" si="5"/>
        <v>0</v>
      </c>
      <c r="CF30" s="344">
        <f t="shared" ca="1" si="6"/>
        <v>0</v>
      </c>
      <c r="CG30" s="345"/>
      <c r="CH30" s="343">
        <f t="shared" ca="1" si="18"/>
        <v>1</v>
      </c>
      <c r="CI30" s="3223">
        <v>4</v>
      </c>
      <c r="CJ30" s="346">
        <f>IF(AND(SUM($CB31:$CB$33)&gt;0,CB30&gt;0),AVERAGE($CB31:$CB$33), 0)</f>
        <v>0</v>
      </c>
      <c r="CK30" s="344">
        <f t="shared" si="0"/>
        <v>0</v>
      </c>
      <c r="CL30" s="347"/>
      <c r="CM30" s="343">
        <f t="shared" ca="1" si="7"/>
        <v>0</v>
      </c>
      <c r="CN30" s="343">
        <f t="shared" ca="1" si="8"/>
        <v>0</v>
      </c>
      <c r="CO30" s="343">
        <f t="shared" ca="1" si="9"/>
        <v>0</v>
      </c>
      <c r="CP30" s="343">
        <f t="shared" ca="1" si="10"/>
        <v>0</v>
      </c>
      <c r="CQ30" s="343">
        <f t="shared" ca="1" si="11"/>
        <v>0</v>
      </c>
      <c r="CR30" s="343">
        <f t="shared" ca="1" si="12"/>
        <v>0</v>
      </c>
      <c r="DF30" s="1520">
        <f t="shared" si="13"/>
        <v>4</v>
      </c>
      <c r="DG30" s="1521">
        <f t="shared" ca="1" si="14"/>
        <v>0</v>
      </c>
      <c r="DH30" s="262">
        <f t="shared" si="15"/>
        <v>0</v>
      </c>
      <c r="DK30" s="1633" t="s">
        <v>2064</v>
      </c>
    </row>
    <row r="31" spans="1:120" ht="17.100000000000001" customHeight="1" x14ac:dyDescent="0.15">
      <c r="A31" s="825">
        <f t="shared" si="16"/>
        <v>0</v>
      </c>
      <c r="B31" s="1520">
        <v>3</v>
      </c>
      <c r="C31" s="336"/>
      <c r="D31" s="336"/>
      <c r="E31" s="336"/>
      <c r="F31" s="336"/>
      <c r="G31" s="336"/>
      <c r="H31" s="336"/>
      <c r="I31" s="336"/>
      <c r="J31" s="336"/>
      <c r="K31" s="336"/>
      <c r="L31" s="341" t="str">
        <f t="shared" ca="1" si="17"/>
        <v>Í</v>
      </c>
      <c r="M31" s="17"/>
      <c r="N31" s="372"/>
      <c r="O31" s="4225" t="str">
        <f ca="1">IFERROR(INDEX(data!$IL$23:$IW$54,PLANS!$B$1, _xlfn.IFS(PLANS!$C$1&lt;=6,PLANS!$C$1+2,PLANS!$C$1&gt;6,PLANS!$C$1-2)),"")</f>
        <v/>
      </c>
      <c r="P31" s="4225"/>
      <c r="Q31" s="4225"/>
      <c r="R31" s="4225"/>
      <c r="S31" s="4225"/>
      <c r="T31" s="4225"/>
      <c r="U31" s="4225"/>
      <c r="V31" s="4225"/>
      <c r="W31" s="4225"/>
      <c r="X31" s="4225"/>
      <c r="Y31" s="4225"/>
      <c r="Z31" s="4225"/>
      <c r="AA31" s="4225"/>
      <c r="AB31" s="4225"/>
      <c r="AC31" s="4225"/>
      <c r="AD31" s="4225"/>
      <c r="AE31" s="861"/>
      <c r="AF31" s="4225"/>
      <c r="AG31" s="4225"/>
      <c r="AH31" s="4225"/>
      <c r="AI31" s="4225"/>
      <c r="AJ31" s="4225"/>
      <c r="AK31" s="4225"/>
      <c r="AL31" s="4225"/>
      <c r="AM31" s="4225"/>
      <c r="AN31" s="4225"/>
      <c r="AO31" s="4225"/>
      <c r="AP31" s="4225"/>
      <c r="AQ31" s="4225"/>
      <c r="AR31" s="4225"/>
      <c r="AS31" s="4225"/>
      <c r="AT31" s="4225"/>
      <c r="AU31" s="4225"/>
      <c r="AV31" s="4225"/>
      <c r="AW31" s="861"/>
      <c r="AX31" s="4225" t="str">
        <f ca="1">IFERROR(_xlfn.SINGLE(INDEX(data!$IL$23:$IW$54,PLANS!$B$1,_xlfn.SINGLE( _xlfn.IFS(PLANS!$C$1&lt;=6,PLANS!$C$1+6,PLANS!$C$1&gt;6,PLANS!$C$1-6) ))),"")</f>
        <v/>
      </c>
      <c r="AY31" s="4225"/>
      <c r="AZ31" s="4225"/>
      <c r="BA31" s="4225"/>
      <c r="BB31" s="4225"/>
      <c r="BC31" s="4225"/>
      <c r="BD31" s="4225"/>
      <c r="BE31" s="4225"/>
      <c r="BF31" s="4225"/>
      <c r="BG31" s="4225"/>
      <c r="BH31" s="4225"/>
      <c r="BI31" s="4225"/>
      <c r="BJ31" s="4225"/>
      <c r="BK31" s="4225"/>
      <c r="BL31" s="4225"/>
      <c r="BM31" s="4225"/>
      <c r="BN31" s="373"/>
      <c r="BO31" s="17"/>
      <c r="BP31" s="341" t="str">
        <f t="shared" ca="1" si="22"/>
        <v>Í</v>
      </c>
      <c r="BQ31" s="336"/>
      <c r="BR31" s="336"/>
      <c r="BS31" s="336"/>
      <c r="BT31" s="336"/>
      <c r="BU31" s="336"/>
      <c r="BV31" s="336"/>
      <c r="BW31" s="336"/>
      <c r="BX31" s="336"/>
      <c r="BY31" s="336"/>
      <c r="BZ31" s="340">
        <v>3</v>
      </c>
      <c r="CA31" s="825">
        <f t="shared" si="2"/>
        <v>0</v>
      </c>
      <c r="CB31" s="343">
        <f t="shared" si="3"/>
        <v>0</v>
      </c>
      <c r="CC31" s="344">
        <f t="shared" si="4"/>
        <v>0</v>
      </c>
      <c r="CD31" s="343"/>
      <c r="CE31" s="343">
        <f t="shared" ca="1" si="5"/>
        <v>0</v>
      </c>
      <c r="CF31" s="344">
        <f t="shared" ca="1" si="6"/>
        <v>0</v>
      </c>
      <c r="CG31" s="345"/>
      <c r="CH31" s="343">
        <f t="shared" ca="1" si="18"/>
        <v>1</v>
      </c>
      <c r="CI31" s="3223">
        <v>3</v>
      </c>
      <c r="CJ31" s="346">
        <f>IF(AND(SUM($CB32:$CB$33)&gt;0,CB31&gt;0),AVERAGE($CB32:$CB$33), 0)</f>
        <v>0</v>
      </c>
      <c r="CK31" s="344">
        <f t="shared" si="0"/>
        <v>0</v>
      </c>
      <c r="CL31" s="347"/>
      <c r="CM31" s="343">
        <f t="shared" ca="1" si="7"/>
        <v>0</v>
      </c>
      <c r="CN31" s="343">
        <f t="shared" ca="1" si="8"/>
        <v>0</v>
      </c>
      <c r="CO31" s="343">
        <f t="shared" ca="1" si="9"/>
        <v>0</v>
      </c>
      <c r="CP31" s="343">
        <f t="shared" ca="1" si="10"/>
        <v>0</v>
      </c>
      <c r="CQ31" s="343">
        <f t="shared" ca="1" si="11"/>
        <v>0</v>
      </c>
      <c r="CR31" s="343">
        <f t="shared" ca="1" si="12"/>
        <v>0</v>
      </c>
      <c r="CT31" s="36" t="s">
        <v>934</v>
      </c>
      <c r="DF31" s="1520">
        <f t="shared" si="13"/>
        <v>3</v>
      </c>
      <c r="DG31" s="1521">
        <f t="shared" ca="1" si="14"/>
        <v>0</v>
      </c>
      <c r="DH31" s="262">
        <f t="shared" si="15"/>
        <v>0</v>
      </c>
      <c r="DK31" s="509">
        <f>DAY('^'!$CC$29)</f>
        <v>0</v>
      </c>
    </row>
    <row r="32" spans="1:120" ht="17.100000000000001" customHeight="1" x14ac:dyDescent="0.15">
      <c r="A32" s="825">
        <f t="shared" si="16"/>
        <v>0</v>
      </c>
      <c r="B32" s="1520">
        <v>2</v>
      </c>
      <c r="C32" s="336"/>
      <c r="D32" s="336"/>
      <c r="E32" s="336"/>
      <c r="F32" s="336"/>
      <c r="G32" s="336"/>
      <c r="H32" s="336"/>
      <c r="I32" s="336"/>
      <c r="J32" s="336"/>
      <c r="K32" s="336"/>
      <c r="L32" s="341" t="str">
        <f t="shared" ca="1" si="17"/>
        <v>Í</v>
      </c>
      <c r="M32" s="17"/>
      <c r="N32" s="372"/>
      <c r="O32" s="4225"/>
      <c r="P32" s="4225"/>
      <c r="Q32" s="4225"/>
      <c r="R32" s="4225"/>
      <c r="S32" s="4225"/>
      <c r="T32" s="4225"/>
      <c r="U32" s="4225"/>
      <c r="V32" s="4225"/>
      <c r="W32" s="4225"/>
      <c r="X32" s="4225"/>
      <c r="Y32" s="4225"/>
      <c r="Z32" s="4225"/>
      <c r="AA32" s="4225"/>
      <c r="AB32" s="4225"/>
      <c r="AC32" s="4225"/>
      <c r="AD32" s="4225"/>
      <c r="AE32" s="861"/>
      <c r="AF32" s="4225"/>
      <c r="AG32" s="4225"/>
      <c r="AH32" s="4225"/>
      <c r="AI32" s="4225"/>
      <c r="AJ32" s="4225"/>
      <c r="AK32" s="4225"/>
      <c r="AL32" s="4225"/>
      <c r="AM32" s="4225"/>
      <c r="AN32" s="4225"/>
      <c r="AO32" s="4225"/>
      <c r="AP32" s="4225"/>
      <c r="AQ32" s="4225"/>
      <c r="AR32" s="4225"/>
      <c r="AS32" s="4225"/>
      <c r="AT32" s="4225"/>
      <c r="AU32" s="4225"/>
      <c r="AV32" s="4225"/>
      <c r="AW32" s="861"/>
      <c r="AX32" s="4225"/>
      <c r="AY32" s="4225"/>
      <c r="AZ32" s="4225"/>
      <c r="BA32" s="4225"/>
      <c r="BB32" s="4225"/>
      <c r="BC32" s="4225"/>
      <c r="BD32" s="4225"/>
      <c r="BE32" s="4225"/>
      <c r="BF32" s="4225"/>
      <c r="BG32" s="4225"/>
      <c r="BH32" s="4225"/>
      <c r="BI32" s="4225"/>
      <c r="BJ32" s="4225"/>
      <c r="BK32" s="4225"/>
      <c r="BL32" s="4225"/>
      <c r="BM32" s="4225"/>
      <c r="BN32" s="373"/>
      <c r="BO32" s="17"/>
      <c r="BP32" s="341" t="str">
        <f t="shared" ca="1" si="22"/>
        <v>Í</v>
      </c>
      <c r="BQ32" s="336"/>
      <c r="BR32" s="336"/>
      <c r="BS32" s="336"/>
      <c r="BT32" s="336"/>
      <c r="BU32" s="336"/>
      <c r="BV32" s="336"/>
      <c r="BW32" s="336"/>
      <c r="BX32" s="336"/>
      <c r="BY32" s="336"/>
      <c r="BZ32" s="340">
        <v>2</v>
      </c>
      <c r="CA32" s="825">
        <f t="shared" si="2"/>
        <v>0</v>
      </c>
      <c r="CB32" s="343">
        <f t="shared" si="3"/>
        <v>0</v>
      </c>
      <c r="CC32" s="344">
        <f t="shared" si="4"/>
        <v>0</v>
      </c>
      <c r="CD32" s="343"/>
      <c r="CE32" s="343">
        <f t="shared" ca="1" si="5"/>
        <v>0</v>
      </c>
      <c r="CF32" s="344">
        <f t="shared" ca="1" si="6"/>
        <v>0</v>
      </c>
      <c r="CG32" s="345"/>
      <c r="CH32" s="343">
        <f t="shared" ca="1" si="18"/>
        <v>1</v>
      </c>
      <c r="CI32" s="3223">
        <v>2</v>
      </c>
      <c r="CJ32" s="346">
        <f>IF(AND(CB33&gt;0,CB32&gt;0),AVERAGE(CB33), 0)</f>
        <v>0</v>
      </c>
      <c r="CK32" s="344">
        <f t="shared" si="0"/>
        <v>0</v>
      </c>
      <c r="CL32" s="347"/>
      <c r="CM32" s="343">
        <f t="shared" ca="1" si="7"/>
        <v>0</v>
      </c>
      <c r="CN32" s="343">
        <f t="shared" ca="1" si="8"/>
        <v>0</v>
      </c>
      <c r="CO32" s="343">
        <f t="shared" ca="1" si="9"/>
        <v>0</v>
      </c>
      <c r="CP32" s="343">
        <f t="shared" ca="1" si="10"/>
        <v>0</v>
      </c>
      <c r="CQ32" s="343">
        <f t="shared" ca="1" si="11"/>
        <v>0</v>
      </c>
      <c r="CR32" s="343">
        <f t="shared" ca="1" si="12"/>
        <v>0</v>
      </c>
      <c r="CT32" s="374">
        <f>CT33/60</f>
        <v>6</v>
      </c>
      <c r="CU32" s="36" t="s">
        <v>512</v>
      </c>
      <c r="DF32" s="1520">
        <f t="shared" si="13"/>
        <v>2</v>
      </c>
      <c r="DG32" s="1521">
        <f t="shared" ca="1" si="14"/>
        <v>0</v>
      </c>
      <c r="DH32" s="262">
        <f t="shared" si="15"/>
        <v>0</v>
      </c>
    </row>
    <row r="33" spans="1:114" ht="17.100000000000001" customHeight="1" x14ac:dyDescent="0.15">
      <c r="A33" s="825">
        <f>SUM(C33:K33)</f>
        <v>0</v>
      </c>
      <c r="B33" s="1520">
        <v>1</v>
      </c>
      <c r="C33" s="336"/>
      <c r="D33" s="336"/>
      <c r="E33" s="336"/>
      <c r="F33" s="336"/>
      <c r="G33" s="336"/>
      <c r="H33" s="336"/>
      <c r="I33" s="336"/>
      <c r="J33" s="336"/>
      <c r="K33" s="336"/>
      <c r="L33" s="341" t="str">
        <f t="shared" ca="1" si="17"/>
        <v>Í</v>
      </c>
      <c r="M33" s="17"/>
      <c r="N33" s="372"/>
      <c r="O33" s="4225"/>
      <c r="P33" s="4225"/>
      <c r="Q33" s="4225"/>
      <c r="R33" s="4225"/>
      <c r="S33" s="4225"/>
      <c r="T33" s="4225"/>
      <c r="U33" s="4225"/>
      <c r="V33" s="4225"/>
      <c r="W33" s="4225"/>
      <c r="X33" s="4225"/>
      <c r="Y33" s="4225"/>
      <c r="Z33" s="4225"/>
      <c r="AA33" s="4225"/>
      <c r="AB33" s="4225"/>
      <c r="AC33" s="4225"/>
      <c r="AD33" s="4225"/>
      <c r="AE33" s="861"/>
      <c r="AF33" s="4225"/>
      <c r="AG33" s="4225"/>
      <c r="AH33" s="4225"/>
      <c r="AI33" s="4225"/>
      <c r="AJ33" s="4225"/>
      <c r="AK33" s="4225"/>
      <c r="AL33" s="4225"/>
      <c r="AM33" s="4225"/>
      <c r="AN33" s="4225"/>
      <c r="AO33" s="4225"/>
      <c r="AP33" s="4225"/>
      <c r="AQ33" s="4225"/>
      <c r="AR33" s="4225"/>
      <c r="AS33" s="4225"/>
      <c r="AT33" s="4225"/>
      <c r="AU33" s="4225"/>
      <c r="AV33" s="4225"/>
      <c r="AW33" s="861"/>
      <c r="AX33" s="4225"/>
      <c r="AY33" s="4225"/>
      <c r="AZ33" s="4225"/>
      <c r="BA33" s="4225"/>
      <c r="BB33" s="4225"/>
      <c r="BC33" s="4225"/>
      <c r="BD33" s="4225"/>
      <c r="BE33" s="4225"/>
      <c r="BF33" s="4225"/>
      <c r="BG33" s="4225"/>
      <c r="BH33" s="4225"/>
      <c r="BI33" s="4225"/>
      <c r="BJ33" s="4225"/>
      <c r="BK33" s="4225"/>
      <c r="BL33" s="4225"/>
      <c r="BM33" s="4225"/>
      <c r="BN33" s="373"/>
      <c r="BO33" s="17"/>
      <c r="BP33" s="341" t="str">
        <f t="shared" ca="1" si="22"/>
        <v>Í</v>
      </c>
      <c r="BQ33" s="336"/>
      <c r="BR33" s="336"/>
      <c r="BS33" s="336"/>
      <c r="BT33" s="336"/>
      <c r="BU33" s="336"/>
      <c r="BV33" s="336"/>
      <c r="BW33" s="336"/>
      <c r="BX33" s="336"/>
      <c r="BY33" s="336"/>
      <c r="BZ33" s="340">
        <v>1</v>
      </c>
      <c r="CA33" s="825">
        <f>SUM(BQ33:BY33)</f>
        <v>0</v>
      </c>
      <c r="CB33" s="343">
        <f t="shared" si="3"/>
        <v>0</v>
      </c>
      <c r="CC33" s="344">
        <f>ROUNDDOWN(CB33/60,1)</f>
        <v>0</v>
      </c>
      <c r="CD33" s="343"/>
      <c r="CE33" s="343">
        <f t="shared" ca="1" si="5"/>
        <v>0</v>
      </c>
      <c r="CF33" s="344">
        <f t="shared" ca="1" si="6"/>
        <v>0</v>
      </c>
      <c r="CG33" s="345"/>
      <c r="CH33" s="343">
        <f t="shared" ca="1" si="18"/>
        <v>1</v>
      </c>
      <c r="CI33" s="3223">
        <v>1</v>
      </c>
      <c r="CJ33" s="346">
        <f>IF(CB33&gt;0,AVERAGE(ACTIONS!$CB$33), 0)</f>
        <v>0</v>
      </c>
      <c r="CK33" s="344">
        <f>ROUNDDOWN(CJ33/60,1)</f>
        <v>0</v>
      </c>
      <c r="CL33" s="347"/>
      <c r="CM33" s="343">
        <f t="shared" ca="1" si="7"/>
        <v>0</v>
      </c>
      <c r="CN33" s="343">
        <f t="shared" ca="1" si="8"/>
        <v>0</v>
      </c>
      <c r="CO33" s="343">
        <f t="shared" ca="1" si="9"/>
        <v>0</v>
      </c>
      <c r="CP33" s="343">
        <f t="shared" ca="1" si="10"/>
        <v>0</v>
      </c>
      <c r="CQ33" s="343">
        <f t="shared" ca="1" si="11"/>
        <v>0</v>
      </c>
      <c r="CR33" s="343">
        <f t="shared" ca="1" si="12"/>
        <v>0</v>
      </c>
      <c r="CT33" s="374">
        <f>data!$FI$85</f>
        <v>360</v>
      </c>
      <c r="CU33" s="36" t="s">
        <v>69</v>
      </c>
      <c r="DF33" s="1520">
        <f t="shared" si="13"/>
        <v>1</v>
      </c>
      <c r="DG33" s="1521">
        <f t="shared" ca="1" si="14"/>
        <v>0</v>
      </c>
      <c r="DH33" s="262">
        <f>IF(CJ33&gt;=$CT$33,1,0)</f>
        <v>0</v>
      </c>
    </row>
    <row r="34" spans="1:114" ht="17.100000000000001" customHeight="1" x14ac:dyDescent="0.2">
      <c r="A34" s="17"/>
      <c r="B34" s="4193" t="s">
        <v>69</v>
      </c>
      <c r="C34" s="4208" t="str">
        <f>IF($C$44="","MND1",UPPER($C$44))</f>
        <v>MND1</v>
      </c>
      <c r="D34" s="4210" t="str">
        <f>IF($C$45="","MND2",UPPER($C$45))</f>
        <v>MND2</v>
      </c>
      <c r="E34" s="4212" t="str">
        <f>IF($C$46="","MND3",UPPER($C$46))</f>
        <v>MND3</v>
      </c>
      <c r="F34" s="4189" t="str">
        <f>IF($C$47="","MND4",UPPER($C$47))</f>
        <v>MND4</v>
      </c>
      <c r="G34" s="4196" t="str">
        <f>IF($C$48="","MND5",UPPER($C$48))</f>
        <v>MND5</v>
      </c>
      <c r="H34" s="4205" t="str">
        <f>IF($C$49="","MND6",UPPER($C$49))</f>
        <v>MND6</v>
      </c>
      <c r="I34" s="4199" t="str">
        <f>IF($C$50="","MND7",UPPER($C$50))</f>
        <v>MND7</v>
      </c>
      <c r="J34" s="4202" t="str">
        <f>IF($C$51="","MND8",UPPER($C$51))</f>
        <v>MND8</v>
      </c>
      <c r="K34" s="4223" t="str">
        <f>IF($C$52="","MND9",UPPER($C$52))</f>
        <v>MND9</v>
      </c>
      <c r="L34" s="4227" t="s">
        <v>69</v>
      </c>
      <c r="M34" s="17"/>
      <c r="N34" s="372"/>
      <c r="O34" s="4225"/>
      <c r="P34" s="4225"/>
      <c r="Q34" s="4225"/>
      <c r="R34" s="4225"/>
      <c r="S34" s="4225"/>
      <c r="T34" s="4225"/>
      <c r="U34" s="4225"/>
      <c r="V34" s="4225"/>
      <c r="W34" s="4225"/>
      <c r="X34" s="4225"/>
      <c r="Y34" s="4225"/>
      <c r="Z34" s="4225"/>
      <c r="AA34" s="4225"/>
      <c r="AB34" s="4225"/>
      <c r="AC34" s="4225"/>
      <c r="AD34" s="4225"/>
      <c r="AE34" s="861"/>
      <c r="AF34" s="4225"/>
      <c r="AG34" s="4225"/>
      <c r="AH34" s="4225"/>
      <c r="AI34" s="4225"/>
      <c r="AJ34" s="4225"/>
      <c r="AK34" s="4225"/>
      <c r="AL34" s="4225"/>
      <c r="AM34" s="4225"/>
      <c r="AN34" s="4225"/>
      <c r="AO34" s="4225"/>
      <c r="AP34" s="4225"/>
      <c r="AQ34" s="4225"/>
      <c r="AR34" s="4225"/>
      <c r="AS34" s="4225"/>
      <c r="AT34" s="4225"/>
      <c r="AU34" s="4225"/>
      <c r="AV34" s="4225"/>
      <c r="AW34" s="861"/>
      <c r="AX34" s="4225"/>
      <c r="AY34" s="4225"/>
      <c r="AZ34" s="4225"/>
      <c r="BA34" s="4225"/>
      <c r="BB34" s="4225"/>
      <c r="BC34" s="4225"/>
      <c r="BD34" s="4225"/>
      <c r="BE34" s="4225"/>
      <c r="BF34" s="4225"/>
      <c r="BG34" s="4225"/>
      <c r="BH34" s="4225"/>
      <c r="BI34" s="4225"/>
      <c r="BJ34" s="4225"/>
      <c r="BK34" s="4225"/>
      <c r="BL34" s="4225"/>
      <c r="BM34" s="4225"/>
      <c r="BN34" s="373"/>
      <c r="BO34" s="17"/>
      <c r="BP34" s="4193" t="s">
        <v>69</v>
      </c>
      <c r="BQ34" s="4223" t="str">
        <f>IF($BQ$44="","BDY1",UPPER($BQ$44))</f>
        <v>BDY1</v>
      </c>
      <c r="BR34" s="4184" t="str">
        <f>IF($BQ$45="","BDY2",UPPER($BQ$45))</f>
        <v>BDY2</v>
      </c>
      <c r="BS34" s="4171" t="str">
        <f>IF($BQ$46="","BDY3",UPPER($BQ$46))</f>
        <v>BDY3</v>
      </c>
      <c r="BT34" s="4180" t="str">
        <f>IF($BQ$47="","BDY4",UPPER($BQ$47))</f>
        <v>BDY4</v>
      </c>
      <c r="BU34" s="4196" t="str">
        <f>IF($BQ$48="","BDY5",UPPER($BQ$48))</f>
        <v>BDY5</v>
      </c>
      <c r="BV34" s="4189" t="str">
        <f>IF($BQ$49="","BDY6",UPPER($BQ$49))</f>
        <v>BDY6</v>
      </c>
      <c r="BW34" s="4174" t="str">
        <f>IF($BQ$50="","BDY7",UPPER($BQ$50))</f>
        <v>BDY7</v>
      </c>
      <c r="BX34" s="4186" t="str">
        <f>IF($BQ$51="","BDY8",UPPER($BQ$51))</f>
        <v>BDY8</v>
      </c>
      <c r="BY34" s="4177" t="str">
        <f>IF($BQ$52="","BDY9",UPPER($BQ$52))</f>
        <v>BDY9</v>
      </c>
      <c r="BZ34" s="4167" t="s">
        <v>69</v>
      </c>
      <c r="CA34" s="17"/>
      <c r="CB34" s="375"/>
      <c r="CC34" s="376"/>
      <c r="CD34" s="46"/>
      <c r="CE34" s="375"/>
      <c r="CF34" s="375"/>
      <c r="CG34" s="347"/>
      <c r="CH34" s="375"/>
      <c r="CI34" s="375"/>
      <c r="CJ34" s="375"/>
      <c r="CK34" s="347"/>
      <c r="CL34" s="347"/>
      <c r="CM34" s="377" t="s">
        <v>547</v>
      </c>
      <c r="CN34" s="378"/>
      <c r="CO34" s="378"/>
      <c r="CP34" s="379"/>
      <c r="CQ34" s="379"/>
    </row>
    <row r="35" spans="1:114" ht="17.100000000000001" customHeight="1" x14ac:dyDescent="0.15">
      <c r="A35" s="17"/>
      <c r="B35" s="4194"/>
      <c r="C35" s="4209"/>
      <c r="D35" s="4211"/>
      <c r="E35" s="4213"/>
      <c r="F35" s="4190"/>
      <c r="G35" s="4197"/>
      <c r="H35" s="4206"/>
      <c r="I35" s="4200"/>
      <c r="J35" s="4203"/>
      <c r="K35" s="4224"/>
      <c r="L35" s="4228"/>
      <c r="M35" s="17"/>
      <c r="N35" s="372"/>
      <c r="O35" s="4225"/>
      <c r="P35" s="4225"/>
      <c r="Q35" s="4225"/>
      <c r="R35" s="4225"/>
      <c r="S35" s="4225"/>
      <c r="T35" s="4225"/>
      <c r="U35" s="4225"/>
      <c r="V35" s="4225"/>
      <c r="W35" s="4225"/>
      <c r="X35" s="4225"/>
      <c r="Y35" s="4225"/>
      <c r="Z35" s="4225"/>
      <c r="AA35" s="4225"/>
      <c r="AB35" s="4225"/>
      <c r="AC35" s="4225"/>
      <c r="AD35" s="4225"/>
      <c r="AE35" s="861"/>
      <c r="AF35" s="4225"/>
      <c r="AG35" s="4225"/>
      <c r="AH35" s="4225"/>
      <c r="AI35" s="4225"/>
      <c r="AJ35" s="4225"/>
      <c r="AK35" s="4225"/>
      <c r="AL35" s="4225"/>
      <c r="AM35" s="4225"/>
      <c r="AN35" s="4225"/>
      <c r="AO35" s="4225"/>
      <c r="AP35" s="4225"/>
      <c r="AQ35" s="4225"/>
      <c r="AR35" s="4225"/>
      <c r="AS35" s="4225"/>
      <c r="AT35" s="4225"/>
      <c r="AU35" s="4225"/>
      <c r="AV35" s="4225"/>
      <c r="AW35" s="861"/>
      <c r="AX35" s="4225"/>
      <c r="AY35" s="4225"/>
      <c r="AZ35" s="4225"/>
      <c r="BA35" s="4225"/>
      <c r="BB35" s="4225"/>
      <c r="BC35" s="4225"/>
      <c r="BD35" s="4225"/>
      <c r="BE35" s="4225"/>
      <c r="BF35" s="4225"/>
      <c r="BG35" s="4225"/>
      <c r="BH35" s="4225"/>
      <c r="BI35" s="4225"/>
      <c r="BJ35" s="4225"/>
      <c r="BK35" s="4225"/>
      <c r="BL35" s="4225"/>
      <c r="BM35" s="4225"/>
      <c r="BN35" s="373"/>
      <c r="BO35" s="17"/>
      <c r="BP35" s="4194"/>
      <c r="BQ35" s="4224"/>
      <c r="BR35" s="4185"/>
      <c r="BS35" s="4172"/>
      <c r="BT35" s="4181"/>
      <c r="BU35" s="4197"/>
      <c r="BV35" s="4190"/>
      <c r="BW35" s="4175"/>
      <c r="BX35" s="4187"/>
      <c r="BY35" s="4178"/>
      <c r="BZ35" s="4168"/>
      <c r="CA35" s="17"/>
      <c r="CB35" s="46"/>
      <c r="CC35" s="46"/>
      <c r="CD35" s="46"/>
      <c r="CE35" s="46"/>
      <c r="CF35" s="380"/>
      <c r="CG35" s="307" t="s">
        <v>1672</v>
      </c>
      <c r="CH35" s="2562">
        <f ca="1">COUNTIF(CH3:CH33,1)-CI35</f>
        <v>0</v>
      </c>
      <c r="CI35" s="262" cm="1">
        <f t="array" ref="CI35">_xlfn.IFS($DK$26=1,$DK$31-1,DP26=0,31,TRUE,0)</f>
        <v>31</v>
      </c>
      <c r="CM35" s="383">
        <f t="shared" ref="CM35:CR35" ca="1" si="24">SUM(CM3:CM33)</f>
        <v>0</v>
      </c>
      <c r="CN35" s="383">
        <f t="shared" ca="1" si="24"/>
        <v>0</v>
      </c>
      <c r="CO35" s="383">
        <f t="shared" ca="1" si="24"/>
        <v>0</v>
      </c>
      <c r="CP35" s="383">
        <f t="shared" ca="1" si="24"/>
        <v>0</v>
      </c>
      <c r="CQ35" s="383">
        <f t="shared" ca="1" si="24"/>
        <v>0</v>
      </c>
      <c r="CR35" s="383">
        <f t="shared" ca="1" si="24"/>
        <v>0</v>
      </c>
      <c r="CU35" s="384"/>
      <c r="DC35" s="374"/>
      <c r="DD35" s="36"/>
    </row>
    <row r="36" spans="1:114" ht="17.100000000000001" customHeight="1" thickBot="1" x14ac:dyDescent="0.25">
      <c r="A36" s="17"/>
      <c r="B36" s="4195"/>
      <c r="C36" s="4209"/>
      <c r="D36" s="4211"/>
      <c r="E36" s="4213"/>
      <c r="F36" s="4191"/>
      <c r="G36" s="4198"/>
      <c r="H36" s="4207"/>
      <c r="I36" s="4201"/>
      <c r="J36" s="4204"/>
      <c r="K36" s="4224"/>
      <c r="L36" s="4229"/>
      <c r="M36" s="17"/>
      <c r="N36" s="385"/>
      <c r="O36" s="4226"/>
      <c r="P36" s="4226"/>
      <c r="Q36" s="4226"/>
      <c r="R36" s="4226"/>
      <c r="S36" s="4226"/>
      <c r="T36" s="4226"/>
      <c r="U36" s="4226"/>
      <c r="V36" s="4226"/>
      <c r="W36" s="4226"/>
      <c r="X36" s="4226"/>
      <c r="Y36" s="4226"/>
      <c r="Z36" s="4226"/>
      <c r="AA36" s="4226"/>
      <c r="AB36" s="4226"/>
      <c r="AC36" s="4226"/>
      <c r="AD36" s="4226"/>
      <c r="AE36" s="386"/>
      <c r="AF36" s="4226"/>
      <c r="AG36" s="4226"/>
      <c r="AH36" s="4226"/>
      <c r="AI36" s="4226"/>
      <c r="AJ36" s="4226"/>
      <c r="AK36" s="4226"/>
      <c r="AL36" s="4226"/>
      <c r="AM36" s="4226"/>
      <c r="AN36" s="4226"/>
      <c r="AO36" s="4226"/>
      <c r="AP36" s="4226"/>
      <c r="AQ36" s="4226"/>
      <c r="AR36" s="4226"/>
      <c r="AS36" s="4226"/>
      <c r="AT36" s="4226"/>
      <c r="AU36" s="4226"/>
      <c r="AV36" s="4226"/>
      <c r="AW36" s="386"/>
      <c r="AX36" s="4226"/>
      <c r="AY36" s="4226"/>
      <c r="AZ36" s="4226"/>
      <c r="BA36" s="4226"/>
      <c r="BB36" s="4226"/>
      <c r="BC36" s="4226"/>
      <c r="BD36" s="4226"/>
      <c r="BE36" s="4226"/>
      <c r="BF36" s="4226"/>
      <c r="BG36" s="4226"/>
      <c r="BH36" s="4226"/>
      <c r="BI36" s="4226"/>
      <c r="BJ36" s="4226"/>
      <c r="BK36" s="4226"/>
      <c r="BL36" s="4226"/>
      <c r="BM36" s="4226"/>
      <c r="BN36" s="387"/>
      <c r="BO36" s="17"/>
      <c r="BP36" s="4195"/>
      <c r="BQ36" s="4224"/>
      <c r="BR36" s="4185"/>
      <c r="BS36" s="4172"/>
      <c r="BT36" s="4181"/>
      <c r="BU36" s="4198"/>
      <c r="BV36" s="4191"/>
      <c r="BW36" s="4176"/>
      <c r="BX36" s="4188"/>
      <c r="BY36" s="4179"/>
      <c r="BZ36" s="4169"/>
      <c r="CA36" s="17"/>
      <c r="CB36" s="46"/>
      <c r="CC36" s="46"/>
      <c r="CD36" s="46"/>
      <c r="CE36" s="46"/>
      <c r="CF36" s="46"/>
      <c r="CG36" s="388"/>
      <c r="CH36" s="389"/>
      <c r="CI36" s="388"/>
      <c r="CM36" s="2586">
        <v>360</v>
      </c>
      <c r="CN36" s="2586">
        <v>480</v>
      </c>
      <c r="CO36" s="2586">
        <v>600</v>
      </c>
      <c r="CP36" s="2586">
        <v>720</v>
      </c>
      <c r="CQ36" s="2586">
        <v>840</v>
      </c>
      <c r="CR36" s="2586">
        <v>960</v>
      </c>
      <c r="DC36" s="374"/>
      <c r="DD36" s="36"/>
    </row>
    <row r="37" spans="1:114" ht="17.100000000000001" customHeight="1" thickTop="1" x14ac:dyDescent="0.15">
      <c r="A37" s="17"/>
      <c r="B37" s="390"/>
      <c r="C37" s="2806" t="s">
        <v>292</v>
      </c>
      <c r="D37" s="2807" t="s">
        <v>292</v>
      </c>
      <c r="E37" s="2808" t="s">
        <v>292</v>
      </c>
      <c r="F37" s="2809" t="s">
        <v>292</v>
      </c>
      <c r="G37" s="2810" t="s">
        <v>292</v>
      </c>
      <c r="H37" s="2811" t="s">
        <v>292</v>
      </c>
      <c r="I37" s="2812" t="s">
        <v>292</v>
      </c>
      <c r="J37" s="2813" t="s">
        <v>292</v>
      </c>
      <c r="K37" s="2814" t="s">
        <v>292</v>
      </c>
      <c r="L37" s="390"/>
      <c r="M37" s="17"/>
      <c r="N37" s="17"/>
      <c r="O37" s="863"/>
      <c r="P37" s="863"/>
      <c r="Q37" s="863"/>
      <c r="R37" s="863"/>
      <c r="S37" s="863"/>
      <c r="T37" s="863"/>
      <c r="U37" s="863"/>
      <c r="V37" s="863"/>
      <c r="W37" s="863"/>
      <c r="X37" s="863"/>
      <c r="Y37" s="863"/>
      <c r="Z37" s="863"/>
      <c r="AA37" s="863"/>
      <c r="AB37" s="863"/>
      <c r="AC37" s="863"/>
      <c r="AD37" s="863"/>
      <c r="AE37" s="17"/>
      <c r="AF37" s="863"/>
      <c r="AG37" s="863"/>
      <c r="AH37" s="863"/>
      <c r="AI37" s="863"/>
      <c r="AJ37" s="863"/>
      <c r="AK37" s="863"/>
      <c r="AL37" s="863"/>
      <c r="AM37" s="863"/>
      <c r="AN37" s="864"/>
      <c r="AO37" s="863"/>
      <c r="AP37" s="863"/>
      <c r="AQ37" s="863"/>
      <c r="AR37" s="863"/>
      <c r="AS37" s="863"/>
      <c r="AT37" s="863"/>
      <c r="AU37" s="863"/>
      <c r="AV37" s="863"/>
      <c r="AW37" s="17"/>
      <c r="AX37" s="863"/>
      <c r="AY37" s="863"/>
      <c r="AZ37" s="863"/>
      <c r="BA37" s="863"/>
      <c r="BB37" s="863"/>
      <c r="BC37" s="863"/>
      <c r="BD37" s="863"/>
      <c r="BE37" s="863"/>
      <c r="BF37" s="863"/>
      <c r="BG37" s="863"/>
      <c r="BH37" s="863"/>
      <c r="BI37" s="863"/>
      <c r="BJ37" s="863"/>
      <c r="BK37" s="863"/>
      <c r="BL37" s="863"/>
      <c r="BM37" s="863"/>
      <c r="BN37" s="17"/>
      <c r="BO37" s="17"/>
      <c r="BP37" s="390"/>
      <c r="BQ37" s="2814" t="s">
        <v>292</v>
      </c>
      <c r="BR37" s="2813" t="s">
        <v>292</v>
      </c>
      <c r="BS37" s="2812" t="s">
        <v>292</v>
      </c>
      <c r="BT37" s="2811" t="s">
        <v>292</v>
      </c>
      <c r="BU37" s="2810" t="s">
        <v>292</v>
      </c>
      <c r="BV37" s="2809" t="s">
        <v>292</v>
      </c>
      <c r="BW37" s="2808" t="s">
        <v>292</v>
      </c>
      <c r="BX37" s="2807" t="s">
        <v>292</v>
      </c>
      <c r="BY37" s="2806" t="s">
        <v>292</v>
      </c>
      <c r="BZ37" s="400"/>
      <c r="CA37" s="17"/>
      <c r="CG37" s="307" t="s">
        <v>445</v>
      </c>
      <c r="CH37" s="2561">
        <f ca="1">IF(CI37&lt;0,0,CI37)</f>
        <v>3</v>
      </c>
      <c r="CI37" s="2587">
        <f ca="1">IF((SUM($CQ$39,$CQ$81)-$DH$54)&gt;CH39, CH39, SUM($CQ$39,$CQ$81)-$DH$54)</f>
        <v>3</v>
      </c>
      <c r="CU37" s="384"/>
      <c r="DC37" s="374"/>
      <c r="DD37" s="36"/>
    </row>
    <row r="38" spans="1:114" ht="17.100000000000001" customHeight="1" x14ac:dyDescent="0.2">
      <c r="A38" s="17"/>
      <c r="B38" s="17"/>
      <c r="C38" s="32"/>
      <c r="D38" s="17"/>
      <c r="E38" s="17"/>
      <c r="F38" s="17"/>
      <c r="G38" s="31" t="s">
        <v>1</v>
      </c>
      <c r="H38" s="17"/>
      <c r="I38" s="17"/>
      <c r="J38" s="17"/>
      <c r="K38" s="17"/>
      <c r="L38" s="17"/>
      <c r="M38" s="83"/>
      <c r="N38" s="32"/>
      <c r="O38" s="32"/>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31" t="s">
        <v>1</v>
      </c>
      <c r="AO38" s="17"/>
      <c r="AP38" s="17"/>
      <c r="AQ38" s="17"/>
      <c r="AR38" s="17"/>
      <c r="AS38" s="17"/>
      <c r="AT38" s="17"/>
      <c r="AU38" s="17"/>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17"/>
      <c r="BU38" s="31" t="s">
        <v>1</v>
      </c>
      <c r="BV38" s="17"/>
      <c r="BW38" s="17"/>
      <c r="BX38" s="17"/>
      <c r="BY38" s="17"/>
      <c r="BZ38" s="17"/>
      <c r="CA38" s="17"/>
      <c r="CG38" s="388"/>
      <c r="CH38" s="408"/>
    </row>
    <row r="39" spans="1:114" ht="17.100000000000001" customHeight="1" x14ac:dyDescent="0.2">
      <c r="G39" s="33" t="s">
        <v>1</v>
      </c>
      <c r="AN39" s="33" t="s">
        <v>1</v>
      </c>
      <c r="BU39" s="33" t="s">
        <v>1</v>
      </c>
      <c r="CG39" s="304" t="s">
        <v>1671</v>
      </c>
      <c r="CH39" s="509">
        <v>14</v>
      </c>
      <c r="CP39" s="307" t="s">
        <v>454</v>
      </c>
      <c r="CQ39" s="2561">
        <f>data!$CN$37</f>
        <v>3</v>
      </c>
      <c r="CY39" s="314"/>
      <c r="CZ39" s="46"/>
    </row>
    <row r="40" spans="1:114" ht="17.100000000000001" customHeight="1" x14ac:dyDescent="0.15">
      <c r="G40" s="33" t="s">
        <v>1</v>
      </c>
      <c r="AN40" s="33" t="s">
        <v>1</v>
      </c>
      <c r="BU40" s="33" t="s">
        <v>1</v>
      </c>
      <c r="CU40" s="384"/>
      <c r="CY40" s="401"/>
      <c r="CZ40" s="36"/>
    </row>
    <row r="41" spans="1:114" ht="17.100000000000001" customHeight="1" x14ac:dyDescent="0.25">
      <c r="B41" s="402"/>
      <c r="C41" s="403"/>
      <c r="D41" s="403"/>
      <c r="E41" s="403"/>
      <c r="F41" s="403"/>
      <c r="G41" s="403"/>
      <c r="H41" s="403"/>
      <c r="I41" s="403"/>
      <c r="J41" s="403"/>
      <c r="K41" s="403"/>
      <c r="L41" s="404"/>
      <c r="V41" s="405"/>
      <c r="W41" s="406"/>
      <c r="X41" s="406"/>
      <c r="Y41" s="406"/>
      <c r="Z41" s="406"/>
      <c r="AA41" s="406"/>
      <c r="AB41" s="406"/>
      <c r="AC41" s="406"/>
      <c r="AD41" s="406"/>
      <c r="AE41" s="406"/>
      <c r="AF41" s="406"/>
      <c r="AG41" s="406"/>
      <c r="AH41" s="406"/>
      <c r="AI41" s="406"/>
      <c r="AJ41" s="406"/>
      <c r="AK41" s="406"/>
      <c r="AL41" s="406"/>
      <c r="AM41" s="406"/>
      <c r="AN41" s="406"/>
      <c r="AO41" s="406"/>
      <c r="AP41" s="406"/>
      <c r="AQ41" s="406"/>
      <c r="AR41" s="406"/>
      <c r="AS41" s="406"/>
      <c r="AT41" s="406"/>
      <c r="AU41" s="406"/>
      <c r="AV41" s="406"/>
      <c r="AW41" s="406"/>
      <c r="AX41" s="406"/>
      <c r="AY41" s="406"/>
      <c r="AZ41" s="406"/>
      <c r="BA41" s="406"/>
      <c r="BB41" s="406"/>
      <c r="BC41" s="406"/>
      <c r="BD41" s="406"/>
      <c r="BE41" s="406"/>
      <c r="BF41" s="407"/>
      <c r="BP41" s="402"/>
      <c r="BQ41" s="403"/>
      <c r="BR41" s="403"/>
      <c r="BS41" s="403"/>
      <c r="BT41" s="403"/>
      <c r="BU41" s="403"/>
      <c r="BV41" s="403"/>
      <c r="BW41" s="403"/>
      <c r="BX41" s="403"/>
      <c r="BY41" s="403"/>
      <c r="BZ41" s="404"/>
      <c r="CC41" s="227"/>
      <c r="CD41" s="228"/>
      <c r="CE41" s="228"/>
      <c r="CF41" s="228"/>
      <c r="CG41" s="228"/>
      <c r="CH41" s="228"/>
      <c r="CI41" s="228"/>
      <c r="CJ41" s="228"/>
      <c r="CK41" s="2573"/>
      <c r="CL41" s="2574" t="s">
        <v>1643</v>
      </c>
      <c r="CM41" s="2575" t="s">
        <v>949</v>
      </c>
      <c r="CN41" s="2576" t="s">
        <v>1645</v>
      </c>
      <c r="CO41" s="228"/>
      <c r="CP41" s="2577" t="s">
        <v>65</v>
      </c>
      <c r="CQ41" s="2578" t="s">
        <v>1071</v>
      </c>
      <c r="CR41" s="228"/>
      <c r="CS41" s="256"/>
      <c r="CU41" s="227"/>
      <c r="CV41" s="228"/>
      <c r="CW41" s="228"/>
      <c r="CX41" s="228"/>
      <c r="CY41" s="228"/>
      <c r="CZ41" s="228"/>
      <c r="DA41" s="228"/>
      <c r="DB41" s="228"/>
      <c r="DC41" s="2574" t="s">
        <v>1644</v>
      </c>
      <c r="DD41" s="2575" t="s">
        <v>949</v>
      </c>
      <c r="DE41" s="2576" t="s">
        <v>1645</v>
      </c>
      <c r="DF41" s="228"/>
      <c r="DG41" s="2577" t="s">
        <v>65</v>
      </c>
      <c r="DH41" s="2578" t="s">
        <v>488</v>
      </c>
      <c r="DI41" s="228"/>
      <c r="DJ41" s="256"/>
    </row>
    <row r="42" spans="1:114" ht="17.100000000000001" customHeight="1" x14ac:dyDescent="0.25">
      <c r="B42" s="409"/>
      <c r="C42" s="4173" t="s">
        <v>1332</v>
      </c>
      <c r="D42" s="4173"/>
      <c r="E42" s="4173"/>
      <c r="F42" s="4173"/>
      <c r="G42" s="4173"/>
      <c r="H42" s="4173"/>
      <c r="I42" s="4173"/>
      <c r="J42" s="4173"/>
      <c r="K42" s="4173"/>
      <c r="L42" s="410"/>
      <c r="V42" s="411"/>
      <c r="W42" s="412"/>
      <c r="X42" s="4170" t="s">
        <v>73</v>
      </c>
      <c r="Y42" s="4170"/>
      <c r="Z42" s="4170"/>
      <c r="AA42" s="4170"/>
      <c r="AB42" s="4170"/>
      <c r="AC42" s="4170"/>
      <c r="AD42" s="4170"/>
      <c r="AE42" s="4170"/>
      <c r="AF42" s="4170"/>
      <c r="AG42" s="4170"/>
      <c r="AH42" s="4170"/>
      <c r="AI42" s="4170"/>
      <c r="AJ42" s="4170"/>
      <c r="AK42" s="4170"/>
      <c r="AL42" s="4170"/>
      <c r="AM42" s="4170"/>
      <c r="AN42" s="4170"/>
      <c r="AO42" s="4170"/>
      <c r="AP42" s="4170"/>
      <c r="AQ42" s="4170"/>
      <c r="AR42" s="4170"/>
      <c r="AS42" s="4170"/>
      <c r="AT42" s="4170"/>
      <c r="AU42" s="4170"/>
      <c r="AV42" s="4170"/>
      <c r="AW42" s="4170"/>
      <c r="AX42" s="4170"/>
      <c r="AY42" s="4170"/>
      <c r="AZ42" s="4170"/>
      <c r="BA42" s="4170"/>
      <c r="BB42" s="4170"/>
      <c r="BC42" s="4170"/>
      <c r="BD42" s="4170"/>
      <c r="BE42" s="412"/>
      <c r="BF42" s="413"/>
      <c r="BP42" s="409"/>
      <c r="BQ42" s="4173" t="s">
        <v>1341</v>
      </c>
      <c r="BR42" s="4173"/>
      <c r="BS42" s="4173"/>
      <c r="BT42" s="4173"/>
      <c r="BU42" s="4173"/>
      <c r="BV42" s="4173"/>
      <c r="BW42" s="4173"/>
      <c r="BX42" s="4173"/>
      <c r="BY42" s="4173"/>
      <c r="BZ42" s="410"/>
      <c r="CC42" s="242"/>
      <c r="CL42" s="2579"/>
      <c r="CM42" s="496"/>
      <c r="CN42" s="2580"/>
      <c r="CS42" s="299"/>
      <c r="CU42" s="242"/>
      <c r="DC42" s="2585"/>
      <c r="DD42" s="496"/>
      <c r="DE42" s="2580"/>
      <c r="DJ42" s="299"/>
    </row>
    <row r="43" spans="1:114" ht="17.100000000000001" customHeight="1" x14ac:dyDescent="0.15">
      <c r="B43" s="409"/>
      <c r="C43" s="416"/>
      <c r="D43" s="416"/>
      <c r="E43" s="416"/>
      <c r="F43" s="416"/>
      <c r="G43" s="416"/>
      <c r="H43" s="416"/>
      <c r="I43" s="416"/>
      <c r="J43" s="416"/>
      <c r="K43" s="416"/>
      <c r="L43" s="410"/>
      <c r="V43" s="242"/>
      <c r="X43" s="41">
        <f>IF(ISBLANK(PROGRESS!$AH$27),1,0)</f>
        <v>1</v>
      </c>
      <c r="Y43" s="255"/>
      <c r="Z43" s="41">
        <f>PROGRESS!$AW$27</f>
        <v>0</v>
      </c>
      <c r="AA43" s="41"/>
      <c r="AB43" s="41">
        <f ca="1">PROGRESS!$DU$27</f>
        <v>0</v>
      </c>
      <c r="AC43" s="41"/>
      <c r="AD43" s="41"/>
      <c r="AE43" s="41">
        <f>IF(ISBLANK(PROGRESS!$AH$29),1,0)</f>
        <v>1</v>
      </c>
      <c r="AF43" s="255"/>
      <c r="AG43" s="41">
        <f>PROGRESS!$AW$29</f>
        <v>0</v>
      </c>
      <c r="AH43" s="41"/>
      <c r="AI43" s="41">
        <f ca="1">PROGRESS!$DU$28</f>
        <v>0</v>
      </c>
      <c r="AJ43" s="41"/>
      <c r="AK43" s="41"/>
      <c r="AL43" s="41">
        <f>IF(ISBLANK(PROGRESS!$AH$31),1,0)</f>
        <v>1</v>
      </c>
      <c r="AM43" s="255"/>
      <c r="AN43" s="41">
        <f>PROGRESS!$AW$31</f>
        <v>0</v>
      </c>
      <c r="AO43" s="41"/>
      <c r="AP43" s="41">
        <f ca="1">PROGRESS!$DU$29</f>
        <v>0</v>
      </c>
      <c r="AQ43" s="41"/>
      <c r="AR43" s="41"/>
      <c r="AS43" s="41">
        <f>IF(ISBLANK(PROGRESS!$AH$33),1,0)</f>
        <v>1</v>
      </c>
      <c r="AT43" s="255"/>
      <c r="AU43" s="41">
        <f>PROGRESS!$AW$33</f>
        <v>0</v>
      </c>
      <c r="AV43" s="41"/>
      <c r="AW43" s="41">
        <f ca="1">PROGRESS!$DU$30</f>
        <v>0</v>
      </c>
      <c r="AX43" s="41"/>
      <c r="AY43" s="41"/>
      <c r="AZ43" s="41">
        <f>IF(ISBLANK(PROGRESS!$AH$35),1,0)</f>
        <v>1</v>
      </c>
      <c r="BA43" s="255"/>
      <c r="BB43" s="41">
        <f>PROGRESS!$AW$35</f>
        <v>0</v>
      </c>
      <c r="BC43" s="41"/>
      <c r="BD43" s="41">
        <f ca="1">PROGRESS!$DU$31</f>
        <v>0</v>
      </c>
      <c r="BF43" s="299"/>
      <c r="BP43" s="409"/>
      <c r="BQ43" s="416"/>
      <c r="BR43" s="416"/>
      <c r="BS43" s="416"/>
      <c r="BT43" s="416"/>
      <c r="BU43" s="416"/>
      <c r="BV43" s="416"/>
      <c r="BW43" s="416"/>
      <c r="BX43" s="416"/>
      <c r="BY43" s="416"/>
      <c r="BZ43" s="410"/>
      <c r="CC43" s="242"/>
      <c r="CH43" s="307"/>
      <c r="CI43" s="307"/>
      <c r="CJ43" s="307" t="str">
        <f>data!FA25</f>
        <v>NEW MONTH BONUS IF ♥ &gt;= 0.5</v>
      </c>
      <c r="CK43" s="4141">
        <f>data!FI25</f>
        <v>0.5</v>
      </c>
      <c r="CL43" s="4142"/>
      <c r="CM43" s="434" t="s">
        <v>949</v>
      </c>
      <c r="CN43" s="4139">
        <f>IF(DP26=1,IF(DK26=0,IF($CQ$39&gt;=0.5,1,0),0),0)</f>
        <v>0</v>
      </c>
      <c r="CO43" s="4140"/>
      <c r="CP43" s="2581" t="s">
        <v>65</v>
      </c>
      <c r="CQ43" s="2561">
        <f>FLOOR(CN43*CK43,0.5)</f>
        <v>0</v>
      </c>
      <c r="CS43" s="2582"/>
      <c r="CU43" s="242"/>
      <c r="DA43" s="307" t="str">
        <f>data!FA68</f>
        <v>PER SKILL MISSION FAILED</v>
      </c>
      <c r="DB43" s="4141">
        <f>data!FI68</f>
        <v>0.25</v>
      </c>
      <c r="DC43" s="4142"/>
      <c r="DD43" s="434" t="s">
        <v>949</v>
      </c>
      <c r="DE43" s="4139">
        <f ca="1">MISSIONS!$GN$14</f>
        <v>0</v>
      </c>
      <c r="DF43" s="4140"/>
      <c r="DG43" s="2581" t="s">
        <v>65</v>
      </c>
      <c r="DH43" s="2561">
        <f ca="1">FLOOR(DE43*DB43,0.5)</f>
        <v>0</v>
      </c>
      <c r="DJ43" s="2582"/>
    </row>
    <row r="44" spans="1:114" ht="17.100000000000001" customHeight="1" x14ac:dyDescent="0.2">
      <c r="B44" s="417"/>
      <c r="C44" s="4154" t="s">
        <v>2452</v>
      </c>
      <c r="D44" s="4154"/>
      <c r="E44" s="4157" t="s">
        <v>2461</v>
      </c>
      <c r="F44" s="4157"/>
      <c r="G44" s="4157"/>
      <c r="H44" s="4157"/>
      <c r="I44" s="4157"/>
      <c r="J44" s="4157"/>
      <c r="K44" s="4157"/>
      <c r="L44" s="1094"/>
      <c r="V44" s="242"/>
      <c r="X44" s="4231" t="str">
        <f>IF(X43=0,PROGRESS!$AH$27,"")</f>
        <v/>
      </c>
      <c r="Y44" s="4232"/>
      <c r="Z44" s="4232"/>
      <c r="AA44" s="4232"/>
      <c r="AB44" s="4233"/>
      <c r="AC44" s="418"/>
      <c r="AD44" s="418"/>
      <c r="AE44" s="4238" t="str">
        <f>IF(AE43=0,PROGRESS!$AH$29,"")</f>
        <v/>
      </c>
      <c r="AF44" s="4239"/>
      <c r="AG44" s="4239"/>
      <c r="AH44" s="4239"/>
      <c r="AI44" s="4240"/>
      <c r="AJ44" s="418"/>
      <c r="AK44" s="418"/>
      <c r="AL44" s="4238" t="str">
        <f>IF(AL43=0,PROGRESS!$AH$31,"")</f>
        <v/>
      </c>
      <c r="AM44" s="4239"/>
      <c r="AN44" s="4239"/>
      <c r="AO44" s="4239"/>
      <c r="AP44" s="4240"/>
      <c r="AQ44" s="418"/>
      <c r="AR44" s="418"/>
      <c r="AS44" s="4238" t="str">
        <f>IF(AS43=0,PROGRESS!$AH$33,"")</f>
        <v/>
      </c>
      <c r="AT44" s="4239"/>
      <c r="AU44" s="4239"/>
      <c r="AV44" s="4239"/>
      <c r="AW44" s="4240"/>
      <c r="AX44" s="418"/>
      <c r="AY44" s="418"/>
      <c r="AZ44" s="4238" t="str">
        <f>IF(AZ43=0,PROGRESS!$AH$35,"")</f>
        <v/>
      </c>
      <c r="BA44" s="4239"/>
      <c r="BB44" s="4239"/>
      <c r="BC44" s="4239"/>
      <c r="BD44" s="4240"/>
      <c r="BF44" s="299"/>
      <c r="BH44" s="4252" t="s">
        <v>2413</v>
      </c>
      <c r="BI44" s="4252"/>
      <c r="BJ44" s="4252"/>
      <c r="BK44" s="4252"/>
      <c r="BL44" s="4252"/>
      <c r="BM44" s="4252"/>
      <c r="BN44" s="4252"/>
      <c r="BO44" s="326"/>
      <c r="BP44" s="417"/>
      <c r="BQ44" s="4218" t="s">
        <v>2462</v>
      </c>
      <c r="BR44" s="4218"/>
      <c r="BS44" s="4214" t="s">
        <v>2461</v>
      </c>
      <c r="BT44" s="4214"/>
      <c r="BU44" s="4214"/>
      <c r="BV44" s="4214"/>
      <c r="BW44" s="4214"/>
      <c r="BX44" s="4214"/>
      <c r="BY44" s="4214"/>
      <c r="BZ44" s="1102"/>
      <c r="CC44" s="242"/>
      <c r="CH44" s="307"/>
      <c r="CI44" s="307"/>
      <c r="CJ44" s="307" t="str">
        <f>data!FA26</f>
        <v>NEW MONTH BONUS IF ♥ = 0</v>
      </c>
      <c r="CK44" s="4141">
        <f>data!FI26</f>
        <v>1</v>
      </c>
      <c r="CL44" s="4142"/>
      <c r="CM44" s="434" t="s">
        <v>949</v>
      </c>
      <c r="CN44" s="4139">
        <f>IF($CQ$39=0,1,0)</f>
        <v>0</v>
      </c>
      <c r="CO44" s="4140"/>
      <c r="CP44" s="2581" t="s">
        <v>65</v>
      </c>
      <c r="CQ44" s="2561">
        <f>FLOOR(CN44*CK44,0.5)</f>
        <v>0</v>
      </c>
      <c r="CS44" s="2582"/>
      <c r="CU44" s="242"/>
      <c r="DA44" s="307" t="str">
        <f>data!FA69</f>
        <v>PER SING/MTH MISSION FAILED</v>
      </c>
      <c r="DB44" s="4141">
        <f>data!FI69</f>
        <v>0.25</v>
      </c>
      <c r="DC44" s="4142"/>
      <c r="DD44" s="434" t="s">
        <v>949</v>
      </c>
      <c r="DE44" s="4139">
        <f ca="1">MISSIONS!$GN$16</f>
        <v>0</v>
      </c>
      <c r="DF44" s="4140"/>
      <c r="DG44" s="2581" t="s">
        <v>65</v>
      </c>
      <c r="DH44" s="2561">
        <f ca="1">FLOOR(DE44*DB44,0.5)</f>
        <v>0</v>
      </c>
      <c r="DJ44" s="2582"/>
    </row>
    <row r="45" spans="1:114" ht="17.100000000000001" customHeight="1" x14ac:dyDescent="0.2">
      <c r="B45" s="417"/>
      <c r="C45" s="4160" t="s">
        <v>2453</v>
      </c>
      <c r="D45" s="4160"/>
      <c r="E45" s="4158" t="s">
        <v>2461</v>
      </c>
      <c r="F45" s="4158"/>
      <c r="G45" s="4158"/>
      <c r="H45" s="4158"/>
      <c r="I45" s="4158"/>
      <c r="J45" s="4158"/>
      <c r="K45" s="4158"/>
      <c r="L45" s="1095"/>
      <c r="V45" s="242"/>
      <c r="X45" s="4234"/>
      <c r="Y45" s="4235"/>
      <c r="Z45" s="4235"/>
      <c r="AA45" s="4235"/>
      <c r="AB45" s="4236"/>
      <c r="AC45" s="418"/>
      <c r="AD45" s="418"/>
      <c r="AE45" s="4241"/>
      <c r="AF45" s="4235"/>
      <c r="AG45" s="4235"/>
      <c r="AH45" s="4235"/>
      <c r="AI45" s="4242"/>
      <c r="AJ45" s="418"/>
      <c r="AK45" s="419"/>
      <c r="AL45" s="4241"/>
      <c r="AM45" s="4235"/>
      <c r="AN45" s="4235"/>
      <c r="AO45" s="4235"/>
      <c r="AP45" s="4242"/>
      <c r="AQ45" s="419"/>
      <c r="AR45" s="418"/>
      <c r="AS45" s="4241"/>
      <c r="AT45" s="4235"/>
      <c r="AU45" s="4235"/>
      <c r="AV45" s="4235"/>
      <c r="AW45" s="4242"/>
      <c r="AX45" s="418"/>
      <c r="AY45" s="418"/>
      <c r="AZ45" s="4241"/>
      <c r="BA45" s="4235"/>
      <c r="BB45" s="4235"/>
      <c r="BC45" s="4235"/>
      <c r="BD45" s="4242"/>
      <c r="BF45" s="299"/>
      <c r="BH45" s="4252" t="str">
        <f>BK48&amp;" XP each 30m at 08.30 or less"</f>
        <v>5 XP each 30m at 08.30 or less</v>
      </c>
      <c r="BI45" s="4252"/>
      <c r="BJ45" s="4252"/>
      <c r="BK45" s="4252"/>
      <c r="BL45" s="4252"/>
      <c r="BM45" s="4252"/>
      <c r="BN45" s="4252"/>
      <c r="BO45" s="326"/>
      <c r="BP45" s="417"/>
      <c r="BQ45" s="4220" t="s">
        <v>2463</v>
      </c>
      <c r="BR45" s="4220"/>
      <c r="BS45" s="4215" t="s">
        <v>2461</v>
      </c>
      <c r="BT45" s="4215"/>
      <c r="BU45" s="4215"/>
      <c r="BV45" s="4215"/>
      <c r="BW45" s="4215"/>
      <c r="BX45" s="4215"/>
      <c r="BY45" s="4215"/>
      <c r="BZ45" s="1101"/>
      <c r="CC45" s="242"/>
      <c r="CH45" s="307"/>
      <c r="CI45" s="307"/>
      <c r="CJ45" s="307"/>
      <c r="CK45" s="307"/>
      <c r="CL45" s="307"/>
      <c r="CS45" s="299"/>
      <c r="CU45" s="242"/>
      <c r="DA45" s="307" t="str">
        <f>data!FA70</f>
        <v>PER DAY/WEEK MISSION FAILED</v>
      </c>
      <c r="DB45" s="4141">
        <f>data!FI70</f>
        <v>0.25</v>
      </c>
      <c r="DC45" s="4142"/>
      <c r="DD45" s="434" t="s">
        <v>949</v>
      </c>
      <c r="DE45" s="4139">
        <f ca="1">MISSIONS!$GN$18</f>
        <v>0</v>
      </c>
      <c r="DF45" s="4140"/>
      <c r="DG45" s="2581" t="s">
        <v>65</v>
      </c>
      <c r="DH45" s="2561">
        <f ca="1">FLOOR(DE45*DB45,0.5)</f>
        <v>0</v>
      </c>
      <c r="DJ45" s="2582"/>
    </row>
    <row r="46" spans="1:114" ht="17.100000000000001" customHeight="1" x14ac:dyDescent="0.2">
      <c r="B46" s="417"/>
      <c r="C46" s="4153" t="s">
        <v>2454</v>
      </c>
      <c r="D46" s="4153"/>
      <c r="E46" s="4155" t="s">
        <v>2461</v>
      </c>
      <c r="F46" s="4155"/>
      <c r="G46" s="4155"/>
      <c r="H46" s="4155"/>
      <c r="I46" s="4155"/>
      <c r="J46" s="4155"/>
      <c r="K46" s="4155"/>
      <c r="L46" s="1096"/>
      <c r="V46" s="242"/>
      <c r="W46" s="388"/>
      <c r="X46" s="4249" t="str">
        <f>IF(X43=1,"",IF(AB43=1,"out of time",IF(Z43=0,"aim of "&amp;PROGRESS!$AT$27&amp;" "&amp;PROGRESS!$AR$28,"complete")))</f>
        <v/>
      </c>
      <c r="Y46" s="4250"/>
      <c r="Z46" s="4250"/>
      <c r="AA46" s="4250"/>
      <c r="AB46" s="4251"/>
      <c r="AC46" s="421"/>
      <c r="AD46" s="421"/>
      <c r="AE46" s="4245" t="str">
        <f>IF(AE43=1,"",IF(AI43=1,"out of time",IF(AG43=0,"aim of "&amp;PROGRESS!$AT$29&amp;" "&amp;PROGRESS!$AR$30,"complete")))</f>
        <v/>
      </c>
      <c r="AF46" s="4246"/>
      <c r="AG46" s="4246"/>
      <c r="AH46" s="4246"/>
      <c r="AI46" s="4247"/>
      <c r="AJ46" s="421"/>
      <c r="AK46" s="422"/>
      <c r="AL46" s="4245" t="str">
        <f>IF(AL43=1,"",IF(AP43=1,"out of time",IF(AN43=0,"aim of "&amp;PROGRESS!$AT$31&amp;" "&amp;PROGRESS!$AR$32,"complete")))</f>
        <v/>
      </c>
      <c r="AM46" s="4246"/>
      <c r="AN46" s="4246"/>
      <c r="AO46" s="4246"/>
      <c r="AP46" s="4247"/>
      <c r="AQ46" s="422"/>
      <c r="AR46" s="421"/>
      <c r="AS46" s="4245" t="str">
        <f>IF(AS43=1,"",IF(AW43=1,"out of time",IF(AU43=0,"aim of "&amp;PROGRESS!$AT$33&amp;" "&amp;PROGRESS!$AR$34,"complete")))</f>
        <v/>
      </c>
      <c r="AT46" s="4246"/>
      <c r="AU46" s="4246"/>
      <c r="AV46" s="4246"/>
      <c r="AW46" s="4247"/>
      <c r="AX46" s="421"/>
      <c r="AY46" s="421"/>
      <c r="AZ46" s="4245" t="str">
        <f>IF(AZ43=1,"",IF(BD43=1,"out of time",IF(BB43=0,"aim of "&amp;PROGRESS!$AT$35&amp;" "&amp;PROGRESS!$AR$36,"complete")))</f>
        <v/>
      </c>
      <c r="BA46" s="4246"/>
      <c r="BB46" s="4246"/>
      <c r="BC46" s="4246"/>
      <c r="BD46" s="4247"/>
      <c r="BF46" s="299"/>
      <c r="BH46" s="4253" t="s">
        <v>2414</v>
      </c>
      <c r="BI46" s="4253"/>
      <c r="BJ46" s="4253"/>
      <c r="BK46" s="4253"/>
      <c r="BL46" s="4253"/>
      <c r="BM46" s="4253"/>
      <c r="BN46" s="4253"/>
      <c r="BO46" s="326"/>
      <c r="BP46" s="417"/>
      <c r="BQ46" s="4222" t="s">
        <v>2464</v>
      </c>
      <c r="BR46" s="4222"/>
      <c r="BS46" s="4216" t="s">
        <v>2461</v>
      </c>
      <c r="BT46" s="4216"/>
      <c r="BU46" s="4216"/>
      <c r="BV46" s="4216"/>
      <c r="BW46" s="4216"/>
      <c r="BX46" s="4216"/>
      <c r="BY46" s="4216"/>
      <c r="BZ46" s="1100"/>
      <c r="CC46" s="242"/>
      <c r="CH46" s="307"/>
      <c r="CI46" s="307"/>
      <c r="CJ46" s="307" t="str">
        <f>data!FA28</f>
        <v>IF MTH START STATUS &gt;=20</v>
      </c>
      <c r="CK46" s="4141">
        <f>data!FI28</f>
        <v>1</v>
      </c>
      <c r="CL46" s="4142"/>
      <c r="CM46" s="434" t="s">
        <v>949</v>
      </c>
      <c r="CN46" s="4139">
        <f>IF(AND('^'!$BK$49&gt;=2,'^'!$CG$54&gt;=20),1,0)</f>
        <v>0</v>
      </c>
      <c r="CO46" s="4140"/>
      <c r="CP46" s="2581" t="s">
        <v>65</v>
      </c>
      <c r="CQ46" s="2561">
        <f t="shared" ref="CQ46:CQ48" si="25">FLOOR(CN46*CK46,0.5)</f>
        <v>0</v>
      </c>
      <c r="CS46" s="2582"/>
      <c r="CU46" s="242"/>
      <c r="DA46" s="307"/>
      <c r="DJ46" s="299"/>
    </row>
    <row r="47" spans="1:114" ht="17.100000000000001" customHeight="1" x14ac:dyDescent="0.2">
      <c r="B47" s="417"/>
      <c r="C47" s="4161" t="s">
        <v>2455</v>
      </c>
      <c r="D47" s="4161"/>
      <c r="E47" s="4156" t="s">
        <v>2461</v>
      </c>
      <c r="F47" s="4156"/>
      <c r="G47" s="4156"/>
      <c r="H47" s="4156"/>
      <c r="I47" s="4156"/>
      <c r="J47" s="4156"/>
      <c r="K47" s="4156"/>
      <c r="L47" s="1097"/>
      <c r="V47" s="242"/>
      <c r="W47" s="388"/>
      <c r="Z47" s="335"/>
      <c r="AC47" s="388"/>
      <c r="AD47" s="388"/>
      <c r="AJ47" s="388"/>
      <c r="AK47" s="423"/>
      <c r="AQ47" s="424"/>
      <c r="AR47" s="388"/>
      <c r="AX47" s="388"/>
      <c r="AY47" s="388"/>
      <c r="BF47" s="299"/>
      <c r="BI47" s="4254"/>
      <c r="BJ47" s="4255"/>
      <c r="BK47" s="3345" t="s">
        <v>65</v>
      </c>
      <c r="BL47" s="3346" t="str" cm="1">
        <f t="array" ref="BL47">IF(BI47="","",
_xlfn.IFS(
BI47&lt;=BK49-7,BK48*15,
BI47&lt;=BK49-6.7,BK48*14,
BI47&lt;=BK49-6,BK48*13,
BI47&lt;=BK49-5.7,BK48*12,
BI47&lt;=BK49-5,BK48*11,
BI47&lt;=BK49-4.7,BK48*10,
BI47&lt;=BK49-4,BK48*9,
BI47&lt;=BK49-3.7,BK48*7,
BI47&lt;=BK49-3,BK48*6,
BI47&lt;=BK49-2.7,BK48*5,
BI47&lt;=BK49-2,BK48*4,
BI47&lt;=BK49-1.7,BK48*3,
BI47&lt;=BK49-1,BK48*2,
BI47&lt;=BK49-0.7,BK48*1,
TRUE,0)
)</f>
        <v/>
      </c>
      <c r="BM47" s="3347" t="str">
        <f>IF(BI47="","","XP")</f>
        <v/>
      </c>
      <c r="BO47" s="326"/>
      <c r="BP47" s="417"/>
      <c r="BQ47" s="4221" t="s">
        <v>2465</v>
      </c>
      <c r="BR47" s="4221"/>
      <c r="BS47" s="4217" t="s">
        <v>2461</v>
      </c>
      <c r="BT47" s="4217"/>
      <c r="BU47" s="4217"/>
      <c r="BV47" s="4217"/>
      <c r="BW47" s="4217"/>
      <c r="BX47" s="4217"/>
      <c r="BY47" s="4217"/>
      <c r="BZ47" s="1099"/>
      <c r="CC47" s="242"/>
      <c r="CH47" s="307"/>
      <c r="CI47" s="307"/>
      <c r="CJ47" s="307" t="str">
        <f>data!FA29</f>
        <v>IF MTH START STATUS &gt;=30</v>
      </c>
      <c r="CK47" s="4141">
        <f>data!FI29</f>
        <v>1</v>
      </c>
      <c r="CL47" s="4142"/>
      <c r="CM47" s="434" t="s">
        <v>949</v>
      </c>
      <c r="CN47" s="4139">
        <f>IF(AND('^'!$BK$49&gt;=2,'^'!$CG$54&gt;=30),1,0)</f>
        <v>0</v>
      </c>
      <c r="CO47" s="4140"/>
      <c r="CP47" s="2581" t="s">
        <v>65</v>
      </c>
      <c r="CQ47" s="2561">
        <f t="shared" si="25"/>
        <v>0</v>
      </c>
      <c r="CS47" s="2582"/>
      <c r="CU47" s="242"/>
      <c r="DA47" s="307" t="str">
        <f>data!FA72</f>
        <v>PER OBJECTIVE FAILED</v>
      </c>
      <c r="DB47" s="4141">
        <f>data!FI72</f>
        <v>0.25</v>
      </c>
      <c r="DC47" s="4142"/>
      <c r="DD47" s="434" t="s">
        <v>949</v>
      </c>
      <c r="DE47" s="4139">
        <f>PROGRESS!$CP$14</f>
        <v>0</v>
      </c>
      <c r="DF47" s="4140"/>
      <c r="DG47" s="2581" t="s">
        <v>65</v>
      </c>
      <c r="DH47" s="2561">
        <f>FLOOR(DE47*DB47,0.5)</f>
        <v>0</v>
      </c>
      <c r="DJ47" s="2582"/>
    </row>
    <row r="48" spans="1:114" ht="17.100000000000001" customHeight="1" x14ac:dyDescent="0.2">
      <c r="B48" s="417"/>
      <c r="C48" s="4219" t="s">
        <v>2456</v>
      </c>
      <c r="D48" s="4219"/>
      <c r="E48" s="4248" t="s">
        <v>2461</v>
      </c>
      <c r="F48" s="4248"/>
      <c r="G48" s="4248"/>
      <c r="H48" s="4248"/>
      <c r="I48" s="4248"/>
      <c r="J48" s="4248"/>
      <c r="K48" s="4248"/>
      <c r="L48" s="1098"/>
      <c r="V48" s="242"/>
      <c r="W48" s="388"/>
      <c r="X48" s="425"/>
      <c r="Y48" s="426" t="str">
        <f>IF(X43=0,"a chain?","")</f>
        <v/>
      </c>
      <c r="Z48" s="337" t="s">
        <v>76</v>
      </c>
      <c r="AA48" s="4244" t="str">
        <f>IF(X43=0," [Y / N]","")</f>
        <v/>
      </c>
      <c r="AB48" s="4244"/>
      <c r="AC48" s="421"/>
      <c r="AD48" s="421"/>
      <c r="AE48" s="425"/>
      <c r="AF48" s="426" t="str">
        <f>IF(AE43=0,"a chain?","")</f>
        <v/>
      </c>
      <c r="AG48" s="337" t="s">
        <v>75</v>
      </c>
      <c r="AH48" s="4244" t="str">
        <f>IF(AE43=0," [Y / N]","")</f>
        <v/>
      </c>
      <c r="AI48" s="4244"/>
      <c r="AJ48" s="421"/>
      <c r="AK48" s="427"/>
      <c r="AL48" s="425"/>
      <c r="AM48" s="426" t="str">
        <f>IF(AL43=0,"a chain?","")</f>
        <v/>
      </c>
      <c r="AN48" s="337" t="s">
        <v>76</v>
      </c>
      <c r="AO48" s="4244" t="str">
        <f>IF(AL43=0," [Y / N]","")</f>
        <v/>
      </c>
      <c r="AP48" s="4244"/>
      <c r="AQ48" s="428"/>
      <c r="AR48" s="421"/>
      <c r="AS48" s="425"/>
      <c r="AT48" s="426" t="str">
        <f>IF(AS43=0,"a chain?","")</f>
        <v/>
      </c>
      <c r="AU48" s="337" t="s">
        <v>76</v>
      </c>
      <c r="AV48" s="4244" t="str">
        <f>IF(AS43=0," [Y / N]","")</f>
        <v/>
      </c>
      <c r="AW48" s="4244"/>
      <c r="AX48" s="421"/>
      <c r="AY48" s="421"/>
      <c r="AZ48" s="425"/>
      <c r="BA48" s="426" t="str">
        <f>IF(AZ43=0,"a chain?","")</f>
        <v/>
      </c>
      <c r="BB48" s="337" t="s">
        <v>76</v>
      </c>
      <c r="BC48" s="4244" t="str">
        <f>IF(AZ43=0," [Y / N]","")</f>
        <v/>
      </c>
      <c r="BD48" s="4244"/>
      <c r="BF48" s="299"/>
      <c r="BJ48" s="2702" t="s">
        <v>2415</v>
      </c>
      <c r="BK48" s="3348">
        <v>5</v>
      </c>
      <c r="BL48" s="377" t="s">
        <v>2416</v>
      </c>
      <c r="BO48" s="326"/>
      <c r="BP48" s="417"/>
      <c r="BQ48" s="4219" t="s">
        <v>2466</v>
      </c>
      <c r="BR48" s="4219"/>
      <c r="BS48" s="4248" t="s">
        <v>2461</v>
      </c>
      <c r="BT48" s="4248"/>
      <c r="BU48" s="4248"/>
      <c r="BV48" s="4248"/>
      <c r="BW48" s="4248"/>
      <c r="BX48" s="4248"/>
      <c r="BY48" s="4248"/>
      <c r="BZ48" s="1098"/>
      <c r="CC48" s="242"/>
      <c r="CH48" s="307"/>
      <c r="CI48" s="307"/>
      <c r="CJ48" s="307" t="str">
        <f>data!FA30</f>
        <v>PER POINT STATUS INCREASE</v>
      </c>
      <c r="CK48" s="4141">
        <f>data!FI30</f>
        <v>0.5</v>
      </c>
      <c r="CL48" s="4142"/>
      <c r="CM48" s="434" t="s">
        <v>949</v>
      </c>
      <c r="CN48" s="4139">
        <f>IF('^'!$BK$49&gt;=2,'^'!$CM$54,0)</f>
        <v>0</v>
      </c>
      <c r="CO48" s="4140"/>
      <c r="CP48" s="2581" t="s">
        <v>65</v>
      </c>
      <c r="CQ48" s="2561">
        <f t="shared" si="25"/>
        <v>0</v>
      </c>
      <c r="CS48" s="2582"/>
      <c r="CU48" s="242"/>
      <c r="DA48" s="307" t="str">
        <f>data!FA73</f>
        <v>PER CHALLENGE FAILED</v>
      </c>
      <c r="DB48" s="4141">
        <f>data!FI73</f>
        <v>0.25</v>
      </c>
      <c r="DC48" s="4142"/>
      <c r="DD48" s="434" t="s">
        <v>949</v>
      </c>
      <c r="DE48" s="4139">
        <f ca="1">PROGRESS!$CP$18</f>
        <v>0</v>
      </c>
      <c r="DF48" s="4140"/>
      <c r="DG48" s="2581" t="s">
        <v>65</v>
      </c>
      <c r="DH48" s="2561">
        <f ca="1">FLOOR(DE48*DB48,0.5)</f>
        <v>0</v>
      </c>
      <c r="DJ48" s="2582"/>
    </row>
    <row r="49" spans="2:114" ht="17.100000000000001" customHeight="1" x14ac:dyDescent="0.2">
      <c r="B49" s="417"/>
      <c r="C49" s="4221" t="s">
        <v>2457</v>
      </c>
      <c r="D49" s="4221"/>
      <c r="E49" s="4217" t="s">
        <v>2461</v>
      </c>
      <c r="F49" s="4217"/>
      <c r="G49" s="4217"/>
      <c r="H49" s="4217"/>
      <c r="I49" s="4217"/>
      <c r="J49" s="4217"/>
      <c r="K49" s="4217"/>
      <c r="L49" s="1099"/>
      <c r="V49" s="242"/>
      <c r="W49" s="388"/>
      <c r="X49" s="430"/>
      <c r="Y49" s="431"/>
      <c r="Z49" s="430" t="str">
        <f>IF(X43=0,"overall aim         previously","")</f>
        <v/>
      </c>
      <c r="AA49" s="432"/>
      <c r="AB49" s="432"/>
      <c r="AC49" s="421"/>
      <c r="AD49" s="421"/>
      <c r="AE49" s="430"/>
      <c r="AF49" s="431"/>
      <c r="AG49" s="430" t="str">
        <f>IF(AE43=0,"overall aim         previously","")</f>
        <v/>
      </c>
      <c r="AH49" s="432"/>
      <c r="AI49" s="432"/>
      <c r="AJ49" s="421"/>
      <c r="AK49" s="427"/>
      <c r="AL49" s="430"/>
      <c r="AM49" s="431"/>
      <c r="AN49" s="430" t="str">
        <f>IF(AL43=0,"overall aim         previously","")</f>
        <v/>
      </c>
      <c r="AO49" s="432"/>
      <c r="AP49" s="432"/>
      <c r="AQ49" s="428"/>
      <c r="AR49" s="421"/>
      <c r="AS49" s="430"/>
      <c r="AT49" s="431"/>
      <c r="AU49" s="430" t="str">
        <f>IF(AS43=0,"overall aim         previously","")</f>
        <v/>
      </c>
      <c r="AV49" s="432"/>
      <c r="AW49" s="432"/>
      <c r="AX49" s="421"/>
      <c r="AY49" s="421"/>
      <c r="AZ49" s="430"/>
      <c r="BA49" s="431"/>
      <c r="BB49" s="430" t="str">
        <f>IF(AZ43=0,"overall aim         previously","")</f>
        <v/>
      </c>
      <c r="BC49" s="432"/>
      <c r="BD49" s="432"/>
      <c r="BF49" s="299"/>
      <c r="BJ49" s="2702" t="s">
        <v>2442</v>
      </c>
      <c r="BK49" s="3379">
        <v>9</v>
      </c>
      <c r="BL49" s="377" t="s">
        <v>2441</v>
      </c>
      <c r="BO49" s="326"/>
      <c r="BP49" s="417"/>
      <c r="BQ49" s="4161" t="s">
        <v>2467</v>
      </c>
      <c r="BR49" s="4161"/>
      <c r="BS49" s="4156" t="s">
        <v>2461</v>
      </c>
      <c r="BT49" s="4156"/>
      <c r="BU49" s="4156"/>
      <c r="BV49" s="4156"/>
      <c r="BW49" s="4156"/>
      <c r="BX49" s="4156"/>
      <c r="BY49" s="4156"/>
      <c r="BZ49" s="1103"/>
      <c r="CC49" s="242"/>
      <c r="CH49" s="307"/>
      <c r="CI49" s="307"/>
      <c r="CJ49" s="307"/>
      <c r="CK49" s="307"/>
      <c r="CL49" s="307"/>
      <c r="CS49" s="299"/>
      <c r="CU49" s="242"/>
      <c r="DA49" s="307"/>
      <c r="DJ49" s="299"/>
    </row>
    <row r="50" spans="2:114" ht="17.100000000000001" customHeight="1" x14ac:dyDescent="0.15">
      <c r="B50" s="417"/>
      <c r="C50" s="4222" t="s">
        <v>2458</v>
      </c>
      <c r="D50" s="4222"/>
      <c r="E50" s="4216" t="s">
        <v>2461</v>
      </c>
      <c r="F50" s="4216"/>
      <c r="G50" s="4216"/>
      <c r="H50" s="4216"/>
      <c r="I50" s="4216"/>
      <c r="J50" s="4216"/>
      <c r="K50" s="4216"/>
      <c r="L50" s="1100"/>
      <c r="V50" s="433"/>
      <c r="X50" s="434"/>
      <c r="Y50" s="2174">
        <v>0</v>
      </c>
      <c r="Z50" s="434"/>
      <c r="AA50" s="2174">
        <v>0</v>
      </c>
      <c r="AB50" s="435"/>
      <c r="AC50" s="39"/>
      <c r="AD50" s="39"/>
      <c r="AE50" s="434"/>
      <c r="AF50" s="2174">
        <v>0</v>
      </c>
      <c r="AG50" s="434"/>
      <c r="AH50" s="2174">
        <v>0</v>
      </c>
      <c r="AI50" s="435"/>
      <c r="AJ50" s="39"/>
      <c r="AK50" s="2175"/>
      <c r="AL50" s="434"/>
      <c r="AM50" s="2174">
        <v>0</v>
      </c>
      <c r="AN50" s="434"/>
      <c r="AO50" s="2174">
        <v>0</v>
      </c>
      <c r="AP50" s="435"/>
      <c r="AQ50" s="334"/>
      <c r="AR50" s="39"/>
      <c r="AS50" s="434"/>
      <c r="AT50" s="2174">
        <v>0</v>
      </c>
      <c r="AU50" s="434"/>
      <c r="AV50" s="2174">
        <v>0</v>
      </c>
      <c r="AW50" s="435"/>
      <c r="AX50" s="39"/>
      <c r="AY50" s="39"/>
      <c r="AZ50" s="434"/>
      <c r="BA50" s="2174">
        <v>0</v>
      </c>
      <c r="BB50" s="434"/>
      <c r="BC50" s="2174">
        <v>0</v>
      </c>
      <c r="BD50" s="435"/>
      <c r="BF50" s="299"/>
      <c r="BO50" s="326"/>
      <c r="BP50" s="417"/>
      <c r="BQ50" s="4153" t="s">
        <v>2468</v>
      </c>
      <c r="BR50" s="4153"/>
      <c r="BS50" s="4155" t="s">
        <v>2461</v>
      </c>
      <c r="BT50" s="4155"/>
      <c r="BU50" s="4155"/>
      <c r="BV50" s="4155"/>
      <c r="BW50" s="4155"/>
      <c r="BX50" s="4155"/>
      <c r="BY50" s="4155"/>
      <c r="BZ50" s="1096"/>
      <c r="CC50" s="242"/>
      <c r="CH50" s="307"/>
      <c r="CI50" s="307"/>
      <c r="CJ50" s="307" t="str">
        <f>data!FA32</f>
        <v>PER ACHIEVEMENT COMPLETE</v>
      </c>
      <c r="CK50" s="4141">
        <f>data!FI32</f>
        <v>0.5</v>
      </c>
      <c r="CL50" s="4142"/>
      <c r="CM50" s="434" t="s">
        <v>949</v>
      </c>
      <c r="CN50" s="4139">
        <f>'^'!$CM$44</f>
        <v>0</v>
      </c>
      <c r="CO50" s="4140"/>
      <c r="CP50" s="2581" t="s">
        <v>65</v>
      </c>
      <c r="CQ50" s="2561">
        <f t="shared" ref="CQ50:CQ51" si="26">FLOOR(CN50*CK50,0.5)</f>
        <v>0</v>
      </c>
      <c r="CS50" s="2582"/>
      <c r="CU50" s="242"/>
      <c r="DA50" s="307" t="str">
        <f>data!FA75</f>
        <v>PER FULL BOOBY TRAP</v>
      </c>
      <c r="DB50" s="4141">
        <f>data!FI75</f>
        <v>1</v>
      </c>
      <c r="DC50" s="4142"/>
      <c r="DD50" s="434" t="s">
        <v>949</v>
      </c>
      <c r="DE50" s="4139">
        <f>RESPITE!$CY$55</f>
        <v>0</v>
      </c>
      <c r="DF50" s="4140"/>
      <c r="DG50" s="2581" t="s">
        <v>65</v>
      </c>
      <c r="DH50" s="2561">
        <f>FLOOR(DE50*DB50,0.5)</f>
        <v>0</v>
      </c>
      <c r="DJ50" s="2582"/>
    </row>
    <row r="51" spans="2:114" ht="17.100000000000001" customHeight="1" x14ac:dyDescent="0.15">
      <c r="B51" s="417"/>
      <c r="C51" s="4220" t="s">
        <v>2459</v>
      </c>
      <c r="D51" s="4220"/>
      <c r="E51" s="4215" t="s">
        <v>2461</v>
      </c>
      <c r="F51" s="4215"/>
      <c r="G51" s="4215"/>
      <c r="H51" s="4215"/>
      <c r="I51" s="4215"/>
      <c r="J51" s="4215"/>
      <c r="K51" s="4215"/>
      <c r="L51" s="1101"/>
      <c r="V51" s="438"/>
      <c r="Y51" s="2041" t="s">
        <v>768</v>
      </c>
      <c r="Z51" s="335" t="str">
        <f>IF(X43=0,"done","")</f>
        <v/>
      </c>
      <c r="AA51" s="435" t="str">
        <f>IF(X43=0,"  count","")</f>
        <v/>
      </c>
      <c r="AC51" s="262"/>
      <c r="AD51" s="262"/>
      <c r="AF51" s="439" t="s">
        <v>768</v>
      </c>
      <c r="AG51" s="335" t="str">
        <f>IF(AE43=0,"done","")</f>
        <v/>
      </c>
      <c r="AH51" s="435" t="str">
        <f>IF(AE43=0,"  count","")</f>
        <v/>
      </c>
      <c r="AJ51" s="262"/>
      <c r="AK51" s="436"/>
      <c r="AM51" s="439" t="s">
        <v>768</v>
      </c>
      <c r="AN51" s="335" t="str">
        <f>IF(AL43=0,"done","")</f>
        <v/>
      </c>
      <c r="AO51" s="435" t="str">
        <f>IF(AL43=0,"  count","")</f>
        <v/>
      </c>
      <c r="AQ51" s="437"/>
      <c r="AR51" s="262"/>
      <c r="AT51" s="439" t="s">
        <v>768</v>
      </c>
      <c r="AU51" s="335" t="str">
        <f>IF(AS43=0,"done","")</f>
        <v/>
      </c>
      <c r="AV51" s="435" t="str">
        <f>IF(AS43=0,"  count","")</f>
        <v/>
      </c>
      <c r="AX51" s="262"/>
      <c r="AY51" s="262"/>
      <c r="BA51" s="439" t="s">
        <v>768</v>
      </c>
      <c r="BB51" s="335" t="str">
        <f>IF(AZ43=0,"done","")</f>
        <v/>
      </c>
      <c r="BC51" s="435" t="str">
        <f>IF(AZ43=0,"  count","")</f>
        <v/>
      </c>
      <c r="BF51" s="299"/>
      <c r="BK51" s="3380"/>
      <c r="BO51" s="326"/>
      <c r="BP51" s="417"/>
      <c r="BQ51" s="4160" t="s">
        <v>2469</v>
      </c>
      <c r="BR51" s="4160"/>
      <c r="BS51" s="4158" t="s">
        <v>2461</v>
      </c>
      <c r="BT51" s="4158"/>
      <c r="BU51" s="4158"/>
      <c r="BV51" s="4158"/>
      <c r="BW51" s="4158"/>
      <c r="BX51" s="4158"/>
      <c r="BY51" s="4158"/>
      <c r="BZ51" s="1095"/>
      <c r="CC51" s="242"/>
      <c r="CH51" s="307"/>
      <c r="CI51" s="307"/>
      <c r="CJ51" s="307" t="str">
        <f>data!FA33</f>
        <v>PER VICTORY DISPLAY COMPLETE</v>
      </c>
      <c r="CK51" s="4141">
        <f>data!FI33</f>
        <v>1</v>
      </c>
      <c r="CL51" s="4142"/>
      <c r="CM51" s="434" t="s">
        <v>949</v>
      </c>
      <c r="CN51" s="4139">
        <f>'^'!$CZ$44</f>
        <v>0</v>
      </c>
      <c r="CO51" s="4140"/>
      <c r="CP51" s="2581" t="s">
        <v>65</v>
      </c>
      <c r="CQ51" s="2561">
        <f t="shared" si="26"/>
        <v>0</v>
      </c>
      <c r="CS51" s="2582"/>
      <c r="CU51" s="242"/>
      <c r="DA51" s="307"/>
      <c r="DJ51" s="299"/>
    </row>
    <row r="52" spans="2:114" ht="17.100000000000001" customHeight="1" x14ac:dyDescent="0.15">
      <c r="B52" s="417"/>
      <c r="C52" s="4218" t="s">
        <v>2460</v>
      </c>
      <c r="D52" s="4218"/>
      <c r="E52" s="4214" t="s">
        <v>2461</v>
      </c>
      <c r="F52" s="4214"/>
      <c r="G52" s="4214"/>
      <c r="H52" s="4214"/>
      <c r="I52" s="4214"/>
      <c r="J52" s="4214"/>
      <c r="K52" s="4214"/>
      <c r="L52" s="1102"/>
      <c r="V52" s="438"/>
      <c r="X52" s="2049" t="str">
        <f>MISSIONS!$AK$2</f>
        <v>MTH</v>
      </c>
      <c r="Y52" s="3095">
        <v>1</v>
      </c>
      <c r="Z52" s="338"/>
      <c r="AA52" s="441">
        <f>IF(Z$48="N",IF(Z52&lt;&gt;0,AA50+1, AA50),IF(Z52&lt;&gt;0,AA50+1, 0))</f>
        <v>0</v>
      </c>
      <c r="AB52" s="255">
        <f>Z52</f>
        <v>0</v>
      </c>
      <c r="AC52" s="262"/>
      <c r="AD52" s="262"/>
      <c r="AE52" s="2049" t="str">
        <f>MISSIONS!$AK$2</f>
        <v>MTH</v>
      </c>
      <c r="AF52" s="3095">
        <v>1</v>
      </c>
      <c r="AG52" s="338"/>
      <c r="AH52" s="441">
        <f>IF(AG$48="N",IF(AG52&lt;&gt;0,AH50+1, AH50),IF(AG52&lt;&gt;0,AH50+1, 0))</f>
        <v>0</v>
      </c>
      <c r="AI52" s="255">
        <f>AG52</f>
        <v>0</v>
      </c>
      <c r="AJ52" s="262"/>
      <c r="AK52" s="436"/>
      <c r="AL52" s="2049" t="str">
        <f>MISSIONS!$AK$2</f>
        <v>MTH</v>
      </c>
      <c r="AM52" s="3095">
        <v>1</v>
      </c>
      <c r="AN52" s="338"/>
      <c r="AO52" s="441">
        <f>IF(AN$48="N",IF(AN52&lt;&gt;0,AO50+1, AO50),IF(AN52&lt;&gt;0,AO50+1, 0))</f>
        <v>0</v>
      </c>
      <c r="AP52" s="255">
        <f>AN52</f>
        <v>0</v>
      </c>
      <c r="AQ52" s="437"/>
      <c r="AR52" s="262"/>
      <c r="AS52" s="2049" t="str">
        <f>MISSIONS!$AK$2</f>
        <v>MTH</v>
      </c>
      <c r="AT52" s="3095">
        <v>1</v>
      </c>
      <c r="AU52" s="338"/>
      <c r="AV52" s="441">
        <f>IF(AU$48="N",IF(AU52&lt;&gt;0,AV50+1, AV50),IF(AU52&lt;&gt;0,AV50+1, 0))</f>
        <v>0</v>
      </c>
      <c r="AW52" s="255">
        <f>AU52</f>
        <v>0</v>
      </c>
      <c r="AX52" s="262"/>
      <c r="AY52" s="262"/>
      <c r="AZ52" s="2049" t="str">
        <f>MISSIONS!$AK$2</f>
        <v>MTH</v>
      </c>
      <c r="BA52" s="3095">
        <v>1</v>
      </c>
      <c r="BB52" s="338"/>
      <c r="BC52" s="441">
        <f>IF(BB$48="N",IF(BB52&lt;&gt;0,BC50+1, BC50),IF(BB52&lt;&gt;0,BC50+1, 0))</f>
        <v>0</v>
      </c>
      <c r="BD52" s="255">
        <f>BB52</f>
        <v>0</v>
      </c>
      <c r="BF52" s="299"/>
      <c r="BO52" s="442"/>
      <c r="BP52" s="417"/>
      <c r="BQ52" s="4154" t="s">
        <v>2470</v>
      </c>
      <c r="BR52" s="4154"/>
      <c r="BS52" s="4157" t="s">
        <v>2461</v>
      </c>
      <c r="BT52" s="4157"/>
      <c r="BU52" s="4157"/>
      <c r="BV52" s="4157"/>
      <c r="BW52" s="4157"/>
      <c r="BX52" s="4157"/>
      <c r="BY52" s="4157"/>
      <c r="BZ52" s="1094"/>
      <c r="CC52" s="242"/>
      <c r="CH52" s="307"/>
      <c r="CI52" s="307"/>
      <c r="CJ52" s="307"/>
      <c r="CK52" s="307"/>
      <c r="CL52" s="307"/>
      <c r="CS52" s="299"/>
      <c r="CU52" s="242"/>
      <c r="DA52" s="307" t="str">
        <f>data!FA77</f>
        <v>PER DEATH</v>
      </c>
      <c r="DB52" s="4141">
        <f>data!FI77</f>
        <v>1</v>
      </c>
      <c r="DC52" s="4142"/>
      <c r="DD52" s="434" t="s">
        <v>949</v>
      </c>
      <c r="DE52" s="4139">
        <f ca="1">$CH$35</f>
        <v>0</v>
      </c>
      <c r="DF52" s="4140"/>
      <c r="DG52" s="2581" t="s">
        <v>65</v>
      </c>
      <c r="DH52" s="2561">
        <f ca="1">FLOOR(DE52*DB52,0.5)</f>
        <v>0</v>
      </c>
      <c r="DJ52" s="2582"/>
    </row>
    <row r="53" spans="2:114" ht="17.100000000000001" customHeight="1" x14ac:dyDescent="0.2">
      <c r="B53" s="409"/>
      <c r="C53" s="416"/>
      <c r="D53" s="416"/>
      <c r="E53" s="416"/>
      <c r="F53" s="443"/>
      <c r="G53" s="443"/>
      <c r="H53" s="443"/>
      <c r="I53" s="416"/>
      <c r="J53" s="416"/>
      <c r="K53" s="416"/>
      <c r="L53" s="410"/>
      <c r="V53" s="438"/>
      <c r="Y53" s="3095">
        <v>2</v>
      </c>
      <c r="Z53" s="338"/>
      <c r="AA53" s="441">
        <f>IF(Z$48="N",IF(Z53&lt;&gt;0,AA52+1, AA52),IF(Z53&lt;&gt;0,AA52+1, 0))</f>
        <v>0</v>
      </c>
      <c r="AB53" s="255">
        <f>IF(Z53&lt;&gt;0,AB52+1,0)</f>
        <v>0</v>
      </c>
      <c r="AC53" s="262"/>
      <c r="AD53" s="262"/>
      <c r="AF53" s="3095">
        <v>2</v>
      </c>
      <c r="AG53" s="338"/>
      <c r="AH53" s="441">
        <f>IF(AG$48="N",IF(AG53&lt;&gt;0,AH52+1, AH52),IF(AG53&lt;&gt;0,AH52+1, 0))</f>
        <v>0</v>
      </c>
      <c r="AI53" s="255">
        <f>IF(AG53&lt;&gt;0,AI52+1,0)</f>
        <v>0</v>
      </c>
      <c r="AJ53" s="262"/>
      <c r="AK53" s="436"/>
      <c r="AM53" s="3095">
        <v>2</v>
      </c>
      <c r="AN53" s="338"/>
      <c r="AO53" s="441">
        <f>IF(AN$48="N",IF(AN53&lt;&gt;0,AO52+1, AO52),IF(AN53&lt;&gt;0,AO52+1, 0))</f>
        <v>0</v>
      </c>
      <c r="AP53" s="255">
        <f>IF(AN53&lt;&gt;0,AP52+1,0)</f>
        <v>0</v>
      </c>
      <c r="AQ53" s="437"/>
      <c r="AR53" s="262"/>
      <c r="AT53" s="3095">
        <v>2</v>
      </c>
      <c r="AU53" s="338"/>
      <c r="AV53" s="441">
        <f>IF(AU$48="N",IF(AU53&lt;&gt;0,AV52+1, AV52),IF(AU53&lt;&gt;0,AV52+1, 0))</f>
        <v>0</v>
      </c>
      <c r="AW53" s="255">
        <f>IF(AU53&lt;&gt;0,AW52+1,0)</f>
        <v>0</v>
      </c>
      <c r="AX53" s="262"/>
      <c r="AY53" s="262"/>
      <c r="BA53" s="3095">
        <v>2</v>
      </c>
      <c r="BB53" s="338"/>
      <c r="BC53" s="441">
        <f>IF(BB$48="N",IF(BB53&lt;&gt;0,BC52+1, BC52),IF(BB53&lt;&gt;0,BC52+1, 0))</f>
        <v>0</v>
      </c>
      <c r="BD53" s="255">
        <f>IF(BB53&lt;&gt;0,BD52+1,0)</f>
        <v>0</v>
      </c>
      <c r="BF53" s="299"/>
      <c r="BH53" s="4252" t="s">
        <v>2417</v>
      </c>
      <c r="BI53" s="4252"/>
      <c r="BJ53" s="4252"/>
      <c r="BK53" s="4252"/>
      <c r="BL53" s="4252"/>
      <c r="BM53" s="4252"/>
      <c r="BN53" s="4252"/>
      <c r="BO53" s="442"/>
      <c r="BP53" s="417"/>
      <c r="BQ53" s="443"/>
      <c r="BR53" s="443"/>
      <c r="BS53" s="443"/>
      <c r="BT53" s="443"/>
      <c r="BU53" s="443"/>
      <c r="BV53" s="443"/>
      <c r="BW53" s="443"/>
      <c r="BX53" s="443"/>
      <c r="BY53" s="443"/>
      <c r="BZ53" s="410"/>
      <c r="CC53" s="242"/>
      <c r="CH53" s="307"/>
      <c r="CI53" s="307"/>
      <c r="CJ53" s="307" t="str">
        <f>data!FA35</f>
        <v>IF CASHFLOW BAL. &gt; TARGET</v>
      </c>
      <c r="CK53" s="4141">
        <f>data!FI35</f>
        <v>1</v>
      </c>
      <c r="CL53" s="4142"/>
      <c r="CM53" s="434" t="s">
        <v>949</v>
      </c>
      <c r="CN53" s="4139">
        <f ca="1">IF(AND(PROGRESS!$CC$9&lt;=1,MONEY!$AP$7&gt;=MONEY!$BR$7),1,0)</f>
        <v>0</v>
      </c>
      <c r="CO53" s="4140"/>
      <c r="CP53" s="2581" t="s">
        <v>65</v>
      </c>
      <c r="CQ53" s="2561">
        <f ca="1">FLOOR(CN53*CK53,0.5)</f>
        <v>0</v>
      </c>
      <c r="CS53" s="2582"/>
      <c r="CU53" s="242"/>
      <c r="DJ53" s="299"/>
    </row>
    <row r="54" spans="2:114" ht="17.100000000000001" customHeight="1" x14ac:dyDescent="0.2">
      <c r="B54" s="417"/>
      <c r="C54" s="4159" t="s">
        <v>1245</v>
      </c>
      <c r="D54" s="4159"/>
      <c r="E54" s="4159"/>
      <c r="F54" s="4159"/>
      <c r="G54" s="4159"/>
      <c r="H54" s="4159"/>
      <c r="I54" s="4159"/>
      <c r="J54" s="4159"/>
      <c r="K54" s="4159"/>
      <c r="L54" s="410"/>
      <c r="V54" s="438"/>
      <c r="Y54" s="3095">
        <v>3</v>
      </c>
      <c r="Z54" s="338"/>
      <c r="AA54" s="441">
        <f>IF(Z$48="N",IF(Z54&lt;&gt;0,AA53+1, AA53),IF(Z54&lt;&gt;0,AA53+1, 0))</f>
        <v>0</v>
      </c>
      <c r="AB54" s="255">
        <f>IF(Z54&lt;&gt;0,AB53+1,0)</f>
        <v>0</v>
      </c>
      <c r="AC54" s="262"/>
      <c r="AD54" s="262"/>
      <c r="AF54" s="3095">
        <v>3</v>
      </c>
      <c r="AG54" s="338"/>
      <c r="AH54" s="441">
        <f>IF(AG$48="N",IF(AG54&lt;&gt;0,AH53+1, AH53),IF(AG54&lt;&gt;0,AH53+1, 0))</f>
        <v>0</v>
      </c>
      <c r="AI54" s="255">
        <f>IF(AG54&lt;&gt;0,AI53+1,0)</f>
        <v>0</v>
      </c>
      <c r="AJ54" s="262"/>
      <c r="AK54" s="436"/>
      <c r="AM54" s="3095">
        <v>3</v>
      </c>
      <c r="AN54" s="338"/>
      <c r="AO54" s="441">
        <f>IF(AN$48="N",IF(AN54&lt;&gt;0,AO53+1, AO53),IF(AN54&lt;&gt;0,AO53+1, 0))</f>
        <v>0</v>
      </c>
      <c r="AP54" s="255">
        <f>IF(AN54&lt;&gt;0,AP53+1,0)</f>
        <v>0</v>
      </c>
      <c r="AQ54" s="437"/>
      <c r="AR54" s="262"/>
      <c r="AT54" s="3095">
        <v>3</v>
      </c>
      <c r="AU54" s="338"/>
      <c r="AV54" s="441">
        <f>IF(AU$48="N",IF(AU54&lt;&gt;0,AV53+1, AV53),IF(AU54&lt;&gt;0,AV53+1, 0))</f>
        <v>0</v>
      </c>
      <c r="AW54" s="255">
        <f>IF(AU54&lt;&gt;0,AW53+1,0)</f>
        <v>0</v>
      </c>
      <c r="AX54" s="262"/>
      <c r="AY54" s="262"/>
      <c r="BA54" s="3095">
        <v>3</v>
      </c>
      <c r="BB54" s="338"/>
      <c r="BC54" s="441">
        <f>IF(BB$48="N",IF(BB54&lt;&gt;0,BC53+1, BC53),IF(BB54&lt;&gt;0,BC53+1, 0))</f>
        <v>0</v>
      </c>
      <c r="BD54" s="255">
        <f>IF(BB54&lt;&gt;0,BD53+1,0)</f>
        <v>0</v>
      </c>
      <c r="BF54" s="299"/>
      <c r="BH54" s="4252" t="s">
        <v>2418</v>
      </c>
      <c r="BI54" s="4252"/>
      <c r="BJ54" s="4252"/>
      <c r="BK54" s="4252"/>
      <c r="BL54" s="4252"/>
      <c r="BM54" s="4252"/>
      <c r="BN54" s="4252"/>
      <c r="BO54" s="442"/>
      <c r="BP54" s="417"/>
      <c r="BQ54" s="4159" t="s">
        <v>1245</v>
      </c>
      <c r="BR54" s="4159"/>
      <c r="BS54" s="4159"/>
      <c r="BT54" s="4159"/>
      <c r="BU54" s="4159"/>
      <c r="BV54" s="4159"/>
      <c r="BW54" s="4159"/>
      <c r="BX54" s="4159"/>
      <c r="BY54" s="4159"/>
      <c r="BZ54" s="410"/>
      <c r="CC54" s="242"/>
      <c r="CH54" s="307"/>
      <c r="CI54" s="307"/>
      <c r="CJ54" s="307" t="str">
        <f>data!FA36</f>
        <v>IF CASHFLOW BALANCE &gt; 0</v>
      </c>
      <c r="CK54" s="4141">
        <f>data!FI36</f>
        <v>0.5</v>
      </c>
      <c r="CL54" s="4142"/>
      <c r="CM54" s="434" t="s">
        <v>949</v>
      </c>
      <c r="CN54" s="4139">
        <f ca="1">IF(AND(PROGRESS!$CC$9&lt;=1,MONEY!$AP$7&gt;0),1,0)</f>
        <v>0</v>
      </c>
      <c r="CO54" s="4140"/>
      <c r="CP54" s="2581" t="s">
        <v>65</v>
      </c>
      <c r="CQ54" s="2561">
        <f ca="1">FLOOR(CN54*CK54,0.5)</f>
        <v>0</v>
      </c>
      <c r="CS54" s="2582"/>
      <c r="CU54" s="242"/>
      <c r="DA54" s="2583" t="str">
        <f>data!$FI$23&amp;" DIFFICULTY"</f>
        <v>CASUAL DIFFICULTY</v>
      </c>
      <c r="DG54" s="2583" t="s">
        <v>1646</v>
      </c>
      <c r="DH54" s="2561">
        <f ca="1">SUM(DH43:DH52)</f>
        <v>0</v>
      </c>
      <c r="DJ54" s="299"/>
    </row>
    <row r="55" spans="2:114" ht="17.100000000000001" customHeight="1" x14ac:dyDescent="0.15">
      <c r="B55" s="417"/>
      <c r="L55" s="410"/>
      <c r="V55" s="438"/>
      <c r="Y55" s="3095">
        <v>4</v>
      </c>
      <c r="Z55" s="338"/>
      <c r="AA55" s="441">
        <f>IF(Z$48="N",IF(Z55&lt;&gt;0,AA54+1, AA54),IF(Z55&lt;&gt;0,AA54+1, 0))</f>
        <v>0</v>
      </c>
      <c r="AB55" s="255">
        <f>IF(Z55&lt;&gt;0,AB54+1,0)</f>
        <v>0</v>
      </c>
      <c r="AC55" s="262"/>
      <c r="AD55" s="262"/>
      <c r="AF55" s="3095">
        <v>4</v>
      </c>
      <c r="AG55" s="338"/>
      <c r="AH55" s="441">
        <f>IF(AG$48="N",IF(AG55&lt;&gt;0,AH54+1, AH54),IF(AG55&lt;&gt;0,AH54+1, 0))</f>
        <v>0</v>
      </c>
      <c r="AI55" s="255">
        <f>IF(AG55&lt;&gt;0,AI54+1,0)</f>
        <v>0</v>
      </c>
      <c r="AJ55" s="262"/>
      <c r="AK55" s="436"/>
      <c r="AM55" s="3095">
        <v>4</v>
      </c>
      <c r="AN55" s="338"/>
      <c r="AO55" s="441">
        <f>IF(AN$48="N",IF(AN55&lt;&gt;0,AO54+1, AO54),IF(AN55&lt;&gt;0,AO54+1, 0))</f>
        <v>0</v>
      </c>
      <c r="AP55" s="255">
        <f>IF(AN55&lt;&gt;0,AP54+1,0)</f>
        <v>0</v>
      </c>
      <c r="AQ55" s="437"/>
      <c r="AR55" s="262"/>
      <c r="AT55" s="3095">
        <v>4</v>
      </c>
      <c r="AU55" s="338"/>
      <c r="AV55" s="441">
        <f>IF(AU$48="N",IF(AU55&lt;&gt;0,AV54+1, AV54),IF(AU55&lt;&gt;0,AV54+1, 0))</f>
        <v>0</v>
      </c>
      <c r="AW55" s="255">
        <f>IF(AU55&lt;&gt;0,AW54+1,0)</f>
        <v>0</v>
      </c>
      <c r="AX55" s="262"/>
      <c r="AY55" s="262"/>
      <c r="BA55" s="3095">
        <v>4</v>
      </c>
      <c r="BB55" s="338"/>
      <c r="BC55" s="441">
        <f>IF(BB$48="N",IF(BB55&lt;&gt;0,BC54+1, BC54),IF(BB55&lt;&gt;0,BC54+1, 0))</f>
        <v>0</v>
      </c>
      <c r="BD55" s="255">
        <f>IF(BB55&lt;&gt;0,BD54+1,0)</f>
        <v>0</v>
      </c>
      <c r="BF55" s="299"/>
      <c r="BH55" s="4253" t="s">
        <v>2419</v>
      </c>
      <c r="BI55" s="4253"/>
      <c r="BJ55" s="4253"/>
      <c r="BK55" s="4253"/>
      <c r="BL55" s="4253"/>
      <c r="BM55" s="4253"/>
      <c r="BN55" s="4253"/>
      <c r="BO55" s="442"/>
      <c r="BP55" s="417"/>
      <c r="BZ55" s="410"/>
      <c r="CC55" s="242"/>
      <c r="CH55" s="307"/>
      <c r="CI55" s="307"/>
      <c r="CJ55" s="307"/>
      <c r="CK55" s="307"/>
      <c r="CL55" s="307"/>
      <c r="CS55" s="299"/>
      <c r="CU55" s="251"/>
      <c r="CV55" s="252"/>
      <c r="CW55" s="252"/>
      <c r="CX55" s="252"/>
      <c r="CY55" s="252"/>
      <c r="CZ55" s="252"/>
      <c r="DA55" s="252"/>
      <c r="DB55" s="252"/>
      <c r="DC55" s="252"/>
      <c r="DD55" s="252"/>
      <c r="DE55" s="252"/>
      <c r="DF55" s="252"/>
      <c r="DG55" s="252"/>
      <c r="DH55" s="252"/>
      <c r="DI55" s="252"/>
      <c r="DJ55" s="253"/>
    </row>
    <row r="56" spans="2:114" ht="17.100000000000001" customHeight="1" x14ac:dyDescent="0.15">
      <c r="B56" s="417"/>
      <c r="C56" s="4137" t="s">
        <v>2452</v>
      </c>
      <c r="D56" s="4137"/>
      <c r="E56" s="4137"/>
      <c r="F56" s="4137"/>
      <c r="G56" s="4137"/>
      <c r="H56" s="4137"/>
      <c r="I56" s="4137"/>
      <c r="J56" s="339"/>
      <c r="K56" s="443" t="str">
        <f>IF(J56&lt;&gt;"","XP","")</f>
        <v/>
      </c>
      <c r="L56" s="410"/>
      <c r="V56" s="438"/>
      <c r="Y56" s="3095">
        <v>5</v>
      </c>
      <c r="Z56" s="338"/>
      <c r="AA56" s="441">
        <f t="shared" ref="AA56:AA82" si="27">IF(Z$48="N",IF(Z56&lt;&gt;0,AA55+1, AA55),IF(Z56&lt;&gt;0,AA55+1, 0))</f>
        <v>0</v>
      </c>
      <c r="AB56" s="255">
        <f t="shared" ref="AB56:AB82" si="28">IF(Z56&lt;&gt;0,AB55+1,0)</f>
        <v>0</v>
      </c>
      <c r="AC56" s="262"/>
      <c r="AD56" s="262"/>
      <c r="AF56" s="3095">
        <v>5</v>
      </c>
      <c r="AG56" s="338"/>
      <c r="AH56" s="441">
        <f t="shared" ref="AH56:AH82" si="29">IF(AG$48="N",IF(AG56&lt;&gt;0,AH55+1, AH55),IF(AG56&lt;&gt;0,AH55+1, 0))</f>
        <v>0</v>
      </c>
      <c r="AI56" s="255">
        <f t="shared" ref="AI56:AI82" si="30">IF(AG56&lt;&gt;0,AI55+1,0)</f>
        <v>0</v>
      </c>
      <c r="AJ56" s="262"/>
      <c r="AK56" s="436"/>
      <c r="AM56" s="3095">
        <v>5</v>
      </c>
      <c r="AN56" s="338"/>
      <c r="AO56" s="441">
        <f t="shared" ref="AO56:AO82" si="31">IF(AN$48="N",IF(AN56&lt;&gt;0,AO55+1, AO55),IF(AN56&lt;&gt;0,AO55+1, 0))</f>
        <v>0</v>
      </c>
      <c r="AP56" s="255">
        <f t="shared" ref="AP56:AP82" si="32">IF(AN56&lt;&gt;0,AP55+1,0)</f>
        <v>0</v>
      </c>
      <c r="AQ56" s="437"/>
      <c r="AR56" s="262"/>
      <c r="AT56" s="3095">
        <v>5</v>
      </c>
      <c r="AU56" s="338"/>
      <c r="AV56" s="441">
        <f t="shared" ref="AV56:AV82" si="33">IF(AU$48="N",IF(AU56&lt;&gt;0,AV55+1, AV55),IF(AU56&lt;&gt;0,AV55+1, 0))</f>
        <v>0</v>
      </c>
      <c r="AW56" s="255">
        <f t="shared" ref="AW56:AW82" si="34">IF(AU56&lt;&gt;0,AW55+1,0)</f>
        <v>0</v>
      </c>
      <c r="AX56" s="262"/>
      <c r="AY56" s="262"/>
      <c r="BA56" s="3095">
        <v>5</v>
      </c>
      <c r="BB56" s="338"/>
      <c r="BC56" s="441">
        <f t="shared" ref="BC56:BC69" si="35">IF(BB$48="N",IF(BB56&lt;&gt;0,BC55+1, BC55),IF(BB56&lt;&gt;0,BC55+1, 0))</f>
        <v>0</v>
      </c>
      <c r="BD56" s="255">
        <f t="shared" ref="BD56:BD69" si="36">IF(BB56&lt;&gt;0,BD55+1,0)</f>
        <v>0</v>
      </c>
      <c r="BF56" s="299"/>
      <c r="BH56" s="3349"/>
      <c r="BI56" s="3350" t="s">
        <v>2420</v>
      </c>
      <c r="BJ56" s="4268"/>
      <c r="BK56" s="4269"/>
      <c r="BL56" s="4269"/>
      <c r="BM56" s="4270"/>
      <c r="BN56" s="3349"/>
      <c r="BO56" s="442"/>
      <c r="BP56" s="417"/>
      <c r="BQ56" s="4137" t="s">
        <v>2462</v>
      </c>
      <c r="BR56" s="4137"/>
      <c r="BS56" s="4137"/>
      <c r="BT56" s="4137"/>
      <c r="BU56" s="4137"/>
      <c r="BV56" s="4137"/>
      <c r="BW56" s="4137"/>
      <c r="BX56" s="339"/>
      <c r="BY56" s="443" t="str">
        <f>IF(BX56&lt;&gt;"","XP","")</f>
        <v/>
      </c>
      <c r="BZ56" s="410"/>
      <c r="CC56" s="242"/>
      <c r="CH56" s="307"/>
      <c r="CI56" s="307"/>
      <c r="CJ56" s="307" t="str">
        <f>data!FA38</f>
        <v>PER BOOK FINISHED</v>
      </c>
      <c r="CK56" s="4141">
        <f>data!FI38</f>
        <v>1</v>
      </c>
      <c r="CL56" s="4142"/>
      <c r="CM56" s="434" t="s">
        <v>949</v>
      </c>
      <c r="CN56" s="4139">
        <f>JOURNEY!$BA$57</f>
        <v>0</v>
      </c>
      <c r="CO56" s="4140"/>
      <c r="CP56" s="2581" t="s">
        <v>65</v>
      </c>
      <c r="CQ56" s="2561">
        <f t="shared" ref="CQ56:CQ58" si="37">FLOOR(CN56*CK56,0.5)</f>
        <v>0</v>
      </c>
      <c r="CS56" s="2582"/>
      <c r="CV56" s="1601"/>
      <c r="DC56" s="46"/>
      <c r="DD56" s="46"/>
    </row>
    <row r="57" spans="2:114" ht="17.100000000000001" customHeight="1" x14ac:dyDescent="0.15">
      <c r="B57" s="417"/>
      <c r="C57" s="4137" t="s">
        <v>2473</v>
      </c>
      <c r="D57" s="4137"/>
      <c r="E57" s="4137"/>
      <c r="F57" s="4137"/>
      <c r="G57" s="4137"/>
      <c r="H57" s="4137"/>
      <c r="I57" s="4137"/>
      <c r="J57" s="339" t="s">
        <v>78</v>
      </c>
      <c r="K57" s="443" t="str">
        <f>IF(J57&lt;&gt;"","XP","")</f>
        <v>XP</v>
      </c>
      <c r="L57" s="410"/>
      <c r="U57" s="262"/>
      <c r="V57" s="438"/>
      <c r="Y57" s="3095">
        <v>6</v>
      </c>
      <c r="Z57" s="338"/>
      <c r="AA57" s="441">
        <f t="shared" si="27"/>
        <v>0</v>
      </c>
      <c r="AB57" s="255">
        <f t="shared" si="28"/>
        <v>0</v>
      </c>
      <c r="AC57" s="262"/>
      <c r="AD57" s="262"/>
      <c r="AF57" s="3095">
        <v>6</v>
      </c>
      <c r="AG57" s="338"/>
      <c r="AH57" s="441">
        <f t="shared" si="29"/>
        <v>0</v>
      </c>
      <c r="AI57" s="255">
        <f t="shared" si="30"/>
        <v>0</v>
      </c>
      <c r="AJ57" s="262"/>
      <c r="AK57" s="436"/>
      <c r="AM57" s="3095">
        <v>6</v>
      </c>
      <c r="AN57" s="338"/>
      <c r="AO57" s="441">
        <f t="shared" si="31"/>
        <v>0</v>
      </c>
      <c r="AP57" s="255">
        <f t="shared" si="32"/>
        <v>0</v>
      </c>
      <c r="AQ57" s="437"/>
      <c r="AR57" s="262"/>
      <c r="AT57" s="3095">
        <v>6</v>
      </c>
      <c r="AU57" s="338"/>
      <c r="AV57" s="441">
        <f t="shared" si="33"/>
        <v>0</v>
      </c>
      <c r="AW57" s="255">
        <f t="shared" si="34"/>
        <v>0</v>
      </c>
      <c r="AX57" s="262"/>
      <c r="AY57" s="262"/>
      <c r="BA57" s="3095">
        <v>6</v>
      </c>
      <c r="BB57" s="338"/>
      <c r="BC57" s="441">
        <f t="shared" si="35"/>
        <v>0</v>
      </c>
      <c r="BD57" s="255">
        <f t="shared" si="36"/>
        <v>0</v>
      </c>
      <c r="BF57" s="299"/>
      <c r="BG57" s="262"/>
      <c r="BI57" s="3350" t="s">
        <v>2421</v>
      </c>
      <c r="BJ57" s="4271"/>
      <c r="BK57" s="4272"/>
      <c r="BL57" s="4272"/>
      <c r="BM57" s="4273"/>
      <c r="BO57" s="442"/>
      <c r="BP57" s="417"/>
      <c r="BQ57" s="4137" t="s">
        <v>2473</v>
      </c>
      <c r="BR57" s="4137"/>
      <c r="BS57" s="4137"/>
      <c r="BT57" s="4137"/>
      <c r="BU57" s="4137"/>
      <c r="BV57" s="4137"/>
      <c r="BW57" s="4137"/>
      <c r="BX57" s="339" t="s">
        <v>78</v>
      </c>
      <c r="BY57" s="443" t="str">
        <f>IF(BX57&lt;&gt;"","XP","")</f>
        <v>XP</v>
      </c>
      <c r="BZ57" s="410"/>
      <c r="CC57" s="242"/>
      <c r="CH57" s="307"/>
      <c r="CI57" s="307"/>
      <c r="CJ57" s="307" t="str">
        <f>data!FA39</f>
        <v>PER ADVENTURE DONE</v>
      </c>
      <c r="CK57" s="4141">
        <f>data!FI39</f>
        <v>0.5</v>
      </c>
      <c r="CL57" s="4142"/>
      <c r="CM57" s="434" t="s">
        <v>949</v>
      </c>
      <c r="CN57" s="4139">
        <f>JOURNEY!$W$57</f>
        <v>0</v>
      </c>
      <c r="CO57" s="4140"/>
      <c r="CP57" s="2581" t="s">
        <v>65</v>
      </c>
      <c r="CQ57" s="2561">
        <f t="shared" si="37"/>
        <v>0</v>
      </c>
      <c r="CS57" s="2582"/>
    </row>
    <row r="58" spans="2:114" ht="17.100000000000001" customHeight="1" x14ac:dyDescent="0.15">
      <c r="B58" s="417"/>
      <c r="C58" s="4137"/>
      <c r="D58" s="4137"/>
      <c r="E58" s="4137"/>
      <c r="F58" s="4137"/>
      <c r="G58" s="4137"/>
      <c r="H58" s="4137"/>
      <c r="I58" s="4137"/>
      <c r="J58" s="339"/>
      <c r="K58" s="443" t="str">
        <f>IF(J58&lt;&gt;"","XP","")</f>
        <v/>
      </c>
      <c r="L58" s="410"/>
      <c r="U58" s="262"/>
      <c r="V58" s="438"/>
      <c r="Y58" s="3095">
        <v>7</v>
      </c>
      <c r="Z58" s="338"/>
      <c r="AA58" s="441">
        <f t="shared" si="27"/>
        <v>0</v>
      </c>
      <c r="AB58" s="255">
        <f t="shared" si="28"/>
        <v>0</v>
      </c>
      <c r="AC58" s="262"/>
      <c r="AD58" s="262"/>
      <c r="AF58" s="3095">
        <v>7</v>
      </c>
      <c r="AG58" s="338"/>
      <c r="AH58" s="441">
        <f t="shared" si="29"/>
        <v>0</v>
      </c>
      <c r="AI58" s="255">
        <f t="shared" si="30"/>
        <v>0</v>
      </c>
      <c r="AJ58" s="262"/>
      <c r="AK58" s="436"/>
      <c r="AM58" s="3095">
        <v>7</v>
      </c>
      <c r="AN58" s="338"/>
      <c r="AO58" s="441">
        <f t="shared" si="31"/>
        <v>0</v>
      </c>
      <c r="AP58" s="255">
        <f t="shared" si="32"/>
        <v>0</v>
      </c>
      <c r="AQ58" s="437"/>
      <c r="AR58" s="262"/>
      <c r="AT58" s="3095">
        <v>7</v>
      </c>
      <c r="AU58" s="338"/>
      <c r="AV58" s="441">
        <f t="shared" si="33"/>
        <v>0</v>
      </c>
      <c r="AW58" s="255">
        <f t="shared" si="34"/>
        <v>0</v>
      </c>
      <c r="AX58" s="262"/>
      <c r="AY58" s="262"/>
      <c r="BA58" s="3095">
        <v>7</v>
      </c>
      <c r="BB58" s="338"/>
      <c r="BC58" s="441">
        <f t="shared" si="35"/>
        <v>0</v>
      </c>
      <c r="BD58" s="255">
        <f t="shared" si="36"/>
        <v>0</v>
      </c>
      <c r="BF58" s="299"/>
      <c r="BG58" s="262"/>
      <c r="BI58" s="3351" t="s">
        <v>2422</v>
      </c>
      <c r="BJ58" s="4274" t="str">
        <f ca="1">IF(BJ56="","",IF(BJ57="",ROUNDDOWN((NOW()-BJ56)*24,0)&amp;" hours",ROUNDDOWN((BJ57-BJ56)*24,0)&amp;" hours"))</f>
        <v/>
      </c>
      <c r="BK58" s="4275"/>
      <c r="BL58" s="4275"/>
      <c r="BM58" s="4276"/>
      <c r="BO58" s="442"/>
      <c r="BP58" s="417"/>
      <c r="BQ58" s="4137"/>
      <c r="BR58" s="4137"/>
      <c r="BS58" s="4137"/>
      <c r="BT58" s="4137"/>
      <c r="BU58" s="4137"/>
      <c r="BV58" s="4137"/>
      <c r="BW58" s="4137"/>
      <c r="BX58" s="339"/>
      <c r="BY58" s="443" t="str">
        <f>IF(BX58&lt;&gt;"","XP","")</f>
        <v/>
      </c>
      <c r="BZ58" s="410"/>
      <c r="CC58" s="242"/>
      <c r="CH58" s="307"/>
      <c r="CI58" s="307"/>
      <c r="CJ58" s="307" t="str">
        <f>data!FA40</f>
        <v>PER CONNECTION DONE</v>
      </c>
      <c r="CK58" s="4141">
        <f>data!FI40</f>
        <v>0.5</v>
      </c>
      <c r="CL58" s="4142"/>
      <c r="CM58" s="434" t="s">
        <v>949</v>
      </c>
      <c r="CN58" s="4139">
        <f>JOURNEY!$BE$57</f>
        <v>0</v>
      </c>
      <c r="CO58" s="4140"/>
      <c r="CP58" s="2581" t="s">
        <v>65</v>
      </c>
      <c r="CQ58" s="2561">
        <f t="shared" si="37"/>
        <v>0</v>
      </c>
      <c r="CS58" s="2582"/>
    </row>
    <row r="59" spans="2:114" ht="17.100000000000001" customHeight="1" x14ac:dyDescent="0.2">
      <c r="B59" s="417"/>
      <c r="C59" s="4152"/>
      <c r="D59" s="4137"/>
      <c r="E59" s="4137"/>
      <c r="F59" s="4137"/>
      <c r="G59" s="4137"/>
      <c r="H59" s="4137"/>
      <c r="I59" s="4137"/>
      <c r="J59" s="339"/>
      <c r="K59" s="443" t="str">
        <f>IF(J59&lt;&gt;"","XP","")</f>
        <v/>
      </c>
      <c r="L59" s="410"/>
      <c r="U59" s="444"/>
      <c r="V59" s="438"/>
      <c r="Y59" s="3095">
        <v>8</v>
      </c>
      <c r="Z59" s="338"/>
      <c r="AA59" s="441">
        <f t="shared" si="27"/>
        <v>0</v>
      </c>
      <c r="AB59" s="255">
        <f t="shared" si="28"/>
        <v>0</v>
      </c>
      <c r="AC59" s="262" t="s">
        <v>47</v>
      </c>
      <c r="AD59" s="262"/>
      <c r="AF59" s="3095">
        <v>8</v>
      </c>
      <c r="AG59" s="338"/>
      <c r="AH59" s="441">
        <f t="shared" si="29"/>
        <v>0</v>
      </c>
      <c r="AI59" s="255">
        <f t="shared" si="30"/>
        <v>0</v>
      </c>
      <c r="AJ59" s="262"/>
      <c r="AK59" s="436"/>
      <c r="AM59" s="3095">
        <v>8</v>
      </c>
      <c r="AN59" s="338"/>
      <c r="AO59" s="441">
        <f t="shared" si="31"/>
        <v>0</v>
      </c>
      <c r="AP59" s="255">
        <f t="shared" si="32"/>
        <v>0</v>
      </c>
      <c r="AQ59" s="437"/>
      <c r="AR59" s="262"/>
      <c r="AT59" s="3095">
        <v>8</v>
      </c>
      <c r="AU59" s="338"/>
      <c r="AV59" s="441">
        <f t="shared" si="33"/>
        <v>0</v>
      </c>
      <c r="AW59" s="255">
        <f t="shared" si="34"/>
        <v>0</v>
      </c>
      <c r="AX59" s="262"/>
      <c r="AY59" s="262"/>
      <c r="BA59" s="3095">
        <v>8</v>
      </c>
      <c r="BB59" s="338"/>
      <c r="BC59" s="441">
        <f t="shared" si="35"/>
        <v>0</v>
      </c>
      <c r="BD59" s="255">
        <f t="shared" si="36"/>
        <v>0</v>
      </c>
      <c r="BF59" s="299"/>
      <c r="BG59" s="444"/>
      <c r="BH59" s="4252" t="str">
        <f>BK61&amp;" XP per 1hr over 12hrs"</f>
        <v>5 XP per 1hr over 12hrs</v>
      </c>
      <c r="BI59" s="4252"/>
      <c r="BJ59" s="4252"/>
      <c r="BK59" s="4252"/>
      <c r="BL59" s="4252"/>
      <c r="BM59" s="4252"/>
      <c r="BN59" s="4252"/>
      <c r="BO59" s="442"/>
      <c r="BP59" s="417"/>
      <c r="BQ59" s="4137"/>
      <c r="BR59" s="4137"/>
      <c r="BS59" s="4137"/>
      <c r="BT59" s="4137"/>
      <c r="BU59" s="4137"/>
      <c r="BV59" s="4137"/>
      <c r="BW59" s="4137"/>
      <c r="BX59" s="339"/>
      <c r="BY59" s="443" t="str">
        <f>IF(BX59&lt;&gt;"","XP","")</f>
        <v/>
      </c>
      <c r="BZ59" s="410"/>
      <c r="CC59" s="242"/>
      <c r="CH59" s="307"/>
      <c r="CI59" s="307"/>
      <c r="CJ59" s="307"/>
      <c r="CK59" s="307"/>
      <c r="CL59" s="307"/>
      <c r="CS59" s="299"/>
    </row>
    <row r="60" spans="2:114" ht="17.100000000000001" customHeight="1" x14ac:dyDescent="0.15">
      <c r="B60" s="417"/>
      <c r="C60" s="4152"/>
      <c r="D60" s="4137"/>
      <c r="E60" s="4137"/>
      <c r="F60" s="4137"/>
      <c r="G60" s="4137"/>
      <c r="H60" s="4137"/>
      <c r="I60" s="4137"/>
      <c r="J60" s="339"/>
      <c r="K60" s="443" t="str">
        <f t="shared" ref="K60:K123" si="38">IF(J60&lt;&gt;"","XP","")</f>
        <v/>
      </c>
      <c r="L60" s="410"/>
      <c r="U60" s="444"/>
      <c r="V60" s="433"/>
      <c r="Y60" s="3095">
        <v>9</v>
      </c>
      <c r="Z60" s="338"/>
      <c r="AA60" s="441">
        <f t="shared" si="27"/>
        <v>0</v>
      </c>
      <c r="AB60" s="255">
        <f t="shared" si="28"/>
        <v>0</v>
      </c>
      <c r="AC60" s="262"/>
      <c r="AD60" s="262"/>
      <c r="AF60" s="3095">
        <v>9</v>
      </c>
      <c r="AG60" s="338"/>
      <c r="AH60" s="441">
        <f t="shared" si="29"/>
        <v>0</v>
      </c>
      <c r="AI60" s="255">
        <f t="shared" si="30"/>
        <v>0</v>
      </c>
      <c r="AJ60" s="262"/>
      <c r="AK60" s="436"/>
      <c r="AM60" s="3095">
        <v>9</v>
      </c>
      <c r="AN60" s="338"/>
      <c r="AO60" s="441">
        <f t="shared" si="31"/>
        <v>0</v>
      </c>
      <c r="AP60" s="255">
        <f t="shared" si="32"/>
        <v>0</v>
      </c>
      <c r="AQ60" s="437"/>
      <c r="AR60" s="262"/>
      <c r="AT60" s="3095">
        <v>9</v>
      </c>
      <c r="AU60" s="338"/>
      <c r="AV60" s="441">
        <f t="shared" si="33"/>
        <v>0</v>
      </c>
      <c r="AW60" s="255">
        <f t="shared" si="34"/>
        <v>0</v>
      </c>
      <c r="AX60" s="262"/>
      <c r="AY60" s="262"/>
      <c r="BA60" s="3095">
        <v>9</v>
      </c>
      <c r="BB60" s="338"/>
      <c r="BC60" s="441">
        <f t="shared" si="35"/>
        <v>0</v>
      </c>
      <c r="BD60" s="255">
        <f t="shared" si="36"/>
        <v>0</v>
      </c>
      <c r="BF60" s="299"/>
      <c r="BG60" s="444"/>
      <c r="BI60" s="3351" t="s">
        <v>2422</v>
      </c>
      <c r="BJ60" s="4277" t="str">
        <f ca="1">IF(BN60="","",IF(BN60&lt;=12,0,(BN60-12)*BK61&amp;" XP"))</f>
        <v/>
      </c>
      <c r="BK60" s="4278"/>
      <c r="BL60" s="4278"/>
      <c r="BM60" s="4279"/>
      <c r="BN60" s="3352" t="str">
        <f ca="1">IF(BJ56="","",IF(BJ57="",ROUNDDOWN((NOW()-BJ56)*24,0),ROUNDDOWN((BJ57-BJ56)*24,0)))</f>
        <v/>
      </c>
      <c r="BO60" s="442"/>
      <c r="BP60" s="417"/>
      <c r="BQ60" s="4137"/>
      <c r="BR60" s="4137"/>
      <c r="BS60" s="4137"/>
      <c r="BT60" s="4137"/>
      <c r="BU60" s="4137"/>
      <c r="BV60" s="4137"/>
      <c r="BW60" s="4137"/>
      <c r="BX60" s="339"/>
      <c r="BY60" s="443" t="str">
        <f t="shared" ref="BY60:BY123" si="39">IF(BX60&lt;&gt;"","XP","")</f>
        <v/>
      </c>
      <c r="BZ60" s="410"/>
      <c r="CC60" s="242"/>
      <c r="CH60" s="307"/>
      <c r="CI60" s="307"/>
      <c r="CJ60" s="307" t="str">
        <f>data!FA42</f>
        <v>PER LEVEL UP</v>
      </c>
      <c r="CK60" s="4141">
        <f>data!FI42</f>
        <v>1</v>
      </c>
      <c r="CL60" s="4142"/>
      <c r="CM60" s="434" t="s">
        <v>949</v>
      </c>
      <c r="CN60" s="4139">
        <f>$AK$3-$AM$13</f>
        <v>0</v>
      </c>
      <c r="CO60" s="4140"/>
      <c r="CP60" s="2581" t="s">
        <v>65</v>
      </c>
      <c r="CQ60" s="2561">
        <f t="shared" ref="CQ60" si="40">FLOOR(CN60*CK60,0.5)</f>
        <v>0</v>
      </c>
      <c r="CS60" s="2582"/>
    </row>
    <row r="61" spans="2:114" ht="17.100000000000001" customHeight="1" x14ac:dyDescent="0.2">
      <c r="B61" s="417"/>
      <c r="C61" s="4137"/>
      <c r="D61" s="4137"/>
      <c r="E61" s="4137"/>
      <c r="F61" s="4137"/>
      <c r="G61" s="4137"/>
      <c r="H61" s="4137"/>
      <c r="I61" s="4137"/>
      <c r="J61" s="339"/>
      <c r="K61" s="443" t="str">
        <f t="shared" si="38"/>
        <v/>
      </c>
      <c r="L61" s="410"/>
      <c r="U61" s="440"/>
      <c r="V61" s="433"/>
      <c r="Y61" s="3095">
        <v>10</v>
      </c>
      <c r="Z61" s="338"/>
      <c r="AA61" s="441">
        <f t="shared" si="27"/>
        <v>0</v>
      </c>
      <c r="AB61" s="255">
        <f t="shared" si="28"/>
        <v>0</v>
      </c>
      <c r="AC61" s="262"/>
      <c r="AD61" s="262"/>
      <c r="AF61" s="3095">
        <v>10</v>
      </c>
      <c r="AG61" s="338"/>
      <c r="AH61" s="441">
        <f t="shared" si="29"/>
        <v>0</v>
      </c>
      <c r="AI61" s="255">
        <f t="shared" si="30"/>
        <v>0</v>
      </c>
      <c r="AJ61" s="262"/>
      <c r="AK61" s="436"/>
      <c r="AM61" s="3095">
        <v>10</v>
      </c>
      <c r="AN61" s="338"/>
      <c r="AO61" s="441">
        <f t="shared" si="31"/>
        <v>0</v>
      </c>
      <c r="AP61" s="255">
        <f t="shared" si="32"/>
        <v>0</v>
      </c>
      <c r="AQ61" s="437"/>
      <c r="AR61" s="262"/>
      <c r="AT61" s="3095">
        <v>10</v>
      </c>
      <c r="AU61" s="338"/>
      <c r="AV61" s="441">
        <f t="shared" si="33"/>
        <v>0</v>
      </c>
      <c r="AW61" s="255">
        <f t="shared" si="34"/>
        <v>0</v>
      </c>
      <c r="AX61" s="262"/>
      <c r="AY61" s="262"/>
      <c r="BA61" s="3095">
        <v>10</v>
      </c>
      <c r="BB61" s="338"/>
      <c r="BC61" s="441">
        <f t="shared" si="35"/>
        <v>0</v>
      </c>
      <c r="BD61" s="255">
        <f t="shared" si="36"/>
        <v>0</v>
      </c>
      <c r="BF61" s="299"/>
      <c r="BG61" s="444"/>
      <c r="BJ61" s="2702" t="s">
        <v>2415</v>
      </c>
      <c r="BK61" s="3348">
        <v>5</v>
      </c>
      <c r="BL61" s="377" t="s">
        <v>2423</v>
      </c>
      <c r="BO61" s="442"/>
      <c r="BP61" s="417"/>
      <c r="BQ61" s="4137"/>
      <c r="BR61" s="4137"/>
      <c r="BS61" s="4137"/>
      <c r="BT61" s="4137"/>
      <c r="BU61" s="4137"/>
      <c r="BV61" s="4137"/>
      <c r="BW61" s="4137"/>
      <c r="BX61" s="339"/>
      <c r="BY61" s="443" t="str">
        <f t="shared" si="39"/>
        <v/>
      </c>
      <c r="BZ61" s="410"/>
      <c r="CC61" s="242"/>
      <c r="CH61" s="307"/>
      <c r="CI61" s="307"/>
      <c r="CJ61" s="307"/>
      <c r="CK61" s="307"/>
      <c r="CL61" s="307"/>
      <c r="CS61" s="299"/>
    </row>
    <row r="62" spans="2:114" ht="17.100000000000001" customHeight="1" x14ac:dyDescent="0.15">
      <c r="B62" s="417"/>
      <c r="C62" s="4137"/>
      <c r="D62" s="4137"/>
      <c r="E62" s="4137"/>
      <c r="F62" s="4137"/>
      <c r="G62" s="4137"/>
      <c r="H62" s="4137"/>
      <c r="I62" s="4137"/>
      <c r="J62" s="339"/>
      <c r="K62" s="443" t="str">
        <f t="shared" si="38"/>
        <v/>
      </c>
      <c r="L62" s="410"/>
      <c r="U62" s="440"/>
      <c r="V62" s="433"/>
      <c r="Y62" s="3095">
        <v>11</v>
      </c>
      <c r="Z62" s="338"/>
      <c r="AA62" s="441">
        <f t="shared" si="27"/>
        <v>0</v>
      </c>
      <c r="AB62" s="255">
        <f t="shared" si="28"/>
        <v>0</v>
      </c>
      <c r="AC62" s="262"/>
      <c r="AD62" s="262"/>
      <c r="AF62" s="3095">
        <v>11</v>
      </c>
      <c r="AG62" s="338"/>
      <c r="AH62" s="441">
        <f t="shared" si="29"/>
        <v>0</v>
      </c>
      <c r="AI62" s="255">
        <f t="shared" si="30"/>
        <v>0</v>
      </c>
      <c r="AJ62" s="262"/>
      <c r="AK62" s="436"/>
      <c r="AM62" s="3095">
        <v>11</v>
      </c>
      <c r="AN62" s="338"/>
      <c r="AO62" s="441">
        <f t="shared" si="31"/>
        <v>0</v>
      </c>
      <c r="AP62" s="255">
        <f t="shared" si="32"/>
        <v>0</v>
      </c>
      <c r="AQ62" s="437"/>
      <c r="AR62" s="262"/>
      <c r="AT62" s="3095">
        <v>11</v>
      </c>
      <c r="AU62" s="338"/>
      <c r="AV62" s="441">
        <f t="shared" si="33"/>
        <v>0</v>
      </c>
      <c r="AW62" s="255">
        <f t="shared" si="34"/>
        <v>0</v>
      </c>
      <c r="AX62" s="262"/>
      <c r="AY62" s="262"/>
      <c r="BA62" s="3095">
        <v>11</v>
      </c>
      <c r="BB62" s="338"/>
      <c r="BC62" s="441">
        <f t="shared" si="35"/>
        <v>0</v>
      </c>
      <c r="BD62" s="255">
        <f t="shared" si="36"/>
        <v>0</v>
      </c>
      <c r="BF62" s="299"/>
      <c r="BG62" s="444"/>
      <c r="BM62" s="378"/>
      <c r="BO62" s="442"/>
      <c r="BP62" s="417"/>
      <c r="BQ62" s="4137"/>
      <c r="BR62" s="4137"/>
      <c r="BS62" s="4137"/>
      <c r="BT62" s="4137"/>
      <c r="BU62" s="4137"/>
      <c r="BV62" s="4137"/>
      <c r="BW62" s="4137"/>
      <c r="BX62" s="339"/>
      <c r="BY62" s="443" t="str">
        <f t="shared" si="39"/>
        <v/>
      </c>
      <c r="BZ62" s="410"/>
      <c r="CC62" s="242"/>
      <c r="CH62" s="307"/>
      <c r="CI62" s="307"/>
      <c r="CJ62" s="307" t="str">
        <f>data!FA44</f>
        <v>PER SKILL MISSION COMPLETE</v>
      </c>
      <c r="CK62" s="4141">
        <f>data!FI44</f>
        <v>0.5</v>
      </c>
      <c r="CL62" s="4142"/>
      <c r="CM62" s="434" t="s">
        <v>949</v>
      </c>
      <c r="CN62" s="4139">
        <f>MISSIONS!$GN$5</f>
        <v>0</v>
      </c>
      <c r="CO62" s="4140"/>
      <c r="CP62" s="2581" t="s">
        <v>65</v>
      </c>
      <c r="CQ62" s="2561">
        <f t="shared" ref="CQ62:CQ64" si="41">FLOOR(CN62*CK62,0.5)</f>
        <v>0</v>
      </c>
      <c r="CS62" s="2582"/>
    </row>
    <row r="63" spans="2:114" ht="17.100000000000001" customHeight="1" x14ac:dyDescent="0.15">
      <c r="B63" s="417"/>
      <c r="C63" s="4137"/>
      <c r="D63" s="4137"/>
      <c r="E63" s="4137"/>
      <c r="F63" s="4137"/>
      <c r="G63" s="4137"/>
      <c r="H63" s="4137"/>
      <c r="I63" s="4137"/>
      <c r="J63" s="339"/>
      <c r="K63" s="443" t="str">
        <f t="shared" si="38"/>
        <v/>
      </c>
      <c r="L63" s="410"/>
      <c r="U63" s="440"/>
      <c r="V63" s="433"/>
      <c r="Y63" s="3095">
        <v>12</v>
      </c>
      <c r="Z63" s="338"/>
      <c r="AA63" s="441">
        <f t="shared" si="27"/>
        <v>0</v>
      </c>
      <c r="AB63" s="255">
        <f t="shared" si="28"/>
        <v>0</v>
      </c>
      <c r="AC63" s="262"/>
      <c r="AD63" s="262"/>
      <c r="AF63" s="3095">
        <v>12</v>
      </c>
      <c r="AG63" s="338"/>
      <c r="AH63" s="441">
        <f t="shared" si="29"/>
        <v>0</v>
      </c>
      <c r="AI63" s="255">
        <f t="shared" si="30"/>
        <v>0</v>
      </c>
      <c r="AJ63" s="262"/>
      <c r="AK63" s="436"/>
      <c r="AM63" s="3095">
        <v>12</v>
      </c>
      <c r="AN63" s="338"/>
      <c r="AO63" s="441">
        <f t="shared" si="31"/>
        <v>0</v>
      </c>
      <c r="AP63" s="255">
        <f t="shared" si="32"/>
        <v>0</v>
      </c>
      <c r="AQ63" s="437"/>
      <c r="AR63" s="262"/>
      <c r="AT63" s="3095">
        <v>12</v>
      </c>
      <c r="AU63" s="338"/>
      <c r="AV63" s="441">
        <f t="shared" si="33"/>
        <v>0</v>
      </c>
      <c r="AW63" s="255">
        <f t="shared" si="34"/>
        <v>0</v>
      </c>
      <c r="AX63" s="262"/>
      <c r="AY63" s="262"/>
      <c r="BA63" s="3095">
        <v>12</v>
      </c>
      <c r="BB63" s="338"/>
      <c r="BC63" s="441">
        <f t="shared" si="35"/>
        <v>0</v>
      </c>
      <c r="BD63" s="255">
        <f t="shared" si="36"/>
        <v>0</v>
      </c>
      <c r="BF63" s="299"/>
      <c r="BG63" s="445"/>
      <c r="BO63" s="442"/>
      <c r="BP63" s="417"/>
      <c r="BQ63" s="4137"/>
      <c r="BR63" s="4137"/>
      <c r="BS63" s="4137"/>
      <c r="BT63" s="4137"/>
      <c r="BU63" s="4137"/>
      <c r="BV63" s="4137"/>
      <c r="BW63" s="4137"/>
      <c r="BX63" s="339"/>
      <c r="BY63" s="443" t="str">
        <f t="shared" si="39"/>
        <v/>
      </c>
      <c r="BZ63" s="410"/>
      <c r="CC63" s="242"/>
      <c r="CH63" s="307"/>
      <c r="CI63" s="307"/>
      <c r="CJ63" s="307" t="str">
        <f>data!FA45</f>
        <v>PER SINGLE MISSION COMPLETE</v>
      </c>
      <c r="CK63" s="4141">
        <f>data!FI45</f>
        <v>0.5</v>
      </c>
      <c r="CL63" s="4142"/>
      <c r="CM63" s="434" t="s">
        <v>949</v>
      </c>
      <c r="CN63" s="4139">
        <f>MISSIONS!$GN$7</f>
        <v>0</v>
      </c>
      <c r="CO63" s="4140"/>
      <c r="CP63" s="2581" t="s">
        <v>65</v>
      </c>
      <c r="CQ63" s="2561">
        <f t="shared" si="41"/>
        <v>0</v>
      </c>
      <c r="CS63" s="2582"/>
    </row>
    <row r="64" spans="2:114" ht="17.100000000000001" customHeight="1" x14ac:dyDescent="0.15">
      <c r="B64" s="417"/>
      <c r="C64" s="4137"/>
      <c r="D64" s="4137"/>
      <c r="E64" s="4137"/>
      <c r="F64" s="4137"/>
      <c r="G64" s="4137"/>
      <c r="H64" s="4137"/>
      <c r="I64" s="4137"/>
      <c r="J64" s="339"/>
      <c r="K64" s="443" t="str">
        <f t="shared" si="38"/>
        <v/>
      </c>
      <c r="L64" s="410"/>
      <c r="U64" s="440"/>
      <c r="V64" s="433"/>
      <c r="Y64" s="3095">
        <v>13</v>
      </c>
      <c r="Z64" s="338"/>
      <c r="AA64" s="441">
        <f t="shared" si="27"/>
        <v>0</v>
      </c>
      <c r="AB64" s="255">
        <f t="shared" si="28"/>
        <v>0</v>
      </c>
      <c r="AC64" s="262"/>
      <c r="AD64" s="262"/>
      <c r="AF64" s="3095">
        <v>13</v>
      </c>
      <c r="AG64" s="338"/>
      <c r="AH64" s="441">
        <f t="shared" si="29"/>
        <v>0</v>
      </c>
      <c r="AI64" s="255">
        <f t="shared" si="30"/>
        <v>0</v>
      </c>
      <c r="AJ64" s="262"/>
      <c r="AK64" s="436"/>
      <c r="AM64" s="3095">
        <v>13</v>
      </c>
      <c r="AN64" s="338"/>
      <c r="AO64" s="441">
        <f t="shared" si="31"/>
        <v>0</v>
      </c>
      <c r="AP64" s="255">
        <f t="shared" si="32"/>
        <v>0</v>
      </c>
      <c r="AQ64" s="437"/>
      <c r="AR64" s="262"/>
      <c r="AT64" s="3095">
        <v>13</v>
      </c>
      <c r="AU64" s="338"/>
      <c r="AV64" s="441">
        <f t="shared" si="33"/>
        <v>0</v>
      </c>
      <c r="AW64" s="255">
        <f t="shared" si="34"/>
        <v>0</v>
      </c>
      <c r="AX64" s="262"/>
      <c r="AY64" s="262"/>
      <c r="BA64" s="3095">
        <v>13</v>
      </c>
      <c r="BB64" s="338"/>
      <c r="BC64" s="441">
        <f t="shared" si="35"/>
        <v>0</v>
      </c>
      <c r="BD64" s="255">
        <f t="shared" si="36"/>
        <v>0</v>
      </c>
      <c r="BF64" s="299"/>
      <c r="BG64" s="445"/>
      <c r="BO64" s="442"/>
      <c r="BP64" s="417"/>
      <c r="BQ64" s="4137"/>
      <c r="BR64" s="4137"/>
      <c r="BS64" s="4137"/>
      <c r="BT64" s="4137"/>
      <c r="BU64" s="4137"/>
      <c r="BV64" s="4137"/>
      <c r="BW64" s="4137"/>
      <c r="BX64" s="339"/>
      <c r="BY64" s="443" t="str">
        <f t="shared" si="39"/>
        <v/>
      </c>
      <c r="BZ64" s="410"/>
      <c r="CC64" s="242"/>
      <c r="CH64" s="307"/>
      <c r="CI64" s="307"/>
      <c r="CJ64" s="307" t="str">
        <f>data!FA46</f>
        <v>PER REPEAT MISSION COMPLETE</v>
      </c>
      <c r="CK64" s="4141">
        <f>data!FI46</f>
        <v>0.5</v>
      </c>
      <c r="CL64" s="4142"/>
      <c r="CM64" s="434" t="s">
        <v>949</v>
      </c>
      <c r="CN64" s="4139">
        <f>MISSIONS!$GN$9</f>
        <v>0</v>
      </c>
      <c r="CO64" s="4140"/>
      <c r="CP64" s="2581" t="s">
        <v>65</v>
      </c>
      <c r="CQ64" s="2561">
        <f t="shared" si="41"/>
        <v>0</v>
      </c>
      <c r="CS64" s="2582"/>
    </row>
    <row r="65" spans="2:114" ht="17.100000000000001" customHeight="1" x14ac:dyDescent="0.15">
      <c r="B65" s="417"/>
      <c r="C65" s="4152"/>
      <c r="D65" s="4137"/>
      <c r="E65" s="4137"/>
      <c r="F65" s="4137"/>
      <c r="G65" s="4137"/>
      <c r="H65" s="4137"/>
      <c r="I65" s="4137"/>
      <c r="J65" s="339"/>
      <c r="K65" s="443" t="str">
        <f t="shared" si="38"/>
        <v/>
      </c>
      <c r="L65" s="410"/>
      <c r="U65" s="440"/>
      <c r="V65" s="433"/>
      <c r="Y65" s="3095">
        <v>14</v>
      </c>
      <c r="Z65" s="338"/>
      <c r="AA65" s="441">
        <f t="shared" si="27"/>
        <v>0</v>
      </c>
      <c r="AB65" s="255">
        <f t="shared" si="28"/>
        <v>0</v>
      </c>
      <c r="AC65" s="262"/>
      <c r="AD65" s="262"/>
      <c r="AF65" s="3095">
        <v>14</v>
      </c>
      <c r="AG65" s="338"/>
      <c r="AH65" s="441">
        <f t="shared" si="29"/>
        <v>0</v>
      </c>
      <c r="AI65" s="255">
        <f t="shared" si="30"/>
        <v>0</v>
      </c>
      <c r="AJ65" s="262"/>
      <c r="AK65" s="436"/>
      <c r="AM65" s="3095">
        <v>14</v>
      </c>
      <c r="AN65" s="338"/>
      <c r="AO65" s="441">
        <f t="shared" si="31"/>
        <v>0</v>
      </c>
      <c r="AP65" s="255">
        <f t="shared" si="32"/>
        <v>0</v>
      </c>
      <c r="AQ65" s="437"/>
      <c r="AR65" s="262"/>
      <c r="AT65" s="3095">
        <v>14</v>
      </c>
      <c r="AU65" s="338"/>
      <c r="AV65" s="441">
        <f t="shared" si="33"/>
        <v>0</v>
      </c>
      <c r="AW65" s="255">
        <f t="shared" si="34"/>
        <v>0</v>
      </c>
      <c r="AX65" s="262"/>
      <c r="AY65" s="262"/>
      <c r="BA65" s="3095">
        <v>14</v>
      </c>
      <c r="BB65" s="338"/>
      <c r="BC65" s="441">
        <f t="shared" si="35"/>
        <v>0</v>
      </c>
      <c r="BD65" s="255">
        <f t="shared" si="36"/>
        <v>0</v>
      </c>
      <c r="BF65" s="299"/>
      <c r="BG65" s="445"/>
      <c r="BO65" s="446"/>
      <c r="BP65" s="417"/>
      <c r="BQ65" s="4137"/>
      <c r="BR65" s="4137"/>
      <c r="BS65" s="4137"/>
      <c r="BT65" s="4137"/>
      <c r="BU65" s="4137"/>
      <c r="BV65" s="4137"/>
      <c r="BW65" s="4137"/>
      <c r="BX65" s="339"/>
      <c r="BY65" s="443" t="str">
        <f t="shared" si="39"/>
        <v/>
      </c>
      <c r="BZ65" s="410"/>
      <c r="CC65" s="242"/>
      <c r="CH65" s="307"/>
      <c r="CI65" s="307"/>
      <c r="CJ65" s="307"/>
      <c r="CK65" s="307"/>
      <c r="CL65" s="307"/>
      <c r="CS65" s="299"/>
    </row>
    <row r="66" spans="2:114" ht="17.100000000000001" customHeight="1" x14ac:dyDescent="0.2">
      <c r="B66" s="417"/>
      <c r="C66" s="4137"/>
      <c r="D66" s="4137"/>
      <c r="E66" s="4137"/>
      <c r="F66" s="4137"/>
      <c r="G66" s="4137"/>
      <c r="H66" s="4137"/>
      <c r="I66" s="4137"/>
      <c r="J66" s="339"/>
      <c r="K66" s="443" t="str">
        <f t="shared" si="38"/>
        <v/>
      </c>
      <c r="L66" s="410"/>
      <c r="U66" s="440"/>
      <c r="V66" s="433"/>
      <c r="Y66" s="3095">
        <v>15</v>
      </c>
      <c r="Z66" s="338"/>
      <c r="AA66" s="441">
        <f t="shared" si="27"/>
        <v>0</v>
      </c>
      <c r="AB66" s="255">
        <f t="shared" si="28"/>
        <v>0</v>
      </c>
      <c r="AC66" s="262"/>
      <c r="AD66" s="262"/>
      <c r="AF66" s="3095">
        <v>15</v>
      </c>
      <c r="AG66" s="338"/>
      <c r="AH66" s="441">
        <f t="shared" si="29"/>
        <v>0</v>
      </c>
      <c r="AI66" s="255">
        <f t="shared" si="30"/>
        <v>0</v>
      </c>
      <c r="AJ66" s="262"/>
      <c r="AK66" s="436"/>
      <c r="AM66" s="3095">
        <v>15</v>
      </c>
      <c r="AN66" s="338"/>
      <c r="AO66" s="441">
        <f t="shared" si="31"/>
        <v>0</v>
      </c>
      <c r="AP66" s="255">
        <f t="shared" si="32"/>
        <v>0</v>
      </c>
      <c r="AQ66" s="437"/>
      <c r="AR66" s="262"/>
      <c r="AT66" s="3095">
        <v>15</v>
      </c>
      <c r="AU66" s="338"/>
      <c r="AV66" s="441">
        <f t="shared" si="33"/>
        <v>0</v>
      </c>
      <c r="AW66" s="255">
        <f t="shared" si="34"/>
        <v>0</v>
      </c>
      <c r="AX66" s="262"/>
      <c r="AY66" s="262"/>
      <c r="BA66" s="3095">
        <v>15</v>
      </c>
      <c r="BB66" s="338"/>
      <c r="BC66" s="441">
        <f t="shared" si="35"/>
        <v>0</v>
      </c>
      <c r="BD66" s="255">
        <f t="shared" si="36"/>
        <v>0</v>
      </c>
      <c r="BF66" s="299"/>
      <c r="BG66" s="445"/>
      <c r="BH66" s="4252" t="s">
        <v>2424</v>
      </c>
      <c r="BI66" s="4252"/>
      <c r="BJ66" s="4252"/>
      <c r="BK66" s="4252"/>
      <c r="BL66" s="4252"/>
      <c r="BM66" s="4252"/>
      <c r="BN66" s="4252"/>
      <c r="BO66" s="442"/>
      <c r="BP66" s="417"/>
      <c r="BQ66" s="4137"/>
      <c r="BR66" s="4137"/>
      <c r="BS66" s="4137"/>
      <c r="BT66" s="4137"/>
      <c r="BU66" s="4137"/>
      <c r="BV66" s="4137"/>
      <c r="BW66" s="4137"/>
      <c r="BX66" s="339"/>
      <c r="BY66" s="443" t="str">
        <f t="shared" si="39"/>
        <v/>
      </c>
      <c r="BZ66" s="410"/>
      <c r="CC66" s="242"/>
      <c r="CH66" s="307"/>
      <c r="CI66" s="307"/>
      <c r="CJ66" s="307" t="str">
        <f>data!FA48</f>
        <v>PER OBJECTIVE MET</v>
      </c>
      <c r="CK66" s="4141">
        <f>data!FI48</f>
        <v>0.5</v>
      </c>
      <c r="CL66" s="4142"/>
      <c r="CM66" s="434" t="s">
        <v>949</v>
      </c>
      <c r="CN66" s="4139">
        <f>PROGRESS!$CI$14</f>
        <v>0</v>
      </c>
      <c r="CO66" s="4140"/>
      <c r="CP66" s="2581" t="s">
        <v>65</v>
      </c>
      <c r="CQ66" s="2561">
        <f t="shared" ref="CQ66:CQ67" si="42">FLOOR(CN66*CK66,0.5)</f>
        <v>0</v>
      </c>
      <c r="CS66" s="2582"/>
    </row>
    <row r="67" spans="2:114" ht="17.100000000000001" customHeight="1" x14ac:dyDescent="0.2">
      <c r="B67" s="417"/>
      <c r="C67" s="4137"/>
      <c r="D67" s="4137"/>
      <c r="E67" s="4137"/>
      <c r="F67" s="4137"/>
      <c r="G67" s="4137"/>
      <c r="H67" s="4137"/>
      <c r="I67" s="4137"/>
      <c r="J67" s="339"/>
      <c r="K67" s="443" t="str">
        <f t="shared" si="38"/>
        <v/>
      </c>
      <c r="L67" s="410"/>
      <c r="U67" s="444"/>
      <c r="V67" s="433"/>
      <c r="Y67" s="3095">
        <v>16</v>
      </c>
      <c r="Z67" s="338"/>
      <c r="AA67" s="441">
        <f t="shared" si="27"/>
        <v>0</v>
      </c>
      <c r="AB67" s="255">
        <f t="shared" si="28"/>
        <v>0</v>
      </c>
      <c r="AC67" s="262"/>
      <c r="AD67" s="262"/>
      <c r="AF67" s="3095">
        <v>16</v>
      </c>
      <c r="AG67" s="338"/>
      <c r="AH67" s="441">
        <f t="shared" si="29"/>
        <v>0</v>
      </c>
      <c r="AI67" s="255">
        <f t="shared" si="30"/>
        <v>0</v>
      </c>
      <c r="AJ67" s="262"/>
      <c r="AK67" s="436"/>
      <c r="AM67" s="3095">
        <v>16</v>
      </c>
      <c r="AN67" s="338"/>
      <c r="AO67" s="441">
        <f t="shared" si="31"/>
        <v>0</v>
      </c>
      <c r="AP67" s="255">
        <f t="shared" si="32"/>
        <v>0</v>
      </c>
      <c r="AQ67" s="437"/>
      <c r="AR67" s="262"/>
      <c r="AT67" s="3095">
        <v>16</v>
      </c>
      <c r="AU67" s="338"/>
      <c r="AV67" s="441">
        <f t="shared" si="33"/>
        <v>0</v>
      </c>
      <c r="AW67" s="255">
        <f t="shared" si="34"/>
        <v>0</v>
      </c>
      <c r="AX67" s="262"/>
      <c r="AY67" s="262"/>
      <c r="BA67" s="3095">
        <v>16</v>
      </c>
      <c r="BB67" s="338"/>
      <c r="BC67" s="441">
        <f t="shared" si="35"/>
        <v>0</v>
      </c>
      <c r="BD67" s="255">
        <f t="shared" si="36"/>
        <v>0</v>
      </c>
      <c r="BF67" s="299"/>
      <c r="BG67" s="445"/>
      <c r="BH67" s="4252" t="str">
        <f>BK70&amp;" XP each 1hr fast over 12hrs"</f>
        <v>5 XP each 1hr fast over 12hrs</v>
      </c>
      <c r="BI67" s="4252"/>
      <c r="BJ67" s="4252"/>
      <c r="BK67" s="4252"/>
      <c r="BL67" s="4252"/>
      <c r="BM67" s="4252"/>
      <c r="BN67" s="4252"/>
      <c r="BO67" s="442"/>
      <c r="BP67" s="417"/>
      <c r="BQ67" s="4137"/>
      <c r="BR67" s="4137"/>
      <c r="BS67" s="4137"/>
      <c r="BT67" s="4137"/>
      <c r="BU67" s="4137"/>
      <c r="BV67" s="4137"/>
      <c r="BW67" s="4137"/>
      <c r="BX67" s="339"/>
      <c r="BY67" s="443" t="str">
        <f t="shared" si="39"/>
        <v/>
      </c>
      <c r="BZ67" s="410"/>
      <c r="CC67" s="242"/>
      <c r="CH67" s="307"/>
      <c r="CI67" s="307"/>
      <c r="CJ67" s="307" t="str">
        <f>data!FA49</f>
        <v>PER CHALLENGE DONE</v>
      </c>
      <c r="CK67" s="4141">
        <f>data!FI49</f>
        <v>0.5</v>
      </c>
      <c r="CL67" s="4142"/>
      <c r="CM67" s="434" t="s">
        <v>949</v>
      </c>
      <c r="CN67" s="4139">
        <f>PROGRESS!$CI$18</f>
        <v>0</v>
      </c>
      <c r="CO67" s="4140"/>
      <c r="CP67" s="2581" t="s">
        <v>65</v>
      </c>
      <c r="CQ67" s="2561">
        <f t="shared" si="42"/>
        <v>0</v>
      </c>
      <c r="CS67" s="2582"/>
    </row>
    <row r="68" spans="2:114" ht="17.100000000000001" customHeight="1" x14ac:dyDescent="0.15">
      <c r="B68" s="417"/>
      <c r="C68" s="4137"/>
      <c r="D68" s="4137"/>
      <c r="E68" s="4137"/>
      <c r="F68" s="4137"/>
      <c r="G68" s="4137"/>
      <c r="H68" s="4137"/>
      <c r="I68" s="4137"/>
      <c r="J68" s="339"/>
      <c r="K68" s="443" t="str">
        <f t="shared" si="38"/>
        <v/>
      </c>
      <c r="L68" s="410"/>
      <c r="U68" s="444"/>
      <c r="V68" s="433"/>
      <c r="Y68" s="3095">
        <v>17</v>
      </c>
      <c r="Z68" s="338"/>
      <c r="AA68" s="441">
        <f t="shared" si="27"/>
        <v>0</v>
      </c>
      <c r="AB68" s="255">
        <f t="shared" si="28"/>
        <v>0</v>
      </c>
      <c r="AC68" s="262"/>
      <c r="AD68" s="262"/>
      <c r="AF68" s="3095">
        <v>17</v>
      </c>
      <c r="AG68" s="338"/>
      <c r="AH68" s="441">
        <f t="shared" si="29"/>
        <v>0</v>
      </c>
      <c r="AI68" s="255">
        <f t="shared" si="30"/>
        <v>0</v>
      </c>
      <c r="AJ68" s="262"/>
      <c r="AK68" s="436"/>
      <c r="AM68" s="3095">
        <v>17</v>
      </c>
      <c r="AN68" s="338"/>
      <c r="AO68" s="441">
        <f t="shared" si="31"/>
        <v>0</v>
      </c>
      <c r="AP68" s="255">
        <f t="shared" si="32"/>
        <v>0</v>
      </c>
      <c r="AQ68" s="437"/>
      <c r="AR68" s="262"/>
      <c r="AT68" s="3095">
        <v>17</v>
      </c>
      <c r="AU68" s="338"/>
      <c r="AV68" s="441">
        <f t="shared" si="33"/>
        <v>0</v>
      </c>
      <c r="AW68" s="255">
        <f t="shared" si="34"/>
        <v>0</v>
      </c>
      <c r="AX68" s="262"/>
      <c r="AY68" s="262"/>
      <c r="BA68" s="3095">
        <v>17</v>
      </c>
      <c r="BB68" s="338"/>
      <c r="BC68" s="441">
        <f t="shared" si="35"/>
        <v>0</v>
      </c>
      <c r="BD68" s="255">
        <f t="shared" si="36"/>
        <v>0</v>
      </c>
      <c r="BF68" s="299"/>
      <c r="BG68" s="445"/>
      <c r="BH68" s="4253" t="s">
        <v>2425</v>
      </c>
      <c r="BI68" s="4253"/>
      <c r="BJ68" s="4253"/>
      <c r="BK68" s="4253"/>
      <c r="BL68" s="4253"/>
      <c r="BM68" s="4253"/>
      <c r="BN68" s="4253"/>
      <c r="BO68" s="442"/>
      <c r="BP68" s="417"/>
      <c r="BQ68" s="4137"/>
      <c r="BR68" s="4137"/>
      <c r="BS68" s="4137"/>
      <c r="BT68" s="4137"/>
      <c r="BU68" s="4137"/>
      <c r="BV68" s="4137"/>
      <c r="BW68" s="4137"/>
      <c r="BX68" s="339"/>
      <c r="BY68" s="443" t="str">
        <f t="shared" si="39"/>
        <v/>
      </c>
      <c r="BZ68" s="410"/>
      <c r="CC68" s="242"/>
      <c r="CH68" s="307"/>
      <c r="CI68" s="307"/>
      <c r="CJ68" s="307"/>
      <c r="CK68" s="307"/>
      <c r="CL68" s="307"/>
      <c r="CS68" s="299"/>
    </row>
    <row r="69" spans="2:114" ht="17.100000000000001" customHeight="1" x14ac:dyDescent="0.15">
      <c r="B69" s="417"/>
      <c r="C69" s="4137"/>
      <c r="D69" s="4137"/>
      <c r="E69" s="4137"/>
      <c r="F69" s="4137"/>
      <c r="G69" s="4137"/>
      <c r="H69" s="4137"/>
      <c r="I69" s="4137"/>
      <c r="J69" s="339"/>
      <c r="K69" s="443" t="str">
        <f t="shared" si="38"/>
        <v/>
      </c>
      <c r="L69" s="410"/>
      <c r="U69" s="444"/>
      <c r="V69" s="433"/>
      <c r="Y69" s="3095">
        <v>18</v>
      </c>
      <c r="Z69" s="338"/>
      <c r="AA69" s="441">
        <f t="shared" si="27"/>
        <v>0</v>
      </c>
      <c r="AB69" s="255">
        <f t="shared" si="28"/>
        <v>0</v>
      </c>
      <c r="AC69" s="262"/>
      <c r="AD69" s="262"/>
      <c r="AF69" s="3095">
        <v>18</v>
      </c>
      <c r="AG69" s="338"/>
      <c r="AH69" s="441">
        <f t="shared" si="29"/>
        <v>0</v>
      </c>
      <c r="AI69" s="255">
        <f t="shared" si="30"/>
        <v>0</v>
      </c>
      <c r="AJ69" s="262"/>
      <c r="AK69" s="436"/>
      <c r="AM69" s="3095">
        <v>18</v>
      </c>
      <c r="AN69" s="338"/>
      <c r="AO69" s="441">
        <f t="shared" si="31"/>
        <v>0</v>
      </c>
      <c r="AP69" s="255">
        <f t="shared" si="32"/>
        <v>0</v>
      </c>
      <c r="AQ69" s="437"/>
      <c r="AR69" s="262"/>
      <c r="AT69" s="3095">
        <v>18</v>
      </c>
      <c r="AU69" s="338"/>
      <c r="AV69" s="441">
        <f t="shared" si="33"/>
        <v>0</v>
      </c>
      <c r="AW69" s="255">
        <f t="shared" si="34"/>
        <v>0</v>
      </c>
      <c r="AX69" s="262"/>
      <c r="AY69" s="262"/>
      <c r="BA69" s="3095">
        <v>18</v>
      </c>
      <c r="BB69" s="338"/>
      <c r="BC69" s="441">
        <f t="shared" si="35"/>
        <v>0</v>
      </c>
      <c r="BD69" s="255">
        <f t="shared" si="36"/>
        <v>0</v>
      </c>
      <c r="BF69" s="299"/>
      <c r="BG69" s="445"/>
      <c r="BI69" s="4264"/>
      <c r="BJ69" s="4265"/>
      <c r="BK69" s="3345" t="s">
        <v>65</v>
      </c>
      <c r="BL69" s="3346" t="str">
        <f>IF(BI69="","",IF(BI69&lt;=12,0,(BI69-12)*BK70))</f>
        <v/>
      </c>
      <c r="BM69" s="3347" t="str">
        <f>IF(BI69="","","XP")</f>
        <v/>
      </c>
      <c r="BO69" s="442"/>
      <c r="BP69" s="417"/>
      <c r="BQ69" s="4137"/>
      <c r="BR69" s="4137"/>
      <c r="BS69" s="4137"/>
      <c r="BT69" s="4137"/>
      <c r="BU69" s="4137"/>
      <c r="BV69" s="4137"/>
      <c r="BW69" s="4137"/>
      <c r="BX69" s="339"/>
      <c r="BY69" s="443" t="str">
        <f t="shared" si="39"/>
        <v/>
      </c>
      <c r="BZ69" s="410"/>
      <c r="CC69" s="242"/>
      <c r="CH69" s="307"/>
      <c r="CI69" s="307"/>
      <c r="CJ69" s="307" t="str">
        <f>data!FA51</f>
        <v>PER COOP MTH OBJECTIVE MET</v>
      </c>
      <c r="CK69" s="4141">
        <f>data!FI51</f>
        <v>0.5</v>
      </c>
      <c r="CL69" s="4142"/>
      <c r="CM69" s="434" t="s">
        <v>949</v>
      </c>
      <c r="CN69" s="4139">
        <f>SUM($AX$93,$AX$108,$AX$123)</f>
        <v>0</v>
      </c>
      <c r="CO69" s="4140"/>
      <c r="CP69" s="2581" t="s">
        <v>65</v>
      </c>
      <c r="CQ69" s="2561">
        <f t="shared" ref="CQ69:CQ70" si="43">FLOOR(CN69*CK69,0.5)</f>
        <v>0</v>
      </c>
      <c r="CS69" s="2582"/>
    </row>
    <row r="70" spans="2:114" ht="17.100000000000001" customHeight="1" x14ac:dyDescent="0.2">
      <c r="B70" s="417"/>
      <c r="C70" s="4137"/>
      <c r="D70" s="4137"/>
      <c r="E70" s="4137"/>
      <c r="F70" s="4137"/>
      <c r="G70" s="4137"/>
      <c r="H70" s="4137"/>
      <c r="I70" s="4137"/>
      <c r="J70" s="339"/>
      <c r="K70" s="443" t="str">
        <f t="shared" si="38"/>
        <v/>
      </c>
      <c r="L70" s="410"/>
      <c r="U70" s="444"/>
      <c r="V70" s="433"/>
      <c r="Y70" s="3095">
        <v>19</v>
      </c>
      <c r="Z70" s="338"/>
      <c r="AA70" s="441">
        <f t="shared" si="27"/>
        <v>0</v>
      </c>
      <c r="AB70" s="255">
        <f t="shared" si="28"/>
        <v>0</v>
      </c>
      <c r="AC70" s="262"/>
      <c r="AD70" s="262"/>
      <c r="AF70" s="3095">
        <v>19</v>
      </c>
      <c r="AG70" s="338"/>
      <c r="AH70" s="441">
        <f t="shared" si="29"/>
        <v>0</v>
      </c>
      <c r="AI70" s="255">
        <f t="shared" si="30"/>
        <v>0</v>
      </c>
      <c r="AJ70" s="262"/>
      <c r="AK70" s="436"/>
      <c r="AM70" s="3095">
        <v>19</v>
      </c>
      <c r="AN70" s="338"/>
      <c r="AO70" s="441">
        <f t="shared" si="31"/>
        <v>0</v>
      </c>
      <c r="AP70" s="255">
        <f t="shared" si="32"/>
        <v>0</v>
      </c>
      <c r="AQ70" s="437"/>
      <c r="AR70" s="262"/>
      <c r="AT70" s="3095">
        <v>19</v>
      </c>
      <c r="AU70" s="338"/>
      <c r="AV70" s="441">
        <f t="shared" si="33"/>
        <v>0</v>
      </c>
      <c r="AW70" s="255">
        <f t="shared" si="34"/>
        <v>0</v>
      </c>
      <c r="AX70" s="262"/>
      <c r="AY70" s="262"/>
      <c r="BA70" s="3095">
        <v>19</v>
      </c>
      <c r="BB70" s="338"/>
      <c r="BC70" s="441">
        <f t="shared" ref="BC70:BC81" si="44">IF(BB$48="N",IF(BB70&lt;&gt;0,BC69+1, BC69),IF(BB70&lt;&gt;0,BC69+1, 0))</f>
        <v>0</v>
      </c>
      <c r="BD70" s="255">
        <f t="shared" ref="BD70:BD81" si="45">IF(BB70&lt;&gt;0,BD69+1,0)</f>
        <v>0</v>
      </c>
      <c r="BF70" s="299"/>
      <c r="BG70" s="445"/>
      <c r="BJ70" s="2702" t="s">
        <v>2415</v>
      </c>
      <c r="BK70" s="3348">
        <v>5</v>
      </c>
      <c r="BL70" s="377" t="s">
        <v>2423</v>
      </c>
      <c r="BO70" s="442"/>
      <c r="BP70" s="417"/>
      <c r="BQ70" s="4137"/>
      <c r="BR70" s="4137"/>
      <c r="BS70" s="4137"/>
      <c r="BT70" s="4137"/>
      <c r="BU70" s="4137"/>
      <c r="BV70" s="4137"/>
      <c r="BW70" s="4137"/>
      <c r="BX70" s="339"/>
      <c r="BY70" s="443" t="str">
        <f t="shared" si="39"/>
        <v/>
      </c>
      <c r="BZ70" s="410"/>
      <c r="CC70" s="242"/>
      <c r="CH70" s="307"/>
      <c r="CI70" s="307"/>
      <c r="CJ70" s="307" t="str">
        <f>data!FA52</f>
        <v>PER COOP OVERALL OBJECTIVE MET</v>
      </c>
      <c r="CK70" s="4141">
        <f>data!FI52</f>
        <v>0.5</v>
      </c>
      <c r="CL70" s="4142"/>
      <c r="CM70" s="434" t="s">
        <v>949</v>
      </c>
      <c r="CN70" s="4139">
        <f>SUM($BB$93,$BB$108,$BB$123)</f>
        <v>0</v>
      </c>
      <c r="CO70" s="4140"/>
      <c r="CP70" s="2581" t="s">
        <v>65</v>
      </c>
      <c r="CQ70" s="2561">
        <f t="shared" si="43"/>
        <v>0</v>
      </c>
      <c r="CS70" s="2582"/>
    </row>
    <row r="71" spans="2:114" ht="17.100000000000001" customHeight="1" x14ac:dyDescent="0.15">
      <c r="B71" s="417"/>
      <c r="C71" s="4152"/>
      <c r="D71" s="4137"/>
      <c r="E71" s="4137"/>
      <c r="F71" s="4137"/>
      <c r="G71" s="4137"/>
      <c r="H71" s="4137"/>
      <c r="I71" s="4137"/>
      <c r="J71" s="339"/>
      <c r="K71" s="443" t="str">
        <f t="shared" si="38"/>
        <v/>
      </c>
      <c r="L71" s="410"/>
      <c r="U71" s="444"/>
      <c r="V71" s="433"/>
      <c r="Y71" s="3095">
        <v>20</v>
      </c>
      <c r="Z71" s="338"/>
      <c r="AA71" s="441">
        <f t="shared" si="27"/>
        <v>0</v>
      </c>
      <c r="AB71" s="255">
        <f t="shared" si="28"/>
        <v>0</v>
      </c>
      <c r="AC71" s="262"/>
      <c r="AD71" s="262"/>
      <c r="AF71" s="3095">
        <v>20</v>
      </c>
      <c r="AG71" s="338"/>
      <c r="AH71" s="441">
        <f t="shared" si="29"/>
        <v>0</v>
      </c>
      <c r="AI71" s="255">
        <f t="shared" si="30"/>
        <v>0</v>
      </c>
      <c r="AJ71" s="262"/>
      <c r="AK71" s="436"/>
      <c r="AM71" s="3095">
        <v>20</v>
      </c>
      <c r="AN71" s="338"/>
      <c r="AO71" s="441">
        <f t="shared" si="31"/>
        <v>0</v>
      </c>
      <c r="AP71" s="255">
        <f t="shared" si="32"/>
        <v>0</v>
      </c>
      <c r="AQ71" s="437"/>
      <c r="AR71" s="262"/>
      <c r="AT71" s="3095">
        <v>20</v>
      </c>
      <c r="AU71" s="338"/>
      <c r="AV71" s="441">
        <f t="shared" si="33"/>
        <v>0</v>
      </c>
      <c r="AW71" s="255">
        <f t="shared" si="34"/>
        <v>0</v>
      </c>
      <c r="AX71" s="262"/>
      <c r="AY71" s="262"/>
      <c r="BA71" s="3095">
        <v>20</v>
      </c>
      <c r="BB71" s="338"/>
      <c r="BC71" s="441">
        <f t="shared" si="44"/>
        <v>0</v>
      </c>
      <c r="BD71" s="255">
        <f t="shared" si="45"/>
        <v>0</v>
      </c>
      <c r="BF71" s="299"/>
      <c r="BG71" s="445"/>
      <c r="BO71" s="442"/>
      <c r="BP71" s="417"/>
      <c r="BQ71" s="4137"/>
      <c r="BR71" s="4137"/>
      <c r="BS71" s="4137"/>
      <c r="BT71" s="4137"/>
      <c r="BU71" s="4137"/>
      <c r="BV71" s="4137"/>
      <c r="BW71" s="4137"/>
      <c r="BX71" s="339"/>
      <c r="BY71" s="443" t="str">
        <f t="shared" si="39"/>
        <v/>
      </c>
      <c r="BZ71" s="410"/>
      <c r="CC71" s="242"/>
      <c r="CH71" s="307"/>
      <c r="CI71" s="307"/>
      <c r="CJ71" s="307"/>
      <c r="CK71" s="307"/>
      <c r="CL71" s="307"/>
      <c r="CS71" s="299"/>
    </row>
    <row r="72" spans="2:114" ht="17.100000000000001" customHeight="1" x14ac:dyDescent="0.15">
      <c r="B72" s="417"/>
      <c r="C72" s="4152"/>
      <c r="D72" s="4137"/>
      <c r="E72" s="4137"/>
      <c r="F72" s="4137"/>
      <c r="G72" s="4137"/>
      <c r="H72" s="4137"/>
      <c r="I72" s="4137"/>
      <c r="J72" s="339"/>
      <c r="K72" s="443" t="str">
        <f t="shared" si="38"/>
        <v/>
      </c>
      <c r="L72" s="410"/>
      <c r="U72" s="444"/>
      <c r="V72" s="433"/>
      <c r="Y72" s="3095">
        <v>21</v>
      </c>
      <c r="Z72" s="338"/>
      <c r="AA72" s="441">
        <f t="shared" si="27"/>
        <v>0</v>
      </c>
      <c r="AB72" s="255">
        <f t="shared" si="28"/>
        <v>0</v>
      </c>
      <c r="AC72" s="262"/>
      <c r="AD72" s="262"/>
      <c r="AF72" s="3095">
        <v>21</v>
      </c>
      <c r="AG72" s="338"/>
      <c r="AH72" s="441">
        <f t="shared" si="29"/>
        <v>0</v>
      </c>
      <c r="AI72" s="255">
        <f t="shared" si="30"/>
        <v>0</v>
      </c>
      <c r="AJ72" s="262"/>
      <c r="AK72" s="436"/>
      <c r="AM72" s="3095">
        <v>21</v>
      </c>
      <c r="AN72" s="338"/>
      <c r="AO72" s="441">
        <f t="shared" si="31"/>
        <v>0</v>
      </c>
      <c r="AP72" s="255">
        <f t="shared" si="32"/>
        <v>0</v>
      </c>
      <c r="AQ72" s="437"/>
      <c r="AR72" s="262"/>
      <c r="AT72" s="3095">
        <v>21</v>
      </c>
      <c r="AU72" s="338"/>
      <c r="AV72" s="441">
        <f t="shared" si="33"/>
        <v>0</v>
      </c>
      <c r="AW72" s="255">
        <f t="shared" si="34"/>
        <v>0</v>
      </c>
      <c r="AX72" s="262"/>
      <c r="AY72" s="262"/>
      <c r="BA72" s="3095">
        <v>21</v>
      </c>
      <c r="BB72" s="338"/>
      <c r="BC72" s="441">
        <f t="shared" si="44"/>
        <v>0</v>
      </c>
      <c r="BD72" s="255">
        <f t="shared" si="45"/>
        <v>0</v>
      </c>
      <c r="BF72" s="299"/>
      <c r="BG72" s="445"/>
      <c r="BO72" s="442"/>
      <c r="BP72" s="417"/>
      <c r="BQ72" s="4137"/>
      <c r="BR72" s="4137"/>
      <c r="BS72" s="4137"/>
      <c r="BT72" s="4137"/>
      <c r="BU72" s="4137"/>
      <c r="BV72" s="4137"/>
      <c r="BW72" s="4137"/>
      <c r="BX72" s="339"/>
      <c r="BY72" s="443" t="str">
        <f t="shared" si="39"/>
        <v/>
      </c>
      <c r="BZ72" s="410"/>
      <c r="CB72" s="28"/>
      <c r="CC72" s="242"/>
      <c r="CH72" s="307"/>
      <c r="CI72" s="307"/>
      <c r="CJ72" s="307" t="str">
        <f>data!FA54</f>
        <v>PER DAY XP &gt;= 360  (6 hrs)</v>
      </c>
      <c r="CK72" s="4141">
        <f>data!FI54</f>
        <v>0.125</v>
      </c>
      <c r="CL72" s="4142"/>
      <c r="CM72" s="434" t="s">
        <v>949</v>
      </c>
      <c r="CN72" s="4139">
        <f ca="1">$CM$35</f>
        <v>0</v>
      </c>
      <c r="CO72" s="4140"/>
      <c r="CP72" s="2581" t="s">
        <v>65</v>
      </c>
      <c r="CQ72" s="2561">
        <f t="shared" ref="CQ72:CQ77" ca="1" si="46">FLOOR(CN72*CK72,0.5)</f>
        <v>0</v>
      </c>
      <c r="CS72" s="2582"/>
      <c r="CT72" s="28"/>
      <c r="CU72" s="28"/>
      <c r="CV72" s="28"/>
      <c r="CW72" s="28"/>
      <c r="CX72" s="28"/>
      <c r="CY72" s="28"/>
      <c r="CZ72" s="28"/>
      <c r="DA72" s="28"/>
      <c r="DB72" s="28"/>
      <c r="DC72" s="28"/>
      <c r="DD72" s="28"/>
      <c r="DE72" s="28"/>
      <c r="DF72" s="28"/>
    </row>
    <row r="73" spans="2:114" ht="17.100000000000001" customHeight="1" x14ac:dyDescent="0.15">
      <c r="B73" s="417"/>
      <c r="C73" s="4137"/>
      <c r="D73" s="4137"/>
      <c r="E73" s="4137"/>
      <c r="F73" s="4137"/>
      <c r="G73" s="4137"/>
      <c r="H73" s="4137"/>
      <c r="I73" s="4137"/>
      <c r="J73" s="339"/>
      <c r="K73" s="443" t="str">
        <f t="shared" si="38"/>
        <v/>
      </c>
      <c r="L73" s="410"/>
      <c r="U73" s="444"/>
      <c r="V73" s="433"/>
      <c r="Y73" s="3095">
        <v>22</v>
      </c>
      <c r="Z73" s="338"/>
      <c r="AA73" s="441">
        <f t="shared" si="27"/>
        <v>0</v>
      </c>
      <c r="AB73" s="255">
        <f t="shared" si="28"/>
        <v>0</v>
      </c>
      <c r="AC73" s="262"/>
      <c r="AD73" s="262"/>
      <c r="AF73" s="3095">
        <v>22</v>
      </c>
      <c r="AG73" s="338"/>
      <c r="AH73" s="441">
        <f t="shared" si="29"/>
        <v>0</v>
      </c>
      <c r="AI73" s="255">
        <f t="shared" si="30"/>
        <v>0</v>
      </c>
      <c r="AJ73" s="262"/>
      <c r="AK73" s="436"/>
      <c r="AM73" s="3095">
        <v>22</v>
      </c>
      <c r="AN73" s="338"/>
      <c r="AO73" s="441">
        <f t="shared" si="31"/>
        <v>0</v>
      </c>
      <c r="AP73" s="255">
        <f t="shared" si="32"/>
        <v>0</v>
      </c>
      <c r="AQ73" s="437"/>
      <c r="AR73" s="262"/>
      <c r="AT73" s="3095">
        <v>22</v>
      </c>
      <c r="AU73" s="338"/>
      <c r="AV73" s="441">
        <f t="shared" si="33"/>
        <v>0</v>
      </c>
      <c r="AW73" s="255">
        <f t="shared" si="34"/>
        <v>0</v>
      </c>
      <c r="AX73" s="262"/>
      <c r="AY73" s="262"/>
      <c r="BA73" s="3095">
        <v>22</v>
      </c>
      <c r="BB73" s="338"/>
      <c r="BC73" s="441">
        <f t="shared" si="44"/>
        <v>0</v>
      </c>
      <c r="BD73" s="255">
        <f t="shared" si="45"/>
        <v>0</v>
      </c>
      <c r="BF73" s="299"/>
      <c r="BG73" s="445"/>
      <c r="BO73" s="442"/>
      <c r="BP73" s="417"/>
      <c r="BQ73" s="4137"/>
      <c r="BR73" s="4137"/>
      <c r="BS73" s="4137"/>
      <c r="BT73" s="4137"/>
      <c r="BU73" s="4137"/>
      <c r="BV73" s="4137"/>
      <c r="BW73" s="4137"/>
      <c r="BX73" s="339"/>
      <c r="BY73" s="443" t="str">
        <f t="shared" si="39"/>
        <v/>
      </c>
      <c r="BZ73" s="410"/>
      <c r="CB73" s="28"/>
      <c r="CC73" s="242"/>
      <c r="CH73" s="307"/>
      <c r="CI73" s="307"/>
      <c r="CJ73" s="307" t="str">
        <f>data!FA55</f>
        <v>PER DAY XP &gt;= 480  (8 hrs)</v>
      </c>
      <c r="CK73" s="4141">
        <f>data!FI55</f>
        <v>0.25</v>
      </c>
      <c r="CL73" s="4142"/>
      <c r="CM73" s="434" t="s">
        <v>949</v>
      </c>
      <c r="CN73" s="4139">
        <f ca="1">$CN$35</f>
        <v>0</v>
      </c>
      <c r="CO73" s="4140"/>
      <c r="CP73" s="2581" t="s">
        <v>65</v>
      </c>
      <c r="CQ73" s="2561">
        <f t="shared" ca="1" si="46"/>
        <v>0</v>
      </c>
      <c r="CS73" s="2582"/>
      <c r="CT73" s="28"/>
      <c r="CU73" s="28"/>
      <c r="CV73" s="28"/>
      <c r="CW73" s="28"/>
      <c r="CX73" s="28"/>
      <c r="CY73" s="28"/>
      <c r="CZ73" s="28"/>
      <c r="DA73" s="28"/>
      <c r="DB73" s="28"/>
      <c r="DC73" s="28"/>
      <c r="DD73" s="28"/>
      <c r="DE73" s="28"/>
      <c r="DF73" s="28"/>
    </row>
    <row r="74" spans="2:114" ht="17.100000000000001" customHeight="1" x14ac:dyDescent="0.15">
      <c r="B74" s="417"/>
      <c r="C74" s="4137"/>
      <c r="D74" s="4137"/>
      <c r="E74" s="4137"/>
      <c r="F74" s="4137"/>
      <c r="G74" s="4137"/>
      <c r="H74" s="4137"/>
      <c r="I74" s="4137"/>
      <c r="J74" s="339"/>
      <c r="K74" s="443" t="str">
        <f t="shared" si="38"/>
        <v/>
      </c>
      <c r="L74" s="410"/>
      <c r="U74" s="444"/>
      <c r="V74" s="433"/>
      <c r="Y74" s="3095">
        <v>23</v>
      </c>
      <c r="Z74" s="338"/>
      <c r="AA74" s="441">
        <f t="shared" si="27"/>
        <v>0</v>
      </c>
      <c r="AB74" s="255">
        <f t="shared" si="28"/>
        <v>0</v>
      </c>
      <c r="AC74" s="262"/>
      <c r="AD74" s="262"/>
      <c r="AF74" s="3095">
        <v>23</v>
      </c>
      <c r="AG74" s="338"/>
      <c r="AH74" s="441">
        <f t="shared" si="29"/>
        <v>0</v>
      </c>
      <c r="AI74" s="255">
        <f t="shared" si="30"/>
        <v>0</v>
      </c>
      <c r="AJ74" s="262"/>
      <c r="AK74" s="436"/>
      <c r="AM74" s="3095">
        <v>23</v>
      </c>
      <c r="AN74" s="338"/>
      <c r="AO74" s="441">
        <f t="shared" si="31"/>
        <v>0</v>
      </c>
      <c r="AP74" s="255">
        <f t="shared" si="32"/>
        <v>0</v>
      </c>
      <c r="AQ74" s="437"/>
      <c r="AR74" s="262"/>
      <c r="AT74" s="3095">
        <v>23</v>
      </c>
      <c r="AU74" s="338"/>
      <c r="AV74" s="441">
        <f t="shared" si="33"/>
        <v>0</v>
      </c>
      <c r="AW74" s="255">
        <f t="shared" si="34"/>
        <v>0</v>
      </c>
      <c r="AX74" s="262"/>
      <c r="AY74" s="262"/>
      <c r="BA74" s="3095">
        <v>23</v>
      </c>
      <c r="BB74" s="338"/>
      <c r="BC74" s="441">
        <f t="shared" si="44"/>
        <v>0</v>
      </c>
      <c r="BD74" s="255">
        <f t="shared" si="45"/>
        <v>0</v>
      </c>
      <c r="BF74" s="299"/>
      <c r="BG74" s="445"/>
      <c r="BO74" s="442"/>
      <c r="BP74" s="417"/>
      <c r="BQ74" s="4137"/>
      <c r="BR74" s="4137"/>
      <c r="BS74" s="4137"/>
      <c r="BT74" s="4137"/>
      <c r="BU74" s="4137"/>
      <c r="BV74" s="4137"/>
      <c r="BW74" s="4137"/>
      <c r="BX74" s="339"/>
      <c r="BY74" s="443" t="str">
        <f t="shared" si="39"/>
        <v/>
      </c>
      <c r="BZ74" s="410"/>
      <c r="CB74" s="28"/>
      <c r="CC74" s="242"/>
      <c r="CH74" s="307"/>
      <c r="CI74" s="307"/>
      <c r="CJ74" s="307" t="str">
        <f>data!FA56</f>
        <v>PER DAY XP &gt;= 600 (10 hrs)</v>
      </c>
      <c r="CK74" s="4141">
        <f>data!FI56</f>
        <v>0.5</v>
      </c>
      <c r="CL74" s="4142"/>
      <c r="CM74" s="434" t="s">
        <v>949</v>
      </c>
      <c r="CN74" s="4139">
        <f ca="1">$CO$35</f>
        <v>0</v>
      </c>
      <c r="CO74" s="4140"/>
      <c r="CP74" s="2581" t="s">
        <v>65</v>
      </c>
      <c r="CQ74" s="2561">
        <f t="shared" ca="1" si="46"/>
        <v>0</v>
      </c>
      <c r="CS74" s="2582"/>
      <c r="CT74" s="28"/>
      <c r="CU74" s="28"/>
      <c r="CV74" s="28"/>
      <c r="CW74" s="28"/>
      <c r="CX74" s="28"/>
      <c r="CY74" s="28"/>
      <c r="CZ74" s="28"/>
      <c r="DA74" s="28"/>
      <c r="DB74" s="28"/>
      <c r="DC74" s="28"/>
      <c r="DD74" s="28"/>
      <c r="DE74" s="28"/>
      <c r="DF74" s="28"/>
    </row>
    <row r="75" spans="2:114" ht="17.100000000000001" customHeight="1" x14ac:dyDescent="0.2">
      <c r="B75" s="417"/>
      <c r="C75" s="4137"/>
      <c r="D75" s="4137"/>
      <c r="E75" s="4137"/>
      <c r="F75" s="4137"/>
      <c r="G75" s="4137"/>
      <c r="H75" s="4137"/>
      <c r="I75" s="4137"/>
      <c r="J75" s="339"/>
      <c r="K75" s="443" t="str">
        <f t="shared" si="38"/>
        <v/>
      </c>
      <c r="L75" s="410"/>
      <c r="U75" s="444"/>
      <c r="V75" s="433"/>
      <c r="Y75" s="3095">
        <v>24</v>
      </c>
      <c r="Z75" s="338"/>
      <c r="AA75" s="441">
        <f t="shared" si="27"/>
        <v>0</v>
      </c>
      <c r="AB75" s="255">
        <f t="shared" si="28"/>
        <v>0</v>
      </c>
      <c r="AC75" s="262"/>
      <c r="AD75" s="262"/>
      <c r="AF75" s="3095">
        <v>24</v>
      </c>
      <c r="AG75" s="338"/>
      <c r="AH75" s="441">
        <f t="shared" si="29"/>
        <v>0</v>
      </c>
      <c r="AI75" s="255">
        <f t="shared" si="30"/>
        <v>0</v>
      </c>
      <c r="AJ75" s="262"/>
      <c r="AK75" s="436"/>
      <c r="AM75" s="3095">
        <v>24</v>
      </c>
      <c r="AN75" s="338"/>
      <c r="AO75" s="441">
        <f t="shared" si="31"/>
        <v>0</v>
      </c>
      <c r="AP75" s="255">
        <f t="shared" si="32"/>
        <v>0</v>
      </c>
      <c r="AQ75" s="437"/>
      <c r="AR75" s="262"/>
      <c r="AT75" s="3095">
        <v>24</v>
      </c>
      <c r="AU75" s="338"/>
      <c r="AV75" s="441">
        <f t="shared" si="33"/>
        <v>0</v>
      </c>
      <c r="AW75" s="255">
        <f t="shared" si="34"/>
        <v>0</v>
      </c>
      <c r="AX75" s="262"/>
      <c r="AY75" s="262"/>
      <c r="BA75" s="3095">
        <v>24</v>
      </c>
      <c r="BB75" s="338"/>
      <c r="BC75" s="441">
        <f t="shared" si="44"/>
        <v>0</v>
      </c>
      <c r="BD75" s="255">
        <f t="shared" si="45"/>
        <v>0</v>
      </c>
      <c r="BF75" s="299"/>
      <c r="BG75" s="445"/>
      <c r="BH75" s="4252" t="s">
        <v>2426</v>
      </c>
      <c r="BI75" s="4252"/>
      <c r="BJ75" s="4252"/>
      <c r="BK75" s="4252"/>
      <c r="BL75" s="4252"/>
      <c r="BM75" s="4252"/>
      <c r="BN75" s="4252"/>
      <c r="BO75" s="442"/>
      <c r="BP75" s="417"/>
      <c r="BQ75" s="4137"/>
      <c r="BR75" s="4137"/>
      <c r="BS75" s="4137"/>
      <c r="BT75" s="4137"/>
      <c r="BU75" s="4137"/>
      <c r="BV75" s="4137"/>
      <c r="BW75" s="4137"/>
      <c r="BX75" s="339"/>
      <c r="BY75" s="443" t="str">
        <f t="shared" si="39"/>
        <v/>
      </c>
      <c r="BZ75" s="410"/>
      <c r="CB75" s="28"/>
      <c r="CC75" s="2112"/>
      <c r="CD75" s="28"/>
      <c r="CH75" s="307"/>
      <c r="CI75" s="307"/>
      <c r="CJ75" s="307" t="str">
        <f>data!FA57</f>
        <v>PER DAY XP &gt;= 720 (12 hrs)</v>
      </c>
      <c r="CK75" s="4141">
        <f>data!FI57</f>
        <v>1</v>
      </c>
      <c r="CL75" s="4142"/>
      <c r="CM75" s="434" t="s">
        <v>949</v>
      </c>
      <c r="CN75" s="4139">
        <f ca="1">$CP$35</f>
        <v>0</v>
      </c>
      <c r="CO75" s="4140"/>
      <c r="CP75" s="2581" t="s">
        <v>65</v>
      </c>
      <c r="CQ75" s="2561">
        <f t="shared" ca="1" si="46"/>
        <v>0</v>
      </c>
      <c r="CS75" s="2582"/>
      <c r="CT75" s="28"/>
      <c r="CU75" s="28"/>
      <c r="CV75" s="28"/>
      <c r="CW75" s="28"/>
      <c r="CX75" s="28"/>
      <c r="CY75" s="28"/>
      <c r="CZ75" s="28"/>
      <c r="DA75" s="28"/>
      <c r="DB75" s="28"/>
      <c r="DC75" s="28"/>
      <c r="DD75" s="28"/>
      <c r="DE75" s="28"/>
      <c r="DF75" s="28"/>
    </row>
    <row r="76" spans="2:114" ht="17.100000000000001" customHeight="1" x14ac:dyDescent="0.2">
      <c r="B76" s="417"/>
      <c r="C76" s="4137"/>
      <c r="D76" s="4137"/>
      <c r="E76" s="4137"/>
      <c r="F76" s="4137"/>
      <c r="G76" s="4137"/>
      <c r="H76" s="4137"/>
      <c r="I76" s="4137"/>
      <c r="J76" s="339"/>
      <c r="K76" s="443" t="str">
        <f t="shared" si="38"/>
        <v/>
      </c>
      <c r="L76" s="410"/>
      <c r="U76" s="447"/>
      <c r="V76" s="433"/>
      <c r="Y76" s="3095">
        <v>25</v>
      </c>
      <c r="Z76" s="338"/>
      <c r="AA76" s="441">
        <f t="shared" si="27"/>
        <v>0</v>
      </c>
      <c r="AB76" s="255">
        <f t="shared" si="28"/>
        <v>0</v>
      </c>
      <c r="AC76" s="262"/>
      <c r="AD76" s="262"/>
      <c r="AF76" s="3095">
        <v>25</v>
      </c>
      <c r="AG76" s="338"/>
      <c r="AH76" s="441">
        <f t="shared" si="29"/>
        <v>0</v>
      </c>
      <c r="AI76" s="255">
        <f t="shared" si="30"/>
        <v>0</v>
      </c>
      <c r="AJ76" s="262"/>
      <c r="AK76" s="436"/>
      <c r="AM76" s="3095">
        <v>25</v>
      </c>
      <c r="AN76" s="338"/>
      <c r="AO76" s="441">
        <f t="shared" si="31"/>
        <v>0</v>
      </c>
      <c r="AP76" s="255">
        <f t="shared" si="32"/>
        <v>0</v>
      </c>
      <c r="AQ76" s="437"/>
      <c r="AR76" s="262"/>
      <c r="AT76" s="3095">
        <v>25</v>
      </c>
      <c r="AU76" s="338"/>
      <c r="AV76" s="441">
        <f t="shared" si="33"/>
        <v>0</v>
      </c>
      <c r="AW76" s="255">
        <f t="shared" si="34"/>
        <v>0</v>
      </c>
      <c r="AX76" s="262"/>
      <c r="AY76" s="262"/>
      <c r="BA76" s="3095">
        <v>25</v>
      </c>
      <c r="BB76" s="338"/>
      <c r="BC76" s="441">
        <f t="shared" si="44"/>
        <v>0</v>
      </c>
      <c r="BD76" s="255">
        <f t="shared" si="45"/>
        <v>0</v>
      </c>
      <c r="BF76" s="299"/>
      <c r="BG76" s="46"/>
      <c r="BH76" s="4252" t="str">
        <f>BK79&amp;" XP each 30secs in the cold"</f>
        <v>5 XP each 30secs in the cold</v>
      </c>
      <c r="BI76" s="4252"/>
      <c r="BJ76" s="4252"/>
      <c r="BK76" s="4252"/>
      <c r="BL76" s="4252"/>
      <c r="BM76" s="4252"/>
      <c r="BN76" s="4252"/>
      <c r="BO76" s="446"/>
      <c r="BP76" s="417"/>
      <c r="BQ76" s="4137"/>
      <c r="BR76" s="4137"/>
      <c r="BS76" s="4137"/>
      <c r="BT76" s="4137"/>
      <c r="BU76" s="4137"/>
      <c r="BV76" s="4137"/>
      <c r="BW76" s="4137"/>
      <c r="BX76" s="339"/>
      <c r="BY76" s="443" t="str">
        <f t="shared" si="39"/>
        <v/>
      </c>
      <c r="BZ76" s="410"/>
      <c r="CB76" s="28"/>
      <c r="CC76" s="2112"/>
      <c r="CD76" s="28"/>
      <c r="CH76" s="307"/>
      <c r="CI76" s="307"/>
      <c r="CJ76" s="307" t="str">
        <f>data!FA58</f>
        <v>PER DAY XP &gt;= 840 (14 hrs)</v>
      </c>
      <c r="CK76" s="4141">
        <f>data!FI58</f>
        <v>1.5</v>
      </c>
      <c r="CL76" s="4142"/>
      <c r="CM76" s="434" t="s">
        <v>949</v>
      </c>
      <c r="CN76" s="4139">
        <f ca="1">$CQ$35</f>
        <v>0</v>
      </c>
      <c r="CO76" s="4140"/>
      <c r="CP76" s="2581" t="s">
        <v>65</v>
      </c>
      <c r="CQ76" s="2561">
        <f t="shared" ca="1" si="46"/>
        <v>0</v>
      </c>
      <c r="CS76" s="2582"/>
      <c r="CT76" s="28"/>
      <c r="CU76" s="28"/>
      <c r="CV76" s="28"/>
      <c r="CW76" s="28"/>
      <c r="CX76" s="28"/>
      <c r="CY76" s="28"/>
      <c r="CZ76" s="28"/>
      <c r="DA76" s="28"/>
      <c r="DB76" s="28"/>
      <c r="DC76" s="28"/>
      <c r="DD76" s="28"/>
      <c r="DE76" s="28"/>
      <c r="DF76" s="28"/>
    </row>
    <row r="77" spans="2:114" ht="17.100000000000001" customHeight="1" x14ac:dyDescent="0.15">
      <c r="B77" s="417"/>
      <c r="C77" s="4137"/>
      <c r="D77" s="4137"/>
      <c r="E77" s="4137"/>
      <c r="F77" s="4137"/>
      <c r="G77" s="4137"/>
      <c r="H77" s="4137"/>
      <c r="I77" s="4137"/>
      <c r="J77" s="339"/>
      <c r="K77" s="443" t="str">
        <f t="shared" si="38"/>
        <v/>
      </c>
      <c r="L77" s="410"/>
      <c r="P77" s="447"/>
      <c r="Q77" s="447"/>
      <c r="R77" s="447"/>
      <c r="S77" s="447"/>
      <c r="T77" s="447"/>
      <c r="U77" s="447"/>
      <c r="V77" s="433"/>
      <c r="Y77" s="3095">
        <v>26</v>
      </c>
      <c r="Z77" s="338"/>
      <c r="AA77" s="441">
        <f t="shared" si="27"/>
        <v>0</v>
      </c>
      <c r="AB77" s="255">
        <f t="shared" si="28"/>
        <v>0</v>
      </c>
      <c r="AC77" s="262"/>
      <c r="AD77" s="262"/>
      <c r="AF77" s="3095">
        <v>26</v>
      </c>
      <c r="AG77" s="338"/>
      <c r="AH77" s="441">
        <f t="shared" si="29"/>
        <v>0</v>
      </c>
      <c r="AI77" s="255">
        <f t="shared" si="30"/>
        <v>0</v>
      </c>
      <c r="AJ77" s="262"/>
      <c r="AK77" s="436"/>
      <c r="AM77" s="3095">
        <v>26</v>
      </c>
      <c r="AN77" s="338"/>
      <c r="AO77" s="441">
        <f t="shared" si="31"/>
        <v>0</v>
      </c>
      <c r="AP77" s="255">
        <f t="shared" si="32"/>
        <v>0</v>
      </c>
      <c r="AQ77" s="437"/>
      <c r="AR77" s="262"/>
      <c r="AT77" s="3095">
        <v>26</v>
      </c>
      <c r="AU77" s="338"/>
      <c r="AV77" s="441">
        <f t="shared" si="33"/>
        <v>0</v>
      </c>
      <c r="AW77" s="255">
        <f t="shared" si="34"/>
        <v>0</v>
      </c>
      <c r="AX77" s="262"/>
      <c r="AY77" s="262"/>
      <c r="BA77" s="3095">
        <v>26</v>
      </c>
      <c r="BB77" s="338"/>
      <c r="BC77" s="441">
        <f t="shared" si="44"/>
        <v>0</v>
      </c>
      <c r="BD77" s="255">
        <f t="shared" si="45"/>
        <v>0</v>
      </c>
      <c r="BF77" s="299"/>
      <c r="BG77" s="46"/>
      <c r="BH77" s="4253" t="s">
        <v>2427</v>
      </c>
      <c r="BI77" s="4253"/>
      <c r="BJ77" s="4253"/>
      <c r="BK77" s="4253"/>
      <c r="BL77" s="4253"/>
      <c r="BM77" s="4253"/>
      <c r="BN77" s="4253"/>
      <c r="BO77" s="442"/>
      <c r="BP77" s="417"/>
      <c r="BQ77" s="4137"/>
      <c r="BR77" s="4137"/>
      <c r="BS77" s="4137"/>
      <c r="BT77" s="4137"/>
      <c r="BU77" s="4137"/>
      <c r="BV77" s="4137"/>
      <c r="BW77" s="4137"/>
      <c r="BX77" s="339"/>
      <c r="BY77" s="443" t="str">
        <f t="shared" si="39"/>
        <v/>
      </c>
      <c r="BZ77" s="410"/>
      <c r="CB77" s="28"/>
      <c r="CC77" s="2112"/>
      <c r="CD77" s="28"/>
      <c r="CH77" s="307"/>
      <c r="CI77" s="307"/>
      <c r="CJ77" s="307" t="str">
        <f>data!FA59</f>
        <v>PER DAY XP &gt;= 960 (16 hrs)</v>
      </c>
      <c r="CK77" s="4141">
        <f>data!FI59</f>
        <v>2</v>
      </c>
      <c r="CL77" s="4142"/>
      <c r="CM77" s="434" t="s">
        <v>949</v>
      </c>
      <c r="CN77" s="4139">
        <f ca="1">$CR$35</f>
        <v>0</v>
      </c>
      <c r="CO77" s="4140"/>
      <c r="CP77" s="2581" t="s">
        <v>65</v>
      </c>
      <c r="CQ77" s="2561">
        <f t="shared" ca="1" si="46"/>
        <v>0</v>
      </c>
      <c r="CS77" s="2582"/>
      <c r="CT77" s="28"/>
      <c r="CU77" s="28"/>
      <c r="CV77" s="28"/>
      <c r="CW77" s="28"/>
      <c r="CX77" s="28"/>
      <c r="CY77" s="28"/>
      <c r="CZ77" s="28"/>
      <c r="DA77" s="28"/>
      <c r="DB77" s="28"/>
    </row>
    <row r="78" spans="2:114" ht="17.100000000000001" customHeight="1" x14ac:dyDescent="0.15">
      <c r="B78" s="417"/>
      <c r="C78" s="4152"/>
      <c r="D78" s="4137"/>
      <c r="E78" s="4137"/>
      <c r="F78" s="4137"/>
      <c r="G78" s="4137"/>
      <c r="H78" s="4137"/>
      <c r="I78" s="4137"/>
      <c r="J78" s="339"/>
      <c r="K78" s="443" t="str">
        <f t="shared" si="38"/>
        <v/>
      </c>
      <c r="L78" s="410"/>
      <c r="P78" s="447"/>
      <c r="Q78" s="447"/>
      <c r="R78" s="447"/>
      <c r="S78" s="447"/>
      <c r="T78" s="447"/>
      <c r="U78" s="447"/>
      <c r="V78" s="433"/>
      <c r="Y78" s="3095">
        <v>27</v>
      </c>
      <c r="Z78" s="338"/>
      <c r="AA78" s="441">
        <f t="shared" si="27"/>
        <v>0</v>
      </c>
      <c r="AB78" s="255">
        <f t="shared" si="28"/>
        <v>0</v>
      </c>
      <c r="AC78" s="262"/>
      <c r="AD78" s="262"/>
      <c r="AF78" s="3095">
        <v>27</v>
      </c>
      <c r="AG78" s="338"/>
      <c r="AH78" s="441">
        <f t="shared" si="29"/>
        <v>0</v>
      </c>
      <c r="AI78" s="255">
        <f t="shared" si="30"/>
        <v>0</v>
      </c>
      <c r="AJ78" s="262"/>
      <c r="AK78" s="436"/>
      <c r="AM78" s="3095">
        <v>27</v>
      </c>
      <c r="AN78" s="338"/>
      <c r="AO78" s="441">
        <f t="shared" si="31"/>
        <v>0</v>
      </c>
      <c r="AP78" s="255">
        <f t="shared" si="32"/>
        <v>0</v>
      </c>
      <c r="AQ78" s="437"/>
      <c r="AR78" s="262"/>
      <c r="AT78" s="3095">
        <v>27</v>
      </c>
      <c r="AU78" s="338"/>
      <c r="AV78" s="441">
        <f t="shared" si="33"/>
        <v>0</v>
      </c>
      <c r="AW78" s="255">
        <f t="shared" si="34"/>
        <v>0</v>
      </c>
      <c r="AX78" s="262"/>
      <c r="AY78" s="262"/>
      <c r="BA78" s="3095">
        <v>27</v>
      </c>
      <c r="BB78" s="338"/>
      <c r="BC78" s="441">
        <f t="shared" si="44"/>
        <v>0</v>
      </c>
      <c r="BD78" s="255">
        <f t="shared" si="45"/>
        <v>0</v>
      </c>
      <c r="BF78" s="299"/>
      <c r="BG78" s="46"/>
      <c r="BI78" s="4266"/>
      <c r="BJ78" s="4267"/>
      <c r="BK78" s="3345" t="s">
        <v>65</v>
      </c>
      <c r="BL78" s="3346" t="str" cm="1">
        <f t="array" ref="BL78">IF(BI78="","",
_xlfn.IFS(
BI78&gt;=10,BK79*20,
BI78&gt;=9.3,BK79*19,
BI78&gt;=9,BK79*18,
BI78&gt;=8.3,BK79*17,
BI78&gt;=8,BK79*16,
BI78&gt;=7.3,BK79*15,
BI78&gt;=7,BK79*14,
BI78&gt;=6.3,BK79*13,
BI78&gt;=6,BK79*12,
BI78&gt;=5.3,BK79*11,
BI78&gt;=5,BK79*10,
BI78&gt;=4.3,BK79*9,
BI78&gt;=4,BK79*8,
BI78&gt;=3.3,BK79*7,
BI78&gt;=3,BK79*6,
BI78&gt;=2.3,BK79*5,
BI78&gt;=2,BK79*4,
BI78&gt;=1.3,BK79*3,
BI78&gt;=1,BK79*2,
BI78&gt;=0.3,BK79,
TRUE,0)
)</f>
        <v/>
      </c>
      <c r="BM78" s="3347" t="str">
        <f>IF(BI78="","","XP")</f>
        <v/>
      </c>
      <c r="BO78" s="442"/>
      <c r="BP78" s="417"/>
      <c r="BQ78" s="4137"/>
      <c r="BR78" s="4137"/>
      <c r="BS78" s="4137"/>
      <c r="BT78" s="4137"/>
      <c r="BU78" s="4137"/>
      <c r="BV78" s="4137"/>
      <c r="BW78" s="4137"/>
      <c r="BX78" s="339"/>
      <c r="BY78" s="443" t="str">
        <f t="shared" si="39"/>
        <v/>
      </c>
      <c r="BZ78" s="410"/>
      <c r="CB78" s="28"/>
      <c r="CC78" s="2112"/>
      <c r="CD78" s="28"/>
      <c r="CS78" s="299"/>
      <c r="CT78" s="28"/>
      <c r="CU78" s="28"/>
      <c r="CV78" s="28"/>
      <c r="CW78" s="28"/>
      <c r="CX78" s="28"/>
      <c r="CY78" s="28"/>
      <c r="CZ78" s="28"/>
      <c r="DA78" s="28"/>
      <c r="DB78" s="28"/>
      <c r="DC78" s="415"/>
      <c r="DF78" s="401"/>
      <c r="DG78" s="36"/>
      <c r="DJ78" s="1640"/>
    </row>
    <row r="79" spans="2:114" ht="17.100000000000001" customHeight="1" x14ac:dyDescent="0.2">
      <c r="B79" s="417"/>
      <c r="C79" s="4152"/>
      <c r="D79" s="4137"/>
      <c r="E79" s="4137"/>
      <c r="F79" s="4137"/>
      <c r="G79" s="4137"/>
      <c r="H79" s="4137"/>
      <c r="I79" s="4137"/>
      <c r="J79" s="339"/>
      <c r="K79" s="443" t="str">
        <f t="shared" si="38"/>
        <v/>
      </c>
      <c r="L79" s="410"/>
      <c r="P79" s="448"/>
      <c r="Q79" s="448"/>
      <c r="R79" s="448"/>
      <c r="S79" s="448"/>
      <c r="T79" s="448"/>
      <c r="U79" s="448"/>
      <c r="V79" s="433"/>
      <c r="Y79" s="3095">
        <v>28</v>
      </c>
      <c r="Z79" s="338"/>
      <c r="AA79" s="441">
        <f t="shared" si="27"/>
        <v>0</v>
      </c>
      <c r="AB79" s="255">
        <f t="shared" si="28"/>
        <v>0</v>
      </c>
      <c r="AC79" s="262"/>
      <c r="AD79" s="262"/>
      <c r="AF79" s="3095">
        <v>28</v>
      </c>
      <c r="AG79" s="338"/>
      <c r="AH79" s="441">
        <f t="shared" si="29"/>
        <v>0</v>
      </c>
      <c r="AI79" s="255">
        <f t="shared" si="30"/>
        <v>0</v>
      </c>
      <c r="AJ79" s="262"/>
      <c r="AK79" s="436"/>
      <c r="AM79" s="3095">
        <v>28</v>
      </c>
      <c r="AN79" s="338"/>
      <c r="AO79" s="441">
        <f t="shared" si="31"/>
        <v>0</v>
      </c>
      <c r="AP79" s="255">
        <f t="shared" si="32"/>
        <v>0</v>
      </c>
      <c r="AQ79" s="437"/>
      <c r="AR79" s="262"/>
      <c r="AT79" s="3095">
        <v>28</v>
      </c>
      <c r="AU79" s="338"/>
      <c r="AV79" s="441">
        <f t="shared" si="33"/>
        <v>0</v>
      </c>
      <c r="AW79" s="255">
        <f t="shared" si="34"/>
        <v>0</v>
      </c>
      <c r="AX79" s="262"/>
      <c r="AY79" s="262"/>
      <c r="BA79" s="3095">
        <v>28</v>
      </c>
      <c r="BB79" s="338"/>
      <c r="BC79" s="441">
        <f t="shared" si="44"/>
        <v>0</v>
      </c>
      <c r="BD79" s="255">
        <f t="shared" si="45"/>
        <v>0</v>
      </c>
      <c r="BF79" s="299"/>
      <c r="BJ79" s="2702" t="s">
        <v>2415</v>
      </c>
      <c r="BK79" s="3348">
        <v>5</v>
      </c>
      <c r="BL79" s="377" t="s">
        <v>2428</v>
      </c>
      <c r="BO79" s="442"/>
      <c r="BP79" s="417"/>
      <c r="BQ79" s="4137"/>
      <c r="BR79" s="4137"/>
      <c r="BS79" s="4137"/>
      <c r="BT79" s="4137"/>
      <c r="BU79" s="4137"/>
      <c r="BV79" s="4137"/>
      <c r="BW79" s="4137"/>
      <c r="BX79" s="339"/>
      <c r="BY79" s="443" t="str">
        <f t="shared" si="39"/>
        <v/>
      </c>
      <c r="BZ79" s="410"/>
      <c r="CB79" s="28"/>
      <c r="CC79" s="2112"/>
      <c r="CP79" s="307" t="s">
        <v>449</v>
      </c>
      <c r="CQ79" s="381">
        <f>BOUNTY!$CK$91</f>
        <v>0</v>
      </c>
      <c r="CS79" s="299"/>
      <c r="DB79" s="28"/>
      <c r="DC79" s="415"/>
      <c r="DF79" s="401"/>
      <c r="DG79" s="36"/>
      <c r="DJ79" s="1640"/>
    </row>
    <row r="80" spans="2:114" ht="17.100000000000001" customHeight="1" x14ac:dyDescent="0.15">
      <c r="B80" s="417"/>
      <c r="C80" s="4137"/>
      <c r="D80" s="4137"/>
      <c r="E80" s="4137"/>
      <c r="F80" s="4137"/>
      <c r="G80" s="4137"/>
      <c r="H80" s="4137"/>
      <c r="I80" s="4137"/>
      <c r="J80" s="339"/>
      <c r="K80" s="443" t="str">
        <f t="shared" si="38"/>
        <v/>
      </c>
      <c r="L80" s="410"/>
      <c r="P80" s="448"/>
      <c r="Q80" s="448"/>
      <c r="R80" s="448"/>
      <c r="S80" s="448"/>
      <c r="T80" s="448"/>
      <c r="U80" s="448"/>
      <c r="V80" s="433"/>
      <c r="Y80" s="3095">
        <f>IF(data!$EB$24&lt;&gt;"",data!$EB$24,"")</f>
        <v>29</v>
      </c>
      <c r="Z80" s="338"/>
      <c r="AA80" s="441">
        <f t="shared" si="27"/>
        <v>0</v>
      </c>
      <c r="AB80" s="255">
        <f t="shared" si="28"/>
        <v>0</v>
      </c>
      <c r="AC80" s="262"/>
      <c r="AD80" s="262"/>
      <c r="AF80" s="3095">
        <f>IF(data!$EB$24&lt;&gt;"",data!$EB$24,"")</f>
        <v>29</v>
      </c>
      <c r="AG80" s="338"/>
      <c r="AH80" s="441">
        <f t="shared" si="29"/>
        <v>0</v>
      </c>
      <c r="AI80" s="255">
        <f t="shared" si="30"/>
        <v>0</v>
      </c>
      <c r="AJ80" s="262"/>
      <c r="AK80" s="436"/>
      <c r="AM80" s="3095">
        <f>IF(data!$EB$24&lt;&gt;"",data!$EB$24,"")</f>
        <v>29</v>
      </c>
      <c r="AN80" s="338"/>
      <c r="AO80" s="441">
        <f t="shared" si="31"/>
        <v>0</v>
      </c>
      <c r="AP80" s="255">
        <f t="shared" si="32"/>
        <v>0</v>
      </c>
      <c r="AQ80" s="437"/>
      <c r="AR80" s="262"/>
      <c r="AT80" s="3095">
        <f>IF(data!$EB$24&lt;&gt;"",data!$EB$24,"")</f>
        <v>29</v>
      </c>
      <c r="AU80" s="338"/>
      <c r="AV80" s="441">
        <f t="shared" si="33"/>
        <v>0</v>
      </c>
      <c r="AW80" s="255">
        <f t="shared" si="34"/>
        <v>0</v>
      </c>
      <c r="AX80" s="262"/>
      <c r="AY80" s="262"/>
      <c r="BA80" s="3095">
        <f>IF(data!$EB$24&lt;&gt;"",data!$EB$24,"")</f>
        <v>29</v>
      </c>
      <c r="BB80" s="338"/>
      <c r="BC80" s="441">
        <f t="shared" si="44"/>
        <v>0</v>
      </c>
      <c r="BD80" s="255">
        <f t="shared" si="45"/>
        <v>0</v>
      </c>
      <c r="BF80" s="299"/>
      <c r="BH80" s="28"/>
      <c r="BI80" s="28"/>
      <c r="BJ80" s="28"/>
      <c r="BK80" s="28"/>
      <c r="BL80" s="28"/>
      <c r="BM80" s="28"/>
      <c r="BN80" s="28"/>
      <c r="BO80" s="442"/>
      <c r="BP80" s="417"/>
      <c r="BQ80" s="4137"/>
      <c r="BR80" s="4137"/>
      <c r="BS80" s="4137"/>
      <c r="BT80" s="4137"/>
      <c r="BU80" s="4137"/>
      <c r="BV80" s="4137"/>
      <c r="BW80" s="4137"/>
      <c r="BX80" s="339"/>
      <c r="BY80" s="443" t="str">
        <f t="shared" si="39"/>
        <v/>
      </c>
      <c r="BZ80" s="410"/>
      <c r="CB80" s="28"/>
      <c r="CC80" s="2112"/>
      <c r="CS80" s="299"/>
      <c r="DB80" s="28"/>
      <c r="DC80" s="415"/>
      <c r="DF80" s="401"/>
      <c r="DG80" s="36"/>
      <c r="DJ80" s="1640"/>
    </row>
    <row r="81" spans="2:114" ht="17.100000000000001" customHeight="1" x14ac:dyDescent="0.15">
      <c r="B81" s="417"/>
      <c r="C81" s="4137"/>
      <c r="D81" s="4137"/>
      <c r="E81" s="4137"/>
      <c r="F81" s="4137"/>
      <c r="G81" s="4137"/>
      <c r="H81" s="4137"/>
      <c r="I81" s="4137"/>
      <c r="J81" s="339"/>
      <c r="K81" s="443" t="str">
        <f t="shared" si="38"/>
        <v/>
      </c>
      <c r="L81" s="410"/>
      <c r="O81" s="262"/>
      <c r="P81" s="448"/>
      <c r="Q81" s="448"/>
      <c r="R81" s="448"/>
      <c r="S81" s="448"/>
      <c r="T81" s="448"/>
      <c r="V81" s="433"/>
      <c r="Y81" s="3095">
        <f>IF(data!$EB$23&lt;&gt;"",data!$EB$23,"")</f>
        <v>30</v>
      </c>
      <c r="Z81" s="338"/>
      <c r="AA81" s="441">
        <f t="shared" si="27"/>
        <v>0</v>
      </c>
      <c r="AB81" s="255">
        <f t="shared" si="28"/>
        <v>0</v>
      </c>
      <c r="AF81" s="3095">
        <f>IF(data!$EB$23&lt;&gt;"",data!$EB$23,"")</f>
        <v>30</v>
      </c>
      <c r="AG81" s="338"/>
      <c r="AH81" s="441">
        <f t="shared" si="29"/>
        <v>0</v>
      </c>
      <c r="AI81" s="255">
        <f t="shared" si="30"/>
        <v>0</v>
      </c>
      <c r="AM81" s="3095">
        <f>IF(data!$EB$23&lt;&gt;"",data!$EB$23,"")</f>
        <v>30</v>
      </c>
      <c r="AN81" s="338"/>
      <c r="AO81" s="441">
        <f t="shared" si="31"/>
        <v>0</v>
      </c>
      <c r="AP81" s="255">
        <f t="shared" si="32"/>
        <v>0</v>
      </c>
      <c r="AT81" s="3095">
        <f>IF(data!$EB$23&lt;&gt;"",data!$EB$23,"")</f>
        <v>30</v>
      </c>
      <c r="AU81" s="338"/>
      <c r="AV81" s="441">
        <f t="shared" si="33"/>
        <v>0</v>
      </c>
      <c r="AW81" s="255">
        <f t="shared" si="34"/>
        <v>0</v>
      </c>
      <c r="BA81" s="3095">
        <f>IF(data!$EB$23&lt;&gt;"",data!$EB$23,"")</f>
        <v>30</v>
      </c>
      <c r="BB81" s="338"/>
      <c r="BC81" s="441">
        <f t="shared" si="44"/>
        <v>0</v>
      </c>
      <c r="BD81" s="255">
        <f t="shared" si="45"/>
        <v>0</v>
      </c>
      <c r="BF81" s="299"/>
      <c r="BO81" s="442"/>
      <c r="BP81" s="417"/>
      <c r="BQ81" s="4137"/>
      <c r="BR81" s="4137"/>
      <c r="BS81" s="4137"/>
      <c r="BT81" s="4137"/>
      <c r="BU81" s="4137"/>
      <c r="BV81" s="4137"/>
      <c r="BW81" s="4137"/>
      <c r="BX81" s="339"/>
      <c r="BY81" s="443" t="str">
        <f t="shared" si="39"/>
        <v/>
      </c>
      <c r="BZ81" s="410"/>
      <c r="CB81" s="28"/>
      <c r="CC81" s="2112"/>
      <c r="CD81" s="28"/>
      <c r="CJ81" s="2583" t="str">
        <f>data!$FI$23&amp;" DIFFICULTY"</f>
        <v>CASUAL DIFFICULTY</v>
      </c>
      <c r="CP81" s="2583" t="s">
        <v>1175</v>
      </c>
      <c r="CQ81" s="2561">
        <f ca="1">SUM(CQ43:CQ79)</f>
        <v>0</v>
      </c>
      <c r="CS81" s="299"/>
      <c r="CY81" s="28"/>
      <c r="CZ81" s="28"/>
      <c r="DA81" s="28"/>
      <c r="DB81" s="28"/>
      <c r="DC81" s="415"/>
      <c r="DF81" s="408"/>
      <c r="DG81" s="36"/>
      <c r="DJ81" s="1641"/>
    </row>
    <row r="82" spans="2:114" ht="17.100000000000001" customHeight="1" x14ac:dyDescent="0.15">
      <c r="B82" s="417"/>
      <c r="C82" s="4137"/>
      <c r="D82" s="4137"/>
      <c r="E82" s="4137"/>
      <c r="F82" s="4137"/>
      <c r="G82" s="4137"/>
      <c r="H82" s="4137"/>
      <c r="I82" s="4137"/>
      <c r="J82" s="339"/>
      <c r="K82" s="443" t="str">
        <f t="shared" si="38"/>
        <v/>
      </c>
      <c r="L82" s="410"/>
      <c r="O82" s="262"/>
      <c r="P82" s="448"/>
      <c r="Q82" s="448"/>
      <c r="R82" s="448"/>
      <c r="S82" s="448"/>
      <c r="T82" s="448"/>
      <c r="U82" s="448"/>
      <c r="V82" s="433"/>
      <c r="Y82" s="3095">
        <f>IF(data!$EB$22&lt;&gt;"",data!$EB$22,"")</f>
        <v>31</v>
      </c>
      <c r="Z82" s="338"/>
      <c r="AA82" s="441">
        <f t="shared" si="27"/>
        <v>0</v>
      </c>
      <c r="AB82" s="255">
        <f t="shared" si="28"/>
        <v>0</v>
      </c>
      <c r="AF82" s="3095">
        <f>IF(data!$EB$22&lt;&gt;"",data!$EB$22,"")</f>
        <v>31</v>
      </c>
      <c r="AG82" s="338"/>
      <c r="AH82" s="441">
        <f t="shared" si="29"/>
        <v>0</v>
      </c>
      <c r="AI82" s="255">
        <f t="shared" si="30"/>
        <v>0</v>
      </c>
      <c r="AM82" s="3095">
        <f>IF(data!$EB$22&lt;&gt;"",data!$EB$22,"")</f>
        <v>31</v>
      </c>
      <c r="AN82" s="338"/>
      <c r="AO82" s="441">
        <f t="shared" si="31"/>
        <v>0</v>
      </c>
      <c r="AP82" s="255">
        <f t="shared" si="32"/>
        <v>0</v>
      </c>
      <c r="AT82" s="3095">
        <f>IF(data!$EB$22&lt;&gt;"",data!$EB$22,"")</f>
        <v>31</v>
      </c>
      <c r="AU82" s="338"/>
      <c r="AV82" s="441">
        <f t="shared" si="33"/>
        <v>0</v>
      </c>
      <c r="AW82" s="255">
        <f t="shared" si="34"/>
        <v>0</v>
      </c>
      <c r="BA82" s="3095">
        <f>IF(data!$EB$22&lt;&gt;"",data!$EB$22,"")</f>
        <v>31</v>
      </c>
      <c r="BB82" s="338"/>
      <c r="BC82" s="441">
        <f t="shared" ref="BC82" si="47">IF(BB$48="N",IF(BB82&lt;&gt;0,BC81+1, BC81),IF(BB82&lt;&gt;0,BC81+1, 0))</f>
        <v>0</v>
      </c>
      <c r="BD82" s="255">
        <f t="shared" ref="BD82" si="48">IF(BB82&lt;&gt;0,BD81+1,0)</f>
        <v>0</v>
      </c>
      <c r="BF82" s="299"/>
      <c r="BO82" s="442"/>
      <c r="BP82" s="417"/>
      <c r="BQ82" s="4137"/>
      <c r="BR82" s="4137"/>
      <c r="BS82" s="4137"/>
      <c r="BT82" s="4137"/>
      <c r="BU82" s="4137"/>
      <c r="BV82" s="4137"/>
      <c r="BW82" s="4137"/>
      <c r="BX82" s="339"/>
      <c r="BY82" s="443" t="str">
        <f t="shared" si="39"/>
        <v/>
      </c>
      <c r="BZ82" s="410"/>
      <c r="CC82" s="2584"/>
      <c r="CD82" s="1975"/>
      <c r="CE82" s="252"/>
      <c r="CF82" s="252"/>
      <c r="CG82" s="252"/>
      <c r="CH82" s="252"/>
      <c r="CI82" s="252"/>
      <c r="CJ82" s="252"/>
      <c r="CK82" s="252"/>
      <c r="CL82" s="252"/>
      <c r="CM82" s="252"/>
      <c r="CN82" s="252"/>
      <c r="CO82" s="252"/>
      <c r="CP82" s="252"/>
      <c r="CQ82" s="252"/>
      <c r="CR82" s="252"/>
      <c r="CS82" s="253"/>
      <c r="CY82" s="28"/>
      <c r="CZ82" s="28"/>
      <c r="DA82" s="28"/>
      <c r="DB82" s="28"/>
      <c r="DC82" s="415"/>
      <c r="DF82" s="408"/>
      <c r="DG82" s="36"/>
      <c r="DJ82" s="1641"/>
    </row>
    <row r="83" spans="2:114" ht="17.100000000000001" customHeight="1" x14ac:dyDescent="0.15">
      <c r="B83" s="417"/>
      <c r="C83" s="4137"/>
      <c r="D83" s="4137"/>
      <c r="E83" s="4137"/>
      <c r="F83" s="4137"/>
      <c r="G83" s="4137"/>
      <c r="H83" s="4137"/>
      <c r="I83" s="4137"/>
      <c r="J83" s="339"/>
      <c r="K83" s="443" t="str">
        <f t="shared" si="38"/>
        <v/>
      </c>
      <c r="L83" s="410"/>
      <c r="U83" s="448"/>
      <c r="V83" s="2713"/>
      <c r="W83" s="2712"/>
      <c r="X83" s="2712"/>
      <c r="Y83" s="2974">
        <f ca="1">IF($DK$4=0,0,IF(VLOOKUP($N$1,Y52:Z82,2,FALSE)="",0,1))</f>
        <v>0</v>
      </c>
      <c r="Z83" s="2975">
        <f>IF(Z$48="N",SUM(Z52:Z82),MAX(AB52:AB82))</f>
        <v>0</v>
      </c>
      <c r="AA83" s="2974">
        <f>MAX(AA52:AA82)</f>
        <v>0</v>
      </c>
      <c r="AB83" s="2974"/>
      <c r="AC83" s="2976"/>
      <c r="AD83" s="2976"/>
      <c r="AE83" s="2976"/>
      <c r="AF83" s="2974">
        <f ca="1">IF($DK$4=0,0,IF(VLOOKUP($N$1,AF52:AG82,2,FALSE)="",0,1))</f>
        <v>0</v>
      </c>
      <c r="AG83" s="2975">
        <f>IF(AG$48="N",SUM(AG52:AG82),MAX(AI52:AI82))</f>
        <v>0</v>
      </c>
      <c r="AH83" s="2974">
        <f>MAX(AH52:AH82)</f>
        <v>0</v>
      </c>
      <c r="AI83" s="2974"/>
      <c r="AJ83" s="2976"/>
      <c r="AK83" s="2976"/>
      <c r="AL83" s="2976"/>
      <c r="AM83" s="2974">
        <f ca="1">IF($DK$4=0,0,IF(VLOOKUP($N$1,AM52:AN82,2,FALSE)="",0,1))</f>
        <v>0</v>
      </c>
      <c r="AN83" s="2975">
        <f>IF(AN$48="N",SUM(AN52:AN82),MAX(AP52:AP82))</f>
        <v>0</v>
      </c>
      <c r="AO83" s="2974">
        <f>MAX(AO52:AO82)</f>
        <v>0</v>
      </c>
      <c r="AP83" s="2974"/>
      <c r="AQ83" s="2976"/>
      <c r="AR83" s="2976"/>
      <c r="AS83" s="2976"/>
      <c r="AT83" s="2974">
        <f ca="1">IF($DK$4=0,0,IF(VLOOKUP($N$1,AT52:AU82,2,FALSE)="",0,1))</f>
        <v>0</v>
      </c>
      <c r="AU83" s="2975">
        <f>IF(AU$48="N",SUM(AU52:AU82),MAX(AW52:AW82))</f>
        <v>0</v>
      </c>
      <c r="AV83" s="2974">
        <f>MAX(AV52:AV82)</f>
        <v>0</v>
      </c>
      <c r="AW83" s="2974"/>
      <c r="AX83" s="2976"/>
      <c r="AY83" s="2976"/>
      <c r="AZ83" s="2976"/>
      <c r="BA83" s="2974">
        <f ca="1">IF($DK$4=0,0,IF(VLOOKUP($N$1,BA52:BB82,2,FALSE)="",0,1))</f>
        <v>0</v>
      </c>
      <c r="BB83" s="2975">
        <f>IF(BB$48="N",SUM(BB52:BB82),MAX(BD52:BD82))</f>
        <v>0</v>
      </c>
      <c r="BC83" s="2974">
        <f>MAX(BC52:BC82)</f>
        <v>0</v>
      </c>
      <c r="BD83" s="2711"/>
      <c r="BE83" s="2712"/>
      <c r="BF83" s="253"/>
      <c r="BO83" s="442"/>
      <c r="BP83" s="417"/>
      <c r="BQ83" s="4137"/>
      <c r="BR83" s="4137"/>
      <c r="BS83" s="4137"/>
      <c r="BT83" s="4137"/>
      <c r="BU83" s="4137"/>
      <c r="BV83" s="4137"/>
      <c r="BW83" s="4137"/>
      <c r="BX83" s="339"/>
      <c r="BY83" s="443" t="str">
        <f t="shared" si="39"/>
        <v/>
      </c>
      <c r="BZ83" s="410"/>
      <c r="CC83" s="28"/>
      <c r="CD83" s="28"/>
      <c r="CE83" s="28"/>
      <c r="CF83" s="28"/>
      <c r="CG83" s="28"/>
      <c r="CH83" s="28"/>
      <c r="CY83" s="28"/>
      <c r="CZ83" s="28"/>
      <c r="DA83" s="28"/>
      <c r="DB83" s="28"/>
      <c r="DC83" s="415"/>
      <c r="DF83" s="408"/>
      <c r="DG83" s="36"/>
      <c r="DJ83" s="1641"/>
    </row>
    <row r="84" spans="2:114" ht="16.899999999999999" customHeight="1" x14ac:dyDescent="0.15">
      <c r="B84" s="417"/>
      <c r="C84" s="4137"/>
      <c r="D84" s="4137"/>
      <c r="E84" s="4137"/>
      <c r="F84" s="4137"/>
      <c r="G84" s="4137"/>
      <c r="H84" s="4137"/>
      <c r="I84" s="4137"/>
      <c r="J84" s="339"/>
      <c r="K84" s="443" t="str">
        <f t="shared" si="38"/>
        <v/>
      </c>
      <c r="L84" s="410"/>
      <c r="BP84" s="417"/>
      <c r="BQ84" s="4137"/>
      <c r="BR84" s="4137"/>
      <c r="BS84" s="4137"/>
      <c r="BT84" s="4137"/>
      <c r="BU84" s="4137"/>
      <c r="BV84" s="4137"/>
      <c r="BW84" s="4137"/>
      <c r="BX84" s="339"/>
      <c r="BY84" s="443" t="str">
        <f t="shared" si="39"/>
        <v/>
      </c>
      <c r="BZ84" s="410"/>
      <c r="CC84" s="28"/>
      <c r="CD84" s="28"/>
      <c r="CE84" s="28"/>
      <c r="CF84" s="28"/>
      <c r="CG84" s="28"/>
      <c r="CH84" s="28"/>
      <c r="CY84" s="28"/>
      <c r="CZ84" s="28"/>
      <c r="DA84" s="28"/>
      <c r="DB84" s="28"/>
    </row>
    <row r="85" spans="2:114" ht="17.100000000000001" customHeight="1" x14ac:dyDescent="0.25">
      <c r="B85" s="417"/>
      <c r="C85" s="4137"/>
      <c r="D85" s="4137"/>
      <c r="E85" s="4137"/>
      <c r="F85" s="4137"/>
      <c r="G85" s="4137"/>
      <c r="H85" s="4137"/>
      <c r="I85" s="4137"/>
      <c r="J85" s="339"/>
      <c r="K85" s="443" t="str">
        <f t="shared" si="38"/>
        <v/>
      </c>
      <c r="L85" s="410"/>
      <c r="V85" s="1642"/>
      <c r="W85" s="1643"/>
      <c r="X85" s="1643"/>
      <c r="Y85" s="1643"/>
      <c r="Z85" s="1643"/>
      <c r="AA85" s="1643"/>
      <c r="AB85" s="1643"/>
      <c r="AC85" s="1643"/>
      <c r="AD85" s="1643"/>
      <c r="AE85" s="1643"/>
      <c r="AF85" s="1643"/>
      <c r="AG85" s="1643"/>
      <c r="AH85" s="1643"/>
      <c r="AI85" s="1643"/>
      <c r="AJ85" s="1643"/>
      <c r="AK85" s="1643"/>
      <c r="AL85" s="1643"/>
      <c r="AM85" s="1643"/>
      <c r="AN85" s="1643"/>
      <c r="AO85" s="1643"/>
      <c r="AP85" s="1643"/>
      <c r="AQ85" s="1643"/>
      <c r="AR85" s="1643"/>
      <c r="AS85" s="1643"/>
      <c r="AT85" s="1643"/>
      <c r="AU85" s="1643"/>
      <c r="AV85" s="1643"/>
      <c r="AW85" s="1643"/>
      <c r="AX85" s="1643"/>
      <c r="AY85" s="1643"/>
      <c r="AZ85" s="1643"/>
      <c r="BA85" s="1643"/>
      <c r="BB85" s="1643"/>
      <c r="BC85" s="1643"/>
      <c r="BD85" s="1643"/>
      <c r="BE85" s="1643"/>
      <c r="BF85" s="1644"/>
      <c r="BP85" s="417"/>
      <c r="BQ85" s="4137"/>
      <c r="BR85" s="4137"/>
      <c r="BS85" s="4137"/>
      <c r="BT85" s="4137"/>
      <c r="BU85" s="4137"/>
      <c r="BV85" s="4137"/>
      <c r="BW85" s="4137"/>
      <c r="BX85" s="339"/>
      <c r="BY85" s="443" t="str">
        <f t="shared" si="39"/>
        <v/>
      </c>
      <c r="BZ85" s="410"/>
      <c r="CC85" s="28"/>
      <c r="CD85" s="28"/>
      <c r="CE85" s="28"/>
      <c r="CF85" s="28"/>
      <c r="CG85" s="28"/>
      <c r="CH85" s="28"/>
      <c r="CY85" s="28"/>
      <c r="CZ85" s="28"/>
      <c r="DA85" s="28"/>
      <c r="DB85" s="28"/>
      <c r="DD85" s="307"/>
      <c r="DF85" s="401"/>
      <c r="DG85" s="36"/>
      <c r="DI85" s="1663"/>
      <c r="DJ85" s="36"/>
    </row>
    <row r="86" spans="2:114" ht="17.100000000000001" customHeight="1" x14ac:dyDescent="0.25">
      <c r="B86" s="417"/>
      <c r="C86" s="4137"/>
      <c r="D86" s="4137"/>
      <c r="E86" s="4137"/>
      <c r="F86" s="4137"/>
      <c r="G86" s="4137"/>
      <c r="H86" s="4137"/>
      <c r="I86" s="4137"/>
      <c r="J86" s="339"/>
      <c r="K86" s="443" t="str">
        <f t="shared" si="38"/>
        <v/>
      </c>
      <c r="L86" s="410"/>
      <c r="V86" s="1645"/>
      <c r="W86" s="1651"/>
      <c r="X86" s="4138" t="s">
        <v>1176</v>
      </c>
      <c r="Y86" s="4138"/>
      <c r="Z86" s="4138"/>
      <c r="AA86" s="4138"/>
      <c r="AB86" s="4138"/>
      <c r="AC86" s="4138"/>
      <c r="AD86" s="4138"/>
      <c r="AE86" s="4138"/>
      <c r="AF86" s="4138"/>
      <c r="AG86" s="4138"/>
      <c r="AH86" s="4138"/>
      <c r="AI86" s="4138"/>
      <c r="AJ86" s="4138"/>
      <c r="AK86" s="4138"/>
      <c r="AL86" s="4138"/>
      <c r="AM86" s="4138"/>
      <c r="AN86" s="4138"/>
      <c r="AO86" s="4138"/>
      <c r="AP86" s="4138"/>
      <c r="AQ86" s="4138"/>
      <c r="AR86" s="4138"/>
      <c r="AS86" s="4138"/>
      <c r="AT86" s="4138"/>
      <c r="AU86" s="4138"/>
      <c r="AV86" s="4138"/>
      <c r="AW86" s="4138"/>
      <c r="AX86" s="4138"/>
      <c r="AY86" s="4138"/>
      <c r="AZ86" s="4138"/>
      <c r="BA86" s="4138"/>
      <c r="BB86" s="4138"/>
      <c r="BC86" s="4138"/>
      <c r="BD86" s="4138"/>
      <c r="BE86" s="1550">
        <v>1</v>
      </c>
      <c r="BF86" s="1646"/>
      <c r="BP86" s="417"/>
      <c r="BQ86" s="4137"/>
      <c r="BR86" s="4137"/>
      <c r="BS86" s="4137"/>
      <c r="BT86" s="4137"/>
      <c r="BU86" s="4137"/>
      <c r="BV86" s="4137"/>
      <c r="BW86" s="4137"/>
      <c r="BX86" s="339"/>
      <c r="BY86" s="443" t="str">
        <f t="shared" si="39"/>
        <v/>
      </c>
      <c r="BZ86" s="410"/>
      <c r="CC86" s="28"/>
      <c r="CD86" s="28"/>
      <c r="CE86" s="28"/>
      <c r="CF86" s="28"/>
      <c r="CG86" s="28"/>
      <c r="CH86" s="28"/>
      <c r="CY86" s="28"/>
      <c r="CZ86" s="28"/>
      <c r="DA86" s="28"/>
      <c r="DB86" s="28"/>
      <c r="DD86" s="307"/>
      <c r="DF86" s="401"/>
      <c r="DG86" s="36"/>
      <c r="DI86" s="1663"/>
      <c r="DJ86" s="36"/>
    </row>
    <row r="87" spans="2:114" ht="17.100000000000001" customHeight="1" x14ac:dyDescent="0.15">
      <c r="B87" s="417"/>
      <c r="C87" s="4137"/>
      <c r="D87" s="4137"/>
      <c r="E87" s="4137"/>
      <c r="F87" s="4137"/>
      <c r="G87" s="4137"/>
      <c r="H87" s="4137"/>
      <c r="I87" s="4137"/>
      <c r="J87" s="339"/>
      <c r="K87" s="443" t="str">
        <f t="shared" si="38"/>
        <v/>
      </c>
      <c r="L87" s="410"/>
      <c r="V87" s="1467"/>
      <c r="W87" s="21"/>
      <c r="X87" s="1652"/>
      <c r="Y87" s="1550"/>
      <c r="Z87" s="1652"/>
      <c r="AA87" s="1652"/>
      <c r="AB87" s="1652"/>
      <c r="AC87" s="1652"/>
      <c r="AD87" s="1652"/>
      <c r="AE87" s="1652"/>
      <c r="AF87" s="1550"/>
      <c r="AG87" s="1652"/>
      <c r="AH87" s="1652"/>
      <c r="AI87" s="1652"/>
      <c r="AJ87" s="1652"/>
      <c r="AK87" s="155"/>
      <c r="AL87" s="1550">
        <f ca="1">PLANS!$B$1</f>
        <v>32</v>
      </c>
      <c r="AM87" s="41"/>
      <c r="AN87" s="1550" t="s">
        <v>128</v>
      </c>
      <c r="AO87" s="1550">
        <v>0</v>
      </c>
      <c r="AP87" s="1550">
        <v>1</v>
      </c>
      <c r="AQ87" s="716"/>
      <c r="AR87" s="1652"/>
      <c r="AS87" s="1652"/>
      <c r="AT87" s="1550"/>
      <c r="AU87" s="1652"/>
      <c r="AV87" s="1652"/>
      <c r="AW87" s="1652"/>
      <c r="AX87" s="1652"/>
      <c r="AY87" s="1652"/>
      <c r="AZ87" s="1652"/>
      <c r="BA87" s="1550"/>
      <c r="BB87" s="1652"/>
      <c r="BC87" s="1652"/>
      <c r="BD87" s="1652"/>
      <c r="BE87" s="1550">
        <v>0</v>
      </c>
      <c r="BF87" s="1647"/>
      <c r="BP87" s="417"/>
      <c r="BQ87" s="4137"/>
      <c r="BR87" s="4137"/>
      <c r="BS87" s="4137"/>
      <c r="BT87" s="4137"/>
      <c r="BU87" s="4137"/>
      <c r="BV87" s="4137"/>
      <c r="BW87" s="4137"/>
      <c r="BX87" s="339"/>
      <c r="BY87" s="443" t="str">
        <f t="shared" si="39"/>
        <v/>
      </c>
      <c r="BZ87" s="410"/>
      <c r="CC87" s="28"/>
      <c r="CD87" s="28"/>
      <c r="CE87" s="28"/>
      <c r="CF87" s="28"/>
      <c r="CG87" s="28"/>
      <c r="CH87" s="28"/>
      <c r="CY87" s="28"/>
      <c r="CZ87" s="28"/>
      <c r="DA87" s="28"/>
      <c r="DB87" s="28"/>
      <c r="DI87" s="69"/>
    </row>
    <row r="88" spans="2:114" ht="17.100000000000001" customHeight="1" x14ac:dyDescent="0.25">
      <c r="B88" s="417"/>
      <c r="C88" s="4137"/>
      <c r="D88" s="4137"/>
      <c r="E88" s="4137"/>
      <c r="F88" s="4137"/>
      <c r="G88" s="4137"/>
      <c r="H88" s="4137"/>
      <c r="I88" s="4137"/>
      <c r="J88" s="339"/>
      <c r="K88" s="443" t="str">
        <f t="shared" si="38"/>
        <v/>
      </c>
      <c r="L88" s="410"/>
      <c r="V88" s="1467"/>
      <c r="W88" s="21"/>
      <c r="AN88" s="2006"/>
      <c r="BE88" s="1550" t="s">
        <v>128</v>
      </c>
      <c r="BF88" s="1647"/>
      <c r="BP88" s="417"/>
      <c r="BQ88" s="4137"/>
      <c r="BR88" s="4137"/>
      <c r="BS88" s="4137"/>
      <c r="BT88" s="4137"/>
      <c r="BU88" s="4137"/>
      <c r="BV88" s="4137"/>
      <c r="BW88" s="4137"/>
      <c r="BX88" s="339"/>
      <c r="BY88" s="443" t="str">
        <f t="shared" si="39"/>
        <v/>
      </c>
      <c r="BZ88" s="410"/>
      <c r="CC88" s="28"/>
      <c r="CD88" s="28"/>
      <c r="CE88" s="28"/>
      <c r="CF88" s="28"/>
      <c r="CG88" s="28"/>
      <c r="CH88" s="28"/>
      <c r="CY88" s="28"/>
      <c r="CZ88" s="28"/>
      <c r="DA88" s="28"/>
      <c r="DB88" s="28"/>
      <c r="DD88" s="307"/>
      <c r="DF88" s="408"/>
      <c r="DG88" s="36"/>
      <c r="DI88" s="1663"/>
      <c r="DJ88" s="36"/>
    </row>
    <row r="89" spans="2:114" ht="17.100000000000001" customHeight="1" x14ac:dyDescent="0.25">
      <c r="B89" s="417"/>
      <c r="C89" s="4137"/>
      <c r="D89" s="4137"/>
      <c r="E89" s="4137"/>
      <c r="F89" s="4137"/>
      <c r="G89" s="4137"/>
      <c r="H89" s="4137"/>
      <c r="I89" s="4137"/>
      <c r="J89" s="339"/>
      <c r="K89" s="443" t="str">
        <f t="shared" si="38"/>
        <v/>
      </c>
      <c r="L89" s="410"/>
      <c r="V89" s="1467"/>
      <c r="W89" s="907"/>
      <c r="X89" s="2100"/>
      <c r="Y89" s="2100"/>
      <c r="Z89" s="2100"/>
      <c r="AA89" s="2100"/>
      <c r="AB89" s="2100"/>
      <c r="AC89" s="2100"/>
      <c r="AD89" s="2100"/>
      <c r="AE89" s="2100"/>
      <c r="AF89" s="4147"/>
      <c r="AG89" s="4147"/>
      <c r="AH89" s="4147"/>
      <c r="AI89" s="4147"/>
      <c r="AJ89" s="4147"/>
      <c r="AK89" s="4147"/>
      <c r="AL89" s="4147"/>
      <c r="AM89" s="4147"/>
      <c r="AN89" s="4147"/>
      <c r="AO89" s="4147"/>
      <c r="AP89" s="4147"/>
      <c r="AQ89" s="4147"/>
      <c r="AR89" s="4147"/>
      <c r="AS89" s="4147"/>
      <c r="AT89" s="4147"/>
      <c r="AU89" s="4147"/>
      <c r="AV89" s="4147"/>
      <c r="AW89" s="2100"/>
      <c r="AX89" s="2100"/>
      <c r="AY89" s="2100"/>
      <c r="AZ89" s="2100"/>
      <c r="BA89" s="2100"/>
      <c r="BB89" s="2100"/>
      <c r="BC89" s="2100"/>
      <c r="BD89" s="2100"/>
      <c r="BE89" s="915"/>
      <c r="BF89" s="1647"/>
      <c r="BP89" s="417"/>
      <c r="BQ89" s="4137"/>
      <c r="BR89" s="4137"/>
      <c r="BS89" s="4137"/>
      <c r="BT89" s="4137"/>
      <c r="BU89" s="4137"/>
      <c r="BV89" s="4137"/>
      <c r="BW89" s="4137"/>
      <c r="BX89" s="339"/>
      <c r="BY89" s="443" t="str">
        <f t="shared" si="39"/>
        <v/>
      </c>
      <c r="BZ89" s="410"/>
      <c r="CC89" s="28"/>
      <c r="CD89" s="28"/>
      <c r="CE89" s="28"/>
      <c r="CF89" s="28"/>
      <c r="CG89" s="28"/>
      <c r="CH89" s="28"/>
      <c r="CY89" s="28"/>
      <c r="CZ89" s="28"/>
      <c r="DA89" s="28"/>
      <c r="DI89" s="69"/>
    </row>
    <row r="90" spans="2:114" ht="17.100000000000001" customHeight="1" x14ac:dyDescent="0.2">
      <c r="B90" s="417"/>
      <c r="C90" s="4137"/>
      <c r="D90" s="4137"/>
      <c r="E90" s="4137"/>
      <c r="F90" s="4137"/>
      <c r="G90" s="4137"/>
      <c r="H90" s="4137"/>
      <c r="I90" s="4137"/>
      <c r="J90" s="339"/>
      <c r="K90" s="443" t="str">
        <f t="shared" si="38"/>
        <v/>
      </c>
      <c r="L90" s="410"/>
      <c r="V90" s="1467"/>
      <c r="W90" s="907"/>
      <c r="AN90" s="255">
        <f>SUM(Y98:BC98,Y100:BC100,Y102:BC102)</f>
        <v>0</v>
      </c>
      <c r="BE90" s="915"/>
      <c r="BF90" s="1647"/>
      <c r="BP90" s="417"/>
      <c r="BQ90" s="4137"/>
      <c r="BR90" s="4137"/>
      <c r="BS90" s="4137"/>
      <c r="BT90" s="4137"/>
      <c r="BU90" s="4137"/>
      <c r="BV90" s="4137"/>
      <c r="BW90" s="4137"/>
      <c r="BX90" s="339"/>
      <c r="BY90" s="443" t="str">
        <f t="shared" si="39"/>
        <v/>
      </c>
      <c r="BZ90" s="410"/>
      <c r="CC90" s="28"/>
      <c r="CD90" s="28"/>
      <c r="CE90" s="28"/>
      <c r="CF90" s="28"/>
      <c r="CG90" s="28"/>
      <c r="CH90" s="28"/>
      <c r="CY90" s="28"/>
      <c r="CZ90" s="28"/>
      <c r="DA90" s="28"/>
      <c r="DD90" s="307"/>
      <c r="DF90" s="408"/>
      <c r="DG90" s="36"/>
      <c r="DI90" s="1663"/>
      <c r="DJ90" s="36"/>
    </row>
    <row r="91" spans="2:114" ht="17.100000000000001" customHeight="1" x14ac:dyDescent="0.2">
      <c r="B91" s="417"/>
      <c r="C91" s="4137"/>
      <c r="D91" s="4137"/>
      <c r="E91" s="4137"/>
      <c r="F91" s="4137"/>
      <c r="G91" s="4137"/>
      <c r="H91" s="4137"/>
      <c r="I91" s="4137"/>
      <c r="J91" s="339"/>
      <c r="K91" s="443" t="str">
        <f t="shared" si="38"/>
        <v/>
      </c>
      <c r="L91" s="410"/>
      <c r="V91" s="1467"/>
      <c r="W91" s="907"/>
      <c r="X91" s="1652"/>
      <c r="Y91" s="1550"/>
      <c r="Z91" s="1652"/>
      <c r="AA91" s="1652"/>
      <c r="AB91" s="1652"/>
      <c r="AC91" s="1652"/>
      <c r="AD91" s="1652"/>
      <c r="AE91" s="1652"/>
      <c r="AF91" s="1550"/>
      <c r="AG91" s="1652"/>
      <c r="AH91" s="1652"/>
      <c r="AI91" s="1652"/>
      <c r="AJ91" s="1652"/>
      <c r="AK91" s="1652"/>
      <c r="AM91" s="720"/>
      <c r="AN91" s="2007" t="str">
        <f>IF(AF89="","","coop points")</f>
        <v/>
      </c>
      <c r="AO91" s="716"/>
      <c r="AQ91" s="716"/>
      <c r="AR91" s="716"/>
      <c r="AS91" s="716"/>
      <c r="AT91" s="716"/>
      <c r="AU91" s="716"/>
      <c r="AV91" s="716"/>
      <c r="AW91" s="716"/>
      <c r="AX91" s="716"/>
      <c r="AY91" s="716"/>
      <c r="AZ91" s="716"/>
      <c r="BA91" s="716"/>
      <c r="BB91" s="716"/>
      <c r="BC91" s="716"/>
      <c r="BD91" s="1652"/>
      <c r="BE91" s="915"/>
      <c r="BF91" s="1647"/>
      <c r="BP91" s="417"/>
      <c r="BQ91" s="4137"/>
      <c r="BR91" s="4137"/>
      <c r="BS91" s="4137"/>
      <c r="BT91" s="4137"/>
      <c r="BU91" s="4137"/>
      <c r="BV91" s="4137"/>
      <c r="BW91" s="4137"/>
      <c r="BX91" s="339"/>
      <c r="BY91" s="443" t="str">
        <f t="shared" si="39"/>
        <v/>
      </c>
      <c r="BZ91" s="410"/>
      <c r="CC91" s="28"/>
      <c r="CD91" s="28"/>
      <c r="CE91" s="28"/>
      <c r="CF91" s="28"/>
      <c r="CG91" s="28"/>
      <c r="CH91" s="28"/>
      <c r="CY91" s="28"/>
      <c r="CZ91" s="28"/>
      <c r="DA91" s="28"/>
    </row>
    <row r="92" spans="2:114" ht="17.100000000000001" customHeight="1" x14ac:dyDescent="0.2">
      <c r="B92" s="417"/>
      <c r="C92" s="4137"/>
      <c r="D92" s="4137"/>
      <c r="E92" s="4137"/>
      <c r="F92" s="4137"/>
      <c r="G92" s="4137"/>
      <c r="H92" s="4137"/>
      <c r="I92" s="4137"/>
      <c r="J92" s="339"/>
      <c r="K92" s="443" t="str">
        <f t="shared" si="38"/>
        <v/>
      </c>
      <c r="L92" s="410"/>
      <c r="V92" s="1467"/>
      <c r="W92" s="907"/>
      <c r="X92" s="907"/>
      <c r="Y92" s="1649" t="str">
        <f>IF(AF89="","","completion reward")</f>
        <v/>
      </c>
      <c r="AI92" s="2120"/>
      <c r="AJ92" s="2120"/>
      <c r="AK92" s="915"/>
      <c r="AL92" s="4148"/>
      <c r="AM92" s="4149"/>
      <c r="AN92" s="4149"/>
      <c r="AO92" s="4149"/>
      <c r="AP92" s="4150"/>
      <c r="AQ92" s="915"/>
      <c r="AR92" s="915"/>
      <c r="AS92" s="915"/>
      <c r="AT92" s="915"/>
      <c r="AU92" s="1648"/>
      <c r="AV92" s="1648"/>
      <c r="AW92" s="1648"/>
      <c r="AX92" s="1648"/>
      <c r="AY92" s="1650" t="str">
        <f>IF(AF89="","","month objective")</f>
        <v/>
      </c>
      <c r="AZ92" s="915"/>
      <c r="BA92" s="915"/>
      <c r="BB92" s="915"/>
      <c r="BC92" s="1650" t="str">
        <f>IF(AF89="","","overall objective")</f>
        <v/>
      </c>
      <c r="BD92" s="915"/>
      <c r="BE92" s="28"/>
      <c r="BF92" s="1647"/>
      <c r="BP92" s="417"/>
      <c r="BQ92" s="4137"/>
      <c r="BR92" s="4137"/>
      <c r="BS92" s="4137"/>
      <c r="BT92" s="4137"/>
      <c r="BU92" s="4137"/>
      <c r="BV92" s="4137"/>
      <c r="BW92" s="4137"/>
      <c r="BX92" s="339"/>
      <c r="BY92" s="443" t="str">
        <f t="shared" si="39"/>
        <v/>
      </c>
      <c r="BZ92" s="410"/>
      <c r="CC92" s="28"/>
      <c r="CD92" s="28"/>
      <c r="CE92" s="28"/>
      <c r="CF92" s="28"/>
      <c r="CG92" s="28"/>
      <c r="CH92" s="28"/>
      <c r="CY92" s="28"/>
      <c r="CZ92" s="28"/>
      <c r="DA92" s="28"/>
      <c r="DC92" s="415"/>
      <c r="DD92" s="307"/>
      <c r="DF92" s="401"/>
      <c r="DG92" s="36"/>
      <c r="DI92" s="1663"/>
      <c r="DJ92" s="36"/>
    </row>
    <row r="93" spans="2:114" ht="17.100000000000001" customHeight="1" x14ac:dyDescent="0.2">
      <c r="B93" s="417"/>
      <c r="C93" s="4137"/>
      <c r="D93" s="4137"/>
      <c r="E93" s="4137"/>
      <c r="F93" s="4137"/>
      <c r="G93" s="4137"/>
      <c r="H93" s="4137"/>
      <c r="I93" s="4137"/>
      <c r="J93" s="339"/>
      <c r="K93" s="443" t="str">
        <f t="shared" si="38"/>
        <v/>
      </c>
      <c r="L93" s="410"/>
      <c r="Q93" s="73"/>
      <c r="V93" s="1467"/>
      <c r="W93" s="1656"/>
      <c r="X93" s="907"/>
      <c r="Y93" s="4263" t="s">
        <v>840</v>
      </c>
      <c r="Z93" s="4263"/>
      <c r="AA93" s="4263"/>
      <c r="AB93" s="4263"/>
      <c r="AC93" s="4263"/>
      <c r="AD93" s="4263"/>
      <c r="AE93" s="4263"/>
      <c r="AF93" s="4263"/>
      <c r="AG93" s="4263"/>
      <c r="AH93" s="4263"/>
      <c r="AI93" s="4263"/>
      <c r="AJ93" s="2120"/>
      <c r="AK93" s="915"/>
      <c r="AL93" s="4260"/>
      <c r="AM93" s="4259">
        <f>AU95+BC95+AY95</f>
        <v>0</v>
      </c>
      <c r="AN93" s="4259"/>
      <c r="AO93" s="4259"/>
      <c r="AP93" s="4151"/>
      <c r="AQ93" s="915"/>
      <c r="AR93" s="28"/>
      <c r="AS93" s="1655"/>
      <c r="AU93" s="1655"/>
      <c r="AV93" s="1655"/>
      <c r="AW93" s="2261"/>
      <c r="AX93" s="2260">
        <f>IF(AND(AY93&lt;&gt;0,AN90&gt;=AY93),1,0)</f>
        <v>0</v>
      </c>
      <c r="AY93" s="1990">
        <v>0</v>
      </c>
      <c r="AZ93" s="1655"/>
      <c r="BB93" s="2260">
        <f>IF(AND(BC93&lt;&gt;0,AM93&gt;=BC93),1,0)</f>
        <v>0</v>
      </c>
      <c r="BC93" s="1990">
        <v>0</v>
      </c>
      <c r="BD93" s="1665"/>
      <c r="BE93" s="915"/>
      <c r="BF93" s="1647"/>
      <c r="BP93" s="417"/>
      <c r="BQ93" s="4137"/>
      <c r="BR93" s="4137"/>
      <c r="BS93" s="4137"/>
      <c r="BT93" s="4137"/>
      <c r="BU93" s="4137"/>
      <c r="BV93" s="4137"/>
      <c r="BW93" s="4137"/>
      <c r="BX93" s="339"/>
      <c r="BY93" s="443" t="str">
        <f t="shared" si="39"/>
        <v/>
      </c>
      <c r="BZ93" s="410"/>
      <c r="DC93" s="415"/>
      <c r="DD93" s="225"/>
      <c r="DF93" s="408"/>
      <c r="DG93" s="36"/>
    </row>
    <row r="94" spans="2:114" ht="17.100000000000001" customHeight="1" x14ac:dyDescent="0.2">
      <c r="B94" s="417"/>
      <c r="C94" s="4137"/>
      <c r="D94" s="4137"/>
      <c r="E94" s="4137"/>
      <c r="F94" s="4137"/>
      <c r="G94" s="4137"/>
      <c r="H94" s="4137"/>
      <c r="I94" s="4137"/>
      <c r="J94" s="339"/>
      <c r="K94" s="443" t="str">
        <f t="shared" si="38"/>
        <v/>
      </c>
      <c r="L94" s="410"/>
      <c r="V94" s="1467"/>
      <c r="W94" s="1657"/>
      <c r="X94" s="907"/>
      <c r="Y94" s="2034" t="str">
        <f>IF(AF89="","","commitment")</f>
        <v/>
      </c>
      <c r="AB94" s="4134" t="s">
        <v>840</v>
      </c>
      <c r="AC94" s="4134"/>
      <c r="AD94" s="4134"/>
      <c r="AE94" s="4134"/>
      <c r="AF94" s="4134"/>
      <c r="AG94" s="4134"/>
      <c r="AH94" s="4134"/>
      <c r="AI94" s="4134"/>
      <c r="AJ94" s="2120"/>
      <c r="AK94" s="915"/>
      <c r="AL94" s="4260"/>
      <c r="AM94" s="4259"/>
      <c r="AN94" s="4259"/>
      <c r="AO94" s="4259"/>
      <c r="AP94" s="4151"/>
      <c r="AQ94" s="915"/>
      <c r="AR94" s="915"/>
      <c r="AS94" s="915"/>
      <c r="AT94" s="915"/>
      <c r="AU94" s="1650" t="str">
        <f>IF(AF89="","","bonus points")</f>
        <v/>
      </c>
      <c r="AV94" s="1648"/>
      <c r="AW94" s="1648"/>
      <c r="AX94" s="1648"/>
      <c r="AY94" s="1650" t="str">
        <f>IF(AF89="","","month points")</f>
        <v/>
      </c>
      <c r="AZ94" s="915"/>
      <c r="BA94" s="915"/>
      <c r="BB94" s="915"/>
      <c r="BC94" s="1650" t="str">
        <f>IF(AF89="","","previous points")</f>
        <v/>
      </c>
      <c r="BD94" s="915"/>
      <c r="BE94" s="915"/>
      <c r="BF94" s="1647"/>
      <c r="BP94" s="417"/>
      <c r="BQ94" s="4137"/>
      <c r="BR94" s="4137"/>
      <c r="BS94" s="4137"/>
      <c r="BT94" s="4137"/>
      <c r="BU94" s="4137"/>
      <c r="BV94" s="4137"/>
      <c r="BW94" s="4137"/>
      <c r="BX94" s="339"/>
      <c r="BY94" s="443" t="str">
        <f t="shared" si="39"/>
        <v/>
      </c>
      <c r="BZ94" s="410"/>
      <c r="DC94" s="415"/>
      <c r="DD94" s="307"/>
      <c r="DF94" s="408"/>
      <c r="DG94" s="36"/>
      <c r="DH94" s="374"/>
      <c r="DJ94" s="1663"/>
    </row>
    <row r="95" spans="2:114" ht="17.100000000000001" customHeight="1" x14ac:dyDescent="0.2">
      <c r="B95" s="417"/>
      <c r="C95" s="4137"/>
      <c r="D95" s="4137"/>
      <c r="E95" s="4137"/>
      <c r="F95" s="4137"/>
      <c r="G95" s="4137"/>
      <c r="H95" s="4137"/>
      <c r="I95" s="4137"/>
      <c r="J95" s="339"/>
      <c r="K95" s="443" t="str">
        <f t="shared" si="38"/>
        <v/>
      </c>
      <c r="L95" s="410"/>
      <c r="Q95" s="73"/>
      <c r="V95" s="1467"/>
      <c r="W95" s="907"/>
      <c r="X95" s="907"/>
      <c r="Y95" s="2034" t="str">
        <f>IF(AF89="","","commitment")</f>
        <v/>
      </c>
      <c r="Z95" s="1176"/>
      <c r="AA95" s="1176"/>
      <c r="AB95" s="4145" t="s">
        <v>840</v>
      </c>
      <c r="AC95" s="4145"/>
      <c r="AD95" s="4145"/>
      <c r="AE95" s="4145"/>
      <c r="AF95" s="4145"/>
      <c r="AG95" s="4145"/>
      <c r="AH95" s="4145"/>
      <c r="AI95" s="4145"/>
      <c r="AJ95" s="2120"/>
      <c r="AK95" s="915"/>
      <c r="AL95" s="4256" t="str" cm="1">
        <f t="array" ref="AL95">_xlfn.IFS(AND(BC93&lt;&gt;0,AM93&gt;=BC93),"objective complete",AND(AY93&lt;&gt;0,AN90&gt;=AY93),"month complete",TRUE,"")</f>
        <v/>
      </c>
      <c r="AM95" s="4257"/>
      <c r="AN95" s="4257"/>
      <c r="AO95" s="4257"/>
      <c r="AP95" s="4258"/>
      <c r="AQ95" s="915"/>
      <c r="AR95" s="28"/>
      <c r="AS95" s="2082"/>
      <c r="AT95" s="2082"/>
      <c r="AU95" s="2160">
        <f>SUM(Y102:BC102)</f>
        <v>0</v>
      </c>
      <c r="AV95" s="2082"/>
      <c r="AW95" s="2082"/>
      <c r="AX95" s="2082"/>
      <c r="AY95" s="2160">
        <f>SUM(Y98:BC98,Y100:BC100)</f>
        <v>0</v>
      </c>
      <c r="AZ95" s="2082"/>
      <c r="BA95" s="2082"/>
      <c r="BB95" s="2082"/>
      <c r="BC95" s="2161">
        <v>0</v>
      </c>
      <c r="BD95" s="915"/>
      <c r="BE95" s="915"/>
      <c r="BF95" s="1647"/>
      <c r="BP95" s="417"/>
      <c r="BQ95" s="4137"/>
      <c r="BR95" s="4137"/>
      <c r="BS95" s="4137"/>
      <c r="BT95" s="4137"/>
      <c r="BU95" s="4137"/>
      <c r="BV95" s="4137"/>
      <c r="BW95" s="4137"/>
      <c r="BX95" s="339"/>
      <c r="BY95" s="443" t="str">
        <f t="shared" si="39"/>
        <v/>
      </c>
      <c r="BZ95" s="410"/>
      <c r="CB95" s="69"/>
      <c r="DC95" s="415"/>
      <c r="DD95" s="307"/>
      <c r="DF95" s="408"/>
      <c r="DG95" s="36"/>
      <c r="DJ95" s="1663"/>
    </row>
    <row r="96" spans="2:114" ht="17.100000000000001" customHeight="1" x14ac:dyDescent="0.2">
      <c r="B96" s="417"/>
      <c r="C96" s="4137"/>
      <c r="D96" s="4137"/>
      <c r="E96" s="4137"/>
      <c r="F96" s="4137"/>
      <c r="G96" s="4137"/>
      <c r="H96" s="4137"/>
      <c r="I96" s="4137"/>
      <c r="J96" s="339"/>
      <c r="K96" s="443" t="str">
        <f t="shared" si="38"/>
        <v/>
      </c>
      <c r="L96" s="410"/>
      <c r="V96" s="1467"/>
      <c r="W96" s="907"/>
      <c r="X96" s="1656"/>
      <c r="Y96" s="1656"/>
      <c r="Z96" s="915"/>
      <c r="AA96" s="915"/>
      <c r="AB96" s="915"/>
      <c r="AC96" s="915"/>
      <c r="AD96" s="915"/>
      <c r="AE96" s="915"/>
      <c r="AF96" s="915"/>
      <c r="AG96" s="915"/>
      <c r="AH96" s="915"/>
      <c r="AI96" s="915"/>
      <c r="AJ96" s="915"/>
      <c r="AK96" s="915"/>
      <c r="AL96" s="915"/>
      <c r="AM96" s="915"/>
      <c r="AN96" s="2005" t="e">
        <f ca="1">_xlfn.XLOOKUP($N$1,Y99:BC99,Y102:BC102)</f>
        <v>#N/A</v>
      </c>
      <c r="AO96" s="1654">
        <v>1</v>
      </c>
      <c r="AP96" s="915"/>
      <c r="AQ96" s="915"/>
      <c r="AR96" s="915"/>
      <c r="AS96" s="915"/>
      <c r="AT96" s="915"/>
      <c r="AU96" s="915"/>
      <c r="AV96" s="915"/>
      <c r="AW96" s="915"/>
      <c r="AX96" s="915"/>
      <c r="AY96" s="915"/>
      <c r="AZ96" s="915"/>
      <c r="BA96" s="915"/>
      <c r="BB96" s="915"/>
      <c r="BC96" s="915"/>
      <c r="BD96" s="915"/>
      <c r="BE96" s="1662"/>
      <c r="BF96" s="1647"/>
      <c r="BP96" s="417"/>
      <c r="BQ96" s="4137"/>
      <c r="BR96" s="4137"/>
      <c r="BS96" s="4137"/>
      <c r="BT96" s="4137"/>
      <c r="BU96" s="4137"/>
      <c r="BV96" s="4137"/>
      <c r="BW96" s="4137"/>
      <c r="BX96" s="339"/>
      <c r="BY96" s="443" t="str">
        <f t="shared" si="39"/>
        <v/>
      </c>
      <c r="BZ96" s="410"/>
      <c r="CB96" s="1664"/>
      <c r="DC96" s="415"/>
      <c r="DD96" s="307"/>
      <c r="DF96" s="408"/>
      <c r="DG96" s="36"/>
      <c r="DJ96" s="1663"/>
    </row>
    <row r="97" spans="2:114" ht="17.100000000000001" customHeight="1" x14ac:dyDescent="0.2">
      <c r="B97" s="417"/>
      <c r="C97" s="4137"/>
      <c r="D97" s="4137"/>
      <c r="E97" s="4137"/>
      <c r="F97" s="4137"/>
      <c r="G97" s="4137"/>
      <c r="H97" s="4137"/>
      <c r="I97" s="4137"/>
      <c r="J97" s="339"/>
      <c r="K97" s="443" t="str">
        <f t="shared" si="38"/>
        <v/>
      </c>
      <c r="L97" s="410"/>
      <c r="V97" s="1467"/>
      <c r="W97" s="907"/>
      <c r="X97" s="1657"/>
      <c r="Y97" s="28"/>
      <c r="Z97" s="1658"/>
      <c r="AA97" s="1658"/>
      <c r="AB97" s="1658"/>
      <c r="AC97" s="1658"/>
      <c r="AD97" s="1658"/>
      <c r="AE97" s="1658"/>
      <c r="AF97" s="1658"/>
      <c r="AG97" s="1658"/>
      <c r="AH97" s="1658"/>
      <c r="AI97" s="1658"/>
      <c r="AJ97" s="1658"/>
      <c r="AK97" s="1658"/>
      <c r="AL97" s="1658"/>
      <c r="AM97" s="1658"/>
      <c r="AN97" s="2063" t="str">
        <f>IF(AF89="","",'^'!$BS$49)</f>
        <v/>
      </c>
      <c r="AO97" s="1658"/>
      <c r="AP97" s="1658"/>
      <c r="AQ97" s="1658"/>
      <c r="AR97" s="1658"/>
      <c r="AS97" s="1658"/>
      <c r="AT97" s="1658"/>
      <c r="AU97" s="1658"/>
      <c r="AV97" s="1658"/>
      <c r="AW97" s="1658"/>
      <c r="AX97" s="1658"/>
      <c r="AY97" s="1658"/>
      <c r="AZ97" s="1658"/>
      <c r="BA97" s="1658"/>
      <c r="BB97" s="1658"/>
      <c r="BC97" s="1658"/>
      <c r="BD97" s="915"/>
      <c r="BE97" s="915"/>
      <c r="BF97" s="1647"/>
      <c r="BP97" s="417"/>
      <c r="BQ97" s="4137"/>
      <c r="BR97" s="4137"/>
      <c r="BS97" s="4137"/>
      <c r="BT97" s="4137"/>
      <c r="BU97" s="4137"/>
      <c r="BV97" s="4137"/>
      <c r="BW97" s="4137"/>
      <c r="BX97" s="339"/>
      <c r="BY97" s="443" t="str">
        <f t="shared" si="39"/>
        <v/>
      </c>
      <c r="BZ97" s="410"/>
      <c r="CC97" s="1664"/>
    </row>
    <row r="98" spans="2:114" ht="17.100000000000001" customHeight="1" x14ac:dyDescent="0.2">
      <c r="B98" s="417"/>
      <c r="C98" s="4137"/>
      <c r="D98" s="4137"/>
      <c r="E98" s="4137"/>
      <c r="F98" s="4137"/>
      <c r="G98" s="4137"/>
      <c r="H98" s="4137"/>
      <c r="I98" s="4137"/>
      <c r="J98" s="339"/>
      <c r="K98" s="443" t="str">
        <f t="shared" si="38"/>
        <v/>
      </c>
      <c r="L98" s="410"/>
      <c r="V98" s="1467"/>
      <c r="W98" s="907"/>
      <c r="X98" s="720"/>
      <c r="Y98" s="338"/>
      <c r="Z98" s="338"/>
      <c r="AA98" s="338"/>
      <c r="AB98" s="338"/>
      <c r="AC98" s="338"/>
      <c r="AD98" s="338"/>
      <c r="AE98" s="338"/>
      <c r="AF98" s="338"/>
      <c r="AG98" s="338"/>
      <c r="AH98" s="338"/>
      <c r="AI98" s="338"/>
      <c r="AJ98" s="338"/>
      <c r="AK98" s="338"/>
      <c r="AL98" s="338"/>
      <c r="AM98" s="338"/>
      <c r="AN98" s="338"/>
      <c r="AO98" s="338"/>
      <c r="AP98" s="338"/>
      <c r="AQ98" s="338"/>
      <c r="AR98" s="338"/>
      <c r="AS98" s="338"/>
      <c r="AT98" s="338"/>
      <c r="AU98" s="338"/>
      <c r="AV98" s="338"/>
      <c r="AW98" s="338"/>
      <c r="AX98" s="338"/>
      <c r="AY98" s="338"/>
      <c r="AZ98" s="338"/>
      <c r="BA98" s="338"/>
      <c r="BB98" s="338"/>
      <c r="BC98" s="338"/>
      <c r="BD98" s="915"/>
      <c r="BE98" s="915"/>
      <c r="BF98" s="1647"/>
      <c r="BP98" s="417"/>
      <c r="BQ98" s="4137"/>
      <c r="BR98" s="4137"/>
      <c r="BS98" s="4137"/>
      <c r="BT98" s="4137"/>
      <c r="BU98" s="4137"/>
      <c r="BV98" s="4137"/>
      <c r="BW98" s="4137"/>
      <c r="BX98" s="339"/>
      <c r="BY98" s="443" t="str">
        <f t="shared" si="39"/>
        <v/>
      </c>
      <c r="BZ98" s="410"/>
      <c r="CB98" s="1664"/>
      <c r="DD98" s="307"/>
      <c r="DF98" s="408"/>
      <c r="DG98" s="36"/>
    </row>
    <row r="99" spans="2:114" ht="17.100000000000001" customHeight="1" x14ac:dyDescent="0.2">
      <c r="B99" s="417"/>
      <c r="C99" s="4137"/>
      <c r="D99" s="4137"/>
      <c r="E99" s="4137"/>
      <c r="F99" s="4137"/>
      <c r="G99" s="4137"/>
      <c r="H99" s="4137"/>
      <c r="I99" s="4137"/>
      <c r="J99" s="339"/>
      <c r="K99" s="443" t="str">
        <f t="shared" si="38"/>
        <v/>
      </c>
      <c r="L99" s="410"/>
      <c r="V99" s="1467"/>
      <c r="W99" s="907"/>
      <c r="X99" s="2048" t="str">
        <f>MISSIONS!$AK$2</f>
        <v>MTH</v>
      </c>
      <c r="Y99" s="2008">
        <v>1</v>
      </c>
      <c r="Z99" s="2008">
        <v>2</v>
      </c>
      <c r="AA99" s="2008">
        <v>3</v>
      </c>
      <c r="AB99" s="2008">
        <v>4</v>
      </c>
      <c r="AC99" s="2008">
        <v>5</v>
      </c>
      <c r="AD99" s="2008">
        <v>6</v>
      </c>
      <c r="AE99" s="2008">
        <v>7</v>
      </c>
      <c r="AF99" s="2008">
        <v>8</v>
      </c>
      <c r="AG99" s="2008">
        <v>9</v>
      </c>
      <c r="AH99" s="2008">
        <v>10</v>
      </c>
      <c r="AI99" s="2008">
        <v>11</v>
      </c>
      <c r="AJ99" s="2008">
        <v>12</v>
      </c>
      <c r="AK99" s="2008">
        <v>13</v>
      </c>
      <c r="AL99" s="2008">
        <v>14</v>
      </c>
      <c r="AM99" s="2008">
        <v>15</v>
      </c>
      <c r="AN99" s="2008">
        <v>16</v>
      </c>
      <c r="AO99" s="2008">
        <v>17</v>
      </c>
      <c r="AP99" s="2008">
        <v>18</v>
      </c>
      <c r="AQ99" s="2008">
        <v>19</v>
      </c>
      <c r="AR99" s="2008">
        <v>20</v>
      </c>
      <c r="AS99" s="2008">
        <v>21</v>
      </c>
      <c r="AT99" s="2008">
        <v>22</v>
      </c>
      <c r="AU99" s="2008">
        <v>23</v>
      </c>
      <c r="AV99" s="2008">
        <v>24</v>
      </c>
      <c r="AW99" s="2008">
        <v>25</v>
      </c>
      <c r="AX99" s="2008">
        <v>26</v>
      </c>
      <c r="AY99" s="2008">
        <v>27</v>
      </c>
      <c r="AZ99" s="2008">
        <v>28</v>
      </c>
      <c r="BA99" s="2009">
        <f>IF(data!$EB$24&lt;&gt;"",data!$EB$24,"")</f>
        <v>29</v>
      </c>
      <c r="BB99" s="2009">
        <f>IF(data!$EB$23&lt;&gt;"",data!$EB$23,"")</f>
        <v>30</v>
      </c>
      <c r="BC99" s="2009">
        <f>IF(data!$EB$22&lt;&gt;"",data!$EB$22,"")</f>
        <v>31</v>
      </c>
      <c r="BD99" s="1654"/>
      <c r="BE99" s="915"/>
      <c r="BF99" s="1647"/>
      <c r="BP99" s="417"/>
      <c r="BQ99" s="4137"/>
      <c r="BR99" s="4137"/>
      <c r="BS99" s="4137"/>
      <c r="BT99" s="4137"/>
      <c r="BU99" s="4137"/>
      <c r="BV99" s="4137"/>
      <c r="BW99" s="4137"/>
      <c r="BX99" s="339"/>
      <c r="BY99" s="443" t="str">
        <f t="shared" si="39"/>
        <v/>
      </c>
      <c r="BZ99" s="410"/>
      <c r="CC99" s="1664"/>
      <c r="DC99" s="415"/>
      <c r="DD99" s="307"/>
      <c r="DF99" s="408"/>
      <c r="DG99" s="36"/>
    </row>
    <row r="100" spans="2:114" ht="17.100000000000001" customHeight="1" x14ac:dyDescent="0.2">
      <c r="B100" s="417"/>
      <c r="C100" s="4137"/>
      <c r="D100" s="4137"/>
      <c r="E100" s="4137"/>
      <c r="F100" s="4137"/>
      <c r="G100" s="4137"/>
      <c r="H100" s="4137"/>
      <c r="I100" s="4137"/>
      <c r="J100" s="339"/>
      <c r="K100" s="443" t="str">
        <f t="shared" si="38"/>
        <v/>
      </c>
      <c r="L100" s="410"/>
      <c r="V100" s="1467"/>
      <c r="W100" s="907"/>
      <c r="X100" s="613"/>
      <c r="Y100" s="338"/>
      <c r="Z100" s="338"/>
      <c r="AA100" s="338"/>
      <c r="AB100" s="338"/>
      <c r="AC100" s="338"/>
      <c r="AD100" s="338"/>
      <c r="AE100" s="338"/>
      <c r="AF100" s="338"/>
      <c r="AG100" s="338"/>
      <c r="AH100" s="338"/>
      <c r="AI100" s="338"/>
      <c r="AJ100" s="338"/>
      <c r="AK100" s="338"/>
      <c r="AL100" s="338"/>
      <c r="AM100" s="338"/>
      <c r="AN100" s="338"/>
      <c r="AO100" s="338"/>
      <c r="AP100" s="338"/>
      <c r="AQ100" s="338"/>
      <c r="AR100" s="338"/>
      <c r="AS100" s="338"/>
      <c r="AT100" s="338"/>
      <c r="AU100" s="338"/>
      <c r="AV100" s="338"/>
      <c r="AW100" s="338"/>
      <c r="AX100" s="338"/>
      <c r="AY100" s="338"/>
      <c r="AZ100" s="338"/>
      <c r="BA100" s="338"/>
      <c r="BB100" s="338"/>
      <c r="BC100" s="338"/>
      <c r="BD100" s="915"/>
      <c r="BE100" s="915"/>
      <c r="BF100" s="1647"/>
      <c r="BP100" s="417"/>
      <c r="BQ100" s="4137"/>
      <c r="BR100" s="4137"/>
      <c r="BS100" s="4137"/>
      <c r="BT100" s="4137"/>
      <c r="BU100" s="4137"/>
      <c r="BV100" s="4137"/>
      <c r="BW100" s="4137"/>
      <c r="BX100" s="339"/>
      <c r="BY100" s="443" t="str">
        <f t="shared" si="39"/>
        <v/>
      </c>
      <c r="BZ100" s="410"/>
      <c r="CB100" s="1664"/>
      <c r="DB100" s="455"/>
      <c r="DD100" s="307"/>
      <c r="DF100" s="262"/>
      <c r="DG100" s="262"/>
      <c r="DH100" s="309"/>
      <c r="DI100" s="408"/>
      <c r="DJ100" s="36"/>
    </row>
    <row r="101" spans="2:114" ht="17.100000000000001" customHeight="1" x14ac:dyDescent="0.2">
      <c r="B101" s="417"/>
      <c r="C101" s="4137"/>
      <c r="D101" s="4137"/>
      <c r="E101" s="4137"/>
      <c r="F101" s="4137"/>
      <c r="G101" s="4137"/>
      <c r="H101" s="4137"/>
      <c r="I101" s="4137"/>
      <c r="J101" s="339"/>
      <c r="K101" s="443" t="str">
        <f t="shared" si="38"/>
        <v/>
      </c>
      <c r="L101" s="410"/>
      <c r="V101" s="1467"/>
      <c r="W101" s="907"/>
      <c r="X101" s="907"/>
      <c r="Y101" s="28"/>
      <c r="Z101" s="1659"/>
      <c r="AA101" s="1659"/>
      <c r="AB101" s="1659"/>
      <c r="AC101" s="1659"/>
      <c r="AD101" s="1659"/>
      <c r="AE101" s="1659"/>
      <c r="AF101" s="1659"/>
      <c r="AG101" s="1659"/>
      <c r="AH101" s="1659"/>
      <c r="AI101" s="1659"/>
      <c r="AJ101" s="1659"/>
      <c r="AK101" s="2501" t="str">
        <f>IF(AND(AL101="",AF89&lt;&gt;""),"Enter coop player name here  &gt; ","")</f>
        <v/>
      </c>
      <c r="AL101" s="4144"/>
      <c r="AM101" s="4144"/>
      <c r="AN101" s="4144"/>
      <c r="AO101" s="4144"/>
      <c r="AP101" s="4144"/>
      <c r="AQ101" s="1659"/>
      <c r="AR101" s="1659"/>
      <c r="AS101" s="1659"/>
      <c r="AT101" s="1659"/>
      <c r="AU101" s="1659"/>
      <c r="AV101" s="1659"/>
      <c r="AW101" s="1659"/>
      <c r="AX101" s="1659"/>
      <c r="AY101" s="1659"/>
      <c r="AZ101" s="1659"/>
      <c r="BA101" s="1659"/>
      <c r="BB101" s="1659"/>
      <c r="BC101" s="1659"/>
      <c r="BD101" s="915"/>
      <c r="BE101" s="915"/>
      <c r="BF101" s="1647"/>
      <c r="BP101" s="417"/>
      <c r="BQ101" s="4137"/>
      <c r="BR101" s="4137"/>
      <c r="BS101" s="4137"/>
      <c r="BT101" s="4137"/>
      <c r="BU101" s="4137"/>
      <c r="BV101" s="4137"/>
      <c r="BW101" s="4137"/>
      <c r="BX101" s="339"/>
      <c r="BY101" s="443" t="str">
        <f t="shared" si="39"/>
        <v/>
      </c>
      <c r="BZ101" s="410"/>
      <c r="CC101" s="1664"/>
      <c r="DB101" s="455"/>
      <c r="DD101" s="307"/>
      <c r="DF101" s="262"/>
      <c r="DG101" s="262"/>
      <c r="DH101" s="309"/>
      <c r="DI101" s="408"/>
    </row>
    <row r="102" spans="2:114" ht="17.100000000000001" customHeight="1" x14ac:dyDescent="0.15">
      <c r="B102" s="417"/>
      <c r="C102" s="4137"/>
      <c r="D102" s="4137"/>
      <c r="E102" s="4137"/>
      <c r="F102" s="4137"/>
      <c r="G102" s="4137"/>
      <c r="H102" s="4137"/>
      <c r="I102" s="4137"/>
      <c r="J102" s="339"/>
      <c r="K102" s="443" t="str">
        <f t="shared" si="38"/>
        <v/>
      </c>
      <c r="L102" s="410"/>
      <c r="V102" s="1467"/>
      <c r="X102" s="1654"/>
      <c r="Y102" s="1550">
        <f>IF(SUM(Y98,Y100)=2,1,0)</f>
        <v>0</v>
      </c>
      <c r="Z102" s="1550">
        <f t="shared" ref="Z102:BC102" si="49">IF(SUM(Z98,Z100)=2,1,0)</f>
        <v>0</v>
      </c>
      <c r="AA102" s="1550">
        <f t="shared" si="49"/>
        <v>0</v>
      </c>
      <c r="AB102" s="1550">
        <f t="shared" si="49"/>
        <v>0</v>
      </c>
      <c r="AC102" s="1550">
        <f t="shared" si="49"/>
        <v>0</v>
      </c>
      <c r="AD102" s="1550">
        <f t="shared" si="49"/>
        <v>0</v>
      </c>
      <c r="AE102" s="1550">
        <f t="shared" si="49"/>
        <v>0</v>
      </c>
      <c r="AF102" s="1550">
        <f t="shared" si="49"/>
        <v>0</v>
      </c>
      <c r="AG102" s="1550">
        <f t="shared" si="49"/>
        <v>0</v>
      </c>
      <c r="AH102" s="1550">
        <f t="shared" si="49"/>
        <v>0</v>
      </c>
      <c r="AI102" s="1550">
        <f t="shared" si="49"/>
        <v>0</v>
      </c>
      <c r="AJ102" s="1550">
        <f t="shared" si="49"/>
        <v>0</v>
      </c>
      <c r="AK102" s="1550">
        <f t="shared" si="49"/>
        <v>0</v>
      </c>
      <c r="AL102" s="1550">
        <f t="shared" si="49"/>
        <v>0</v>
      </c>
      <c r="AM102" s="1550">
        <f t="shared" si="49"/>
        <v>0</v>
      </c>
      <c r="AN102" s="1550">
        <f t="shared" si="49"/>
        <v>0</v>
      </c>
      <c r="AO102" s="1550">
        <f t="shared" si="49"/>
        <v>0</v>
      </c>
      <c r="AP102" s="1550">
        <f t="shared" si="49"/>
        <v>0</v>
      </c>
      <c r="AQ102" s="1550">
        <f t="shared" si="49"/>
        <v>0</v>
      </c>
      <c r="AR102" s="1550">
        <f t="shared" si="49"/>
        <v>0</v>
      </c>
      <c r="AS102" s="1550">
        <f t="shared" si="49"/>
        <v>0</v>
      </c>
      <c r="AT102" s="1550">
        <f t="shared" si="49"/>
        <v>0</v>
      </c>
      <c r="AU102" s="1550">
        <f t="shared" si="49"/>
        <v>0</v>
      </c>
      <c r="AV102" s="1550">
        <f t="shared" si="49"/>
        <v>0</v>
      </c>
      <c r="AW102" s="1550">
        <f t="shared" si="49"/>
        <v>0</v>
      </c>
      <c r="AX102" s="1550">
        <f t="shared" si="49"/>
        <v>0</v>
      </c>
      <c r="AY102" s="1550">
        <f t="shared" si="49"/>
        <v>0</v>
      </c>
      <c r="AZ102" s="1550">
        <f t="shared" si="49"/>
        <v>0</v>
      </c>
      <c r="BA102" s="1550">
        <f t="shared" si="49"/>
        <v>0</v>
      </c>
      <c r="BB102" s="1550">
        <f t="shared" si="49"/>
        <v>0</v>
      </c>
      <c r="BC102" s="1550">
        <f t="shared" si="49"/>
        <v>0</v>
      </c>
      <c r="BD102" s="2019"/>
      <c r="BF102" s="1647"/>
      <c r="BP102" s="417"/>
      <c r="BQ102" s="4137"/>
      <c r="BR102" s="4137"/>
      <c r="BS102" s="4137"/>
      <c r="BT102" s="4137"/>
      <c r="BU102" s="4137"/>
      <c r="BV102" s="4137"/>
      <c r="BW102" s="4137"/>
      <c r="BX102" s="339"/>
      <c r="BY102" s="443" t="str">
        <f t="shared" si="39"/>
        <v/>
      </c>
      <c r="BZ102" s="410"/>
      <c r="CB102" s="1664"/>
      <c r="DB102" s="455"/>
      <c r="DD102" s="307"/>
      <c r="DF102" s="408"/>
      <c r="DG102" s="36"/>
      <c r="DI102" s="408"/>
      <c r="DJ102" s="36"/>
    </row>
    <row r="103" spans="2:114" ht="17.100000000000001" customHeight="1" x14ac:dyDescent="0.25">
      <c r="B103" s="417"/>
      <c r="C103" s="4137"/>
      <c r="D103" s="4137"/>
      <c r="E103" s="4137"/>
      <c r="F103" s="4137"/>
      <c r="G103" s="4137"/>
      <c r="H103" s="4137"/>
      <c r="I103" s="4137"/>
      <c r="J103" s="339"/>
      <c r="K103" s="443" t="str">
        <f t="shared" si="38"/>
        <v/>
      </c>
      <c r="L103" s="410"/>
      <c r="M103" s="2112"/>
      <c r="N103" s="28"/>
      <c r="O103" s="28"/>
      <c r="P103" s="28"/>
      <c r="Q103" s="28"/>
      <c r="R103" s="28"/>
      <c r="S103" s="28"/>
      <c r="T103" s="28"/>
      <c r="U103" s="542"/>
      <c r="V103" s="1467"/>
      <c r="AN103" s="2006"/>
      <c r="BF103" s="1647"/>
      <c r="BP103" s="417"/>
      <c r="BQ103" s="4137"/>
      <c r="BR103" s="4137"/>
      <c r="BS103" s="4137"/>
      <c r="BT103" s="4137"/>
      <c r="BU103" s="4137"/>
      <c r="BV103" s="4137"/>
      <c r="BW103" s="4137"/>
      <c r="BX103" s="339"/>
      <c r="BY103" s="443" t="str">
        <f t="shared" si="39"/>
        <v/>
      </c>
      <c r="BZ103" s="410"/>
      <c r="CC103" s="1664"/>
      <c r="DD103" s="307"/>
      <c r="DF103" s="408"/>
      <c r="DG103" s="298"/>
      <c r="DH103" s="39"/>
      <c r="DI103" s="36"/>
      <c r="DJ103" s="36"/>
    </row>
    <row r="104" spans="2:114" ht="17.100000000000001" customHeight="1" x14ac:dyDescent="0.25">
      <c r="B104" s="417"/>
      <c r="C104" s="4137"/>
      <c r="D104" s="4137"/>
      <c r="E104" s="4137"/>
      <c r="F104" s="4137"/>
      <c r="G104" s="4137"/>
      <c r="H104" s="4137"/>
      <c r="I104" s="4137"/>
      <c r="J104" s="339"/>
      <c r="K104" s="443" t="str">
        <f t="shared" si="38"/>
        <v/>
      </c>
      <c r="L104" s="410"/>
      <c r="M104" s="2112"/>
      <c r="N104" s="28"/>
      <c r="O104" s="28"/>
      <c r="P104" s="28"/>
      <c r="Q104" s="28"/>
      <c r="R104" s="28"/>
      <c r="S104" s="28"/>
      <c r="T104" s="28"/>
      <c r="U104" s="542"/>
      <c r="V104" s="1467"/>
      <c r="X104" s="2100"/>
      <c r="Y104" s="2100"/>
      <c r="Z104" s="2100"/>
      <c r="AA104" s="2100"/>
      <c r="AB104" s="2100"/>
      <c r="AC104" s="2100"/>
      <c r="AD104" s="2100"/>
      <c r="AE104" s="2100"/>
      <c r="AF104" s="4147"/>
      <c r="AG104" s="4147"/>
      <c r="AH104" s="4147"/>
      <c r="AI104" s="4147"/>
      <c r="AJ104" s="4147"/>
      <c r="AK104" s="4147"/>
      <c r="AL104" s="4147"/>
      <c r="AM104" s="4147"/>
      <c r="AN104" s="4147"/>
      <c r="AO104" s="4147"/>
      <c r="AP104" s="4147"/>
      <c r="AQ104" s="4147"/>
      <c r="AR104" s="4147"/>
      <c r="AS104" s="4147"/>
      <c r="AT104" s="4147"/>
      <c r="AU104" s="4147"/>
      <c r="AV104" s="4147"/>
      <c r="AW104" s="2100"/>
      <c r="AX104" s="2100"/>
      <c r="AY104" s="2100"/>
      <c r="AZ104" s="2100"/>
      <c r="BA104" s="2100"/>
      <c r="BB104" s="2100"/>
      <c r="BC104" s="2100"/>
      <c r="BD104" s="2100"/>
      <c r="BF104" s="1647"/>
      <c r="BP104" s="417"/>
      <c r="BQ104" s="4137"/>
      <c r="BR104" s="4137"/>
      <c r="BS104" s="4137"/>
      <c r="BT104" s="4137"/>
      <c r="BU104" s="4137"/>
      <c r="BV104" s="4137"/>
      <c r="BW104" s="4137"/>
      <c r="BX104" s="339"/>
      <c r="BY104" s="443" t="str">
        <f t="shared" si="39"/>
        <v/>
      </c>
      <c r="BZ104" s="410"/>
      <c r="CB104" s="1664"/>
      <c r="CE104" s="452"/>
      <c r="CF104" s="453"/>
      <c r="CG104" s="454"/>
      <c r="CH104" s="414"/>
      <c r="DD104" s="307"/>
      <c r="DF104" s="408"/>
      <c r="DG104" s="298"/>
      <c r="DH104" s="39"/>
      <c r="DI104" s="36"/>
      <c r="DJ104" s="36"/>
    </row>
    <row r="105" spans="2:114" ht="17.100000000000001" customHeight="1" x14ac:dyDescent="0.15">
      <c r="B105" s="417"/>
      <c r="C105" s="4137"/>
      <c r="D105" s="4137"/>
      <c r="E105" s="4137"/>
      <c r="F105" s="4137"/>
      <c r="G105" s="4137"/>
      <c r="H105" s="4137"/>
      <c r="I105" s="4137"/>
      <c r="J105" s="339"/>
      <c r="K105" s="443" t="str">
        <f t="shared" si="38"/>
        <v/>
      </c>
      <c r="L105" s="410"/>
      <c r="M105" s="2112"/>
      <c r="N105" s="28"/>
      <c r="O105" s="28"/>
      <c r="P105" s="28"/>
      <c r="Q105" s="28"/>
      <c r="R105" s="28"/>
      <c r="S105" s="28"/>
      <c r="T105" s="28"/>
      <c r="U105" s="542"/>
      <c r="V105" s="1467"/>
      <c r="AN105" s="255">
        <f>SUM(Y113:BC113,Y115:BC115,Y117:BC117)</f>
        <v>0</v>
      </c>
      <c r="BF105" s="1647"/>
      <c r="BP105" s="417"/>
      <c r="BQ105" s="4137"/>
      <c r="BR105" s="4137"/>
      <c r="BS105" s="4137"/>
      <c r="BT105" s="4137"/>
      <c r="BU105" s="4137"/>
      <c r="BV105" s="4137"/>
      <c r="BW105" s="4137"/>
      <c r="BX105" s="339"/>
      <c r="BY105" s="443" t="str">
        <f t="shared" si="39"/>
        <v/>
      </c>
      <c r="BZ105" s="410"/>
      <c r="CC105" s="1664"/>
      <c r="CE105" s="452"/>
      <c r="CF105" s="453"/>
      <c r="CG105" s="454"/>
      <c r="CH105" s="414"/>
    </row>
    <row r="106" spans="2:114" ht="17.100000000000001" customHeight="1" x14ac:dyDescent="0.2">
      <c r="B106" s="417"/>
      <c r="C106" s="4137"/>
      <c r="D106" s="4137"/>
      <c r="E106" s="4137"/>
      <c r="F106" s="4137"/>
      <c r="G106" s="4137"/>
      <c r="H106" s="4137"/>
      <c r="I106" s="4137"/>
      <c r="J106" s="339"/>
      <c r="K106" s="443" t="str">
        <f t="shared" si="38"/>
        <v/>
      </c>
      <c r="L106" s="410"/>
      <c r="M106" s="2112"/>
      <c r="N106" s="28"/>
      <c r="O106" s="28"/>
      <c r="P106" s="28"/>
      <c r="Q106" s="28"/>
      <c r="R106" s="28"/>
      <c r="S106" s="28"/>
      <c r="T106" s="28"/>
      <c r="U106" s="542"/>
      <c r="V106" s="1467"/>
      <c r="X106" s="1652"/>
      <c r="Y106" s="1550"/>
      <c r="Z106" s="1652"/>
      <c r="AA106" s="1652"/>
      <c r="AB106" s="1652"/>
      <c r="AC106" s="1652"/>
      <c r="AD106" s="1652"/>
      <c r="AE106" s="1652"/>
      <c r="AF106" s="1550"/>
      <c r="AG106" s="1652"/>
      <c r="AH106" s="1652"/>
      <c r="AI106" s="1652"/>
      <c r="AJ106" s="1652"/>
      <c r="AK106" s="1652"/>
      <c r="AM106" s="720"/>
      <c r="AN106" s="2007" t="str">
        <f>IF(AF104="","","coop points")</f>
        <v/>
      </c>
      <c r="AO106" s="716"/>
      <c r="AQ106" s="1652"/>
      <c r="AR106" s="1652"/>
      <c r="AS106" s="1652"/>
      <c r="AT106" s="1550"/>
      <c r="AU106" s="1652"/>
      <c r="AV106" s="1652"/>
      <c r="AW106" s="1652"/>
      <c r="AX106" s="1652"/>
      <c r="AY106" s="1652"/>
      <c r="AZ106" s="1652"/>
      <c r="BA106" s="1550"/>
      <c r="BB106" s="1652"/>
      <c r="BC106" s="1652"/>
      <c r="BD106" s="1652"/>
      <c r="BF106" s="1647"/>
      <c r="BP106" s="417"/>
      <c r="BQ106" s="4137"/>
      <c r="BR106" s="4137"/>
      <c r="BS106" s="4137"/>
      <c r="BT106" s="4137"/>
      <c r="BU106" s="4137"/>
      <c r="BV106" s="4137"/>
      <c r="BW106" s="4137"/>
      <c r="BX106" s="339"/>
      <c r="BY106" s="443" t="str">
        <f t="shared" si="39"/>
        <v/>
      </c>
      <c r="BZ106" s="410"/>
      <c r="CB106" s="1664"/>
      <c r="CE106" s="452"/>
      <c r="CF106" s="453"/>
      <c r="CG106" s="454"/>
      <c r="CH106" s="414"/>
    </row>
    <row r="107" spans="2:114" ht="17.100000000000001" customHeight="1" x14ac:dyDescent="0.2">
      <c r="B107" s="417"/>
      <c r="C107" s="4137"/>
      <c r="D107" s="4137"/>
      <c r="E107" s="4137"/>
      <c r="F107" s="4137"/>
      <c r="G107" s="4137"/>
      <c r="H107" s="4137"/>
      <c r="I107" s="4137"/>
      <c r="J107" s="339"/>
      <c r="K107" s="443" t="str">
        <f t="shared" si="38"/>
        <v/>
      </c>
      <c r="L107" s="410"/>
      <c r="M107" s="2112"/>
      <c r="N107" s="28"/>
      <c r="O107" s="28"/>
      <c r="P107" s="28"/>
      <c r="Q107" s="28"/>
      <c r="R107" s="28"/>
      <c r="S107" s="28"/>
      <c r="T107" s="28"/>
      <c r="U107" s="542"/>
      <c r="V107" s="1467"/>
      <c r="X107" s="907"/>
      <c r="Y107" s="1649" t="str">
        <f>IF(AF104="","","completion reward")</f>
        <v/>
      </c>
      <c r="AK107" s="915"/>
      <c r="AL107" s="4148"/>
      <c r="AM107" s="4149"/>
      <c r="AN107" s="4149"/>
      <c r="AO107" s="4149"/>
      <c r="AP107" s="4150"/>
      <c r="AQ107" s="915"/>
      <c r="AR107" s="915"/>
      <c r="AS107" s="915"/>
      <c r="AT107" s="915"/>
      <c r="AU107" s="1648"/>
      <c r="AV107" s="1648"/>
      <c r="AW107" s="1648"/>
      <c r="AX107" s="1648"/>
      <c r="AY107" s="1650" t="str">
        <f>IF(AF104="","","month objective")</f>
        <v/>
      </c>
      <c r="AZ107" s="915"/>
      <c r="BA107" s="915"/>
      <c r="BB107" s="915"/>
      <c r="BC107" s="1650" t="str">
        <f>IF(AF104="","","overall objective")</f>
        <v/>
      </c>
      <c r="BD107" s="915"/>
      <c r="BF107" s="1647"/>
      <c r="BP107" s="417"/>
      <c r="BQ107" s="4137"/>
      <c r="BR107" s="4137"/>
      <c r="BS107" s="4137"/>
      <c r="BT107" s="4137"/>
      <c r="BU107" s="4137"/>
      <c r="BV107" s="4137"/>
      <c r="BW107" s="4137"/>
      <c r="BX107" s="339"/>
      <c r="BY107" s="443" t="str">
        <f t="shared" si="39"/>
        <v/>
      </c>
      <c r="BZ107" s="410"/>
      <c r="CC107" s="1664"/>
    </row>
    <row r="108" spans="2:114" ht="17.100000000000001" customHeight="1" x14ac:dyDescent="0.2">
      <c r="B108" s="417"/>
      <c r="C108" s="4137"/>
      <c r="D108" s="4137"/>
      <c r="E108" s="4137"/>
      <c r="F108" s="4137"/>
      <c r="G108" s="4137"/>
      <c r="H108" s="4137"/>
      <c r="I108" s="4137"/>
      <c r="J108" s="339"/>
      <c r="K108" s="443" t="str">
        <f t="shared" si="38"/>
        <v/>
      </c>
      <c r="L108" s="410"/>
      <c r="M108" s="2112"/>
      <c r="N108" s="28"/>
      <c r="O108" s="28"/>
      <c r="P108" s="28"/>
      <c r="Q108" s="28"/>
      <c r="R108" s="28"/>
      <c r="S108" s="28"/>
      <c r="T108" s="28"/>
      <c r="U108" s="542"/>
      <c r="V108" s="1467"/>
      <c r="X108" s="907"/>
      <c r="Y108" s="4263" t="s">
        <v>840</v>
      </c>
      <c r="Z108" s="4263"/>
      <c r="AA108" s="4263"/>
      <c r="AB108" s="4263"/>
      <c r="AC108" s="4263"/>
      <c r="AD108" s="4263"/>
      <c r="AE108" s="4263"/>
      <c r="AF108" s="4263"/>
      <c r="AG108" s="4263"/>
      <c r="AH108" s="4263"/>
      <c r="AI108" s="4263"/>
      <c r="AK108" s="915"/>
      <c r="AL108" s="4260"/>
      <c r="AM108" s="4259">
        <f>AU110+BC110+AY110</f>
        <v>0</v>
      </c>
      <c r="AN108" s="4259"/>
      <c r="AO108" s="4259"/>
      <c r="AP108" s="4151"/>
      <c r="AQ108" s="915"/>
      <c r="AR108" s="28"/>
      <c r="AS108" s="1655"/>
      <c r="AU108" s="1655"/>
      <c r="AV108" s="1655"/>
      <c r="AW108" s="1655"/>
      <c r="AX108" s="2260">
        <f>IF(AND(AY108&lt;&gt;0,AN105&gt;=AY108),1,0)</f>
        <v>0</v>
      </c>
      <c r="AY108" s="1990">
        <v>30</v>
      </c>
      <c r="AZ108" s="1655"/>
      <c r="BB108" s="2260">
        <f>IF(AND(BC108&lt;&gt;0,AM108&gt;=BC108),1,0)</f>
        <v>0</v>
      </c>
      <c r="BC108" s="1990">
        <v>100</v>
      </c>
      <c r="BD108" s="1665"/>
      <c r="BF108" s="1647"/>
      <c r="BP108" s="417"/>
      <c r="BQ108" s="4137"/>
      <c r="BR108" s="4137"/>
      <c r="BS108" s="4137"/>
      <c r="BT108" s="4137"/>
      <c r="BU108" s="4137"/>
      <c r="BV108" s="4137"/>
      <c r="BW108" s="4137"/>
      <c r="BX108" s="339"/>
      <c r="BY108" s="443" t="str">
        <f t="shared" si="39"/>
        <v/>
      </c>
      <c r="BZ108" s="410"/>
      <c r="CB108" s="1664"/>
    </row>
    <row r="109" spans="2:114" ht="17.100000000000001" customHeight="1" x14ac:dyDescent="0.2">
      <c r="B109" s="417"/>
      <c r="C109" s="4137"/>
      <c r="D109" s="4137"/>
      <c r="E109" s="4137"/>
      <c r="F109" s="4137"/>
      <c r="G109" s="4137"/>
      <c r="H109" s="4137"/>
      <c r="I109" s="4137"/>
      <c r="J109" s="339"/>
      <c r="K109" s="443" t="str">
        <f t="shared" si="38"/>
        <v/>
      </c>
      <c r="L109" s="410"/>
      <c r="M109" s="2112"/>
      <c r="N109" s="28"/>
      <c r="O109" s="28"/>
      <c r="P109" s="28"/>
      <c r="Q109" s="28"/>
      <c r="R109" s="28"/>
      <c r="S109" s="28"/>
      <c r="T109" s="28"/>
      <c r="U109" s="542"/>
      <c r="V109" s="1467"/>
      <c r="X109" s="907"/>
      <c r="Y109" s="2034" t="str">
        <f>IF(AF104="","","commitment")</f>
        <v/>
      </c>
      <c r="AB109" s="4134" t="s">
        <v>840</v>
      </c>
      <c r="AC109" s="4134"/>
      <c r="AD109" s="4134"/>
      <c r="AE109" s="4134"/>
      <c r="AF109" s="4134"/>
      <c r="AG109" s="4134"/>
      <c r="AH109" s="4134"/>
      <c r="AI109" s="4134"/>
      <c r="AJ109" s="2082"/>
      <c r="AK109" s="915"/>
      <c r="AL109" s="4260"/>
      <c r="AM109" s="4259"/>
      <c r="AN109" s="4259"/>
      <c r="AO109" s="4259"/>
      <c r="AP109" s="4151"/>
      <c r="AQ109" s="915"/>
      <c r="AR109" s="915"/>
      <c r="AS109" s="915"/>
      <c r="AT109" s="915"/>
      <c r="AU109" s="1650" t="str">
        <f>IF(AF104="","","bonus points")</f>
        <v/>
      </c>
      <c r="AV109" s="1648"/>
      <c r="AW109" s="1648"/>
      <c r="AX109" s="1648"/>
      <c r="AY109" s="1650" t="str">
        <f>IF(AF104="","","month points")</f>
        <v/>
      </c>
      <c r="AZ109" s="915"/>
      <c r="BA109" s="915"/>
      <c r="BB109" s="915"/>
      <c r="BC109" s="1650" t="str">
        <f>IF(AF104="","","previous points")</f>
        <v/>
      </c>
      <c r="BD109" s="915"/>
      <c r="BF109" s="1647"/>
      <c r="BP109" s="417"/>
      <c r="BQ109" s="4137"/>
      <c r="BR109" s="4137"/>
      <c r="BS109" s="4137"/>
      <c r="BT109" s="4137"/>
      <c r="BU109" s="4137"/>
      <c r="BV109" s="4137"/>
      <c r="BW109" s="4137"/>
      <c r="BX109" s="339"/>
      <c r="BY109" s="443" t="str">
        <f t="shared" si="39"/>
        <v/>
      </c>
      <c r="BZ109" s="410"/>
      <c r="CC109" s="1664"/>
    </row>
    <row r="110" spans="2:114" ht="17.100000000000001" customHeight="1" x14ac:dyDescent="0.2">
      <c r="B110" s="417"/>
      <c r="C110" s="4137"/>
      <c r="D110" s="4137"/>
      <c r="E110" s="4137"/>
      <c r="F110" s="4137"/>
      <c r="G110" s="4137"/>
      <c r="H110" s="4137"/>
      <c r="I110" s="4137"/>
      <c r="J110" s="339"/>
      <c r="K110" s="443" t="str">
        <f t="shared" si="38"/>
        <v/>
      </c>
      <c r="L110" s="410"/>
      <c r="M110" s="2112"/>
      <c r="N110" s="28"/>
      <c r="O110" s="28"/>
      <c r="P110" s="28"/>
      <c r="Q110" s="28"/>
      <c r="R110" s="28"/>
      <c r="S110" s="28"/>
      <c r="T110" s="28"/>
      <c r="U110" s="542"/>
      <c r="V110" s="1467"/>
      <c r="X110" s="907"/>
      <c r="Y110" s="2034" t="str">
        <f>IF(AF104="","","commitment")</f>
        <v/>
      </c>
      <c r="Z110" s="1176"/>
      <c r="AA110" s="1176"/>
      <c r="AB110" s="4145" t="s">
        <v>840</v>
      </c>
      <c r="AC110" s="4145"/>
      <c r="AD110" s="4145"/>
      <c r="AE110" s="4145"/>
      <c r="AF110" s="4145"/>
      <c r="AG110" s="4145"/>
      <c r="AH110" s="4145"/>
      <c r="AI110" s="4145"/>
      <c r="AJ110" s="2082"/>
      <c r="AK110" s="915"/>
      <c r="AL110" s="4256" t="str" cm="1">
        <f t="array" ref="AL110">_xlfn.IFS(AND(BC108&lt;&gt;0,AM108&gt;=BC108),"objective complete",AND(AY108&lt;&gt;0,AN105&gt;=AY108),"month complete",TRUE,"")</f>
        <v/>
      </c>
      <c r="AM110" s="4257"/>
      <c r="AN110" s="4257"/>
      <c r="AO110" s="4257"/>
      <c r="AP110" s="4258"/>
      <c r="AQ110" s="915"/>
      <c r="AR110" s="28"/>
      <c r="AS110" s="2082"/>
      <c r="AT110" s="2082"/>
      <c r="AU110" s="2160">
        <f>SUM(Y117:BC117)</f>
        <v>0</v>
      </c>
      <c r="AV110" s="2082"/>
      <c r="AW110" s="2082"/>
      <c r="AX110" s="2082"/>
      <c r="AY110" s="2160">
        <f>SUM(Y113:BC113,Y115:BC115)</f>
        <v>0</v>
      </c>
      <c r="AZ110" s="2082"/>
      <c r="BA110" s="2082"/>
      <c r="BB110" s="2566"/>
      <c r="BC110" s="2161">
        <v>0</v>
      </c>
      <c r="BD110" s="915"/>
      <c r="BF110" s="1647"/>
      <c r="BP110" s="417"/>
      <c r="BQ110" s="4137"/>
      <c r="BR110" s="4137"/>
      <c r="BS110" s="4137"/>
      <c r="BT110" s="4137"/>
      <c r="BU110" s="4137"/>
      <c r="BV110" s="4137"/>
      <c r="BW110" s="4137"/>
      <c r="BX110" s="339"/>
      <c r="BY110" s="443" t="str">
        <f t="shared" si="39"/>
        <v/>
      </c>
      <c r="BZ110" s="410"/>
      <c r="CB110" s="1664"/>
    </row>
    <row r="111" spans="2:114" ht="17.100000000000001" customHeight="1" x14ac:dyDescent="0.15">
      <c r="B111" s="417"/>
      <c r="C111" s="4137"/>
      <c r="D111" s="4137"/>
      <c r="E111" s="4137"/>
      <c r="F111" s="4137"/>
      <c r="G111" s="4137"/>
      <c r="H111" s="4137"/>
      <c r="I111" s="4137"/>
      <c r="J111" s="339"/>
      <c r="K111" s="443" t="str">
        <f t="shared" si="38"/>
        <v/>
      </c>
      <c r="L111" s="410"/>
      <c r="M111" s="2112"/>
      <c r="U111" s="542"/>
      <c r="V111" s="1467"/>
      <c r="X111" s="1656"/>
      <c r="Y111" s="1656"/>
      <c r="Z111" s="915"/>
      <c r="AA111" s="915"/>
      <c r="AB111" s="915"/>
      <c r="AC111" s="915"/>
      <c r="AD111" s="915"/>
      <c r="AE111" s="915"/>
      <c r="AF111" s="915"/>
      <c r="AG111" s="915"/>
      <c r="AH111" s="915"/>
      <c r="AI111" s="915"/>
      <c r="AJ111" s="915"/>
      <c r="AK111" s="915"/>
      <c r="AL111" s="915"/>
      <c r="AM111" s="915"/>
      <c r="AN111" s="2005" t="e">
        <f ca="1">_xlfn.XLOOKUP($N$1,Y114:BC114,Y117:BC117)</f>
        <v>#N/A</v>
      </c>
      <c r="AO111" s="1654">
        <v>1</v>
      </c>
      <c r="AP111" s="915"/>
      <c r="AQ111" s="915"/>
      <c r="AR111" s="915"/>
      <c r="AS111" s="915"/>
      <c r="AT111" s="915"/>
      <c r="AU111" s="915"/>
      <c r="AV111" s="915"/>
      <c r="AW111" s="915"/>
      <c r="AX111" s="915"/>
      <c r="AY111" s="915"/>
      <c r="AZ111" s="915"/>
      <c r="BA111" s="915"/>
      <c r="BB111" s="915"/>
      <c r="BC111" s="915"/>
      <c r="BD111" s="915"/>
      <c r="BF111" s="1647"/>
      <c r="BP111" s="417"/>
      <c r="BQ111" s="4137"/>
      <c r="BR111" s="4137"/>
      <c r="BS111" s="4137"/>
      <c r="BT111" s="4137"/>
      <c r="BU111" s="4137"/>
      <c r="BV111" s="4137"/>
      <c r="BW111" s="4137"/>
      <c r="BX111" s="339"/>
      <c r="BY111" s="443" t="str">
        <f t="shared" si="39"/>
        <v/>
      </c>
      <c r="BZ111" s="410"/>
      <c r="CC111" s="1664"/>
    </row>
    <row r="112" spans="2:114" ht="17.100000000000001" customHeight="1" x14ac:dyDescent="0.2">
      <c r="B112" s="417"/>
      <c r="C112" s="4137"/>
      <c r="D112" s="4137"/>
      <c r="E112" s="4137"/>
      <c r="F112" s="4137"/>
      <c r="G112" s="4137"/>
      <c r="H112" s="4137"/>
      <c r="I112" s="4137"/>
      <c r="J112" s="339"/>
      <c r="K112" s="443" t="str">
        <f t="shared" si="38"/>
        <v/>
      </c>
      <c r="L112" s="410"/>
      <c r="M112" s="2112"/>
      <c r="U112" s="542"/>
      <c r="V112" s="1467"/>
      <c r="X112" s="1657"/>
      <c r="Y112" s="28"/>
      <c r="Z112" s="1658"/>
      <c r="AA112" s="1658"/>
      <c r="AB112" s="1658"/>
      <c r="AC112" s="1658"/>
      <c r="AD112" s="1658"/>
      <c r="AE112" s="1658"/>
      <c r="AF112" s="1658"/>
      <c r="AG112" s="1658"/>
      <c r="AH112" s="1658"/>
      <c r="AI112" s="1658"/>
      <c r="AJ112" s="1658"/>
      <c r="AK112" s="1658"/>
      <c r="AL112" s="1658"/>
      <c r="AM112" s="1658"/>
      <c r="AN112" s="2063" t="str">
        <f>IF(AF104="","",'^'!$BS$49)</f>
        <v/>
      </c>
      <c r="AO112" s="1658"/>
      <c r="AP112" s="1658"/>
      <c r="AQ112" s="1658"/>
      <c r="AR112" s="1658"/>
      <c r="AS112" s="1658"/>
      <c r="AT112" s="1658"/>
      <c r="AU112" s="1658"/>
      <c r="AV112" s="1658"/>
      <c r="AW112" s="1658"/>
      <c r="AX112" s="1658"/>
      <c r="AY112" s="1658"/>
      <c r="AZ112" s="1658"/>
      <c r="BA112" s="1658"/>
      <c r="BB112" s="1658"/>
      <c r="BC112" s="1658"/>
      <c r="BD112" s="915"/>
      <c r="BF112" s="1647"/>
      <c r="BP112" s="417"/>
      <c r="BQ112" s="4137"/>
      <c r="BR112" s="4137"/>
      <c r="BS112" s="4137"/>
      <c r="BT112" s="4137"/>
      <c r="BU112" s="4137"/>
      <c r="BV112" s="4137"/>
      <c r="BW112" s="4137"/>
      <c r="BX112" s="339"/>
      <c r="BY112" s="443" t="str">
        <f t="shared" si="39"/>
        <v/>
      </c>
      <c r="BZ112" s="410"/>
      <c r="CB112" s="1664"/>
    </row>
    <row r="113" spans="2:81" ht="17.100000000000001" customHeight="1" x14ac:dyDescent="0.15">
      <c r="B113" s="417"/>
      <c r="C113" s="4137"/>
      <c r="D113" s="4137"/>
      <c r="E113" s="4137"/>
      <c r="F113" s="4137"/>
      <c r="G113" s="4137"/>
      <c r="H113" s="4137"/>
      <c r="I113" s="4137"/>
      <c r="J113" s="339"/>
      <c r="K113" s="443" t="str">
        <f t="shared" si="38"/>
        <v/>
      </c>
      <c r="L113" s="410"/>
      <c r="M113" s="2112"/>
      <c r="N113" s="28"/>
      <c r="O113" s="28"/>
      <c r="P113" s="28"/>
      <c r="Q113" s="28"/>
      <c r="R113" s="28"/>
      <c r="S113" s="28"/>
      <c r="T113" s="28"/>
      <c r="U113" s="542"/>
      <c r="V113" s="1467"/>
      <c r="X113" s="298"/>
      <c r="Y113" s="338"/>
      <c r="Z113" s="338"/>
      <c r="AA113" s="338"/>
      <c r="AB113" s="338"/>
      <c r="AC113" s="338"/>
      <c r="AD113" s="338"/>
      <c r="AE113" s="338"/>
      <c r="AF113" s="338"/>
      <c r="AG113" s="338"/>
      <c r="AH113" s="338"/>
      <c r="AI113" s="338"/>
      <c r="AJ113" s="338"/>
      <c r="AK113" s="338"/>
      <c r="AL113" s="338"/>
      <c r="AM113" s="338"/>
      <c r="AN113" s="338"/>
      <c r="AO113" s="338"/>
      <c r="AP113" s="338"/>
      <c r="AQ113" s="338"/>
      <c r="AR113" s="338"/>
      <c r="AS113" s="338"/>
      <c r="AT113" s="338"/>
      <c r="AU113" s="338"/>
      <c r="AV113" s="338"/>
      <c r="AW113" s="338"/>
      <c r="AX113" s="338"/>
      <c r="AY113" s="338"/>
      <c r="AZ113" s="338"/>
      <c r="BA113" s="338"/>
      <c r="BB113" s="338"/>
      <c r="BC113" s="338"/>
      <c r="BD113" s="36"/>
      <c r="BF113" s="1647"/>
      <c r="BP113" s="417"/>
      <c r="BQ113" s="4137"/>
      <c r="BR113" s="4137"/>
      <c r="BS113" s="4137"/>
      <c r="BT113" s="4137"/>
      <c r="BU113" s="4137"/>
      <c r="BV113" s="4137"/>
      <c r="BW113" s="4137"/>
      <c r="BX113" s="339"/>
      <c r="BY113" s="443" t="str">
        <f t="shared" si="39"/>
        <v/>
      </c>
      <c r="BZ113" s="410"/>
      <c r="CC113" s="1664"/>
    </row>
    <row r="114" spans="2:81" ht="17.100000000000001" customHeight="1" x14ac:dyDescent="0.15">
      <c r="B114" s="417"/>
      <c r="C114" s="4137"/>
      <c r="D114" s="4137"/>
      <c r="E114" s="4137"/>
      <c r="F114" s="4137"/>
      <c r="G114" s="4137"/>
      <c r="H114" s="4137"/>
      <c r="I114" s="4137"/>
      <c r="J114" s="339"/>
      <c r="K114" s="443" t="str">
        <f t="shared" si="38"/>
        <v/>
      </c>
      <c r="L114" s="410"/>
      <c r="M114" s="2112"/>
      <c r="N114" s="28"/>
      <c r="O114" s="28"/>
      <c r="P114" s="28"/>
      <c r="Q114" s="28"/>
      <c r="R114" s="28"/>
      <c r="S114" s="28"/>
      <c r="T114" s="28"/>
      <c r="U114" s="542"/>
      <c r="V114" s="1467"/>
      <c r="X114" s="2048" t="str">
        <f>MISSIONS!$AK$2</f>
        <v>MTH</v>
      </c>
      <c r="Y114" s="2008">
        <v>1</v>
      </c>
      <c r="Z114" s="2008">
        <v>2</v>
      </c>
      <c r="AA114" s="2008">
        <v>3</v>
      </c>
      <c r="AB114" s="2008">
        <v>4</v>
      </c>
      <c r="AC114" s="2008">
        <v>5</v>
      </c>
      <c r="AD114" s="2008">
        <v>6</v>
      </c>
      <c r="AE114" s="2008">
        <v>7</v>
      </c>
      <c r="AF114" s="2008">
        <v>8</v>
      </c>
      <c r="AG114" s="2008">
        <v>9</v>
      </c>
      <c r="AH114" s="2008">
        <v>10</v>
      </c>
      <c r="AI114" s="2008">
        <v>11</v>
      </c>
      <c r="AJ114" s="2008">
        <v>12</v>
      </c>
      <c r="AK114" s="2008">
        <v>13</v>
      </c>
      <c r="AL114" s="2008">
        <v>14</v>
      </c>
      <c r="AM114" s="2008">
        <v>15</v>
      </c>
      <c r="AN114" s="2008">
        <v>16</v>
      </c>
      <c r="AO114" s="2008">
        <v>17</v>
      </c>
      <c r="AP114" s="2008">
        <v>18</v>
      </c>
      <c r="AQ114" s="2008">
        <v>19</v>
      </c>
      <c r="AR114" s="2008">
        <v>20</v>
      </c>
      <c r="AS114" s="2008">
        <v>21</v>
      </c>
      <c r="AT114" s="2008">
        <v>22</v>
      </c>
      <c r="AU114" s="2008">
        <v>23</v>
      </c>
      <c r="AV114" s="2008">
        <v>24</v>
      </c>
      <c r="AW114" s="2008">
        <v>25</v>
      </c>
      <c r="AX114" s="2008">
        <v>26</v>
      </c>
      <c r="AY114" s="2008">
        <v>27</v>
      </c>
      <c r="AZ114" s="2008">
        <v>28</v>
      </c>
      <c r="BA114" s="2009">
        <f>IF(data!$EB$24&lt;&gt;"",data!$EB$24,"")</f>
        <v>29</v>
      </c>
      <c r="BB114" s="2009">
        <f>IF(data!$EB$23&lt;&gt;"",data!$EB$23,"")</f>
        <v>30</v>
      </c>
      <c r="BC114" s="2009">
        <f>IF(data!$EB$22&lt;&gt;"",data!$EB$22,"")</f>
        <v>31</v>
      </c>
      <c r="BD114" s="2113"/>
      <c r="BF114" s="1647"/>
      <c r="BP114" s="417"/>
      <c r="BQ114" s="4137"/>
      <c r="BR114" s="4137"/>
      <c r="BS114" s="4137"/>
      <c r="BT114" s="4137"/>
      <c r="BU114" s="4137"/>
      <c r="BV114" s="4137"/>
      <c r="BW114" s="4137"/>
      <c r="BX114" s="339"/>
      <c r="BY114" s="443" t="str">
        <f t="shared" si="39"/>
        <v/>
      </c>
      <c r="BZ114" s="410"/>
      <c r="CB114" s="1664"/>
    </row>
    <row r="115" spans="2:81" ht="17.100000000000001" customHeight="1" x14ac:dyDescent="0.15">
      <c r="B115" s="417"/>
      <c r="C115" s="4137"/>
      <c r="D115" s="4137"/>
      <c r="E115" s="4137"/>
      <c r="F115" s="4137"/>
      <c r="G115" s="4137"/>
      <c r="H115" s="4137"/>
      <c r="I115" s="4137"/>
      <c r="J115" s="339"/>
      <c r="K115" s="443" t="str">
        <f t="shared" si="38"/>
        <v/>
      </c>
      <c r="L115" s="410"/>
      <c r="M115" s="2112"/>
      <c r="U115" s="542"/>
      <c r="V115" s="1467"/>
      <c r="X115" s="298"/>
      <c r="Y115" s="338"/>
      <c r="Z115" s="338"/>
      <c r="AA115" s="338"/>
      <c r="AB115" s="338"/>
      <c r="AC115" s="338"/>
      <c r="AD115" s="338"/>
      <c r="AE115" s="338"/>
      <c r="AF115" s="338"/>
      <c r="AG115" s="338"/>
      <c r="AH115" s="338"/>
      <c r="AI115" s="338"/>
      <c r="AJ115" s="338"/>
      <c r="AK115" s="338"/>
      <c r="AL115" s="338"/>
      <c r="AM115" s="338"/>
      <c r="AN115" s="338"/>
      <c r="AO115" s="338"/>
      <c r="AP115" s="338"/>
      <c r="AQ115" s="338"/>
      <c r="AR115" s="338"/>
      <c r="AS115" s="338"/>
      <c r="AT115" s="338"/>
      <c r="AU115" s="338"/>
      <c r="AV115" s="338"/>
      <c r="AW115" s="338"/>
      <c r="AX115" s="338"/>
      <c r="AY115" s="338"/>
      <c r="AZ115" s="338"/>
      <c r="BA115" s="338"/>
      <c r="BB115" s="338"/>
      <c r="BC115" s="338"/>
      <c r="BD115" s="36"/>
      <c r="BF115" s="1647"/>
      <c r="BP115" s="417"/>
      <c r="BQ115" s="4137"/>
      <c r="BR115" s="4137"/>
      <c r="BS115" s="4137"/>
      <c r="BT115" s="4137"/>
      <c r="BU115" s="4137"/>
      <c r="BV115" s="4137"/>
      <c r="BW115" s="4137"/>
      <c r="BX115" s="339"/>
      <c r="BY115" s="443" t="str">
        <f t="shared" si="39"/>
        <v/>
      </c>
      <c r="BZ115" s="410"/>
      <c r="CC115" s="1664"/>
    </row>
    <row r="116" spans="2:81" ht="17.100000000000001" customHeight="1" x14ac:dyDescent="0.2">
      <c r="B116" s="417"/>
      <c r="C116" s="4137"/>
      <c r="D116" s="4137"/>
      <c r="E116" s="4137"/>
      <c r="F116" s="4137"/>
      <c r="G116" s="4137"/>
      <c r="H116" s="4137"/>
      <c r="I116" s="4137"/>
      <c r="J116" s="339"/>
      <c r="K116" s="443" t="str">
        <f t="shared" si="38"/>
        <v/>
      </c>
      <c r="L116" s="410"/>
      <c r="V116" s="1467"/>
      <c r="X116" s="907"/>
      <c r="Y116" s="28"/>
      <c r="Z116" s="1659"/>
      <c r="AA116" s="1659"/>
      <c r="AB116" s="1659"/>
      <c r="AC116" s="1659"/>
      <c r="AD116" s="1659"/>
      <c r="AE116" s="1659"/>
      <c r="AF116" s="1659"/>
      <c r="AG116" s="1659"/>
      <c r="AH116" s="1659"/>
      <c r="AI116" s="1659"/>
      <c r="AJ116" s="1659"/>
      <c r="AK116" s="2501" t="str">
        <f>IF(AND(AL116="",AF104&lt;&gt;""),"Enter coop player name here  &gt; ","")</f>
        <v/>
      </c>
      <c r="AL116" s="4144"/>
      <c r="AM116" s="4144"/>
      <c r="AN116" s="4144"/>
      <c r="AO116" s="4144"/>
      <c r="AP116" s="4144"/>
      <c r="AQ116" s="1659"/>
      <c r="AR116" s="1659"/>
      <c r="AS116" s="1659"/>
      <c r="AT116" s="1659"/>
      <c r="AU116" s="1659"/>
      <c r="AV116" s="1659"/>
      <c r="AW116" s="1659"/>
      <c r="AX116" s="1659"/>
      <c r="AY116" s="1659"/>
      <c r="AZ116" s="1659"/>
      <c r="BA116" s="1659"/>
      <c r="BB116" s="1659"/>
      <c r="BC116" s="1659"/>
      <c r="BD116" s="915"/>
      <c r="BF116" s="1647"/>
      <c r="BP116" s="417"/>
      <c r="BQ116" s="4137"/>
      <c r="BR116" s="4137"/>
      <c r="BS116" s="4137"/>
      <c r="BT116" s="4137"/>
      <c r="BU116" s="4137"/>
      <c r="BV116" s="4137"/>
      <c r="BW116" s="4137"/>
      <c r="BX116" s="339"/>
      <c r="BY116" s="443" t="str">
        <f t="shared" si="39"/>
        <v/>
      </c>
      <c r="BZ116" s="410"/>
    </row>
    <row r="117" spans="2:81" ht="17.100000000000001" customHeight="1" x14ac:dyDescent="0.15">
      <c r="B117" s="417"/>
      <c r="C117" s="4137"/>
      <c r="D117" s="4137"/>
      <c r="E117" s="4137"/>
      <c r="F117" s="4137"/>
      <c r="G117" s="4137"/>
      <c r="H117" s="4137"/>
      <c r="I117" s="4137"/>
      <c r="J117" s="339"/>
      <c r="K117" s="443" t="str">
        <f t="shared" si="38"/>
        <v/>
      </c>
      <c r="L117" s="410"/>
      <c r="V117" s="1467"/>
      <c r="X117" s="1654"/>
      <c r="Y117" s="1550">
        <f>IF(SUM(Y113,Y115)=2,1,0)</f>
        <v>0</v>
      </c>
      <c r="Z117" s="1550">
        <f t="shared" ref="Z117:BC117" si="50">IF(SUM(Z113,Z115)=2,1,0)</f>
        <v>0</v>
      </c>
      <c r="AA117" s="1550">
        <f t="shared" si="50"/>
        <v>0</v>
      </c>
      <c r="AB117" s="1550">
        <f t="shared" si="50"/>
        <v>0</v>
      </c>
      <c r="AC117" s="1550">
        <f t="shared" si="50"/>
        <v>0</v>
      </c>
      <c r="AD117" s="1550">
        <f t="shared" si="50"/>
        <v>0</v>
      </c>
      <c r="AE117" s="1550">
        <f t="shared" si="50"/>
        <v>0</v>
      </c>
      <c r="AF117" s="1550">
        <f t="shared" si="50"/>
        <v>0</v>
      </c>
      <c r="AG117" s="1550">
        <f t="shared" si="50"/>
        <v>0</v>
      </c>
      <c r="AH117" s="1550">
        <f t="shared" si="50"/>
        <v>0</v>
      </c>
      <c r="AI117" s="1550">
        <f t="shared" si="50"/>
        <v>0</v>
      </c>
      <c r="AJ117" s="1550">
        <f t="shared" si="50"/>
        <v>0</v>
      </c>
      <c r="AK117" s="1550">
        <f t="shared" si="50"/>
        <v>0</v>
      </c>
      <c r="AL117" s="1550">
        <f t="shared" si="50"/>
        <v>0</v>
      </c>
      <c r="AM117" s="1550">
        <f t="shared" si="50"/>
        <v>0</v>
      </c>
      <c r="AN117" s="1550">
        <f t="shared" si="50"/>
        <v>0</v>
      </c>
      <c r="AO117" s="1550">
        <f t="shared" si="50"/>
        <v>0</v>
      </c>
      <c r="AP117" s="1550">
        <f t="shared" si="50"/>
        <v>0</v>
      </c>
      <c r="AQ117" s="1550">
        <f t="shared" si="50"/>
        <v>0</v>
      </c>
      <c r="AR117" s="1550">
        <f t="shared" si="50"/>
        <v>0</v>
      </c>
      <c r="AS117" s="1550">
        <f t="shared" si="50"/>
        <v>0</v>
      </c>
      <c r="AT117" s="1550">
        <f t="shared" si="50"/>
        <v>0</v>
      </c>
      <c r="AU117" s="1550">
        <f t="shared" si="50"/>
        <v>0</v>
      </c>
      <c r="AV117" s="1550">
        <f t="shared" si="50"/>
        <v>0</v>
      </c>
      <c r="AW117" s="1550">
        <f t="shared" si="50"/>
        <v>0</v>
      </c>
      <c r="AX117" s="1550">
        <f t="shared" si="50"/>
        <v>0</v>
      </c>
      <c r="AY117" s="1550">
        <f t="shared" si="50"/>
        <v>0</v>
      </c>
      <c r="AZ117" s="1550">
        <f t="shared" si="50"/>
        <v>0</v>
      </c>
      <c r="BA117" s="1550">
        <f t="shared" si="50"/>
        <v>0</v>
      </c>
      <c r="BB117" s="1550">
        <f t="shared" si="50"/>
        <v>0</v>
      </c>
      <c r="BC117" s="1550">
        <f t="shared" si="50"/>
        <v>0</v>
      </c>
      <c r="BD117" s="1654"/>
      <c r="BF117" s="1647"/>
      <c r="BP117" s="417"/>
      <c r="BQ117" s="4152"/>
      <c r="BR117" s="4137"/>
      <c r="BS117" s="4137"/>
      <c r="BT117" s="4137"/>
      <c r="BU117" s="4137"/>
      <c r="BV117" s="4137"/>
      <c r="BW117" s="4137"/>
      <c r="BX117" s="339"/>
      <c r="BY117" s="443" t="str">
        <f t="shared" si="39"/>
        <v/>
      </c>
      <c r="BZ117" s="410"/>
      <c r="CB117" s="1664"/>
      <c r="CC117" s="2159"/>
    </row>
    <row r="118" spans="2:81" ht="17.100000000000001" customHeight="1" x14ac:dyDescent="0.15">
      <c r="B118" s="417"/>
      <c r="C118" s="4137"/>
      <c r="D118" s="4137"/>
      <c r="E118" s="4137"/>
      <c r="F118" s="4137"/>
      <c r="G118" s="4137"/>
      <c r="H118" s="4137"/>
      <c r="I118" s="4137"/>
      <c r="J118" s="339"/>
      <c r="K118" s="443" t="str">
        <f t="shared" si="38"/>
        <v/>
      </c>
      <c r="L118" s="410"/>
      <c r="V118" s="1467"/>
      <c r="BF118" s="1647"/>
      <c r="BP118" s="417"/>
      <c r="BQ118" s="4137"/>
      <c r="BR118" s="4137"/>
      <c r="BS118" s="4137"/>
      <c r="BT118" s="4137"/>
      <c r="BU118" s="4137"/>
      <c r="BV118" s="4137"/>
      <c r="BW118" s="4137"/>
      <c r="BX118" s="339"/>
      <c r="BY118" s="443" t="str">
        <f t="shared" si="39"/>
        <v/>
      </c>
      <c r="BZ118" s="410"/>
      <c r="CB118" s="1664"/>
      <c r="CC118" s="2159"/>
    </row>
    <row r="119" spans="2:81" ht="17.100000000000001" customHeight="1" x14ac:dyDescent="0.25">
      <c r="B119" s="417"/>
      <c r="C119" s="4137"/>
      <c r="D119" s="4137"/>
      <c r="E119" s="4137"/>
      <c r="F119" s="4137"/>
      <c r="G119" s="4137"/>
      <c r="H119" s="4137"/>
      <c r="I119" s="4137"/>
      <c r="J119" s="339"/>
      <c r="K119" s="443" t="str">
        <f t="shared" si="38"/>
        <v/>
      </c>
      <c r="L119" s="410"/>
      <c r="V119" s="1467"/>
      <c r="X119" s="2100"/>
      <c r="Y119" s="2100"/>
      <c r="Z119" s="2100"/>
      <c r="AA119" s="2100"/>
      <c r="AB119" s="2100"/>
      <c r="AC119" s="2100"/>
      <c r="AD119" s="2100"/>
      <c r="AE119" s="2100"/>
      <c r="AF119" s="4147"/>
      <c r="AG119" s="4147"/>
      <c r="AH119" s="4147"/>
      <c r="AI119" s="4147"/>
      <c r="AJ119" s="4147"/>
      <c r="AK119" s="4147"/>
      <c r="AL119" s="4147"/>
      <c r="AM119" s="4147"/>
      <c r="AN119" s="4147"/>
      <c r="AO119" s="4147"/>
      <c r="AP119" s="4147"/>
      <c r="AQ119" s="4147"/>
      <c r="AR119" s="4147"/>
      <c r="AS119" s="4147"/>
      <c r="AT119" s="4147"/>
      <c r="AU119" s="4147"/>
      <c r="AV119" s="4147"/>
      <c r="AW119" s="2100"/>
      <c r="AX119" s="2100"/>
      <c r="AY119" s="2100"/>
      <c r="AZ119" s="2100"/>
      <c r="BA119" s="2100"/>
      <c r="BB119" s="2100"/>
      <c r="BC119" s="2100"/>
      <c r="BD119" s="2100"/>
      <c r="BF119" s="1647"/>
      <c r="BP119" s="417"/>
      <c r="BQ119" s="4137"/>
      <c r="BR119" s="4137"/>
      <c r="BS119" s="4137"/>
      <c r="BT119" s="4137"/>
      <c r="BU119" s="4137"/>
      <c r="BV119" s="4137"/>
      <c r="BW119" s="4137"/>
      <c r="BX119" s="339"/>
      <c r="BY119" s="443" t="str">
        <f t="shared" si="39"/>
        <v/>
      </c>
      <c r="BZ119" s="410"/>
      <c r="CB119" s="1664"/>
      <c r="CC119" s="2159"/>
    </row>
    <row r="120" spans="2:81" ht="17.100000000000001" customHeight="1" x14ac:dyDescent="0.15">
      <c r="B120" s="417"/>
      <c r="C120" s="4137"/>
      <c r="D120" s="4137"/>
      <c r="E120" s="4137"/>
      <c r="F120" s="4137"/>
      <c r="G120" s="4137"/>
      <c r="H120" s="4137"/>
      <c r="I120" s="4137"/>
      <c r="J120" s="339"/>
      <c r="K120" s="443" t="str">
        <f t="shared" si="38"/>
        <v/>
      </c>
      <c r="L120" s="410"/>
      <c r="V120" s="1467"/>
      <c r="X120" s="21"/>
      <c r="Y120" s="21"/>
      <c r="Z120" s="21"/>
      <c r="AA120" s="21"/>
      <c r="AB120" s="21"/>
      <c r="AC120" s="21"/>
      <c r="AD120" s="21"/>
      <c r="AE120" s="21"/>
      <c r="AF120" s="21"/>
      <c r="AG120" s="21"/>
      <c r="AH120" s="21"/>
      <c r="AI120" s="21"/>
      <c r="AJ120" s="21"/>
      <c r="AK120" s="21"/>
      <c r="AL120" s="21"/>
      <c r="AM120" s="21"/>
      <c r="AN120" s="255">
        <f>SUM(AI134:AS134,AI142:AS142,AI145:AS145)</f>
        <v>0</v>
      </c>
      <c r="AO120" s="21"/>
      <c r="AP120" s="21"/>
      <c r="AQ120" s="21"/>
      <c r="AR120" s="21"/>
      <c r="AS120" s="21"/>
      <c r="AT120" s="21"/>
      <c r="AU120" s="21"/>
      <c r="AV120" s="21"/>
      <c r="AW120" s="21"/>
      <c r="AX120" s="21"/>
      <c r="AY120" s="21"/>
      <c r="AZ120" s="21"/>
      <c r="BA120" s="21"/>
      <c r="BB120" s="21"/>
      <c r="BC120" s="21"/>
      <c r="BD120" s="21"/>
      <c r="BF120" s="1647"/>
      <c r="BP120" s="417"/>
      <c r="BQ120" s="4137"/>
      <c r="BR120" s="4137"/>
      <c r="BS120" s="4137"/>
      <c r="BT120" s="4137"/>
      <c r="BU120" s="4137"/>
      <c r="BV120" s="4137"/>
      <c r="BW120" s="4137"/>
      <c r="BX120" s="339"/>
      <c r="BY120" s="443" t="str">
        <f t="shared" si="39"/>
        <v/>
      </c>
      <c r="BZ120" s="410"/>
      <c r="CB120" s="1664"/>
      <c r="CC120" s="2159"/>
    </row>
    <row r="121" spans="2:81" ht="17.100000000000001" customHeight="1" x14ac:dyDescent="0.2">
      <c r="B121" s="417"/>
      <c r="C121" s="4137"/>
      <c r="D121" s="4137"/>
      <c r="E121" s="4137"/>
      <c r="F121" s="4137"/>
      <c r="G121" s="4137"/>
      <c r="H121" s="4137"/>
      <c r="I121" s="4137"/>
      <c r="J121" s="339"/>
      <c r="K121" s="443" t="str">
        <f t="shared" si="38"/>
        <v/>
      </c>
      <c r="L121" s="410"/>
      <c r="V121" s="1467"/>
      <c r="X121" s="1652"/>
      <c r="Y121" s="1550"/>
      <c r="Z121" s="1652"/>
      <c r="AA121" s="1652"/>
      <c r="AB121" s="1652"/>
      <c r="AC121" s="1652"/>
      <c r="AD121" s="1652"/>
      <c r="AE121" s="1652"/>
      <c r="AF121" s="1550"/>
      <c r="AG121" s="1652"/>
      <c r="AH121" s="1652"/>
      <c r="AI121" s="1652"/>
      <c r="AJ121" s="1652"/>
      <c r="AK121" s="1652"/>
      <c r="AL121" s="21"/>
      <c r="AM121" s="720"/>
      <c r="AN121" s="2007" t="str">
        <f>IF(AF119="","","coop points")</f>
        <v/>
      </c>
      <c r="AO121" s="716"/>
      <c r="AP121" s="21"/>
      <c r="AQ121" s="1652"/>
      <c r="AR121" s="1652"/>
      <c r="AS121" s="1652"/>
      <c r="AT121" s="1550"/>
      <c r="AU121" s="1652"/>
      <c r="AV121" s="1652"/>
      <c r="AW121" s="1652"/>
      <c r="AX121" s="1652"/>
      <c r="AY121" s="1652"/>
      <c r="AZ121" s="1652"/>
      <c r="BA121" s="1550"/>
      <c r="BB121" s="1652"/>
      <c r="BC121" s="1652"/>
      <c r="BD121" s="1652"/>
      <c r="BF121" s="1647"/>
      <c r="BP121" s="417"/>
      <c r="BQ121" s="4137"/>
      <c r="BR121" s="4137"/>
      <c r="BS121" s="4137"/>
      <c r="BT121" s="4137"/>
      <c r="BU121" s="4137"/>
      <c r="BV121" s="4137"/>
      <c r="BW121" s="4137"/>
      <c r="BX121" s="339"/>
      <c r="BY121" s="443" t="str">
        <f t="shared" si="39"/>
        <v/>
      </c>
      <c r="BZ121" s="410"/>
      <c r="CB121" s="1664"/>
      <c r="CC121" s="2159"/>
    </row>
    <row r="122" spans="2:81" ht="17.100000000000001" customHeight="1" x14ac:dyDescent="0.2">
      <c r="B122" s="417"/>
      <c r="C122" s="4137"/>
      <c r="D122" s="4137"/>
      <c r="E122" s="4137"/>
      <c r="F122" s="4137"/>
      <c r="G122" s="4137"/>
      <c r="H122" s="4137"/>
      <c r="I122" s="4137"/>
      <c r="J122" s="339"/>
      <c r="K122" s="443" t="str">
        <f t="shared" si="38"/>
        <v/>
      </c>
      <c r="L122" s="410"/>
      <c r="V122" s="1467"/>
      <c r="X122" s="907"/>
      <c r="Y122" s="1649" t="str">
        <f>IF(AF119="","","completion rewards")</f>
        <v/>
      </c>
      <c r="Z122" s="2101"/>
      <c r="AA122" s="2101"/>
      <c r="AB122" s="2101"/>
      <c r="AC122" s="2111"/>
      <c r="AD122" s="2111"/>
      <c r="AE122" s="2108"/>
      <c r="AF122" s="2101"/>
      <c r="AG122" s="2101"/>
      <c r="AH122" s="2101"/>
      <c r="AI122" s="1648"/>
      <c r="AJ122" s="1648"/>
      <c r="AK122" s="915"/>
      <c r="AL122" s="4148"/>
      <c r="AM122" s="4149"/>
      <c r="AN122" s="4149"/>
      <c r="AO122" s="4149"/>
      <c r="AP122" s="4150"/>
      <c r="AQ122" s="915"/>
      <c r="AR122" s="915"/>
      <c r="AS122" s="915"/>
      <c r="AT122" s="915"/>
      <c r="AU122" s="1648"/>
      <c r="AV122" s="1648"/>
      <c r="AW122" s="1648"/>
      <c r="AX122" s="1648"/>
      <c r="AY122" s="1650" t="str">
        <f>IF(AF119="","","month objective")</f>
        <v/>
      </c>
      <c r="AZ122" s="915"/>
      <c r="BA122" s="915"/>
      <c r="BB122" s="915"/>
      <c r="BC122" s="1650" t="str">
        <f>IF(AF119="","","overall objective")</f>
        <v/>
      </c>
      <c r="BD122" s="1550" t="s">
        <v>128</v>
      </c>
      <c r="BF122" s="1647"/>
      <c r="BP122" s="417"/>
      <c r="BQ122" s="4137"/>
      <c r="BR122" s="4137"/>
      <c r="BS122" s="4137"/>
      <c r="BT122" s="4137"/>
      <c r="BU122" s="4137"/>
      <c r="BV122" s="4137"/>
      <c r="BW122" s="4137"/>
      <c r="BX122" s="339"/>
      <c r="BY122" s="443" t="str">
        <f t="shared" si="39"/>
        <v/>
      </c>
      <c r="BZ122" s="410"/>
      <c r="CB122" s="1664"/>
      <c r="CC122" s="2159"/>
    </row>
    <row r="123" spans="2:81" ht="17.100000000000001" customHeight="1" x14ac:dyDescent="0.15">
      <c r="B123" s="417"/>
      <c r="C123" s="4137"/>
      <c r="D123" s="4137"/>
      <c r="E123" s="4137"/>
      <c r="F123" s="4137"/>
      <c r="G123" s="4137"/>
      <c r="H123" s="4137"/>
      <c r="I123" s="4137"/>
      <c r="J123" s="339"/>
      <c r="K123" s="443" t="str">
        <f t="shared" si="38"/>
        <v/>
      </c>
      <c r="L123" s="410"/>
      <c r="V123" s="1467"/>
      <c r="W123" s="2259">
        <v>1</v>
      </c>
      <c r="X123" s="2259">
        <f>IF(AND(Y123&lt;&gt;0,$AM$123&gt;=Y123),W123,0)</f>
        <v>0</v>
      </c>
      <c r="Y123" s="2109">
        <f>ROUND(BC123*1,0)</f>
        <v>0</v>
      </c>
      <c r="Z123" s="2110" t="s">
        <v>1251</v>
      </c>
      <c r="AA123" s="2050"/>
      <c r="AB123" s="4134" t="s">
        <v>840</v>
      </c>
      <c r="AC123" s="4134"/>
      <c r="AD123" s="4134"/>
      <c r="AE123" s="4134"/>
      <c r="AF123" s="4134"/>
      <c r="AG123" s="4134"/>
      <c r="AH123" s="4134"/>
      <c r="AI123" s="4134"/>
      <c r="AJ123" s="1991"/>
      <c r="AK123" s="915"/>
      <c r="AL123" s="4260"/>
      <c r="AM123" s="4259">
        <f>AU125+BC125+AY125</f>
        <v>0</v>
      </c>
      <c r="AN123" s="4259"/>
      <c r="AO123" s="4259"/>
      <c r="AP123" s="4151"/>
      <c r="AQ123" s="915"/>
      <c r="AR123" s="915"/>
      <c r="AS123" s="1655"/>
      <c r="AT123" s="21"/>
      <c r="AU123" s="1655"/>
      <c r="AV123" s="1655"/>
      <c r="AW123" s="1655"/>
      <c r="AX123" s="2260">
        <f>IF(AND(AY123&lt;&gt;0,AN120&gt;=AY123),1,0)</f>
        <v>0</v>
      </c>
      <c r="AY123" s="1990">
        <v>0</v>
      </c>
      <c r="AZ123" s="1655"/>
      <c r="BB123" s="2260">
        <f>SUM(X123:X125)</f>
        <v>0</v>
      </c>
      <c r="BC123" s="1990">
        <v>0</v>
      </c>
      <c r="BD123" s="1550">
        <v>0</v>
      </c>
      <c r="BF123" s="1647"/>
      <c r="BP123" s="417"/>
      <c r="BQ123" s="4137"/>
      <c r="BR123" s="4137"/>
      <c r="BS123" s="4137"/>
      <c r="BT123" s="4137"/>
      <c r="BU123" s="4137"/>
      <c r="BV123" s="4137"/>
      <c r="BW123" s="4137"/>
      <c r="BX123" s="339"/>
      <c r="BY123" s="443" t="str">
        <f t="shared" si="39"/>
        <v/>
      </c>
      <c r="BZ123" s="410"/>
      <c r="CB123" s="1664"/>
      <c r="CC123" s="2159"/>
    </row>
    <row r="124" spans="2:81" ht="17.100000000000001" customHeight="1" x14ac:dyDescent="0.2">
      <c r="B124" s="417"/>
      <c r="C124" s="4137"/>
      <c r="D124" s="4137"/>
      <c r="E124" s="4137"/>
      <c r="F124" s="4137"/>
      <c r="G124" s="4137"/>
      <c r="H124" s="4137"/>
      <c r="I124" s="4137"/>
      <c r="J124" s="339"/>
      <c r="K124" s="443" t="str">
        <f t="shared" ref="K124:K187" si="51">IF(J124&lt;&gt;"","XP","")</f>
        <v/>
      </c>
      <c r="L124" s="410"/>
      <c r="V124" s="1467"/>
      <c r="W124" s="2259" cm="1">
        <f t="array" ref="W124">_xlfn.IFS($AO$126=3,1,$AO$126=2,1,$AO$126=1,0,TRUE,0)</f>
        <v>0</v>
      </c>
      <c r="X124" s="2259">
        <f t="shared" ref="X124:X125" si="52">IF(AND(Y124&lt;&gt;0,$AM$123&gt;=Y124),W124,0)</f>
        <v>0</v>
      </c>
      <c r="Y124" s="2109">
        <f>ROUND(BC123*0.85,0)</f>
        <v>0</v>
      </c>
      <c r="Z124" s="2110" t="s">
        <v>1249</v>
      </c>
      <c r="AA124" s="2050"/>
      <c r="AB124" s="4134" t="s">
        <v>840</v>
      </c>
      <c r="AC124" s="4134"/>
      <c r="AD124" s="4134"/>
      <c r="AE124" s="4134"/>
      <c r="AF124" s="4134"/>
      <c r="AG124" s="4134"/>
      <c r="AH124" s="4134"/>
      <c r="AI124" s="4134"/>
      <c r="AJ124" s="1991"/>
      <c r="AK124" s="915"/>
      <c r="AL124" s="4260"/>
      <c r="AM124" s="4259"/>
      <c r="AN124" s="4259"/>
      <c r="AO124" s="4259"/>
      <c r="AP124" s="4151"/>
      <c r="AQ124" s="915"/>
      <c r="AR124" s="915"/>
      <c r="AS124" s="915"/>
      <c r="AT124" s="915"/>
      <c r="AU124" s="1650" t="str">
        <f>IF(AF119="","","bonus points")</f>
        <v/>
      </c>
      <c r="AV124" s="1648"/>
      <c r="AW124" s="1648"/>
      <c r="AX124" s="1648"/>
      <c r="AY124" s="1650" t="str">
        <f>IF(AF119="","","month points")</f>
        <v/>
      </c>
      <c r="AZ124" s="915"/>
      <c r="BA124" s="915"/>
      <c r="BB124" s="915"/>
      <c r="BC124" s="1650" t="str">
        <f>IF(AF119="","","previous points")</f>
        <v/>
      </c>
      <c r="BD124" s="1550">
        <v>1</v>
      </c>
      <c r="BF124" s="1647"/>
      <c r="BP124" s="417"/>
      <c r="BQ124" s="4137"/>
      <c r="BR124" s="4137"/>
      <c r="BS124" s="4137"/>
      <c r="BT124" s="4137"/>
      <c r="BU124" s="4137"/>
      <c r="BV124" s="4137"/>
      <c r="BW124" s="4137"/>
      <c r="BX124" s="339"/>
      <c r="BY124" s="443" t="str">
        <f t="shared" ref="BY124:BY187" si="53">IF(BX124&lt;&gt;"","XP","")</f>
        <v/>
      </c>
      <c r="BZ124" s="410"/>
      <c r="CB124" s="1664"/>
      <c r="CC124" s="2159"/>
    </row>
    <row r="125" spans="2:81" ht="17.100000000000001" customHeight="1" x14ac:dyDescent="0.15">
      <c r="B125" s="417"/>
      <c r="C125" s="4137"/>
      <c r="D125" s="4137"/>
      <c r="E125" s="4137"/>
      <c r="F125" s="4137"/>
      <c r="G125" s="4137"/>
      <c r="H125" s="4137"/>
      <c r="I125" s="4137"/>
      <c r="J125" s="339"/>
      <c r="K125" s="443" t="str">
        <f t="shared" si="51"/>
        <v/>
      </c>
      <c r="L125" s="410"/>
      <c r="V125" s="1467"/>
      <c r="W125" s="2259" cm="1">
        <f t="array" ref="W125">_xlfn.IFS($AO$126=3,1,$AO$126=2,0,$AO$126=1,0,TRUE,0)</f>
        <v>0</v>
      </c>
      <c r="X125" s="2259">
        <f t="shared" si="52"/>
        <v>0</v>
      </c>
      <c r="Y125" s="2109">
        <f>ROUND(BC123*0.7,0)</f>
        <v>0</v>
      </c>
      <c r="Z125" s="2110" t="s">
        <v>1250</v>
      </c>
      <c r="AA125" s="2050"/>
      <c r="AB125" s="4134" t="s">
        <v>840</v>
      </c>
      <c r="AC125" s="4134"/>
      <c r="AD125" s="4134"/>
      <c r="AE125" s="4134"/>
      <c r="AF125" s="4134"/>
      <c r="AG125" s="4134"/>
      <c r="AH125" s="4134"/>
      <c r="AI125" s="4134"/>
      <c r="AJ125" s="1991"/>
      <c r="AK125" s="915"/>
      <c r="AL125" s="4256" t="str" cm="1">
        <f t="array" ref="AL125">_xlfn.IFS(AND(BC123&lt;&gt;0,AM123&gt;=BC123),"objective complete",AND(AY123&lt;&gt;0,AN120&gt;=AY123),"month complete",TRUE,"")</f>
        <v/>
      </c>
      <c r="AM125" s="4257"/>
      <c r="AN125" s="4257"/>
      <c r="AO125" s="4257"/>
      <c r="AP125" s="4258"/>
      <c r="AQ125" s="915"/>
      <c r="AR125" s="915"/>
      <c r="AS125" s="1655"/>
      <c r="AT125" s="1655"/>
      <c r="AU125" s="2160">
        <f>SUM(AI145:AS145)</f>
        <v>0</v>
      </c>
      <c r="AV125" s="1655"/>
      <c r="AW125" s="21"/>
      <c r="AX125" s="1655"/>
      <c r="AY125" s="2160">
        <f>SUM(BB129:BB141)</f>
        <v>0</v>
      </c>
      <c r="AZ125" s="1655"/>
      <c r="BA125" s="1655"/>
      <c r="BB125" s="1655"/>
      <c r="BC125" s="2161">
        <v>0</v>
      </c>
      <c r="BD125" s="915"/>
      <c r="BF125" s="1647"/>
      <c r="BP125" s="417"/>
      <c r="BQ125" s="4137"/>
      <c r="BR125" s="4137"/>
      <c r="BS125" s="4137"/>
      <c r="BT125" s="4137"/>
      <c r="BU125" s="4137"/>
      <c r="BV125" s="4137"/>
      <c r="BW125" s="4137"/>
      <c r="BX125" s="339"/>
      <c r="BY125" s="443" t="str">
        <f t="shared" si="53"/>
        <v/>
      </c>
      <c r="BZ125" s="410"/>
      <c r="CB125" s="1664"/>
      <c r="CC125" s="2159"/>
    </row>
    <row r="126" spans="2:81" ht="17.100000000000001" customHeight="1" x14ac:dyDescent="0.2">
      <c r="B126" s="417"/>
      <c r="C126" s="4137"/>
      <c r="D126" s="4137"/>
      <c r="E126" s="4137"/>
      <c r="F126" s="4137"/>
      <c r="G126" s="4137"/>
      <c r="H126" s="4137"/>
      <c r="I126" s="4137"/>
      <c r="J126" s="339"/>
      <c r="K126" s="443" t="str">
        <f t="shared" si="51"/>
        <v/>
      </c>
      <c r="L126" s="410"/>
      <c r="V126" s="1467"/>
      <c r="X126" s="1656"/>
      <c r="Y126" s="1649"/>
      <c r="Z126" s="2101"/>
      <c r="AA126" s="2101"/>
      <c r="AB126" s="2101"/>
      <c r="AC126" s="2101"/>
      <c r="AD126" s="2101"/>
      <c r="AE126" s="2101"/>
      <c r="AF126" s="2101"/>
      <c r="AG126" s="2101"/>
      <c r="AH126" s="2101"/>
      <c r="AI126" s="717"/>
      <c r="AJ126" s="717"/>
      <c r="AK126" s="717"/>
      <c r="AL126" s="717"/>
      <c r="AM126" s="2031"/>
      <c r="AN126" s="2005" t="e">
        <f ca="1">_xlfn.XLOOKUP($P$1,AI144:AS144,AI145:AS145)</f>
        <v>#N/A</v>
      </c>
      <c r="AO126" s="1654">
        <f>COUNTA(Z129,Z131,Z133)</f>
        <v>1</v>
      </c>
      <c r="AP126" s="717"/>
      <c r="AQ126" s="717"/>
      <c r="AR126" s="717"/>
      <c r="AS126" s="717"/>
      <c r="AT126" s="21"/>
      <c r="AU126" s="915"/>
      <c r="AV126" s="915"/>
      <c r="AW126" s="915"/>
      <c r="AX126" s="915"/>
      <c r="AY126" s="915"/>
      <c r="AZ126" s="915"/>
      <c r="BA126" s="915"/>
      <c r="BB126" s="915"/>
      <c r="BC126" s="915"/>
      <c r="BD126" s="915"/>
      <c r="BF126" s="1647"/>
      <c r="BP126" s="417"/>
      <c r="BQ126" s="4137"/>
      <c r="BR126" s="4137"/>
      <c r="BS126" s="4137"/>
      <c r="BT126" s="4137"/>
      <c r="BU126" s="4137"/>
      <c r="BV126" s="4137"/>
      <c r="BW126" s="4137"/>
      <c r="BX126" s="339"/>
      <c r="BY126" s="443" t="str">
        <f t="shared" si="53"/>
        <v/>
      </c>
      <c r="BZ126" s="410"/>
      <c r="CB126" s="1664"/>
      <c r="CC126" s="2159"/>
    </row>
    <row r="127" spans="2:81" ht="17.100000000000001" customHeight="1" x14ac:dyDescent="0.25">
      <c r="B127" s="417"/>
      <c r="C127" s="4137"/>
      <c r="D127" s="4137"/>
      <c r="E127" s="4137"/>
      <c r="F127" s="4137"/>
      <c r="G127" s="4137"/>
      <c r="H127" s="4137"/>
      <c r="I127" s="4137"/>
      <c r="J127" s="339"/>
      <c r="K127" s="443" t="str">
        <f t="shared" si="51"/>
        <v/>
      </c>
      <c r="L127" s="410"/>
      <c r="V127" s="1467"/>
      <c r="X127" s="1657"/>
      <c r="Y127" s="915"/>
      <c r="Z127" s="2020"/>
      <c r="AA127" s="2020"/>
      <c r="AB127" s="2020"/>
      <c r="AC127" s="2020"/>
      <c r="AD127" s="2020"/>
      <c r="AE127" s="2020"/>
      <c r="AF127" s="2020"/>
      <c r="AG127" s="28"/>
      <c r="AH127" s="2020"/>
      <c r="AI127" s="2020"/>
      <c r="AJ127" s="2020"/>
      <c r="AK127" s="2020"/>
      <c r="AL127" s="2020"/>
      <c r="AM127" s="2020"/>
      <c r="AN127" s="2064" t="str">
        <f>IF(AF119="","",'^'!$BS$49)</f>
        <v/>
      </c>
      <c r="AO127" s="2020"/>
      <c r="AP127" s="2020"/>
      <c r="AQ127" s="2020"/>
      <c r="AR127" s="2020"/>
      <c r="AS127" s="2020"/>
      <c r="AT127" s="2020"/>
      <c r="AU127" s="2020"/>
      <c r="AV127" s="2020"/>
      <c r="AW127" s="2020"/>
      <c r="AX127" s="2020"/>
      <c r="AY127" s="2020"/>
      <c r="AZ127" s="2020"/>
      <c r="BA127" s="2020"/>
      <c r="BB127" s="2020"/>
      <c r="BC127" s="2020"/>
      <c r="BD127" s="915"/>
      <c r="BF127" s="1647"/>
      <c r="BP127" s="417"/>
      <c r="BQ127" s="4137"/>
      <c r="BR127" s="4137"/>
      <c r="BS127" s="4137"/>
      <c r="BT127" s="4137"/>
      <c r="BU127" s="4137"/>
      <c r="BV127" s="4137"/>
      <c r="BW127" s="4137"/>
      <c r="BX127" s="339"/>
      <c r="BY127" s="443" t="str">
        <f t="shared" si="53"/>
        <v/>
      </c>
      <c r="BZ127" s="410"/>
      <c r="CB127" s="1664"/>
      <c r="CC127" s="2159"/>
    </row>
    <row r="128" spans="2:81" ht="17.100000000000001" customHeight="1" x14ac:dyDescent="0.2">
      <c r="B128" s="417"/>
      <c r="C128" s="4137"/>
      <c r="D128" s="4137"/>
      <c r="E128" s="4137"/>
      <c r="F128" s="4137"/>
      <c r="G128" s="4137"/>
      <c r="H128" s="4137"/>
      <c r="I128" s="4137"/>
      <c r="J128" s="339"/>
      <c r="K128" s="443" t="str">
        <f t="shared" si="51"/>
        <v/>
      </c>
      <c r="L128" s="410"/>
      <c r="V128" s="1467"/>
      <c r="X128" s="1657"/>
      <c r="Y128" s="2026"/>
      <c r="Z128" s="2499" t="str">
        <f>IF(AND(Z129="",$AF$119&lt;&gt;""),"Enter commitment below","")</f>
        <v/>
      </c>
      <c r="AA128" s="1659"/>
      <c r="AB128" s="1659"/>
      <c r="AC128" s="1659"/>
      <c r="AD128" s="1659"/>
      <c r="AE128" s="1659"/>
      <c r="AF128" s="1659"/>
      <c r="AG128" s="2033" t="str">
        <f>IF(AF119="","",LEFT(AN127,1)&amp;LOWER(MID(AN127,2,LEN(AN127)-1))&amp;"'s commitments")</f>
        <v/>
      </c>
      <c r="AH128" s="1659"/>
      <c r="AI128" s="1659"/>
      <c r="AJ128" s="1659"/>
      <c r="AK128" s="1659"/>
      <c r="AL128" s="1659"/>
      <c r="AM128" s="1659"/>
      <c r="AN128" s="2021"/>
      <c r="AO128" s="1659"/>
      <c r="AP128" s="1659"/>
      <c r="AQ128" s="1659"/>
      <c r="AR128" s="1659"/>
      <c r="AS128" s="1659"/>
      <c r="AT128" s="1659"/>
      <c r="AU128" s="1659"/>
      <c r="AV128" s="1659"/>
      <c r="AW128" s="1659"/>
      <c r="AX128" s="1659"/>
      <c r="AY128" s="1659"/>
      <c r="AZ128" s="1659"/>
      <c r="BA128" s="1659"/>
      <c r="BB128" s="1659"/>
      <c r="BC128" s="2022"/>
      <c r="BD128" s="915"/>
      <c r="BF128" s="1647"/>
      <c r="BP128" s="417"/>
      <c r="BQ128" s="4137"/>
      <c r="BR128" s="4137"/>
      <c r="BS128" s="4137"/>
      <c r="BT128" s="4137"/>
      <c r="BU128" s="4137"/>
      <c r="BV128" s="4137"/>
      <c r="BW128" s="4137"/>
      <c r="BX128" s="339"/>
      <c r="BY128" s="443" t="str">
        <f t="shared" si="53"/>
        <v/>
      </c>
      <c r="BZ128" s="410"/>
      <c r="CB128" s="1664"/>
      <c r="CC128" s="2159"/>
    </row>
    <row r="129" spans="2:81" ht="17.100000000000001" customHeight="1" x14ac:dyDescent="0.15">
      <c r="B129" s="417"/>
      <c r="C129" s="4137"/>
      <c r="D129" s="4137"/>
      <c r="E129" s="4137"/>
      <c r="F129" s="4137"/>
      <c r="G129" s="4137"/>
      <c r="H129" s="4137"/>
      <c r="I129" s="4137"/>
      <c r="J129" s="339"/>
      <c r="K129" s="443" t="str">
        <f t="shared" si="51"/>
        <v/>
      </c>
      <c r="L129" s="410"/>
      <c r="V129" s="1467"/>
      <c r="X129" s="21"/>
      <c r="Y129" s="2051"/>
      <c r="Z129" s="4134" t="s">
        <v>2350</v>
      </c>
      <c r="AA129" s="4134"/>
      <c r="AB129" s="4134"/>
      <c r="AC129" s="4134"/>
      <c r="AD129" s="4134"/>
      <c r="AE129" s="4134"/>
      <c r="AF129" s="4134"/>
      <c r="AG129" s="4134"/>
      <c r="AH129" s="2035"/>
      <c r="AI129" s="338"/>
      <c r="AJ129" s="21"/>
      <c r="AK129" s="338"/>
      <c r="AL129" s="2035"/>
      <c r="AM129" s="338"/>
      <c r="AN129" s="21"/>
      <c r="AO129" s="338"/>
      <c r="AP129" s="2035"/>
      <c r="AQ129" s="338"/>
      <c r="AR129" s="21"/>
      <c r="AS129" s="338"/>
      <c r="AT129" s="2035"/>
      <c r="AU129" s="2050"/>
      <c r="AV129" s="2050"/>
      <c r="AW129" s="2065"/>
      <c r="AX129" s="2065"/>
      <c r="AY129" s="2065"/>
      <c r="AZ129" s="2065"/>
      <c r="BA129" s="1998" t="str">
        <f>IF($AO$126&lt;=1,"commitment total","1st commitment total")</f>
        <v>commitment total</v>
      </c>
      <c r="BB129" s="1998">
        <f>SUM(AI129:AS129)</f>
        <v>0</v>
      </c>
      <c r="BC129" s="1647"/>
      <c r="BD129" s="915"/>
      <c r="BF129" s="1647"/>
      <c r="BP129" s="417"/>
      <c r="BQ129" s="4137"/>
      <c r="BR129" s="4137"/>
      <c r="BS129" s="4137"/>
      <c r="BT129" s="4137"/>
      <c r="BU129" s="4137"/>
      <c r="BV129" s="4137"/>
      <c r="BW129" s="4137"/>
      <c r="BX129" s="339"/>
      <c r="BY129" s="443" t="str">
        <f t="shared" si="53"/>
        <v/>
      </c>
      <c r="BZ129" s="2158"/>
      <c r="CB129" s="1664"/>
      <c r="CC129" s="2159"/>
    </row>
    <row r="130" spans="2:81" ht="17.100000000000001" customHeight="1" x14ac:dyDescent="0.15">
      <c r="B130" s="417"/>
      <c r="C130" s="4137"/>
      <c r="D130" s="4137"/>
      <c r="E130" s="4137"/>
      <c r="F130" s="4137"/>
      <c r="G130" s="4137"/>
      <c r="H130" s="4137"/>
      <c r="I130" s="4137"/>
      <c r="J130" s="339"/>
      <c r="K130" s="443" t="str">
        <f t="shared" si="51"/>
        <v/>
      </c>
      <c r="L130" s="410"/>
      <c r="V130" s="1467"/>
      <c r="X130" s="21"/>
      <c r="Y130" s="2051"/>
      <c r="AH130" s="2035"/>
      <c r="AI130" s="2035"/>
      <c r="AJ130" s="2035"/>
      <c r="AK130" s="2035"/>
      <c r="AL130" s="2035"/>
      <c r="AM130" s="2035"/>
      <c r="AN130" s="2035"/>
      <c r="AO130" s="2035"/>
      <c r="AP130" s="2035"/>
      <c r="AQ130" s="2035"/>
      <c r="AR130" s="2035"/>
      <c r="AS130" s="2035"/>
      <c r="AT130" s="2035"/>
      <c r="AU130" s="2034"/>
      <c r="AV130" s="2034"/>
      <c r="AW130" s="2052"/>
      <c r="AX130" s="2052"/>
      <c r="AY130" s="2052"/>
      <c r="AZ130" s="2052"/>
      <c r="BA130" s="1998"/>
      <c r="BB130" s="1998"/>
      <c r="BC130" s="1647"/>
      <c r="BD130" s="915"/>
      <c r="BF130" s="1647"/>
      <c r="BP130" s="417"/>
      <c r="BQ130" s="4137"/>
      <c r="BR130" s="4137"/>
      <c r="BS130" s="4137"/>
      <c r="BT130" s="4137"/>
      <c r="BU130" s="4137"/>
      <c r="BV130" s="4137"/>
      <c r="BW130" s="4137"/>
      <c r="BX130" s="339"/>
      <c r="BY130" s="443" t="str">
        <f t="shared" si="53"/>
        <v/>
      </c>
      <c r="BZ130" s="410"/>
      <c r="CB130" s="1664"/>
      <c r="CC130" s="2159"/>
    </row>
    <row r="131" spans="2:81" ht="17.100000000000001" customHeight="1" x14ac:dyDescent="0.15">
      <c r="B131" s="417"/>
      <c r="C131" s="4137"/>
      <c r="D131" s="4137"/>
      <c r="E131" s="4137"/>
      <c r="F131" s="4137"/>
      <c r="G131" s="4137"/>
      <c r="H131" s="4137"/>
      <c r="I131" s="4137"/>
      <c r="J131" s="339"/>
      <c r="K131" s="443" t="str">
        <f t="shared" si="51"/>
        <v/>
      </c>
      <c r="L131" s="410"/>
      <c r="V131" s="1467"/>
      <c r="X131" s="21"/>
      <c r="Y131" s="2051"/>
      <c r="Z131" s="4134"/>
      <c r="AA131" s="4134"/>
      <c r="AB131" s="4134"/>
      <c r="AC131" s="4134"/>
      <c r="AD131" s="4134"/>
      <c r="AE131" s="4134"/>
      <c r="AF131" s="4134"/>
      <c r="AG131" s="4134"/>
      <c r="AH131" s="2035"/>
      <c r="AI131" s="338"/>
      <c r="AJ131" s="21"/>
      <c r="AK131" s="338"/>
      <c r="AL131" s="2035"/>
      <c r="AM131" s="338"/>
      <c r="AN131" s="21"/>
      <c r="AO131" s="338"/>
      <c r="AP131" s="2035"/>
      <c r="AQ131" s="338"/>
      <c r="AR131" s="21"/>
      <c r="AS131" s="338"/>
      <c r="AT131" s="2035"/>
      <c r="AU131" s="2050"/>
      <c r="AV131" s="2050"/>
      <c r="AW131" s="2065"/>
      <c r="AX131" s="2065"/>
      <c r="AY131" s="2065"/>
      <c r="AZ131" s="2065"/>
      <c r="BA131" s="1998" t="str">
        <f>IF(Z131="","","2nd commitment total")</f>
        <v/>
      </c>
      <c r="BB131" s="1998">
        <f>SUM(AI131:AS131)</f>
        <v>0</v>
      </c>
      <c r="BC131" s="1647"/>
      <c r="BD131" s="21"/>
      <c r="BF131" s="1647"/>
      <c r="BP131" s="417"/>
      <c r="BQ131" s="4137"/>
      <c r="BR131" s="4137"/>
      <c r="BS131" s="4137"/>
      <c r="BT131" s="4137"/>
      <c r="BU131" s="4137"/>
      <c r="BV131" s="4137"/>
      <c r="BW131" s="4137"/>
      <c r="BX131" s="339"/>
      <c r="BY131" s="443" t="str">
        <f t="shared" si="53"/>
        <v/>
      </c>
      <c r="BZ131" s="410"/>
      <c r="CB131" s="1664"/>
      <c r="CC131" s="2159"/>
    </row>
    <row r="132" spans="2:81" ht="17.100000000000001" customHeight="1" x14ac:dyDescent="0.15">
      <c r="B132" s="417"/>
      <c r="C132" s="4137"/>
      <c r="D132" s="4137"/>
      <c r="E132" s="4137"/>
      <c r="F132" s="4137"/>
      <c r="G132" s="4137"/>
      <c r="H132" s="4137"/>
      <c r="I132" s="4137"/>
      <c r="J132" s="339"/>
      <c r="K132" s="443" t="str">
        <f t="shared" si="51"/>
        <v/>
      </c>
      <c r="L132" s="410"/>
      <c r="V132" s="1467"/>
      <c r="X132" s="21"/>
      <c r="Y132" s="2051"/>
      <c r="Z132" s="2052"/>
      <c r="AA132" s="2052"/>
      <c r="AB132" s="2052"/>
      <c r="AC132" s="2052"/>
      <c r="AD132" s="2052"/>
      <c r="AE132" s="2052"/>
      <c r="AF132" s="2052"/>
      <c r="AG132" s="2052"/>
      <c r="AH132" s="2035"/>
      <c r="AI132" s="2035"/>
      <c r="AJ132" s="2035"/>
      <c r="AK132" s="2035"/>
      <c r="AL132" s="2035"/>
      <c r="AM132" s="2035"/>
      <c r="AN132" s="2035"/>
      <c r="AO132" s="2035"/>
      <c r="AP132" s="2035"/>
      <c r="AQ132" s="2035"/>
      <c r="AR132" s="2035"/>
      <c r="AS132" s="2035"/>
      <c r="AT132" s="2035"/>
      <c r="AU132" s="2035"/>
      <c r="AV132" s="2034"/>
      <c r="AW132" s="2052"/>
      <c r="AX132" s="2052"/>
      <c r="AY132" s="2052"/>
      <c r="AZ132" s="2052"/>
      <c r="BA132" s="1998"/>
      <c r="BB132" s="1998"/>
      <c r="BC132" s="1647"/>
      <c r="BD132" s="21"/>
      <c r="BF132" s="1647"/>
      <c r="BP132" s="417"/>
      <c r="BQ132" s="4137"/>
      <c r="BR132" s="4137"/>
      <c r="BS132" s="4137"/>
      <c r="BT132" s="4137"/>
      <c r="BU132" s="4137"/>
      <c r="BV132" s="4137"/>
      <c r="BW132" s="4137"/>
      <c r="BX132" s="339"/>
      <c r="BY132" s="443" t="str">
        <f t="shared" si="53"/>
        <v/>
      </c>
      <c r="BZ132" s="410"/>
      <c r="CB132" s="1664"/>
      <c r="CC132" s="1664"/>
    </row>
    <row r="133" spans="2:81" ht="17.100000000000001" customHeight="1" x14ac:dyDescent="0.15">
      <c r="B133" s="417"/>
      <c r="C133" s="4137"/>
      <c r="D133" s="4137"/>
      <c r="E133" s="4137"/>
      <c r="F133" s="4137"/>
      <c r="G133" s="4137"/>
      <c r="H133" s="4137"/>
      <c r="I133" s="4137"/>
      <c r="J133" s="339"/>
      <c r="K133" s="443" t="str">
        <f t="shared" si="51"/>
        <v/>
      </c>
      <c r="L133" s="410"/>
      <c r="V133" s="1467"/>
      <c r="X133" s="21"/>
      <c r="Y133" s="2051"/>
      <c r="Z133" s="4134"/>
      <c r="AA133" s="4134"/>
      <c r="AB133" s="4134"/>
      <c r="AC133" s="4134"/>
      <c r="AD133" s="4134"/>
      <c r="AE133" s="4134"/>
      <c r="AF133" s="4134"/>
      <c r="AG133" s="4134"/>
      <c r="AH133" s="2035"/>
      <c r="AI133" s="338"/>
      <c r="AJ133" s="21"/>
      <c r="AK133" s="338"/>
      <c r="AL133" s="2035"/>
      <c r="AM133" s="338"/>
      <c r="AN133" s="21"/>
      <c r="AO133" s="338"/>
      <c r="AP133" s="2035"/>
      <c r="AQ133" s="338"/>
      <c r="AR133" s="21"/>
      <c r="AS133" s="338"/>
      <c r="AT133" s="2035"/>
      <c r="AU133" s="2050"/>
      <c r="AV133" s="2050"/>
      <c r="AW133" s="2065"/>
      <c r="AX133" s="2065"/>
      <c r="AY133" s="2065"/>
      <c r="AZ133" s="2065"/>
      <c r="BA133" s="1998" t="str">
        <f>IF(Z133="","","3rd commitment total")</f>
        <v/>
      </c>
      <c r="BB133" s="1998">
        <f>SUM(AI133:AS133)</f>
        <v>0</v>
      </c>
      <c r="BC133" s="1647"/>
      <c r="BD133" s="21"/>
      <c r="BF133" s="1647"/>
      <c r="BP133" s="417"/>
      <c r="BQ133" s="4137"/>
      <c r="BR133" s="4137"/>
      <c r="BS133" s="4137"/>
      <c r="BT133" s="4137"/>
      <c r="BU133" s="4137"/>
      <c r="BV133" s="4137"/>
      <c r="BW133" s="4137"/>
      <c r="BX133" s="339"/>
      <c r="BY133" s="443" t="str">
        <f t="shared" si="53"/>
        <v/>
      </c>
      <c r="BZ133" s="410"/>
      <c r="CB133" s="1664"/>
    </row>
    <row r="134" spans="2:81" ht="17.100000000000001" customHeight="1" x14ac:dyDescent="0.15">
      <c r="B134" s="417"/>
      <c r="C134" s="4137"/>
      <c r="D134" s="4137"/>
      <c r="E134" s="4137"/>
      <c r="F134" s="4137"/>
      <c r="G134" s="4137"/>
      <c r="H134" s="4137"/>
      <c r="I134" s="4137"/>
      <c r="J134" s="339"/>
      <c r="K134" s="443" t="str">
        <f t="shared" si="51"/>
        <v/>
      </c>
      <c r="L134" s="410"/>
      <c r="V134" s="1467"/>
      <c r="X134" s="21"/>
      <c r="Y134" s="2053"/>
      <c r="Z134" s="2054"/>
      <c r="AA134" s="2054"/>
      <c r="AB134" s="2054"/>
      <c r="AC134" s="2054"/>
      <c r="AD134" s="2054"/>
      <c r="AE134" s="2054"/>
      <c r="AF134" s="2054"/>
      <c r="AG134" s="2054"/>
      <c r="AH134" s="2055"/>
      <c r="AI134" s="1694">
        <f>SUM(AI129,AI131,AI133)</f>
        <v>0</v>
      </c>
      <c r="AJ134" s="2116"/>
      <c r="AK134" s="1694">
        <f t="shared" ref="AK134" si="54">SUM(AK129,AK131,AK133)</f>
        <v>0</v>
      </c>
      <c r="AL134" s="2116"/>
      <c r="AM134" s="1694">
        <f t="shared" ref="AM134" si="55">SUM(AM129,AM131,AM133)</f>
        <v>0</v>
      </c>
      <c r="AN134" s="2116"/>
      <c r="AO134" s="1694">
        <f t="shared" ref="AO134" si="56">SUM(AO129,AO131,AO133)</f>
        <v>0</v>
      </c>
      <c r="AP134" s="2116"/>
      <c r="AQ134" s="1694">
        <f t="shared" ref="AQ134" si="57">SUM(AQ129,AQ131,AQ133)</f>
        <v>0</v>
      </c>
      <c r="AR134" s="2116"/>
      <c r="AS134" s="1694">
        <f t="shared" ref="AS134" si="58">SUM(AS129,AS131,AS133)</f>
        <v>0</v>
      </c>
      <c r="AT134" s="2055"/>
      <c r="AU134" s="2024"/>
      <c r="AV134" s="2024"/>
      <c r="AW134" s="2023"/>
      <c r="AX134" s="2055"/>
      <c r="AY134" s="2024"/>
      <c r="AZ134" s="2024"/>
      <c r="BA134" s="2023"/>
      <c r="BB134" s="2056"/>
      <c r="BC134" s="2025"/>
      <c r="BD134" s="21"/>
      <c r="BF134" s="1647"/>
      <c r="BP134" s="417"/>
      <c r="BQ134" s="4137"/>
      <c r="BR134" s="4137"/>
      <c r="BS134" s="4137"/>
      <c r="BT134" s="4137"/>
      <c r="BU134" s="4137"/>
      <c r="BV134" s="4137"/>
      <c r="BW134" s="4137"/>
      <c r="BX134" s="339"/>
      <c r="BY134" s="443" t="str">
        <f t="shared" si="53"/>
        <v/>
      </c>
      <c r="BZ134" s="410"/>
    </row>
    <row r="135" spans="2:81" ht="17.100000000000001" customHeight="1" x14ac:dyDescent="0.15">
      <c r="B135" s="417"/>
      <c r="C135" s="4137"/>
      <c r="D135" s="4137"/>
      <c r="E135" s="4137"/>
      <c r="F135" s="4137"/>
      <c r="G135" s="4137"/>
      <c r="H135" s="4137"/>
      <c r="I135" s="4137"/>
      <c r="J135" s="339"/>
      <c r="K135" s="443" t="str">
        <f t="shared" si="51"/>
        <v/>
      </c>
      <c r="L135" s="410"/>
      <c r="V135" s="1467"/>
      <c r="X135" s="21"/>
      <c r="Y135" s="21"/>
      <c r="Z135" s="2058" t="s">
        <v>1252</v>
      </c>
      <c r="AA135" s="2042"/>
      <c r="AB135" s="2043"/>
      <c r="AC135" s="2044"/>
      <c r="AD135" s="2044"/>
      <c r="AE135" s="2044"/>
      <c r="AF135" s="2045" t="s">
        <v>1115</v>
      </c>
      <c r="AG135" s="2046">
        <f ca="1">VALUE(RIGHT(MISSIONS!$AP$2,1))</f>
        <v>0</v>
      </c>
      <c r="AH135" s="2019"/>
      <c r="AI135" s="2008" t="e">
        <f>PLANS!$W$4&amp;" - "&amp;PLANS!$BY$4</f>
        <v>#VALUE!</v>
      </c>
      <c r="AJ135" s="2047"/>
      <c r="AK135" s="2008" t="e">
        <f>PLANS!$W$10&amp;" - "&amp;PLANS!$BY$10</f>
        <v>#VALUE!</v>
      </c>
      <c r="AL135" s="2008"/>
      <c r="AM135" s="2008" t="e">
        <f>PLANS!$W$16&amp;" - "&amp;PLANS!$BY$16</f>
        <v>#VALUE!</v>
      </c>
      <c r="AN135" s="2047"/>
      <c r="AO135" s="2008" t="e">
        <f>PLANS!$W$22&amp;" - "&amp;PLANS!$BY$22</f>
        <v>#VALUE!</v>
      </c>
      <c r="AP135" s="2008"/>
      <c r="AQ135" s="2008" t="e">
        <f>PLANS!$W$28&amp;" - "&amp;PLANS!$BY$28</f>
        <v>#VALUE!</v>
      </c>
      <c r="AR135" s="2047"/>
      <c r="AS135" s="2008" t="e">
        <f>PLANS!$W$34&amp;" - "&amp;PLANS!$BY$34</f>
        <v>#VALUE!</v>
      </c>
      <c r="AT135" s="1550"/>
      <c r="AU135" s="2039" t="e">
        <f>PLANS!$W$34</f>
        <v>#VALUE!</v>
      </c>
      <c r="AV135" s="2040" t="str">
        <f>PLANS!$BY$34</f>
        <v/>
      </c>
      <c r="AW135" s="1550">
        <f>IF(AV135&gt;=7,1,0)</f>
        <v>1</v>
      </c>
      <c r="AX135" s="155"/>
      <c r="AY135" s="155"/>
      <c r="AZ135" s="21"/>
      <c r="BA135" s="2252"/>
      <c r="BB135" s="2251"/>
      <c r="BC135" s="2019"/>
      <c r="BD135" s="2019"/>
      <c r="BF135" s="1647"/>
      <c r="BP135" s="417"/>
      <c r="BQ135" s="4137"/>
      <c r="BR135" s="4137"/>
      <c r="BS135" s="4137"/>
      <c r="BT135" s="4137"/>
      <c r="BU135" s="4137"/>
      <c r="BV135" s="4137"/>
      <c r="BW135" s="4137"/>
      <c r="BX135" s="339"/>
      <c r="BY135" s="443" t="str">
        <f t="shared" si="53"/>
        <v/>
      </c>
      <c r="BZ135" s="410"/>
    </row>
    <row r="136" spans="2:81" ht="17.100000000000001" customHeight="1" x14ac:dyDescent="0.2">
      <c r="B136" s="417"/>
      <c r="C136" s="4137"/>
      <c r="D136" s="4137"/>
      <c r="E136" s="4137"/>
      <c r="F136" s="4137"/>
      <c r="G136" s="4137"/>
      <c r="H136" s="4137"/>
      <c r="I136" s="4137"/>
      <c r="J136" s="339"/>
      <c r="K136" s="443" t="str">
        <f t="shared" si="51"/>
        <v/>
      </c>
      <c r="L136" s="410"/>
      <c r="V136" s="1467"/>
      <c r="X136" s="21"/>
      <c r="Y136" s="2026"/>
      <c r="Z136" s="2500" t="str">
        <f>IF(AND(Z137="",$AF$119&lt;&gt;""),"Enter commitment below","")</f>
        <v/>
      </c>
      <c r="AA136" s="2027"/>
      <c r="AB136" s="2028"/>
      <c r="AC136" s="2027"/>
      <c r="AD136" s="2027"/>
      <c r="AE136" s="2027"/>
      <c r="AF136" s="2027"/>
      <c r="AG136" s="2029"/>
      <c r="AH136" s="2030"/>
      <c r="AI136" s="2031"/>
      <c r="AJ136" s="2032"/>
      <c r="AK136" s="2031"/>
      <c r="AL136" s="2031"/>
      <c r="AM136" s="2031"/>
      <c r="AN136" s="2032"/>
      <c r="AO136" s="2031"/>
      <c r="AP136" s="2031"/>
      <c r="AQ136" s="2031"/>
      <c r="AR136" s="2032"/>
      <c r="AS136" s="2031"/>
      <c r="AT136" s="2031"/>
      <c r="AU136" s="2031"/>
      <c r="AV136" s="2027"/>
      <c r="AW136" s="2027"/>
      <c r="AX136" s="2031"/>
      <c r="AY136" s="2031"/>
      <c r="AZ136" s="2027"/>
      <c r="BA136" s="2027"/>
      <c r="BB136" s="2036"/>
      <c r="BC136" s="2022"/>
      <c r="BD136" s="2019"/>
      <c r="BF136" s="1647"/>
      <c r="BP136" s="417"/>
      <c r="BQ136" s="4137"/>
      <c r="BR136" s="4137"/>
      <c r="BS136" s="4137"/>
      <c r="BT136" s="4137"/>
      <c r="BU136" s="4137"/>
      <c r="BV136" s="4137"/>
      <c r="BW136" s="4137"/>
      <c r="BX136" s="339"/>
      <c r="BY136" s="443" t="str">
        <f t="shared" si="53"/>
        <v/>
      </c>
      <c r="BZ136" s="410"/>
    </row>
    <row r="137" spans="2:81" ht="17.100000000000001" customHeight="1" x14ac:dyDescent="0.15">
      <c r="B137" s="417"/>
      <c r="C137" s="4137"/>
      <c r="D137" s="4137"/>
      <c r="E137" s="4137"/>
      <c r="F137" s="4137"/>
      <c r="G137" s="4137"/>
      <c r="H137" s="4137"/>
      <c r="I137" s="4137"/>
      <c r="J137" s="339"/>
      <c r="K137" s="443" t="str">
        <f t="shared" si="51"/>
        <v/>
      </c>
      <c r="L137" s="410"/>
      <c r="V137" s="1467"/>
      <c r="X137" s="21"/>
      <c r="Y137" s="2057"/>
      <c r="Z137" s="4145" t="s">
        <v>2350</v>
      </c>
      <c r="AA137" s="4145"/>
      <c r="AB137" s="4145"/>
      <c r="AC137" s="4145"/>
      <c r="AD137" s="4145"/>
      <c r="AE137" s="4145"/>
      <c r="AF137" s="4145"/>
      <c r="AG137" s="4145"/>
      <c r="AH137" s="2035"/>
      <c r="AI137" s="338"/>
      <c r="AJ137" s="21"/>
      <c r="AK137" s="338"/>
      <c r="AL137" s="2035"/>
      <c r="AM137" s="338"/>
      <c r="AN137" s="21"/>
      <c r="AO137" s="338"/>
      <c r="AP137" s="2035"/>
      <c r="AQ137" s="338"/>
      <c r="AR137" s="21"/>
      <c r="AS137" s="338"/>
      <c r="AT137" s="21"/>
      <c r="AU137" s="2050"/>
      <c r="AV137" s="2050"/>
      <c r="AW137" s="2115"/>
      <c r="AX137" s="2115"/>
      <c r="AY137" s="2115"/>
      <c r="AZ137" s="2115"/>
      <c r="BA137" s="1999" t="str">
        <f>IF($AO$126&lt;=1,"commitment total","1st commitment total")</f>
        <v>commitment total</v>
      </c>
      <c r="BB137" s="1999">
        <f>SUM(AI137:AS137)</f>
        <v>0</v>
      </c>
      <c r="BC137" s="1647"/>
      <c r="BD137" s="21"/>
      <c r="BF137" s="1647"/>
      <c r="BP137" s="417"/>
      <c r="BQ137" s="4137"/>
      <c r="BR137" s="4137"/>
      <c r="BS137" s="4137"/>
      <c r="BT137" s="4137"/>
      <c r="BU137" s="4137"/>
      <c r="BV137" s="4137"/>
      <c r="BW137" s="4137"/>
      <c r="BX137" s="339"/>
      <c r="BY137" s="443" t="str">
        <f t="shared" si="53"/>
        <v/>
      </c>
      <c r="BZ137" s="410"/>
    </row>
    <row r="138" spans="2:81" ht="17.100000000000001" customHeight="1" x14ac:dyDescent="0.15">
      <c r="B138" s="417"/>
      <c r="C138" s="4137"/>
      <c r="D138" s="4137"/>
      <c r="E138" s="4137"/>
      <c r="F138" s="4137"/>
      <c r="G138" s="4137"/>
      <c r="H138" s="4137"/>
      <c r="I138" s="4137"/>
      <c r="J138" s="339"/>
      <c r="K138" s="443" t="str">
        <f t="shared" si="51"/>
        <v/>
      </c>
      <c r="L138" s="410"/>
      <c r="V138" s="1467"/>
      <c r="X138" s="21"/>
      <c r="Y138" s="2057"/>
      <c r="Z138" s="2114"/>
      <c r="AA138" s="2114"/>
      <c r="AB138" s="2114"/>
      <c r="AC138" s="2114"/>
      <c r="AD138" s="2114"/>
      <c r="AE138" s="2114"/>
      <c r="AF138" s="2114"/>
      <c r="AG138" s="2114"/>
      <c r="AH138" s="2035"/>
      <c r="AI138" s="720"/>
      <c r="AJ138" s="2035"/>
      <c r="AK138" s="720"/>
      <c r="AL138" s="2035"/>
      <c r="AM138" s="720"/>
      <c r="AN138" s="2035"/>
      <c r="AO138" s="720"/>
      <c r="AP138" s="2035"/>
      <c r="AQ138" s="720"/>
      <c r="AR138" s="2035"/>
      <c r="AS138" s="720"/>
      <c r="AT138" s="2035"/>
      <c r="AU138" s="2034"/>
      <c r="AV138" s="2034"/>
      <c r="AW138" s="2114"/>
      <c r="AX138" s="2114"/>
      <c r="AY138" s="2114"/>
      <c r="AZ138" s="2114"/>
      <c r="BA138" s="1999"/>
      <c r="BB138" s="1999"/>
      <c r="BC138" s="1647"/>
      <c r="BD138" s="21"/>
      <c r="BF138" s="1647"/>
      <c r="BP138" s="417"/>
      <c r="BQ138" s="4137"/>
      <c r="BR138" s="4137"/>
      <c r="BS138" s="4137"/>
      <c r="BT138" s="4137"/>
      <c r="BU138" s="4137"/>
      <c r="BV138" s="4137"/>
      <c r="BW138" s="4137"/>
      <c r="BX138" s="339"/>
      <c r="BY138" s="443" t="str">
        <f t="shared" si="53"/>
        <v/>
      </c>
      <c r="BZ138" s="410"/>
    </row>
    <row r="139" spans="2:81" ht="17.100000000000001" customHeight="1" x14ac:dyDescent="0.15">
      <c r="B139" s="417"/>
      <c r="C139" s="4137"/>
      <c r="D139" s="4137"/>
      <c r="E139" s="4137"/>
      <c r="F139" s="4137"/>
      <c r="G139" s="4137"/>
      <c r="H139" s="4137"/>
      <c r="I139" s="4137"/>
      <c r="J139" s="339"/>
      <c r="K139" s="443" t="str">
        <f t="shared" si="51"/>
        <v/>
      </c>
      <c r="L139" s="410"/>
      <c r="V139" s="1467"/>
      <c r="X139" s="21"/>
      <c r="Y139" s="2057"/>
      <c r="Z139" s="4145"/>
      <c r="AA139" s="4145"/>
      <c r="AB139" s="4145"/>
      <c r="AC139" s="4145"/>
      <c r="AD139" s="4145"/>
      <c r="AE139" s="4145"/>
      <c r="AF139" s="4145"/>
      <c r="AG139" s="4145"/>
      <c r="AH139" s="2035"/>
      <c r="AI139" s="338"/>
      <c r="AJ139" s="21"/>
      <c r="AK139" s="338"/>
      <c r="AL139" s="2035"/>
      <c r="AM139" s="338"/>
      <c r="AN139" s="21"/>
      <c r="AO139" s="338"/>
      <c r="AP139" s="2035"/>
      <c r="AQ139" s="338"/>
      <c r="AR139" s="21"/>
      <c r="AS139" s="338"/>
      <c r="AT139" s="21"/>
      <c r="AU139" s="2050"/>
      <c r="AV139" s="2050"/>
      <c r="AW139" s="2115"/>
      <c r="AX139" s="2115"/>
      <c r="AY139" s="2115"/>
      <c r="AZ139" s="2115"/>
      <c r="BA139" s="1999" t="str">
        <f>IF(Z139="","","2nd commitment total")</f>
        <v/>
      </c>
      <c r="BB139" s="1999">
        <f>SUM(AI139:AS139)</f>
        <v>0</v>
      </c>
      <c r="BC139" s="1647"/>
      <c r="BD139" s="21"/>
      <c r="BF139" s="1647"/>
      <c r="BP139" s="417"/>
      <c r="BQ139" s="4137"/>
      <c r="BR139" s="4137"/>
      <c r="BS139" s="4137"/>
      <c r="BT139" s="4137"/>
      <c r="BU139" s="4137"/>
      <c r="BV139" s="4137"/>
      <c r="BW139" s="4137"/>
      <c r="BX139" s="339"/>
      <c r="BY139" s="443" t="str">
        <f t="shared" si="53"/>
        <v/>
      </c>
      <c r="BZ139" s="410"/>
    </row>
    <row r="140" spans="2:81" ht="17.100000000000001" customHeight="1" x14ac:dyDescent="0.15">
      <c r="B140" s="417"/>
      <c r="C140" s="4137"/>
      <c r="D140" s="4137"/>
      <c r="E140" s="4137"/>
      <c r="F140" s="4137"/>
      <c r="G140" s="4137"/>
      <c r="H140" s="4137"/>
      <c r="I140" s="4137"/>
      <c r="J140" s="339"/>
      <c r="K140" s="443" t="str">
        <f t="shared" si="51"/>
        <v/>
      </c>
      <c r="L140" s="410"/>
      <c r="V140" s="1467"/>
      <c r="X140" s="21"/>
      <c r="Y140" s="2057"/>
      <c r="Z140" s="2114"/>
      <c r="AA140" s="2114"/>
      <c r="AB140" s="2114"/>
      <c r="AC140" s="2114"/>
      <c r="AD140" s="2114"/>
      <c r="AE140" s="2114"/>
      <c r="AF140" s="2114"/>
      <c r="AG140" s="2114"/>
      <c r="AH140" s="2035"/>
      <c r="AI140" s="720"/>
      <c r="AJ140" s="2035"/>
      <c r="AK140" s="720"/>
      <c r="AL140" s="2035"/>
      <c r="AM140" s="720"/>
      <c r="AN140" s="2035"/>
      <c r="AO140" s="720"/>
      <c r="AP140" s="2035"/>
      <c r="AQ140" s="720"/>
      <c r="AR140" s="2035"/>
      <c r="AS140" s="720"/>
      <c r="AT140" s="2035"/>
      <c r="AU140" s="2035"/>
      <c r="AV140" s="2034"/>
      <c r="AW140" s="2114"/>
      <c r="AX140" s="2114"/>
      <c r="AY140" s="2114"/>
      <c r="AZ140" s="2114"/>
      <c r="BA140" s="1999"/>
      <c r="BB140" s="1999"/>
      <c r="BC140" s="1647"/>
      <c r="BD140" s="21"/>
      <c r="BF140" s="1647"/>
      <c r="BP140" s="417"/>
      <c r="BQ140" s="4137"/>
      <c r="BR140" s="4137"/>
      <c r="BS140" s="4137"/>
      <c r="BT140" s="4137"/>
      <c r="BU140" s="4137"/>
      <c r="BV140" s="4137"/>
      <c r="BW140" s="4137"/>
      <c r="BX140" s="339"/>
      <c r="BY140" s="443" t="str">
        <f t="shared" si="53"/>
        <v/>
      </c>
      <c r="BZ140" s="410"/>
    </row>
    <row r="141" spans="2:81" ht="17.100000000000001" customHeight="1" x14ac:dyDescent="0.15">
      <c r="B141" s="417"/>
      <c r="C141" s="4137"/>
      <c r="D141" s="4137"/>
      <c r="E141" s="4137"/>
      <c r="F141" s="4137"/>
      <c r="G141" s="4137"/>
      <c r="H141" s="4137"/>
      <c r="I141" s="4137"/>
      <c r="J141" s="339"/>
      <c r="K141" s="443" t="str">
        <f t="shared" si="51"/>
        <v/>
      </c>
      <c r="L141" s="410"/>
      <c r="V141" s="1467"/>
      <c r="X141" s="21"/>
      <c r="Y141" s="2057"/>
      <c r="Z141" s="4145"/>
      <c r="AA141" s="4145"/>
      <c r="AB141" s="4145"/>
      <c r="AC141" s="4145"/>
      <c r="AD141" s="4145"/>
      <c r="AE141" s="4145"/>
      <c r="AF141" s="4145"/>
      <c r="AG141" s="4145"/>
      <c r="AH141" s="2035"/>
      <c r="AI141" s="338"/>
      <c r="AJ141" s="21"/>
      <c r="AK141" s="338"/>
      <c r="AL141" s="2035"/>
      <c r="AM141" s="338"/>
      <c r="AN141" s="21"/>
      <c r="AO141" s="338"/>
      <c r="AP141" s="2035"/>
      <c r="AQ141" s="338"/>
      <c r="AR141" s="21"/>
      <c r="AS141" s="338"/>
      <c r="AT141" s="21"/>
      <c r="AU141" s="2050"/>
      <c r="AV141" s="2050"/>
      <c r="AW141" s="2115"/>
      <c r="AX141" s="2115"/>
      <c r="AY141" s="2115"/>
      <c r="AZ141" s="2115"/>
      <c r="BA141" s="1999" t="str">
        <f>IF(Z141="","","3rd commitment total")</f>
        <v/>
      </c>
      <c r="BB141" s="1999">
        <f>SUM(AI141:AS141)</f>
        <v>0</v>
      </c>
      <c r="BC141" s="1647"/>
      <c r="BD141" s="21"/>
      <c r="BF141" s="1647"/>
      <c r="BP141" s="417"/>
      <c r="BQ141" s="4137"/>
      <c r="BR141" s="4137"/>
      <c r="BS141" s="4137"/>
      <c r="BT141" s="4137"/>
      <c r="BU141" s="4137"/>
      <c r="BV141" s="4137"/>
      <c r="BW141" s="4137"/>
      <c r="BX141" s="339"/>
      <c r="BY141" s="443" t="str">
        <f t="shared" si="53"/>
        <v/>
      </c>
      <c r="BZ141" s="410"/>
    </row>
    <row r="142" spans="2:81" ht="17.100000000000001" customHeight="1" x14ac:dyDescent="0.15">
      <c r="B142" s="417"/>
      <c r="C142" s="4137"/>
      <c r="D142" s="4137"/>
      <c r="E142" s="4137"/>
      <c r="F142" s="4137"/>
      <c r="G142" s="4137"/>
      <c r="H142" s="4137"/>
      <c r="I142" s="4137"/>
      <c r="J142" s="339"/>
      <c r="K142" s="443" t="str">
        <f t="shared" si="51"/>
        <v/>
      </c>
      <c r="L142" s="410"/>
      <c r="V142" s="1467"/>
      <c r="X142" s="21"/>
      <c r="Y142" s="2103"/>
      <c r="Z142" s="2104"/>
      <c r="AA142" s="2104"/>
      <c r="AB142" s="2104"/>
      <c r="AC142" s="2104"/>
      <c r="AD142" s="2104"/>
      <c r="AE142" s="2104"/>
      <c r="AF142" s="2104"/>
      <c r="AG142" s="2105" t="str">
        <f>IF(AF119="","",IF(AL143&lt;&gt;"",LEFT(AL143,1)&amp;LOWER(MID(AL143,2,LEN(AL143)-1))&amp;"'s commitments","Coop player's commitments"))</f>
        <v/>
      </c>
      <c r="AH142" s="2106"/>
      <c r="AI142" s="1694">
        <f>SUM(AI137,AI139,AI141)</f>
        <v>0</v>
      </c>
      <c r="AJ142" s="2116"/>
      <c r="AK142" s="1694">
        <f t="shared" ref="AK142" si="59">SUM(AK137,AK139,AK141)</f>
        <v>0</v>
      </c>
      <c r="AL142" s="2116"/>
      <c r="AM142" s="1694">
        <f t="shared" ref="AM142" si="60">SUM(AM137,AM139,AM141)</f>
        <v>0</v>
      </c>
      <c r="AN142" s="2116"/>
      <c r="AO142" s="1694">
        <f t="shared" ref="AO142" si="61">SUM(AO137,AO139,AO141)</f>
        <v>0</v>
      </c>
      <c r="AP142" s="2116"/>
      <c r="AQ142" s="1694">
        <f t="shared" ref="AQ142" si="62">SUM(AQ137,AQ139,AQ141)</f>
        <v>0</v>
      </c>
      <c r="AR142" s="2116"/>
      <c r="AS142" s="1694">
        <f t="shared" ref="AS142" si="63">SUM(AS137,AS139,AS141)</f>
        <v>0</v>
      </c>
      <c r="AT142" s="2107"/>
      <c r="AU142" s="2107"/>
      <c r="AV142" s="2107"/>
      <c r="AW142" s="2107"/>
      <c r="AX142" s="2107"/>
      <c r="AY142" s="2107"/>
      <c r="AZ142" s="2107"/>
      <c r="BA142" s="2107"/>
      <c r="BB142" s="2107"/>
      <c r="BC142" s="1653"/>
      <c r="BD142" s="21"/>
      <c r="BF142" s="1647"/>
      <c r="BP142" s="417"/>
      <c r="BQ142" s="4137"/>
      <c r="BR142" s="4137"/>
      <c r="BS142" s="4137"/>
      <c r="BT142" s="4137"/>
      <c r="BU142" s="4137"/>
      <c r="BV142" s="4137"/>
      <c r="BW142" s="4137"/>
      <c r="BX142" s="339"/>
      <c r="BY142" s="443" t="str">
        <f t="shared" si="53"/>
        <v/>
      </c>
      <c r="BZ142" s="410"/>
    </row>
    <row r="143" spans="2:81" ht="17.100000000000001" customHeight="1" x14ac:dyDescent="0.2">
      <c r="B143" s="417"/>
      <c r="C143" s="4137"/>
      <c r="D143" s="4137"/>
      <c r="E143" s="4137"/>
      <c r="F143" s="4137"/>
      <c r="G143" s="4137"/>
      <c r="H143" s="4137"/>
      <c r="I143" s="4137"/>
      <c r="J143" s="339"/>
      <c r="K143" s="443" t="str">
        <f t="shared" si="51"/>
        <v/>
      </c>
      <c r="L143" s="410"/>
      <c r="V143" s="1467"/>
      <c r="X143" s="907"/>
      <c r="Y143" s="915"/>
      <c r="Z143" s="2020"/>
      <c r="AA143" s="2020"/>
      <c r="AB143" s="2020"/>
      <c r="AC143" s="2020"/>
      <c r="AD143" s="2020"/>
      <c r="AE143" s="2020"/>
      <c r="AF143" s="2020"/>
      <c r="AG143" s="28"/>
      <c r="AH143" s="2020"/>
      <c r="AI143" s="2020"/>
      <c r="AJ143" s="2020"/>
      <c r="AK143" s="2501" t="str">
        <f>IF(AND($AL$143="",$AF$119&lt;&gt;""),"Enter coop player name here  &gt; ","")</f>
        <v/>
      </c>
      <c r="AL143" s="4146"/>
      <c r="AM143" s="4146"/>
      <c r="AN143" s="4146"/>
      <c r="AO143" s="4146"/>
      <c r="AP143" s="4146"/>
      <c r="AQ143" s="2020"/>
      <c r="AR143" s="2020"/>
      <c r="AS143" s="2020"/>
      <c r="AT143" s="2020"/>
      <c r="AU143" s="2020"/>
      <c r="AV143" s="2020"/>
      <c r="AW143" s="2020"/>
      <c r="AX143" s="2020"/>
      <c r="AY143" s="2020"/>
      <c r="AZ143" s="2020"/>
      <c r="BA143" s="2020"/>
      <c r="BB143" s="2020"/>
      <c r="BC143" s="2020"/>
      <c r="BD143" s="915"/>
      <c r="BF143" s="1647"/>
      <c r="BP143" s="417"/>
      <c r="BQ143" s="4137"/>
      <c r="BR143" s="4137"/>
      <c r="BS143" s="4137"/>
      <c r="BT143" s="4137"/>
      <c r="BU143" s="4137"/>
      <c r="BV143" s="4137"/>
      <c r="BW143" s="4137"/>
      <c r="BX143" s="339"/>
      <c r="BY143" s="443" t="str">
        <f t="shared" si="53"/>
        <v/>
      </c>
      <c r="BZ143" s="410"/>
    </row>
    <row r="144" spans="2:81" ht="17.100000000000001" customHeight="1" x14ac:dyDescent="0.15">
      <c r="B144" s="417"/>
      <c r="C144" s="4137"/>
      <c r="D144" s="4137"/>
      <c r="E144" s="4137"/>
      <c r="F144" s="4137"/>
      <c r="G144" s="4137"/>
      <c r="H144" s="4137"/>
      <c r="I144" s="4137"/>
      <c r="J144" s="339"/>
      <c r="K144" s="443" t="str">
        <f t="shared" si="51"/>
        <v/>
      </c>
      <c r="L144" s="410"/>
      <c r="V144" s="1467"/>
      <c r="X144" s="720"/>
      <c r="Y144" s="720"/>
      <c r="Z144" s="720"/>
      <c r="AA144" s="720"/>
      <c r="AB144" s="720"/>
      <c r="AC144" s="720"/>
      <c r="AD144" s="720"/>
      <c r="AE144" s="720"/>
      <c r="AF144" s="720"/>
      <c r="AG144" s="720"/>
      <c r="AH144" s="720"/>
      <c r="AI144" s="2117" t="s">
        <v>320</v>
      </c>
      <c r="AJ144" s="2040"/>
      <c r="AK144" s="2117" t="s">
        <v>321</v>
      </c>
      <c r="AL144" s="2040"/>
      <c r="AM144" s="2117" t="s">
        <v>322</v>
      </c>
      <c r="AN144" s="2040"/>
      <c r="AO144" s="2117" t="s">
        <v>323</v>
      </c>
      <c r="AP144" s="2040"/>
      <c r="AQ144" s="2117" t="s">
        <v>324</v>
      </c>
      <c r="AR144" s="2040"/>
      <c r="AS144" s="2117" t="s">
        <v>325</v>
      </c>
      <c r="AT144" s="2038"/>
      <c r="AU144" s="720"/>
      <c r="AV144" s="720"/>
      <c r="AW144" s="720"/>
      <c r="AX144" s="720"/>
      <c r="AY144" s="720"/>
      <c r="AZ144" s="720"/>
      <c r="BA144" s="720"/>
      <c r="BB144" s="720"/>
      <c r="BC144" s="720"/>
      <c r="BD144" s="720"/>
      <c r="BF144" s="1647"/>
      <c r="BP144" s="417"/>
      <c r="BQ144" s="4137"/>
      <c r="BR144" s="4137"/>
      <c r="BS144" s="4137"/>
      <c r="BT144" s="4137"/>
      <c r="BU144" s="4137"/>
      <c r="BV144" s="4137"/>
      <c r="BW144" s="4137"/>
      <c r="BX144" s="339"/>
      <c r="BY144" s="443" t="str">
        <f t="shared" si="53"/>
        <v/>
      </c>
      <c r="BZ144" s="410"/>
    </row>
    <row r="145" spans="2:78" ht="17.100000000000001" customHeight="1" x14ac:dyDescent="0.15">
      <c r="B145" s="417"/>
      <c r="C145" s="4137"/>
      <c r="D145" s="4137"/>
      <c r="E145" s="4137"/>
      <c r="F145" s="4137"/>
      <c r="G145" s="4137"/>
      <c r="H145" s="4137"/>
      <c r="I145" s="4137"/>
      <c r="J145" s="339"/>
      <c r="K145" s="443" t="str">
        <f t="shared" si="51"/>
        <v/>
      </c>
      <c r="L145" s="410"/>
      <c r="V145" s="1467"/>
      <c r="X145" s="2102"/>
      <c r="Y145" s="2102"/>
      <c r="Z145" s="2102"/>
      <c r="AA145" s="2102"/>
      <c r="AB145" s="2102"/>
      <c r="AC145" s="2102"/>
      <c r="AD145" s="2102"/>
      <c r="AE145" s="2102"/>
      <c r="AF145" s="2102"/>
      <c r="AG145" s="2102"/>
      <c r="AH145" s="2102"/>
      <c r="AI145" s="2118" cm="1">
        <f t="array" ref="AI145">_xlfn.IFS(AND(AI134=3,AI142=3),3,AND(AI134&gt;=2,AI142&gt;=2),2,AND(AI134&gt;=1,AI142&gt;=1),1,TRUE,0)</f>
        <v>0</v>
      </c>
      <c r="AJ145" s="2119"/>
      <c r="AK145" s="2118" cm="1">
        <f t="array" ref="AK145">_xlfn.IFS(AND(AK134=3,AK142=3),3,AND(AK134&gt;=2,AK142&gt;=2),2,AND(AK134&gt;=1,AK142&gt;=1),1,TRUE,0)</f>
        <v>0</v>
      </c>
      <c r="AL145" s="2119"/>
      <c r="AM145" s="2118" cm="1">
        <f t="array" ref="AM145">_xlfn.IFS(AND(AM134=3,AM142=3),3,AND(AM134&gt;=2,AM142&gt;=2),2,AND(AM134&gt;=1,AM142&gt;=1),1,TRUE,0)</f>
        <v>0</v>
      </c>
      <c r="AN145" s="2119"/>
      <c r="AO145" s="2118" cm="1">
        <f t="array" ref="AO145">_xlfn.IFS(AND(AO134=3,AO142=3),3,AND(AO134&gt;=2,AO142&gt;=2),2,AND(AO134&gt;=1,AO142&gt;=1),1,TRUE,0)</f>
        <v>0</v>
      </c>
      <c r="AP145" s="2119"/>
      <c r="AQ145" s="2118" cm="1">
        <f t="array" ref="AQ145">_xlfn.IFS(AND(AQ134=3,AQ142=3),3,AND(AQ134&gt;=2,AQ142&gt;=2),2,AND(AQ134&gt;=1,AQ142&gt;=1),1,TRUE,0)</f>
        <v>0</v>
      </c>
      <c r="AR145" s="2119"/>
      <c r="AS145" s="2118" cm="1">
        <f t="array" ref="AS145">_xlfn.IFS(AND(AS134=3,AS142=3),3,AND(AS134&gt;=2,AS142&gt;=2),2,AND(AS134&gt;=1,AS142&gt;=1),1,TRUE,0)</f>
        <v>0</v>
      </c>
      <c r="AT145" s="2102"/>
      <c r="AU145" s="2102"/>
      <c r="AV145" s="2102"/>
      <c r="AW145" s="2102"/>
      <c r="AX145" s="2102"/>
      <c r="AY145" s="2102"/>
      <c r="AZ145" s="2102"/>
      <c r="BA145" s="2102"/>
      <c r="BB145" s="2102"/>
      <c r="BC145" s="2102"/>
      <c r="BD145" s="2102"/>
      <c r="BF145" s="1647"/>
      <c r="BP145" s="417"/>
      <c r="BQ145" s="4137"/>
      <c r="BR145" s="4137"/>
      <c r="BS145" s="4137"/>
      <c r="BT145" s="4137"/>
      <c r="BU145" s="4137"/>
      <c r="BV145" s="4137"/>
      <c r="BW145" s="4137"/>
      <c r="BX145" s="339"/>
      <c r="BY145" s="443" t="str">
        <f t="shared" si="53"/>
        <v/>
      </c>
      <c r="BZ145" s="410"/>
    </row>
    <row r="146" spans="2:78" ht="17.100000000000001" customHeight="1" x14ac:dyDescent="0.15">
      <c r="B146" s="417"/>
      <c r="C146" s="4137"/>
      <c r="D146" s="4137"/>
      <c r="E146" s="4137"/>
      <c r="F146" s="4137"/>
      <c r="G146" s="4137"/>
      <c r="H146" s="4137"/>
      <c r="I146" s="4137"/>
      <c r="J146" s="339"/>
      <c r="K146" s="443" t="str">
        <f t="shared" si="51"/>
        <v/>
      </c>
      <c r="L146" s="410"/>
      <c r="V146" s="1467"/>
      <c r="X146" s="21"/>
      <c r="Y146" s="21"/>
      <c r="Z146" s="21"/>
      <c r="AA146" s="21"/>
      <c r="AB146" s="21"/>
      <c r="AC146" s="21"/>
      <c r="AD146" s="21"/>
      <c r="AE146" s="21"/>
      <c r="AF146" s="21"/>
      <c r="AG146" s="21"/>
      <c r="AH146" s="21"/>
      <c r="AI146" s="2037"/>
      <c r="AJ146" s="2038"/>
      <c r="AK146" s="2037"/>
      <c r="AL146" s="2038"/>
      <c r="AM146" s="2037"/>
      <c r="AN146" s="2038"/>
      <c r="AO146" s="2037"/>
      <c r="AP146" s="2038"/>
      <c r="AQ146" s="2037"/>
      <c r="AR146" s="2038"/>
      <c r="AS146" s="2037"/>
      <c r="AT146" s="2038"/>
      <c r="AU146" s="21"/>
      <c r="AV146" s="21"/>
      <c r="AW146" s="21"/>
      <c r="AX146" s="21"/>
      <c r="AY146" s="21"/>
      <c r="AZ146" s="21"/>
      <c r="BA146" s="21"/>
      <c r="BB146" s="21"/>
      <c r="BC146" s="21"/>
      <c r="BD146" s="21"/>
      <c r="BF146" s="1647"/>
      <c r="BP146" s="417"/>
      <c r="BQ146" s="4137"/>
      <c r="BR146" s="4137"/>
      <c r="BS146" s="4137"/>
      <c r="BT146" s="4137"/>
      <c r="BU146" s="4137"/>
      <c r="BV146" s="4137"/>
      <c r="BW146" s="4137"/>
      <c r="BX146" s="339"/>
      <c r="BY146" s="443" t="str">
        <f t="shared" si="53"/>
        <v/>
      </c>
      <c r="BZ146" s="410"/>
    </row>
    <row r="147" spans="2:78" ht="17.100000000000001" customHeight="1" x14ac:dyDescent="0.2">
      <c r="B147" s="417"/>
      <c r="C147" s="4137"/>
      <c r="D147" s="4137"/>
      <c r="E147" s="4137"/>
      <c r="F147" s="4137"/>
      <c r="G147" s="4137"/>
      <c r="H147" s="4137"/>
      <c r="I147" s="4137"/>
      <c r="J147" s="339"/>
      <c r="K147" s="443" t="str">
        <f t="shared" si="51"/>
        <v/>
      </c>
      <c r="L147" s="410"/>
      <c r="V147" s="1468"/>
      <c r="W147" s="1660"/>
      <c r="X147" s="1660"/>
      <c r="Y147" s="1660"/>
      <c r="Z147" s="1660"/>
      <c r="AA147" s="1660"/>
      <c r="AB147" s="1660"/>
      <c r="AC147" s="1660"/>
      <c r="AD147" s="1660"/>
      <c r="AE147" s="1660"/>
      <c r="AF147" s="1660"/>
      <c r="AG147" s="1660"/>
      <c r="AH147" s="1660"/>
      <c r="AI147" s="1660"/>
      <c r="AJ147" s="1660"/>
      <c r="AK147" s="1660"/>
      <c r="AL147" s="1660"/>
      <c r="AM147" s="1660"/>
      <c r="AN147" s="1660"/>
      <c r="AO147" s="1660"/>
      <c r="AP147" s="1660"/>
      <c r="AQ147" s="1660"/>
      <c r="AR147" s="1660"/>
      <c r="AS147" s="1660"/>
      <c r="AT147" s="1660"/>
      <c r="AU147" s="1660"/>
      <c r="AV147" s="1660"/>
      <c r="AW147" s="1660"/>
      <c r="AX147" s="1660"/>
      <c r="AY147" s="1660"/>
      <c r="AZ147" s="1660"/>
      <c r="BA147" s="1660"/>
      <c r="BB147" s="1660"/>
      <c r="BC147" s="1660"/>
      <c r="BD147" s="1660"/>
      <c r="BE147" s="1661"/>
      <c r="BF147" s="1653"/>
      <c r="BP147" s="417"/>
      <c r="BQ147" s="4137"/>
      <c r="BR147" s="4137"/>
      <c r="BS147" s="4137"/>
      <c r="BT147" s="4137"/>
      <c r="BU147" s="4137"/>
      <c r="BV147" s="4137"/>
      <c r="BW147" s="4137"/>
      <c r="BX147" s="339"/>
      <c r="BY147" s="443" t="str">
        <f t="shared" si="53"/>
        <v/>
      </c>
      <c r="BZ147" s="410"/>
    </row>
    <row r="148" spans="2:78" ht="17.100000000000001" customHeight="1" x14ac:dyDescent="0.15">
      <c r="B148" s="417"/>
      <c r="C148" s="4137"/>
      <c r="D148" s="4137"/>
      <c r="E148" s="4137"/>
      <c r="F148" s="4137"/>
      <c r="G148" s="4137"/>
      <c r="H148" s="4137"/>
      <c r="I148" s="4137"/>
      <c r="J148" s="339"/>
      <c r="K148" s="443" t="str">
        <f t="shared" si="51"/>
        <v/>
      </c>
      <c r="L148" s="410"/>
      <c r="BP148" s="417"/>
      <c r="BQ148" s="4137"/>
      <c r="BR148" s="4137"/>
      <c r="BS148" s="4137"/>
      <c r="BT148" s="4137"/>
      <c r="BU148" s="4137"/>
      <c r="BV148" s="4137"/>
      <c r="BW148" s="4137"/>
      <c r="BX148" s="339"/>
      <c r="BY148" s="443" t="str">
        <f t="shared" si="53"/>
        <v/>
      </c>
      <c r="BZ148" s="410"/>
    </row>
    <row r="149" spans="2:78" ht="17.100000000000001" customHeight="1" x14ac:dyDescent="0.15">
      <c r="B149" s="417"/>
      <c r="C149" s="4137"/>
      <c r="D149" s="4137"/>
      <c r="E149" s="4137"/>
      <c r="F149" s="4137"/>
      <c r="G149" s="4137"/>
      <c r="H149" s="4137"/>
      <c r="I149" s="4137"/>
      <c r="J149" s="339"/>
      <c r="K149" s="443" t="str">
        <f t="shared" si="51"/>
        <v/>
      </c>
      <c r="L149" s="410"/>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34" t="s">
        <v>9</v>
      </c>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P149" s="417"/>
      <c r="BQ149" s="4137"/>
      <c r="BR149" s="4137"/>
      <c r="BS149" s="4137"/>
      <c r="BT149" s="4137"/>
      <c r="BU149" s="4137"/>
      <c r="BV149" s="4137"/>
      <c r="BW149" s="4137"/>
      <c r="BX149" s="339"/>
      <c r="BY149" s="443" t="str">
        <f t="shared" si="53"/>
        <v/>
      </c>
      <c r="BZ149" s="410"/>
    </row>
    <row r="150" spans="2:78" ht="17.100000000000001" customHeight="1" x14ac:dyDescent="0.15">
      <c r="B150" s="417"/>
      <c r="C150" s="4137"/>
      <c r="D150" s="4137"/>
      <c r="E150" s="4137"/>
      <c r="F150" s="4137"/>
      <c r="G150" s="4137"/>
      <c r="H150" s="4137"/>
      <c r="I150" s="4137"/>
      <c r="J150" s="339"/>
      <c r="K150" s="443" t="str">
        <f t="shared" si="51"/>
        <v/>
      </c>
      <c r="L150" s="410"/>
      <c r="AN150" s="34" t="s">
        <v>9</v>
      </c>
      <c r="BP150" s="417"/>
      <c r="BQ150" s="4137"/>
      <c r="BR150" s="4137"/>
      <c r="BS150" s="4137"/>
      <c r="BT150" s="4137"/>
      <c r="BU150" s="4137"/>
      <c r="BV150" s="4137"/>
      <c r="BW150" s="4137"/>
      <c r="BX150" s="339"/>
      <c r="BY150" s="443" t="str">
        <f t="shared" si="53"/>
        <v/>
      </c>
      <c r="BZ150" s="410"/>
    </row>
    <row r="151" spans="2:78" ht="17.100000000000001" customHeight="1" x14ac:dyDescent="0.15">
      <c r="B151" s="417"/>
      <c r="C151" s="4137"/>
      <c r="D151" s="4137"/>
      <c r="E151" s="4137"/>
      <c r="F151" s="4137"/>
      <c r="G151" s="4137"/>
      <c r="H151" s="4137"/>
      <c r="I151" s="4137"/>
      <c r="J151" s="339"/>
      <c r="K151" s="443" t="str">
        <f t="shared" si="51"/>
        <v/>
      </c>
      <c r="L151" s="410"/>
      <c r="N151" s="227"/>
      <c r="O151" s="451"/>
      <c r="P151" s="228"/>
      <c r="Q151" s="228"/>
      <c r="R151" s="228"/>
      <c r="S151" s="228"/>
      <c r="T151" s="228"/>
      <c r="U151" s="228"/>
      <c r="V151" s="228"/>
      <c r="W151" s="228"/>
      <c r="X151" s="228"/>
      <c r="Y151" s="228"/>
      <c r="Z151" s="228"/>
      <c r="AA151" s="228"/>
      <c r="AB151" s="228"/>
      <c r="AC151" s="228"/>
      <c r="AD151" s="228"/>
      <c r="AE151" s="228"/>
      <c r="AF151" s="228"/>
      <c r="AG151" s="228"/>
      <c r="AH151" s="228"/>
      <c r="AI151" s="228"/>
      <c r="AJ151" s="228"/>
      <c r="AK151" s="228"/>
      <c r="AL151" s="228"/>
      <c r="AM151" s="228"/>
      <c r="AN151" s="228"/>
      <c r="AO151" s="228"/>
      <c r="AP151" s="228"/>
      <c r="AQ151" s="228"/>
      <c r="AR151" s="228"/>
      <c r="AS151" s="228"/>
      <c r="AT151" s="228"/>
      <c r="AU151" s="228"/>
      <c r="AV151" s="228"/>
      <c r="AW151" s="228"/>
      <c r="AX151" s="228"/>
      <c r="AY151" s="228"/>
      <c r="AZ151" s="228"/>
      <c r="BA151" s="228"/>
      <c r="BB151" s="228"/>
      <c r="BC151" s="228"/>
      <c r="BD151" s="228"/>
      <c r="BE151" s="228"/>
      <c r="BF151" s="228"/>
      <c r="BG151" s="228"/>
      <c r="BH151" s="228"/>
      <c r="BI151" s="228"/>
      <c r="BJ151" s="228"/>
      <c r="BK151" s="228"/>
      <c r="BL151" s="228"/>
      <c r="BM151" s="228"/>
      <c r="BN151" s="256"/>
      <c r="BP151" s="417"/>
      <c r="BQ151" s="4137"/>
      <c r="BR151" s="4137"/>
      <c r="BS151" s="4137"/>
      <c r="BT151" s="4137"/>
      <c r="BU151" s="4137"/>
      <c r="BV151" s="4137"/>
      <c r="BW151" s="4137"/>
      <c r="BX151" s="339"/>
      <c r="BY151" s="443" t="str">
        <f t="shared" si="53"/>
        <v/>
      </c>
      <c r="BZ151" s="410"/>
    </row>
    <row r="152" spans="2:78" ht="17.100000000000001" customHeight="1" x14ac:dyDescent="0.25">
      <c r="B152" s="417"/>
      <c r="C152" s="4137"/>
      <c r="D152" s="4137"/>
      <c r="E152" s="4137"/>
      <c r="F152" s="4137"/>
      <c r="G152" s="4137"/>
      <c r="H152" s="4137"/>
      <c r="I152" s="4137"/>
      <c r="J152" s="339"/>
      <c r="K152" s="443" t="str">
        <f t="shared" si="51"/>
        <v/>
      </c>
      <c r="L152" s="410"/>
      <c r="N152" s="242"/>
      <c r="O152" s="4173" t="s">
        <v>899</v>
      </c>
      <c r="P152" s="4173"/>
      <c r="Q152" s="4173"/>
      <c r="R152" s="4173"/>
      <c r="S152" s="4173"/>
      <c r="T152" s="4173"/>
      <c r="U152" s="4173"/>
      <c r="V152" s="4173"/>
      <c r="W152" s="4173"/>
      <c r="X152" s="4173"/>
      <c r="Y152" s="4173"/>
      <c r="Z152" s="4173"/>
      <c r="AA152" s="4173"/>
      <c r="AB152" s="4173"/>
      <c r="AC152" s="4173"/>
      <c r="AD152" s="4173"/>
      <c r="AE152" s="4173"/>
      <c r="AF152" s="4173"/>
      <c r="AG152" s="4173"/>
      <c r="AH152" s="4173"/>
      <c r="AI152" s="4173"/>
      <c r="AJ152" s="4173"/>
      <c r="AK152" s="4173"/>
      <c r="AL152" s="4173"/>
      <c r="AM152" s="4173"/>
      <c r="AN152" s="4173"/>
      <c r="AO152" s="4173"/>
      <c r="AP152" s="4173"/>
      <c r="AQ152" s="4173"/>
      <c r="AR152" s="4173"/>
      <c r="AS152" s="4173"/>
      <c r="AT152" s="4173"/>
      <c r="AU152" s="4173"/>
      <c r="AV152" s="4173"/>
      <c r="AW152" s="4173"/>
      <c r="AX152" s="4173"/>
      <c r="AY152" s="4173"/>
      <c r="AZ152" s="4173"/>
      <c r="BA152" s="4173"/>
      <c r="BB152" s="4173"/>
      <c r="BC152" s="4173"/>
      <c r="BD152" s="4173"/>
      <c r="BE152" s="4173"/>
      <c r="BF152" s="4173"/>
      <c r="BG152" s="4173"/>
      <c r="BH152" s="4173"/>
      <c r="BI152" s="4173"/>
      <c r="BJ152" s="4173"/>
      <c r="BK152" s="4173"/>
      <c r="BL152" s="4173"/>
      <c r="BM152" s="4173"/>
      <c r="BN152" s="299"/>
      <c r="BP152" s="417"/>
      <c r="BQ152" s="4137"/>
      <c r="BR152" s="4137"/>
      <c r="BS152" s="4137"/>
      <c r="BT152" s="4137"/>
      <c r="BU152" s="4137"/>
      <c r="BV152" s="4137"/>
      <c r="BW152" s="4137"/>
      <c r="BX152" s="339"/>
      <c r="BY152" s="443" t="str">
        <f t="shared" si="53"/>
        <v/>
      </c>
      <c r="BZ152" s="410"/>
    </row>
    <row r="153" spans="2:78" ht="17.100000000000001" customHeight="1" x14ac:dyDescent="0.15">
      <c r="B153" s="417"/>
      <c r="C153" s="4137"/>
      <c r="D153" s="4137"/>
      <c r="E153" s="4137"/>
      <c r="F153" s="4137"/>
      <c r="G153" s="4137"/>
      <c r="H153" s="4137"/>
      <c r="I153" s="4137"/>
      <c r="J153" s="339"/>
      <c r="K153" s="443" t="str">
        <f t="shared" si="51"/>
        <v/>
      </c>
      <c r="L153" s="410"/>
      <c r="N153" s="242"/>
      <c r="O153" s="440"/>
      <c r="BN153" s="299"/>
      <c r="BP153" s="417"/>
      <c r="BQ153" s="4137"/>
      <c r="BR153" s="4137"/>
      <c r="BS153" s="4137"/>
      <c r="BT153" s="4137"/>
      <c r="BU153" s="4137"/>
      <c r="BV153" s="4137"/>
      <c r="BW153" s="4137"/>
      <c r="BX153" s="339"/>
      <c r="BY153" s="443" t="str">
        <f t="shared" si="53"/>
        <v/>
      </c>
      <c r="BZ153" s="410"/>
    </row>
    <row r="154" spans="2:78" ht="17.100000000000001" customHeight="1" x14ac:dyDescent="0.15">
      <c r="B154" s="417"/>
      <c r="C154" s="4137"/>
      <c r="D154" s="4137"/>
      <c r="E154" s="4137"/>
      <c r="F154" s="4137"/>
      <c r="G154" s="4137"/>
      <c r="H154" s="4137"/>
      <c r="I154" s="4137"/>
      <c r="J154" s="339"/>
      <c r="K154" s="443" t="str">
        <f t="shared" si="51"/>
        <v/>
      </c>
      <c r="L154" s="410"/>
      <c r="N154" s="242"/>
      <c r="BN154" s="299"/>
      <c r="BP154" s="417"/>
      <c r="BQ154" s="4137"/>
      <c r="BR154" s="4137"/>
      <c r="BS154" s="4137"/>
      <c r="BT154" s="4137"/>
      <c r="BU154" s="4137"/>
      <c r="BV154" s="4137"/>
      <c r="BW154" s="4137"/>
      <c r="BX154" s="339"/>
      <c r="BY154" s="443" t="str">
        <f t="shared" si="53"/>
        <v/>
      </c>
      <c r="BZ154" s="410"/>
    </row>
    <row r="155" spans="2:78" ht="17.100000000000001" customHeight="1" x14ac:dyDescent="0.15">
      <c r="B155" s="417"/>
      <c r="C155" s="4137"/>
      <c r="D155" s="4137"/>
      <c r="E155" s="4137"/>
      <c r="F155" s="4137"/>
      <c r="G155" s="4137"/>
      <c r="H155" s="4137"/>
      <c r="I155" s="4137"/>
      <c r="J155" s="339"/>
      <c r="K155" s="443" t="str">
        <f t="shared" si="51"/>
        <v/>
      </c>
      <c r="L155" s="410"/>
      <c r="N155" s="242"/>
      <c r="O155" s="4143"/>
      <c r="P155" s="4143"/>
      <c r="Q155" s="4143"/>
      <c r="R155" s="4143"/>
      <c r="S155" s="4143"/>
      <c r="T155" s="4143"/>
      <c r="U155" s="4143"/>
      <c r="V155" s="4143"/>
      <c r="W155" s="4143"/>
      <c r="X155" s="4143"/>
      <c r="Y155" s="4143"/>
      <c r="Z155" s="4143"/>
      <c r="AA155" s="4143"/>
      <c r="AB155" s="4143"/>
      <c r="AC155" s="4143"/>
      <c r="AD155" s="4143"/>
      <c r="AF155" s="4143"/>
      <c r="AG155" s="4143"/>
      <c r="AH155" s="4143"/>
      <c r="AI155" s="4143"/>
      <c r="AJ155" s="4143"/>
      <c r="AK155" s="4143"/>
      <c r="AL155" s="4143"/>
      <c r="AM155" s="4143"/>
      <c r="AN155" s="4143"/>
      <c r="AO155" s="4143"/>
      <c r="AP155" s="4143"/>
      <c r="AQ155" s="4143"/>
      <c r="AR155" s="4143"/>
      <c r="AS155" s="4143"/>
      <c r="AT155" s="4143"/>
      <c r="AU155" s="4143"/>
      <c r="AV155" s="4143"/>
      <c r="AX155" s="4143"/>
      <c r="AY155" s="4143"/>
      <c r="AZ155" s="4143"/>
      <c r="BA155" s="4143"/>
      <c r="BB155" s="4143"/>
      <c r="BC155" s="4143"/>
      <c r="BD155" s="4143"/>
      <c r="BE155" s="4143"/>
      <c r="BF155" s="4143"/>
      <c r="BG155" s="4143"/>
      <c r="BH155" s="4143"/>
      <c r="BI155" s="4143"/>
      <c r="BJ155" s="4143"/>
      <c r="BK155" s="4143"/>
      <c r="BL155" s="4143"/>
      <c r="BM155" s="4143"/>
      <c r="BN155" s="299"/>
      <c r="BP155" s="417"/>
      <c r="BQ155" s="4137"/>
      <c r="BR155" s="4137"/>
      <c r="BS155" s="4137"/>
      <c r="BT155" s="4137"/>
      <c r="BU155" s="4137"/>
      <c r="BV155" s="4137"/>
      <c r="BW155" s="4137"/>
      <c r="BX155" s="339"/>
      <c r="BY155" s="443" t="str">
        <f t="shared" si="53"/>
        <v/>
      </c>
      <c r="BZ155" s="410"/>
    </row>
    <row r="156" spans="2:78" ht="17.100000000000001" customHeight="1" x14ac:dyDescent="0.15">
      <c r="B156" s="417"/>
      <c r="C156" s="4137"/>
      <c r="D156" s="4137"/>
      <c r="E156" s="4137"/>
      <c r="F156" s="4137"/>
      <c r="G156" s="4137"/>
      <c r="H156" s="4137"/>
      <c r="I156" s="4137"/>
      <c r="J156" s="339"/>
      <c r="K156" s="443" t="str">
        <f t="shared" si="51"/>
        <v/>
      </c>
      <c r="L156" s="410"/>
      <c r="N156" s="242"/>
      <c r="O156" s="4143"/>
      <c r="P156" s="4143"/>
      <c r="Q156" s="4143"/>
      <c r="R156" s="4143"/>
      <c r="S156" s="4143"/>
      <c r="T156" s="4143"/>
      <c r="U156" s="4143"/>
      <c r="V156" s="4143"/>
      <c r="W156" s="4143"/>
      <c r="X156" s="4143"/>
      <c r="Y156" s="4143"/>
      <c r="Z156" s="4143"/>
      <c r="AA156" s="4143"/>
      <c r="AB156" s="4143"/>
      <c r="AC156" s="4143"/>
      <c r="AD156" s="4143"/>
      <c r="AF156" s="4143"/>
      <c r="AG156" s="4143"/>
      <c r="AH156" s="4143"/>
      <c r="AI156" s="4143"/>
      <c r="AJ156" s="4143"/>
      <c r="AK156" s="4143"/>
      <c r="AL156" s="4143"/>
      <c r="AM156" s="4143"/>
      <c r="AN156" s="4143"/>
      <c r="AO156" s="4143"/>
      <c r="AP156" s="4143"/>
      <c r="AQ156" s="4143"/>
      <c r="AR156" s="4143"/>
      <c r="AS156" s="4143"/>
      <c r="AT156" s="4143"/>
      <c r="AU156" s="4143"/>
      <c r="AV156" s="4143"/>
      <c r="AX156" s="4143"/>
      <c r="AY156" s="4143"/>
      <c r="AZ156" s="4143"/>
      <c r="BA156" s="4143"/>
      <c r="BB156" s="4143"/>
      <c r="BC156" s="4143"/>
      <c r="BD156" s="4143"/>
      <c r="BE156" s="4143"/>
      <c r="BF156" s="4143"/>
      <c r="BG156" s="4143"/>
      <c r="BH156" s="4143"/>
      <c r="BI156" s="4143"/>
      <c r="BJ156" s="4143"/>
      <c r="BK156" s="4143"/>
      <c r="BL156" s="4143"/>
      <c r="BM156" s="4143"/>
      <c r="BN156" s="299"/>
      <c r="BP156" s="417"/>
      <c r="BQ156" s="4137"/>
      <c r="BR156" s="4137"/>
      <c r="BS156" s="4137"/>
      <c r="BT156" s="4137"/>
      <c r="BU156" s="4137"/>
      <c r="BV156" s="4137"/>
      <c r="BW156" s="4137"/>
      <c r="BX156" s="339"/>
      <c r="BY156" s="443" t="str">
        <f t="shared" si="53"/>
        <v/>
      </c>
      <c r="BZ156" s="410"/>
    </row>
    <row r="157" spans="2:78" ht="17.100000000000001" customHeight="1" x14ac:dyDescent="0.15">
      <c r="B157" s="417"/>
      <c r="C157" s="4137"/>
      <c r="D157" s="4137"/>
      <c r="E157" s="4137"/>
      <c r="F157" s="4137"/>
      <c r="G157" s="4137"/>
      <c r="H157" s="4137"/>
      <c r="I157" s="4137"/>
      <c r="J157" s="339"/>
      <c r="K157" s="443" t="str">
        <f t="shared" si="51"/>
        <v/>
      </c>
      <c r="L157" s="410"/>
      <c r="N157" s="242"/>
      <c r="O157" s="4143"/>
      <c r="P157" s="4143"/>
      <c r="Q157" s="4143"/>
      <c r="R157" s="4143"/>
      <c r="S157" s="4143"/>
      <c r="T157" s="4143"/>
      <c r="U157" s="4143"/>
      <c r="V157" s="4143"/>
      <c r="W157" s="4143"/>
      <c r="X157" s="4143"/>
      <c r="Y157" s="4143"/>
      <c r="Z157" s="4143"/>
      <c r="AA157" s="4143"/>
      <c r="AB157" s="4143"/>
      <c r="AC157" s="4143"/>
      <c r="AD157" s="4143"/>
      <c r="AF157" s="4143"/>
      <c r="AG157" s="4143"/>
      <c r="AH157" s="4143"/>
      <c r="AI157" s="4143"/>
      <c r="AJ157" s="4143"/>
      <c r="AK157" s="4143"/>
      <c r="AL157" s="4143"/>
      <c r="AM157" s="4143"/>
      <c r="AN157" s="4143"/>
      <c r="AO157" s="4143"/>
      <c r="AP157" s="4143"/>
      <c r="AQ157" s="4143"/>
      <c r="AR157" s="4143"/>
      <c r="AS157" s="4143"/>
      <c r="AT157" s="4143"/>
      <c r="AU157" s="4143"/>
      <c r="AV157" s="4143"/>
      <c r="AX157" s="4143"/>
      <c r="AY157" s="4143"/>
      <c r="AZ157" s="4143"/>
      <c r="BA157" s="4143"/>
      <c r="BB157" s="4143"/>
      <c r="BC157" s="4143"/>
      <c r="BD157" s="4143"/>
      <c r="BE157" s="4143"/>
      <c r="BF157" s="4143"/>
      <c r="BG157" s="4143"/>
      <c r="BH157" s="4143"/>
      <c r="BI157" s="4143"/>
      <c r="BJ157" s="4143"/>
      <c r="BK157" s="4143"/>
      <c r="BL157" s="4143"/>
      <c r="BM157" s="4143"/>
      <c r="BN157" s="299"/>
      <c r="BP157" s="417"/>
      <c r="BQ157" s="4137"/>
      <c r="BR157" s="4137"/>
      <c r="BS157" s="4137"/>
      <c r="BT157" s="4137"/>
      <c r="BU157" s="4137"/>
      <c r="BV157" s="4137"/>
      <c r="BW157" s="4137"/>
      <c r="BX157" s="339"/>
      <c r="BY157" s="443" t="str">
        <f t="shared" si="53"/>
        <v/>
      </c>
      <c r="BZ157" s="410"/>
    </row>
    <row r="158" spans="2:78" ht="17.100000000000001" customHeight="1" x14ac:dyDescent="0.15">
      <c r="B158" s="417"/>
      <c r="C158" s="4137"/>
      <c r="D158" s="4137"/>
      <c r="E158" s="4137"/>
      <c r="F158" s="4137"/>
      <c r="G158" s="4137"/>
      <c r="H158" s="4137"/>
      <c r="I158" s="4137"/>
      <c r="J158" s="339"/>
      <c r="K158" s="443" t="str">
        <f t="shared" si="51"/>
        <v/>
      </c>
      <c r="L158" s="410"/>
      <c r="N158" s="242"/>
      <c r="O158" s="4143"/>
      <c r="P158" s="4143"/>
      <c r="Q158" s="4143"/>
      <c r="R158" s="4143"/>
      <c r="S158" s="4143"/>
      <c r="T158" s="4143"/>
      <c r="U158" s="4143"/>
      <c r="V158" s="4143"/>
      <c r="W158" s="4143"/>
      <c r="X158" s="4143"/>
      <c r="Y158" s="4143"/>
      <c r="Z158" s="4143"/>
      <c r="AA158" s="4143"/>
      <c r="AB158" s="4143"/>
      <c r="AC158" s="4143"/>
      <c r="AD158" s="4143"/>
      <c r="AF158" s="4143"/>
      <c r="AG158" s="4143"/>
      <c r="AH158" s="4143"/>
      <c r="AI158" s="4143"/>
      <c r="AJ158" s="4143"/>
      <c r="AK158" s="4143"/>
      <c r="AL158" s="4143"/>
      <c r="AM158" s="4143"/>
      <c r="AN158" s="4143"/>
      <c r="AO158" s="4143"/>
      <c r="AP158" s="4143"/>
      <c r="AQ158" s="4143"/>
      <c r="AR158" s="4143"/>
      <c r="AS158" s="4143"/>
      <c r="AT158" s="4143"/>
      <c r="AU158" s="4143"/>
      <c r="AV158" s="4143"/>
      <c r="AX158" s="4143"/>
      <c r="AY158" s="4143"/>
      <c r="AZ158" s="4143"/>
      <c r="BA158" s="4143"/>
      <c r="BB158" s="4143"/>
      <c r="BC158" s="4143"/>
      <c r="BD158" s="4143"/>
      <c r="BE158" s="4143"/>
      <c r="BF158" s="4143"/>
      <c r="BG158" s="4143"/>
      <c r="BH158" s="4143"/>
      <c r="BI158" s="4143"/>
      <c r="BJ158" s="4143"/>
      <c r="BK158" s="4143"/>
      <c r="BL158" s="4143"/>
      <c r="BM158" s="4143"/>
      <c r="BN158" s="299"/>
      <c r="BP158" s="417"/>
      <c r="BQ158" s="4137"/>
      <c r="BR158" s="4137"/>
      <c r="BS158" s="4137"/>
      <c r="BT158" s="4137"/>
      <c r="BU158" s="4137"/>
      <c r="BV158" s="4137"/>
      <c r="BW158" s="4137"/>
      <c r="BX158" s="339"/>
      <c r="BY158" s="443" t="str">
        <f t="shared" si="53"/>
        <v/>
      </c>
      <c r="BZ158" s="410"/>
    </row>
    <row r="159" spans="2:78" ht="17.100000000000001" customHeight="1" x14ac:dyDescent="0.15">
      <c r="B159" s="417"/>
      <c r="C159" s="4137"/>
      <c r="D159" s="4137"/>
      <c r="E159" s="4137"/>
      <c r="F159" s="4137"/>
      <c r="G159" s="4137"/>
      <c r="H159" s="4137"/>
      <c r="I159" s="4137"/>
      <c r="J159" s="339"/>
      <c r="K159" s="443" t="str">
        <f t="shared" si="51"/>
        <v/>
      </c>
      <c r="L159" s="410"/>
      <c r="N159" s="242"/>
      <c r="O159" s="4143"/>
      <c r="P159" s="4143"/>
      <c r="Q159" s="4143"/>
      <c r="R159" s="4143"/>
      <c r="S159" s="4143"/>
      <c r="T159" s="4143"/>
      <c r="U159" s="4143"/>
      <c r="V159" s="4143"/>
      <c r="W159" s="4143"/>
      <c r="X159" s="4143"/>
      <c r="Y159" s="4143"/>
      <c r="Z159" s="4143"/>
      <c r="AA159" s="4143"/>
      <c r="AB159" s="4143"/>
      <c r="AC159" s="4143"/>
      <c r="AD159" s="4143"/>
      <c r="AF159" s="4143"/>
      <c r="AG159" s="4143"/>
      <c r="AH159" s="4143"/>
      <c r="AI159" s="4143"/>
      <c r="AJ159" s="4143"/>
      <c r="AK159" s="4143"/>
      <c r="AL159" s="4143"/>
      <c r="AM159" s="4143"/>
      <c r="AN159" s="4143"/>
      <c r="AO159" s="4143"/>
      <c r="AP159" s="4143"/>
      <c r="AQ159" s="4143"/>
      <c r="AR159" s="4143"/>
      <c r="AS159" s="4143"/>
      <c r="AT159" s="4143"/>
      <c r="AU159" s="4143"/>
      <c r="AV159" s="4143"/>
      <c r="AX159" s="4143"/>
      <c r="AY159" s="4143"/>
      <c r="AZ159" s="4143"/>
      <c r="BA159" s="4143"/>
      <c r="BB159" s="4143"/>
      <c r="BC159" s="4143"/>
      <c r="BD159" s="4143"/>
      <c r="BE159" s="4143"/>
      <c r="BF159" s="4143"/>
      <c r="BG159" s="4143"/>
      <c r="BH159" s="4143"/>
      <c r="BI159" s="4143"/>
      <c r="BJ159" s="4143"/>
      <c r="BK159" s="4143"/>
      <c r="BL159" s="4143"/>
      <c r="BM159" s="4143"/>
      <c r="BN159" s="299"/>
      <c r="BP159" s="417"/>
      <c r="BQ159" s="4137"/>
      <c r="BR159" s="4137"/>
      <c r="BS159" s="4137"/>
      <c r="BT159" s="4137"/>
      <c r="BU159" s="4137"/>
      <c r="BV159" s="4137"/>
      <c r="BW159" s="4137"/>
      <c r="BX159" s="339"/>
      <c r="BY159" s="443" t="str">
        <f t="shared" si="53"/>
        <v/>
      </c>
      <c r="BZ159" s="410"/>
    </row>
    <row r="160" spans="2:78" ht="17.100000000000001" customHeight="1" x14ac:dyDescent="0.15">
      <c r="B160" s="417"/>
      <c r="C160" s="4137"/>
      <c r="D160" s="4137"/>
      <c r="E160" s="4137"/>
      <c r="F160" s="4137"/>
      <c r="G160" s="4137"/>
      <c r="H160" s="4137"/>
      <c r="I160" s="4137"/>
      <c r="J160" s="339"/>
      <c r="K160" s="443" t="str">
        <f t="shared" si="51"/>
        <v/>
      </c>
      <c r="L160" s="410"/>
      <c r="N160" s="242"/>
      <c r="O160" s="4143"/>
      <c r="P160" s="4143"/>
      <c r="Q160" s="4143"/>
      <c r="R160" s="4143"/>
      <c r="S160" s="4143"/>
      <c r="T160" s="4143"/>
      <c r="U160" s="4143"/>
      <c r="V160" s="4143"/>
      <c r="W160" s="4143"/>
      <c r="X160" s="4143"/>
      <c r="Y160" s="4143"/>
      <c r="Z160" s="4143"/>
      <c r="AA160" s="4143"/>
      <c r="AB160" s="4143"/>
      <c r="AC160" s="4143"/>
      <c r="AD160" s="4143"/>
      <c r="AF160" s="4143"/>
      <c r="AG160" s="4143"/>
      <c r="AH160" s="4143"/>
      <c r="AI160" s="4143"/>
      <c r="AJ160" s="4143"/>
      <c r="AK160" s="4143"/>
      <c r="AL160" s="4143"/>
      <c r="AM160" s="4143"/>
      <c r="AN160" s="4143"/>
      <c r="AO160" s="4143"/>
      <c r="AP160" s="4143"/>
      <c r="AQ160" s="4143"/>
      <c r="AR160" s="4143"/>
      <c r="AS160" s="4143"/>
      <c r="AT160" s="4143"/>
      <c r="AU160" s="4143"/>
      <c r="AV160" s="4143"/>
      <c r="AX160" s="4143"/>
      <c r="AY160" s="4143"/>
      <c r="AZ160" s="4143"/>
      <c r="BA160" s="4143"/>
      <c r="BB160" s="4143"/>
      <c r="BC160" s="4143"/>
      <c r="BD160" s="4143"/>
      <c r="BE160" s="4143"/>
      <c r="BF160" s="4143"/>
      <c r="BG160" s="4143"/>
      <c r="BH160" s="4143"/>
      <c r="BI160" s="4143"/>
      <c r="BJ160" s="4143"/>
      <c r="BK160" s="4143"/>
      <c r="BL160" s="4143"/>
      <c r="BM160" s="4143"/>
      <c r="BN160" s="299"/>
      <c r="BP160" s="417"/>
      <c r="BQ160" s="4137"/>
      <c r="BR160" s="4137"/>
      <c r="BS160" s="4137"/>
      <c r="BT160" s="4137"/>
      <c r="BU160" s="4137"/>
      <c r="BV160" s="4137"/>
      <c r="BW160" s="4137"/>
      <c r="BX160" s="339"/>
      <c r="BY160" s="443" t="str">
        <f t="shared" si="53"/>
        <v/>
      </c>
      <c r="BZ160" s="410"/>
    </row>
    <row r="161" spans="2:112" ht="17.100000000000001" customHeight="1" x14ac:dyDescent="0.15">
      <c r="B161" s="417"/>
      <c r="C161" s="4137"/>
      <c r="D161" s="4137"/>
      <c r="E161" s="4137"/>
      <c r="F161" s="4137"/>
      <c r="G161" s="4137"/>
      <c r="H161" s="4137"/>
      <c r="I161" s="4137"/>
      <c r="J161" s="339"/>
      <c r="K161" s="443" t="str">
        <f t="shared" si="51"/>
        <v/>
      </c>
      <c r="L161" s="410"/>
      <c r="N161" s="242"/>
      <c r="AF161" s="4143"/>
      <c r="AG161" s="4143"/>
      <c r="AH161" s="4143"/>
      <c r="AI161" s="4143"/>
      <c r="AJ161" s="4143"/>
      <c r="AK161" s="4143"/>
      <c r="AL161" s="4143"/>
      <c r="AM161" s="4143"/>
      <c r="AN161" s="4143"/>
      <c r="AO161" s="4143"/>
      <c r="AP161" s="4143"/>
      <c r="AQ161" s="4143"/>
      <c r="AR161" s="4143"/>
      <c r="AS161" s="4143"/>
      <c r="AT161" s="4143"/>
      <c r="AU161" s="4143"/>
      <c r="AV161" s="4143"/>
      <c r="BN161" s="299"/>
      <c r="BP161" s="417"/>
      <c r="BQ161" s="4137"/>
      <c r="BR161" s="4137"/>
      <c r="BS161" s="4137"/>
      <c r="BT161" s="4137"/>
      <c r="BU161" s="4137"/>
      <c r="BV161" s="4137"/>
      <c r="BW161" s="4137"/>
      <c r="BX161" s="339"/>
      <c r="BY161" s="443" t="str">
        <f t="shared" si="53"/>
        <v/>
      </c>
      <c r="BZ161" s="410"/>
    </row>
    <row r="162" spans="2:112" ht="17.100000000000001" customHeight="1" x14ac:dyDescent="0.15">
      <c r="B162" s="417"/>
      <c r="C162" s="4137"/>
      <c r="D162" s="4137"/>
      <c r="E162" s="4137"/>
      <c r="F162" s="4137"/>
      <c r="G162" s="4137"/>
      <c r="H162" s="4137"/>
      <c r="I162" s="4137"/>
      <c r="J162" s="339"/>
      <c r="K162" s="443" t="str">
        <f t="shared" si="51"/>
        <v/>
      </c>
      <c r="L162" s="410"/>
      <c r="N162" s="242"/>
      <c r="O162" s="4143"/>
      <c r="P162" s="4143"/>
      <c r="Q162" s="4143"/>
      <c r="R162" s="4143"/>
      <c r="S162" s="4143"/>
      <c r="T162" s="4143"/>
      <c r="U162" s="4143"/>
      <c r="V162" s="4143"/>
      <c r="W162" s="4143"/>
      <c r="X162" s="4143"/>
      <c r="Y162" s="4143"/>
      <c r="Z162" s="4143"/>
      <c r="AA162" s="4143"/>
      <c r="AB162" s="4143"/>
      <c r="AC162" s="4143"/>
      <c r="AD162" s="4143"/>
      <c r="AF162" s="4143"/>
      <c r="AG162" s="4143"/>
      <c r="AH162" s="4143"/>
      <c r="AI162" s="4143"/>
      <c r="AJ162" s="4143"/>
      <c r="AK162" s="4143"/>
      <c r="AL162" s="4143"/>
      <c r="AM162" s="4143"/>
      <c r="AN162" s="4143"/>
      <c r="AO162" s="4143"/>
      <c r="AP162" s="4143"/>
      <c r="AQ162" s="4143"/>
      <c r="AR162" s="4143"/>
      <c r="AS162" s="4143"/>
      <c r="AT162" s="4143"/>
      <c r="AU162" s="4143"/>
      <c r="AV162" s="4143"/>
      <c r="AX162" s="4143"/>
      <c r="AY162" s="4143"/>
      <c r="AZ162" s="4143"/>
      <c r="BA162" s="4143"/>
      <c r="BB162" s="4143"/>
      <c r="BC162" s="4143"/>
      <c r="BD162" s="4143"/>
      <c r="BE162" s="4143"/>
      <c r="BF162" s="4143"/>
      <c r="BG162" s="4143"/>
      <c r="BH162" s="4143"/>
      <c r="BI162" s="4143"/>
      <c r="BJ162" s="4143"/>
      <c r="BK162" s="4143"/>
      <c r="BL162" s="4143"/>
      <c r="BM162" s="4143"/>
      <c r="BN162" s="299"/>
      <c r="BP162" s="417"/>
      <c r="BQ162" s="4137"/>
      <c r="BR162" s="4137"/>
      <c r="BS162" s="4137"/>
      <c r="BT162" s="4137"/>
      <c r="BU162" s="4137"/>
      <c r="BV162" s="4137"/>
      <c r="BW162" s="4137"/>
      <c r="BX162" s="339"/>
      <c r="BY162" s="443" t="str">
        <f t="shared" si="53"/>
        <v/>
      </c>
      <c r="BZ162" s="410"/>
    </row>
    <row r="163" spans="2:112" ht="17.100000000000001" customHeight="1" x14ac:dyDescent="0.15">
      <c r="B163" s="417"/>
      <c r="C163" s="4137"/>
      <c r="D163" s="4137"/>
      <c r="E163" s="4137"/>
      <c r="F163" s="4137"/>
      <c r="G163" s="4137"/>
      <c r="H163" s="4137"/>
      <c r="I163" s="4137"/>
      <c r="J163" s="339"/>
      <c r="K163" s="443" t="str">
        <f t="shared" si="51"/>
        <v/>
      </c>
      <c r="L163" s="410"/>
      <c r="N163" s="242"/>
      <c r="O163" s="4143"/>
      <c r="P163" s="4143"/>
      <c r="Q163" s="4143"/>
      <c r="R163" s="4143"/>
      <c r="S163" s="4143"/>
      <c r="T163" s="4143"/>
      <c r="U163" s="4143"/>
      <c r="V163" s="4143"/>
      <c r="W163" s="4143"/>
      <c r="X163" s="4143"/>
      <c r="Y163" s="4143"/>
      <c r="Z163" s="4143"/>
      <c r="AA163" s="4143"/>
      <c r="AB163" s="4143"/>
      <c r="AC163" s="4143"/>
      <c r="AD163" s="4143"/>
      <c r="AF163" s="4143"/>
      <c r="AG163" s="4143"/>
      <c r="AH163" s="4143"/>
      <c r="AI163" s="4143"/>
      <c r="AJ163" s="4143"/>
      <c r="AK163" s="4143"/>
      <c r="AL163" s="4143"/>
      <c r="AM163" s="4143"/>
      <c r="AN163" s="4143"/>
      <c r="AO163" s="4143"/>
      <c r="AP163" s="4143"/>
      <c r="AQ163" s="4143"/>
      <c r="AR163" s="4143"/>
      <c r="AS163" s="4143"/>
      <c r="AT163" s="4143"/>
      <c r="AU163" s="4143"/>
      <c r="AV163" s="4143"/>
      <c r="AX163" s="4143"/>
      <c r="AY163" s="4143"/>
      <c r="AZ163" s="4143"/>
      <c r="BA163" s="4143"/>
      <c r="BB163" s="4143"/>
      <c r="BC163" s="4143"/>
      <c r="BD163" s="4143"/>
      <c r="BE163" s="4143"/>
      <c r="BF163" s="4143"/>
      <c r="BG163" s="4143"/>
      <c r="BH163" s="4143"/>
      <c r="BI163" s="4143"/>
      <c r="BJ163" s="4143"/>
      <c r="BK163" s="4143"/>
      <c r="BL163" s="4143"/>
      <c r="BM163" s="4143"/>
      <c r="BN163" s="299"/>
      <c r="BP163" s="417"/>
      <c r="BQ163" s="4137"/>
      <c r="BR163" s="4137"/>
      <c r="BS163" s="4137"/>
      <c r="BT163" s="4137"/>
      <c r="BU163" s="4137"/>
      <c r="BV163" s="4137"/>
      <c r="BW163" s="4137"/>
      <c r="BX163" s="339"/>
      <c r="BY163" s="443" t="str">
        <f t="shared" si="53"/>
        <v/>
      </c>
      <c r="BZ163" s="410"/>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row>
    <row r="164" spans="2:112" ht="17.100000000000001" customHeight="1" x14ac:dyDescent="0.15">
      <c r="B164" s="417"/>
      <c r="C164" s="4137"/>
      <c r="D164" s="4137"/>
      <c r="E164" s="4137"/>
      <c r="F164" s="4137"/>
      <c r="G164" s="4137"/>
      <c r="H164" s="4137"/>
      <c r="I164" s="4137"/>
      <c r="J164" s="339"/>
      <c r="K164" s="443" t="str">
        <f t="shared" si="51"/>
        <v/>
      </c>
      <c r="L164" s="410"/>
      <c r="N164" s="242"/>
      <c r="O164" s="4143"/>
      <c r="P164" s="4143"/>
      <c r="Q164" s="4143"/>
      <c r="R164" s="4143"/>
      <c r="S164" s="4143"/>
      <c r="T164" s="4143"/>
      <c r="U164" s="4143"/>
      <c r="V164" s="4143"/>
      <c r="W164" s="4143"/>
      <c r="X164" s="4143"/>
      <c r="Y164" s="4143"/>
      <c r="Z164" s="4143"/>
      <c r="AA164" s="4143"/>
      <c r="AB164" s="4143"/>
      <c r="AC164" s="4143"/>
      <c r="AD164" s="4143"/>
      <c r="AF164" s="4143"/>
      <c r="AG164" s="4143"/>
      <c r="AH164" s="4143"/>
      <c r="AI164" s="4143"/>
      <c r="AJ164" s="4143"/>
      <c r="AK164" s="4143"/>
      <c r="AL164" s="4143"/>
      <c r="AM164" s="4143"/>
      <c r="AN164" s="4143"/>
      <c r="AO164" s="4143"/>
      <c r="AP164" s="4143"/>
      <c r="AQ164" s="4143"/>
      <c r="AR164" s="4143"/>
      <c r="AS164" s="4143"/>
      <c r="AT164" s="4143"/>
      <c r="AU164" s="4143"/>
      <c r="AV164" s="4143"/>
      <c r="AX164" s="4143"/>
      <c r="AY164" s="4143"/>
      <c r="AZ164" s="4143"/>
      <c r="BA164" s="4143"/>
      <c r="BB164" s="4143"/>
      <c r="BC164" s="4143"/>
      <c r="BD164" s="4143"/>
      <c r="BE164" s="4143"/>
      <c r="BF164" s="4143"/>
      <c r="BG164" s="4143"/>
      <c r="BH164" s="4143"/>
      <c r="BI164" s="4143"/>
      <c r="BJ164" s="4143"/>
      <c r="BK164" s="4143"/>
      <c r="BL164" s="4143"/>
      <c r="BM164" s="4143"/>
      <c r="BN164" s="299"/>
      <c r="BP164" s="417"/>
      <c r="BQ164" s="4137"/>
      <c r="BR164" s="4137"/>
      <c r="BS164" s="4137"/>
      <c r="BT164" s="4137"/>
      <c r="BU164" s="4137"/>
      <c r="BV164" s="4137"/>
      <c r="BW164" s="4137"/>
      <c r="BX164" s="339"/>
      <c r="BY164" s="443" t="str">
        <f t="shared" si="53"/>
        <v/>
      </c>
      <c r="BZ164" s="410"/>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row>
    <row r="165" spans="2:112" ht="17.100000000000001" customHeight="1" x14ac:dyDescent="0.15">
      <c r="B165" s="417"/>
      <c r="C165" s="4137"/>
      <c r="D165" s="4137"/>
      <c r="E165" s="4137"/>
      <c r="F165" s="4137"/>
      <c r="G165" s="4137"/>
      <c r="H165" s="4137"/>
      <c r="I165" s="4137"/>
      <c r="J165" s="339"/>
      <c r="K165" s="443" t="str">
        <f t="shared" si="51"/>
        <v/>
      </c>
      <c r="L165" s="410"/>
      <c r="N165" s="242"/>
      <c r="O165" s="4143"/>
      <c r="P165" s="4143"/>
      <c r="Q165" s="4143"/>
      <c r="R165" s="4143"/>
      <c r="S165" s="4143"/>
      <c r="T165" s="4143"/>
      <c r="U165" s="4143"/>
      <c r="V165" s="4143"/>
      <c r="W165" s="4143"/>
      <c r="X165" s="4143"/>
      <c r="Y165" s="4143"/>
      <c r="Z165" s="4143"/>
      <c r="AA165" s="4143"/>
      <c r="AB165" s="4143"/>
      <c r="AC165" s="4143"/>
      <c r="AD165" s="4143"/>
      <c r="AF165" s="4143"/>
      <c r="AG165" s="4143"/>
      <c r="AH165" s="4143"/>
      <c r="AI165" s="4143"/>
      <c r="AJ165" s="4143"/>
      <c r="AK165" s="4143"/>
      <c r="AL165" s="4143"/>
      <c r="AM165" s="4143"/>
      <c r="AN165" s="4143"/>
      <c r="AO165" s="4143"/>
      <c r="AP165" s="4143"/>
      <c r="AQ165" s="4143"/>
      <c r="AR165" s="4143"/>
      <c r="AS165" s="4143"/>
      <c r="AT165" s="4143"/>
      <c r="AU165" s="4143"/>
      <c r="AV165" s="4143"/>
      <c r="AX165" s="4143"/>
      <c r="AY165" s="4143"/>
      <c r="AZ165" s="4143"/>
      <c r="BA165" s="4143"/>
      <c r="BB165" s="4143"/>
      <c r="BC165" s="4143"/>
      <c r="BD165" s="4143"/>
      <c r="BE165" s="4143"/>
      <c r="BF165" s="4143"/>
      <c r="BG165" s="4143"/>
      <c r="BH165" s="4143"/>
      <c r="BI165" s="4143"/>
      <c r="BJ165" s="4143"/>
      <c r="BK165" s="4143"/>
      <c r="BL165" s="4143"/>
      <c r="BM165" s="4143"/>
      <c r="BN165" s="299"/>
      <c r="BP165" s="417"/>
      <c r="BQ165" s="4137"/>
      <c r="BR165" s="4137"/>
      <c r="BS165" s="4137"/>
      <c r="BT165" s="4137"/>
      <c r="BU165" s="4137"/>
      <c r="BV165" s="4137"/>
      <c r="BW165" s="4137"/>
      <c r="BX165" s="339"/>
      <c r="BY165" s="443" t="str">
        <f t="shared" si="53"/>
        <v/>
      </c>
      <c r="BZ165" s="410"/>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row>
    <row r="166" spans="2:112" ht="17.100000000000001" customHeight="1" x14ac:dyDescent="0.15">
      <c r="B166" s="417"/>
      <c r="C166" s="4137"/>
      <c r="D166" s="4137"/>
      <c r="E166" s="4137"/>
      <c r="F166" s="4137"/>
      <c r="G166" s="4137"/>
      <c r="H166" s="4137"/>
      <c r="I166" s="4137"/>
      <c r="J166" s="339"/>
      <c r="K166" s="443" t="str">
        <f t="shared" si="51"/>
        <v/>
      </c>
      <c r="L166" s="410"/>
      <c r="N166" s="242"/>
      <c r="O166" s="4143"/>
      <c r="P166" s="4143"/>
      <c r="Q166" s="4143"/>
      <c r="R166" s="4143"/>
      <c r="S166" s="4143"/>
      <c r="T166" s="4143"/>
      <c r="U166" s="4143"/>
      <c r="V166" s="4143"/>
      <c r="W166" s="4143"/>
      <c r="X166" s="4143"/>
      <c r="Y166" s="4143"/>
      <c r="Z166" s="4143"/>
      <c r="AA166" s="4143"/>
      <c r="AB166" s="4143"/>
      <c r="AC166" s="4143"/>
      <c r="AD166" s="4143"/>
      <c r="AF166" s="4143"/>
      <c r="AG166" s="4143"/>
      <c r="AH166" s="4143"/>
      <c r="AI166" s="4143"/>
      <c r="AJ166" s="4143"/>
      <c r="AK166" s="4143"/>
      <c r="AL166" s="4143"/>
      <c r="AM166" s="4143"/>
      <c r="AN166" s="4143"/>
      <c r="AO166" s="4143"/>
      <c r="AP166" s="4143"/>
      <c r="AQ166" s="4143"/>
      <c r="AR166" s="4143"/>
      <c r="AS166" s="4143"/>
      <c r="AT166" s="4143"/>
      <c r="AU166" s="4143"/>
      <c r="AV166" s="4143"/>
      <c r="AX166" s="4143"/>
      <c r="AY166" s="4143"/>
      <c r="AZ166" s="4143"/>
      <c r="BA166" s="4143"/>
      <c r="BB166" s="4143"/>
      <c r="BC166" s="4143"/>
      <c r="BD166" s="4143"/>
      <c r="BE166" s="4143"/>
      <c r="BF166" s="4143"/>
      <c r="BG166" s="4143"/>
      <c r="BH166" s="4143"/>
      <c r="BI166" s="4143"/>
      <c r="BJ166" s="4143"/>
      <c r="BK166" s="4143"/>
      <c r="BL166" s="4143"/>
      <c r="BM166" s="4143"/>
      <c r="BN166" s="299"/>
      <c r="BP166" s="417"/>
      <c r="BQ166" s="4137"/>
      <c r="BR166" s="4137"/>
      <c r="BS166" s="4137"/>
      <c r="BT166" s="4137"/>
      <c r="BU166" s="4137"/>
      <c r="BV166" s="4137"/>
      <c r="BW166" s="4137"/>
      <c r="BX166" s="339"/>
      <c r="BY166" s="443" t="str">
        <f t="shared" si="53"/>
        <v/>
      </c>
      <c r="BZ166" s="410"/>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row>
    <row r="167" spans="2:112" ht="17.100000000000001" customHeight="1" x14ac:dyDescent="0.15">
      <c r="B167" s="417"/>
      <c r="C167" s="4137"/>
      <c r="D167" s="4137"/>
      <c r="E167" s="4137"/>
      <c r="F167" s="4137"/>
      <c r="G167" s="4137"/>
      <c r="H167" s="4137"/>
      <c r="I167" s="4137"/>
      <c r="J167" s="339"/>
      <c r="K167" s="443" t="str">
        <f t="shared" si="51"/>
        <v/>
      </c>
      <c r="L167" s="410"/>
      <c r="N167" s="242"/>
      <c r="O167" s="4143"/>
      <c r="P167" s="4143"/>
      <c r="Q167" s="4143"/>
      <c r="R167" s="4143"/>
      <c r="S167" s="4143"/>
      <c r="T167" s="4143"/>
      <c r="U167" s="4143"/>
      <c r="V167" s="4143"/>
      <c r="W167" s="4143"/>
      <c r="X167" s="4143"/>
      <c r="Y167" s="4143"/>
      <c r="Z167" s="4143"/>
      <c r="AA167" s="4143"/>
      <c r="AB167" s="4143"/>
      <c r="AC167" s="4143"/>
      <c r="AD167" s="4143"/>
      <c r="AF167" s="4143"/>
      <c r="AG167" s="4143"/>
      <c r="AH167" s="4143"/>
      <c r="AI167" s="4143"/>
      <c r="AJ167" s="4143"/>
      <c r="AK167" s="4143"/>
      <c r="AL167" s="4143"/>
      <c r="AM167" s="4143"/>
      <c r="AN167" s="4143"/>
      <c r="AO167" s="4143"/>
      <c r="AP167" s="4143"/>
      <c r="AQ167" s="4143"/>
      <c r="AR167" s="4143"/>
      <c r="AS167" s="4143"/>
      <c r="AT167" s="4143"/>
      <c r="AU167" s="4143"/>
      <c r="AV167" s="4143"/>
      <c r="AX167" s="4143"/>
      <c r="AY167" s="4143"/>
      <c r="AZ167" s="4143"/>
      <c r="BA167" s="4143"/>
      <c r="BB167" s="4143"/>
      <c r="BC167" s="4143"/>
      <c r="BD167" s="4143"/>
      <c r="BE167" s="4143"/>
      <c r="BF167" s="4143"/>
      <c r="BG167" s="4143"/>
      <c r="BH167" s="4143"/>
      <c r="BI167" s="4143"/>
      <c r="BJ167" s="4143"/>
      <c r="BK167" s="4143"/>
      <c r="BL167" s="4143"/>
      <c r="BM167" s="4143"/>
      <c r="BN167" s="299"/>
      <c r="BP167" s="417"/>
      <c r="BQ167" s="4137"/>
      <c r="BR167" s="4137"/>
      <c r="BS167" s="4137"/>
      <c r="BT167" s="4137"/>
      <c r="BU167" s="4137"/>
      <c r="BV167" s="4137"/>
      <c r="BW167" s="4137"/>
      <c r="BX167" s="339"/>
      <c r="BY167" s="443" t="str">
        <f t="shared" si="53"/>
        <v/>
      </c>
      <c r="BZ167" s="410"/>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row>
    <row r="168" spans="2:112" ht="17.100000000000001" customHeight="1" x14ac:dyDescent="0.15">
      <c r="B168" s="417"/>
      <c r="C168" s="4137"/>
      <c r="D168" s="4137"/>
      <c r="E168" s="4137"/>
      <c r="F168" s="4137"/>
      <c r="G168" s="4137"/>
      <c r="H168" s="4137"/>
      <c r="I168" s="4137"/>
      <c r="J168" s="339"/>
      <c r="K168" s="443" t="str">
        <f t="shared" si="51"/>
        <v/>
      </c>
      <c r="L168" s="410"/>
      <c r="N168" s="242"/>
      <c r="BN168" s="299"/>
      <c r="BP168" s="417"/>
      <c r="BQ168" s="4137"/>
      <c r="BR168" s="4137"/>
      <c r="BS168" s="4137"/>
      <c r="BT168" s="4137"/>
      <c r="BU168" s="4137"/>
      <c r="BV168" s="4137"/>
      <c r="BW168" s="4137"/>
      <c r="BX168" s="339"/>
      <c r="BY168" s="443" t="str">
        <f t="shared" si="53"/>
        <v/>
      </c>
      <c r="BZ168" s="410"/>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row>
    <row r="169" spans="2:112" ht="17.100000000000001" customHeight="1" x14ac:dyDescent="0.15">
      <c r="B169" s="417"/>
      <c r="C169" s="4137"/>
      <c r="D169" s="4137"/>
      <c r="E169" s="4137"/>
      <c r="F169" s="4137"/>
      <c r="G169" s="4137"/>
      <c r="H169" s="4137"/>
      <c r="I169" s="4137"/>
      <c r="J169" s="339"/>
      <c r="K169" s="443" t="str">
        <f t="shared" si="51"/>
        <v/>
      </c>
      <c r="L169" s="410"/>
      <c r="N169" s="242"/>
      <c r="O169" s="4143"/>
      <c r="P169" s="4143"/>
      <c r="Q169" s="4143"/>
      <c r="R169" s="4143"/>
      <c r="S169" s="4143"/>
      <c r="T169" s="4143"/>
      <c r="U169" s="4143"/>
      <c r="V169" s="4143"/>
      <c r="W169" s="4143"/>
      <c r="X169" s="4143"/>
      <c r="Y169" s="4143"/>
      <c r="Z169" s="4143"/>
      <c r="AA169" s="4143"/>
      <c r="AB169" s="4143"/>
      <c r="AC169" s="4143"/>
      <c r="AD169" s="4143"/>
      <c r="AF169" s="4143"/>
      <c r="AG169" s="4143"/>
      <c r="AH169" s="4143"/>
      <c r="AI169" s="4143"/>
      <c r="AJ169" s="4143"/>
      <c r="AK169" s="4143"/>
      <c r="AL169" s="4143"/>
      <c r="AM169" s="4143"/>
      <c r="AN169" s="4143"/>
      <c r="AO169" s="4143"/>
      <c r="AP169" s="4143"/>
      <c r="AQ169" s="4143"/>
      <c r="AR169" s="4143"/>
      <c r="AS169" s="4143"/>
      <c r="AT169" s="4143"/>
      <c r="AU169" s="4143"/>
      <c r="AV169" s="4143"/>
      <c r="AX169" s="4143"/>
      <c r="AY169" s="4143"/>
      <c r="AZ169" s="4143"/>
      <c r="BA169" s="4143"/>
      <c r="BB169" s="4143"/>
      <c r="BC169" s="4143"/>
      <c r="BD169" s="4143"/>
      <c r="BE169" s="4143"/>
      <c r="BF169" s="4143"/>
      <c r="BG169" s="4143"/>
      <c r="BH169" s="4143"/>
      <c r="BI169" s="4143"/>
      <c r="BJ169" s="4143"/>
      <c r="BK169" s="4143"/>
      <c r="BL169" s="4143"/>
      <c r="BM169" s="4143"/>
      <c r="BN169" s="299"/>
      <c r="BP169" s="417"/>
      <c r="BQ169" s="4137"/>
      <c r="BR169" s="4137"/>
      <c r="BS169" s="4137"/>
      <c r="BT169" s="4137"/>
      <c r="BU169" s="4137"/>
      <c r="BV169" s="4137"/>
      <c r="BW169" s="4137"/>
      <c r="BX169" s="339"/>
      <c r="BY169" s="443" t="str">
        <f t="shared" si="53"/>
        <v/>
      </c>
      <c r="BZ169" s="410"/>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row>
    <row r="170" spans="2:112" ht="17.100000000000001" customHeight="1" x14ac:dyDescent="0.15">
      <c r="B170" s="417"/>
      <c r="C170" s="4137"/>
      <c r="D170" s="4137"/>
      <c r="E170" s="4137"/>
      <c r="F170" s="4137"/>
      <c r="G170" s="4137"/>
      <c r="H170" s="4137"/>
      <c r="I170" s="4137"/>
      <c r="J170" s="339"/>
      <c r="K170" s="443" t="str">
        <f t="shared" si="51"/>
        <v/>
      </c>
      <c r="L170" s="410"/>
      <c r="N170" s="242"/>
      <c r="O170" s="4143"/>
      <c r="P170" s="4143"/>
      <c r="Q170" s="4143"/>
      <c r="R170" s="4143"/>
      <c r="S170" s="4143"/>
      <c r="T170" s="4143"/>
      <c r="U170" s="4143"/>
      <c r="V170" s="4143"/>
      <c r="W170" s="4143"/>
      <c r="X170" s="4143"/>
      <c r="Y170" s="4143"/>
      <c r="Z170" s="4143"/>
      <c r="AA170" s="4143"/>
      <c r="AB170" s="4143"/>
      <c r="AC170" s="4143"/>
      <c r="AD170" s="4143"/>
      <c r="AF170" s="4143"/>
      <c r="AG170" s="4143"/>
      <c r="AH170" s="4143"/>
      <c r="AI170" s="4143"/>
      <c r="AJ170" s="4143"/>
      <c r="AK170" s="4143"/>
      <c r="AL170" s="4143"/>
      <c r="AM170" s="4143"/>
      <c r="AN170" s="4143"/>
      <c r="AO170" s="4143"/>
      <c r="AP170" s="4143"/>
      <c r="AQ170" s="4143"/>
      <c r="AR170" s="4143"/>
      <c r="AS170" s="4143"/>
      <c r="AT170" s="4143"/>
      <c r="AU170" s="4143"/>
      <c r="AV170" s="4143"/>
      <c r="AX170" s="4143"/>
      <c r="AY170" s="4143"/>
      <c r="AZ170" s="4143"/>
      <c r="BA170" s="4143"/>
      <c r="BB170" s="4143"/>
      <c r="BC170" s="4143"/>
      <c r="BD170" s="4143"/>
      <c r="BE170" s="4143"/>
      <c r="BF170" s="4143"/>
      <c r="BG170" s="4143"/>
      <c r="BH170" s="4143"/>
      <c r="BI170" s="4143"/>
      <c r="BJ170" s="4143"/>
      <c r="BK170" s="4143"/>
      <c r="BL170" s="4143"/>
      <c r="BM170" s="4143"/>
      <c r="BN170" s="299"/>
      <c r="BP170" s="417"/>
      <c r="BQ170" s="4137"/>
      <c r="BR170" s="4137"/>
      <c r="BS170" s="4137"/>
      <c r="BT170" s="4137"/>
      <c r="BU170" s="4137"/>
      <c r="BV170" s="4137"/>
      <c r="BW170" s="4137"/>
      <c r="BX170" s="339"/>
      <c r="BY170" s="443" t="str">
        <f t="shared" si="53"/>
        <v/>
      </c>
      <c r="BZ170" s="410"/>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row>
    <row r="171" spans="2:112" ht="17.100000000000001" customHeight="1" x14ac:dyDescent="0.15">
      <c r="B171" s="417"/>
      <c r="C171" s="4137"/>
      <c r="D171" s="4137"/>
      <c r="E171" s="4137"/>
      <c r="F171" s="4137"/>
      <c r="G171" s="4137"/>
      <c r="H171" s="4137"/>
      <c r="I171" s="4137"/>
      <c r="J171" s="339"/>
      <c r="K171" s="443" t="str">
        <f t="shared" si="51"/>
        <v/>
      </c>
      <c r="L171" s="410"/>
      <c r="N171" s="242"/>
      <c r="O171" s="4143"/>
      <c r="P171" s="4143"/>
      <c r="Q171" s="4143"/>
      <c r="R171" s="4143"/>
      <c r="S171" s="4143"/>
      <c r="T171" s="4143"/>
      <c r="U171" s="4143"/>
      <c r="V171" s="4143"/>
      <c r="W171" s="4143"/>
      <c r="X171" s="4143"/>
      <c r="Y171" s="4143"/>
      <c r="Z171" s="4143"/>
      <c r="AA171" s="4143"/>
      <c r="AB171" s="4143"/>
      <c r="AC171" s="4143"/>
      <c r="AD171" s="4143"/>
      <c r="AF171" s="4143"/>
      <c r="AG171" s="4143"/>
      <c r="AH171" s="4143"/>
      <c r="AI171" s="4143"/>
      <c r="AJ171" s="4143"/>
      <c r="AK171" s="4143"/>
      <c r="AL171" s="4143"/>
      <c r="AM171" s="4143"/>
      <c r="AN171" s="4143"/>
      <c r="AO171" s="4143"/>
      <c r="AP171" s="4143"/>
      <c r="AQ171" s="4143"/>
      <c r="AR171" s="4143"/>
      <c r="AS171" s="4143"/>
      <c r="AT171" s="4143"/>
      <c r="AU171" s="4143"/>
      <c r="AV171" s="4143"/>
      <c r="AX171" s="4143"/>
      <c r="AY171" s="4143"/>
      <c r="AZ171" s="4143"/>
      <c r="BA171" s="4143"/>
      <c r="BB171" s="4143"/>
      <c r="BC171" s="4143"/>
      <c r="BD171" s="4143"/>
      <c r="BE171" s="4143"/>
      <c r="BF171" s="4143"/>
      <c r="BG171" s="4143"/>
      <c r="BH171" s="4143"/>
      <c r="BI171" s="4143"/>
      <c r="BJ171" s="4143"/>
      <c r="BK171" s="4143"/>
      <c r="BL171" s="4143"/>
      <c r="BM171" s="4143"/>
      <c r="BN171" s="299"/>
      <c r="BP171" s="417"/>
      <c r="BQ171" s="4137"/>
      <c r="BR171" s="4137"/>
      <c r="BS171" s="4137"/>
      <c r="BT171" s="4137"/>
      <c r="BU171" s="4137"/>
      <c r="BV171" s="4137"/>
      <c r="BW171" s="4137"/>
      <c r="BX171" s="339"/>
      <c r="BY171" s="443" t="str">
        <f t="shared" si="53"/>
        <v/>
      </c>
      <c r="BZ171" s="410"/>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row>
    <row r="172" spans="2:112" ht="17.100000000000001" customHeight="1" x14ac:dyDescent="0.15">
      <c r="B172" s="417"/>
      <c r="C172" s="4137"/>
      <c r="D172" s="4137"/>
      <c r="E172" s="4137"/>
      <c r="F172" s="4137"/>
      <c r="G172" s="4137"/>
      <c r="H172" s="4137"/>
      <c r="I172" s="4137"/>
      <c r="J172" s="339"/>
      <c r="K172" s="443" t="str">
        <f t="shared" si="51"/>
        <v/>
      </c>
      <c r="L172" s="410"/>
      <c r="N172" s="242"/>
      <c r="O172" s="4143"/>
      <c r="P172" s="4143"/>
      <c r="Q172" s="4143"/>
      <c r="R172" s="4143"/>
      <c r="S172" s="4143"/>
      <c r="T172" s="4143"/>
      <c r="U172" s="4143"/>
      <c r="V172" s="4143"/>
      <c r="W172" s="4143"/>
      <c r="X172" s="4143"/>
      <c r="Y172" s="4143"/>
      <c r="Z172" s="4143"/>
      <c r="AA172" s="4143"/>
      <c r="AB172" s="4143"/>
      <c r="AC172" s="4143"/>
      <c r="AD172" s="4143"/>
      <c r="AF172" s="4143"/>
      <c r="AG172" s="4143"/>
      <c r="AH172" s="4143"/>
      <c r="AI172" s="4143"/>
      <c r="AJ172" s="4143"/>
      <c r="AK172" s="4143"/>
      <c r="AL172" s="4143"/>
      <c r="AM172" s="4143"/>
      <c r="AN172" s="4143"/>
      <c r="AO172" s="4143"/>
      <c r="AP172" s="4143"/>
      <c r="AQ172" s="4143"/>
      <c r="AR172" s="4143"/>
      <c r="AS172" s="4143"/>
      <c r="AT172" s="4143"/>
      <c r="AU172" s="4143"/>
      <c r="AV172" s="4143"/>
      <c r="AX172" s="4143"/>
      <c r="AY172" s="4143"/>
      <c r="AZ172" s="4143"/>
      <c r="BA172" s="4143"/>
      <c r="BB172" s="4143"/>
      <c r="BC172" s="4143"/>
      <c r="BD172" s="4143"/>
      <c r="BE172" s="4143"/>
      <c r="BF172" s="4143"/>
      <c r="BG172" s="4143"/>
      <c r="BH172" s="4143"/>
      <c r="BI172" s="4143"/>
      <c r="BJ172" s="4143"/>
      <c r="BK172" s="4143"/>
      <c r="BL172" s="4143"/>
      <c r="BM172" s="4143"/>
      <c r="BN172" s="299"/>
      <c r="BP172" s="417"/>
      <c r="BQ172" s="4137"/>
      <c r="BR172" s="4137"/>
      <c r="BS172" s="4137"/>
      <c r="BT172" s="4137"/>
      <c r="BU172" s="4137"/>
      <c r="BV172" s="4137"/>
      <c r="BW172" s="4137"/>
      <c r="BX172" s="339"/>
      <c r="BY172" s="443" t="str">
        <f t="shared" si="53"/>
        <v/>
      </c>
      <c r="BZ172" s="410"/>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row>
    <row r="173" spans="2:112" ht="17.100000000000001" customHeight="1" x14ac:dyDescent="0.15">
      <c r="B173" s="417"/>
      <c r="C173" s="4137"/>
      <c r="D173" s="4137"/>
      <c r="E173" s="4137"/>
      <c r="F173" s="4137"/>
      <c r="G173" s="4137"/>
      <c r="H173" s="4137"/>
      <c r="I173" s="4137"/>
      <c r="J173" s="339"/>
      <c r="K173" s="443" t="str">
        <f t="shared" si="51"/>
        <v/>
      </c>
      <c r="L173" s="410"/>
      <c r="N173" s="242"/>
      <c r="O173" s="4143"/>
      <c r="P173" s="4143"/>
      <c r="Q173" s="4143"/>
      <c r="R173" s="4143"/>
      <c r="S173" s="4143"/>
      <c r="T173" s="4143"/>
      <c r="U173" s="4143"/>
      <c r="V173" s="4143"/>
      <c r="W173" s="4143"/>
      <c r="X173" s="4143"/>
      <c r="Y173" s="4143"/>
      <c r="Z173" s="4143"/>
      <c r="AA173" s="4143"/>
      <c r="AB173" s="4143"/>
      <c r="AC173" s="4143"/>
      <c r="AD173" s="4143"/>
      <c r="AF173" s="4143"/>
      <c r="AG173" s="4143"/>
      <c r="AH173" s="4143"/>
      <c r="AI173" s="4143"/>
      <c r="AJ173" s="4143"/>
      <c r="AK173" s="4143"/>
      <c r="AL173" s="4143"/>
      <c r="AM173" s="4143"/>
      <c r="AN173" s="4143"/>
      <c r="AO173" s="4143"/>
      <c r="AP173" s="4143"/>
      <c r="AQ173" s="4143"/>
      <c r="AR173" s="4143"/>
      <c r="AS173" s="4143"/>
      <c r="AT173" s="4143"/>
      <c r="AU173" s="4143"/>
      <c r="AV173" s="4143"/>
      <c r="AX173" s="4143"/>
      <c r="AY173" s="4143"/>
      <c r="AZ173" s="4143"/>
      <c r="BA173" s="4143"/>
      <c r="BB173" s="4143"/>
      <c r="BC173" s="4143"/>
      <c r="BD173" s="4143"/>
      <c r="BE173" s="4143"/>
      <c r="BF173" s="4143"/>
      <c r="BG173" s="4143"/>
      <c r="BH173" s="4143"/>
      <c r="BI173" s="4143"/>
      <c r="BJ173" s="4143"/>
      <c r="BK173" s="4143"/>
      <c r="BL173" s="4143"/>
      <c r="BM173" s="4143"/>
      <c r="BN173" s="299"/>
      <c r="BP173" s="417"/>
      <c r="BQ173" s="4137"/>
      <c r="BR173" s="4137"/>
      <c r="BS173" s="4137"/>
      <c r="BT173" s="4137"/>
      <c r="BU173" s="4137"/>
      <c r="BV173" s="4137"/>
      <c r="BW173" s="4137"/>
      <c r="BX173" s="339"/>
      <c r="BY173" s="443" t="str">
        <f t="shared" si="53"/>
        <v/>
      </c>
      <c r="BZ173" s="410"/>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row>
    <row r="174" spans="2:112" ht="17.100000000000001" customHeight="1" x14ac:dyDescent="0.15">
      <c r="B174" s="417"/>
      <c r="C174" s="4137"/>
      <c r="D174" s="4137"/>
      <c r="E174" s="4137"/>
      <c r="F174" s="4137"/>
      <c r="G174" s="4137"/>
      <c r="H174" s="4137"/>
      <c r="I174" s="4137"/>
      <c r="J174" s="339"/>
      <c r="K174" s="443" t="str">
        <f t="shared" si="51"/>
        <v/>
      </c>
      <c r="L174" s="410"/>
      <c r="N174" s="242"/>
      <c r="O174" s="4143"/>
      <c r="P174" s="4143"/>
      <c r="Q174" s="4143"/>
      <c r="R174" s="4143"/>
      <c r="S174" s="4143"/>
      <c r="T174" s="4143"/>
      <c r="U174" s="4143"/>
      <c r="V174" s="4143"/>
      <c r="W174" s="4143"/>
      <c r="X174" s="4143"/>
      <c r="Y174" s="4143"/>
      <c r="Z174" s="4143"/>
      <c r="AA174" s="4143"/>
      <c r="AB174" s="4143"/>
      <c r="AC174" s="4143"/>
      <c r="AD174" s="4143"/>
      <c r="AF174" s="4143"/>
      <c r="AG174" s="4143"/>
      <c r="AH174" s="4143"/>
      <c r="AI174" s="4143"/>
      <c r="AJ174" s="4143"/>
      <c r="AK174" s="4143"/>
      <c r="AL174" s="4143"/>
      <c r="AM174" s="4143"/>
      <c r="AN174" s="4143"/>
      <c r="AO174" s="4143"/>
      <c r="AP174" s="4143"/>
      <c r="AQ174" s="4143"/>
      <c r="AR174" s="4143"/>
      <c r="AS174" s="4143"/>
      <c r="AT174" s="4143"/>
      <c r="AU174" s="4143"/>
      <c r="AV174" s="4143"/>
      <c r="AX174" s="4143"/>
      <c r="AY174" s="4143"/>
      <c r="AZ174" s="4143"/>
      <c r="BA174" s="4143"/>
      <c r="BB174" s="4143"/>
      <c r="BC174" s="4143"/>
      <c r="BD174" s="4143"/>
      <c r="BE174" s="4143"/>
      <c r="BF174" s="4143"/>
      <c r="BG174" s="4143"/>
      <c r="BH174" s="4143"/>
      <c r="BI174" s="4143"/>
      <c r="BJ174" s="4143"/>
      <c r="BK174" s="4143"/>
      <c r="BL174" s="4143"/>
      <c r="BM174" s="4143"/>
      <c r="BN174" s="299"/>
      <c r="BP174" s="417"/>
      <c r="BQ174" s="4137"/>
      <c r="BR174" s="4137"/>
      <c r="BS174" s="4137"/>
      <c r="BT174" s="4137"/>
      <c r="BU174" s="4137"/>
      <c r="BV174" s="4137"/>
      <c r="BW174" s="4137"/>
      <c r="BX174" s="339"/>
      <c r="BY174" s="443" t="str">
        <f t="shared" si="53"/>
        <v/>
      </c>
      <c r="BZ174" s="410"/>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row>
    <row r="175" spans="2:112" ht="17.100000000000001" customHeight="1" x14ac:dyDescent="0.15">
      <c r="B175" s="417"/>
      <c r="C175" s="4137"/>
      <c r="D175" s="4137"/>
      <c r="E175" s="4137"/>
      <c r="F175" s="4137"/>
      <c r="G175" s="4137"/>
      <c r="H175" s="4137"/>
      <c r="I175" s="4137"/>
      <c r="J175" s="339"/>
      <c r="K175" s="443" t="str">
        <f t="shared" si="51"/>
        <v/>
      </c>
      <c r="L175" s="410"/>
      <c r="N175" s="242"/>
      <c r="AF175" s="4143"/>
      <c r="AG175" s="4143"/>
      <c r="AH175" s="4143"/>
      <c r="AI175" s="4143"/>
      <c r="AJ175" s="4143"/>
      <c r="AK175" s="4143"/>
      <c r="AL175" s="4143"/>
      <c r="AM175" s="4143"/>
      <c r="AN175" s="4143"/>
      <c r="AO175" s="4143"/>
      <c r="AP175" s="4143"/>
      <c r="AQ175" s="4143"/>
      <c r="AR175" s="4143"/>
      <c r="AS175" s="4143"/>
      <c r="AT175" s="4143"/>
      <c r="AU175" s="4143"/>
      <c r="AV175" s="4143"/>
      <c r="BN175" s="299"/>
      <c r="BP175" s="417"/>
      <c r="BQ175" s="4137"/>
      <c r="BR175" s="4137"/>
      <c r="BS175" s="4137"/>
      <c r="BT175" s="4137"/>
      <c r="BU175" s="4137"/>
      <c r="BV175" s="4137"/>
      <c r="BW175" s="4137"/>
      <c r="BX175" s="339"/>
      <c r="BY175" s="443" t="str">
        <f t="shared" si="53"/>
        <v/>
      </c>
      <c r="BZ175" s="410"/>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row>
    <row r="176" spans="2:112" ht="17.100000000000001" customHeight="1" x14ac:dyDescent="0.15">
      <c r="B176" s="417"/>
      <c r="C176" s="4137"/>
      <c r="D176" s="4137"/>
      <c r="E176" s="4137"/>
      <c r="F176" s="4137"/>
      <c r="G176" s="4137"/>
      <c r="H176" s="4137"/>
      <c r="I176" s="4137"/>
      <c r="J176" s="339"/>
      <c r="K176" s="443" t="str">
        <f t="shared" si="51"/>
        <v/>
      </c>
      <c r="L176" s="410"/>
      <c r="N176" s="242"/>
      <c r="O176" s="4143"/>
      <c r="P176" s="4143"/>
      <c r="Q176" s="4143"/>
      <c r="R176" s="4143"/>
      <c r="S176" s="4143"/>
      <c r="T176" s="4143"/>
      <c r="U176" s="4143"/>
      <c r="V176" s="4143"/>
      <c r="W176" s="4143"/>
      <c r="X176" s="4143"/>
      <c r="Y176" s="4143"/>
      <c r="Z176" s="4143"/>
      <c r="AA176" s="4143"/>
      <c r="AB176" s="4143"/>
      <c r="AC176" s="4143"/>
      <c r="AD176" s="4143"/>
      <c r="AF176" s="4143"/>
      <c r="AG176" s="4143"/>
      <c r="AH176" s="4143"/>
      <c r="AI176" s="4143"/>
      <c r="AJ176" s="4143"/>
      <c r="AK176" s="4143"/>
      <c r="AL176" s="4143"/>
      <c r="AM176" s="4143"/>
      <c r="AN176" s="4143"/>
      <c r="AO176" s="4143"/>
      <c r="AP176" s="4143"/>
      <c r="AQ176" s="4143"/>
      <c r="AR176" s="4143"/>
      <c r="AS176" s="4143"/>
      <c r="AT176" s="4143"/>
      <c r="AU176" s="4143"/>
      <c r="AV176" s="4143"/>
      <c r="AX176" s="4143"/>
      <c r="AY176" s="4143"/>
      <c r="AZ176" s="4143"/>
      <c r="BA176" s="4143"/>
      <c r="BB176" s="4143"/>
      <c r="BC176" s="4143"/>
      <c r="BD176" s="4143"/>
      <c r="BE176" s="4143"/>
      <c r="BF176" s="4143"/>
      <c r="BG176" s="4143"/>
      <c r="BH176" s="4143"/>
      <c r="BI176" s="4143"/>
      <c r="BJ176" s="4143"/>
      <c r="BK176" s="4143"/>
      <c r="BL176" s="4143"/>
      <c r="BM176" s="4143"/>
      <c r="BN176" s="299"/>
      <c r="BP176" s="417"/>
      <c r="BQ176" s="4137"/>
      <c r="BR176" s="4137"/>
      <c r="BS176" s="4137"/>
      <c r="BT176" s="4137"/>
      <c r="BU176" s="4137"/>
      <c r="BV176" s="4137"/>
      <c r="BW176" s="4137"/>
      <c r="BX176" s="339"/>
      <c r="BY176" s="443" t="str">
        <f t="shared" si="53"/>
        <v/>
      </c>
      <c r="BZ176" s="410"/>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row>
    <row r="177" spans="2:112" ht="17.100000000000001" customHeight="1" x14ac:dyDescent="0.15">
      <c r="B177" s="417"/>
      <c r="C177" s="4137"/>
      <c r="D177" s="4137"/>
      <c r="E177" s="4137"/>
      <c r="F177" s="4137"/>
      <c r="G177" s="4137"/>
      <c r="H177" s="4137"/>
      <c r="I177" s="4137"/>
      <c r="J177" s="339"/>
      <c r="K177" s="443" t="str">
        <f t="shared" si="51"/>
        <v/>
      </c>
      <c r="L177" s="410"/>
      <c r="N177" s="242"/>
      <c r="O177" s="4143"/>
      <c r="P177" s="4143"/>
      <c r="Q177" s="4143"/>
      <c r="R177" s="4143"/>
      <c r="S177" s="4143"/>
      <c r="T177" s="4143"/>
      <c r="U177" s="4143"/>
      <c r="V177" s="4143"/>
      <c r="W177" s="4143"/>
      <c r="X177" s="4143"/>
      <c r="Y177" s="4143"/>
      <c r="Z177" s="4143"/>
      <c r="AA177" s="4143"/>
      <c r="AB177" s="4143"/>
      <c r="AC177" s="4143"/>
      <c r="AD177" s="4143"/>
      <c r="AF177" s="4143"/>
      <c r="AG177" s="4143"/>
      <c r="AH177" s="4143"/>
      <c r="AI177" s="4143"/>
      <c r="AJ177" s="4143"/>
      <c r="AK177" s="4143"/>
      <c r="AL177" s="4143"/>
      <c r="AM177" s="4143"/>
      <c r="AN177" s="4143"/>
      <c r="AO177" s="4143"/>
      <c r="AP177" s="4143"/>
      <c r="AQ177" s="4143"/>
      <c r="AR177" s="4143"/>
      <c r="AS177" s="4143"/>
      <c r="AT177" s="4143"/>
      <c r="AU177" s="4143"/>
      <c r="AV177" s="4143"/>
      <c r="AX177" s="4143"/>
      <c r="AY177" s="4143"/>
      <c r="AZ177" s="4143"/>
      <c r="BA177" s="4143"/>
      <c r="BB177" s="4143"/>
      <c r="BC177" s="4143"/>
      <c r="BD177" s="4143"/>
      <c r="BE177" s="4143"/>
      <c r="BF177" s="4143"/>
      <c r="BG177" s="4143"/>
      <c r="BH177" s="4143"/>
      <c r="BI177" s="4143"/>
      <c r="BJ177" s="4143"/>
      <c r="BK177" s="4143"/>
      <c r="BL177" s="4143"/>
      <c r="BM177" s="4143"/>
      <c r="BN177" s="299"/>
      <c r="BP177" s="417"/>
      <c r="BQ177" s="4137"/>
      <c r="BR177" s="4137"/>
      <c r="BS177" s="4137"/>
      <c r="BT177" s="4137"/>
      <c r="BU177" s="4137"/>
      <c r="BV177" s="4137"/>
      <c r="BW177" s="4137"/>
      <c r="BX177" s="339"/>
      <c r="BY177" s="443" t="str">
        <f t="shared" si="53"/>
        <v/>
      </c>
      <c r="BZ177" s="410"/>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row>
    <row r="178" spans="2:112" ht="17.100000000000001" customHeight="1" x14ac:dyDescent="0.15">
      <c r="B178" s="417"/>
      <c r="C178" s="4137"/>
      <c r="D178" s="4137"/>
      <c r="E178" s="4137"/>
      <c r="F178" s="4137"/>
      <c r="G178" s="4137"/>
      <c r="H178" s="4137"/>
      <c r="I178" s="4137"/>
      <c r="J178" s="339"/>
      <c r="K178" s="443" t="str">
        <f t="shared" si="51"/>
        <v/>
      </c>
      <c r="L178" s="410"/>
      <c r="N178" s="242"/>
      <c r="O178" s="4143"/>
      <c r="P178" s="4143"/>
      <c r="Q178" s="4143"/>
      <c r="R178" s="4143"/>
      <c r="S178" s="4143"/>
      <c r="T178" s="4143"/>
      <c r="U178" s="4143"/>
      <c r="V178" s="4143"/>
      <c r="W178" s="4143"/>
      <c r="X178" s="4143"/>
      <c r="Y178" s="4143"/>
      <c r="Z178" s="4143"/>
      <c r="AA178" s="4143"/>
      <c r="AB178" s="4143"/>
      <c r="AC178" s="4143"/>
      <c r="AD178" s="4143"/>
      <c r="AF178" s="4143"/>
      <c r="AG178" s="4143"/>
      <c r="AH178" s="4143"/>
      <c r="AI178" s="4143"/>
      <c r="AJ178" s="4143"/>
      <c r="AK178" s="4143"/>
      <c r="AL178" s="4143"/>
      <c r="AM178" s="4143"/>
      <c r="AN178" s="4143"/>
      <c r="AO178" s="4143"/>
      <c r="AP178" s="4143"/>
      <c r="AQ178" s="4143"/>
      <c r="AR178" s="4143"/>
      <c r="AS178" s="4143"/>
      <c r="AT178" s="4143"/>
      <c r="AU178" s="4143"/>
      <c r="AV178" s="4143"/>
      <c r="AX178" s="4143"/>
      <c r="AY178" s="4143"/>
      <c r="AZ178" s="4143"/>
      <c r="BA178" s="4143"/>
      <c r="BB178" s="4143"/>
      <c r="BC178" s="4143"/>
      <c r="BD178" s="4143"/>
      <c r="BE178" s="4143"/>
      <c r="BF178" s="4143"/>
      <c r="BG178" s="4143"/>
      <c r="BH178" s="4143"/>
      <c r="BI178" s="4143"/>
      <c r="BJ178" s="4143"/>
      <c r="BK178" s="4143"/>
      <c r="BL178" s="4143"/>
      <c r="BM178" s="4143"/>
      <c r="BN178" s="299"/>
      <c r="BP178" s="417"/>
      <c r="BQ178" s="4137"/>
      <c r="BR178" s="4137"/>
      <c r="BS178" s="4137"/>
      <c r="BT178" s="4137"/>
      <c r="BU178" s="4137"/>
      <c r="BV178" s="4137"/>
      <c r="BW178" s="4137"/>
      <c r="BX178" s="339"/>
      <c r="BY178" s="443" t="str">
        <f t="shared" si="53"/>
        <v/>
      </c>
      <c r="BZ178" s="410"/>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row>
    <row r="179" spans="2:112" ht="17.100000000000001" customHeight="1" x14ac:dyDescent="0.15">
      <c r="B179" s="417"/>
      <c r="C179" s="4137"/>
      <c r="D179" s="4137"/>
      <c r="E179" s="4137"/>
      <c r="F179" s="4137"/>
      <c r="G179" s="4137"/>
      <c r="H179" s="4137"/>
      <c r="I179" s="4137"/>
      <c r="J179" s="339"/>
      <c r="K179" s="443" t="str">
        <f t="shared" si="51"/>
        <v/>
      </c>
      <c r="L179" s="410"/>
      <c r="N179" s="242"/>
      <c r="O179" s="4143"/>
      <c r="P179" s="4143"/>
      <c r="Q179" s="4143"/>
      <c r="R179" s="4143"/>
      <c r="S179" s="4143"/>
      <c r="T179" s="4143"/>
      <c r="U179" s="4143"/>
      <c r="V179" s="4143"/>
      <c r="W179" s="4143"/>
      <c r="X179" s="4143"/>
      <c r="Y179" s="4143"/>
      <c r="Z179" s="4143"/>
      <c r="AA179" s="4143"/>
      <c r="AB179" s="4143"/>
      <c r="AC179" s="4143"/>
      <c r="AD179" s="4143"/>
      <c r="AF179" s="4143"/>
      <c r="AG179" s="4143"/>
      <c r="AH179" s="4143"/>
      <c r="AI179" s="4143"/>
      <c r="AJ179" s="4143"/>
      <c r="AK179" s="4143"/>
      <c r="AL179" s="4143"/>
      <c r="AM179" s="4143"/>
      <c r="AN179" s="4143"/>
      <c r="AO179" s="4143"/>
      <c r="AP179" s="4143"/>
      <c r="AQ179" s="4143"/>
      <c r="AR179" s="4143"/>
      <c r="AS179" s="4143"/>
      <c r="AT179" s="4143"/>
      <c r="AU179" s="4143"/>
      <c r="AV179" s="4143"/>
      <c r="AX179" s="4143"/>
      <c r="AY179" s="4143"/>
      <c r="AZ179" s="4143"/>
      <c r="BA179" s="4143"/>
      <c r="BB179" s="4143"/>
      <c r="BC179" s="4143"/>
      <c r="BD179" s="4143"/>
      <c r="BE179" s="4143"/>
      <c r="BF179" s="4143"/>
      <c r="BG179" s="4143"/>
      <c r="BH179" s="4143"/>
      <c r="BI179" s="4143"/>
      <c r="BJ179" s="4143"/>
      <c r="BK179" s="4143"/>
      <c r="BL179" s="4143"/>
      <c r="BM179" s="4143"/>
      <c r="BN179" s="299"/>
      <c r="BP179" s="417"/>
      <c r="BQ179" s="4137"/>
      <c r="BR179" s="4137"/>
      <c r="BS179" s="4137"/>
      <c r="BT179" s="4137"/>
      <c r="BU179" s="4137"/>
      <c r="BV179" s="4137"/>
      <c r="BW179" s="4137"/>
      <c r="BX179" s="339"/>
      <c r="BY179" s="443" t="str">
        <f t="shared" si="53"/>
        <v/>
      </c>
      <c r="BZ179" s="410"/>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row>
    <row r="180" spans="2:112" ht="17.100000000000001" customHeight="1" x14ac:dyDescent="0.15">
      <c r="B180" s="417"/>
      <c r="C180" s="4137"/>
      <c r="D180" s="4137"/>
      <c r="E180" s="4137"/>
      <c r="F180" s="4137"/>
      <c r="G180" s="4137"/>
      <c r="H180" s="4137"/>
      <c r="I180" s="4137"/>
      <c r="J180" s="339"/>
      <c r="K180" s="443" t="str">
        <f t="shared" si="51"/>
        <v/>
      </c>
      <c r="L180" s="410"/>
      <c r="N180" s="242"/>
      <c r="O180" s="4143"/>
      <c r="P180" s="4143"/>
      <c r="Q180" s="4143"/>
      <c r="R180" s="4143"/>
      <c r="S180" s="4143"/>
      <c r="T180" s="4143"/>
      <c r="U180" s="4143"/>
      <c r="V180" s="4143"/>
      <c r="W180" s="4143"/>
      <c r="X180" s="4143"/>
      <c r="Y180" s="4143"/>
      <c r="Z180" s="4143"/>
      <c r="AA180" s="4143"/>
      <c r="AB180" s="4143"/>
      <c r="AC180" s="4143"/>
      <c r="AD180" s="4143"/>
      <c r="AF180" s="4143"/>
      <c r="AG180" s="4143"/>
      <c r="AH180" s="4143"/>
      <c r="AI180" s="4143"/>
      <c r="AJ180" s="4143"/>
      <c r="AK180" s="4143"/>
      <c r="AL180" s="4143"/>
      <c r="AM180" s="4143"/>
      <c r="AN180" s="4143"/>
      <c r="AO180" s="4143"/>
      <c r="AP180" s="4143"/>
      <c r="AQ180" s="4143"/>
      <c r="AR180" s="4143"/>
      <c r="AS180" s="4143"/>
      <c r="AT180" s="4143"/>
      <c r="AU180" s="4143"/>
      <c r="AV180" s="4143"/>
      <c r="AX180" s="4143"/>
      <c r="AY180" s="4143"/>
      <c r="AZ180" s="4143"/>
      <c r="BA180" s="4143"/>
      <c r="BB180" s="4143"/>
      <c r="BC180" s="4143"/>
      <c r="BD180" s="4143"/>
      <c r="BE180" s="4143"/>
      <c r="BF180" s="4143"/>
      <c r="BG180" s="4143"/>
      <c r="BH180" s="4143"/>
      <c r="BI180" s="4143"/>
      <c r="BJ180" s="4143"/>
      <c r="BK180" s="4143"/>
      <c r="BL180" s="4143"/>
      <c r="BM180" s="4143"/>
      <c r="BN180" s="299"/>
      <c r="BP180" s="417"/>
      <c r="BQ180" s="4137"/>
      <c r="BR180" s="4137"/>
      <c r="BS180" s="4137"/>
      <c r="BT180" s="4137"/>
      <c r="BU180" s="4137"/>
      <c r="BV180" s="4137"/>
      <c r="BW180" s="4137"/>
      <c r="BX180" s="339"/>
      <c r="BY180" s="443" t="str">
        <f t="shared" si="53"/>
        <v/>
      </c>
      <c r="BZ180" s="410"/>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row>
    <row r="181" spans="2:112" ht="17.100000000000001" customHeight="1" x14ac:dyDescent="0.15">
      <c r="B181" s="417"/>
      <c r="C181" s="4137"/>
      <c r="D181" s="4137"/>
      <c r="E181" s="4137"/>
      <c r="F181" s="4137"/>
      <c r="G181" s="4137"/>
      <c r="H181" s="4137"/>
      <c r="I181" s="4137"/>
      <c r="J181" s="339"/>
      <c r="K181" s="443" t="str">
        <f t="shared" si="51"/>
        <v/>
      </c>
      <c r="L181" s="410"/>
      <c r="N181" s="242"/>
      <c r="O181" s="4143"/>
      <c r="P181" s="4143"/>
      <c r="Q181" s="4143"/>
      <c r="R181" s="4143"/>
      <c r="S181" s="4143"/>
      <c r="T181" s="4143"/>
      <c r="U181" s="4143"/>
      <c r="V181" s="4143"/>
      <c r="W181" s="4143"/>
      <c r="X181" s="4143"/>
      <c r="Y181" s="4143"/>
      <c r="Z181" s="4143"/>
      <c r="AA181" s="4143"/>
      <c r="AB181" s="4143"/>
      <c r="AC181" s="4143"/>
      <c r="AD181" s="4143"/>
      <c r="AF181" s="4143"/>
      <c r="AG181" s="4143"/>
      <c r="AH181" s="4143"/>
      <c r="AI181" s="4143"/>
      <c r="AJ181" s="4143"/>
      <c r="AK181" s="4143"/>
      <c r="AL181" s="4143"/>
      <c r="AM181" s="4143"/>
      <c r="AN181" s="4143"/>
      <c r="AO181" s="4143"/>
      <c r="AP181" s="4143"/>
      <c r="AQ181" s="4143"/>
      <c r="AR181" s="4143"/>
      <c r="AS181" s="4143"/>
      <c r="AT181" s="4143"/>
      <c r="AU181" s="4143"/>
      <c r="AV181" s="4143"/>
      <c r="AX181" s="4143"/>
      <c r="AY181" s="4143"/>
      <c r="AZ181" s="4143"/>
      <c r="BA181" s="4143"/>
      <c r="BB181" s="4143"/>
      <c r="BC181" s="4143"/>
      <c r="BD181" s="4143"/>
      <c r="BE181" s="4143"/>
      <c r="BF181" s="4143"/>
      <c r="BG181" s="4143"/>
      <c r="BH181" s="4143"/>
      <c r="BI181" s="4143"/>
      <c r="BJ181" s="4143"/>
      <c r="BK181" s="4143"/>
      <c r="BL181" s="4143"/>
      <c r="BM181" s="4143"/>
      <c r="BN181" s="299"/>
      <c r="BP181" s="417"/>
      <c r="BQ181" s="4137"/>
      <c r="BR181" s="4137"/>
      <c r="BS181" s="4137"/>
      <c r="BT181" s="4137"/>
      <c r="BU181" s="4137"/>
      <c r="BV181" s="4137"/>
      <c r="BW181" s="4137"/>
      <c r="BX181" s="339"/>
      <c r="BY181" s="443" t="str">
        <f t="shared" si="53"/>
        <v/>
      </c>
      <c r="BZ181" s="410"/>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row>
    <row r="182" spans="2:112" ht="17.100000000000001" customHeight="1" x14ac:dyDescent="0.15">
      <c r="B182" s="417"/>
      <c r="C182" s="4137"/>
      <c r="D182" s="4137"/>
      <c r="E182" s="4137"/>
      <c r="F182" s="4137"/>
      <c r="G182" s="4137"/>
      <c r="H182" s="4137"/>
      <c r="I182" s="4137"/>
      <c r="J182" s="339"/>
      <c r="K182" s="443" t="str">
        <f t="shared" si="51"/>
        <v/>
      </c>
      <c r="L182" s="410"/>
      <c r="N182" s="242"/>
      <c r="BN182" s="299"/>
      <c r="BP182" s="417"/>
      <c r="BQ182" s="4137"/>
      <c r="BR182" s="4137"/>
      <c r="BS182" s="4137"/>
      <c r="BT182" s="4137"/>
      <c r="BU182" s="4137"/>
      <c r="BV182" s="4137"/>
      <c r="BW182" s="4137"/>
      <c r="BX182" s="339"/>
      <c r="BY182" s="443" t="str">
        <f t="shared" si="53"/>
        <v/>
      </c>
      <c r="BZ182" s="410"/>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row>
    <row r="183" spans="2:112" ht="17.100000000000001" customHeight="1" x14ac:dyDescent="0.15">
      <c r="B183" s="417"/>
      <c r="C183" s="4137"/>
      <c r="D183" s="4137"/>
      <c r="E183" s="4137"/>
      <c r="F183" s="4137"/>
      <c r="G183" s="4137"/>
      <c r="H183" s="4137"/>
      <c r="I183" s="4137"/>
      <c r="J183" s="339"/>
      <c r="K183" s="443" t="str">
        <f t="shared" si="51"/>
        <v/>
      </c>
      <c r="L183" s="410"/>
      <c r="N183" s="242"/>
      <c r="O183" s="4143"/>
      <c r="P183" s="4143"/>
      <c r="Q183" s="4143"/>
      <c r="R183" s="4143"/>
      <c r="S183" s="4143"/>
      <c r="T183" s="4143"/>
      <c r="U183" s="4143"/>
      <c r="V183" s="4143"/>
      <c r="W183" s="4143"/>
      <c r="X183" s="4143"/>
      <c r="Y183" s="4143"/>
      <c r="Z183" s="4143"/>
      <c r="AA183" s="4143"/>
      <c r="AB183" s="4143"/>
      <c r="AC183" s="4143"/>
      <c r="AD183" s="4143"/>
      <c r="AF183" s="4143"/>
      <c r="AG183" s="4143"/>
      <c r="AH183" s="4143"/>
      <c r="AI183" s="4143"/>
      <c r="AJ183" s="4143"/>
      <c r="AK183" s="4143"/>
      <c r="AL183" s="4143"/>
      <c r="AM183" s="4143"/>
      <c r="AN183" s="4143"/>
      <c r="AO183" s="4143"/>
      <c r="AP183" s="4143"/>
      <c r="AQ183" s="4143"/>
      <c r="AR183" s="4143"/>
      <c r="AS183" s="4143"/>
      <c r="AT183" s="4143"/>
      <c r="AU183" s="4143"/>
      <c r="AV183" s="4143"/>
      <c r="AX183" s="4143"/>
      <c r="AY183" s="4143"/>
      <c r="AZ183" s="4143"/>
      <c r="BA183" s="4143"/>
      <c r="BB183" s="4143"/>
      <c r="BC183" s="4143"/>
      <c r="BD183" s="4143"/>
      <c r="BE183" s="4143"/>
      <c r="BF183" s="4143"/>
      <c r="BG183" s="4143"/>
      <c r="BH183" s="4143"/>
      <c r="BI183" s="4143"/>
      <c r="BJ183" s="4143"/>
      <c r="BK183" s="4143"/>
      <c r="BL183" s="4143"/>
      <c r="BM183" s="4143"/>
      <c r="BN183" s="299"/>
      <c r="BP183" s="417"/>
      <c r="BQ183" s="4137"/>
      <c r="BR183" s="4137"/>
      <c r="BS183" s="4137"/>
      <c r="BT183" s="4137"/>
      <c r="BU183" s="4137"/>
      <c r="BV183" s="4137"/>
      <c r="BW183" s="4137"/>
      <c r="BX183" s="339"/>
      <c r="BY183" s="443" t="str">
        <f t="shared" si="53"/>
        <v/>
      </c>
      <c r="BZ183" s="410"/>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row>
    <row r="184" spans="2:112" ht="17.100000000000001" customHeight="1" x14ac:dyDescent="0.15">
      <c r="B184" s="417"/>
      <c r="C184" s="4137"/>
      <c r="D184" s="4137"/>
      <c r="E184" s="4137"/>
      <c r="F184" s="4137"/>
      <c r="G184" s="4137"/>
      <c r="H184" s="4137"/>
      <c r="I184" s="4137"/>
      <c r="J184" s="339"/>
      <c r="K184" s="443" t="str">
        <f t="shared" si="51"/>
        <v/>
      </c>
      <c r="L184" s="410"/>
      <c r="N184" s="242"/>
      <c r="O184" s="4143"/>
      <c r="P184" s="4143"/>
      <c r="Q184" s="4143"/>
      <c r="R184" s="4143"/>
      <c r="S184" s="4143"/>
      <c r="T184" s="4143"/>
      <c r="U184" s="4143"/>
      <c r="V184" s="4143"/>
      <c r="W184" s="4143"/>
      <c r="X184" s="4143"/>
      <c r="Y184" s="4143"/>
      <c r="Z184" s="4143"/>
      <c r="AA184" s="4143"/>
      <c r="AB184" s="4143"/>
      <c r="AC184" s="4143"/>
      <c r="AD184" s="4143"/>
      <c r="AF184" s="4143"/>
      <c r="AG184" s="4143"/>
      <c r="AH184" s="4143"/>
      <c r="AI184" s="4143"/>
      <c r="AJ184" s="4143"/>
      <c r="AK184" s="4143"/>
      <c r="AL184" s="4143"/>
      <c r="AM184" s="4143"/>
      <c r="AN184" s="4143"/>
      <c r="AO184" s="4143"/>
      <c r="AP184" s="4143"/>
      <c r="AQ184" s="4143"/>
      <c r="AR184" s="4143"/>
      <c r="AS184" s="4143"/>
      <c r="AT184" s="4143"/>
      <c r="AU184" s="4143"/>
      <c r="AV184" s="4143"/>
      <c r="AX184" s="4143"/>
      <c r="AY184" s="4143"/>
      <c r="AZ184" s="4143"/>
      <c r="BA184" s="4143"/>
      <c r="BB184" s="4143"/>
      <c r="BC184" s="4143"/>
      <c r="BD184" s="4143"/>
      <c r="BE184" s="4143"/>
      <c r="BF184" s="4143"/>
      <c r="BG184" s="4143"/>
      <c r="BH184" s="4143"/>
      <c r="BI184" s="4143"/>
      <c r="BJ184" s="4143"/>
      <c r="BK184" s="4143"/>
      <c r="BL184" s="4143"/>
      <c r="BM184" s="4143"/>
      <c r="BN184" s="299"/>
      <c r="BP184" s="417"/>
      <c r="BQ184" s="4137"/>
      <c r="BR184" s="4137"/>
      <c r="BS184" s="4137"/>
      <c r="BT184" s="4137"/>
      <c r="BU184" s="4137"/>
      <c r="BV184" s="4137"/>
      <c r="BW184" s="4137"/>
      <c r="BX184" s="339"/>
      <c r="BY184" s="443" t="str">
        <f t="shared" si="53"/>
        <v/>
      </c>
      <c r="BZ184" s="410"/>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row>
    <row r="185" spans="2:112" ht="17.100000000000001" customHeight="1" x14ac:dyDescent="0.15">
      <c r="B185" s="417"/>
      <c r="C185" s="4137"/>
      <c r="D185" s="4137"/>
      <c r="E185" s="4137"/>
      <c r="F185" s="4137"/>
      <c r="G185" s="4137"/>
      <c r="H185" s="4137"/>
      <c r="I185" s="4137"/>
      <c r="J185" s="339"/>
      <c r="K185" s="443" t="str">
        <f t="shared" si="51"/>
        <v/>
      </c>
      <c r="L185" s="410"/>
      <c r="N185" s="242"/>
      <c r="O185" s="4143"/>
      <c r="P185" s="4143"/>
      <c r="Q185" s="4143"/>
      <c r="R185" s="4143"/>
      <c r="S185" s="4143"/>
      <c r="T185" s="4143"/>
      <c r="U185" s="4143"/>
      <c r="V185" s="4143"/>
      <c r="W185" s="4143"/>
      <c r="X185" s="4143"/>
      <c r="Y185" s="4143"/>
      <c r="Z185" s="4143"/>
      <c r="AA185" s="4143"/>
      <c r="AB185" s="4143"/>
      <c r="AC185" s="4143"/>
      <c r="AD185" s="4143"/>
      <c r="AF185" s="4143"/>
      <c r="AG185" s="4143"/>
      <c r="AH185" s="4143"/>
      <c r="AI185" s="4143"/>
      <c r="AJ185" s="4143"/>
      <c r="AK185" s="4143"/>
      <c r="AL185" s="4143"/>
      <c r="AM185" s="4143"/>
      <c r="AN185" s="4143"/>
      <c r="AO185" s="4143"/>
      <c r="AP185" s="4143"/>
      <c r="AQ185" s="4143"/>
      <c r="AR185" s="4143"/>
      <c r="AS185" s="4143"/>
      <c r="AT185" s="4143"/>
      <c r="AU185" s="4143"/>
      <c r="AV185" s="4143"/>
      <c r="AX185" s="4143"/>
      <c r="AY185" s="4143"/>
      <c r="AZ185" s="4143"/>
      <c r="BA185" s="4143"/>
      <c r="BB185" s="4143"/>
      <c r="BC185" s="4143"/>
      <c r="BD185" s="4143"/>
      <c r="BE185" s="4143"/>
      <c r="BF185" s="4143"/>
      <c r="BG185" s="4143"/>
      <c r="BH185" s="4143"/>
      <c r="BI185" s="4143"/>
      <c r="BJ185" s="4143"/>
      <c r="BK185" s="4143"/>
      <c r="BL185" s="4143"/>
      <c r="BM185" s="4143"/>
      <c r="BN185" s="299"/>
      <c r="BP185" s="417"/>
      <c r="BQ185" s="4137"/>
      <c r="BR185" s="4137"/>
      <c r="BS185" s="4137"/>
      <c r="BT185" s="4137"/>
      <c r="BU185" s="4137"/>
      <c r="BV185" s="4137"/>
      <c r="BW185" s="4137"/>
      <c r="BX185" s="339"/>
      <c r="BY185" s="443" t="str">
        <f t="shared" si="53"/>
        <v/>
      </c>
      <c r="BZ185" s="410"/>
    </row>
    <row r="186" spans="2:112" ht="17.100000000000001" customHeight="1" x14ac:dyDescent="0.15">
      <c r="B186" s="417"/>
      <c r="C186" s="4137"/>
      <c r="D186" s="4137"/>
      <c r="E186" s="4137"/>
      <c r="F186" s="4137"/>
      <c r="G186" s="4137"/>
      <c r="H186" s="4137"/>
      <c r="I186" s="4137"/>
      <c r="J186" s="339"/>
      <c r="K186" s="443" t="str">
        <f t="shared" si="51"/>
        <v/>
      </c>
      <c r="L186" s="410"/>
      <c r="N186" s="242"/>
      <c r="O186" s="4143"/>
      <c r="P186" s="4143"/>
      <c r="Q186" s="4143"/>
      <c r="R186" s="4143"/>
      <c r="S186" s="4143"/>
      <c r="T186" s="4143"/>
      <c r="U186" s="4143"/>
      <c r="V186" s="4143"/>
      <c r="W186" s="4143"/>
      <c r="X186" s="4143"/>
      <c r="Y186" s="4143"/>
      <c r="Z186" s="4143"/>
      <c r="AA186" s="4143"/>
      <c r="AB186" s="4143"/>
      <c r="AC186" s="4143"/>
      <c r="AD186" s="4143"/>
      <c r="AF186" s="4143"/>
      <c r="AG186" s="4143"/>
      <c r="AH186" s="4143"/>
      <c r="AI186" s="4143"/>
      <c r="AJ186" s="4143"/>
      <c r="AK186" s="4143"/>
      <c r="AL186" s="4143"/>
      <c r="AM186" s="4143"/>
      <c r="AN186" s="4143"/>
      <c r="AO186" s="4143"/>
      <c r="AP186" s="4143"/>
      <c r="AQ186" s="4143"/>
      <c r="AR186" s="4143"/>
      <c r="AS186" s="4143"/>
      <c r="AT186" s="4143"/>
      <c r="AU186" s="4143"/>
      <c r="AV186" s="4143"/>
      <c r="AX186" s="4143"/>
      <c r="AY186" s="4143"/>
      <c r="AZ186" s="4143"/>
      <c r="BA186" s="4143"/>
      <c r="BB186" s="4143"/>
      <c r="BC186" s="4143"/>
      <c r="BD186" s="4143"/>
      <c r="BE186" s="4143"/>
      <c r="BF186" s="4143"/>
      <c r="BG186" s="4143"/>
      <c r="BH186" s="4143"/>
      <c r="BI186" s="4143"/>
      <c r="BJ186" s="4143"/>
      <c r="BK186" s="4143"/>
      <c r="BL186" s="4143"/>
      <c r="BM186" s="4143"/>
      <c r="BN186" s="299"/>
      <c r="BP186" s="417"/>
      <c r="BQ186" s="4137"/>
      <c r="BR186" s="4137"/>
      <c r="BS186" s="4137"/>
      <c r="BT186" s="4137"/>
      <c r="BU186" s="4137"/>
      <c r="BV186" s="4137"/>
      <c r="BW186" s="4137"/>
      <c r="BX186" s="339"/>
      <c r="BY186" s="443" t="str">
        <f t="shared" si="53"/>
        <v/>
      </c>
      <c r="BZ186" s="410"/>
    </row>
    <row r="187" spans="2:112" ht="17.100000000000001" customHeight="1" x14ac:dyDescent="0.15">
      <c r="B187" s="417"/>
      <c r="C187" s="4137"/>
      <c r="D187" s="4137"/>
      <c r="E187" s="4137"/>
      <c r="F187" s="4137"/>
      <c r="G187" s="4137"/>
      <c r="H187" s="4137"/>
      <c r="I187" s="4137"/>
      <c r="J187" s="339"/>
      <c r="K187" s="443" t="str">
        <f t="shared" si="51"/>
        <v/>
      </c>
      <c r="L187" s="410"/>
      <c r="N187" s="242"/>
      <c r="O187" s="4143"/>
      <c r="P187" s="4143"/>
      <c r="Q187" s="4143"/>
      <c r="R187" s="4143"/>
      <c r="S187" s="4143"/>
      <c r="T187" s="4143"/>
      <c r="U187" s="4143"/>
      <c r="V187" s="4143"/>
      <c r="W187" s="4143"/>
      <c r="X187" s="4143"/>
      <c r="Y187" s="4143"/>
      <c r="Z187" s="4143"/>
      <c r="AA187" s="4143"/>
      <c r="AB187" s="4143"/>
      <c r="AC187" s="4143"/>
      <c r="AD187" s="4143"/>
      <c r="AF187" s="4143"/>
      <c r="AG187" s="4143"/>
      <c r="AH187" s="4143"/>
      <c r="AI187" s="4143"/>
      <c r="AJ187" s="4143"/>
      <c r="AK187" s="4143"/>
      <c r="AL187" s="4143"/>
      <c r="AM187" s="4143"/>
      <c r="AN187" s="4143"/>
      <c r="AO187" s="4143"/>
      <c r="AP187" s="4143"/>
      <c r="AQ187" s="4143"/>
      <c r="AR187" s="4143"/>
      <c r="AS187" s="4143"/>
      <c r="AT187" s="4143"/>
      <c r="AU187" s="4143"/>
      <c r="AV187" s="4143"/>
      <c r="AX187" s="4143"/>
      <c r="AY187" s="4143"/>
      <c r="AZ187" s="4143"/>
      <c r="BA187" s="4143"/>
      <c r="BB187" s="4143"/>
      <c r="BC187" s="4143"/>
      <c r="BD187" s="4143"/>
      <c r="BE187" s="4143"/>
      <c r="BF187" s="4143"/>
      <c r="BG187" s="4143"/>
      <c r="BH187" s="4143"/>
      <c r="BI187" s="4143"/>
      <c r="BJ187" s="4143"/>
      <c r="BK187" s="4143"/>
      <c r="BL187" s="4143"/>
      <c r="BM187" s="4143"/>
      <c r="BN187" s="299"/>
      <c r="BP187" s="417"/>
      <c r="BQ187" s="4137"/>
      <c r="BR187" s="4137"/>
      <c r="BS187" s="4137"/>
      <c r="BT187" s="4137"/>
      <c r="BU187" s="4137"/>
      <c r="BV187" s="4137"/>
      <c r="BW187" s="4137"/>
      <c r="BX187" s="339"/>
      <c r="BY187" s="443" t="str">
        <f t="shared" si="53"/>
        <v/>
      </c>
      <c r="BZ187" s="410"/>
    </row>
    <row r="188" spans="2:112" ht="17.100000000000001" customHeight="1" x14ac:dyDescent="0.15">
      <c r="B188" s="417"/>
      <c r="C188" s="4137"/>
      <c r="D188" s="4137"/>
      <c r="E188" s="4137"/>
      <c r="F188" s="4137"/>
      <c r="G188" s="4137"/>
      <c r="H188" s="4137"/>
      <c r="I188" s="4137"/>
      <c r="J188" s="339"/>
      <c r="K188" s="443" t="str">
        <f t="shared" ref="K188:K195" si="64">IF(J188&lt;&gt;"","XP","")</f>
        <v/>
      </c>
      <c r="L188" s="410"/>
      <c r="N188" s="242"/>
      <c r="O188" s="4143"/>
      <c r="P188" s="4143"/>
      <c r="Q188" s="4143"/>
      <c r="R188" s="4143"/>
      <c r="S188" s="4143"/>
      <c r="T188" s="4143"/>
      <c r="U188" s="4143"/>
      <c r="V188" s="4143"/>
      <c r="W188" s="4143"/>
      <c r="X188" s="4143"/>
      <c r="Y188" s="4143"/>
      <c r="Z188" s="4143"/>
      <c r="AA188" s="4143"/>
      <c r="AB188" s="4143"/>
      <c r="AC188" s="4143"/>
      <c r="AD188" s="4143"/>
      <c r="AF188" s="4143"/>
      <c r="AG188" s="4143"/>
      <c r="AH188" s="4143"/>
      <c r="AI188" s="4143"/>
      <c r="AJ188" s="4143"/>
      <c r="AK188" s="4143"/>
      <c r="AL188" s="4143"/>
      <c r="AM188" s="4143"/>
      <c r="AN188" s="4143"/>
      <c r="AO188" s="4143"/>
      <c r="AP188" s="4143"/>
      <c r="AQ188" s="4143"/>
      <c r="AR188" s="4143"/>
      <c r="AS188" s="4143"/>
      <c r="AT188" s="4143"/>
      <c r="AU188" s="4143"/>
      <c r="AV188" s="4143"/>
      <c r="AX188" s="4143"/>
      <c r="AY188" s="4143"/>
      <c r="AZ188" s="4143"/>
      <c r="BA188" s="4143"/>
      <c r="BB188" s="4143"/>
      <c r="BC188" s="4143"/>
      <c r="BD188" s="4143"/>
      <c r="BE188" s="4143"/>
      <c r="BF188" s="4143"/>
      <c r="BG188" s="4143"/>
      <c r="BH188" s="4143"/>
      <c r="BI188" s="4143"/>
      <c r="BJ188" s="4143"/>
      <c r="BK188" s="4143"/>
      <c r="BL188" s="4143"/>
      <c r="BM188" s="4143"/>
      <c r="BN188" s="299"/>
      <c r="BP188" s="417"/>
      <c r="BQ188" s="4137"/>
      <c r="BR188" s="4137"/>
      <c r="BS188" s="4137"/>
      <c r="BT188" s="4137"/>
      <c r="BU188" s="4137"/>
      <c r="BV188" s="4137"/>
      <c r="BW188" s="4137"/>
      <c r="BX188" s="339"/>
      <c r="BY188" s="443" t="str">
        <f t="shared" ref="BY188:BY195" si="65">IF(BX188&lt;&gt;"","XP","")</f>
        <v/>
      </c>
      <c r="BZ188" s="410"/>
    </row>
    <row r="189" spans="2:112" ht="17.100000000000001" customHeight="1" x14ac:dyDescent="0.15">
      <c r="B189" s="417"/>
      <c r="C189" s="4137"/>
      <c r="D189" s="4137"/>
      <c r="E189" s="4137"/>
      <c r="F189" s="4137"/>
      <c r="G189" s="4137"/>
      <c r="H189" s="4137"/>
      <c r="I189" s="4137"/>
      <c r="J189" s="339"/>
      <c r="K189" s="443" t="str">
        <f t="shared" si="64"/>
        <v/>
      </c>
      <c r="L189" s="410"/>
      <c r="N189" s="242"/>
      <c r="AF189" s="4143"/>
      <c r="AG189" s="4143"/>
      <c r="AH189" s="4143"/>
      <c r="AI189" s="4143"/>
      <c r="AJ189" s="4143"/>
      <c r="AK189" s="4143"/>
      <c r="AL189" s="4143"/>
      <c r="AM189" s="4143"/>
      <c r="AN189" s="4143"/>
      <c r="AO189" s="4143"/>
      <c r="AP189" s="4143"/>
      <c r="AQ189" s="4143"/>
      <c r="AR189" s="4143"/>
      <c r="AS189" s="4143"/>
      <c r="AT189" s="4143"/>
      <c r="AU189" s="4143"/>
      <c r="AV189" s="4143"/>
      <c r="BN189" s="299"/>
      <c r="BP189" s="417"/>
      <c r="BQ189" s="4137"/>
      <c r="BR189" s="4137"/>
      <c r="BS189" s="4137"/>
      <c r="BT189" s="4137"/>
      <c r="BU189" s="4137"/>
      <c r="BV189" s="4137"/>
      <c r="BW189" s="4137"/>
      <c r="BX189" s="339"/>
      <c r="BY189" s="443" t="str">
        <f t="shared" si="65"/>
        <v/>
      </c>
      <c r="BZ189" s="410"/>
    </row>
    <row r="190" spans="2:112" ht="17.100000000000001" customHeight="1" x14ac:dyDescent="0.15">
      <c r="B190" s="417"/>
      <c r="C190" s="4137"/>
      <c r="D190" s="4137"/>
      <c r="E190" s="4137"/>
      <c r="F190" s="4137"/>
      <c r="G190" s="4137"/>
      <c r="H190" s="4137"/>
      <c r="I190" s="4137"/>
      <c r="J190" s="339"/>
      <c r="K190" s="443" t="str">
        <f t="shared" si="64"/>
        <v/>
      </c>
      <c r="L190" s="410"/>
      <c r="N190" s="242"/>
      <c r="O190" s="4143"/>
      <c r="P190" s="4143"/>
      <c r="Q190" s="4143"/>
      <c r="R190" s="4143"/>
      <c r="S190" s="4143"/>
      <c r="T190" s="4143"/>
      <c r="U190" s="4143"/>
      <c r="V190" s="4143"/>
      <c r="W190" s="4143"/>
      <c r="X190" s="4143"/>
      <c r="Y190" s="4143"/>
      <c r="Z190" s="4143"/>
      <c r="AA190" s="4143"/>
      <c r="AB190" s="4143"/>
      <c r="AC190" s="4143"/>
      <c r="AD190" s="4143"/>
      <c r="AF190" s="4143"/>
      <c r="AG190" s="4143"/>
      <c r="AH190" s="4143"/>
      <c r="AI190" s="4143"/>
      <c r="AJ190" s="4143"/>
      <c r="AK190" s="4143"/>
      <c r="AL190" s="4143"/>
      <c r="AM190" s="4143"/>
      <c r="AN190" s="4143"/>
      <c r="AO190" s="4143"/>
      <c r="AP190" s="4143"/>
      <c r="AQ190" s="4143"/>
      <c r="AR190" s="4143"/>
      <c r="AS190" s="4143"/>
      <c r="AT190" s="4143"/>
      <c r="AU190" s="4143"/>
      <c r="AV190" s="4143"/>
      <c r="AX190" s="4143"/>
      <c r="AY190" s="4143"/>
      <c r="AZ190" s="4143"/>
      <c r="BA190" s="4143"/>
      <c r="BB190" s="4143"/>
      <c r="BC190" s="4143"/>
      <c r="BD190" s="4143"/>
      <c r="BE190" s="4143"/>
      <c r="BF190" s="4143"/>
      <c r="BG190" s="4143"/>
      <c r="BH190" s="4143"/>
      <c r="BI190" s="4143"/>
      <c r="BJ190" s="4143"/>
      <c r="BK190" s="4143"/>
      <c r="BL190" s="4143"/>
      <c r="BM190" s="4143"/>
      <c r="BN190" s="299"/>
      <c r="BP190" s="417"/>
      <c r="BQ190" s="4137"/>
      <c r="BR190" s="4137"/>
      <c r="BS190" s="4137"/>
      <c r="BT190" s="4137"/>
      <c r="BU190" s="4137"/>
      <c r="BV190" s="4137"/>
      <c r="BW190" s="4137"/>
      <c r="BX190" s="339"/>
      <c r="BY190" s="443" t="str">
        <f t="shared" si="65"/>
        <v/>
      </c>
      <c r="BZ190" s="410"/>
    </row>
    <row r="191" spans="2:112" ht="17.100000000000001" customHeight="1" x14ac:dyDescent="0.15">
      <c r="B191" s="417"/>
      <c r="C191" s="4137"/>
      <c r="D191" s="4137"/>
      <c r="E191" s="4137"/>
      <c r="F191" s="4137"/>
      <c r="G191" s="4137"/>
      <c r="H191" s="4137"/>
      <c r="I191" s="4137"/>
      <c r="J191" s="339"/>
      <c r="K191" s="443" t="str">
        <f t="shared" si="64"/>
        <v/>
      </c>
      <c r="L191" s="410"/>
      <c r="N191" s="242"/>
      <c r="O191" s="4143"/>
      <c r="P191" s="4143"/>
      <c r="Q191" s="4143"/>
      <c r="R191" s="4143"/>
      <c r="S191" s="4143"/>
      <c r="T191" s="4143"/>
      <c r="U191" s="4143"/>
      <c r="V191" s="4143"/>
      <c r="W191" s="4143"/>
      <c r="X191" s="4143"/>
      <c r="Y191" s="4143"/>
      <c r="Z191" s="4143"/>
      <c r="AA191" s="4143"/>
      <c r="AB191" s="4143"/>
      <c r="AC191" s="4143"/>
      <c r="AD191" s="4143"/>
      <c r="AF191" s="4143"/>
      <c r="AG191" s="4143"/>
      <c r="AH191" s="4143"/>
      <c r="AI191" s="4143"/>
      <c r="AJ191" s="4143"/>
      <c r="AK191" s="4143"/>
      <c r="AL191" s="4143"/>
      <c r="AM191" s="4143"/>
      <c r="AN191" s="4143"/>
      <c r="AO191" s="4143"/>
      <c r="AP191" s="4143"/>
      <c r="AQ191" s="4143"/>
      <c r="AR191" s="4143"/>
      <c r="AS191" s="4143"/>
      <c r="AT191" s="4143"/>
      <c r="AU191" s="4143"/>
      <c r="AV191" s="4143"/>
      <c r="AX191" s="4143"/>
      <c r="AY191" s="4143"/>
      <c r="AZ191" s="4143"/>
      <c r="BA191" s="4143"/>
      <c r="BB191" s="4143"/>
      <c r="BC191" s="4143"/>
      <c r="BD191" s="4143"/>
      <c r="BE191" s="4143"/>
      <c r="BF191" s="4143"/>
      <c r="BG191" s="4143"/>
      <c r="BH191" s="4143"/>
      <c r="BI191" s="4143"/>
      <c r="BJ191" s="4143"/>
      <c r="BK191" s="4143"/>
      <c r="BL191" s="4143"/>
      <c r="BM191" s="4143"/>
      <c r="BN191" s="299"/>
      <c r="BP191" s="417"/>
      <c r="BQ191" s="4137"/>
      <c r="BR191" s="4137"/>
      <c r="BS191" s="4137"/>
      <c r="BT191" s="4137"/>
      <c r="BU191" s="4137"/>
      <c r="BV191" s="4137"/>
      <c r="BW191" s="4137"/>
      <c r="BX191" s="339"/>
      <c r="BY191" s="443" t="str">
        <f t="shared" si="65"/>
        <v/>
      </c>
      <c r="BZ191" s="410"/>
    </row>
    <row r="192" spans="2:112" ht="17.100000000000001" customHeight="1" x14ac:dyDescent="0.15">
      <c r="B192" s="417"/>
      <c r="C192" s="4137"/>
      <c r="D192" s="4137"/>
      <c r="E192" s="4137"/>
      <c r="F192" s="4137"/>
      <c r="G192" s="4137"/>
      <c r="H192" s="4137"/>
      <c r="I192" s="4137"/>
      <c r="J192" s="339"/>
      <c r="K192" s="443" t="str">
        <f t="shared" si="64"/>
        <v/>
      </c>
      <c r="L192" s="410"/>
      <c r="N192" s="242"/>
      <c r="O192" s="4143"/>
      <c r="P192" s="4143"/>
      <c r="Q192" s="4143"/>
      <c r="R192" s="4143"/>
      <c r="S192" s="4143"/>
      <c r="T192" s="4143"/>
      <c r="U192" s="4143"/>
      <c r="V192" s="4143"/>
      <c r="W192" s="4143"/>
      <c r="X192" s="4143"/>
      <c r="Y192" s="4143"/>
      <c r="Z192" s="4143"/>
      <c r="AA192" s="4143"/>
      <c r="AB192" s="4143"/>
      <c r="AC192" s="4143"/>
      <c r="AD192" s="4143"/>
      <c r="AF192" s="4143"/>
      <c r="AG192" s="4143"/>
      <c r="AH192" s="4143"/>
      <c r="AI192" s="4143"/>
      <c r="AJ192" s="4143"/>
      <c r="AK192" s="4143"/>
      <c r="AL192" s="4143"/>
      <c r="AM192" s="4143"/>
      <c r="AN192" s="4143"/>
      <c r="AO192" s="4143"/>
      <c r="AP192" s="4143"/>
      <c r="AQ192" s="4143"/>
      <c r="AR192" s="4143"/>
      <c r="AS192" s="4143"/>
      <c r="AT192" s="4143"/>
      <c r="AU192" s="4143"/>
      <c r="AV192" s="4143"/>
      <c r="AX192" s="4143"/>
      <c r="AY192" s="4143"/>
      <c r="AZ192" s="4143"/>
      <c r="BA192" s="4143"/>
      <c r="BB192" s="4143"/>
      <c r="BC192" s="4143"/>
      <c r="BD192" s="4143"/>
      <c r="BE192" s="4143"/>
      <c r="BF192" s="4143"/>
      <c r="BG192" s="4143"/>
      <c r="BH192" s="4143"/>
      <c r="BI192" s="4143"/>
      <c r="BJ192" s="4143"/>
      <c r="BK192" s="4143"/>
      <c r="BL192" s="4143"/>
      <c r="BM192" s="4143"/>
      <c r="BN192" s="299"/>
      <c r="BP192" s="417"/>
      <c r="BQ192" s="4137"/>
      <c r="BR192" s="4137"/>
      <c r="BS192" s="4137"/>
      <c r="BT192" s="4137"/>
      <c r="BU192" s="4137"/>
      <c r="BV192" s="4137"/>
      <c r="BW192" s="4137"/>
      <c r="BX192" s="339"/>
      <c r="BY192" s="443" t="str">
        <f t="shared" si="65"/>
        <v/>
      </c>
      <c r="BZ192" s="410"/>
    </row>
    <row r="193" spans="2:78" ht="17.100000000000001" customHeight="1" x14ac:dyDescent="0.15">
      <c r="B193" s="417"/>
      <c r="C193" s="4137"/>
      <c r="D193" s="4137"/>
      <c r="E193" s="4137"/>
      <c r="F193" s="4137"/>
      <c r="G193" s="4137"/>
      <c r="H193" s="4137"/>
      <c r="I193" s="4137"/>
      <c r="J193" s="339"/>
      <c r="K193" s="443" t="str">
        <f t="shared" si="64"/>
        <v/>
      </c>
      <c r="L193" s="410"/>
      <c r="N193" s="242"/>
      <c r="O193" s="4143"/>
      <c r="P193" s="4143"/>
      <c r="Q193" s="4143"/>
      <c r="R193" s="4143"/>
      <c r="S193" s="4143"/>
      <c r="T193" s="4143"/>
      <c r="U193" s="4143"/>
      <c r="V193" s="4143"/>
      <c r="W193" s="4143"/>
      <c r="X193" s="4143"/>
      <c r="Y193" s="4143"/>
      <c r="Z193" s="4143"/>
      <c r="AA193" s="4143"/>
      <c r="AB193" s="4143"/>
      <c r="AC193" s="4143"/>
      <c r="AD193" s="4143"/>
      <c r="AF193" s="4143"/>
      <c r="AG193" s="4143"/>
      <c r="AH193" s="4143"/>
      <c r="AI193" s="4143"/>
      <c r="AJ193" s="4143"/>
      <c r="AK193" s="4143"/>
      <c r="AL193" s="4143"/>
      <c r="AM193" s="4143"/>
      <c r="AN193" s="4143"/>
      <c r="AO193" s="4143"/>
      <c r="AP193" s="4143"/>
      <c r="AQ193" s="4143"/>
      <c r="AR193" s="4143"/>
      <c r="AS193" s="4143"/>
      <c r="AT193" s="4143"/>
      <c r="AU193" s="4143"/>
      <c r="AV193" s="4143"/>
      <c r="AX193" s="4143"/>
      <c r="AY193" s="4143"/>
      <c r="AZ193" s="4143"/>
      <c r="BA193" s="4143"/>
      <c r="BB193" s="4143"/>
      <c r="BC193" s="4143"/>
      <c r="BD193" s="4143"/>
      <c r="BE193" s="4143"/>
      <c r="BF193" s="4143"/>
      <c r="BG193" s="4143"/>
      <c r="BH193" s="4143"/>
      <c r="BI193" s="4143"/>
      <c r="BJ193" s="4143"/>
      <c r="BK193" s="4143"/>
      <c r="BL193" s="4143"/>
      <c r="BM193" s="4143"/>
      <c r="BN193" s="299"/>
      <c r="BP193" s="417"/>
      <c r="BQ193" s="4137"/>
      <c r="BR193" s="4137"/>
      <c r="BS193" s="4137"/>
      <c r="BT193" s="4137"/>
      <c r="BU193" s="4137"/>
      <c r="BV193" s="4137"/>
      <c r="BW193" s="4137"/>
      <c r="BX193" s="339"/>
      <c r="BY193" s="443" t="str">
        <f t="shared" si="65"/>
        <v/>
      </c>
      <c r="BZ193" s="410"/>
    </row>
    <row r="194" spans="2:78" ht="17.100000000000001" customHeight="1" x14ac:dyDescent="0.15">
      <c r="B194" s="417"/>
      <c r="C194" s="4137"/>
      <c r="D194" s="4137"/>
      <c r="E194" s="4137"/>
      <c r="F194" s="4137"/>
      <c r="G194" s="4137"/>
      <c r="H194" s="4137"/>
      <c r="I194" s="4137"/>
      <c r="J194" s="339"/>
      <c r="K194" s="443" t="str">
        <f t="shared" si="64"/>
        <v/>
      </c>
      <c r="L194" s="410"/>
      <c r="N194" s="242"/>
      <c r="O194" s="4143"/>
      <c r="P194" s="4143"/>
      <c r="Q194" s="4143"/>
      <c r="R194" s="4143"/>
      <c r="S194" s="4143"/>
      <c r="T194" s="4143"/>
      <c r="U194" s="4143"/>
      <c r="V194" s="4143"/>
      <c r="W194" s="4143"/>
      <c r="X194" s="4143"/>
      <c r="Y194" s="4143"/>
      <c r="Z194" s="4143"/>
      <c r="AA194" s="4143"/>
      <c r="AB194" s="4143"/>
      <c r="AC194" s="4143"/>
      <c r="AD194" s="4143"/>
      <c r="AF194" s="4143"/>
      <c r="AG194" s="4143"/>
      <c r="AH194" s="4143"/>
      <c r="AI194" s="4143"/>
      <c r="AJ194" s="4143"/>
      <c r="AK194" s="4143"/>
      <c r="AL194" s="4143"/>
      <c r="AM194" s="4143"/>
      <c r="AN194" s="4143"/>
      <c r="AO194" s="4143"/>
      <c r="AP194" s="4143"/>
      <c r="AQ194" s="4143"/>
      <c r="AR194" s="4143"/>
      <c r="AS194" s="4143"/>
      <c r="AT194" s="4143"/>
      <c r="AU194" s="4143"/>
      <c r="AV194" s="4143"/>
      <c r="AX194" s="4143"/>
      <c r="AY194" s="4143"/>
      <c r="AZ194" s="4143"/>
      <c r="BA194" s="4143"/>
      <c r="BB194" s="4143"/>
      <c r="BC194" s="4143"/>
      <c r="BD194" s="4143"/>
      <c r="BE194" s="4143"/>
      <c r="BF194" s="4143"/>
      <c r="BG194" s="4143"/>
      <c r="BH194" s="4143"/>
      <c r="BI194" s="4143"/>
      <c r="BJ194" s="4143"/>
      <c r="BK194" s="4143"/>
      <c r="BL194" s="4143"/>
      <c r="BM194" s="4143"/>
      <c r="BN194" s="299"/>
      <c r="BP194" s="417"/>
      <c r="BQ194" s="4137"/>
      <c r="BR194" s="4137"/>
      <c r="BS194" s="4137"/>
      <c r="BT194" s="4137"/>
      <c r="BU194" s="4137"/>
      <c r="BV194" s="4137"/>
      <c r="BW194" s="4137"/>
      <c r="BX194" s="339"/>
      <c r="BY194" s="443" t="str">
        <f t="shared" si="65"/>
        <v/>
      </c>
      <c r="BZ194" s="410"/>
    </row>
    <row r="195" spans="2:78" ht="17.100000000000001" customHeight="1" x14ac:dyDescent="0.15">
      <c r="B195" s="417"/>
      <c r="C195" s="4137"/>
      <c r="D195" s="4137"/>
      <c r="E195" s="4137"/>
      <c r="F195" s="4137"/>
      <c r="G195" s="4137"/>
      <c r="H195" s="4137"/>
      <c r="I195" s="4137"/>
      <c r="J195" s="339"/>
      <c r="K195" s="443" t="str">
        <f t="shared" si="64"/>
        <v/>
      </c>
      <c r="L195" s="410"/>
      <c r="N195" s="242"/>
      <c r="O195" s="4143"/>
      <c r="P195" s="4143"/>
      <c r="Q195" s="4143"/>
      <c r="R195" s="4143"/>
      <c r="S195" s="4143"/>
      <c r="T195" s="4143"/>
      <c r="U195" s="4143"/>
      <c r="V195" s="4143"/>
      <c r="W195" s="4143"/>
      <c r="X195" s="4143"/>
      <c r="Y195" s="4143"/>
      <c r="Z195" s="4143"/>
      <c r="AA195" s="4143"/>
      <c r="AB195" s="4143"/>
      <c r="AC195" s="4143"/>
      <c r="AD195" s="4143"/>
      <c r="AF195" s="4143"/>
      <c r="AG195" s="4143"/>
      <c r="AH195" s="4143"/>
      <c r="AI195" s="4143"/>
      <c r="AJ195" s="4143"/>
      <c r="AK195" s="4143"/>
      <c r="AL195" s="4143"/>
      <c r="AM195" s="4143"/>
      <c r="AN195" s="4143"/>
      <c r="AO195" s="4143"/>
      <c r="AP195" s="4143"/>
      <c r="AQ195" s="4143"/>
      <c r="AR195" s="4143"/>
      <c r="AS195" s="4143"/>
      <c r="AT195" s="4143"/>
      <c r="AU195" s="4143"/>
      <c r="AV195" s="4143"/>
      <c r="AX195" s="4143"/>
      <c r="AY195" s="4143"/>
      <c r="AZ195" s="4143"/>
      <c r="BA195" s="4143"/>
      <c r="BB195" s="4143"/>
      <c r="BC195" s="4143"/>
      <c r="BD195" s="4143"/>
      <c r="BE195" s="4143"/>
      <c r="BF195" s="4143"/>
      <c r="BG195" s="4143"/>
      <c r="BH195" s="4143"/>
      <c r="BI195" s="4143"/>
      <c r="BJ195" s="4143"/>
      <c r="BK195" s="4143"/>
      <c r="BL195" s="4143"/>
      <c r="BM195" s="4143"/>
      <c r="BN195" s="299"/>
      <c r="BP195" s="417"/>
      <c r="BQ195" s="4137"/>
      <c r="BR195" s="4137"/>
      <c r="BS195" s="4137"/>
      <c r="BT195" s="4137"/>
      <c r="BU195" s="4137"/>
      <c r="BV195" s="4137"/>
      <c r="BW195" s="4137"/>
      <c r="BX195" s="339"/>
      <c r="BY195" s="443" t="str">
        <f t="shared" si="65"/>
        <v/>
      </c>
      <c r="BZ195" s="410"/>
    </row>
    <row r="196" spans="2:78" ht="17.100000000000001" customHeight="1" x14ac:dyDescent="0.15">
      <c r="B196" s="417"/>
      <c r="C196" s="1175"/>
      <c r="D196" s="1175"/>
      <c r="E196" s="1175"/>
      <c r="F196" s="1175"/>
      <c r="G196" s="1175"/>
      <c r="H196" s="1175"/>
      <c r="I196" s="1175"/>
      <c r="J196" s="339"/>
      <c r="K196" s="443"/>
      <c r="L196" s="410"/>
      <c r="N196" s="242"/>
      <c r="BN196" s="299"/>
      <c r="BP196" s="417"/>
      <c r="BQ196" s="449"/>
      <c r="BR196" s="449"/>
      <c r="BS196" s="449"/>
      <c r="BT196" s="449"/>
      <c r="BU196" s="449"/>
      <c r="BV196" s="449"/>
      <c r="BW196" s="449"/>
      <c r="BX196" s="2832"/>
      <c r="BY196" s="443"/>
      <c r="BZ196" s="410"/>
    </row>
    <row r="197" spans="2:78" ht="17.100000000000001" customHeight="1" x14ac:dyDescent="0.15">
      <c r="B197" s="251"/>
      <c r="C197" s="252"/>
      <c r="D197" s="252"/>
      <c r="E197" s="252"/>
      <c r="F197" s="252"/>
      <c r="G197" s="252"/>
      <c r="H197" s="252"/>
      <c r="I197" s="252"/>
      <c r="J197" s="252"/>
      <c r="K197" s="252"/>
      <c r="L197" s="253"/>
      <c r="N197" s="251"/>
      <c r="O197" s="252"/>
      <c r="P197" s="252"/>
      <c r="Q197" s="252"/>
      <c r="R197" s="252"/>
      <c r="S197" s="252"/>
      <c r="T197" s="252"/>
      <c r="U197" s="252"/>
      <c r="V197" s="252"/>
      <c r="W197" s="252"/>
      <c r="X197" s="252"/>
      <c r="Y197" s="252"/>
      <c r="Z197" s="252"/>
      <c r="AA197" s="252"/>
      <c r="AB197" s="252"/>
      <c r="AC197" s="252"/>
      <c r="AD197" s="252"/>
      <c r="AE197" s="252"/>
      <c r="AF197" s="252"/>
      <c r="AG197" s="252"/>
      <c r="AH197" s="252"/>
      <c r="AI197" s="252"/>
      <c r="AJ197" s="252"/>
      <c r="AK197" s="252"/>
      <c r="AL197" s="252"/>
      <c r="AM197" s="252"/>
      <c r="AN197" s="252"/>
      <c r="AO197" s="252"/>
      <c r="AP197" s="252"/>
      <c r="AQ197" s="252"/>
      <c r="AR197" s="252"/>
      <c r="AS197" s="252"/>
      <c r="AT197" s="252"/>
      <c r="AU197" s="252"/>
      <c r="AV197" s="252"/>
      <c r="AW197" s="252"/>
      <c r="AX197" s="252"/>
      <c r="AY197" s="252"/>
      <c r="AZ197" s="252"/>
      <c r="BA197" s="252"/>
      <c r="BB197" s="252"/>
      <c r="BC197" s="252"/>
      <c r="BD197" s="252"/>
      <c r="BE197" s="252"/>
      <c r="BF197" s="252"/>
      <c r="BG197" s="252"/>
      <c r="BH197" s="252"/>
      <c r="BI197" s="252"/>
      <c r="BJ197" s="252"/>
      <c r="BK197" s="252"/>
      <c r="BL197" s="252"/>
      <c r="BM197" s="252"/>
      <c r="BN197" s="253"/>
      <c r="BP197" s="251"/>
      <c r="BQ197" s="252"/>
      <c r="BR197" s="252"/>
      <c r="BS197" s="252"/>
      <c r="BT197" s="252"/>
      <c r="BU197" s="252"/>
      <c r="BV197" s="252"/>
      <c r="BW197" s="252"/>
      <c r="BX197" s="252"/>
      <c r="BY197" s="252"/>
      <c r="BZ197" s="253"/>
    </row>
    <row r="203" spans="2:78" ht="17.100000000000001" customHeight="1" x14ac:dyDescent="0.15">
      <c r="BM203" s="2691"/>
      <c r="BN203" s="2691"/>
      <c r="BO203" s="2691"/>
      <c r="BP203" s="2691"/>
      <c r="BQ203" s="2691"/>
      <c r="BR203" s="2691"/>
      <c r="BS203" s="2691"/>
      <c r="BT203" s="2691"/>
      <c r="BU203" s="2691"/>
      <c r="BV203" s="2691"/>
      <c r="BW203" s="2691"/>
      <c r="BX203" s="2691"/>
      <c r="BY203" s="2691"/>
      <c r="BZ203" s="2691"/>
    </row>
    <row r="204" spans="2:78" ht="17.100000000000001" customHeight="1" x14ac:dyDescent="0.15">
      <c r="BM204" s="2692"/>
      <c r="BN204" s="2692"/>
      <c r="BO204" s="2692"/>
      <c r="BP204" s="2692"/>
      <c r="BQ204" s="2692"/>
      <c r="BR204" s="2692"/>
      <c r="BS204" s="2692"/>
      <c r="BT204" s="2692"/>
      <c r="BU204" s="2692"/>
      <c r="BV204" s="2692"/>
      <c r="BW204" s="2692"/>
      <c r="BX204" s="2692"/>
      <c r="BY204" s="2692"/>
      <c r="BZ204" s="2692"/>
    </row>
  </sheetData>
  <sheetProtection sheet="1" objects="1" scenarios="1"/>
  <dataConsolidate/>
  <mergeCells count="531">
    <mergeCell ref="BH67:BN67"/>
    <mergeCell ref="BH68:BN68"/>
    <mergeCell ref="BI69:BJ69"/>
    <mergeCell ref="BH75:BN75"/>
    <mergeCell ref="BH76:BN76"/>
    <mergeCell ref="BH77:BN77"/>
    <mergeCell ref="BI78:BJ78"/>
    <mergeCell ref="BH53:BN53"/>
    <mergeCell ref="BH54:BN54"/>
    <mergeCell ref="BH55:BN55"/>
    <mergeCell ref="BJ56:BM56"/>
    <mergeCell ref="BJ57:BM57"/>
    <mergeCell ref="BJ58:BM58"/>
    <mergeCell ref="BH59:BN59"/>
    <mergeCell ref="BJ60:BM60"/>
    <mergeCell ref="BH66:BN66"/>
    <mergeCell ref="BQ73:BW73"/>
    <mergeCell ref="BQ71:BW71"/>
    <mergeCell ref="BQ94:BW94"/>
    <mergeCell ref="BQ76:BW76"/>
    <mergeCell ref="BQ83:BW83"/>
    <mergeCell ref="BQ77:BW77"/>
    <mergeCell ref="BQ78:BW78"/>
    <mergeCell ref="C167:I167"/>
    <mergeCell ref="BQ162:BW162"/>
    <mergeCell ref="BQ163:BW163"/>
    <mergeCell ref="BQ164:BW164"/>
    <mergeCell ref="BQ165:BW165"/>
    <mergeCell ref="BQ166:BW166"/>
    <mergeCell ref="BQ81:BW81"/>
    <mergeCell ref="AF89:AV89"/>
    <mergeCell ref="AF104:AV104"/>
    <mergeCell ref="BQ105:BW105"/>
    <mergeCell ref="Z131:AG131"/>
    <mergeCell ref="BQ115:BW115"/>
    <mergeCell ref="BQ116:BW116"/>
    <mergeCell ref="BQ107:BW107"/>
    <mergeCell ref="C162:I162"/>
    <mergeCell ref="C163:I163"/>
    <mergeCell ref="C164:I164"/>
    <mergeCell ref="C165:I165"/>
    <mergeCell ref="C186:I186"/>
    <mergeCell ref="C187:I187"/>
    <mergeCell ref="C188:I188"/>
    <mergeCell ref="C189:I189"/>
    <mergeCell ref="BQ80:BW80"/>
    <mergeCell ref="C168:I168"/>
    <mergeCell ref="BQ132:BW132"/>
    <mergeCell ref="C152:I152"/>
    <mergeCell ref="C153:I153"/>
    <mergeCell ref="C154:I154"/>
    <mergeCell ref="C155:I155"/>
    <mergeCell ref="C156:I156"/>
    <mergeCell ref="BQ158:BW158"/>
    <mergeCell ref="BQ159:BW159"/>
    <mergeCell ref="BQ160:BW160"/>
    <mergeCell ref="BQ161:BW161"/>
    <mergeCell ref="BQ152:BW152"/>
    <mergeCell ref="BQ153:BW153"/>
    <mergeCell ref="BQ154:BW154"/>
    <mergeCell ref="O152:BM152"/>
    <mergeCell ref="AX155:BM160"/>
    <mergeCell ref="C159:I159"/>
    <mergeCell ref="C166:I166"/>
    <mergeCell ref="C169:I169"/>
    <mergeCell ref="C171:I171"/>
    <mergeCell ref="C172:I172"/>
    <mergeCell ref="C184:I184"/>
    <mergeCell ref="C185:I185"/>
    <mergeCell ref="C174:I174"/>
    <mergeCell ref="C175:I175"/>
    <mergeCell ref="C176:I176"/>
    <mergeCell ref="C177:I177"/>
    <mergeCell ref="C178:I178"/>
    <mergeCell ref="C179:I179"/>
    <mergeCell ref="C183:I183"/>
    <mergeCell ref="C181:I181"/>
    <mergeCell ref="BQ121:BW121"/>
    <mergeCell ref="BQ122:BW122"/>
    <mergeCell ref="BQ123:BW123"/>
    <mergeCell ref="BQ119:BW119"/>
    <mergeCell ref="BQ118:BW118"/>
    <mergeCell ref="BQ93:BW93"/>
    <mergeCell ref="BQ99:BW99"/>
    <mergeCell ref="Y93:AI93"/>
    <mergeCell ref="AB95:AI95"/>
    <mergeCell ref="AB94:AI94"/>
    <mergeCell ref="AB110:AI110"/>
    <mergeCell ref="AB109:AI109"/>
    <mergeCell ref="Y108:AI108"/>
    <mergeCell ref="C157:I157"/>
    <mergeCell ref="BQ97:BW97"/>
    <mergeCell ref="AL101:AP101"/>
    <mergeCell ref="AM108:AO109"/>
    <mergeCell ref="AM93:AO94"/>
    <mergeCell ref="BQ108:BW108"/>
    <mergeCell ref="BQ106:BW106"/>
    <mergeCell ref="BQ102:BW102"/>
    <mergeCell ref="BQ103:BW103"/>
    <mergeCell ref="BQ104:BW104"/>
    <mergeCell ref="AL95:AP95"/>
    <mergeCell ref="AL93:AL94"/>
    <mergeCell ref="AP93:AP94"/>
    <mergeCell ref="AL107:AP107"/>
    <mergeCell ref="BQ100:BW100"/>
    <mergeCell ref="BQ114:BW114"/>
    <mergeCell ref="AL110:AP110"/>
    <mergeCell ref="BQ128:BW128"/>
    <mergeCell ref="BQ127:BW127"/>
    <mergeCell ref="AL122:AP122"/>
    <mergeCell ref="BQ124:BW124"/>
    <mergeCell ref="BQ117:BW117"/>
    <mergeCell ref="AP123:AP124"/>
    <mergeCell ref="AL108:AL109"/>
    <mergeCell ref="C158:I158"/>
    <mergeCell ref="C160:I160"/>
    <mergeCell ref="C161:I161"/>
    <mergeCell ref="C76:I76"/>
    <mergeCell ref="C77:I77"/>
    <mergeCell ref="C78:I78"/>
    <mergeCell ref="C79:I79"/>
    <mergeCell ref="C82:I82"/>
    <mergeCell ref="C81:I81"/>
    <mergeCell ref="C83:I83"/>
    <mergeCell ref="C104:I104"/>
    <mergeCell ref="C98:I98"/>
    <mergeCell ref="C99:I99"/>
    <mergeCell ref="C96:I96"/>
    <mergeCell ref="C116:I116"/>
    <mergeCell ref="C117:I117"/>
    <mergeCell ref="C105:I105"/>
    <mergeCell ref="C151:I151"/>
    <mergeCell ref="C128:I128"/>
    <mergeCell ref="C126:I126"/>
    <mergeCell ref="C122:I122"/>
    <mergeCell ref="C119:I119"/>
    <mergeCell ref="C120:I120"/>
    <mergeCell ref="C121:I121"/>
    <mergeCell ref="C75:I75"/>
    <mergeCell ref="C142:I142"/>
    <mergeCell ref="C143:I143"/>
    <mergeCell ref="C131:I131"/>
    <mergeCell ref="C132:I132"/>
    <mergeCell ref="C133:I133"/>
    <mergeCell ref="C115:I115"/>
    <mergeCell ref="C112:I112"/>
    <mergeCell ref="C85:I85"/>
    <mergeCell ref="C88:I88"/>
    <mergeCell ref="C80:I80"/>
    <mergeCell ref="C113:I113"/>
    <mergeCell ref="C108:I108"/>
    <mergeCell ref="C106:I106"/>
    <mergeCell ref="C84:I84"/>
    <mergeCell ref="C94:I94"/>
    <mergeCell ref="C95:I95"/>
    <mergeCell ref="C97:I97"/>
    <mergeCell ref="C127:I127"/>
    <mergeCell ref="C123:I123"/>
    <mergeCell ref="C124:I124"/>
    <mergeCell ref="C125:I125"/>
    <mergeCell ref="C130:I130"/>
    <mergeCell ref="C92:I92"/>
    <mergeCell ref="BQ125:BW125"/>
    <mergeCell ref="AL125:AP125"/>
    <mergeCell ref="AM123:AO124"/>
    <mergeCell ref="AL123:AL124"/>
    <mergeCell ref="BN17:BN18"/>
    <mergeCell ref="P16:Q16"/>
    <mergeCell ref="AH16:AT16"/>
    <mergeCell ref="P19:Q19"/>
    <mergeCell ref="BK19:BL19"/>
    <mergeCell ref="BQ47:BR47"/>
    <mergeCell ref="BQ48:BR48"/>
    <mergeCell ref="BQ34:BQ36"/>
    <mergeCell ref="BQ66:BW66"/>
    <mergeCell ref="BS44:BY44"/>
    <mergeCell ref="BQ45:BR45"/>
    <mergeCell ref="BS48:BY48"/>
    <mergeCell ref="BS47:BY47"/>
    <mergeCell ref="BS46:BY46"/>
    <mergeCell ref="BQ46:BR46"/>
    <mergeCell ref="BS45:BY45"/>
    <mergeCell ref="BQ44:BR44"/>
    <mergeCell ref="BQ67:BW67"/>
    <mergeCell ref="BQ68:BW68"/>
    <mergeCell ref="BQ90:BW90"/>
    <mergeCell ref="BK17:BL17"/>
    <mergeCell ref="U18:AG19"/>
    <mergeCell ref="N17:N18"/>
    <mergeCell ref="G34:G36"/>
    <mergeCell ref="AA48:AB48"/>
    <mergeCell ref="AE46:AI46"/>
    <mergeCell ref="BC48:BD48"/>
    <mergeCell ref="AV48:AW48"/>
    <mergeCell ref="AZ46:BD46"/>
    <mergeCell ref="AS46:AW46"/>
    <mergeCell ref="AL46:AP46"/>
    <mergeCell ref="E48:K48"/>
    <mergeCell ref="X46:AB46"/>
    <mergeCell ref="AX31:BM36"/>
    <mergeCell ref="AX24:BM29"/>
    <mergeCell ref="AH48:AI48"/>
    <mergeCell ref="AO48:AP48"/>
    <mergeCell ref="AZ44:BD45"/>
    <mergeCell ref="BH44:BN44"/>
    <mergeCell ref="BH45:BN45"/>
    <mergeCell ref="BH46:BN46"/>
    <mergeCell ref="BI47:BJ47"/>
    <mergeCell ref="AG13:AJ13"/>
    <mergeCell ref="E45:K45"/>
    <mergeCell ref="E44:K44"/>
    <mergeCell ref="E47:K47"/>
    <mergeCell ref="C46:D46"/>
    <mergeCell ref="K34:K36"/>
    <mergeCell ref="O31:AD36"/>
    <mergeCell ref="L34:L36"/>
    <mergeCell ref="C42:K42"/>
    <mergeCell ref="C44:D44"/>
    <mergeCell ref="C45:D45"/>
    <mergeCell ref="P18:Q18"/>
    <mergeCell ref="P17:Q17"/>
    <mergeCell ref="X44:AB45"/>
    <mergeCell ref="E46:K46"/>
    <mergeCell ref="C47:D47"/>
    <mergeCell ref="O24:AD29"/>
    <mergeCell ref="AE44:AI45"/>
    <mergeCell ref="AF24:AV36"/>
    <mergeCell ref="AL44:AP45"/>
    <mergeCell ref="AS44:AW45"/>
    <mergeCell ref="B34:B36"/>
    <mergeCell ref="I34:I36"/>
    <mergeCell ref="J34:J36"/>
    <mergeCell ref="C54:K54"/>
    <mergeCell ref="C57:I57"/>
    <mergeCell ref="C59:I59"/>
    <mergeCell ref="C60:I60"/>
    <mergeCell ref="C61:I61"/>
    <mergeCell ref="H34:H36"/>
    <mergeCell ref="C34:C36"/>
    <mergeCell ref="D34:D36"/>
    <mergeCell ref="E34:E36"/>
    <mergeCell ref="F34:F36"/>
    <mergeCell ref="E52:K52"/>
    <mergeCell ref="E51:K51"/>
    <mergeCell ref="E50:K50"/>
    <mergeCell ref="E49:K49"/>
    <mergeCell ref="C52:D52"/>
    <mergeCell ref="C48:D48"/>
    <mergeCell ref="C51:D51"/>
    <mergeCell ref="C49:D49"/>
    <mergeCell ref="C50:D50"/>
    <mergeCell ref="AK2:AQ2"/>
    <mergeCell ref="AK3:AQ11"/>
    <mergeCell ref="AP13:AQ13"/>
    <mergeCell ref="AK13:AL13"/>
    <mergeCell ref="AM13:AO13"/>
    <mergeCell ref="AR13:AU13"/>
    <mergeCell ref="BZ34:BZ36"/>
    <mergeCell ref="X42:BD42"/>
    <mergeCell ref="BS34:BS36"/>
    <mergeCell ref="BQ42:BY42"/>
    <mergeCell ref="BW34:BW36"/>
    <mergeCell ref="BY34:BY36"/>
    <mergeCell ref="BT34:BT36"/>
    <mergeCell ref="U16:AG17"/>
    <mergeCell ref="AU16:BG17"/>
    <mergeCell ref="BK16:BL16"/>
    <mergeCell ref="AU18:BG19"/>
    <mergeCell ref="BR34:BR36"/>
    <mergeCell ref="BX34:BX36"/>
    <mergeCell ref="BK18:BL18"/>
    <mergeCell ref="BV34:BV36"/>
    <mergeCell ref="AH18:AT19"/>
    <mergeCell ref="BP34:BP36"/>
    <mergeCell ref="BU34:BU36"/>
    <mergeCell ref="BQ69:BW69"/>
    <mergeCell ref="BS50:BY50"/>
    <mergeCell ref="BS49:BY49"/>
    <mergeCell ref="BS52:BY52"/>
    <mergeCell ref="BS51:BY51"/>
    <mergeCell ref="BQ54:BY54"/>
    <mergeCell ref="BQ51:BR51"/>
    <mergeCell ref="BQ60:BW60"/>
    <mergeCell ref="BQ61:BW61"/>
    <mergeCell ref="BQ63:BW63"/>
    <mergeCell ref="BQ64:BW64"/>
    <mergeCell ref="BQ65:BW65"/>
    <mergeCell ref="BQ62:BW62"/>
    <mergeCell ref="BQ49:BR49"/>
    <mergeCell ref="C69:I69"/>
    <mergeCell ref="C74:I74"/>
    <mergeCell ref="C64:I64"/>
    <mergeCell ref="C65:I65"/>
    <mergeCell ref="C66:I66"/>
    <mergeCell ref="C67:I67"/>
    <mergeCell ref="BQ50:BR50"/>
    <mergeCell ref="BQ52:BR52"/>
    <mergeCell ref="C63:I63"/>
    <mergeCell ref="BQ56:BW56"/>
    <mergeCell ref="BQ57:BW57"/>
    <mergeCell ref="C56:I56"/>
    <mergeCell ref="C58:I58"/>
    <mergeCell ref="C62:I62"/>
    <mergeCell ref="C68:I68"/>
    <mergeCell ref="BQ58:BW58"/>
    <mergeCell ref="BQ59:BW59"/>
    <mergeCell ref="BQ74:BW74"/>
    <mergeCell ref="C70:I70"/>
    <mergeCell ref="C71:I71"/>
    <mergeCell ref="C72:I72"/>
    <mergeCell ref="C73:I73"/>
    <mergeCell ref="BQ70:BW70"/>
    <mergeCell ref="BQ72:BW72"/>
    <mergeCell ref="C86:I86"/>
    <mergeCell ref="C91:I91"/>
    <mergeCell ref="C114:I114"/>
    <mergeCell ref="BQ101:BW101"/>
    <mergeCell ref="BQ110:BW110"/>
    <mergeCell ref="BQ109:BW109"/>
    <mergeCell ref="C101:I101"/>
    <mergeCell ref="C102:I102"/>
    <mergeCell ref="C89:I89"/>
    <mergeCell ref="C90:I90"/>
    <mergeCell ref="C100:I100"/>
    <mergeCell ref="C107:I107"/>
    <mergeCell ref="C109:I109"/>
    <mergeCell ref="BQ86:BW86"/>
    <mergeCell ref="C111:I111"/>
    <mergeCell ref="C93:I93"/>
    <mergeCell ref="AL92:AP92"/>
    <mergeCell ref="C110:I110"/>
    <mergeCell ref="C103:I103"/>
    <mergeCell ref="BQ89:BW89"/>
    <mergeCell ref="BQ91:BW91"/>
    <mergeCell ref="AP108:AP109"/>
    <mergeCell ref="BQ172:BW172"/>
    <mergeCell ref="AX176:BM181"/>
    <mergeCell ref="O190:AD195"/>
    <mergeCell ref="AX169:BM174"/>
    <mergeCell ref="AX183:BM188"/>
    <mergeCell ref="BQ167:BW167"/>
    <mergeCell ref="BQ168:BW168"/>
    <mergeCell ref="BQ169:BW169"/>
    <mergeCell ref="BQ195:BW195"/>
    <mergeCell ref="AF155:AV167"/>
    <mergeCell ref="BQ176:BW176"/>
    <mergeCell ref="BQ178:BW178"/>
    <mergeCell ref="BQ179:BW179"/>
    <mergeCell ref="BQ157:BW157"/>
    <mergeCell ref="BQ173:BW173"/>
    <mergeCell ref="BQ174:BW174"/>
    <mergeCell ref="BQ175:BW175"/>
    <mergeCell ref="BQ180:BW180"/>
    <mergeCell ref="BQ170:BW170"/>
    <mergeCell ref="BQ155:BW155"/>
    <mergeCell ref="BQ156:BW156"/>
    <mergeCell ref="BQ182:BW182"/>
    <mergeCell ref="BQ183:BW183"/>
    <mergeCell ref="BQ184:BW184"/>
    <mergeCell ref="BQ138:BW138"/>
    <mergeCell ref="BQ139:BW139"/>
    <mergeCell ref="BQ92:BW92"/>
    <mergeCell ref="C118:I118"/>
    <mergeCell ref="C134:I134"/>
    <mergeCell ref="C138:I138"/>
    <mergeCell ref="C139:I139"/>
    <mergeCell ref="C136:I136"/>
    <mergeCell ref="BQ133:BW133"/>
    <mergeCell ref="BQ134:BW134"/>
    <mergeCell ref="BQ135:BW135"/>
    <mergeCell ref="BQ136:BW136"/>
    <mergeCell ref="Z133:AG133"/>
    <mergeCell ref="BQ130:BW130"/>
    <mergeCell ref="BQ137:BW137"/>
    <mergeCell ref="C129:I129"/>
    <mergeCell ref="C137:I137"/>
    <mergeCell ref="BQ131:BW131"/>
    <mergeCell ref="Z137:AG137"/>
    <mergeCell ref="Z129:AG129"/>
    <mergeCell ref="BQ129:BW129"/>
    <mergeCell ref="C135:I135"/>
    <mergeCell ref="BQ126:BW126"/>
    <mergeCell ref="AF119:AV119"/>
    <mergeCell ref="Z141:AG141"/>
    <mergeCell ref="AL143:AP143"/>
    <mergeCell ref="BQ149:BW149"/>
    <mergeCell ref="BQ150:BW150"/>
    <mergeCell ref="C149:I149"/>
    <mergeCell ref="C150:I150"/>
    <mergeCell ref="C140:I140"/>
    <mergeCell ref="C141:I141"/>
    <mergeCell ref="Z139:AG139"/>
    <mergeCell ref="C144:I144"/>
    <mergeCell ref="C145:I145"/>
    <mergeCell ref="C146:I146"/>
    <mergeCell ref="C147:I147"/>
    <mergeCell ref="C148:I148"/>
    <mergeCell ref="BQ143:BW143"/>
    <mergeCell ref="BQ144:BW144"/>
    <mergeCell ref="BQ145:BW145"/>
    <mergeCell ref="BQ146:BW146"/>
    <mergeCell ref="BQ140:BW140"/>
    <mergeCell ref="BQ141:BW141"/>
    <mergeCell ref="BQ142:BW142"/>
    <mergeCell ref="BQ147:BW147"/>
    <mergeCell ref="BQ148:BW148"/>
    <mergeCell ref="C193:I193"/>
    <mergeCell ref="C195:I195"/>
    <mergeCell ref="C194:I194"/>
    <mergeCell ref="C173:I173"/>
    <mergeCell ref="C180:I180"/>
    <mergeCell ref="C192:I192"/>
    <mergeCell ref="C170:I170"/>
    <mergeCell ref="C190:I190"/>
    <mergeCell ref="C182:I182"/>
    <mergeCell ref="C191:I191"/>
    <mergeCell ref="BQ185:BW185"/>
    <mergeCell ref="O183:AD188"/>
    <mergeCell ref="O162:AD167"/>
    <mergeCell ref="O155:AD160"/>
    <mergeCell ref="AL116:AP116"/>
    <mergeCell ref="BQ120:BW120"/>
    <mergeCell ref="BQ151:BW151"/>
    <mergeCell ref="AF183:AV195"/>
    <mergeCell ref="BQ191:BW191"/>
    <mergeCell ref="BQ192:BW192"/>
    <mergeCell ref="AF169:AV181"/>
    <mergeCell ref="BQ194:BW194"/>
    <mergeCell ref="BQ177:BW177"/>
    <mergeCell ref="BQ181:BW181"/>
    <mergeCell ref="BQ186:BW186"/>
    <mergeCell ref="BQ187:BW187"/>
    <mergeCell ref="BQ188:BW188"/>
    <mergeCell ref="BQ189:BW189"/>
    <mergeCell ref="BQ190:BW190"/>
    <mergeCell ref="AX162:BM167"/>
    <mergeCell ref="BQ171:BW171"/>
    <mergeCell ref="AX190:BM195"/>
    <mergeCell ref="BQ193:BW193"/>
    <mergeCell ref="O176:AD181"/>
    <mergeCell ref="O169:AD174"/>
    <mergeCell ref="CK43:CL43"/>
    <mergeCell ref="CK44:CL44"/>
    <mergeCell ref="CK46:CL46"/>
    <mergeCell ref="CK47:CL47"/>
    <mergeCell ref="CK48:CL48"/>
    <mergeCell ref="CK50:CL50"/>
    <mergeCell ref="CK51:CL51"/>
    <mergeCell ref="CK53:CL53"/>
    <mergeCell ref="CK54:CL54"/>
    <mergeCell ref="CK69:CL69"/>
    <mergeCell ref="CK70:CL70"/>
    <mergeCell ref="CK72:CL72"/>
    <mergeCell ref="CK73:CL73"/>
    <mergeCell ref="CK74:CL74"/>
    <mergeCell ref="CK75:CL75"/>
    <mergeCell ref="CK76:CL76"/>
    <mergeCell ref="CK77:CL77"/>
    <mergeCell ref="CK64:CL64"/>
    <mergeCell ref="CK66:CL66"/>
    <mergeCell ref="CK67:CL67"/>
    <mergeCell ref="CK56:CL56"/>
    <mergeCell ref="CK57:CL57"/>
    <mergeCell ref="CK58:CL58"/>
    <mergeCell ref="CK60:CL60"/>
    <mergeCell ref="CK62:CL62"/>
    <mergeCell ref="CK63:CL63"/>
    <mergeCell ref="CN53:CO53"/>
    <mergeCell ref="CN54:CO54"/>
    <mergeCell ref="DE43:DF43"/>
    <mergeCell ref="DE44:DF44"/>
    <mergeCell ref="DE45:DF45"/>
    <mergeCell ref="DE47:DF47"/>
    <mergeCell ref="DE48:DF48"/>
    <mergeCell ref="DE50:DF50"/>
    <mergeCell ref="DE52:DF52"/>
    <mergeCell ref="CN43:CO43"/>
    <mergeCell ref="CN44:CO44"/>
    <mergeCell ref="CN46:CO46"/>
    <mergeCell ref="CN56:CO56"/>
    <mergeCell ref="CN57:CO57"/>
    <mergeCell ref="CN58:CO58"/>
    <mergeCell ref="CN60:CO60"/>
    <mergeCell ref="CN62:CO62"/>
    <mergeCell ref="CN63:CO63"/>
    <mergeCell ref="DB43:DC43"/>
    <mergeCell ref="CN76:CO76"/>
    <mergeCell ref="CN77:CO77"/>
    <mergeCell ref="CN67:CO67"/>
    <mergeCell ref="CN69:CO69"/>
    <mergeCell ref="CN70:CO70"/>
    <mergeCell ref="CN72:CO72"/>
    <mergeCell ref="CN73:CO73"/>
    <mergeCell ref="CN74:CO74"/>
    <mergeCell ref="CN75:CO75"/>
    <mergeCell ref="CN64:CO64"/>
    <mergeCell ref="CN66:CO66"/>
    <mergeCell ref="DB44:DC44"/>
    <mergeCell ref="DB45:DC45"/>
    <mergeCell ref="DB47:DC47"/>
    <mergeCell ref="DB48:DC48"/>
    <mergeCell ref="DB50:DC50"/>
    <mergeCell ref="DB52:DC52"/>
    <mergeCell ref="CN51:CO51"/>
    <mergeCell ref="CN50:CO50"/>
    <mergeCell ref="CN47:CO47"/>
    <mergeCell ref="CN48:CO48"/>
    <mergeCell ref="AB125:AI125"/>
    <mergeCell ref="AB124:AI124"/>
    <mergeCell ref="AB123:AI123"/>
    <mergeCell ref="C2:D2"/>
    <mergeCell ref="E2:I2"/>
    <mergeCell ref="J2:K2"/>
    <mergeCell ref="BQ2:BR2"/>
    <mergeCell ref="BS2:BW2"/>
    <mergeCell ref="BX2:BY2"/>
    <mergeCell ref="BQ75:BW75"/>
    <mergeCell ref="BQ82:BW82"/>
    <mergeCell ref="BQ98:BW98"/>
    <mergeCell ref="BQ113:BW113"/>
    <mergeCell ref="BQ112:BW112"/>
    <mergeCell ref="BQ111:BW111"/>
    <mergeCell ref="X86:BD86"/>
    <mergeCell ref="BQ85:BW85"/>
    <mergeCell ref="BQ87:BW87"/>
    <mergeCell ref="BQ79:BW79"/>
    <mergeCell ref="BQ88:BW88"/>
    <mergeCell ref="BQ96:BW96"/>
    <mergeCell ref="BQ95:BW95"/>
    <mergeCell ref="BQ84:BW84"/>
    <mergeCell ref="C87:I87"/>
  </mergeCells>
  <phoneticPr fontId="39" type="noConversion"/>
  <conditionalFormatting sqref="C3:C33">
    <cfRule type="cellIs" dxfId="3519" priority="955" operator="greaterThan">
      <formula>0</formula>
    </cfRule>
  </conditionalFormatting>
  <conditionalFormatting sqref="D3:D33">
    <cfRule type="cellIs" dxfId="3518" priority="954" operator="greaterThan">
      <formula>0</formula>
    </cfRule>
  </conditionalFormatting>
  <conditionalFormatting sqref="E3:E33">
    <cfRule type="cellIs" dxfId="3517" priority="953" operator="greaterThan">
      <formula>0</formula>
    </cfRule>
  </conditionalFormatting>
  <conditionalFormatting sqref="F3:F33">
    <cfRule type="cellIs" dxfId="3516" priority="952" operator="greaterThan">
      <formula>0</formula>
    </cfRule>
  </conditionalFormatting>
  <conditionalFormatting sqref="G3:G33">
    <cfRule type="cellIs" dxfId="3515" priority="951" operator="greaterThan">
      <formula>0</formula>
    </cfRule>
  </conditionalFormatting>
  <conditionalFormatting sqref="H3:H33">
    <cfRule type="cellIs" dxfId="3514" priority="950" operator="greaterThan">
      <formula>0</formula>
    </cfRule>
  </conditionalFormatting>
  <conditionalFormatting sqref="I3:I33">
    <cfRule type="cellIs" dxfId="3513" priority="949" operator="greaterThan">
      <formula>0</formula>
    </cfRule>
  </conditionalFormatting>
  <conditionalFormatting sqref="J3:J33">
    <cfRule type="cellIs" dxfId="3512" priority="948" operator="greaterThan">
      <formula>0</formula>
    </cfRule>
  </conditionalFormatting>
  <conditionalFormatting sqref="K3:K33">
    <cfRule type="cellIs" dxfId="3511" priority="947" operator="greaterThan">
      <formula>0</formula>
    </cfRule>
  </conditionalFormatting>
  <conditionalFormatting sqref="N22 BN22">
    <cfRule type="expression" dxfId="3510" priority="737">
      <formula>$CH$37&gt;=8</formula>
    </cfRule>
  </conditionalFormatting>
  <conditionalFormatting sqref="R13">
    <cfRule type="expression" dxfId="3509" priority="631">
      <formula>R13=0</formula>
    </cfRule>
  </conditionalFormatting>
  <conditionalFormatting sqref="Z13:AB13">
    <cfRule type="expression" dxfId="3508" priority="412">
      <formula>$AA$13&gt;=1</formula>
    </cfRule>
  </conditionalFormatting>
  <conditionalFormatting sqref="AC13:AD13">
    <cfRule type="expression" dxfId="3507" priority="628">
      <formula>$AC$13&gt;=1</formula>
    </cfRule>
  </conditionalFormatting>
  <conditionalFormatting sqref="AX13:AY13">
    <cfRule type="expression" dxfId="3506" priority="627">
      <formula>$AY$13&gt;=1</formula>
    </cfRule>
  </conditionalFormatting>
  <conditionalFormatting sqref="AZ13:BB13">
    <cfRule type="expression" dxfId="3505" priority="411">
      <formula>$BA$13&gt;=1</formula>
    </cfRule>
  </conditionalFormatting>
  <conditionalFormatting sqref="BJ13">
    <cfRule type="expression" dxfId="3504" priority="632">
      <formula>BJ13=0</formula>
    </cfRule>
  </conditionalFormatting>
  <conditionalFormatting sqref="BQ3:BQ33">
    <cfRule type="cellIs" dxfId="3503" priority="937" operator="greaterThan">
      <formula>0</formula>
    </cfRule>
  </conditionalFormatting>
  <conditionalFormatting sqref="BR3:BR33">
    <cfRule type="cellIs" dxfId="3502" priority="938" operator="greaterThan">
      <formula>0</formula>
    </cfRule>
  </conditionalFormatting>
  <conditionalFormatting sqref="BS3:BS33">
    <cfRule type="cellIs" dxfId="3501" priority="939" operator="greaterThan">
      <formula>0</formula>
    </cfRule>
  </conditionalFormatting>
  <conditionalFormatting sqref="BT3:BT33">
    <cfRule type="cellIs" dxfId="3500" priority="940" operator="greaterThan">
      <formula>0</formula>
    </cfRule>
  </conditionalFormatting>
  <conditionalFormatting sqref="BU3:BU33">
    <cfRule type="cellIs" dxfId="3499" priority="941" operator="greaterThan">
      <formula>0</formula>
    </cfRule>
  </conditionalFormatting>
  <conditionalFormatting sqref="BV3:BV33">
    <cfRule type="cellIs" dxfId="3498" priority="942" operator="greaterThan">
      <formula>0</formula>
    </cfRule>
  </conditionalFormatting>
  <conditionalFormatting sqref="BW3:BW33">
    <cfRule type="cellIs" dxfId="3497" priority="943" operator="greaterThan">
      <formula>0</formula>
    </cfRule>
  </conditionalFormatting>
  <conditionalFormatting sqref="BX3:BX33">
    <cfRule type="cellIs" dxfId="3496" priority="944" operator="greaterThan">
      <formula>0</formula>
    </cfRule>
  </conditionalFormatting>
  <conditionalFormatting sqref="BY3:BY33">
    <cfRule type="cellIs" dxfId="3495" priority="945" operator="greaterThan">
      <formula>0</formula>
    </cfRule>
  </conditionalFormatting>
  <conditionalFormatting sqref="CE3:CE33">
    <cfRule type="expression" dxfId="3494" priority="618">
      <formula>AND(BZ3&lt;$N$1,CE3&lt;$CT$29)</formula>
    </cfRule>
  </conditionalFormatting>
  <conditionalFormatting sqref="CH3:CH33">
    <cfRule type="expression" dxfId="3493" priority="617">
      <formula>CH3=1</formula>
    </cfRule>
  </conditionalFormatting>
  <conditionalFormatting sqref="CJ1:CJ33">
    <cfRule type="expression" dxfId="3492" priority="615">
      <formula>CJ1&gt;=$CT$33</formula>
    </cfRule>
  </conditionalFormatting>
  <conditionalFormatting sqref="DE18">
    <cfRule type="expression" dxfId="3491" priority="616">
      <formula>DE18=1</formula>
    </cfRule>
  </conditionalFormatting>
  <conditionalFormatting sqref="AZ52 AS52 AL52">
    <cfRule type="expression" dxfId="3490" priority="576">
      <formula>AL43=0</formula>
    </cfRule>
  </conditionalFormatting>
  <conditionalFormatting sqref="AF52:AF82 Y52:Y82 BA52:BA82 AT52:AT82 AM52:AM82">
    <cfRule type="expression" dxfId="3489" priority="4">
      <formula>X$44=""</formula>
    </cfRule>
    <cfRule type="expression" dxfId="3488" priority="575">
      <formula>AND(X$43=0,Y52&lt;=$N$1)</formula>
    </cfRule>
  </conditionalFormatting>
  <conditionalFormatting sqref="BB52:BB82">
    <cfRule type="expression" dxfId="3487" priority="574">
      <formula>BB52&gt;0</formula>
    </cfRule>
  </conditionalFormatting>
  <conditionalFormatting sqref="BC53:BC82 AV53:AV82 AO53:AO82 AH53:AH82">
    <cfRule type="expression" dxfId="3486" priority="572">
      <formula>OR(AH53=0,AH53=AH52)</formula>
    </cfRule>
  </conditionalFormatting>
  <conditionalFormatting sqref="BA50 AT50 AM50">
    <cfRule type="expression" dxfId="3485" priority="568">
      <formula>AL43=1</formula>
    </cfRule>
  </conditionalFormatting>
  <conditionalFormatting sqref="BC50 AV50 AO50">
    <cfRule type="expression" dxfId="3484" priority="567">
      <formula>AL43=1</formula>
    </cfRule>
  </conditionalFormatting>
  <conditionalFormatting sqref="BB48 AU48 AN48">
    <cfRule type="expression" dxfId="3483" priority="566">
      <formula>AL43=1</formula>
    </cfRule>
  </conditionalFormatting>
  <conditionalFormatting sqref="AU52:AU82">
    <cfRule type="expression" dxfId="3482" priority="561">
      <formula>AU52&gt;0</formula>
    </cfRule>
  </conditionalFormatting>
  <conditionalFormatting sqref="AV52 BC52 AO52 AH52">
    <cfRule type="expression" dxfId="3481" priority="560">
      <formula>OR(AH52=0,AH52=AH50)</formula>
    </cfRule>
  </conditionalFormatting>
  <conditionalFormatting sqref="AN52:AN82">
    <cfRule type="expression" dxfId="3480" priority="548">
      <formula>AN52&gt;0</formula>
    </cfRule>
  </conditionalFormatting>
  <conditionalFormatting sqref="AG52:AG82">
    <cfRule type="expression" dxfId="3479" priority="535">
      <formula>AG52&gt;0</formula>
    </cfRule>
  </conditionalFormatting>
  <conditionalFormatting sqref="AF50">
    <cfRule type="expression" dxfId="3478" priority="529">
      <formula>AE43=1</formula>
    </cfRule>
  </conditionalFormatting>
  <conditionalFormatting sqref="AH50">
    <cfRule type="expression" dxfId="3477" priority="528">
      <formula>AE43=1</formula>
    </cfRule>
  </conditionalFormatting>
  <conditionalFormatting sqref="AG48">
    <cfRule type="expression" dxfId="3476" priority="527">
      <formula>AE43=1</formula>
    </cfRule>
  </conditionalFormatting>
  <conditionalFormatting sqref="Z52:Z82">
    <cfRule type="expression" dxfId="3475" priority="522">
      <formula>Z52&gt;0</formula>
    </cfRule>
  </conditionalFormatting>
  <conditionalFormatting sqref="AA53:AA82">
    <cfRule type="expression" dxfId="3474" priority="520">
      <formula>OR(AA53=0,AA53=AA52)</formula>
    </cfRule>
  </conditionalFormatting>
  <conditionalFormatting sqref="Y50">
    <cfRule type="expression" dxfId="3473" priority="516">
      <formula>X43=1</formula>
    </cfRule>
  </conditionalFormatting>
  <conditionalFormatting sqref="AA50">
    <cfRule type="expression" dxfId="3472" priority="515">
      <formula>X43=1</formula>
    </cfRule>
  </conditionalFormatting>
  <conditionalFormatting sqref="Z48">
    <cfRule type="expression" dxfId="3471" priority="514">
      <formula>X43=1</formula>
    </cfRule>
  </conditionalFormatting>
  <conditionalFormatting sqref="AZ46 AS46 AL46 AE46">
    <cfRule type="expression" dxfId="3470" priority="53271">
      <formula>AI43=1</formula>
    </cfRule>
  </conditionalFormatting>
  <conditionalFormatting sqref="AZ46:BD46 AS46:AW46 AL46:AP46 AE46:AI46 X46:AB46">
    <cfRule type="expression" dxfId="3469" priority="502">
      <formula>Z43=1</formula>
    </cfRule>
  </conditionalFormatting>
  <conditionalFormatting sqref="X46">
    <cfRule type="expression" dxfId="3468" priority="465">
      <formula>AB43=1</formula>
    </cfRule>
  </conditionalFormatting>
  <conditionalFormatting sqref="AE52">
    <cfRule type="expression" dxfId="3467" priority="457">
      <formula>AE43=0</formula>
    </cfRule>
  </conditionalFormatting>
  <conditionalFormatting sqref="X52">
    <cfRule type="expression" dxfId="3466" priority="455">
      <formula>X43=0</formula>
    </cfRule>
  </conditionalFormatting>
  <conditionalFormatting sqref="BA51 AT51 AM51">
    <cfRule type="expression" dxfId="3465" priority="453">
      <formula>AL43=0</formula>
    </cfRule>
  </conditionalFormatting>
  <conditionalFormatting sqref="AF51">
    <cfRule type="expression" dxfId="3464" priority="449">
      <formula>AE43=0</formula>
    </cfRule>
  </conditionalFormatting>
  <conditionalFormatting sqref="Y51">
    <cfRule type="expression" dxfId="3463" priority="448">
      <formula>X43=0</formula>
    </cfRule>
  </conditionalFormatting>
  <conditionalFormatting sqref="BL16:BL19">
    <cfRule type="expression" dxfId="3462" priority="428">
      <formula>BN16="!"</formula>
    </cfRule>
    <cfRule type="expression" dxfId="3461" priority="429">
      <formula>BK16=0</formula>
    </cfRule>
  </conditionalFormatting>
  <conditionalFormatting sqref="AA52">
    <cfRule type="expression" dxfId="3460" priority="416">
      <formula>OR(AA52=0,AA52=AA50)</formula>
    </cfRule>
  </conditionalFormatting>
  <conditionalFormatting sqref="O22:U22 BG22:BM22">
    <cfRule type="expression" dxfId="3459" priority="415">
      <formula>$CH$37&gt;=O23</formula>
    </cfRule>
  </conditionalFormatting>
  <conditionalFormatting sqref="Y113:BC113">
    <cfRule type="expression" dxfId="3458" priority="387">
      <formula>Y113=$AN$87</formula>
    </cfRule>
    <cfRule type="expression" dxfId="3457" priority="390">
      <formula>Y113=1</formula>
    </cfRule>
  </conditionalFormatting>
  <conditionalFormatting sqref="Y115:BC115">
    <cfRule type="expression" dxfId="3456" priority="386">
      <formula>Y115=$AN$87</formula>
    </cfRule>
    <cfRule type="expression" dxfId="3455" priority="389">
      <formula>Y115=1</formula>
    </cfRule>
  </conditionalFormatting>
  <conditionalFormatting sqref="X114:BC114">
    <cfRule type="expression" dxfId="3454" priority="365">
      <formula>$AF104=""</formula>
    </cfRule>
  </conditionalFormatting>
  <conditionalFormatting sqref="AL116:AP116">
    <cfRule type="expression" dxfId="3453" priority="361">
      <formula>AF104=""</formula>
    </cfRule>
  </conditionalFormatting>
  <conditionalFormatting sqref="Y98:BC98">
    <cfRule type="expression" dxfId="3452" priority="344">
      <formula>Y98=$AN$87</formula>
    </cfRule>
    <cfRule type="expression" dxfId="3451" priority="347">
      <formula>Y98=1</formula>
    </cfRule>
  </conditionalFormatting>
  <conditionalFormatting sqref="Y100:BC100">
    <cfRule type="expression" dxfId="3450" priority="343">
      <formula>Y100=$AN$87</formula>
    </cfRule>
    <cfRule type="expression" dxfId="3449" priority="346">
      <formula>Y100=1</formula>
    </cfRule>
  </conditionalFormatting>
  <conditionalFormatting sqref="AN93:AO94 AM94">
    <cfRule type="expression" dxfId="3448" priority="341">
      <formula>AM93=0</formula>
    </cfRule>
  </conditionalFormatting>
  <conditionalFormatting sqref="AM93">
    <cfRule type="expression" dxfId="3447" priority="342">
      <formula>$AF89=""</formula>
    </cfRule>
  </conditionalFormatting>
  <conditionalFormatting sqref="Y99:BC99">
    <cfRule type="expression" dxfId="3446" priority="339">
      <formula>$AF89=""</formula>
    </cfRule>
  </conditionalFormatting>
  <conditionalFormatting sqref="AL101:AP101">
    <cfRule type="expression" dxfId="3445" priority="335">
      <formula>AF89=""</formula>
    </cfRule>
  </conditionalFormatting>
  <conditionalFormatting sqref="AI136">
    <cfRule type="expression" dxfId="3444" priority="268">
      <formula>AU136&gt;=1</formula>
    </cfRule>
  </conditionalFormatting>
  <conditionalFormatting sqref="AK136">
    <cfRule type="expression" dxfId="3443" priority="267">
      <formula>AU136&gt;=2</formula>
    </cfRule>
  </conditionalFormatting>
  <conditionalFormatting sqref="AM136">
    <cfRule type="expression" dxfId="3442" priority="266">
      <formula>AU136&gt;=3</formula>
    </cfRule>
  </conditionalFormatting>
  <conditionalFormatting sqref="AO136">
    <cfRule type="expression" dxfId="3441" priority="265">
      <formula>AU136&gt;=4</formula>
    </cfRule>
  </conditionalFormatting>
  <conditionalFormatting sqref="AQ136">
    <cfRule type="expression" dxfId="3440" priority="264">
      <formula>AU136&gt;=5</formula>
    </cfRule>
  </conditionalFormatting>
  <conditionalFormatting sqref="AS136">
    <cfRule type="expression" dxfId="3439" priority="263">
      <formula>AU136&gt;=6</formula>
    </cfRule>
  </conditionalFormatting>
  <conditionalFormatting sqref="AI129 AK129 AM129 AO129 AQ129 AS129 AI131 AK131 AM131 AO131 AQ131 AS131 AI133 AK133 AM133 AO133 AQ133 AS133">
    <cfRule type="expression" dxfId="3438" priority="262">
      <formula>AI129=1</formula>
    </cfRule>
  </conditionalFormatting>
  <conditionalFormatting sqref="AI137 AK137 AM137 AO137 AQ137 AS137 AI139 AK139 AM139 AO139 AQ139 AS139 AI141 AK141 AM141 AO141 AQ141 AS141">
    <cfRule type="expression" dxfId="3437" priority="261">
      <formula>AI137=1</formula>
    </cfRule>
  </conditionalFormatting>
  <conditionalFormatting sqref="AJ123">
    <cfRule type="expression" dxfId="3436" priority="258">
      <formula>AU123=AG123</formula>
    </cfRule>
  </conditionalFormatting>
  <conditionalFormatting sqref="AI137 AK137 AM137 AO137 AQ137 AS137 AS139 AQ139 AO139 AM139 AK139 AI139 AI141 AK141 AM141 AO141 AQ141 AS141">
    <cfRule type="expression" dxfId="3435" priority="251">
      <formula>AI137=$BD$122</formula>
    </cfRule>
  </conditionalFormatting>
  <conditionalFormatting sqref="AI129 AK129 AM129 AO129 AQ129 AS129 AS131 AS133 AQ133 AQ131 AO131 AM131 AK131 AI131 AI133 AK133 AM133 AO133">
    <cfRule type="expression" dxfId="3434" priority="250">
      <formula>AI129=$BD$122</formula>
    </cfRule>
  </conditionalFormatting>
  <conditionalFormatting sqref="AI135">
    <cfRule type="expression" dxfId="3433" priority="38810">
      <formula>AG135&gt;=1</formula>
    </cfRule>
  </conditionalFormatting>
  <conditionalFormatting sqref="AK135">
    <cfRule type="expression" dxfId="3432" priority="38811">
      <formula>AG135&gt;=2</formula>
    </cfRule>
  </conditionalFormatting>
  <conditionalFormatting sqref="AM135">
    <cfRule type="expression" dxfId="3431" priority="38812">
      <formula>AG135&gt;=3</formula>
    </cfRule>
  </conditionalFormatting>
  <conditionalFormatting sqref="AO135">
    <cfRule type="expression" dxfId="3430" priority="38813">
      <formula>AG135&gt;=4</formula>
    </cfRule>
  </conditionalFormatting>
  <conditionalFormatting sqref="AQ135">
    <cfRule type="expression" dxfId="3429" priority="38814">
      <formula>AG135&gt;=5</formula>
    </cfRule>
  </conditionalFormatting>
  <conditionalFormatting sqref="AS135">
    <cfRule type="expression" dxfId="3428" priority="38815">
      <formula>AG135&gt;=6</formula>
    </cfRule>
  </conditionalFormatting>
  <conditionalFormatting sqref="AS129 AS131 AS133 AS137 AS139 AS141">
    <cfRule type="expression" dxfId="3427" priority="249">
      <formula>$AW$135=1</formula>
    </cfRule>
  </conditionalFormatting>
  <conditionalFormatting sqref="X99">
    <cfRule type="expression" dxfId="3426" priority="248">
      <formula>$AF89=""</formula>
    </cfRule>
  </conditionalFormatting>
  <conditionalFormatting sqref="AM93:AO94 AM108:AO109">
    <cfRule type="expression" dxfId="3425" priority="183">
      <formula>AND(BC93&lt;&gt;0,AM93&gt;=BC93)</formula>
    </cfRule>
    <cfRule type="expression" dxfId="3424" priority="220">
      <formula>AND(AY93&lt;&gt;0,AN90&gt;=AY93)</formula>
    </cfRule>
    <cfRule type="expression" dxfId="3423" priority="340">
      <formula>AN96=$AO96</formula>
    </cfRule>
  </conditionalFormatting>
  <conditionalFormatting sqref="AL95:AP95 AL110:AP110 AL125:AP125">
    <cfRule type="expression" dxfId="3422" priority="238">
      <formula>AND(BC93&lt;&gt;0,AM93&gt;=BC93)</formula>
    </cfRule>
  </conditionalFormatting>
  <conditionalFormatting sqref="AL92:AP92 AL107:AP107 AL122:AP122">
    <cfRule type="expression" dxfId="3421" priority="237">
      <formula>AND(BC93&lt;&gt;0,AM93&gt;=BC93)</formula>
    </cfRule>
  </conditionalFormatting>
  <conditionalFormatting sqref="AL93:AL94 AL108:AL109 AL123:AL124">
    <cfRule type="expression" dxfId="3420" priority="236">
      <formula>AND(BC93&lt;&gt;0,AM93&gt;=BC93)</formula>
    </cfRule>
  </conditionalFormatting>
  <conditionalFormatting sqref="AP93:AP94 AP108:AP109 AP123:AP124">
    <cfRule type="expression" dxfId="3419" priority="235">
      <formula>AND(BC93&lt;&gt;0,AM93&gt;=BC93)</formula>
    </cfRule>
  </conditionalFormatting>
  <conditionalFormatting sqref="P16:P19">
    <cfRule type="expression" dxfId="3418" priority="41674">
      <formula>S16="!"</formula>
    </cfRule>
    <cfRule type="expression" dxfId="3417" priority="41675">
      <formula>R16=0</formula>
    </cfRule>
  </conditionalFormatting>
  <conditionalFormatting sqref="R16:R19">
    <cfRule type="expression" dxfId="3416" priority="41678">
      <formula>S16="!"</formula>
    </cfRule>
    <cfRule type="expression" dxfId="3415" priority="41679">
      <formula>R16=0</formula>
    </cfRule>
  </conditionalFormatting>
  <conditionalFormatting sqref="BK16:BK19">
    <cfRule type="expression" dxfId="3414" priority="41731">
      <formula>BI16="!"</formula>
    </cfRule>
    <cfRule type="expression" dxfId="3413" priority="41732">
      <formula>BJ16=0</formula>
    </cfRule>
  </conditionalFormatting>
  <conditionalFormatting sqref="BJ16:BJ19">
    <cfRule type="expression" dxfId="3412" priority="41733">
      <formula>BI16="!"</formula>
    </cfRule>
    <cfRule type="expression" dxfId="3411" priority="41734">
      <formula>BJ16=0</formula>
    </cfRule>
  </conditionalFormatting>
  <conditionalFormatting sqref="AY93 AY95 BC93 BC95 BC108 BC123 BC110 BC125">
    <cfRule type="expression" dxfId="3410" priority="172">
      <formula>AY92=""</formula>
    </cfRule>
  </conditionalFormatting>
  <conditionalFormatting sqref="Y93">
    <cfRule type="expression" dxfId="3409" priority="171">
      <formula>Y92=""</formula>
    </cfRule>
  </conditionalFormatting>
  <conditionalFormatting sqref="AB94 AB95">
    <cfRule type="expression" dxfId="3408" priority="170">
      <formula>Y94=""</formula>
    </cfRule>
  </conditionalFormatting>
  <conditionalFormatting sqref="AL143:AP143">
    <cfRule type="expression" dxfId="3407" priority="169">
      <formula>AF119=""</formula>
    </cfRule>
  </conditionalFormatting>
  <conditionalFormatting sqref="AY108">
    <cfRule type="expression" dxfId="3406" priority="168">
      <formula>AY107=""</formula>
    </cfRule>
  </conditionalFormatting>
  <conditionalFormatting sqref="AY123">
    <cfRule type="expression" dxfId="3405" priority="166">
      <formula>AY122=""</formula>
    </cfRule>
  </conditionalFormatting>
  <conditionalFormatting sqref="AY110">
    <cfRule type="expression" dxfId="3404" priority="164">
      <formula>AY109=""</formula>
    </cfRule>
  </conditionalFormatting>
  <conditionalFormatting sqref="AY125">
    <cfRule type="expression" dxfId="3403" priority="163">
      <formula>AY124=""</formula>
    </cfRule>
  </conditionalFormatting>
  <conditionalFormatting sqref="Y108">
    <cfRule type="expression" dxfId="3402" priority="160">
      <formula>Y107=""</formula>
    </cfRule>
  </conditionalFormatting>
  <conditionalFormatting sqref="AB109">
    <cfRule type="expression" dxfId="3401" priority="159">
      <formula>Y109=""</formula>
    </cfRule>
  </conditionalFormatting>
  <conditionalFormatting sqref="AB110">
    <cfRule type="expression" dxfId="3400" priority="158">
      <formula>Y110=""</formula>
    </cfRule>
  </conditionalFormatting>
  <conditionalFormatting sqref="Y123:AB125">
    <cfRule type="expression" dxfId="3399" priority="134">
      <formula>$Y$122=""</formula>
    </cfRule>
  </conditionalFormatting>
  <conditionalFormatting sqref="Y135:BC135">
    <cfRule type="expression" dxfId="3398" priority="156">
      <formula>$AF$119=""</formula>
    </cfRule>
  </conditionalFormatting>
  <conditionalFormatting sqref="Z129:AG133 AW129:BB133 Z137:AG141 AW137:BB141">
    <cfRule type="expression" dxfId="3397" priority="155">
      <formula>$AF$119=""</formula>
    </cfRule>
  </conditionalFormatting>
  <conditionalFormatting sqref="BB131 BB133 BB139 BB141">
    <cfRule type="expression" dxfId="3396" priority="152">
      <formula>BA131=""</formula>
    </cfRule>
  </conditionalFormatting>
  <conditionalFormatting sqref="AI131 AK131 AM131 AO131 AQ131 AS131">
    <cfRule type="expression" dxfId="3395" priority="151">
      <formula>$Z$131=""</formula>
    </cfRule>
  </conditionalFormatting>
  <conditionalFormatting sqref="AI133 AK133 AM133 AO133 AQ133 AS133">
    <cfRule type="expression" dxfId="3394" priority="150">
      <formula>$Z$133=""</formula>
    </cfRule>
  </conditionalFormatting>
  <conditionalFormatting sqref="AS139 AQ139 AO139 AM139 AK139 AI139">
    <cfRule type="expression" dxfId="3393" priority="149">
      <formula>$Z$139=""</formula>
    </cfRule>
  </conditionalFormatting>
  <conditionalFormatting sqref="AS141 AQ141 AO141 AM141 AK141 AI141">
    <cfRule type="expression" dxfId="3392" priority="148">
      <formula>$Z$141=""</formula>
    </cfRule>
  </conditionalFormatting>
  <conditionalFormatting sqref="AN108:AO109 AM109">
    <cfRule type="expression" dxfId="3391" priority="144">
      <formula>AM108=0</formula>
    </cfRule>
  </conditionalFormatting>
  <conditionalFormatting sqref="AM108">
    <cfRule type="expression" dxfId="3390" priority="145">
      <formula>$AF104=""</formula>
    </cfRule>
  </conditionalFormatting>
  <conditionalFormatting sqref="AN123:AO124 AM124">
    <cfRule type="expression" dxfId="3389" priority="139">
      <formula>AM123=0</formula>
    </cfRule>
  </conditionalFormatting>
  <conditionalFormatting sqref="AM123">
    <cfRule type="expression" dxfId="3388" priority="140">
      <formula>$AF119=""</formula>
    </cfRule>
  </conditionalFormatting>
  <conditionalFormatting sqref="AM123:AO124">
    <cfRule type="expression" dxfId="3387" priority="136">
      <formula>AND(BC123&lt;&gt;0,AM123&gt;=BC123)</formula>
    </cfRule>
    <cfRule type="expression" dxfId="3386" priority="137">
      <formula>AND(AY123&lt;&gt;0,AN120&gt;=AY123)</formula>
    </cfRule>
    <cfRule type="expression" dxfId="3385" priority="138">
      <formula>AND($AO$126&lt;&gt;0,AN126=$AO126)</formula>
    </cfRule>
  </conditionalFormatting>
  <conditionalFormatting sqref="Y123:Y125">
    <cfRule type="expression" dxfId="3384" priority="157">
      <formula>X123=1</formula>
    </cfRule>
  </conditionalFormatting>
  <conditionalFormatting sqref="Z123:Z125">
    <cfRule type="expression" dxfId="3383" priority="135">
      <formula>X123=1</formula>
    </cfRule>
  </conditionalFormatting>
  <conditionalFormatting sqref="BA98:BC98 BA113:BC113">
    <cfRule type="expression" dxfId="3382" priority="133">
      <formula>AND($AF89&lt;&gt;"",BA99="")</formula>
    </cfRule>
  </conditionalFormatting>
  <conditionalFormatting sqref="BA100:BC100 BA115:BC115">
    <cfRule type="expression" dxfId="3381" priority="132">
      <formula>AND($AF89&lt;&gt;"",BA99="")</formula>
    </cfRule>
  </conditionalFormatting>
  <conditionalFormatting sqref="Z80:Z82 AG80:AG82 AN80:AN82 AU80:AU82 BB80:BB82">
    <cfRule type="expression" dxfId="3380" priority="131">
      <formula>AND(X$44&lt;&gt;"",Y80="")</formula>
    </cfRule>
  </conditionalFormatting>
  <conditionalFormatting sqref="AI129 AK129 AM129 AO129 AQ129 AS129 AI131 AK131 AM131 AO131 AQ131 AS131 AS133 AQ133 AO133 AM133 AK133 AI133 AI137 AK137 AM137 AO137 AQ137 AS137 AS139 AQ139 AO139 AM139 AK139 AI139 AI141 AK141 AM141 AO141 AQ141 AS141">
    <cfRule type="expression" dxfId="3379" priority="130">
      <formula>$AF$119=""</formula>
    </cfRule>
  </conditionalFormatting>
  <conditionalFormatting sqref="C56:I195">
    <cfRule type="expression" dxfId="3378" priority="15">
      <formula>OR(C56=$C$44,C56=$C$45,C56=$C$46,C56=$C$47,C56=$C$48,C56=$C$49,C56=$C$50,C56=$C$51,C56=$C$52)</formula>
    </cfRule>
  </conditionalFormatting>
  <conditionalFormatting sqref="BQ56:BW195">
    <cfRule type="expression" dxfId="3377" priority="14">
      <formula>OR(BQ56=$BQ$44,BQ56=$BQ$45,BQ56=$BQ$46,BQ56=$BQ$47,BQ56=$BQ$48,BQ56=$BQ$49,BQ56=$BQ$50,BQ56=$BQ$51,BQ56=$BQ$52)</formula>
    </cfRule>
  </conditionalFormatting>
  <conditionalFormatting sqref="AK3:AQ11">
    <cfRule type="expression" dxfId="3376" priority="13">
      <formula>$AK$3&gt;=414</formula>
    </cfRule>
  </conditionalFormatting>
  <conditionalFormatting sqref="AS44:AW45 AL44:AP45 AE44:AI45 X44:AB45 AZ44:BD45">
    <cfRule type="expression" dxfId="3375" priority="564">
      <formula>OR(X43=1,AB43=1)</formula>
    </cfRule>
  </conditionalFormatting>
  <conditionalFormatting sqref="AS46:AW46 AL46:AP46 AE46:AI46 X46:AB46 AZ46:BD46">
    <cfRule type="expression" dxfId="3374" priority="488">
      <formula>OR(X43=1,AB43=1)</formula>
    </cfRule>
  </conditionalFormatting>
  <conditionalFormatting sqref="L3:L33">
    <cfRule type="expression" dxfId="3373" priority="9">
      <formula>AND($DK$26=1,B3&lt;$DK$31)</formula>
    </cfRule>
  </conditionalFormatting>
  <conditionalFormatting sqref="BP3:BP33">
    <cfRule type="expression" dxfId="3372" priority="11">
      <formula>AND($DK$26=1,BZ3&lt;$DK$31)</formula>
    </cfRule>
  </conditionalFormatting>
  <conditionalFormatting sqref="BZ3:BZ33">
    <cfRule type="expression" dxfId="3371" priority="12">
      <formula>AND($DK$26=1,BZ3&lt;$DK$31)</formula>
    </cfRule>
  </conditionalFormatting>
  <conditionalFormatting sqref="B3:B33">
    <cfRule type="expression" dxfId="3370" priority="10">
      <formula>AND($DK$26=1,B3&lt;$DK$31)</formula>
    </cfRule>
  </conditionalFormatting>
  <conditionalFormatting sqref="AZ44:BD45 AS44:AW45 AL44:AP45 AE44:AI45 X44:AB45">
    <cfRule type="expression" dxfId="3369" priority="565">
      <formula>Z43=1</formula>
    </cfRule>
    <cfRule type="expression" dxfId="3368" priority="53254">
      <formula>AB43=1</formula>
    </cfRule>
  </conditionalFormatting>
  <conditionalFormatting sqref="CK1:CK33">
    <cfRule type="expression" dxfId="3367" priority="7">
      <formula>CK1&gt;=$CT$32</formula>
    </cfRule>
  </conditionalFormatting>
  <conditionalFormatting sqref="AU95">
    <cfRule type="expression" dxfId="3366" priority="3">
      <formula>AY92=""</formula>
    </cfRule>
  </conditionalFormatting>
  <conditionalFormatting sqref="AU110">
    <cfRule type="expression" dxfId="3365" priority="2">
      <formula>AY107=""</formula>
    </cfRule>
  </conditionalFormatting>
  <conditionalFormatting sqref="AU125">
    <cfRule type="expression" dxfId="3364" priority="1">
      <formula>AY122=""</formula>
    </cfRule>
  </conditionalFormatting>
  <dataValidations xWindow="803" yWindow="762" count="90">
    <dataValidation allowBlank="1" showInputMessage="1" showErrorMessage="1" promptTitle="Save favourite quotes from above" prompt="Copy and paste quotes to the same size cell from dynamic quotes section above." sqref="O152:BM152" xr:uid="{5E668A52-B597-4C35-B0C7-CD61E6E8B8B7}"/>
    <dataValidation type="textLength" allowBlank="1" showInputMessage="1" showErrorMessage="1" error="The skill title must be exactly four characters." promptTitle="Skill" prompt="Enter a four character title here." sqref="C44:D52 BQ44:BR52" xr:uid="{839A594B-B32D-4DD9-B5D7-0939ADF2A895}">
      <formula1>4</formula1>
      <formula2>4</formula2>
    </dataValidation>
    <dataValidation type="whole" allowBlank="1" showInputMessage="1" showErrorMessage="1" sqref="C3:K33 AH50 AA50 Y50 AF50 AM50 AO50 AT50 AV50 BA50 BC50 BQ3:BY33" xr:uid="{51904956-119E-4E67-A279-22473E72AB9C}">
      <formula1>0</formula1>
      <formula2>999</formula2>
    </dataValidation>
    <dataValidation type="whole" allowBlank="1" showInputMessage="1" showErrorMessage="1" sqref="Z52:Z82 AG52:AG82 BB52:BB82 AN52:AN82 AU52:AU82" xr:uid="{6A820F0F-32A2-43C1-BE8D-8CD6E4A1B49C}">
      <formula1>0</formula1>
      <formula2>1</formula2>
    </dataValidation>
    <dataValidation allowBlank="1" showInputMessage="1" showErrorMessage="1" promptTitle="Objectives" prompt="Status of objecitives for skills." sqref="AB13" xr:uid="{D86990FB-25F3-4820-9964-AD302384EC63}"/>
    <dataValidation allowBlank="1" showInputMessage="1" showErrorMessage="1" promptTitle="Challenges" prompt="Status of monthly challenges." sqref="AZ13" xr:uid="{FF9877F0-63F6-4464-9D5B-B329D41267DE}"/>
    <dataValidation allowBlank="1" showInputMessage="1" showErrorMessage="1" promptTitle="Lives" prompt="Number of life hearts." sqref="O22:U22 BG22:BM22" xr:uid="{0DD6A965-EBD1-4AEA-A5F4-97C16482956B}"/>
    <dataValidation allowBlank="1" showInputMessage="1" showErrorMessage="1" promptTitle="Enhancement" prompt="Indicates if any skill enhancements or life heart 1ups have been used." sqref="W22 BE22" xr:uid="{2C82DD01-1950-449E-8D26-61E92F64E5B1}"/>
    <dataValidation allowBlank="1" showInputMessage="1" showErrorMessage="1" promptTitle="Health Points" prompt="Daily health gained through adding skill XP._x000a__x000a_◆ = all life hearts lost_x000a_" sqref="Y22:BC22" xr:uid="{841D86C7-DDBA-4DDD-A657-3EBC340C5380}"/>
    <dataValidation allowBlank="1" showInputMessage="1" showErrorMessage="1" promptTitle="Skill Levels" prompt="Showing the progression of individual skills." sqref="N3:AJ11 AR3:BN11" xr:uid="{C2D64E4F-F23B-4222-A960-BA6EBFB8FD70}"/>
    <dataValidation allowBlank="1" showInputMessage="1" showErrorMessage="1" promptTitle="LVL" prompt="Overall level number from combined total of skill levels." sqref="AK2:AQ11" xr:uid="{9B5E4E4A-770E-4EAB-8EC7-A2DF7CD17A5E}"/>
    <dataValidation allowBlank="1" showInputMessage="1" showErrorMessage="1" promptTitle="Focus of the Month" prompt="Enter details of chosen areas or actions to concentrate on._x000a__x000a_Central = primary focus overall_x000a_Left side = main mind focuses_x000a_Right side = main body focuses" sqref="AH16:AT16" xr:uid="{1B11D9A1-0A5C-4977-8CA3-E953BC05ED92}"/>
    <dataValidation allowBlank="1" showInputMessage="1" showErrorMessage="1" promptTitle="Mind" prompt="Section for skills related to the mind." sqref="C42:K42" xr:uid="{8032CE1D-94CB-4398-A6F1-3356BBE67F6C}"/>
    <dataValidation allowBlank="1" showInputMessage="1" showErrorMessage="1" promptTitle="Body" prompt="Section for skills related to the body. " sqref="BQ42:BY42" xr:uid="{190892C2-2F91-49DA-92EF-020A715C9897}"/>
    <dataValidation allowBlank="1" showInputMessage="1" showErrorMessage="1" promptTitle="Booby Traps" prompt="Total booby traps encountered due to hitting a randomised number above gaming, TV and film limits." sqref="BJ13:BK13" xr:uid="{5D457EDD-BE04-4D61-BBD7-C9CA7088AEAB}"/>
    <dataValidation allowBlank="1" showInputMessage="1" showErrorMessage="1" promptTitle="Booty for Loot Sum" prompt="Item gained for hitting randomised target for number of loot sum." sqref="BH13" xr:uid="{383F74B2-7CCB-4A8A-9E5E-B94E300D9AB2}"/>
    <dataValidation allowBlank="1" showInputMessage="1" showErrorMessage="1" promptTitle="Failure Penalties" prompt="Total penalties suffered due to failing missions, objectives or challenges. " sqref="Q13:R13" xr:uid="{A4DC9D2A-63D7-4BF0-BB97-73E4FB1780B9}"/>
    <dataValidation type="textLength" allowBlank="1" showInputMessage="1" showErrorMessage="1" errorTitle="Description too long!" error="Enter shorter text." prompt="Enter skill description" sqref="BS44:BY52 E44:K52" xr:uid="{B57B517E-595E-4AC4-A07D-95A9C3A86EDC}">
      <formula1>0</formula1>
      <formula2>35</formula2>
    </dataValidation>
    <dataValidation allowBlank="1" showInputMessage="1" showErrorMessage="1" promptTitle="Focus" prompt="Primary" sqref="AH18:AT19" xr:uid="{34B62F5D-B5D0-41F1-841C-E1FAE06267B9}"/>
    <dataValidation allowBlank="1" showInputMessage="1" showErrorMessage="1" promptTitle="Booty for Level Ups" prompt="Item gained for hitting randomised target for number of skills levelled up." sqref="T13" xr:uid="{9D85F64F-2381-4105-B8B7-4C53BC449455}"/>
    <dataValidation allowBlank="1" showInputMessage="1" showErrorMessage="1" promptTitle="Booty for Objectives/Challenges" prompt="Item gained for hitting randomised target for number of objectives and challenges completed." sqref="U13" xr:uid="{00655593-2E19-4590-A792-0C1F214FD54D}"/>
    <dataValidation allowBlank="1" showInputMessage="1" showErrorMessage="1" promptTitle="Booty for Missions" prompt="Item gained for hitting randomised target for number of missions completed." sqref="V13" xr:uid="{5B672FF7-5AFB-48D7-9260-CD03ADE1AAF1}"/>
    <dataValidation allowBlank="1" showInputMessage="1" showErrorMessage="1" promptTitle="Booty for Total XP" prompt="Item gained for hitting randomised target for number of total XP this month in all skills." sqref="W13" xr:uid="{1BD606C3-6A02-4F58-BE22-2BD595888B13}"/>
    <dataValidation allowBlank="1" showInputMessage="1" showErrorMessage="1" promptTitle="Booty for Mind Day XP" prompt="Item gained for hitting randomised target for number of maximum day XP in mind skills." sqref="BE13" xr:uid="{7C1F1B0B-BC7D-49CE-9D2C-1A4F87D16335}"/>
    <dataValidation allowBlank="1" showInputMessage="1" showErrorMessage="1" promptTitle="Booty for Body Day XP" prompt="Item gained for hitting randomised target for number of maximum day XP in body skills." sqref="BF13" xr:uid="{1645BB21-D208-41CD-8ECF-40AE237D527F}"/>
    <dataValidation allowBlank="1" showInputMessage="1" showErrorMessage="1" promptTitle="Booty for Narratives" prompt="Item gained for hitting randomised target for number of pages and minutes in narratives." sqref="BG13" xr:uid="{ABB1AD0D-9C10-4D5E-8682-A534D32B5AA1}"/>
    <dataValidation allowBlank="1" showInputMessage="1" showErrorMessage="1" prompt="Enter chosen coop reward" sqref="AZ110:BB110 AS95 AS110 AZ95:BB95 Y108 Y93" xr:uid="{570B2D1F-D396-4E60-94D0-079A91ECD89F}"/>
    <dataValidation allowBlank="1" showInputMessage="1" showErrorMessage="1" prompt="Enter commitment" sqref="AJ109 BA137 BA133 Y142 BA139 AU129:AU131 AU133 BA129 BA131 AU141 AU137:AU139 BA141 AB94 AB109" xr:uid="{E59670CD-3221-4F30-B4DD-59513FD307B9}"/>
    <dataValidation allowBlank="1" showInputMessage="1" showErrorMessage="1" prompt="Enter coop player's commitment" sqref="AJ110 AB95 AB110" xr:uid="{308E280A-A7E8-4256-A165-5B72BDCD25D6}"/>
    <dataValidation allowBlank="1" showInputMessage="1" showErrorMessage="1" prompt="Enter coop player name. " sqref="AL101:AP101 AL116:AP116 AL143:AP143" xr:uid="{03CB1028-ABB3-4FA5-94B8-8DDBE7CB7D8C}"/>
    <dataValidation allowBlank="1" showInputMessage="1" showErrorMessage="1" promptTitle="Challenges Tracker" prompt="Input daily actions and track progress with challenges._x000a__x000a_1 = action done_x000a_0 = action not done_x000a_(or leave blank for action not done)" sqref="X42:BD42" xr:uid="{0BC7F7CC-8EBE-407B-BB34-AF5422321034}"/>
    <dataValidation allowBlank="1" showInputMessage="1" showErrorMessage="1" promptTitle="Coop Mode" prompt="Input daily or weekly actions and track progress with coop actions._x000a__x000a_1 = action done_x000a_0 = action not done_x000a_(or leave blank for action not done)" sqref="X86:BD86" xr:uid="{64200BBC-4F36-4990-94DF-33B521E7F799}"/>
    <dataValidation allowBlank="1" showInputMessage="1" showErrorMessage="1" promptTitle="Repeating Day Missions" prompt="Number remaining." sqref="P16:R16" xr:uid="{03FCBC56-4F77-49CA-9151-F2AB9249A2BD}"/>
    <dataValidation allowBlank="1" showInputMessage="1" showErrorMessage="1" promptTitle="Repeating Week Missions" prompt="Number remaining." sqref="P17:R17" xr:uid="{3FA427EC-C332-46B0-90E6-50185E46036C}"/>
    <dataValidation allowBlank="1" showInputMessage="1" showErrorMessage="1" promptTitle="Repeating Month Missions" prompt="Number remaining." sqref="P18:R18" xr:uid="{B7B14F58-B2BF-4F72-90A1-6AA6BF254C16}"/>
    <dataValidation allowBlank="1" showInputMessage="1" showErrorMessage="1" promptTitle="Skill Missions" prompt="Number remaining on left side." sqref="P19:R19" xr:uid="{FFAC0A12-6CFA-4942-9526-8B2FA73B5C49}"/>
    <dataValidation allowBlank="1" showInputMessage="1" showErrorMessage="1" promptTitle="Singular Now Missions" prompt="Number remaining." sqref="BJ16:BL16" xr:uid="{161774D0-2AE9-439C-B1FE-4FD857E41A7B}"/>
    <dataValidation allowBlank="1" showInputMessage="1" showErrorMessage="1" promptTitle="Singular Soon Missions" prompt="Number remaining." sqref="BJ17:BL17" xr:uid="{25724CB7-08D0-44C5-A439-FA72483EA36E}"/>
    <dataValidation allowBlank="1" showInputMessage="1" showErrorMessage="1" promptTitle="Singular Later Missions" prompt="Number remaining." sqref="BJ18:BL18" xr:uid="{A2E54C70-C99D-4312-B01F-F9F2C27E8662}"/>
    <dataValidation allowBlank="1" showInputMessage="1" showErrorMessage="1" promptTitle="Skill Missions" prompt="Number remaining on right side." sqref="BJ19:BL19" xr:uid="{5708AE07-59E4-402D-9955-B49F524789CB}"/>
    <dataValidation allowBlank="1" showInputMessage="1" showErrorMessage="1" promptTitle="Objectives" prompt="Number complete." sqref="Y13:AA13" xr:uid="{24D1E78A-7ADF-4EF1-80D5-0CBDC697DA46}"/>
    <dataValidation allowBlank="1" showInputMessage="1" showErrorMessage="1" promptTitle="Challenges" prompt="Number complete." sqref="BA13:BC13" xr:uid="{9B425241-7F01-4230-8473-6110E917993A}"/>
    <dataValidation allowBlank="1" showInputMessage="1" showErrorMessage="1" promptTitle="Objectives" prompt="Number ongoing." sqref="AC13:AE13" xr:uid="{F640EC3F-BE4F-4013-A5B7-1A13CF35EB4F}"/>
    <dataValidation allowBlank="1" showInputMessage="1" showErrorMessage="1" promptTitle="Challenges" prompt="Number ongoing." sqref="AW13:AY13" xr:uid="{903FD490-2F9B-432E-908D-B0C27C8F3086}"/>
    <dataValidation allowBlank="1" showInputMessage="1" showErrorMessage="1" promptTitle="LVL" prompt="Overal level from previous month. " sqref="AG13:AJ13" xr:uid="{3BC3EFC8-10AA-4408-9667-113C4AC600F4}"/>
    <dataValidation allowBlank="1" showInputMessage="1" showErrorMessage="1" promptTitle="LVL" prompt="Overall level from previous month. " sqref="AM13:AO13" xr:uid="{C818398D-A3D9-4614-A8A3-2344E69D6BCB}"/>
    <dataValidation allowBlank="1" showInputMessage="1" showErrorMessage="1" promptTitle="Level Ups" prompt="Number gained." sqref="AR13:AU13" xr:uid="{3E76FE3E-6A78-495B-AA10-1DF3C014F4EF}"/>
    <dataValidation type="list" allowBlank="1" showDropDown="1" showInputMessage="1" showErrorMessage="1" sqref="AH137:AH142 AX134 AH129:AH134 BB134 AT129:AT134 AT140:AU140 AU132" xr:uid="{750E48AD-6286-419A-9B80-D979F0556E36}">
      <formula1>#REF!</formula1>
    </dataValidation>
    <dataValidation allowBlank="1" showInputMessage="1" showErrorMessage="1" prompt="Enter previous points (if any)" sqref="BC110 BC95 BC125" xr:uid="{F89242FB-69EB-42DA-A84C-558CBC845B7E}"/>
    <dataValidation allowBlank="1" showInputMessage="1" showErrorMessage="1" promptTitle="XP Rules" prompt="Enter the skill name, then add skill specific XP rules._x000a__x000a_Example:_x000a__x000a_SKLL_x000a_Do skill for # mins = # XP_x000a_Complete skill action = # XP_x000a_Bonus for skill action = # XP" sqref="C54:K54 BQ54:BY54" xr:uid="{3D9C08B2-C541-450D-8C80-A14A383CB619}"/>
    <dataValidation allowBlank="1" showInputMessage="1" showErrorMessage="1" promptTitle="Multiple Weekly Actions Coop" prompt="Enter title for coop with up to three weekly actions each." sqref="AF119:AV119" xr:uid="{8E8E68F0-C2A3-4456-99DB-D78A261D3FB4}"/>
    <dataValidation allowBlank="1" showInputMessage="1" showErrorMessage="1" prompt="Bonus points gained for both players completing their action." sqref="AY95 AY110" xr:uid="{AB8D8A42-1803-4812-BEE3-295CD0C8D642}"/>
    <dataValidation allowBlank="1" showInputMessage="1" showErrorMessage="1" prompt="Bonus points gained for both players completing their actions." sqref="AY125" xr:uid="{39929BAC-5A69-482B-AE77-7FEF172C2004}"/>
    <dataValidation allowBlank="1" showInputMessage="1" showErrorMessage="1" prompt="Enter 1st commitment" sqref="Z129:AG129" xr:uid="{5CD29EBC-76F0-4689-9780-E7E856CE4392}"/>
    <dataValidation allowBlank="1" showInputMessage="1" showErrorMessage="1" prompt="Enter 2nd commitment" sqref="Z131:AG131" xr:uid="{5ABBF33C-D898-43B6-A9F7-B892F608AF40}"/>
    <dataValidation allowBlank="1" showInputMessage="1" showErrorMessage="1" prompt="Enter 3rd commitment" sqref="Z133:AG133" xr:uid="{AFB0BE34-ADF5-4CD5-94D3-4E70131CCFCC}"/>
    <dataValidation allowBlank="1" showInputMessage="1" showErrorMessage="1" prompt="Enter coop player's 1st commitment" sqref="Z137:AG137" xr:uid="{25DCF544-6163-4470-8C3D-AAF0812799C1}"/>
    <dataValidation allowBlank="1" showInputMessage="1" showErrorMessage="1" prompt="Enter coop player's 2nd commitment" sqref="Z139:AG139" xr:uid="{05B3EFC9-B081-4332-8123-E7F9B37C7312}"/>
    <dataValidation allowBlank="1" showInputMessage="1" showErrorMessage="1" prompt="Enter coop player's 3rd commitment" sqref="Z141:AG141" xr:uid="{3873EE0C-E53A-4684-A3DF-7039ACEADBC8}"/>
    <dataValidation allowBlank="1" showInputMessage="1" showErrorMessage="1" promptTitle="Singular Daily Action Coop" prompt="Enter title for coop with one daily action each." sqref="AF104:AV104 AF89:AV89" xr:uid="{9DD26E51-0FF8-4C26-98B3-0B13DD882BD1}"/>
    <dataValidation allowBlank="1" showInputMessage="1" showErrorMessage="1" prompt="Enter month aim for coop points" sqref="AY93 AY108 AY123" xr:uid="{02A9A3BC-0165-4A94-A2A8-D5E269EEA279}"/>
    <dataValidation allowBlank="1" showInputMessage="1" showErrorMessage="1" prompt="Enter overall aim for coop points" sqref="BC93 BC108 BC123" xr:uid="{9CFAADED-A681-4DF6-B567-AB4D32B2EF6A}"/>
    <dataValidation allowBlank="1" showInputMessage="1" showErrorMessage="1" prompt="Deadline day!" sqref="BM16:BM19 O17:O19" xr:uid="{BBB1F6AA-30D3-4A51-9551-F6BBD3947B1F}"/>
    <dataValidation allowBlank="1" showInputMessage="1" showErrorMessage="1" prompt="Enter chosen coop gold reward" sqref="AB123" xr:uid="{8310D123-9E36-4E70-A6A4-BCA1FC93488C}"/>
    <dataValidation allowBlank="1" showInputMessage="1" showErrorMessage="1" prompt="Enter chosen coop silver reward" sqref="AB124" xr:uid="{9F0FB871-B000-4F01-A537-18AF45DD4E29}"/>
    <dataValidation allowBlank="1" showInputMessage="1" showErrorMessage="1" prompt="Enter chosen coop bronze reward" sqref="AB125" xr:uid="{9B5CBB0B-49B0-41DA-BC2B-DFE7B5E95B80}"/>
    <dataValidation allowBlank="1" showInputMessage="1" showErrorMessage="1" prompt="100% of overall objective reached" sqref="Y123" xr:uid="{F683A0CF-A4BB-448A-BA78-93A1DFC2BE7A}"/>
    <dataValidation allowBlank="1" showInputMessage="1" showErrorMessage="1" prompt="85% of overall objective reached" sqref="Y124" xr:uid="{1733B239-9597-4B37-89B0-EDE4A6AC9E57}"/>
    <dataValidation allowBlank="1" showInputMessage="1" showErrorMessage="1" prompt="70% of overall objective reached" sqref="Y125" xr:uid="{ADE1FC6E-E2AC-48FC-B901-C2F24105C23B}"/>
    <dataValidation type="list" showInputMessage="1" showErrorMessage="1" sqref="Z48 BB48 AU48 AN48 AG48" xr:uid="{8A88ED72-0041-4886-926A-4F32022090B8}">
      <formula1>$CV$3:$CV$4</formula1>
    </dataValidation>
    <dataValidation allowBlank="1" showInputMessage="1" showErrorMessage="1" prompt="70% of overall objective reached." sqref="Z125" xr:uid="{2CF11E77-9BE1-44E5-89FB-8835F83B7963}"/>
    <dataValidation allowBlank="1" showInputMessage="1" showErrorMessage="1" prompt="85% of overall objective reached." sqref="Z124" xr:uid="{37FB9403-962F-4098-9266-7C49B7CF95E9}"/>
    <dataValidation allowBlank="1" showInputMessage="1" showErrorMessage="1" prompt="100% of overall objective reached." sqref="Z123" xr:uid="{D1D3DAB0-2316-4298-96CC-C49D8A43464A}"/>
    <dataValidation type="list" allowBlank="1" showDropDown="1" showInputMessage="1" showErrorMessage="1" sqref="Y98:BC98 Y115:BC115 Y113:BC113 Y100:BC100" xr:uid="{C7BCD95B-91D9-40AF-9070-60448691A3CA}">
      <formula1>$BE$86:$BE$88</formula1>
    </dataValidation>
    <dataValidation type="list" allowBlank="1" showDropDown="1" showInputMessage="1" showErrorMessage="1" sqref="AI129 AI141 AI139 AK139 AK141 AM141 AM139 AO139 AO141 AS141 AQ141 AQ139 AS139 AS137 AQ137 AO137 AM137 AK137 AI137 AS133 AQ133 AO133 AM133 AK133 AI133 AI131 AK131 AM131 AO131 AQ131 AS131 AS129 AQ129 AO129 AM129 AK129" xr:uid="{6E35A779-0FD7-4C70-BF9A-A7152B9BA6EA}">
      <formula1>$BD$122:$BD$124</formula1>
    </dataValidation>
    <dataValidation allowBlank="1" showInputMessage="1" showErrorMessage="1" promptTitle="Active Enhancement" prompt="Superpowered = double XP gained in all skills._x000a__x000a_Superbody = double XP gained in all body skills._x000a__x000a_Superfocus = double XP gained in chosen skill." sqref="BQ2:BY2" xr:uid="{C6C9BC90-0779-48E2-9090-2099B4D9E6DE}"/>
    <dataValidation allowBlank="1" showInputMessage="1" showErrorMessage="1" promptTitle="Active Enhancement" prompt="Superpowered = double XP gained in all skills._x000a__x000a_Superbody = double XP gained in all mind skills._x000a__x000a_Superfocus = double XP gained in chosen skill." sqref="C2:K2" xr:uid="{AD58BAB7-C643-44E5-B53E-BB189EE343C5}"/>
    <dataValidation allowBlank="1" showInputMessage="1" showErrorMessage="1" promptTitle=" ACTIONS" prompt="This is for entering actions done._x000a_ _x000a_Here you can:_x000a_• input XP data and set skills info_x000a_• enter focuses and view various stats_x000a_• track challenges and do cooperative activities_x000a_ _x000a_Select individual cells for specific information and instructions._x000a_" sqref="CA1" xr:uid="{6649F0FB-3046-4444-BB67-457124C1B104}"/>
    <dataValidation allowBlank="1" showInputMessage="1" showErrorMessage="1" promptTitle=" HUD = Overview" prompt=" LOGS = Journal           PLANS = Calendar_x000a_ NOTES = Ideas            TIMINGS = Schedule_x000a__x000a_ MISSIONS = Tasks_x000a_[ACTIONS = Input]_x000a_ PROGRESS = Output_x000a_ JOURNEY = Status_x000a__x000a_ BOUNTY = Rewards   MONEY = Finance_x000a_ VICTORY = Success    RESPITE = Media_x000a_ GUIDE = History" sqref="A1" xr:uid="{7B118A13-2CD7-4C6D-A8A5-5A12557D65E2}"/>
    <dataValidation allowBlank="1" showInputMessage="1" showErrorMessage="1" promptTitle="Day Info" prompt="◈ = max day in mind skills_x000a_◇ = max day in all skills_x000a_(if different)_x000a_✕ = death_x000a_(HP at at zero for the day)_x000a_" sqref="L3:L33" xr:uid="{65C89BD1-7204-4C99-8A2F-8CFF9AF975CF}"/>
    <dataValidation allowBlank="1" showInputMessage="1" showErrorMessage="1" promptTitle="Day Info" prompt="◈ = max day in body skills_x000a_◇ = max day in all skills_x000a_(if different)_x000a_✕ = death_x000a_(HP at at zero for the day)_x000a_" sqref="BP3:BP33" xr:uid="{AC2E9D18-E60A-46AA-9B7F-6FA3E709B338}"/>
    <dataValidation allowBlank="1" showInputMessage="1" showErrorMessage="1" promptTitle="Enhancement" prompt="❖ = super XP active_x000a__x000a_Double any XP entered for the skill." sqref="C37:K37 BQ37:BY37" xr:uid="{9A1714C9-CC90-4136-B932-75325B5A7C96}"/>
    <dataValidation type="textLength" allowBlank="1" showInputMessage="1" showErrorMessage="1" sqref="J56:J195 BX56:BX195" xr:uid="{EDA096C2-9DF9-43FA-AECF-92FA1C2DDC07}">
      <formula1>0</formula1>
      <formula2>3</formula2>
    </dataValidation>
    <dataValidation allowBlank="1" showInputMessage="1" showErrorMessage="1" promptTitle="XP" prompt="Following personalised rules outlined below, enter XP above in cells corrisponding with the skill and the day. _x000a__x000a_Input options examples:_x000a_• single entry, eg. &quot; 10 &quot;_x000a_• multiple entries, eg. &quot; =10+10+10 &quot;_x000a_• XP doubled enhancement entry, _x000a_eg. &quot; =(10+10)*2 &quot;_x000a_" sqref="L34:L36 B34:B36 BP34:BP36 BZ34:BZ36" xr:uid="{83D75089-363A-4ACF-9BC9-7812E13A8973}"/>
    <dataValidation allowBlank="1" showInputMessage="1" showErrorMessage="1" promptTitle="Focus" prompt="Body" sqref="AU16:BG19" xr:uid="{CEB5E628-1B9A-4DA2-9FAD-6CEF64F47F79}"/>
    <dataValidation allowBlank="1" showInputMessage="1" showErrorMessage="1" promptTitle="Focus" prompt="Mind" sqref="U16:AG19" xr:uid="{9DB64B82-139C-49DB-8270-115A3FEE7223}"/>
    <dataValidation allowBlank="1" showInputMessage="1" showErrorMessage="1" promptTitle="Life Lost" prompt="Penalty action required in BOUNTY" sqref="BM13 O13" xr:uid="{FF9073F4-4764-4B42-8153-CFC78C05B959}"/>
    <dataValidation allowBlank="1" showInputMessage="1" showErrorMessage="1" promptTitle="Inspiration" prompt="Quotes dynamically changing daily._x000a__x000a_To retain a quote, copy and paste text to same size cell in the 'inspiration' section below." sqref="O24:AD29 O31:AD36 AF24:AV36 AX24:BM29 AX31:BM36" xr:uid="{2C74598C-C314-4D6B-84D0-0C8707D5758D}"/>
    <dataValidation allowBlank="1" showInputMessage="1" showErrorMessage="1" prompt="Total points gained by both players this month." sqref="AU95 AU110 AU125" xr:uid="{2A55B555-4323-4968-A500-BA425EFD4F73}"/>
    <dataValidation type="whole" allowBlank="1" showInputMessage="1" showErrorMessage="1" sqref="BK61 BK70 BK79 BK48:BK49" xr:uid="{AD16D759-7BF1-4D69-97B4-B0EE51E438EE}">
      <formula1>1</formula1>
      <formula2>999</formula2>
    </dataValidation>
  </dataValidations>
  <printOptions horizontalCentered="1" verticalCentered="1"/>
  <pageMargins left="0.39370078740157483" right="0.39370078740157483" top="0.39370078740157483" bottom="0.39370078740157483" header="0" footer="0"/>
  <pageSetup paperSize="9" scale="50" fitToWidth="0" fitToHeight="0" orientation="landscape" r:id="rId1"/>
  <headerFooter>
    <oddHeader>&amp;C&amp;"Lucida Console,Bold"GAMEPLAN</oddHeader>
  </headerFooter>
  <extLst>
    <ext xmlns:x14="http://schemas.microsoft.com/office/spreadsheetml/2009/9/main" uri="{78C0D931-6437-407d-A8EE-F0AAD7539E65}">
      <x14:conditionalFormattings>
        <x14:conditionalFormatting xmlns:xm="http://schemas.microsoft.com/office/excel/2006/main">
          <x14:cfRule type="expression" priority="959" id="{EFAF9B68-A039-4B88-BD18-A3E5FB279495}">
            <xm:f>OR(PLANS!$F$3="FEBRUARY",PLANS!$F$3="APRIL",PLANS!$F$3="JUNE",PLANS!$F$3="SEPTEMBER",PLANS!$F$3="NOVEMBER")</xm:f>
            <x14:dxf>
              <font>
                <color theme="0"/>
              </font>
            </x14:dxf>
          </x14:cfRule>
          <xm:sqref>B3</xm:sqref>
        </x14:conditionalFormatting>
        <x14:conditionalFormatting xmlns:xm="http://schemas.microsoft.com/office/excel/2006/main">
          <x14:cfRule type="expression" priority="810" id="{2E6AE3F6-E392-484D-967D-C349073BB425}">
            <xm:f>PLANS!$F$3="FEBRUARY"</xm:f>
            <x14:dxf>
              <font>
                <color theme="0"/>
              </font>
            </x14:dxf>
          </x14:cfRule>
          <xm:sqref>B4</xm:sqref>
        </x14:conditionalFormatting>
        <x14:conditionalFormatting xmlns:xm="http://schemas.microsoft.com/office/excel/2006/main">
          <x14:cfRule type="expression" priority="809" id="{92C8BE56-0AA6-42EC-B42B-5C83359DD286}">
            <xm:f>AND(PLANS!$F$3="FEBRUARY",PLANS!$CD$57=0)</xm:f>
            <x14:dxf>
              <font>
                <color theme="0"/>
              </font>
            </x14:dxf>
          </x14:cfRule>
          <xm:sqref>B5 L5 BP5 BZ5</xm:sqref>
        </x14:conditionalFormatting>
        <x14:conditionalFormatting xmlns:xm="http://schemas.microsoft.com/office/excel/2006/main">
          <x14:cfRule type="expression" priority="1159" id="{FDF67D6B-5F87-4DE6-8F44-5973FCDF482F}">
            <xm:f>OR(  AND( B3=PLANS!$BP$4,PLANS!$BQ$3=0 ), AND( B3=PLANS!$BP$10,PLANS!$BQ$9=0 ), AND( B3=PLANS!$BP$16,PLANS!$BQ$15=0 ), AND( B3=PLANS!$BP$22,PLANS!$BQ$21=0 ), AND( B3=PLANS!$BP$28,PLANS!$BQ$27=0 ), AND( B3=PLANS!$BP$34,PLANS!$BQ$33=0 ),  AND( B3=PLANS!$BY$4,PLANS!$BZ$3=0 ), AND( B3=PLANS!$BY$10,PLANS!$BZ$9=0 ), AND( B3=PLANS!$BY$16,PLANS!$BZ$15=0 ), AND( B3=PLANS!$BY$22,PLANS!$BZ$21=0 ), AND( B3=PLANS!$BY$28,PLANS!$BZ$27=0 ), AND( B3=PLANS!$BY$34,PLANS!$BZ$33=0 )  )</xm:f>
            <x14:dxf>
              <fill>
                <patternFill>
                  <bgColor rgb="FFEAEAEA"/>
                </patternFill>
              </fill>
            </x14:dxf>
          </x14:cfRule>
          <xm:sqref>C3:C33</xm:sqref>
        </x14:conditionalFormatting>
        <x14:conditionalFormatting xmlns:xm="http://schemas.microsoft.com/office/excel/2006/main">
          <x14:cfRule type="expression" priority="1160" id="{D489CBBE-69EA-43A2-89BB-9A64107E0B08}">
            <xm:f>OR(  AND( B3=PLANS!$BP$4,PLANS!$BQ$3=0 ), AND( B3=PLANS!$BP$10,PLANS!$BQ$9=0 ), AND( B3=PLANS!$BP$16,PLANS!$BQ$15=0 ), AND( B3=PLANS!$BP$22,PLANS!$BQ$21=0 ), AND( B3=PLANS!$BP$28,PLANS!$BQ$27=0 ), AND( B3=PLANS!$BP$34,PLANS!$BQ$33=0 ),  AND( B3=PLANS!$BY$4,PLANS!$BZ$3=0 ), AND( B3=PLANS!$BY$10,PLANS!$BZ$9=0 ), AND( B3=PLANS!$BY$16,PLANS!$BZ$15=0 ), AND( B3=PLANS!$BY$22,PLANS!$BZ$21=0 ), AND( B3=PLANS!$BY$28,PLANS!$BZ$27=0 ), AND( B3=PLANS!$BY$34,PLANS!$BZ$33=0 )  )</xm:f>
            <x14:dxf>
              <fill>
                <patternFill>
                  <bgColor rgb="FFEAEAEA"/>
                </patternFill>
              </fill>
            </x14:dxf>
          </x14:cfRule>
          <xm:sqref>D3:D33</xm:sqref>
        </x14:conditionalFormatting>
        <x14:conditionalFormatting xmlns:xm="http://schemas.microsoft.com/office/excel/2006/main">
          <x14:cfRule type="expression" priority="946" id="{138120F1-B4D4-4ABA-80D6-7B50E2CDF600}">
            <xm:f>OR(PLANS!$F$3="FEBRUARY",PLANS!$F$3="APRIL",PLANS!$F$3="JUNE",PLANS!$F$3="SEPTEMBER",PLANS!$F$3="NOVEMBER")</xm:f>
            <x14:dxf>
              <border>
                <left style="thin">
                  <color theme="0"/>
                </left>
                <right style="thin">
                  <color theme="0"/>
                </right>
                <vertical/>
                <horizontal/>
              </border>
            </x14:dxf>
          </x14:cfRule>
          <xm:sqref>D3:J3</xm:sqref>
        </x14:conditionalFormatting>
        <x14:conditionalFormatting xmlns:xm="http://schemas.microsoft.com/office/excel/2006/main">
          <x14:cfRule type="expression" priority="802" id="{213F26FD-CBEC-4534-886D-04D097977672}">
            <xm:f>PLANS!$F$3="FEBRUARY"</xm:f>
            <x14:dxf>
              <border>
                <left/>
                <right/>
                <vertical/>
                <horizontal/>
              </border>
            </x14:dxf>
          </x14:cfRule>
          <xm:sqref>D4:J4</xm:sqref>
        </x14:conditionalFormatting>
        <x14:conditionalFormatting xmlns:xm="http://schemas.microsoft.com/office/excel/2006/main">
          <x14:cfRule type="expression" priority="801" id="{8AB23B64-265D-46A3-AC4F-EED2DE0476A2}">
            <xm:f>AND(PLANS!$F$3="FEBRUARY",PLANS!$CD$57=0)</xm:f>
            <x14:dxf>
              <border>
                <left/>
                <right/>
                <vertical/>
                <horizontal/>
              </border>
            </x14:dxf>
          </x14:cfRule>
          <xm:sqref>D5:J5 BR5:BX5</xm:sqref>
        </x14:conditionalFormatting>
        <x14:conditionalFormatting xmlns:xm="http://schemas.microsoft.com/office/excel/2006/main">
          <x14:cfRule type="expression" priority="1161" id="{95D8D6B6-E24B-40FC-940B-EBA87B81145E}">
            <xm:f>OR(  AND( B3=PLANS!$BP$4,PLANS!$BQ$3=0 ), AND( B3=PLANS!$BP$10,PLANS!$BQ$9=0 ), AND( B3=PLANS!$BP$16,PLANS!$BQ$15=0 ), AND( B3=PLANS!$BP$22,PLANS!$BQ$21=0 ), AND( B3=PLANS!$BP$28,PLANS!$BQ$27=0 ), AND( B3=PLANS!$BP$34,PLANS!$BQ$33=0 ),  AND( B3=PLANS!$BY$4,PLANS!$BZ$3=0 ), AND( B3=PLANS!$BY$10,PLANS!$BZ$9=0 ), AND( B3=PLANS!$BY$16,PLANS!$BZ$15=0 ), AND( B3=PLANS!$BY$22,PLANS!$BZ$21=0 ), AND( B3=PLANS!$BY$28,PLANS!$BZ$27=0 ), AND( B3=PLANS!$BY$34,PLANS!$BZ$33=0 )  )</xm:f>
            <x14:dxf>
              <fill>
                <patternFill>
                  <bgColor rgb="FFEAEAEA"/>
                </patternFill>
              </fill>
            </x14:dxf>
          </x14:cfRule>
          <xm:sqref>E3:E33</xm:sqref>
        </x14:conditionalFormatting>
        <x14:conditionalFormatting xmlns:xm="http://schemas.microsoft.com/office/excel/2006/main">
          <x14:cfRule type="expression" priority="1162" id="{2A350152-CF84-43B9-8D37-FBCE78CB0A5B}">
            <xm:f>OR(  AND( B3=PLANS!$BP$4,PLANS!$BQ$3=0 ), AND( B3=PLANS!$BP$10,PLANS!$BQ$9=0 ), AND( B3=PLANS!$BP$16,PLANS!$BQ$15=0 ), AND( B3=PLANS!$BP$22,PLANS!$BQ$21=0 ), AND( B3=PLANS!$BP$28,PLANS!$BQ$27=0 ), AND( B3=PLANS!$BP$34,PLANS!$BQ$33=0 ),  AND( B3=PLANS!$BY$4,PLANS!$BZ$3=0 ), AND( B3=PLANS!$BY$10,PLANS!$BZ$9=0 ), AND( B3=PLANS!$BY$16,PLANS!$BZ$15=0 ), AND( B3=PLANS!$BY$22,PLANS!$BZ$21=0 ), AND( B3=PLANS!$BY$28,PLANS!$BZ$27=0 ), AND( B3=PLANS!$BY$34,PLANS!$BZ$33=0 )  )</xm:f>
            <x14:dxf>
              <fill>
                <patternFill>
                  <bgColor rgb="FFEAEAEA"/>
                </patternFill>
              </fill>
            </x14:dxf>
          </x14:cfRule>
          <xm:sqref>F3:F33</xm:sqref>
        </x14:conditionalFormatting>
        <x14:conditionalFormatting xmlns:xm="http://schemas.microsoft.com/office/excel/2006/main">
          <x14:cfRule type="expression" priority="1163" id="{BC29BD6F-745E-4166-BE93-4DDC55C5790F}">
            <xm:f>OR(  AND( B3=PLANS!$BP$4,PLANS!$BQ$3=0 ), AND( B3=PLANS!$BP$10,PLANS!$BQ$9=0 ), AND( B3=PLANS!$BP$16,PLANS!$BQ$15=0 ), AND( B3=PLANS!$BP$22,PLANS!$BQ$21=0 ), AND( B3=PLANS!$BP$28,PLANS!$BQ$27=0 ), AND( B3=PLANS!$BP$34,PLANS!$BQ$33=0 ),  AND( B3=PLANS!$BY$4,PLANS!$BZ$3=0 ), AND( B3=PLANS!$BY$10,PLANS!$BZ$9=0 ), AND( B3=PLANS!$BY$16,PLANS!$BZ$15=0 ), AND( B3=PLANS!$BY$22,PLANS!$BZ$21=0 ), AND( B3=PLANS!$BY$28,PLANS!$BZ$27=0 ), AND( B3=PLANS!$BY$34,PLANS!$BZ$33=0 )  )</xm:f>
            <x14:dxf>
              <fill>
                <patternFill>
                  <bgColor rgb="FFEAEAEA"/>
                </patternFill>
              </fill>
            </x14:dxf>
          </x14:cfRule>
          <xm:sqref>G3:G33</xm:sqref>
        </x14:conditionalFormatting>
        <x14:conditionalFormatting xmlns:xm="http://schemas.microsoft.com/office/excel/2006/main">
          <x14:cfRule type="expression" priority="1164" id="{7F2AF150-8F78-4509-802F-C5ABA517365A}">
            <xm:f>OR(  AND( B3=PLANS!$BP$4,PLANS!$BQ$3=0 ), AND( B3=PLANS!$BP$10,PLANS!$BQ$9=0 ), AND( B3=PLANS!$BP$16,PLANS!$BQ$15=0 ), AND( B3=PLANS!$BP$22,PLANS!$BQ$21=0 ), AND( B3=PLANS!$BP$28,PLANS!$BQ$27=0 ), AND( B3=PLANS!$BP$34,PLANS!$BQ$33=0 ),  AND( B3=PLANS!$BY$4,PLANS!$BZ$3=0 ), AND( B3=PLANS!$BY$10,PLANS!$BZ$9=0 ), AND( B3=PLANS!$BY$16,PLANS!$BZ$15=0 ), AND( B3=PLANS!$BY$22,PLANS!$BZ$21=0 ), AND( B3=PLANS!$BY$28,PLANS!$BZ$27=0 ), AND( B3=PLANS!$BY$34,PLANS!$BZ$33=0 )  )</xm:f>
            <x14:dxf>
              <fill>
                <patternFill>
                  <bgColor rgb="FFEAEAEA"/>
                </patternFill>
              </fill>
            </x14:dxf>
          </x14:cfRule>
          <xm:sqref>H3:H33</xm:sqref>
        </x14:conditionalFormatting>
        <x14:conditionalFormatting xmlns:xm="http://schemas.microsoft.com/office/excel/2006/main">
          <x14:cfRule type="expression" priority="1165" id="{D6C66693-6E22-40C4-94AB-D9A514A18894}">
            <xm:f>OR(  AND( B3=PLANS!$BP$4,PLANS!$BQ$3=0 ), AND( B3=PLANS!$BP$10,PLANS!$BQ$9=0 ), AND( B3=PLANS!$BP$16,PLANS!$BQ$15=0 ), AND( B3=PLANS!$BP$22,PLANS!$BQ$21=0 ), AND( B3=PLANS!$BP$28,PLANS!$BQ$27=0 ), AND( B3=PLANS!$BP$34,PLANS!$BQ$33=0 ),  AND( B3=PLANS!$BY$4,PLANS!$BZ$3=0 ), AND( B3=PLANS!$BY$10,PLANS!$BZ$9=0 ), AND( B3=PLANS!$BY$16,PLANS!$BZ$15=0 ), AND( B3=PLANS!$BY$22,PLANS!$BZ$21=0 ), AND( B3=PLANS!$BY$28,PLANS!$BZ$27=0 ), AND( B3=PLANS!$BY$34,PLANS!$BZ$33=0 )  )</xm:f>
            <x14:dxf>
              <fill>
                <patternFill>
                  <bgColor rgb="FFEAEAEA"/>
                </patternFill>
              </fill>
            </x14:dxf>
          </x14:cfRule>
          <xm:sqref>I3:I33</xm:sqref>
        </x14:conditionalFormatting>
        <x14:conditionalFormatting xmlns:xm="http://schemas.microsoft.com/office/excel/2006/main">
          <x14:cfRule type="expression" priority="1166" id="{D991CFBA-4409-4D77-BCE4-0B5D5796AA32}">
            <xm:f>OR(  AND( B3=PLANS!$BP$4,PLANS!$BQ$3=0 ), AND( B3=PLANS!$BP$10,PLANS!$BQ$9=0 ), AND( B3=PLANS!$BP$16,PLANS!$BQ$15=0 ), AND( B3=PLANS!$BP$22,PLANS!$BQ$21=0 ), AND( B3=PLANS!$BP$28,PLANS!$BQ$27=0 ), AND( B3=PLANS!$BP$34,PLANS!$BQ$33=0 ),  AND( B3=PLANS!$BY$4,PLANS!$BZ$3=0 ), AND( B3=PLANS!$BY$10,PLANS!$BZ$9=0 ), AND( B3=PLANS!$BY$16,PLANS!$BZ$15=0 ), AND( B3=PLANS!$BY$22,PLANS!$BZ$21=0 ), AND( B3=PLANS!$BY$28,PLANS!$BZ$27=0 ), AND( B3=PLANS!$BY$34,PLANS!$BZ$33=0 )  )</xm:f>
            <x14:dxf>
              <fill>
                <patternFill>
                  <bgColor rgb="FFEAEAEA"/>
                </patternFill>
              </fill>
            </x14:dxf>
          </x14:cfRule>
          <xm:sqref>J3:J33</xm:sqref>
        </x14:conditionalFormatting>
        <x14:conditionalFormatting xmlns:xm="http://schemas.microsoft.com/office/excel/2006/main">
          <x14:cfRule type="expression" priority="1167" id="{11B5FCC0-5D9A-4F65-860E-15B82585C662}">
            <xm:f>OR(  AND( B3=PLANS!$BP$4,PLANS!$BQ$3=0 ), AND( B3=PLANS!$BP$10,PLANS!$BQ$9=0 ), AND( B3=PLANS!$BP$16,PLANS!$BQ$15=0 ), AND( B3=PLANS!$BP$22,PLANS!$BQ$21=0 ), AND( B3=PLANS!$BP$28,PLANS!$BQ$27=0 ), AND( B3=PLANS!$BP$34,PLANS!$BQ$33=0 ),  AND( B3=PLANS!$BY$4,PLANS!$BZ$3=0 ), AND( B3=PLANS!$BY$10,PLANS!$BZ$9=0 ), AND( B3=PLANS!$BY$16,PLANS!$BZ$15=0 ), AND( B3=PLANS!$BY$22,PLANS!$BZ$21=0 ), AND( B3=PLANS!$BY$28,PLANS!$BZ$27=0 ), AND( B3=PLANS!$BY$34,PLANS!$BZ$33=0 )  )</xm:f>
            <x14:dxf>
              <fill>
                <patternFill>
                  <bgColor rgb="FFEAEAEA"/>
                </patternFill>
              </fill>
            </x14:dxf>
          </x14:cfRule>
          <xm:sqref>K3:K33</xm:sqref>
        </x14:conditionalFormatting>
        <x14:conditionalFormatting xmlns:xm="http://schemas.microsoft.com/office/excel/2006/main">
          <x14:cfRule type="expression" priority="958" id="{AB8D8733-7A51-41ED-BCAC-E7B6074F007A}">
            <xm:f>OR(PLANS!$F$3="FEBRUARY",PLANS!$F$3="APRIL",PLANS!$F$3="JUNE",PLANS!$F$3="SEPTEMBER",PLANS!$F$3="NOVEMBER")</xm:f>
            <x14:dxf>
              <font>
                <color theme="0"/>
              </font>
            </x14:dxf>
          </x14:cfRule>
          <xm:sqref>L3</xm:sqref>
        </x14:conditionalFormatting>
        <x14:conditionalFormatting xmlns:xm="http://schemas.microsoft.com/office/excel/2006/main">
          <x14:cfRule type="expression" priority="808" id="{2EDA576B-5F97-4FDB-BF8C-9FDFDFB9A10B}">
            <xm:f>PLANS!$F$3="FEBRUARY"</xm:f>
            <x14:dxf>
              <font>
                <color theme="0"/>
              </font>
            </x14:dxf>
          </x14:cfRule>
          <xm:sqref>L4</xm:sqref>
        </x14:conditionalFormatting>
        <x14:conditionalFormatting xmlns:xm="http://schemas.microsoft.com/office/excel/2006/main">
          <x14:cfRule type="expression" priority="878" id="{14C1BACB-CE48-421C-A5A0-BAE9F50F6514}">
            <xm:f>BOUNTY!$G$8=BOUNTY!$CC$2</xm:f>
            <x14:dxf>
              <font>
                <color theme="0"/>
              </font>
            </x14:dxf>
          </x14:cfRule>
          <xm:sqref>T13</xm:sqref>
        </x14:conditionalFormatting>
        <x14:conditionalFormatting xmlns:xm="http://schemas.microsoft.com/office/excel/2006/main">
          <x14:cfRule type="expression" priority="877" id="{BF5AC25F-1E34-4D7A-A00F-4B6448D4BEAE}">
            <xm:f>BOUNTY!$P$8=BOUNTY!$CC$2</xm:f>
            <x14:dxf>
              <font>
                <color theme="0"/>
              </font>
            </x14:dxf>
          </x14:cfRule>
          <xm:sqref>U13</xm:sqref>
        </x14:conditionalFormatting>
        <x14:conditionalFormatting xmlns:xm="http://schemas.microsoft.com/office/excel/2006/main">
          <x14:cfRule type="expression" priority="876" id="{5B82F42C-8754-47DF-9BD2-15D5F8264084}">
            <xm:f>BOUNTY!$G$11=BOUNTY!$CC$2</xm:f>
            <x14:dxf>
              <font>
                <color theme="0"/>
              </font>
            </x14:dxf>
          </x14:cfRule>
          <xm:sqref>V13</xm:sqref>
        </x14:conditionalFormatting>
        <x14:conditionalFormatting xmlns:xm="http://schemas.microsoft.com/office/excel/2006/main">
          <x14:cfRule type="expression" priority="875" id="{16A42F14-A5A0-42B8-AD6C-5AF80EB8BD47}">
            <xm:f>BOUNTY!$P$11=BOUNTY!$CC$2</xm:f>
            <x14:dxf>
              <font>
                <color theme="0"/>
              </font>
            </x14:dxf>
          </x14:cfRule>
          <xm:sqref>W13</xm:sqref>
        </x14:conditionalFormatting>
        <x14:conditionalFormatting xmlns:xm="http://schemas.microsoft.com/office/excel/2006/main">
          <x14:cfRule type="expression" priority="663" id="{EBF4783A-8505-4B92-B852-8D34D7EDB62F}">
            <xm:f>AND(PROGRESS!$AM$15&gt;=Y23,$CH$37=0)</xm:f>
            <x14:dxf>
              <font>
                <color theme="1"/>
              </font>
            </x14:dxf>
          </x14:cfRule>
          <x14:cfRule type="expression" priority="664" id="{860599A6-607A-4762-92AC-AE7DB3E7784A}">
            <xm:f>PROGRESS!$AM$15&gt;=Y23</xm:f>
            <x14:dxf>
              <font>
                <color theme="0"/>
              </font>
            </x14:dxf>
          </x14:cfRule>
          <xm:sqref>Y22 AA22 AC22 AE22 AG22 AI22 AK22 AM22 AO22 AQ22 AS22 AU22 AW22 AY22 BA22 BC22</xm:sqref>
        </x14:conditionalFormatting>
        <x14:conditionalFormatting xmlns:xm="http://schemas.microsoft.com/office/excel/2006/main">
          <x14:cfRule type="expression" priority="929" id="{E2224C89-F8BA-4B64-B5BB-B1B48DD00921}">
            <xm:f>SUM(PROGRESS!$AU$27:$AV$36)&gt;=1</xm:f>
            <x14:dxf>
              <font>
                <color theme="0"/>
              </font>
            </x14:dxf>
          </x14:cfRule>
          <xm:sqref>AB14</xm:sqref>
        </x14:conditionalFormatting>
        <x14:conditionalFormatting xmlns:xm="http://schemas.microsoft.com/office/excel/2006/main">
          <x14:cfRule type="expression" priority="874" id="{EC9D7092-0180-4B82-B059-B0AD92DE8584}">
            <xm:f>BOUNTY!$BF$8=BOUNTY!$CC$2</xm:f>
            <x14:dxf>
              <font>
                <color theme="0"/>
              </font>
            </x14:dxf>
          </x14:cfRule>
          <xm:sqref>BE13</xm:sqref>
        </x14:conditionalFormatting>
        <x14:conditionalFormatting xmlns:xm="http://schemas.microsoft.com/office/excel/2006/main">
          <x14:cfRule type="expression" priority="873" id="{0AC3C753-1F50-4409-A633-5FE8803446DF}">
            <xm:f>BOUNTY!$BO$8=BOUNTY!$CC$2</xm:f>
            <x14:dxf>
              <font>
                <color theme="0"/>
              </font>
            </x14:dxf>
          </x14:cfRule>
          <xm:sqref>BF13</xm:sqref>
        </x14:conditionalFormatting>
        <x14:conditionalFormatting xmlns:xm="http://schemas.microsoft.com/office/excel/2006/main">
          <x14:cfRule type="expression" priority="872" id="{1854C63D-760A-4260-8986-F9D354ABDDE3}">
            <xm:f>BOUNTY!$BF$11=BOUNTY!$CC$2</xm:f>
            <x14:dxf>
              <font>
                <color theme="0"/>
              </font>
            </x14:dxf>
          </x14:cfRule>
          <xm:sqref>BG13</xm:sqref>
        </x14:conditionalFormatting>
        <x14:conditionalFormatting xmlns:xm="http://schemas.microsoft.com/office/excel/2006/main">
          <x14:cfRule type="expression" priority="871" id="{BC775A2C-1A69-4D92-B2CA-4036B4F714D2}">
            <xm:f>BOUNTY!$BO$11=BOUNTY!$CC$2</xm:f>
            <x14:dxf>
              <font>
                <color theme="0"/>
              </font>
            </x14:dxf>
          </x14:cfRule>
          <xm:sqref>BH13</xm:sqref>
        </x14:conditionalFormatting>
        <x14:conditionalFormatting xmlns:xm="http://schemas.microsoft.com/office/excel/2006/main">
          <x14:cfRule type="expression" priority="957" id="{B6E2CFE9-433B-4902-8508-E7818B7DB724}">
            <xm:f>OR(PLANS!$F$3="FEBRUARY",PLANS!$F$3="APRIL",PLANS!$F$3="JUNE",PLANS!$F$3="SEPTEMBER",PLANS!$F$3="NOVEMBER")</xm:f>
            <x14:dxf>
              <font>
                <color theme="0"/>
              </font>
            </x14:dxf>
          </x14:cfRule>
          <xm:sqref>BP3</xm:sqref>
        </x14:conditionalFormatting>
        <x14:conditionalFormatting xmlns:xm="http://schemas.microsoft.com/office/excel/2006/main">
          <x14:cfRule type="expression" priority="806" id="{6071A226-D5CC-4E28-85AE-39DA826FA097}">
            <xm:f>PLANS!$F$3="FEBRUARY"</xm:f>
            <x14:dxf>
              <font>
                <color theme="0"/>
              </font>
            </x14:dxf>
          </x14:cfRule>
          <xm:sqref>BP4</xm:sqref>
        </x14:conditionalFormatting>
        <x14:conditionalFormatting xmlns:xm="http://schemas.microsoft.com/office/excel/2006/main">
          <x14:cfRule type="expression" priority="1178" id="{F9AE554B-7354-42AF-85E9-7665FB852E5B}">
            <xm:f>OR(  AND( BZ3=PLANS!$BP$4,PLANS!$BQ$3=0 ), AND( BZ3=PLANS!$BP$10,PLANS!$BQ$9=0 ), AND( BZ3=PLANS!$BP$16,PLANS!$BQ$15=0 ), AND( BZ3=PLANS!$BP$22,PLANS!$BQ$21=0 ), AND( BZ3=PLANS!$BP$28,PLANS!$BQ$27=0 ), AND( BZ3=PLANS!$BP$34,PLANS!$BQ$33=0 ),  AND( BZ3=PLANS!$BY$4,PLANS!$BZ$3=0 ), AND( BZ3=PLANS!$BY$10,PLANS!$BZ$9=0 ), AND( BZ3=PLANS!$BY$16,PLANS!$BZ$15=0 ), AND( BZ3=PLANS!$BY$22,PLANS!$BZ$21=0 ), AND( BZ3=PLANS!$BY$28,PLANS!$BZ$27=0 ), AND( BZ3=PLANS!$BY$34,PLANS!$BZ$33=0 )  )</xm:f>
            <x14:dxf>
              <fill>
                <patternFill>
                  <bgColor rgb="FFEAEAEA"/>
                </patternFill>
              </fill>
            </x14:dxf>
          </x14:cfRule>
          <xm:sqref>BQ3:BQ33</xm:sqref>
        </x14:conditionalFormatting>
        <x14:conditionalFormatting xmlns:xm="http://schemas.microsoft.com/office/excel/2006/main">
          <x14:cfRule type="expression" priority="1177" id="{A13F1785-187F-4384-85A0-364A9745FF0F}">
            <xm:f>OR(  AND( BZ3=PLANS!$BP$4,PLANS!$BQ$3=0 ), AND( BZ3=PLANS!$BP$10,PLANS!$BQ$9=0 ), AND( BZ3=PLANS!$BP$16,PLANS!$BQ$15=0 ), AND( BZ3=PLANS!$BP$22,PLANS!$BQ$21=0 ), AND( BZ3=PLANS!$BP$28,PLANS!$BQ$27=0 ), AND( BZ3=PLANS!$BP$34,PLANS!$BQ$33=0 ),  AND( BZ3=PLANS!$BY$4,PLANS!$BZ$3=0 ), AND( BZ3=PLANS!$BY$10,PLANS!$BZ$9=0 ), AND( BZ3=PLANS!$BY$16,PLANS!$BZ$15=0 ), AND( BZ3=PLANS!$BY$22,PLANS!$BZ$21=0 ), AND( BZ3=PLANS!$BY$28,PLANS!$BZ$27=0 ), AND( BZ3=PLANS!$BY$34,PLANS!$BZ$33=0 )  )</xm:f>
            <x14:dxf>
              <fill>
                <patternFill>
                  <bgColor rgb="FFEAEAEA"/>
                </patternFill>
              </fill>
            </x14:dxf>
          </x14:cfRule>
          <xm:sqref>BR3:BR33</xm:sqref>
        </x14:conditionalFormatting>
        <x14:conditionalFormatting xmlns:xm="http://schemas.microsoft.com/office/excel/2006/main">
          <x14:cfRule type="expression" priority="936" id="{C08AC5D2-1EF5-4A1D-AEE0-F0E158349D4A}">
            <xm:f>OR(PLANS!$F$3="FEBRUARY",PLANS!$F$3="APRIL",PLANS!$F$3="JUNE",PLANS!$F$3="SEPTEMBER",PLANS!$F$3="NOVEMBER")</xm:f>
            <x14:dxf>
              <border>
                <left style="thin">
                  <color theme="0"/>
                </left>
                <right style="thin">
                  <color theme="0"/>
                </right>
                <vertical/>
                <horizontal/>
              </border>
            </x14:dxf>
          </x14:cfRule>
          <xm:sqref>BR3:BX3</xm:sqref>
        </x14:conditionalFormatting>
        <x14:conditionalFormatting xmlns:xm="http://schemas.microsoft.com/office/excel/2006/main">
          <x14:cfRule type="expression" priority="800" id="{AE8BFCCB-9B51-4EBE-B52F-8C6A76CC6D3D}">
            <xm:f>PLANS!$F$3="FEBRUARY"</xm:f>
            <x14:dxf>
              <border>
                <left/>
                <right/>
                <vertical/>
                <horizontal/>
              </border>
            </x14:dxf>
          </x14:cfRule>
          <xm:sqref>BR4:BX4</xm:sqref>
        </x14:conditionalFormatting>
        <x14:conditionalFormatting xmlns:xm="http://schemas.microsoft.com/office/excel/2006/main">
          <x14:cfRule type="expression" priority="1174" id="{DC4FAEA9-02A6-483F-B12B-676261237584}">
            <xm:f>OR(  AND( BZ3=PLANS!$BP$4,PLANS!$BQ$3=0 ), AND( BZ3=PLANS!$BP$10,PLANS!$BQ$9=0 ), AND( BZ3=PLANS!$BP$16,PLANS!$BQ$15=0 ), AND( BZ3=PLANS!$BP$22,PLANS!$BQ$21=0 ), AND( BZ3=PLANS!$BP$28,PLANS!$BQ$27=0 ), AND( BZ3=PLANS!$BP$34,PLANS!$BQ$33=0 ),  AND( BZ3=PLANS!$BY$4,PLANS!$BZ$3=0 ), AND( BZ3=PLANS!$BY$10,PLANS!$BZ$9=0 ), AND( BZ3=PLANS!$BY$16,PLANS!$BZ$15=0 ), AND( BZ3=PLANS!$BY$22,PLANS!$BZ$21=0 ), AND( BZ3=PLANS!$BY$28,PLANS!$BZ$27=0 ), AND( BZ3=PLANS!$BY$34,PLANS!$BZ$33=0 )  )</xm:f>
            <x14:dxf>
              <fill>
                <patternFill>
                  <bgColor rgb="FFEAEAEA"/>
                </patternFill>
              </fill>
            </x14:dxf>
          </x14:cfRule>
          <xm:sqref>BS3:BS33</xm:sqref>
        </x14:conditionalFormatting>
        <x14:conditionalFormatting xmlns:xm="http://schemas.microsoft.com/office/excel/2006/main">
          <x14:cfRule type="expression" priority="1173" id="{CDADFE9D-5D36-4D62-A5FE-4D900DB8A33F}">
            <xm:f>OR(  AND( BZ3=PLANS!$BP$4,PLANS!$BQ$3=0 ), AND( BZ3=PLANS!$BP$10,PLANS!$BQ$9=0 ), AND( BZ3=PLANS!$BP$16,PLANS!$BQ$15=0 ), AND( BZ3=PLANS!$BP$22,PLANS!$BQ$21=0 ), AND( BZ3=PLANS!$BP$28,PLANS!$BQ$27=0 ), AND( BZ3=PLANS!$BP$34,PLANS!$BQ$33=0 ),  AND( BZ3=PLANS!$BY$4,PLANS!$BZ$3=0 ), AND( BZ3=PLANS!$BY$10,PLANS!$BZ$9=0 ), AND( BZ3=PLANS!$BY$16,PLANS!$BZ$15=0 ), AND( BZ3=PLANS!$BY$22,PLANS!$BZ$21=0 ), AND( BZ3=PLANS!$BY$28,PLANS!$BZ$27=0 ), AND( BZ3=PLANS!$BY$34,PLANS!$BZ$33=0 )  )</xm:f>
            <x14:dxf>
              <fill>
                <patternFill>
                  <bgColor rgb="FFEAEAEA"/>
                </patternFill>
              </fill>
            </x14:dxf>
          </x14:cfRule>
          <xm:sqref>BT3:BT33</xm:sqref>
        </x14:conditionalFormatting>
        <x14:conditionalFormatting xmlns:xm="http://schemas.microsoft.com/office/excel/2006/main">
          <x14:cfRule type="expression" priority="1172" id="{313DD2C5-BADB-4D19-9D7E-194C0045204D}">
            <xm:f>OR(  AND( BZ3=PLANS!$BP$4,PLANS!$BQ$3=0 ), AND( BZ3=PLANS!$BP$10,PLANS!$BQ$9=0 ), AND( BZ3=PLANS!$BP$16,PLANS!$BQ$15=0 ), AND( BZ3=PLANS!$BP$22,PLANS!$BQ$21=0 ), AND( BZ3=PLANS!$BP$28,PLANS!$BQ$27=0 ), AND( BZ3=PLANS!$BP$34,PLANS!$BQ$33=0 ),  AND( BZ3=PLANS!$BY$4,PLANS!$BZ$3=0 ), AND( BZ3=PLANS!$BY$10,PLANS!$BZ$9=0 ), AND( BZ3=PLANS!$BY$16,PLANS!$BZ$15=0 ), AND( BZ3=PLANS!$BY$22,PLANS!$BZ$21=0 ), AND( BZ3=PLANS!$BY$28,PLANS!$BZ$27=0 ), AND( BZ3=PLANS!$BY$34,PLANS!$BZ$33=0 )  )</xm:f>
            <x14:dxf>
              <fill>
                <patternFill>
                  <bgColor rgb="FFEAEAEA"/>
                </patternFill>
              </fill>
            </x14:dxf>
          </x14:cfRule>
          <xm:sqref>BU3:BU33</xm:sqref>
        </x14:conditionalFormatting>
        <x14:conditionalFormatting xmlns:xm="http://schemas.microsoft.com/office/excel/2006/main">
          <x14:cfRule type="expression" priority="1171" id="{CD984B86-BE51-4FD7-B9C3-54217C560924}">
            <xm:f>OR(  AND( BZ3=PLANS!$BP$4,PLANS!$BQ$3=0 ), AND( BZ3=PLANS!$BP$10,PLANS!$BQ$9=0 ), AND( BZ3=PLANS!$BP$16,PLANS!$BQ$15=0 ), AND( BZ3=PLANS!$BP$22,PLANS!$BQ$21=0 ), AND( BZ3=PLANS!$BP$28,PLANS!$BQ$27=0 ), AND( BZ3=PLANS!$BP$34,PLANS!$BQ$33=0 ),  AND( BZ3=PLANS!$BY$4,PLANS!$BZ$3=0 ), AND( BZ3=PLANS!$BY$10,PLANS!$BZ$9=0 ), AND( BZ3=PLANS!$BY$16,PLANS!$BZ$15=0 ), AND( BZ3=PLANS!$BY$22,PLANS!$BZ$21=0 ), AND( BZ3=PLANS!$BY$28,PLANS!$BZ$27=0 ), AND( BZ3=PLANS!$BY$34,PLANS!$BZ$33=0 )  )</xm:f>
            <x14:dxf>
              <fill>
                <patternFill>
                  <bgColor rgb="FFEAEAEA"/>
                </patternFill>
              </fill>
            </x14:dxf>
          </x14:cfRule>
          <xm:sqref>BV3:BV33</xm:sqref>
        </x14:conditionalFormatting>
        <x14:conditionalFormatting xmlns:xm="http://schemas.microsoft.com/office/excel/2006/main">
          <x14:cfRule type="expression" priority="1170" id="{E2523570-639A-47FA-807E-C53ABFD05F5F}">
            <xm:f>OR(  AND( BZ3=PLANS!$BP$4,PLANS!$BQ$3=0 ), AND( BZ3=PLANS!$BP$10,PLANS!$BQ$9=0 ), AND( BZ3=PLANS!$BP$16,PLANS!$BQ$15=0 ), AND( BZ3=PLANS!$BP$22,PLANS!$BQ$21=0 ), AND( BZ3=PLANS!$BP$28,PLANS!$BQ$27=0 ), AND( BZ3=PLANS!$BP$34,PLANS!$BQ$33=0 ),  AND( BZ3=PLANS!$BY$4,PLANS!$BZ$3=0 ), AND( BZ3=PLANS!$BY$10,PLANS!$BZ$9=0 ), AND( BZ3=PLANS!$BY$16,PLANS!$BZ$15=0 ), AND( BZ3=PLANS!$BY$22,PLANS!$BZ$21=0 ), AND( BZ3=PLANS!$BY$28,PLANS!$BZ$27=0 ), AND( BZ3=PLANS!$BY$34,PLANS!$BZ$33=0 )  )</xm:f>
            <x14:dxf>
              <fill>
                <patternFill>
                  <bgColor rgb="FFEAEAEA"/>
                </patternFill>
              </fill>
            </x14:dxf>
          </x14:cfRule>
          <xm:sqref>BW3:BW33</xm:sqref>
        </x14:conditionalFormatting>
        <x14:conditionalFormatting xmlns:xm="http://schemas.microsoft.com/office/excel/2006/main">
          <x14:cfRule type="expression" priority="1169" id="{B3E77320-5A73-4815-BCB8-11CD02888630}">
            <xm:f>OR(  AND( BZ3=PLANS!$BP$4,PLANS!$BQ$3=0 ), AND( BZ3=PLANS!$BP$10,PLANS!$BQ$9=0 ), AND( BZ3=PLANS!$BP$16,PLANS!$BQ$15=0 ), AND( BZ3=PLANS!$BP$22,PLANS!$BQ$21=0 ), AND( BZ3=PLANS!$BP$28,PLANS!$BQ$27=0 ), AND( BZ3=PLANS!$BP$34,PLANS!$BQ$33=0 ),  AND( BZ3=PLANS!$BY$4,PLANS!$BZ$3=0 ), AND( BZ3=PLANS!$BY$10,PLANS!$BZ$9=0 ), AND( BZ3=PLANS!$BY$16,PLANS!$BZ$15=0 ), AND( BZ3=PLANS!$BY$22,PLANS!$BZ$21=0 ), AND( BZ3=PLANS!$BY$28,PLANS!$BZ$27=0 ), AND( BZ3=PLANS!$BY$34,PLANS!$BZ$33=0 )  )</xm:f>
            <x14:dxf>
              <fill>
                <patternFill>
                  <bgColor rgb="FFEAEAEA"/>
                </patternFill>
              </fill>
            </x14:dxf>
          </x14:cfRule>
          <xm:sqref>BX3:BX33</xm:sqref>
        </x14:conditionalFormatting>
        <x14:conditionalFormatting xmlns:xm="http://schemas.microsoft.com/office/excel/2006/main">
          <x14:cfRule type="expression" priority="1168" id="{DE7D49A2-31C8-48FD-BB3F-10FD79D3ACD8}">
            <xm:f>OR(  AND( BZ3=PLANS!$BP$4,PLANS!$BQ$3=0 ), AND( BZ3=PLANS!$BP$10,PLANS!$BQ$9=0 ), AND( BZ3=PLANS!$BP$16,PLANS!$BQ$15=0 ), AND( BZ3=PLANS!$BP$22,PLANS!$BQ$21=0 ), AND( BZ3=PLANS!$BP$28,PLANS!$BQ$27=0 ), AND( BZ3=PLANS!$BP$34,PLANS!$BQ$33=0 ),  AND( BZ3=PLANS!$BY$4,PLANS!$BZ$3=0 ), AND( BZ3=PLANS!$BY$10,PLANS!$BZ$9=0 ), AND( BZ3=PLANS!$BY$16,PLANS!$BZ$15=0 ), AND( BZ3=PLANS!$BY$22,PLANS!$BZ$21=0 ), AND( BZ3=PLANS!$BY$28,PLANS!$BZ$27=0 ), AND( BZ3=PLANS!$BY$34,PLANS!$BZ$33=0 )  )</xm:f>
            <x14:dxf>
              <fill>
                <patternFill>
                  <bgColor rgb="FFEAEAEA"/>
                </patternFill>
              </fill>
            </x14:dxf>
          </x14:cfRule>
          <xm:sqref>BY3:BY33</xm:sqref>
        </x14:conditionalFormatting>
        <x14:conditionalFormatting xmlns:xm="http://schemas.microsoft.com/office/excel/2006/main">
          <x14:cfRule type="expression" priority="956" id="{45F26253-21DB-4BE2-80A2-C675CCB43E0F}">
            <xm:f>OR(PLANS!$F$3="FEBRUARY",PLANS!$F$3="APRIL",PLANS!$F$3="JUNE",PLANS!$F$3="SEPTEMBER",PLANS!$F$3="NOVEMBER")</xm:f>
            <x14:dxf>
              <font>
                <color theme="0"/>
              </font>
            </x14:dxf>
          </x14:cfRule>
          <xm:sqref>BZ3</xm:sqref>
        </x14:conditionalFormatting>
        <x14:conditionalFormatting xmlns:xm="http://schemas.microsoft.com/office/excel/2006/main">
          <x14:cfRule type="expression" priority="804" id="{BC92E3A7-6135-41A1-B620-C395B0CBD24B}">
            <xm:f>PLANS!$F$3="FEBRUARY"</xm:f>
            <x14:dxf>
              <font>
                <color theme="0"/>
              </font>
            </x14:dxf>
          </x14:cfRule>
          <xm:sqref>BZ4</xm:sqref>
        </x14:conditionalFormatting>
        <x14:conditionalFormatting xmlns:xm="http://schemas.microsoft.com/office/excel/2006/main">
          <x14:cfRule type="expression" priority="626" id="{B8DB3C54-4CD1-4408-AD25-66BB92195377}">
            <xm:f>PROGRESS!$CF$14=PROGRESS!$CP$14</xm:f>
            <x14:dxf>
              <font>
                <color theme="0" tint="-0.499984740745262"/>
              </font>
            </x14:dxf>
          </x14:cfRule>
          <xm:sqref>AB13</xm:sqref>
        </x14:conditionalFormatting>
        <x14:conditionalFormatting xmlns:xm="http://schemas.microsoft.com/office/excel/2006/main">
          <x14:cfRule type="expression" priority="625" id="{FD21E572-467D-40F8-9339-CE1BE7C6D632}">
            <xm:f>PROGRESS!$CF$18=PROGRESS!$CP$18</xm:f>
            <x14:dxf>
              <font>
                <color theme="0" tint="-0.499984740745262"/>
              </font>
            </x14:dxf>
          </x14:cfRule>
          <xm:sqref>AZ13</xm:sqref>
        </x14:conditionalFormatting>
        <x14:conditionalFormatting xmlns:xm="http://schemas.microsoft.com/office/excel/2006/main">
          <x14:cfRule type="expression" priority="44349" id="{E6078812-2B5E-4C25-9215-8C09B76D1101}">
            <xm:f>BOUNTY!$CC$91&gt;=1</xm:f>
            <x14:dxf>
              <font>
                <color theme="0"/>
              </font>
            </x14:dxf>
          </x14:cfRule>
          <xm:sqref>W22 BE22</xm:sqref>
        </x14:conditionalFormatting>
        <x14:conditionalFormatting xmlns:xm="http://schemas.microsoft.com/office/excel/2006/main">
          <x14:cfRule type="expression" priority="128" id="{47033AEA-B0ED-4383-87AC-C423FFC49138}">
            <xm:f>OR(BOUNTY!$CC$83=BOUNTY!$CK$82,BOUNTY!$CC$83=BOUNTY!$CK$83,AND(BOUNTY!$CC$83=BOUNTY!$CK$85,BOUNTY!$CC$88="MIND"))</xm:f>
            <x14:dxf>
              <font>
                <color theme="1"/>
              </font>
            </x14:dxf>
          </x14:cfRule>
          <xm:sqref>W22</xm:sqref>
        </x14:conditionalFormatting>
        <x14:conditionalFormatting xmlns:xm="http://schemas.microsoft.com/office/excel/2006/main">
          <x14:cfRule type="expression" priority="44348" id="{F80B1AF0-B722-4E83-8296-65AAA4DF4830}">
            <xm:f>OR(BOUNTY!$CC$83=BOUNTY!$CK$82,BOUNTY!$CC$83=BOUNTY!$CK$84,AND(BOUNTY!$CC$83=BOUNTY!$CK$85,BOUNTY!$CC$88="BODY"))</xm:f>
            <x14:dxf>
              <font>
                <color theme="1"/>
              </font>
            </x14:dxf>
          </x14:cfRule>
          <xm:sqref>BE22</xm:sqref>
        </x14:conditionalFormatting>
        <x14:conditionalFormatting xmlns:xm="http://schemas.microsoft.com/office/excel/2006/main">
          <x14:cfRule type="expression" priority="108" id="{38F09995-951A-49AC-A92A-B0D8BDBD730F}">
            <xm:f>OR(BOUNTY!$CC$83=BOUNTY!$CK$82,BOUNTY!$CC$83=BOUNTY!$CK$83,AND(BOUNTY!$CC$86=C34,BOUNTY!$CC$88="MIND"))</xm:f>
            <x14:dxf>
              <font>
                <color theme="0"/>
              </font>
            </x14:dxf>
          </x14:cfRule>
          <xm:sqref>C37:K37</xm:sqref>
        </x14:conditionalFormatting>
        <x14:conditionalFormatting xmlns:xm="http://schemas.microsoft.com/office/excel/2006/main">
          <x14:cfRule type="expression" priority="107" id="{3DFBA692-951B-410A-8B91-79C6FA986D4C}">
            <xm:f>OR(BOUNTY!$CC$83=BOUNTY!$CK$82,BOUNTY!$CC$83=BOUNTY!$CK$84,AND(BOUNTY!$CC$86=BQ34,BOUNTY!$CC$88="BODY"))</xm:f>
            <x14:dxf>
              <font>
                <color theme="0"/>
              </font>
            </x14:dxf>
          </x14:cfRule>
          <xm:sqref>BQ37:BY37</xm:sqref>
        </x14:conditionalFormatting>
        <x14:conditionalFormatting xmlns:xm="http://schemas.microsoft.com/office/excel/2006/main">
          <x14:cfRule type="expression" priority="44" id="{65C5DC81-B48F-4265-869F-173093BE1751}">
            <xm:f>BOUNTY!$CC$86=$C$34</xm:f>
            <x14:dxf>
              <font>
                <color rgb="FF00B0F0"/>
              </font>
            </x14:dxf>
          </x14:cfRule>
          <x14:cfRule type="expression" priority="45" id="{40E93643-0394-4148-B329-FCBE0BE587A8}">
            <xm:f>BOUNTY!$CC$86=$D$34</xm:f>
            <x14:dxf>
              <font>
                <color rgb="FF00B050"/>
              </font>
            </x14:dxf>
          </x14:cfRule>
          <x14:cfRule type="expression" priority="46" id="{490D05DF-7B08-408F-AC01-3AAEBF0AB250}">
            <xm:f>BOUNTY!$CC$86=$E$34</xm:f>
            <x14:dxf>
              <font>
                <color rgb="FFFFC000"/>
              </font>
            </x14:dxf>
          </x14:cfRule>
          <x14:cfRule type="expression" priority="47" id="{013922A9-8FBB-4AC2-B275-63217C7708FE}">
            <xm:f>BOUNTY!$CC$86=$F$34</xm:f>
            <x14:dxf>
              <font>
                <color rgb="FFFF6600"/>
              </font>
            </x14:dxf>
          </x14:cfRule>
          <x14:cfRule type="expression" priority="48" id="{D908E8CC-1381-496B-A569-D72AB59CCC50}">
            <xm:f>BOUNTY!$CC$86=$G$34</xm:f>
            <x14:dxf>
              <font>
                <color rgb="FFC00000"/>
              </font>
            </x14:dxf>
          </x14:cfRule>
          <x14:cfRule type="expression" priority="49" id="{6BDADCBE-8D24-42D5-A06A-2A6EB895DD42}">
            <xm:f>BOUNTY!$CC$86=$H$34</xm:f>
            <x14:dxf>
              <font>
                <color rgb="FFFF0000"/>
              </font>
            </x14:dxf>
          </x14:cfRule>
          <x14:cfRule type="expression" priority="50" id="{CDC91960-8B53-469A-9E00-821EE42D897A}">
            <xm:f>BOUNTY!$CC$86=$I$34</xm:f>
            <x14:dxf>
              <font>
                <color rgb="FFFF00FF"/>
              </font>
            </x14:dxf>
          </x14:cfRule>
          <x14:cfRule type="expression" priority="51" id="{1B4CDA0D-B9C8-461B-A848-10342C3C63DB}">
            <xm:f>BOUNTY!$CC$86=$J$34</xm:f>
            <x14:dxf>
              <font>
                <color rgb="FF9900CC"/>
              </font>
            </x14:dxf>
          </x14:cfRule>
          <x14:cfRule type="expression" priority="52" id="{6920E03B-0713-4C31-B049-F9CD55102AE0}">
            <xm:f>BOUNTY!$CC$86=$K$34</xm:f>
            <x14:dxf>
              <font>
                <color rgb="FF0070C0"/>
              </font>
            </x14:dxf>
          </x14:cfRule>
          <xm:sqref>J2</xm:sqref>
        </x14:conditionalFormatting>
        <x14:conditionalFormatting xmlns:xm="http://schemas.microsoft.com/office/excel/2006/main">
          <x14:cfRule type="expression" priority="35" id="{CF6DF6E8-9025-4984-A23B-A169A32D6A41}">
            <xm:f>BOUNTY!$CC$86=$C$34</xm:f>
            <x14:dxf>
              <font>
                <color rgb="FF00B0F0"/>
              </font>
            </x14:dxf>
          </x14:cfRule>
          <x14:cfRule type="expression" priority="36" id="{A2D85643-9070-4AE2-AFE1-24A537100772}">
            <xm:f>BOUNTY!$CC$86=$D$34</xm:f>
            <x14:dxf>
              <font>
                <color rgb="FF00B050"/>
              </font>
            </x14:dxf>
          </x14:cfRule>
          <x14:cfRule type="expression" priority="37" id="{F7BEBE41-5B57-486C-83EE-085197BFB5B7}">
            <xm:f>BOUNTY!$CC$86=$E$34</xm:f>
            <x14:dxf>
              <font>
                <color rgb="FFFFC000"/>
              </font>
            </x14:dxf>
          </x14:cfRule>
          <x14:cfRule type="expression" priority="38" id="{6B17DA04-AE5C-47BF-8E21-724BF3EC9916}">
            <xm:f>BOUNTY!$CC$86=$F$34</xm:f>
            <x14:dxf>
              <font>
                <color rgb="FFFF6600"/>
              </font>
            </x14:dxf>
          </x14:cfRule>
          <x14:cfRule type="expression" priority="39" id="{9C3C832B-A099-449F-BA06-F30DEADC138F}">
            <xm:f>BOUNTY!$CC$86=$G$34</xm:f>
            <x14:dxf>
              <font>
                <color rgb="FFC00000"/>
              </font>
            </x14:dxf>
          </x14:cfRule>
          <x14:cfRule type="expression" priority="40" id="{3175D58A-E058-40D8-B743-BD2CBD978A93}">
            <xm:f>BOUNTY!$CC$86=$H$34</xm:f>
            <x14:dxf>
              <font>
                <color rgb="FFFF0000"/>
              </font>
            </x14:dxf>
          </x14:cfRule>
          <x14:cfRule type="expression" priority="41" id="{8C440B5F-E11C-4A4D-9DCC-6BF733050937}">
            <xm:f>BOUNTY!$CC$86=$I$34</xm:f>
            <x14:dxf>
              <font>
                <color rgb="FFFF00FF"/>
              </font>
            </x14:dxf>
          </x14:cfRule>
          <x14:cfRule type="expression" priority="42" id="{E14DDA96-9262-46B1-AB77-3E2F68D7338C}">
            <xm:f>BOUNTY!$CC$86=$J$34</xm:f>
            <x14:dxf>
              <font>
                <color rgb="FF9900CC"/>
              </font>
            </x14:dxf>
          </x14:cfRule>
          <x14:cfRule type="expression" priority="43" id="{33272628-5BC5-4D1E-91C4-351D9980D3A9}">
            <xm:f>BOUNTY!$CC$86=$K$34</xm:f>
            <x14:dxf>
              <font>
                <color rgb="FF0070C0"/>
              </font>
            </x14:dxf>
          </x14:cfRule>
          <xm:sqref>C2</xm:sqref>
        </x14:conditionalFormatting>
        <x14:conditionalFormatting xmlns:xm="http://schemas.microsoft.com/office/excel/2006/main">
          <x14:cfRule type="expression" priority="26" id="{5A53C8A2-2CD2-4BCB-BF06-41A941B071A7}">
            <xm:f>BOUNTY!$CC$86=$BY$34</xm:f>
            <x14:dxf>
              <font>
                <color rgb="FF00B0F0"/>
              </font>
            </x14:dxf>
          </x14:cfRule>
          <x14:cfRule type="expression" priority="27" id="{43A2D58E-F2C7-43D7-A5BD-764DFF174694}">
            <xm:f>BOUNTY!$CC$86=$BX$34</xm:f>
            <x14:dxf>
              <font>
                <color rgb="FF00B050"/>
              </font>
            </x14:dxf>
          </x14:cfRule>
          <x14:cfRule type="expression" priority="28" id="{F0CE86AA-FDE4-4DBD-B39E-0906A4834DF4}">
            <xm:f>BOUNTY!$CC$86=$BW$34</xm:f>
            <x14:dxf>
              <font>
                <color rgb="FFFFC000"/>
              </font>
            </x14:dxf>
          </x14:cfRule>
          <x14:cfRule type="expression" priority="29" id="{29A43EC1-3C20-47D6-9FA8-D3E02DDD649A}">
            <xm:f>BOUNTY!$CC$86=$BV$34</xm:f>
            <x14:dxf>
              <font>
                <color rgb="FFFF6600"/>
              </font>
            </x14:dxf>
          </x14:cfRule>
          <x14:cfRule type="expression" priority="30" id="{F5A5C66C-22AB-4463-BCF0-CF50469AD23D}">
            <xm:f>BOUNTY!$CC$86=$BU$34</xm:f>
            <x14:dxf>
              <font>
                <color rgb="FFC00000"/>
              </font>
            </x14:dxf>
          </x14:cfRule>
          <x14:cfRule type="expression" priority="31" id="{D22ADBD4-93F6-4E1C-8866-78F863D8FFB7}">
            <xm:f>BOUNTY!$CC$86=$BT$34</xm:f>
            <x14:dxf>
              <font>
                <color rgb="FFFF0000"/>
              </font>
            </x14:dxf>
          </x14:cfRule>
          <x14:cfRule type="expression" priority="32" id="{17242CDC-711C-41FE-ADEF-236F2A546C47}">
            <xm:f>BOUNTY!$CC$86=$BS$34</xm:f>
            <x14:dxf>
              <font>
                <color rgb="FFFF00FF"/>
              </font>
            </x14:dxf>
          </x14:cfRule>
          <x14:cfRule type="expression" priority="33" id="{7FF18C24-F680-4478-A8AF-FB37E6FD2197}">
            <xm:f>BOUNTY!$CC$86=$BR$34</xm:f>
            <x14:dxf>
              <font>
                <color rgb="FF9900CC"/>
              </font>
            </x14:dxf>
          </x14:cfRule>
          <x14:cfRule type="expression" priority="34" id="{5B2E81A8-46DF-4529-AB09-7B2ED02112FF}">
            <xm:f>BOUNTY!$CC$86=$BQ$34</xm:f>
            <x14:dxf>
              <font>
                <color rgb="FF0070C0"/>
              </font>
            </x14:dxf>
          </x14:cfRule>
          <xm:sqref>BQ2</xm:sqref>
        </x14:conditionalFormatting>
        <x14:conditionalFormatting xmlns:xm="http://schemas.microsoft.com/office/excel/2006/main">
          <x14:cfRule type="expression" priority="17" id="{544F81BF-BB11-40AE-94CF-5B9D1F927B13}">
            <xm:f>BOUNTY!$CC$86=$BY$34</xm:f>
            <x14:dxf>
              <font>
                <color rgb="FF00B0F0"/>
              </font>
            </x14:dxf>
          </x14:cfRule>
          <x14:cfRule type="expression" priority="18" id="{9A5A9C12-B97D-4CBF-B8CE-DFF0AF78D2C8}">
            <xm:f>BOUNTY!$CC$86=$BX$34</xm:f>
            <x14:dxf>
              <font>
                <color rgb="FF00B050"/>
              </font>
            </x14:dxf>
          </x14:cfRule>
          <x14:cfRule type="expression" priority="19" id="{C596D5E4-4526-479F-B383-B2BC765787E1}">
            <xm:f>BOUNTY!$CC$86=$BW$34</xm:f>
            <x14:dxf>
              <font>
                <color rgb="FFFFC000"/>
              </font>
            </x14:dxf>
          </x14:cfRule>
          <x14:cfRule type="expression" priority="20" id="{365FA689-A96B-4F54-B3C0-456592B0852E}">
            <xm:f>BOUNTY!$CC$86=$BV$34</xm:f>
            <x14:dxf>
              <font>
                <color rgb="FFFF6600"/>
              </font>
            </x14:dxf>
          </x14:cfRule>
          <x14:cfRule type="expression" priority="21" id="{2C0D63AC-0902-40BF-AE82-83232C250491}">
            <xm:f>BOUNTY!$CC$86=$BU$34</xm:f>
            <x14:dxf>
              <font>
                <color rgb="FFC00000"/>
              </font>
            </x14:dxf>
          </x14:cfRule>
          <x14:cfRule type="expression" priority="22" id="{4201E1A3-58AD-4156-8D50-0B4DAD367EC5}">
            <xm:f>BOUNTY!$CC$86=$BT$34</xm:f>
            <x14:dxf>
              <font>
                <color rgb="FFFF0000"/>
              </font>
            </x14:dxf>
          </x14:cfRule>
          <x14:cfRule type="expression" priority="23" id="{8D13060A-BAE6-41D4-B2E6-CA5B1F719FFF}">
            <xm:f>BOUNTY!$CC$86=$BS$34</xm:f>
            <x14:dxf>
              <font>
                <color rgb="FFFF00FF"/>
              </font>
            </x14:dxf>
          </x14:cfRule>
          <x14:cfRule type="expression" priority="24" id="{AE49909B-4923-49E9-8A5F-CD8DECC79971}">
            <xm:f>BOUNTY!$CC$86=$BR$34</xm:f>
            <x14:dxf>
              <font>
                <color rgb="FF9900CC"/>
              </font>
            </x14:dxf>
          </x14:cfRule>
          <x14:cfRule type="expression" priority="25" id="{CB7731A2-4710-4604-B15B-185EBA50A799}">
            <xm:f>BOUNTY!$CC$86=$BQ$34</xm:f>
            <x14:dxf>
              <font>
                <color rgb="FF0070C0"/>
              </font>
            </x14:dxf>
          </x14:cfRule>
          <xm:sqref>BX2</xm:sqref>
        </x14:conditionalFormatting>
        <x14:conditionalFormatting xmlns:xm="http://schemas.microsoft.com/office/excel/2006/main">
          <x14:cfRule type="expression" priority="51934" id="{02FA52B3-3CA0-484E-B72D-352CF7EFA1EB}">
            <xm:f>B3&lt;PLANS!$B$1</xm:f>
            <x14:dxf>
              <font>
                <color theme="1"/>
              </font>
            </x14:dxf>
          </x14:cfRule>
          <x14:cfRule type="expression" priority="51935" id="{41917D54-753B-4395-9351-E99AD48D0BC7}">
            <xm:f>B3=PLANS!$B$1</xm:f>
            <x14:dxf>
              <font>
                <color theme="0"/>
              </font>
              <fill>
                <patternFill>
                  <bgColor theme="1"/>
                </patternFill>
              </fill>
            </x14:dxf>
          </x14:cfRule>
          <xm:sqref>B3:B33 BZ3:BZ33</xm:sqref>
        </x14:conditionalFormatting>
        <x14:conditionalFormatting xmlns:xm="http://schemas.microsoft.com/office/excel/2006/main">
          <x14:cfRule type="expression" priority="51936" id="{5D3B6621-D15B-4012-BAD2-AD2E6836B346}">
            <xm:f>B3&lt;PLANS!$B$1</xm:f>
            <x14:dxf>
              <font>
                <color theme="1"/>
              </font>
              <fill>
                <patternFill patternType="none">
                  <bgColor auto="1"/>
                </patternFill>
              </fill>
            </x14:dxf>
          </x14:cfRule>
          <x14:cfRule type="expression" priority="51937" id="{0ED75B36-3D9C-46CD-A572-B7456099585D}">
            <xm:f>B3=PLANS!$B$1</xm:f>
            <x14:dxf>
              <font>
                <color theme="0"/>
              </font>
              <fill>
                <patternFill>
                  <bgColor theme="1"/>
                </patternFill>
              </fill>
            </x14:dxf>
          </x14:cfRule>
          <xm:sqref>L3:L33</xm:sqref>
        </x14:conditionalFormatting>
        <x14:conditionalFormatting xmlns:xm="http://schemas.microsoft.com/office/excel/2006/main">
          <x14:cfRule type="expression" priority="51938" id="{014EDB3B-D319-4A51-A307-A34F6B77D7E4}">
            <xm:f>BZ3&lt;PLANS!$B$1</xm:f>
            <x14:dxf>
              <font>
                <color theme="1"/>
              </font>
            </x14:dxf>
          </x14:cfRule>
          <x14:cfRule type="expression" priority="51939" id="{137C8169-73AD-44A9-A6D7-227E800137C7}">
            <xm:f>BZ3=PLANS!$B$1</xm:f>
            <x14:dxf>
              <font>
                <color theme="0"/>
              </font>
              <fill>
                <patternFill>
                  <bgColor theme="1"/>
                </patternFill>
              </fill>
            </x14:dxf>
          </x14:cfRule>
          <xm:sqref>BP3:BP33</xm:sqref>
        </x14:conditionalFormatting>
        <x14:conditionalFormatting xmlns:xm="http://schemas.microsoft.com/office/excel/2006/main">
          <x14:cfRule type="expression" priority="51942" id="{A7D063BA-5ECB-4DBB-932C-A3B0F9B3F138}">
            <xm:f>Y99&lt;=PLANS!$B$1</xm:f>
            <x14:dxf>
              <font>
                <color theme="0" tint="-0.14996795556505021"/>
              </font>
            </x14:dxf>
          </x14:cfRule>
          <xm:sqref>Y114:BC114 Y99:BC99</xm:sqref>
        </x14:conditionalFormatting>
        <x14:conditionalFormatting xmlns:xm="http://schemas.microsoft.com/office/excel/2006/main">
          <x14:cfRule type="expression" priority="8" id="{1C2443ED-3492-4914-8BFB-76B5A4D06E79}">
            <xm:f>OR('^'!$BK$49=0,'^'!$BK$49="")</xm:f>
            <x14:dxf>
              <font>
                <color theme="0"/>
              </font>
            </x14:dxf>
          </x14:cfRule>
          <xm:sqref>B3:B33 L3:L33 BP3:BP33 BZ3:BZ33</xm:sqref>
        </x14:conditionalFormatting>
        <x14:conditionalFormatting xmlns:xm="http://schemas.microsoft.com/office/excel/2006/main">
          <x14:cfRule type="expression" priority="58352" id="{F7E39F0B-5653-4EFC-9C84-C7D6276EA221}">
            <xm:f>data!$BZ$28&gt;=N2</xm:f>
            <x14:dxf>
              <font>
                <color theme="0"/>
              </font>
              <fill>
                <patternFill>
                  <bgColor rgb="FF00B0F0"/>
                </patternFill>
              </fill>
            </x14:dxf>
          </x14:cfRule>
          <xm:sqref>N3:AJ3</xm:sqref>
        </x14:conditionalFormatting>
        <x14:conditionalFormatting xmlns:xm="http://schemas.microsoft.com/office/excel/2006/main">
          <x14:cfRule type="expression" priority="58353" id="{20937FF6-BA2E-4889-86CE-094E69B0B689}">
            <xm:f>data!$CA$28&gt;=N2</xm:f>
            <x14:dxf>
              <font>
                <color theme="0"/>
              </font>
              <fill>
                <patternFill>
                  <bgColor rgb="FF00B050"/>
                </patternFill>
              </fill>
            </x14:dxf>
          </x14:cfRule>
          <xm:sqref>N4:AJ4</xm:sqref>
        </x14:conditionalFormatting>
        <x14:conditionalFormatting xmlns:xm="http://schemas.microsoft.com/office/excel/2006/main">
          <x14:cfRule type="expression" priority="58354" id="{8FD6B7B5-08B3-4C21-A246-EA893583A11D}">
            <xm:f>data!$CB$28&gt;=N2</xm:f>
            <x14:dxf>
              <font>
                <color theme="0"/>
              </font>
              <fill>
                <patternFill>
                  <bgColor rgb="FFFFC000"/>
                </patternFill>
              </fill>
            </x14:dxf>
          </x14:cfRule>
          <xm:sqref>N5:AJ5</xm:sqref>
        </x14:conditionalFormatting>
        <x14:conditionalFormatting xmlns:xm="http://schemas.microsoft.com/office/excel/2006/main">
          <x14:cfRule type="expression" priority="58355" id="{7824B4A2-4376-46CB-9AD3-3B55591AE531}">
            <xm:f>data!$CC$28&gt;=N2</xm:f>
            <x14:dxf>
              <font>
                <color theme="0"/>
              </font>
              <fill>
                <patternFill>
                  <bgColor rgb="FFFF6600"/>
                </patternFill>
              </fill>
            </x14:dxf>
          </x14:cfRule>
          <xm:sqref>N6:AJ6</xm:sqref>
        </x14:conditionalFormatting>
        <x14:conditionalFormatting xmlns:xm="http://schemas.microsoft.com/office/excel/2006/main">
          <x14:cfRule type="expression" priority="58356" id="{1F333054-6F22-4378-B02B-806D78E4E54B}">
            <xm:f>data!$CD$28&gt;=N2</xm:f>
            <x14:dxf>
              <font>
                <color theme="0"/>
              </font>
              <fill>
                <patternFill>
                  <bgColor rgb="FFC00000"/>
                </patternFill>
              </fill>
            </x14:dxf>
          </x14:cfRule>
          <xm:sqref>N7:AJ7</xm:sqref>
        </x14:conditionalFormatting>
        <x14:conditionalFormatting xmlns:xm="http://schemas.microsoft.com/office/excel/2006/main">
          <x14:cfRule type="expression" priority="58357" id="{54975D93-0D00-4701-AE93-C999C40DB2D8}">
            <xm:f>data!$CE$28&gt;=N2</xm:f>
            <x14:dxf>
              <font>
                <color theme="0"/>
              </font>
              <fill>
                <patternFill>
                  <bgColor rgb="FFFF0000"/>
                </patternFill>
              </fill>
            </x14:dxf>
          </x14:cfRule>
          <xm:sqref>N8:AJ8</xm:sqref>
        </x14:conditionalFormatting>
        <x14:conditionalFormatting xmlns:xm="http://schemas.microsoft.com/office/excel/2006/main">
          <x14:cfRule type="expression" priority="58358" id="{A512AF6B-63D8-44FF-8F1A-584E95384664}">
            <xm:f>data!$CF$28&gt;=N2</xm:f>
            <x14:dxf>
              <font>
                <color theme="0"/>
              </font>
              <fill>
                <patternFill>
                  <bgColor rgb="FFFF00FF"/>
                </patternFill>
              </fill>
            </x14:dxf>
          </x14:cfRule>
          <xm:sqref>N9:AJ9</xm:sqref>
        </x14:conditionalFormatting>
        <x14:conditionalFormatting xmlns:xm="http://schemas.microsoft.com/office/excel/2006/main">
          <x14:cfRule type="expression" priority="58359" id="{75B520A9-6381-4E43-B885-7896107049A4}">
            <xm:f>data!$CG$28&gt;=N2</xm:f>
            <x14:dxf>
              <font>
                <color theme="0"/>
              </font>
              <fill>
                <patternFill>
                  <bgColor rgb="FF9900CC"/>
                </patternFill>
              </fill>
            </x14:dxf>
          </x14:cfRule>
          <xm:sqref>N10:AJ10</xm:sqref>
        </x14:conditionalFormatting>
        <x14:conditionalFormatting xmlns:xm="http://schemas.microsoft.com/office/excel/2006/main">
          <x14:cfRule type="expression" priority="58360" id="{43094E82-B754-4C9F-B955-90E98B5EC204}">
            <xm:f>data!$CH$28&gt;=N2</xm:f>
            <x14:dxf>
              <font>
                <color theme="0"/>
              </font>
              <fill>
                <patternFill>
                  <bgColor rgb="FF0070C0"/>
                </patternFill>
              </fill>
            </x14:dxf>
          </x14:cfRule>
          <xm:sqref>N11:AJ11</xm:sqref>
        </x14:conditionalFormatting>
        <x14:conditionalFormatting xmlns:xm="http://schemas.microsoft.com/office/excel/2006/main">
          <x14:cfRule type="expression" priority="58361" id="{33826C0A-486B-4E57-BF36-3947B0AB4668}">
            <xm:f>data!$BZ$33&gt;=AR2</xm:f>
            <x14:dxf>
              <font>
                <color theme="0"/>
              </font>
              <fill>
                <patternFill>
                  <bgColor rgb="FF0070C0"/>
                </patternFill>
              </fill>
            </x14:dxf>
          </x14:cfRule>
          <xm:sqref>AR3:BN3</xm:sqref>
        </x14:conditionalFormatting>
        <x14:conditionalFormatting xmlns:xm="http://schemas.microsoft.com/office/excel/2006/main">
          <x14:cfRule type="expression" priority="58362" id="{FDC4821D-1805-4FBE-831A-9162A02DCE3C}">
            <xm:f>data!$CA$33&gt;=AR2</xm:f>
            <x14:dxf>
              <font>
                <color theme="0"/>
              </font>
              <fill>
                <patternFill>
                  <bgColor rgb="FF9900CC"/>
                </patternFill>
              </fill>
            </x14:dxf>
          </x14:cfRule>
          <xm:sqref>AR4:BN4</xm:sqref>
        </x14:conditionalFormatting>
        <x14:conditionalFormatting xmlns:xm="http://schemas.microsoft.com/office/excel/2006/main">
          <x14:cfRule type="expression" priority="58363" id="{2494C18A-0EC1-4B39-95C4-0CA432D3588C}">
            <xm:f>data!$CB$33&gt;=AR2</xm:f>
            <x14:dxf>
              <font>
                <color theme="0"/>
              </font>
              <fill>
                <patternFill>
                  <bgColor rgb="FFFF00FF"/>
                </patternFill>
              </fill>
            </x14:dxf>
          </x14:cfRule>
          <xm:sqref>AR5:BN5</xm:sqref>
        </x14:conditionalFormatting>
        <x14:conditionalFormatting xmlns:xm="http://schemas.microsoft.com/office/excel/2006/main">
          <x14:cfRule type="expression" priority="58364" id="{D361AEF9-FE72-407E-B051-2BDEB3C4D10A}">
            <xm:f>data!$CC$33&gt;=AR2</xm:f>
            <x14:dxf>
              <font>
                <color theme="0"/>
              </font>
              <fill>
                <patternFill>
                  <bgColor rgb="FFFF0000"/>
                </patternFill>
              </fill>
            </x14:dxf>
          </x14:cfRule>
          <xm:sqref>AR6:BN6</xm:sqref>
        </x14:conditionalFormatting>
        <x14:conditionalFormatting xmlns:xm="http://schemas.microsoft.com/office/excel/2006/main">
          <x14:cfRule type="expression" priority="58365" id="{4B1A9AD4-F3AF-483D-9CE5-296F0F212DDF}">
            <xm:f>data!$CD$33&gt;=AR2</xm:f>
            <x14:dxf>
              <font>
                <color theme="0"/>
              </font>
              <fill>
                <patternFill>
                  <bgColor rgb="FFC00000"/>
                </patternFill>
              </fill>
            </x14:dxf>
          </x14:cfRule>
          <xm:sqref>AR7:BN7</xm:sqref>
        </x14:conditionalFormatting>
        <x14:conditionalFormatting xmlns:xm="http://schemas.microsoft.com/office/excel/2006/main">
          <x14:cfRule type="expression" priority="58366" id="{D03775BD-F80D-4FA1-8D30-CAB218D2591D}">
            <xm:f>data!$CE$33&gt;=AR2</xm:f>
            <x14:dxf>
              <font>
                <color theme="0"/>
              </font>
              <fill>
                <patternFill>
                  <bgColor rgb="FFFF6600"/>
                </patternFill>
              </fill>
            </x14:dxf>
          </x14:cfRule>
          <xm:sqref>AR8:BN8</xm:sqref>
        </x14:conditionalFormatting>
        <x14:conditionalFormatting xmlns:xm="http://schemas.microsoft.com/office/excel/2006/main">
          <x14:cfRule type="expression" priority="58367" id="{CA093C1B-7EAE-4DD3-B4A7-5B02BEBF283F}">
            <xm:f>data!$CF$33&gt;=AR2</xm:f>
            <x14:dxf>
              <font>
                <color theme="0"/>
              </font>
              <fill>
                <patternFill>
                  <bgColor rgb="FFFFC000"/>
                </patternFill>
              </fill>
            </x14:dxf>
          </x14:cfRule>
          <xm:sqref>AR9:BN9</xm:sqref>
        </x14:conditionalFormatting>
        <x14:conditionalFormatting xmlns:xm="http://schemas.microsoft.com/office/excel/2006/main">
          <x14:cfRule type="expression" priority="58368" id="{162FAD3E-B879-404C-BA18-E87204B1277A}">
            <xm:f>data!$CG$33&gt;=AR2</xm:f>
            <x14:dxf>
              <font>
                <color theme="0"/>
              </font>
              <fill>
                <patternFill>
                  <bgColor rgb="FF00B050"/>
                </patternFill>
              </fill>
            </x14:dxf>
          </x14:cfRule>
          <xm:sqref>AR10:BN10</xm:sqref>
        </x14:conditionalFormatting>
        <x14:conditionalFormatting xmlns:xm="http://schemas.microsoft.com/office/excel/2006/main">
          <x14:cfRule type="expression" priority="58369" id="{688C5BC8-17FB-4DB7-89CE-67AD99367F8C}">
            <xm:f>data!$CH$33&gt;=AR2</xm:f>
            <x14:dxf>
              <font>
                <color theme="0"/>
              </font>
              <fill>
                <patternFill>
                  <bgColor rgb="FF00B0F0"/>
                </patternFill>
              </fill>
            </x14:dxf>
          </x14:cfRule>
          <xm:sqref>AR11:BN11</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9C2D4-4ECB-4754-89D3-F64172B12E87}">
  <sheetPr codeName="Sheet6"/>
  <dimension ref="A1:ET119"/>
  <sheetViews>
    <sheetView showGridLines="0" showRowColHeaders="0" zoomScaleNormal="100" workbookViewId="0"/>
  </sheetViews>
  <sheetFormatPr defaultColWidth="3.42578125" defaultRowHeight="17.100000000000001" customHeight="1" x14ac:dyDescent="0.15"/>
  <cols>
    <col min="1" max="36" width="3.42578125" style="19"/>
    <col min="37" max="37" width="3.42578125" style="19" customWidth="1"/>
    <col min="38" max="79" width="3.42578125" style="19"/>
    <col min="80" max="150" width="3.42578125" style="19" hidden="1" customWidth="1"/>
    <col min="151" max="16384" width="3.42578125" style="19"/>
  </cols>
  <sheetData>
    <row r="1" spans="1:149" ht="17.100000000000001" customHeight="1" x14ac:dyDescent="0.15">
      <c r="A1" s="2694" t="s">
        <v>1706</v>
      </c>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8" t="s">
        <v>782</v>
      </c>
    </row>
    <row r="2" spans="1:149" ht="17.100000000000001" customHeight="1" thickBot="1" x14ac:dyDescent="0.25">
      <c r="A2" s="17"/>
      <c r="B2" s="4282" t="s">
        <v>61</v>
      </c>
      <c r="C2" s="4283"/>
      <c r="D2" s="4283"/>
      <c r="E2" s="4283"/>
      <c r="F2" s="4284" t="str">
        <f ca="1">_xlfn.XLOOKUP(ACTIONS!$N$1,ACTIONS!$B$3:$B$33,ACTIONS!$A$3:$A$33,"",0)</f>
        <v/>
      </c>
      <c r="G2" s="4284"/>
      <c r="H2" s="2791">
        <f>IF(SUM(ACTIONS!$CU$15:$DC$15)&gt;1,AVERAGEIF(ACTIONS!$A$3:$A$33,"&lt;&gt;0"),0)</f>
        <v>0</v>
      </c>
      <c r="I2" s="2795" t="s">
        <v>62</v>
      </c>
      <c r="J2" s="2791">
        <f>MAX(ACTIONS!$A$3:$A$33)</f>
        <v>0</v>
      </c>
      <c r="K2" s="2796" t="s">
        <v>63</v>
      </c>
      <c r="L2" s="2792"/>
      <c r="M2" s="17"/>
      <c r="N2" s="823">
        <v>23</v>
      </c>
      <c r="O2" s="865">
        <v>22</v>
      </c>
      <c r="P2" s="865">
        <v>21</v>
      </c>
      <c r="Q2" s="865">
        <v>20</v>
      </c>
      <c r="R2" s="865">
        <v>19</v>
      </c>
      <c r="S2" s="865">
        <v>18</v>
      </c>
      <c r="T2" s="865">
        <v>17</v>
      </c>
      <c r="U2" s="865">
        <v>16</v>
      </c>
      <c r="V2" s="865">
        <v>15</v>
      </c>
      <c r="W2" s="865">
        <v>14</v>
      </c>
      <c r="X2" s="865">
        <v>13</v>
      </c>
      <c r="Y2" s="865">
        <v>12</v>
      </c>
      <c r="Z2" s="865">
        <v>11</v>
      </c>
      <c r="AA2" s="865">
        <v>10</v>
      </c>
      <c r="AB2" s="865">
        <v>9</v>
      </c>
      <c r="AC2" s="865">
        <v>8</v>
      </c>
      <c r="AD2" s="865">
        <v>7</v>
      </c>
      <c r="AE2" s="865">
        <v>6</v>
      </c>
      <c r="AF2" s="865">
        <v>5</v>
      </c>
      <c r="AG2" s="865">
        <v>4</v>
      </c>
      <c r="AH2" s="865">
        <v>3</v>
      </c>
      <c r="AI2" s="865">
        <v>2</v>
      </c>
      <c r="AJ2" s="865">
        <v>1</v>
      </c>
      <c r="AK2" s="4448" t="s">
        <v>80</v>
      </c>
      <c r="AL2" s="4448"/>
      <c r="AM2" s="866"/>
      <c r="AN2" s="867" t="s">
        <v>67</v>
      </c>
      <c r="AO2" s="866"/>
      <c r="AP2" s="4448" t="s">
        <v>80</v>
      </c>
      <c r="AQ2" s="4448"/>
      <c r="AR2" s="865">
        <v>1</v>
      </c>
      <c r="AS2" s="865">
        <v>2</v>
      </c>
      <c r="AT2" s="865">
        <v>3</v>
      </c>
      <c r="AU2" s="865">
        <v>4</v>
      </c>
      <c r="AV2" s="865">
        <v>5</v>
      </c>
      <c r="AW2" s="865">
        <v>6</v>
      </c>
      <c r="AX2" s="865">
        <v>7</v>
      </c>
      <c r="AY2" s="865">
        <v>8</v>
      </c>
      <c r="AZ2" s="865">
        <v>9</v>
      </c>
      <c r="BA2" s="865">
        <v>10</v>
      </c>
      <c r="BB2" s="865">
        <v>11</v>
      </c>
      <c r="BC2" s="865">
        <v>12</v>
      </c>
      <c r="BD2" s="865">
        <v>13</v>
      </c>
      <c r="BE2" s="865">
        <v>14</v>
      </c>
      <c r="BF2" s="865">
        <v>15</v>
      </c>
      <c r="BG2" s="865">
        <v>16</v>
      </c>
      <c r="BH2" s="865">
        <v>17</v>
      </c>
      <c r="BI2" s="865">
        <v>18</v>
      </c>
      <c r="BJ2" s="865">
        <v>19</v>
      </c>
      <c r="BK2" s="865">
        <v>20</v>
      </c>
      <c r="BL2" s="865">
        <v>21</v>
      </c>
      <c r="BM2" s="865">
        <v>22</v>
      </c>
      <c r="BN2" s="823">
        <v>23</v>
      </c>
      <c r="BO2" s="17"/>
      <c r="BP2" s="2793"/>
      <c r="BQ2" s="2794" t="s">
        <v>63</v>
      </c>
      <c r="BR2" s="2790">
        <f>MAX(ACTIONS!$CA$3:$CA$33)</f>
        <v>0</v>
      </c>
      <c r="BS2" s="2795" t="s">
        <v>62</v>
      </c>
      <c r="BT2" s="2790">
        <f>IF(SUM(ACTIONS!$CU$18:$DC$18)&gt;1,AVERAGEIF(ACTIONS!$CA$3:$CA$33,"&lt;&gt;0"),0)</f>
        <v>0</v>
      </c>
      <c r="BU2" s="4287" t="str">
        <f ca="1">_xlfn.XLOOKUP(ACTIONS!$N$1,ACTIONS!$BZ$3:$BZ$33,ACTIONS!$CA$3:$CA$33,"",0)</f>
        <v/>
      </c>
      <c r="BV2" s="4287"/>
      <c r="BW2" s="4285" t="s">
        <v>61</v>
      </c>
      <c r="BX2" s="4285"/>
      <c r="BY2" s="4285"/>
      <c r="BZ2" s="4286"/>
      <c r="CA2" s="17"/>
      <c r="CB2" s="4502" t="s">
        <v>80</v>
      </c>
      <c r="CC2" s="4502"/>
      <c r="CD2" s="4495">
        <v>23</v>
      </c>
      <c r="CE2" s="4495"/>
      <c r="CF2" s="4495"/>
      <c r="CG2" s="4495">
        <v>24</v>
      </c>
      <c r="CH2" s="4495"/>
      <c r="CI2" s="4495"/>
      <c r="CJ2" s="4495">
        <v>25</v>
      </c>
      <c r="CK2" s="4495"/>
      <c r="CL2" s="4495"/>
      <c r="CM2" s="4495">
        <v>26</v>
      </c>
      <c r="CN2" s="4495"/>
      <c r="CO2" s="4495"/>
      <c r="CP2" s="4495">
        <v>27</v>
      </c>
      <c r="CQ2" s="4495"/>
      <c r="CR2" s="4495"/>
      <c r="CS2" s="4495">
        <v>28</v>
      </c>
      <c r="CT2" s="4495"/>
      <c r="CU2" s="4495"/>
      <c r="CV2" s="4495">
        <v>29</v>
      </c>
      <c r="CW2" s="4495"/>
      <c r="CX2" s="4495"/>
      <c r="CY2" s="4495">
        <v>30</v>
      </c>
      <c r="CZ2" s="4495"/>
      <c r="DA2" s="4495"/>
      <c r="DB2" s="4495">
        <v>31</v>
      </c>
      <c r="DC2" s="4495"/>
      <c r="DD2" s="4495"/>
      <c r="DE2" s="4495">
        <v>32</v>
      </c>
      <c r="DF2" s="4495"/>
      <c r="DG2" s="4495"/>
      <c r="DH2" s="4495">
        <v>33</v>
      </c>
      <c r="DI2" s="4495"/>
      <c r="DJ2" s="4495"/>
      <c r="DK2" s="4495">
        <v>34</v>
      </c>
      <c r="DL2" s="4495"/>
      <c r="DM2" s="4495"/>
      <c r="DN2" s="4495">
        <v>35</v>
      </c>
      <c r="DO2" s="4495"/>
      <c r="DP2" s="4495"/>
      <c r="DQ2" s="4495">
        <v>36</v>
      </c>
      <c r="DR2" s="4495"/>
      <c r="DS2" s="4495"/>
      <c r="DT2" s="4495">
        <v>37</v>
      </c>
      <c r="DU2" s="4495"/>
      <c r="DV2" s="4495"/>
      <c r="DW2" s="4495">
        <v>38</v>
      </c>
      <c r="DX2" s="4495"/>
      <c r="DY2" s="4495"/>
      <c r="DZ2" s="4495">
        <v>39</v>
      </c>
      <c r="EA2" s="4495"/>
      <c r="EB2" s="4495"/>
      <c r="EC2" s="4495">
        <v>40</v>
      </c>
      <c r="ED2" s="4495"/>
      <c r="EE2" s="4495"/>
      <c r="EF2" s="4495">
        <v>41</v>
      </c>
      <c r="EG2" s="4495"/>
      <c r="EH2" s="4495"/>
      <c r="EO2" s="226"/>
    </row>
    <row r="3" spans="1:149" ht="17.100000000000001" customHeight="1" thickTop="1" thickBot="1" x14ac:dyDescent="0.25">
      <c r="A3" s="17"/>
      <c r="B3" s="467" t="s">
        <v>81</v>
      </c>
      <c r="C3" s="470">
        <f>ACTIONS!CU15</f>
        <v>0</v>
      </c>
      <c r="D3" s="470">
        <f>ACTIONS!CV15</f>
        <v>0</v>
      </c>
      <c r="E3" s="470">
        <f>ACTIONS!CW15</f>
        <v>0</v>
      </c>
      <c r="F3" s="470">
        <f>ACTIONS!CX15</f>
        <v>0</v>
      </c>
      <c r="G3" s="470">
        <f>ACTIONS!CY15</f>
        <v>0</v>
      </c>
      <c r="H3" s="470">
        <f>ACTIONS!CZ15</f>
        <v>0</v>
      </c>
      <c r="I3" s="470">
        <f>ACTIONS!DA15</f>
        <v>0</v>
      </c>
      <c r="J3" s="470">
        <f>ACTIONS!DB15</f>
        <v>0</v>
      </c>
      <c r="K3" s="470">
        <f>ACTIONS!DC15</f>
        <v>0</v>
      </c>
      <c r="L3" s="467" t="s">
        <v>81</v>
      </c>
      <c r="M3" s="17"/>
      <c r="N3" s="1208">
        <f>_xlfn.IFS(
data!$BZ$26&lt;CG3,23,
data!$BZ$26&lt;CJ3,24,
data!$BZ$26&lt;CM3,25,
data!$BZ$26&lt;CP3,26,
data!$BZ$26&lt;CS3,27,
data!$BZ$26&lt;CV3,28,
data!$BZ$26&lt;CY3,29,
data!$BZ$26&lt;DB3,30,
data!$BZ$26&lt;DE3,31,
data!$BZ$26&lt;DH3,32,
data!$BZ$26&lt;DK3,33,
data!$BZ$26&lt;DN3,34,
data!$BZ$26&lt;DQ3,35,
data!$BZ$26&lt;DT3,36,
data!$BZ$26&lt;DW3,37,
data!$BZ$26&lt;DZ3,38,
data!$BZ$26&lt;EC3,39,
data!$BZ$26&lt;EF3,40,
data!$BZ$26&gt;=EF3,41
)</f>
        <v>23</v>
      </c>
      <c r="O3" s="1111" t="str">
        <f t="shared" ref="O3:AI7" si="0">IF(OR(O$2&lt;=$EN3,O$2&gt;$EM3),"","t")</f>
        <v/>
      </c>
      <c r="P3" s="1111" t="str">
        <f t="shared" si="0"/>
        <v/>
      </c>
      <c r="Q3" s="1111" t="str">
        <f t="shared" si="0"/>
        <v/>
      </c>
      <c r="R3" s="1111" t="str">
        <f t="shared" si="0"/>
        <v/>
      </c>
      <c r="S3" s="1111" t="str">
        <f t="shared" si="0"/>
        <v/>
      </c>
      <c r="T3" s="1111" t="str">
        <f t="shared" si="0"/>
        <v/>
      </c>
      <c r="U3" s="1111" t="str">
        <f t="shared" si="0"/>
        <v/>
      </c>
      <c r="V3" s="1111" t="str">
        <f t="shared" si="0"/>
        <v/>
      </c>
      <c r="W3" s="1111" t="str">
        <f t="shared" si="0"/>
        <v/>
      </c>
      <c r="X3" s="1111" t="str">
        <f t="shared" si="0"/>
        <v/>
      </c>
      <c r="Y3" s="1111" t="str">
        <f t="shared" si="0"/>
        <v/>
      </c>
      <c r="Z3" s="1111" t="str">
        <f t="shared" si="0"/>
        <v/>
      </c>
      <c r="AA3" s="1111" t="str">
        <f t="shared" si="0"/>
        <v/>
      </c>
      <c r="AB3" s="1111" t="str">
        <f t="shared" si="0"/>
        <v/>
      </c>
      <c r="AC3" s="1111" t="str">
        <f t="shared" si="0"/>
        <v/>
      </c>
      <c r="AD3" s="1111" t="str">
        <f t="shared" si="0"/>
        <v/>
      </c>
      <c r="AE3" s="1111" t="str">
        <f t="shared" si="0"/>
        <v/>
      </c>
      <c r="AF3" s="1111" t="str">
        <f t="shared" si="0"/>
        <v/>
      </c>
      <c r="AG3" s="1111" t="str">
        <f t="shared" si="0"/>
        <v/>
      </c>
      <c r="AH3" s="1111" t="str">
        <f t="shared" si="0"/>
        <v/>
      </c>
      <c r="AI3" s="1111" t="str">
        <f t="shared" si="0"/>
        <v/>
      </c>
      <c r="AJ3" s="1111" t="str">
        <f>IF(OR(AJ$2&lt;=$EN3,AJ$2&gt;$EM3),"","t")</f>
        <v/>
      </c>
      <c r="AK3" s="4451" t="str">
        <f>ACTIONS!$C$34</f>
        <v>MND1</v>
      </c>
      <c r="AL3" s="4451"/>
      <c r="AM3" s="468" t="s">
        <v>67</v>
      </c>
      <c r="AN3" s="4364" t="s">
        <v>64</v>
      </c>
      <c r="AO3" s="468" t="s">
        <v>67</v>
      </c>
      <c r="AP3" s="4450" t="str">
        <f>ACTIONS!$BQ$34</f>
        <v>BDY1</v>
      </c>
      <c r="AQ3" s="4450"/>
      <c r="AR3" s="1112" t="str">
        <f>IF(OR(AR$2&lt;=$EP3,AR$2&gt;$EQ3),"","u")</f>
        <v/>
      </c>
      <c r="AS3" s="1112" t="str">
        <f t="shared" ref="AS3:BM7" si="1">IF(OR(AS$2&lt;=$EP3,AS$2&gt;$EQ3),"","u")</f>
        <v/>
      </c>
      <c r="AT3" s="1112" t="str">
        <f t="shared" si="1"/>
        <v/>
      </c>
      <c r="AU3" s="1112" t="str">
        <f t="shared" si="1"/>
        <v/>
      </c>
      <c r="AV3" s="1112" t="str">
        <f t="shared" si="1"/>
        <v/>
      </c>
      <c r="AW3" s="1112" t="str">
        <f t="shared" si="1"/>
        <v/>
      </c>
      <c r="AX3" s="1112" t="str">
        <f t="shared" si="1"/>
        <v/>
      </c>
      <c r="AY3" s="1112" t="str">
        <f t="shared" si="1"/>
        <v/>
      </c>
      <c r="AZ3" s="1112" t="str">
        <f t="shared" si="1"/>
        <v/>
      </c>
      <c r="BA3" s="1112" t="str">
        <f t="shared" si="1"/>
        <v/>
      </c>
      <c r="BB3" s="1112" t="str">
        <f t="shared" si="1"/>
        <v/>
      </c>
      <c r="BC3" s="1112" t="str">
        <f t="shared" si="1"/>
        <v/>
      </c>
      <c r="BD3" s="1112" t="str">
        <f t="shared" si="1"/>
        <v/>
      </c>
      <c r="BE3" s="1112" t="str">
        <f t="shared" si="1"/>
        <v/>
      </c>
      <c r="BF3" s="1112" t="str">
        <f t="shared" si="1"/>
        <v/>
      </c>
      <c r="BG3" s="1112" t="str">
        <f t="shared" si="1"/>
        <v/>
      </c>
      <c r="BH3" s="1112" t="str">
        <f t="shared" si="1"/>
        <v/>
      </c>
      <c r="BI3" s="1112" t="str">
        <f t="shared" si="1"/>
        <v/>
      </c>
      <c r="BJ3" s="1112" t="str">
        <f t="shared" si="1"/>
        <v/>
      </c>
      <c r="BK3" s="1112" t="str">
        <f t="shared" si="1"/>
        <v/>
      </c>
      <c r="BL3" s="1112" t="str">
        <f t="shared" si="1"/>
        <v/>
      </c>
      <c r="BM3" s="1112" t="str">
        <f t="shared" si="1"/>
        <v/>
      </c>
      <c r="BN3" s="1207">
        <f>_xlfn.IFS(
data!$BZ$31&lt;CG3,23,
data!$BZ$31&lt;CJ3,24,
data!$BZ$31&lt;CM3,25,
data!$BZ$31&lt;CP3,26,
data!$BZ$31&lt;CS3,27,
data!$BZ$31&lt;CV3,28,
data!$BZ$31&lt;CY3,29,
data!$BZ$31&lt;DB3,30,
data!$BZ$31&lt;DE3,31,
data!$BZ$31&lt;DH3,32,
data!$BZ$31&lt;DK3,33,
data!$BZ$31&lt;DN3,34,
data!$BZ$31&lt;DQ3,35,
data!$BZ$31&lt;DT3,36,
data!$BZ$31&lt;DW3,37,
data!$BZ$31&lt;DZ3,38,
data!$BZ$31&lt;EC3,39,
data!$BZ$31&lt;EF3,40,
data!$BZ$31&gt;=EF3,41
)</f>
        <v>23</v>
      </c>
      <c r="BO3" s="17"/>
      <c r="BP3" s="469" t="s">
        <v>81</v>
      </c>
      <c r="BQ3" s="470">
        <f>ACTIONS!CU18</f>
        <v>0</v>
      </c>
      <c r="BR3" s="470">
        <f>ACTIONS!CV18</f>
        <v>0</v>
      </c>
      <c r="BS3" s="470">
        <f>ACTIONS!CW18</f>
        <v>0</v>
      </c>
      <c r="BT3" s="470">
        <f>ACTIONS!CX18</f>
        <v>0</v>
      </c>
      <c r="BU3" s="470">
        <f>ACTIONS!CY18</f>
        <v>0</v>
      </c>
      <c r="BV3" s="470">
        <f>ACTIONS!CZ18</f>
        <v>0</v>
      </c>
      <c r="BW3" s="470">
        <f>ACTIONS!DA18</f>
        <v>0</v>
      </c>
      <c r="BX3" s="470">
        <f>ACTIONS!DB18</f>
        <v>0</v>
      </c>
      <c r="BY3" s="470">
        <f>ACTIONS!DC18</f>
        <v>0</v>
      </c>
      <c r="BZ3" s="469" t="s">
        <v>81</v>
      </c>
      <c r="CA3" s="17"/>
      <c r="CB3" s="4491" t="s">
        <v>69</v>
      </c>
      <c r="CC3" s="4492"/>
      <c r="CD3" s="4496">
        <f>data!$CU$21+data!$BZ$21+(data!$CU$21*0.05)</f>
        <v>24858.285071013706</v>
      </c>
      <c r="CE3" s="4496"/>
      <c r="CF3" s="4496"/>
      <c r="CG3" s="4370">
        <f>CD3+data!$BZ$21+(CD3*0.05)</f>
        <v>26701.19932456439</v>
      </c>
      <c r="CH3" s="4370"/>
      <c r="CI3" s="4370"/>
      <c r="CJ3" s="4370">
        <f>CG3+data!$BZ$21+(CG3*0.05)</f>
        <v>28636.259290792608</v>
      </c>
      <c r="CK3" s="4370"/>
      <c r="CL3" s="4370"/>
      <c r="CM3" s="4370">
        <f>CJ3+data!$BZ$21+(CJ3*0.05)</f>
        <v>30668.072255332238</v>
      </c>
      <c r="CN3" s="4370"/>
      <c r="CO3" s="4370"/>
      <c r="CP3" s="4370">
        <f>CM3+data!$BZ$21+(CM3*0.05)</f>
        <v>32801.475868098853</v>
      </c>
      <c r="CQ3" s="4370"/>
      <c r="CR3" s="4370"/>
      <c r="CS3" s="4370">
        <f>CP3+data!$BZ$21+(CP3*0.05)</f>
        <v>35041.549661503792</v>
      </c>
      <c r="CT3" s="4370"/>
      <c r="CU3" s="4370"/>
      <c r="CV3" s="4370">
        <f>CS3+data!$BZ$21+(CS3*0.05)</f>
        <v>37393.627144578983</v>
      </c>
      <c r="CW3" s="4370"/>
      <c r="CX3" s="4370"/>
      <c r="CY3" s="4370">
        <f>CV3+data!$BZ$21+(CV3*0.05)</f>
        <v>39863.308501807929</v>
      </c>
      <c r="CZ3" s="4370"/>
      <c r="DA3" s="4370"/>
      <c r="DB3" s="4370">
        <f>CY3+data!$BZ$21+(CY3*0.05)</f>
        <v>42456.473926898325</v>
      </c>
      <c r="DC3" s="4370"/>
      <c r="DD3" s="4370"/>
      <c r="DE3" s="4370">
        <f>DB3+data!$BZ$21+(DB3*0.05)</f>
        <v>45179.297623243241</v>
      </c>
      <c r="DF3" s="4370"/>
      <c r="DG3" s="4370"/>
      <c r="DH3" s="4370">
        <f>DE3+data!$BZ$21+(DE3*0.05)</f>
        <v>48038.2625044054</v>
      </c>
      <c r="DI3" s="4370"/>
      <c r="DJ3" s="4370"/>
      <c r="DK3" s="4370">
        <f>DH3+data!$BZ$21+(DH3*0.05)</f>
        <v>51040.175629625672</v>
      </c>
      <c r="DL3" s="4370"/>
      <c r="DM3" s="4370"/>
      <c r="DN3" s="4370">
        <f>DK3+data!$BZ$21+(DK3*0.05)</f>
        <v>54192.184411106959</v>
      </c>
      <c r="DO3" s="4370"/>
      <c r="DP3" s="4370"/>
      <c r="DQ3" s="4370">
        <f>DN3+data!$BZ$21+(DN3*0.05)</f>
        <v>57501.793631662309</v>
      </c>
      <c r="DR3" s="4370"/>
      <c r="DS3" s="4370"/>
      <c r="DT3" s="4370">
        <f>DQ3+data!$BZ$21+(DQ3*0.05)</f>
        <v>60976.883313245424</v>
      </c>
      <c r="DU3" s="4370"/>
      <c r="DV3" s="4370"/>
      <c r="DW3" s="4370">
        <f>DT3+data!$BZ$21+(DT3*0.05)</f>
        <v>64625.727478907698</v>
      </c>
      <c r="DX3" s="4370"/>
      <c r="DY3" s="4370"/>
      <c r="DZ3" s="4370">
        <f>DW3+data!$BZ$21+(DW3*0.05)</f>
        <v>68457.013852853081</v>
      </c>
      <c r="EA3" s="4370"/>
      <c r="EB3" s="4370"/>
      <c r="EC3" s="4370">
        <f>DZ3+data!$BZ$21+(DZ3*0.05)</f>
        <v>72479.86454549573</v>
      </c>
      <c r="ED3" s="4370"/>
      <c r="EE3" s="4370"/>
      <c r="EF3" s="4370">
        <f>EC3+data!$BZ$21+(EC3*0.05)</f>
        <v>76703.857772770512</v>
      </c>
      <c r="EG3" s="4370"/>
      <c r="EH3" s="4370"/>
      <c r="EK3" s="4352" t="str">
        <f t="shared" ref="EK3:EK11" si="2">AK3</f>
        <v>MND1</v>
      </c>
      <c r="EL3" s="4353"/>
      <c r="EM3" s="1105">
        <f>data!$BZ$28</f>
        <v>0</v>
      </c>
      <c r="EN3" s="1106">
        <f>data!$BZ$27</f>
        <v>0</v>
      </c>
      <c r="EO3" s="1107"/>
      <c r="EP3" s="1106">
        <f>data!$BZ$32</f>
        <v>0</v>
      </c>
      <c r="EQ3" s="1105">
        <f>data!$BZ$33</f>
        <v>0</v>
      </c>
      <c r="ER3" s="4354" t="str">
        <f t="shared" ref="ER3:ER11" si="3">AP3</f>
        <v>BDY1</v>
      </c>
      <c r="ES3" s="4353"/>
    </row>
    <row r="4" spans="1:149" ht="17.100000000000001" customHeight="1" thickTop="1" thickBot="1" x14ac:dyDescent="0.25">
      <c r="A4" s="17"/>
      <c r="B4" s="471">
        <v>30</v>
      </c>
      <c r="C4" s="2332">
        <v>1800</v>
      </c>
      <c r="D4" s="2332">
        <v>1800</v>
      </c>
      <c r="E4" s="2332">
        <v>1800</v>
      </c>
      <c r="F4" s="2332">
        <v>1800</v>
      </c>
      <c r="G4" s="2332">
        <v>1800</v>
      </c>
      <c r="H4" s="2332">
        <v>1800</v>
      </c>
      <c r="I4" s="2332">
        <v>1800</v>
      </c>
      <c r="J4" s="2332">
        <v>1800</v>
      </c>
      <c r="K4" s="2332">
        <v>1800</v>
      </c>
      <c r="L4" s="472" t="s">
        <v>84</v>
      </c>
      <c r="M4" s="17"/>
      <c r="N4" s="1208">
        <f>_xlfn.IFS(
data!$CA$26&lt;CG3,23,
data!$CA$26&lt;CJ3,24,
data!$CA$26&lt;CM3,25,
data!$CA$26&lt;CP3,26,
data!$CA$26&lt;CS3,27,
data!$CA$26&lt;CV3,28,
data!$CA$26&lt;CY3,29,
data!$CA$26&lt;DB3,30,
data!$CA$26&lt;DE3,31,
data!$CA$26&lt;DH3,32,
data!$CA$26&lt;DK3,33,
data!$CA$26&lt;DN3,34,
data!$CA$26&lt;DQ3,35,
data!$CA$26&lt;DT3,36,
data!$CA$26&lt;DW3,37,
data!$CA$26&lt;DZ3,38,
data!$CA$26&lt;EC3,39,
data!$CA$26&lt;EF3,40,
data!$CA$26&gt;=EF3,41
)</f>
        <v>23</v>
      </c>
      <c r="O4" s="1111" t="str">
        <f t="shared" si="0"/>
        <v/>
      </c>
      <c r="P4" s="1111" t="str">
        <f t="shared" si="0"/>
        <v/>
      </c>
      <c r="Q4" s="1111" t="str">
        <f t="shared" si="0"/>
        <v/>
      </c>
      <c r="R4" s="1111" t="str">
        <f t="shared" si="0"/>
        <v/>
      </c>
      <c r="S4" s="1111" t="str">
        <f t="shared" si="0"/>
        <v/>
      </c>
      <c r="T4" s="1111" t="str">
        <f t="shared" si="0"/>
        <v/>
      </c>
      <c r="U4" s="1111" t="str">
        <f t="shared" si="0"/>
        <v/>
      </c>
      <c r="V4" s="1111" t="str">
        <f t="shared" si="0"/>
        <v/>
      </c>
      <c r="W4" s="1111" t="str">
        <f t="shared" si="0"/>
        <v/>
      </c>
      <c r="X4" s="1111" t="str">
        <f t="shared" si="0"/>
        <v/>
      </c>
      <c r="Y4" s="1111" t="str">
        <f t="shared" si="0"/>
        <v/>
      </c>
      <c r="Z4" s="1111" t="str">
        <f t="shared" si="0"/>
        <v/>
      </c>
      <c r="AA4" s="1111" t="str">
        <f t="shared" si="0"/>
        <v/>
      </c>
      <c r="AB4" s="1111" t="str">
        <f t="shared" si="0"/>
        <v/>
      </c>
      <c r="AC4" s="1111" t="str">
        <f t="shared" si="0"/>
        <v/>
      </c>
      <c r="AD4" s="1111" t="str">
        <f t="shared" si="0"/>
        <v/>
      </c>
      <c r="AE4" s="1111" t="str">
        <f t="shared" si="0"/>
        <v/>
      </c>
      <c r="AF4" s="1111" t="str">
        <f t="shared" si="0"/>
        <v/>
      </c>
      <c r="AG4" s="1111" t="str">
        <f t="shared" si="0"/>
        <v/>
      </c>
      <c r="AH4" s="1111" t="str">
        <f t="shared" si="0"/>
        <v/>
      </c>
      <c r="AI4" s="1111" t="str">
        <f t="shared" si="0"/>
        <v/>
      </c>
      <c r="AJ4" s="1111" t="str">
        <f t="shared" ref="AJ4:AJ11" si="4">IF(OR(AJ$2&lt;=$EN4,AJ$2&gt;$EM4),"","t")</f>
        <v/>
      </c>
      <c r="AK4" s="4455" t="str">
        <f>ACTIONS!$D$34</f>
        <v>MND2</v>
      </c>
      <c r="AL4" s="4455"/>
      <c r="AM4" s="468" t="s">
        <v>67</v>
      </c>
      <c r="AN4" s="4365"/>
      <c r="AO4" s="468" t="s">
        <v>67</v>
      </c>
      <c r="AP4" s="4367" t="str">
        <f>ACTIONS!$BR$34</f>
        <v>BDY2</v>
      </c>
      <c r="AQ4" s="4367"/>
      <c r="AR4" s="1112" t="str">
        <f t="shared" ref="AR4:BG11" si="5">IF(OR(AR$2&lt;=$EP4,AR$2&gt;$EQ4),"","u")</f>
        <v/>
      </c>
      <c r="AS4" s="1112" t="str">
        <f t="shared" si="1"/>
        <v/>
      </c>
      <c r="AT4" s="1112" t="str">
        <f t="shared" si="1"/>
        <v/>
      </c>
      <c r="AU4" s="1112" t="str">
        <f t="shared" si="1"/>
        <v/>
      </c>
      <c r="AV4" s="1112" t="str">
        <f t="shared" si="1"/>
        <v/>
      </c>
      <c r="AW4" s="1112" t="str">
        <f t="shared" si="1"/>
        <v/>
      </c>
      <c r="AX4" s="1112" t="str">
        <f t="shared" si="1"/>
        <v/>
      </c>
      <c r="AY4" s="1112" t="str">
        <f t="shared" si="1"/>
        <v/>
      </c>
      <c r="AZ4" s="1112" t="str">
        <f t="shared" si="1"/>
        <v/>
      </c>
      <c r="BA4" s="1112" t="str">
        <f t="shared" si="1"/>
        <v/>
      </c>
      <c r="BB4" s="1112" t="str">
        <f t="shared" si="1"/>
        <v/>
      </c>
      <c r="BC4" s="1112" t="str">
        <f t="shared" si="1"/>
        <v/>
      </c>
      <c r="BD4" s="1112" t="str">
        <f t="shared" si="1"/>
        <v/>
      </c>
      <c r="BE4" s="1112" t="str">
        <f t="shared" si="1"/>
        <v/>
      </c>
      <c r="BF4" s="1112" t="str">
        <f t="shared" si="1"/>
        <v/>
      </c>
      <c r="BG4" s="1112" t="str">
        <f t="shared" si="1"/>
        <v/>
      </c>
      <c r="BH4" s="1112" t="str">
        <f t="shared" si="1"/>
        <v/>
      </c>
      <c r="BI4" s="1112" t="str">
        <f t="shared" si="1"/>
        <v/>
      </c>
      <c r="BJ4" s="1112" t="str">
        <f t="shared" si="1"/>
        <v/>
      </c>
      <c r="BK4" s="1112" t="str">
        <f t="shared" si="1"/>
        <v/>
      </c>
      <c r="BL4" s="1112" t="str">
        <f t="shared" si="1"/>
        <v/>
      </c>
      <c r="BM4" s="1112" t="str">
        <f t="shared" si="1"/>
        <v/>
      </c>
      <c r="BN4" s="1207">
        <f>_xlfn.IFS(
data!$CA$31&lt;CG3,23,
data!$CA$31&lt;CJ3,24,
data!$CA$31&lt;CM3,25,
data!$CA$31&lt;CP3,26,
data!$CA$31&lt;CS3,27,
data!$CA$31&lt;CV3,28,
data!$CA$31&lt;CY3,29,
data!$CA$31&lt;DB3,30,
data!$CA$31&lt;DE3,31,
data!$CA$31&lt;DH3,32,
data!$CA$31&lt;DK3,33,
data!$CA$31&lt;DN3,34,
data!$CA$31&lt;DQ3,35,
data!$CA$31&lt;DT3,36,
data!$CA$31&lt;DW3,37,
data!$CA$31&lt;DZ3,38,
data!$CA$31&lt;EC3,39,
data!$CA$31&lt;EF3,40,
data!$CA$31&gt;=EF3,41
)</f>
        <v>23</v>
      </c>
      <c r="BO4" s="17"/>
      <c r="BP4" s="472" t="s">
        <v>84</v>
      </c>
      <c r="BQ4" s="2332">
        <v>1800</v>
      </c>
      <c r="BR4" s="2332">
        <v>1800</v>
      </c>
      <c r="BS4" s="2332">
        <v>1800</v>
      </c>
      <c r="BT4" s="2332">
        <v>1800</v>
      </c>
      <c r="BU4" s="2332">
        <v>1800</v>
      </c>
      <c r="BV4" s="2332">
        <v>1800</v>
      </c>
      <c r="BW4" s="2332">
        <v>1800</v>
      </c>
      <c r="BX4" s="2332">
        <v>1800</v>
      </c>
      <c r="BY4" s="2332">
        <v>1800</v>
      </c>
      <c r="BZ4" s="471">
        <v>30</v>
      </c>
      <c r="CA4" s="17"/>
      <c r="CB4" s="4491" t="s">
        <v>85</v>
      </c>
      <c r="CC4" s="4492"/>
      <c r="CD4" s="4496">
        <f t="shared" ref="CD4" si="6">CD3/60</f>
        <v>414.30475118356179</v>
      </c>
      <c r="CE4" s="4496"/>
      <c r="CF4" s="4496"/>
      <c r="CG4" s="4370">
        <f t="shared" ref="CG4" si="7">CG3/60</f>
        <v>445.01998874273983</v>
      </c>
      <c r="CH4" s="4370"/>
      <c r="CI4" s="4370"/>
      <c r="CJ4" s="4370">
        <f t="shared" ref="CJ4:CP4" si="8">CJ3/60</f>
        <v>477.27098817987678</v>
      </c>
      <c r="CK4" s="4370"/>
      <c r="CL4" s="4370"/>
      <c r="CM4" s="4370">
        <f t="shared" si="8"/>
        <v>511.13453758887061</v>
      </c>
      <c r="CN4" s="4370"/>
      <c r="CO4" s="4370"/>
      <c r="CP4" s="4370">
        <f t="shared" si="8"/>
        <v>546.69126446831422</v>
      </c>
      <c r="CQ4" s="4370"/>
      <c r="CR4" s="4370"/>
      <c r="CS4" s="4370">
        <f t="shared" ref="CS4" si="9">CS3/60</f>
        <v>584.02582769172989</v>
      </c>
      <c r="CT4" s="4370"/>
      <c r="CU4" s="4370"/>
      <c r="CV4" s="4370">
        <f t="shared" ref="CV4" si="10">CV3/60</f>
        <v>623.2271190763164</v>
      </c>
      <c r="CW4" s="4370"/>
      <c r="CX4" s="4370"/>
      <c r="CY4" s="4370">
        <f t="shared" ref="CY4" si="11">CY3/60</f>
        <v>664.3884750301321</v>
      </c>
      <c r="CZ4" s="4370"/>
      <c r="DA4" s="4370"/>
      <c r="DB4" s="4370">
        <f t="shared" ref="DB4" si="12">DB3/60</f>
        <v>707.60789878163871</v>
      </c>
      <c r="DC4" s="4370"/>
      <c r="DD4" s="4370"/>
      <c r="DE4" s="4370">
        <f t="shared" ref="DE4" si="13">DE3/60</f>
        <v>752.98829372072066</v>
      </c>
      <c r="DF4" s="4370"/>
      <c r="DG4" s="4370"/>
      <c r="DH4" s="4370">
        <f t="shared" ref="DH4" si="14">DH3/60</f>
        <v>800.6377084067567</v>
      </c>
      <c r="DI4" s="4370"/>
      <c r="DJ4" s="4370"/>
      <c r="DK4" s="4370">
        <f t="shared" ref="DK4" si="15">DK3/60</f>
        <v>850.66959382709456</v>
      </c>
      <c r="DL4" s="4370"/>
      <c r="DM4" s="4370"/>
      <c r="DN4" s="4370">
        <f t="shared" ref="DN4" si="16">DN3/60</f>
        <v>903.20307351844929</v>
      </c>
      <c r="DO4" s="4370"/>
      <c r="DP4" s="4370"/>
      <c r="DQ4" s="4370">
        <f t="shared" ref="DQ4" si="17">DQ3/60</f>
        <v>958.3632271943718</v>
      </c>
      <c r="DR4" s="4370"/>
      <c r="DS4" s="4370"/>
      <c r="DT4" s="4370">
        <f t="shared" ref="DT4" si="18">DT3/60</f>
        <v>1016.2813885540904</v>
      </c>
      <c r="DU4" s="4370"/>
      <c r="DV4" s="4370"/>
      <c r="DW4" s="4370">
        <f t="shared" ref="DW4" si="19">DW3/60</f>
        <v>1077.0954579817949</v>
      </c>
      <c r="DX4" s="4370"/>
      <c r="DY4" s="4370"/>
      <c r="DZ4" s="4370">
        <f t="shared" ref="DZ4" si="20">DZ3/60</f>
        <v>1140.9502308808846</v>
      </c>
      <c r="EA4" s="4370"/>
      <c r="EB4" s="4370"/>
      <c r="EC4" s="4370">
        <f t="shared" ref="EC4" si="21">EC3/60</f>
        <v>1207.9977424249289</v>
      </c>
      <c r="ED4" s="4370"/>
      <c r="EE4" s="4370"/>
      <c r="EF4" s="4370">
        <f t="shared" ref="EF4" si="22">EF3/60</f>
        <v>1278.3976295461753</v>
      </c>
      <c r="EG4" s="4370"/>
      <c r="EH4" s="4370"/>
      <c r="EK4" s="4352" t="str">
        <f t="shared" si="2"/>
        <v>MND2</v>
      </c>
      <c r="EL4" s="4353"/>
      <c r="EM4" s="1105">
        <f>data!$CA$28</f>
        <v>0</v>
      </c>
      <c r="EN4" s="1106">
        <f>data!$CA$27</f>
        <v>0</v>
      </c>
      <c r="EO4" s="1107"/>
      <c r="EP4" s="1106">
        <f>data!$CA$32</f>
        <v>0</v>
      </c>
      <c r="EQ4" s="1105">
        <f>data!$CA$33</f>
        <v>0</v>
      </c>
      <c r="ER4" s="4354" t="str">
        <f t="shared" si="3"/>
        <v>BDY2</v>
      </c>
      <c r="ES4" s="4353"/>
    </row>
    <row r="5" spans="1:149" ht="17.100000000000001" customHeight="1" thickTop="1" thickBot="1" x14ac:dyDescent="0.2">
      <c r="A5" s="17"/>
      <c r="B5" s="473">
        <v>29</v>
      </c>
      <c r="C5" s="2332">
        <v>1740</v>
      </c>
      <c r="D5" s="2332">
        <v>1740</v>
      </c>
      <c r="E5" s="2332">
        <v>1740</v>
      </c>
      <c r="F5" s="2332">
        <v>1740</v>
      </c>
      <c r="G5" s="2332">
        <v>1740</v>
      </c>
      <c r="H5" s="2332">
        <v>1740</v>
      </c>
      <c r="I5" s="2332">
        <v>1740</v>
      </c>
      <c r="J5" s="2332">
        <v>1740</v>
      </c>
      <c r="K5" s="2332">
        <v>1740</v>
      </c>
      <c r="L5" s="474" t="s">
        <v>84</v>
      </c>
      <c r="M5" s="17"/>
      <c r="N5" s="1208">
        <f>_xlfn.IFS(
data!$CB$26&lt;CG3,23,
data!$CB$26&lt;CJ3,24,
data!$CB$26&lt;CM3,25,
data!$CB$26&lt;CP3,26,
data!$CB$26&lt;CS3,27,
data!$CB$26&lt;CV3,28,
data!$CB$26&lt;CY3,29,
data!$CB$26&lt;DB3,30,
data!$CB$26&lt;DE3,31,
data!$CB$26&lt;DH3,32,
data!$CB$26&lt;DK3,33,
data!$CB$26&lt;DN3,34,
data!$CB$26&lt;DQ3,35,
data!$CB$26&lt;DT3,36,
data!$CB$26&lt;DW3,37,
data!$CB$26&lt;DZ3,38,
data!$CB$26&lt;EC3,39,
data!$CB$26&lt;EF3,40,
data!$CB$26&gt;=EF3,41
)</f>
        <v>23</v>
      </c>
      <c r="O5" s="1111" t="str">
        <f t="shared" si="0"/>
        <v/>
      </c>
      <c r="P5" s="1111" t="str">
        <f t="shared" si="0"/>
        <v/>
      </c>
      <c r="Q5" s="1111" t="str">
        <f t="shared" si="0"/>
        <v/>
      </c>
      <c r="R5" s="1111" t="str">
        <f t="shared" si="0"/>
        <v/>
      </c>
      <c r="S5" s="1111" t="str">
        <f t="shared" si="0"/>
        <v/>
      </c>
      <c r="T5" s="1111" t="str">
        <f t="shared" si="0"/>
        <v/>
      </c>
      <c r="U5" s="1111" t="str">
        <f t="shared" si="0"/>
        <v/>
      </c>
      <c r="V5" s="1111" t="str">
        <f t="shared" si="0"/>
        <v/>
      </c>
      <c r="W5" s="1111" t="str">
        <f t="shared" si="0"/>
        <v/>
      </c>
      <c r="X5" s="1111" t="str">
        <f t="shared" si="0"/>
        <v/>
      </c>
      <c r="Y5" s="1111" t="str">
        <f t="shared" si="0"/>
        <v/>
      </c>
      <c r="Z5" s="1111" t="str">
        <f t="shared" si="0"/>
        <v/>
      </c>
      <c r="AA5" s="1111" t="str">
        <f t="shared" si="0"/>
        <v/>
      </c>
      <c r="AB5" s="1111" t="str">
        <f t="shared" si="0"/>
        <v/>
      </c>
      <c r="AC5" s="1111" t="str">
        <f t="shared" si="0"/>
        <v/>
      </c>
      <c r="AD5" s="1111" t="str">
        <f t="shared" si="0"/>
        <v/>
      </c>
      <c r="AE5" s="1111" t="str">
        <f t="shared" si="0"/>
        <v/>
      </c>
      <c r="AF5" s="1111" t="str">
        <f t="shared" si="0"/>
        <v/>
      </c>
      <c r="AG5" s="1111" t="str">
        <f t="shared" si="0"/>
        <v/>
      </c>
      <c r="AH5" s="1111" t="str">
        <f t="shared" si="0"/>
        <v/>
      </c>
      <c r="AI5" s="1111" t="str">
        <f t="shared" si="0"/>
        <v/>
      </c>
      <c r="AJ5" s="1111" t="str">
        <f t="shared" si="4"/>
        <v/>
      </c>
      <c r="AK5" s="4454" t="str">
        <f>ACTIONS!$E$34</f>
        <v>MND3</v>
      </c>
      <c r="AL5" s="4454"/>
      <c r="AM5" s="468" t="s">
        <v>67</v>
      </c>
      <c r="AN5" s="4366" t="s">
        <v>64</v>
      </c>
      <c r="AO5" s="468" t="s">
        <v>67</v>
      </c>
      <c r="AP5" s="4453" t="str">
        <f>ACTIONS!$BS$34</f>
        <v>BDY3</v>
      </c>
      <c r="AQ5" s="4453"/>
      <c r="AR5" s="1112" t="str">
        <f t="shared" si="5"/>
        <v/>
      </c>
      <c r="AS5" s="1112" t="str">
        <f t="shared" si="1"/>
        <v/>
      </c>
      <c r="AT5" s="1112" t="str">
        <f t="shared" si="1"/>
        <v/>
      </c>
      <c r="AU5" s="1112" t="str">
        <f t="shared" si="1"/>
        <v/>
      </c>
      <c r="AV5" s="1112" t="str">
        <f t="shared" si="1"/>
        <v/>
      </c>
      <c r="AW5" s="1112" t="str">
        <f t="shared" si="1"/>
        <v/>
      </c>
      <c r="AX5" s="1112" t="str">
        <f t="shared" si="1"/>
        <v/>
      </c>
      <c r="AY5" s="1112" t="str">
        <f t="shared" si="1"/>
        <v/>
      </c>
      <c r="AZ5" s="1112" t="str">
        <f t="shared" si="1"/>
        <v/>
      </c>
      <c r="BA5" s="1112" t="str">
        <f t="shared" si="1"/>
        <v/>
      </c>
      <c r="BB5" s="1112" t="str">
        <f t="shared" si="1"/>
        <v/>
      </c>
      <c r="BC5" s="1112" t="str">
        <f t="shared" si="1"/>
        <v/>
      </c>
      <c r="BD5" s="1112" t="str">
        <f t="shared" si="1"/>
        <v/>
      </c>
      <c r="BE5" s="1112" t="str">
        <f t="shared" si="1"/>
        <v/>
      </c>
      <c r="BF5" s="1112" t="str">
        <f t="shared" si="1"/>
        <v/>
      </c>
      <c r="BG5" s="1112" t="str">
        <f t="shared" si="1"/>
        <v/>
      </c>
      <c r="BH5" s="1112" t="str">
        <f t="shared" si="1"/>
        <v/>
      </c>
      <c r="BI5" s="1112" t="str">
        <f t="shared" si="1"/>
        <v/>
      </c>
      <c r="BJ5" s="1112" t="str">
        <f t="shared" si="1"/>
        <v/>
      </c>
      <c r="BK5" s="1112" t="str">
        <f t="shared" si="1"/>
        <v/>
      </c>
      <c r="BL5" s="1112" t="str">
        <f t="shared" si="1"/>
        <v/>
      </c>
      <c r="BM5" s="1112" t="str">
        <f t="shared" si="1"/>
        <v/>
      </c>
      <c r="BN5" s="1207">
        <f>_xlfn.IFS(
data!$CB$31&lt;CG3,23,
data!$CB$31&lt;CJ3,24,
data!$CB$31&lt;CM3,25,
data!$CB$31&lt;CP3,26,
data!$CB$31&lt;CS3,27,
data!$CB$31&lt;CV3,28,
data!$CB$31&lt;CY3,29,
data!$CB$31&lt;DB3,30,
data!$CB$31&lt;DE3,31,
data!$CB$31&lt;DH3,32,
data!$CB$31&lt;DK3,33,
data!$CB$31&lt;DN3,34,
data!$CB$31&lt;DQ3,35,
data!$CB$31&lt;DT3,36,
data!$CB$31&lt;DW3,37,
data!$CB$31&lt;DZ3,38,
data!$CB$31&lt;EC3,39,
data!$CB$31&lt;EF3,40,
data!$CB$31&gt;=EF3,41
)</f>
        <v>23</v>
      </c>
      <c r="BO5" s="17"/>
      <c r="BP5" s="474" t="s">
        <v>84</v>
      </c>
      <c r="BQ5" s="2332">
        <v>1740</v>
      </c>
      <c r="BR5" s="2332">
        <v>1740</v>
      </c>
      <c r="BS5" s="2332">
        <v>1740</v>
      </c>
      <c r="BT5" s="2332">
        <v>1740</v>
      </c>
      <c r="BU5" s="2332">
        <v>1740</v>
      </c>
      <c r="BV5" s="2332">
        <v>1740</v>
      </c>
      <c r="BW5" s="2332">
        <v>1740</v>
      </c>
      <c r="BX5" s="2332">
        <v>1740</v>
      </c>
      <c r="BY5" s="2332">
        <v>1740</v>
      </c>
      <c r="BZ5" s="473">
        <v>29</v>
      </c>
      <c r="CA5" s="17"/>
      <c r="EK5" s="4352" t="str">
        <f t="shared" si="2"/>
        <v>MND3</v>
      </c>
      <c r="EL5" s="4353"/>
      <c r="EM5" s="1105">
        <f>data!$CB$28</f>
        <v>0</v>
      </c>
      <c r="EN5" s="1106">
        <f>data!$CB$27</f>
        <v>0</v>
      </c>
      <c r="EO5" s="1107"/>
      <c r="EP5" s="1106">
        <f>data!$CB$32</f>
        <v>0</v>
      </c>
      <c r="EQ5" s="1105">
        <f>data!$CB$33</f>
        <v>0</v>
      </c>
      <c r="ER5" s="4354" t="str">
        <f t="shared" si="3"/>
        <v>BDY3</v>
      </c>
      <c r="ES5" s="4353"/>
    </row>
    <row r="6" spans="1:149" ht="17.100000000000001" customHeight="1" thickTop="1" thickBot="1" x14ac:dyDescent="0.2">
      <c r="A6" s="17"/>
      <c r="B6" s="473">
        <v>28</v>
      </c>
      <c r="C6" s="2332">
        <v>1680</v>
      </c>
      <c r="D6" s="2332">
        <v>1680</v>
      </c>
      <c r="E6" s="2332">
        <v>1680</v>
      </c>
      <c r="F6" s="2332">
        <v>1680</v>
      </c>
      <c r="G6" s="2332">
        <v>1680</v>
      </c>
      <c r="H6" s="2332">
        <v>1680</v>
      </c>
      <c r="I6" s="2332">
        <v>1680</v>
      </c>
      <c r="J6" s="2332">
        <v>1680</v>
      </c>
      <c r="K6" s="2332">
        <v>1680</v>
      </c>
      <c r="L6" s="474" t="s">
        <v>84</v>
      </c>
      <c r="M6" s="17"/>
      <c r="N6" s="1208">
        <f>_xlfn.IFS(
data!$CC$26&lt;CG3,23,
data!$CC$26&lt;CJ3,24,
data!$CC$26&lt;CM3,25,
data!$CC$26&lt;CP3,26,
data!$CC$26&lt;CS3,27,
data!$CC$26&lt;CV3,28,
data!$CC$26&lt;CY3,29,
data!$CC$26&lt;DB3,30,
data!$CC$26&lt;DE3,31,
data!$CC$26&lt;DH3,32,
data!$CC$26&lt;DK3,33,
data!$CC$26&lt;DN3,34,
data!$CC$26&lt;DQ3,35,
data!$CC$26&lt;DT3,36,
data!$CC$26&lt;DW3,37,
data!$CC$26&lt;DZ3,38,
data!$CC$26&lt;EC3,39,
data!$CC$26&lt;EF3,40,
data!$CC$26&gt;=EF3,41
)</f>
        <v>23</v>
      </c>
      <c r="O6" s="1111" t="str">
        <f t="shared" si="0"/>
        <v/>
      </c>
      <c r="P6" s="1111" t="str">
        <f t="shared" si="0"/>
        <v/>
      </c>
      <c r="Q6" s="1111" t="str">
        <f t="shared" si="0"/>
        <v/>
      </c>
      <c r="R6" s="1111" t="str">
        <f t="shared" si="0"/>
        <v/>
      </c>
      <c r="S6" s="1111" t="str">
        <f t="shared" si="0"/>
        <v/>
      </c>
      <c r="T6" s="1111" t="str">
        <f t="shared" si="0"/>
        <v/>
      </c>
      <c r="U6" s="1111" t="str">
        <f t="shared" si="0"/>
        <v/>
      </c>
      <c r="V6" s="1111" t="str">
        <f t="shared" si="0"/>
        <v/>
      </c>
      <c r="W6" s="1111" t="str">
        <f t="shared" si="0"/>
        <v/>
      </c>
      <c r="X6" s="1111" t="str">
        <f t="shared" si="0"/>
        <v/>
      </c>
      <c r="Y6" s="1111" t="str">
        <f t="shared" si="0"/>
        <v/>
      </c>
      <c r="Z6" s="1111" t="str">
        <f t="shared" si="0"/>
        <v/>
      </c>
      <c r="AA6" s="1111" t="str">
        <f t="shared" si="0"/>
        <v/>
      </c>
      <c r="AB6" s="1111" t="str">
        <f t="shared" si="0"/>
        <v/>
      </c>
      <c r="AC6" s="1111" t="str">
        <f t="shared" si="0"/>
        <v/>
      </c>
      <c r="AD6" s="1111" t="str">
        <f t="shared" si="0"/>
        <v/>
      </c>
      <c r="AE6" s="1111" t="str">
        <f t="shared" si="0"/>
        <v/>
      </c>
      <c r="AF6" s="1111" t="str">
        <f t="shared" si="0"/>
        <v/>
      </c>
      <c r="AG6" s="1111" t="str">
        <f t="shared" si="0"/>
        <v/>
      </c>
      <c r="AH6" s="1111" t="str">
        <f t="shared" si="0"/>
        <v/>
      </c>
      <c r="AI6" s="1111" t="str">
        <f t="shared" si="0"/>
        <v/>
      </c>
      <c r="AJ6" s="1111" t="str">
        <f t="shared" si="4"/>
        <v/>
      </c>
      <c r="AK6" s="4452" t="str">
        <f>ACTIONS!$F$34</f>
        <v>MND4</v>
      </c>
      <c r="AL6" s="4452"/>
      <c r="AM6" s="468" t="s">
        <v>67</v>
      </c>
      <c r="AN6" s="4366"/>
      <c r="AO6" s="468" t="s">
        <v>67</v>
      </c>
      <c r="AP6" s="4363" t="str">
        <f>ACTIONS!$BT$34</f>
        <v>BDY4</v>
      </c>
      <c r="AQ6" s="4363"/>
      <c r="AR6" s="1112" t="str">
        <f t="shared" si="5"/>
        <v/>
      </c>
      <c r="AS6" s="1112" t="str">
        <f t="shared" si="1"/>
        <v/>
      </c>
      <c r="AT6" s="1112" t="str">
        <f t="shared" si="1"/>
        <v/>
      </c>
      <c r="AU6" s="1112" t="str">
        <f t="shared" si="1"/>
        <v/>
      </c>
      <c r="AV6" s="1112" t="str">
        <f t="shared" si="1"/>
        <v/>
      </c>
      <c r="AW6" s="1112" t="str">
        <f t="shared" si="1"/>
        <v/>
      </c>
      <c r="AX6" s="1112" t="str">
        <f t="shared" si="1"/>
        <v/>
      </c>
      <c r="AY6" s="1112" t="str">
        <f t="shared" si="1"/>
        <v/>
      </c>
      <c r="AZ6" s="1112" t="str">
        <f t="shared" si="1"/>
        <v/>
      </c>
      <c r="BA6" s="1112" t="str">
        <f t="shared" si="1"/>
        <v/>
      </c>
      <c r="BB6" s="1112" t="str">
        <f t="shared" si="1"/>
        <v/>
      </c>
      <c r="BC6" s="1112" t="str">
        <f t="shared" si="1"/>
        <v/>
      </c>
      <c r="BD6" s="1112" t="str">
        <f t="shared" si="1"/>
        <v/>
      </c>
      <c r="BE6" s="1112" t="str">
        <f t="shared" si="1"/>
        <v/>
      </c>
      <c r="BF6" s="1112" t="str">
        <f t="shared" si="1"/>
        <v/>
      </c>
      <c r="BG6" s="1112" t="str">
        <f t="shared" si="1"/>
        <v/>
      </c>
      <c r="BH6" s="1112" t="str">
        <f t="shared" si="1"/>
        <v/>
      </c>
      <c r="BI6" s="1112" t="str">
        <f t="shared" si="1"/>
        <v/>
      </c>
      <c r="BJ6" s="1112" t="str">
        <f t="shared" si="1"/>
        <v/>
      </c>
      <c r="BK6" s="1112" t="str">
        <f t="shared" si="1"/>
        <v/>
      </c>
      <c r="BL6" s="1112" t="str">
        <f t="shared" si="1"/>
        <v/>
      </c>
      <c r="BM6" s="1112" t="str">
        <f t="shared" si="1"/>
        <v/>
      </c>
      <c r="BN6" s="1207">
        <f>_xlfn.IFS(
data!$CC$31&lt;CG3,23,
data!$CC$31&lt;CJ3,24,
data!$CC$31&lt;CM3,25,
data!$CC$31&lt;CP3,26,
data!$CC$31&lt;CS3,27,
data!$CC$31&lt;CV3,28,
data!$CC$31&lt;CY3,29,
data!$CC$31&lt;DB3,30,
data!$CC$31&lt;DE3,31,
data!$CC$31&lt;DH3,32,
data!$CC$31&lt;DK3,33,
data!$CC$31&lt;DN3,34,
data!$CC$31&lt;DQ3,35,
data!$CC$31&lt;DT3,36,
data!$CC$31&lt;DW3,37,
data!$CC$31&lt;DZ3,38,
data!$CC$31&lt;EC3,39,
data!$CC$31&lt;EF3,40,
data!$CC$31&gt;=EF3,41
)</f>
        <v>23</v>
      </c>
      <c r="BO6" s="17"/>
      <c r="BP6" s="474" t="s">
        <v>84</v>
      </c>
      <c r="BQ6" s="2332">
        <v>1680</v>
      </c>
      <c r="BR6" s="2332">
        <v>1680</v>
      </c>
      <c r="BS6" s="2332">
        <v>1680</v>
      </c>
      <c r="BT6" s="2332">
        <v>1680</v>
      </c>
      <c r="BU6" s="2332">
        <v>1680</v>
      </c>
      <c r="BV6" s="2332">
        <v>1680</v>
      </c>
      <c r="BW6" s="2332">
        <v>1680</v>
      </c>
      <c r="BX6" s="2332">
        <v>1680</v>
      </c>
      <c r="BY6" s="2332">
        <v>1680</v>
      </c>
      <c r="BZ6" s="473">
        <v>28</v>
      </c>
      <c r="CA6" s="17"/>
      <c r="EK6" s="4352" t="str">
        <f t="shared" si="2"/>
        <v>MND4</v>
      </c>
      <c r="EL6" s="4353"/>
      <c r="EM6" s="1105">
        <f>data!$CC$28</f>
        <v>0</v>
      </c>
      <c r="EN6" s="1106">
        <f>data!$CC$27</f>
        <v>0</v>
      </c>
      <c r="EO6" s="1107"/>
      <c r="EP6" s="1106">
        <f>data!$CC$32</f>
        <v>0</v>
      </c>
      <c r="EQ6" s="1105">
        <f>data!$CC$33</f>
        <v>0</v>
      </c>
      <c r="ER6" s="4354" t="str">
        <f t="shared" si="3"/>
        <v>BDY4</v>
      </c>
      <c r="ES6" s="4353"/>
    </row>
    <row r="7" spans="1:149" ht="17.100000000000001" customHeight="1" thickTop="1" thickBot="1" x14ac:dyDescent="0.2">
      <c r="A7" s="17"/>
      <c r="B7" s="473">
        <v>27</v>
      </c>
      <c r="C7" s="2332">
        <v>1620</v>
      </c>
      <c r="D7" s="2332">
        <v>1620</v>
      </c>
      <c r="E7" s="2332">
        <v>1620</v>
      </c>
      <c r="F7" s="2332">
        <v>1620</v>
      </c>
      <c r="G7" s="2332">
        <v>1620</v>
      </c>
      <c r="H7" s="2332">
        <v>1620</v>
      </c>
      <c r="I7" s="2332">
        <v>1620</v>
      </c>
      <c r="J7" s="2332">
        <v>1620</v>
      </c>
      <c r="K7" s="2332">
        <v>1620</v>
      </c>
      <c r="L7" s="474" t="s">
        <v>84</v>
      </c>
      <c r="M7" s="17"/>
      <c r="N7" s="1208">
        <f>_xlfn.IFS(
data!$CD$26&lt;CG3,23,
data!$CD$26&lt;CJ3,24,
data!$CD$26&lt;CM3,25,
data!$CD$26&lt;CP3,26,
data!$CD$26&lt;CS3,27,
data!$CD$26&lt;CV3,28,
data!$CD$26&lt;CY3,29,
data!$CD$26&lt;DB3,30,
data!$CD$26&lt;DE3,31,
data!$CD$26&lt;DH3,32,
data!$CD$26&lt;DK3,33,
data!$CD$26&lt;DN3,34,
data!$CD$26&lt;DQ3,35,
data!$CD$26&lt;DT3,36,
data!$CD$26&lt;DW3,37,
data!$CD$26&lt;DZ3,38,
data!$CD$26&lt;EC3,39,
data!$CD$26&lt;EF3,40,
data!$CD$26&gt;=EF3,41
)</f>
        <v>23</v>
      </c>
      <c r="O7" s="1111" t="str">
        <f t="shared" si="0"/>
        <v/>
      </c>
      <c r="P7" s="1111" t="str">
        <f t="shared" si="0"/>
        <v/>
      </c>
      <c r="Q7" s="1111" t="str">
        <f t="shared" si="0"/>
        <v/>
      </c>
      <c r="R7" s="1111" t="str">
        <f t="shared" ref="R7:AG11" si="23">IF(OR(R$2&lt;=$EN7,R$2&gt;$EM7),"","t")</f>
        <v/>
      </c>
      <c r="S7" s="1111" t="str">
        <f t="shared" si="23"/>
        <v/>
      </c>
      <c r="T7" s="1111" t="str">
        <f t="shared" si="23"/>
        <v/>
      </c>
      <c r="U7" s="1111" t="str">
        <f t="shared" si="23"/>
        <v/>
      </c>
      <c r="V7" s="1111" t="str">
        <f t="shared" si="23"/>
        <v/>
      </c>
      <c r="W7" s="1111" t="str">
        <f t="shared" si="23"/>
        <v/>
      </c>
      <c r="X7" s="1111" t="str">
        <f t="shared" si="23"/>
        <v/>
      </c>
      <c r="Y7" s="1111" t="str">
        <f t="shared" si="23"/>
        <v/>
      </c>
      <c r="Z7" s="1111" t="str">
        <f t="shared" si="23"/>
        <v/>
      </c>
      <c r="AA7" s="1111" t="str">
        <f t="shared" si="23"/>
        <v/>
      </c>
      <c r="AB7" s="1111" t="str">
        <f t="shared" si="23"/>
        <v/>
      </c>
      <c r="AC7" s="1111" t="str">
        <f t="shared" si="23"/>
        <v/>
      </c>
      <c r="AD7" s="1111" t="str">
        <f t="shared" si="23"/>
        <v/>
      </c>
      <c r="AE7" s="1111" t="str">
        <f t="shared" si="23"/>
        <v/>
      </c>
      <c r="AF7" s="1111" t="str">
        <f t="shared" si="23"/>
        <v/>
      </c>
      <c r="AG7" s="1111" t="str">
        <f t="shared" si="23"/>
        <v/>
      </c>
      <c r="AH7" s="1111" t="str">
        <f t="shared" ref="AH7:AI11" si="24">IF(OR(AH$2&lt;=$EN7,AH$2&gt;$EM7),"","t")</f>
        <v/>
      </c>
      <c r="AI7" s="1111" t="str">
        <f t="shared" si="24"/>
        <v/>
      </c>
      <c r="AJ7" s="1111" t="str">
        <f t="shared" si="4"/>
        <v/>
      </c>
      <c r="AK7" s="4449" t="str">
        <f>ACTIONS!$G$34</f>
        <v>MND5</v>
      </c>
      <c r="AL7" s="4449"/>
      <c r="AM7" s="468" t="s">
        <v>67</v>
      </c>
      <c r="AN7" s="475" t="s">
        <v>64</v>
      </c>
      <c r="AO7" s="468" t="s">
        <v>67</v>
      </c>
      <c r="AP7" s="4449" t="str">
        <f>ACTIONS!$BU$34</f>
        <v>BDY5</v>
      </c>
      <c r="AQ7" s="4449"/>
      <c r="AR7" s="1112" t="str">
        <f t="shared" si="5"/>
        <v/>
      </c>
      <c r="AS7" s="1112" t="str">
        <f t="shared" si="1"/>
        <v/>
      </c>
      <c r="AT7" s="1112" t="str">
        <f t="shared" si="1"/>
        <v/>
      </c>
      <c r="AU7" s="1112" t="str">
        <f t="shared" si="1"/>
        <v/>
      </c>
      <c r="AV7" s="1112" t="str">
        <f t="shared" ref="AV7:BK11" si="25">IF(OR(AV$2&lt;=$EP7,AV$2&gt;$EQ7),"","u")</f>
        <v/>
      </c>
      <c r="AW7" s="1112" t="str">
        <f t="shared" si="25"/>
        <v/>
      </c>
      <c r="AX7" s="1112" t="str">
        <f t="shared" si="25"/>
        <v/>
      </c>
      <c r="AY7" s="1112" t="str">
        <f t="shared" si="25"/>
        <v/>
      </c>
      <c r="AZ7" s="1112" t="str">
        <f t="shared" si="25"/>
        <v/>
      </c>
      <c r="BA7" s="1112" t="str">
        <f t="shared" si="25"/>
        <v/>
      </c>
      <c r="BB7" s="1112" t="str">
        <f t="shared" si="25"/>
        <v/>
      </c>
      <c r="BC7" s="1112" t="str">
        <f t="shared" si="25"/>
        <v/>
      </c>
      <c r="BD7" s="1112" t="str">
        <f t="shared" si="25"/>
        <v/>
      </c>
      <c r="BE7" s="1112" t="str">
        <f t="shared" si="25"/>
        <v/>
      </c>
      <c r="BF7" s="1112" t="str">
        <f t="shared" si="25"/>
        <v/>
      </c>
      <c r="BG7" s="1112" t="str">
        <f t="shared" si="25"/>
        <v/>
      </c>
      <c r="BH7" s="1112" t="str">
        <f t="shared" si="25"/>
        <v/>
      </c>
      <c r="BI7" s="1112" t="str">
        <f t="shared" si="25"/>
        <v/>
      </c>
      <c r="BJ7" s="1112" t="str">
        <f t="shared" si="25"/>
        <v/>
      </c>
      <c r="BK7" s="1112" t="str">
        <f t="shared" si="25"/>
        <v/>
      </c>
      <c r="BL7" s="1112" t="str">
        <f t="shared" ref="BL7:BM11" si="26">IF(OR(BL$2&lt;=$EP7,BL$2&gt;$EQ7),"","u")</f>
        <v/>
      </c>
      <c r="BM7" s="1112" t="str">
        <f t="shared" si="26"/>
        <v/>
      </c>
      <c r="BN7" s="1207">
        <f>_xlfn.IFS(
data!$CD$31&lt;CG3,23,
data!$CD$31&lt;CJ3,24,
data!$CD$31&lt;CM3,25,
data!$CD$31&lt;CP3,26,
data!$CD$31&lt;CS3,27,
data!$CD$31&lt;CV3,28,
data!$CD$31&lt;CY3,29,
data!$CD$31&lt;DB3,30,
data!$CD$31&lt;DE3,31,
data!$CD$31&lt;DH3,32,
data!$CD$31&lt;DK3,33,
data!$CD$31&lt;DN3,34,
data!$CD$31&lt;DQ3,35,
data!$CD$31&lt;DT3,36,
data!$CD$31&lt;DW3,37,
data!$CD$31&lt;DZ3,38,
data!$CD$31&lt;EC3,39,
data!$CD$31&lt;EF3,40,
data!$CD$31&gt;=EF3,41
)</f>
        <v>23</v>
      </c>
      <c r="BO7" s="17"/>
      <c r="BP7" s="474" t="s">
        <v>84</v>
      </c>
      <c r="BQ7" s="2332">
        <v>1620</v>
      </c>
      <c r="BR7" s="2332">
        <v>1620</v>
      </c>
      <c r="BS7" s="2332">
        <v>1620</v>
      </c>
      <c r="BT7" s="2332">
        <v>1620</v>
      </c>
      <c r="BU7" s="2332">
        <v>1620</v>
      </c>
      <c r="BV7" s="2332">
        <v>1620</v>
      </c>
      <c r="BW7" s="2332">
        <v>1620</v>
      </c>
      <c r="BX7" s="2332">
        <v>1620</v>
      </c>
      <c r="BY7" s="2332">
        <v>1620</v>
      </c>
      <c r="BZ7" s="473">
        <v>27</v>
      </c>
      <c r="CA7" s="17"/>
      <c r="EK7" s="4352" t="str">
        <f t="shared" si="2"/>
        <v>MND5</v>
      </c>
      <c r="EL7" s="4353"/>
      <c r="EM7" s="1105">
        <f>data!$CD$28</f>
        <v>0</v>
      </c>
      <c r="EN7" s="1106">
        <f>data!$CD$27</f>
        <v>0</v>
      </c>
      <c r="EO7" s="1107"/>
      <c r="EP7" s="1106">
        <f>data!$CD$32</f>
        <v>0</v>
      </c>
      <c r="EQ7" s="1105">
        <f>data!$CD$33</f>
        <v>0</v>
      </c>
      <c r="ER7" s="4354" t="str">
        <f t="shared" si="3"/>
        <v>BDY5</v>
      </c>
      <c r="ES7" s="4353"/>
    </row>
    <row r="8" spans="1:149" ht="17.100000000000001" customHeight="1" thickTop="1" thickBot="1" x14ac:dyDescent="0.25">
      <c r="A8" s="17"/>
      <c r="B8" s="473">
        <v>26</v>
      </c>
      <c r="C8" s="2332">
        <v>1560</v>
      </c>
      <c r="D8" s="2332">
        <v>1560</v>
      </c>
      <c r="E8" s="2332">
        <v>1560</v>
      </c>
      <c r="F8" s="2332">
        <v>1560</v>
      </c>
      <c r="G8" s="2332">
        <v>1560</v>
      </c>
      <c r="H8" s="2332">
        <v>1560</v>
      </c>
      <c r="I8" s="2332">
        <v>1560</v>
      </c>
      <c r="J8" s="2332">
        <v>1560</v>
      </c>
      <c r="K8" s="2332">
        <v>1560</v>
      </c>
      <c r="L8" s="474" t="s">
        <v>84</v>
      </c>
      <c r="M8" s="17"/>
      <c r="N8" s="1208">
        <f>_xlfn.IFS(
data!$CE$26&lt;CG3,23,
data!$CE$26&lt;CJ3,24,
data!$CE$26&lt;CM3,25,
data!$CE$26&lt;CP3,26,
data!$CE$26&lt;CS3,27,
data!$CE$26&lt;CV3,28,
data!$CE$26&lt;CY3,29,
data!$CE$26&lt;DB3,30,
data!$CE$26&lt;DE3,31,
data!$CE$26&lt;DH3,32,
data!$CE$26&lt;DK3,33,
data!$CE$26&lt;DN3,34,
data!$CE$26&lt;DQ3,35,
data!$CE$26&lt;DT3,36,
data!$CE$26&lt;DW3,37,
data!$CE$26&lt;DZ3,38,
data!$CE$26&lt;EC3,39,
data!$CE$26&lt;EF3,40,
data!$CE$26&gt;=EF3,41
)</f>
        <v>23</v>
      </c>
      <c r="O8" s="1111" t="str">
        <f t="shared" ref="O8:AD11" si="27">IF(OR(O$2&lt;=$EN8,O$2&gt;$EM8),"","t")</f>
        <v/>
      </c>
      <c r="P8" s="1111" t="str">
        <f t="shared" si="27"/>
        <v/>
      </c>
      <c r="Q8" s="1111" t="str">
        <f t="shared" si="27"/>
        <v/>
      </c>
      <c r="R8" s="1111" t="str">
        <f t="shared" si="27"/>
        <v/>
      </c>
      <c r="S8" s="1111" t="str">
        <f t="shared" si="27"/>
        <v/>
      </c>
      <c r="T8" s="1111" t="str">
        <f t="shared" si="27"/>
        <v/>
      </c>
      <c r="U8" s="1111" t="str">
        <f t="shared" si="27"/>
        <v/>
      </c>
      <c r="V8" s="1111" t="str">
        <f t="shared" si="27"/>
        <v/>
      </c>
      <c r="W8" s="1111" t="str">
        <f t="shared" si="27"/>
        <v/>
      </c>
      <c r="X8" s="1111" t="str">
        <f t="shared" si="27"/>
        <v/>
      </c>
      <c r="Y8" s="1111" t="str">
        <f t="shared" si="27"/>
        <v/>
      </c>
      <c r="Z8" s="1111" t="str">
        <f t="shared" si="27"/>
        <v/>
      </c>
      <c r="AA8" s="1111" t="str">
        <f t="shared" si="27"/>
        <v/>
      </c>
      <c r="AB8" s="1111" t="str">
        <f t="shared" si="27"/>
        <v/>
      </c>
      <c r="AC8" s="1111" t="str">
        <f t="shared" si="27"/>
        <v/>
      </c>
      <c r="AD8" s="1111" t="str">
        <f t="shared" si="27"/>
        <v/>
      </c>
      <c r="AE8" s="1111" t="str">
        <f t="shared" si="23"/>
        <v/>
      </c>
      <c r="AF8" s="1111" t="str">
        <f t="shared" si="23"/>
        <v/>
      </c>
      <c r="AG8" s="1111" t="str">
        <f t="shared" si="23"/>
        <v/>
      </c>
      <c r="AH8" s="1111" t="str">
        <f t="shared" si="24"/>
        <v/>
      </c>
      <c r="AI8" s="1111" t="str">
        <f t="shared" si="24"/>
        <v/>
      </c>
      <c r="AJ8" s="1111" t="str">
        <f t="shared" si="4"/>
        <v/>
      </c>
      <c r="AK8" s="4363" t="str">
        <f>ACTIONS!$H$34</f>
        <v>MND6</v>
      </c>
      <c r="AL8" s="4363"/>
      <c r="AM8" s="468" t="s">
        <v>67</v>
      </c>
      <c r="AN8" s="4366" t="s">
        <v>64</v>
      </c>
      <c r="AO8" s="468" t="s">
        <v>67</v>
      </c>
      <c r="AP8" s="4452" t="str">
        <f>ACTIONS!$BV$34</f>
        <v>BDY6</v>
      </c>
      <c r="AQ8" s="4452"/>
      <c r="AR8" s="1112" t="str">
        <f t="shared" si="5"/>
        <v/>
      </c>
      <c r="AS8" s="1112" t="str">
        <f t="shared" si="5"/>
        <v/>
      </c>
      <c r="AT8" s="1112" t="str">
        <f t="shared" si="5"/>
        <v/>
      </c>
      <c r="AU8" s="1112" t="str">
        <f t="shared" si="5"/>
        <v/>
      </c>
      <c r="AV8" s="1112" t="str">
        <f t="shared" si="5"/>
        <v/>
      </c>
      <c r="AW8" s="1112" t="str">
        <f t="shared" si="5"/>
        <v/>
      </c>
      <c r="AX8" s="1112" t="str">
        <f t="shared" si="5"/>
        <v/>
      </c>
      <c r="AY8" s="1112" t="str">
        <f t="shared" si="5"/>
        <v/>
      </c>
      <c r="AZ8" s="1112" t="str">
        <f t="shared" si="5"/>
        <v/>
      </c>
      <c r="BA8" s="1112" t="str">
        <f t="shared" si="5"/>
        <v/>
      </c>
      <c r="BB8" s="1112" t="str">
        <f t="shared" si="5"/>
        <v/>
      </c>
      <c r="BC8" s="1112" t="str">
        <f t="shared" si="5"/>
        <v/>
      </c>
      <c r="BD8" s="1112" t="str">
        <f t="shared" si="5"/>
        <v/>
      </c>
      <c r="BE8" s="1112" t="str">
        <f t="shared" si="5"/>
        <v/>
      </c>
      <c r="BF8" s="1112" t="str">
        <f t="shared" si="5"/>
        <v/>
      </c>
      <c r="BG8" s="1112" t="str">
        <f t="shared" si="5"/>
        <v/>
      </c>
      <c r="BH8" s="1112" t="str">
        <f t="shared" si="25"/>
        <v/>
      </c>
      <c r="BI8" s="1112" t="str">
        <f t="shared" si="25"/>
        <v/>
      </c>
      <c r="BJ8" s="1112" t="str">
        <f t="shared" si="25"/>
        <v/>
      </c>
      <c r="BK8" s="1112" t="str">
        <f t="shared" si="25"/>
        <v/>
      </c>
      <c r="BL8" s="1112" t="str">
        <f t="shared" si="26"/>
        <v/>
      </c>
      <c r="BM8" s="1112" t="str">
        <f t="shared" si="26"/>
        <v/>
      </c>
      <c r="BN8" s="1207">
        <f>_xlfn.IFS(
data!$CE$31&lt;CG3,23,
data!$CE$31&lt;CJ3,24,
data!$CE$31&lt;CM3,25,
data!$CE$31&lt;CP3,26,
data!$CE$31&lt;CS3,27,
data!$CE$31&lt;CV3,28,
data!$CE$31&lt;CY3,29,
data!$CE$31&lt;DB3,30,
data!$CE$31&lt;DE3,31,
data!$CE$31&lt;DH3,32,
data!$CE$31&lt;DK3,33,
data!$CE$31&lt;DN3,34,
data!$CE$31&lt;DQ3,35,
data!$CE$31&lt;DT3,36,
data!$CE$31&lt;DW3,37,
data!$CE$31&lt;DZ3,38,
data!$CE$31&lt;EC3,39,
data!$CE$31&lt;EF3,40,
data!$CE$31&gt;=EF3,41
)</f>
        <v>23</v>
      </c>
      <c r="BO8" s="17"/>
      <c r="BP8" s="474" t="s">
        <v>84</v>
      </c>
      <c r="BQ8" s="2332">
        <v>1560</v>
      </c>
      <c r="BR8" s="2332">
        <v>1560</v>
      </c>
      <c r="BS8" s="2332">
        <v>1560</v>
      </c>
      <c r="BT8" s="2332">
        <v>1560</v>
      </c>
      <c r="BU8" s="2332">
        <v>1560</v>
      </c>
      <c r="BV8" s="2332">
        <v>1560</v>
      </c>
      <c r="BW8" s="2332">
        <v>1560</v>
      </c>
      <c r="BX8" s="2332">
        <v>1560</v>
      </c>
      <c r="BY8" s="2332">
        <v>1560</v>
      </c>
      <c r="BZ8" s="473">
        <v>26</v>
      </c>
      <c r="CA8" s="17"/>
      <c r="CC8" s="485">
        <f>_xlfn.IFS( OR('^'!$BK$52=1,'^'!$BK$52=3,'^'!$BK$52=5,'^'!$BK$52=7,'^'!$BK$52=8,'^'!$BK$52=10,'^'!$BK$52=12), 31, OR('^'!$BK$52=4,'^'!$BK$52=6,'^'!$BK$52=9,'^'!$BK$52=11), 30, AND('^'!$BK$52=2, PLANS!$CD$57=1), 29, AND('^'!$BK$52=2, PLANS!$CD$57=0),28, TRUE, 0)</f>
        <v>0</v>
      </c>
      <c r="CD8" s="2564" t="s">
        <v>466</v>
      </c>
      <c r="CG8" s="476"/>
      <c r="CS8" s="477"/>
      <c r="CT8" s="478"/>
      <c r="CU8" s="28"/>
      <c r="CV8" s="28"/>
      <c r="DE8" s="476"/>
      <c r="DQ8" s="476"/>
      <c r="DY8" s="101">
        <v>1</v>
      </c>
      <c r="DZ8" s="384" t="s">
        <v>928</v>
      </c>
      <c r="EK8" s="4352" t="str">
        <f t="shared" si="2"/>
        <v>MND6</v>
      </c>
      <c r="EL8" s="4353"/>
      <c r="EM8" s="1108">
        <f>data!$CE$28</f>
        <v>0</v>
      </c>
      <c r="EN8" s="1106">
        <f>data!$CE$27</f>
        <v>0</v>
      </c>
      <c r="EO8" s="1107"/>
      <c r="EP8" s="1109">
        <f>data!$CE$32</f>
        <v>0</v>
      </c>
      <c r="EQ8" s="1108">
        <f>data!$CE$33</f>
        <v>0</v>
      </c>
      <c r="ER8" s="4354" t="str">
        <f t="shared" si="3"/>
        <v>BDY6</v>
      </c>
      <c r="ES8" s="4353"/>
    </row>
    <row r="9" spans="1:149" ht="17.100000000000001" customHeight="1" thickTop="1" thickBot="1" x14ac:dyDescent="0.2">
      <c r="A9" s="17"/>
      <c r="B9" s="473">
        <v>25</v>
      </c>
      <c r="C9" s="2332">
        <v>1500</v>
      </c>
      <c r="D9" s="2332">
        <v>1500</v>
      </c>
      <c r="E9" s="2332">
        <v>1500</v>
      </c>
      <c r="F9" s="2332">
        <v>1500</v>
      </c>
      <c r="G9" s="2332">
        <v>1500</v>
      </c>
      <c r="H9" s="2332">
        <v>1500</v>
      </c>
      <c r="I9" s="2332">
        <v>1500</v>
      </c>
      <c r="J9" s="2332">
        <v>1500</v>
      </c>
      <c r="K9" s="2332">
        <v>1500</v>
      </c>
      <c r="L9" s="474" t="s">
        <v>84</v>
      </c>
      <c r="M9" s="17"/>
      <c r="N9" s="1208">
        <f>_xlfn.IFS(
data!$CF$26&lt;CG3,23,
data!$CF$26&lt;CJ3,24,
data!$CF$26&lt;CM3,25,
data!$CF$26&lt;CP3,26,
data!$CF$26&lt;CS3,27,
data!$CF$26&lt;CV3,28,
data!$CF$26&lt;CY3,29,
data!$CF$26&lt;DB3,30,
data!$CF$26&lt;DE3,31,
data!$CF$26&lt;DH3,32,
data!$CF$26&lt;DK3,33,
data!$CF$26&lt;DN3,34,
data!$CF$26&lt;DQ3,35,
data!$CF$26&lt;DT3,36,
data!$CF$26&lt;DW3,37,
data!$CF$26&lt;DZ3,38,
data!$CF$26&lt;EC3,39,
data!$CF$26&lt;EF3,40,
data!$CF$26&gt;=EF3,41
)</f>
        <v>23</v>
      </c>
      <c r="O9" s="1111" t="str">
        <f t="shared" si="27"/>
        <v/>
      </c>
      <c r="P9" s="1111" t="str">
        <f t="shared" si="27"/>
        <v/>
      </c>
      <c r="Q9" s="1111" t="str">
        <f t="shared" si="27"/>
        <v/>
      </c>
      <c r="R9" s="1111" t="str">
        <f t="shared" si="27"/>
        <v/>
      </c>
      <c r="S9" s="1111" t="str">
        <f t="shared" si="27"/>
        <v/>
      </c>
      <c r="T9" s="1111" t="str">
        <f t="shared" si="27"/>
        <v/>
      </c>
      <c r="U9" s="1111" t="str">
        <f t="shared" si="27"/>
        <v/>
      </c>
      <c r="V9" s="1111" t="str">
        <f t="shared" si="27"/>
        <v/>
      </c>
      <c r="W9" s="1111" t="str">
        <f t="shared" si="27"/>
        <v/>
      </c>
      <c r="X9" s="1111" t="str">
        <f t="shared" si="27"/>
        <v/>
      </c>
      <c r="Y9" s="1111" t="str">
        <f t="shared" si="27"/>
        <v/>
      </c>
      <c r="Z9" s="1111" t="str">
        <f t="shared" si="27"/>
        <v/>
      </c>
      <c r="AA9" s="1111" t="str">
        <f t="shared" si="27"/>
        <v/>
      </c>
      <c r="AB9" s="1111" t="str">
        <f t="shared" si="27"/>
        <v/>
      </c>
      <c r="AC9" s="1111" t="str">
        <f t="shared" si="27"/>
        <v/>
      </c>
      <c r="AD9" s="1111" t="str">
        <f t="shared" si="27"/>
        <v/>
      </c>
      <c r="AE9" s="1111" t="str">
        <f t="shared" si="23"/>
        <v/>
      </c>
      <c r="AF9" s="1111" t="str">
        <f t="shared" si="23"/>
        <v/>
      </c>
      <c r="AG9" s="1111" t="str">
        <f t="shared" si="23"/>
        <v/>
      </c>
      <c r="AH9" s="1111" t="str">
        <f t="shared" si="24"/>
        <v/>
      </c>
      <c r="AI9" s="1111" t="str">
        <f t="shared" si="24"/>
        <v/>
      </c>
      <c r="AJ9" s="1111" t="str">
        <f t="shared" si="4"/>
        <v/>
      </c>
      <c r="AK9" s="4453" t="str">
        <f>ACTIONS!$I$34</f>
        <v>MND7</v>
      </c>
      <c r="AL9" s="4453"/>
      <c r="AM9" s="468" t="s">
        <v>67</v>
      </c>
      <c r="AN9" s="4366"/>
      <c r="AO9" s="468" t="s">
        <v>67</v>
      </c>
      <c r="AP9" s="4454" t="str">
        <f>ACTIONS!$BW$34</f>
        <v>BDY7</v>
      </c>
      <c r="AQ9" s="4454"/>
      <c r="AR9" s="1112" t="str">
        <f t="shared" si="5"/>
        <v/>
      </c>
      <c r="AS9" s="1112" t="str">
        <f t="shared" si="5"/>
        <v/>
      </c>
      <c r="AT9" s="1112" t="str">
        <f t="shared" si="5"/>
        <v/>
      </c>
      <c r="AU9" s="1112" t="str">
        <f t="shared" si="5"/>
        <v/>
      </c>
      <c r="AV9" s="1112" t="str">
        <f t="shared" si="5"/>
        <v/>
      </c>
      <c r="AW9" s="1112" t="str">
        <f t="shared" si="5"/>
        <v/>
      </c>
      <c r="AX9" s="1112" t="str">
        <f t="shared" si="5"/>
        <v/>
      </c>
      <c r="AY9" s="1112" t="str">
        <f t="shared" si="5"/>
        <v/>
      </c>
      <c r="AZ9" s="1112" t="str">
        <f t="shared" si="5"/>
        <v/>
      </c>
      <c r="BA9" s="1112" t="str">
        <f t="shared" si="5"/>
        <v/>
      </c>
      <c r="BB9" s="1112" t="str">
        <f t="shared" si="5"/>
        <v/>
      </c>
      <c r="BC9" s="1112" t="str">
        <f t="shared" si="5"/>
        <v/>
      </c>
      <c r="BD9" s="1112" t="str">
        <f t="shared" si="5"/>
        <v/>
      </c>
      <c r="BE9" s="1112" t="str">
        <f t="shared" si="5"/>
        <v/>
      </c>
      <c r="BF9" s="1112" t="str">
        <f t="shared" si="5"/>
        <v/>
      </c>
      <c r="BG9" s="1112" t="str">
        <f t="shared" si="5"/>
        <v/>
      </c>
      <c r="BH9" s="1112" t="str">
        <f t="shared" si="25"/>
        <v/>
      </c>
      <c r="BI9" s="1112" t="str">
        <f t="shared" si="25"/>
        <v/>
      </c>
      <c r="BJ9" s="1112" t="str">
        <f t="shared" si="25"/>
        <v/>
      </c>
      <c r="BK9" s="1112" t="str">
        <f t="shared" si="25"/>
        <v/>
      </c>
      <c r="BL9" s="1112" t="str">
        <f t="shared" si="26"/>
        <v/>
      </c>
      <c r="BM9" s="1112" t="str">
        <f t="shared" si="26"/>
        <v/>
      </c>
      <c r="BN9" s="1207">
        <f>_xlfn.IFS(
data!$CF$31&lt;CG3,23,
data!$CF$31&lt;CJ3,24,
data!$CF$31&lt;CM3,25,
data!$CF$31&lt;CP3,26,
data!$CF$31&lt;CS3,27,
data!$CF$31&lt;CV3,28,
data!$CF$31&lt;CY3,29,
data!$CF$31&lt;DB3,30,
data!$CF$31&lt;DE3,31,
data!$CF$31&lt;DH3,32,
data!$CF$31&lt;DK3,33,
data!$CF$31&lt;DN3,34,
data!$CF$31&lt;DQ3,35,
data!$CF$31&lt;DT3,36,
data!$CF$31&lt;DW3,37,
data!$CF$31&lt;DZ3,38,
data!$CF$31&lt;EC3,39,
data!$CF$31&lt;EF3,40,
data!$CF$31&gt;=EF3,41
)</f>
        <v>23</v>
      </c>
      <c r="BO9" s="17"/>
      <c r="BP9" s="474" t="s">
        <v>84</v>
      </c>
      <c r="BQ9" s="2332">
        <v>1500</v>
      </c>
      <c r="BR9" s="2332">
        <v>1500</v>
      </c>
      <c r="BS9" s="2332">
        <v>1500</v>
      </c>
      <c r="BT9" s="2332">
        <v>1500</v>
      </c>
      <c r="BU9" s="2332">
        <v>1500</v>
      </c>
      <c r="BV9" s="2332">
        <v>1500</v>
      </c>
      <c r="BW9" s="2332">
        <v>1500</v>
      </c>
      <c r="BX9" s="2332">
        <v>1500</v>
      </c>
      <c r="BY9" s="2332">
        <v>1500</v>
      </c>
      <c r="BZ9" s="473">
        <v>25</v>
      </c>
      <c r="CA9" s="17"/>
      <c r="CC9" s="485">
        <f ca="1">IF(PLANS!$B$1=32,0,$CC$8-PLANS!$B$1+1)</f>
        <v>0</v>
      </c>
      <c r="CD9" s="2564" t="s">
        <v>1114</v>
      </c>
      <c r="DY9" s="101">
        <v>2</v>
      </c>
      <c r="DZ9" s="384" t="s">
        <v>929</v>
      </c>
      <c r="EK9" s="4352" t="str">
        <f t="shared" si="2"/>
        <v>MND7</v>
      </c>
      <c r="EL9" s="4353"/>
      <c r="EM9" s="1108">
        <f>data!$CF$28</f>
        <v>0</v>
      </c>
      <c r="EN9" s="1106">
        <f>data!$CF$27</f>
        <v>0</v>
      </c>
      <c r="EO9" s="1107"/>
      <c r="EP9" s="1109">
        <f>data!$CF$32</f>
        <v>0</v>
      </c>
      <c r="EQ9" s="1108">
        <f>data!$CF$33</f>
        <v>0</v>
      </c>
      <c r="ER9" s="4354" t="str">
        <f t="shared" si="3"/>
        <v>BDY7</v>
      </c>
      <c r="ES9" s="4353"/>
    </row>
    <row r="10" spans="1:149" ht="17.100000000000001" customHeight="1" thickTop="1" thickBot="1" x14ac:dyDescent="0.2">
      <c r="A10" s="17"/>
      <c r="B10" s="473">
        <v>24</v>
      </c>
      <c r="C10" s="2332">
        <v>1440</v>
      </c>
      <c r="D10" s="2332">
        <v>1440</v>
      </c>
      <c r="E10" s="2332">
        <v>1440</v>
      </c>
      <c r="F10" s="2332">
        <v>1440</v>
      </c>
      <c r="G10" s="2332">
        <v>1440</v>
      </c>
      <c r="H10" s="2332">
        <v>1440</v>
      </c>
      <c r="I10" s="2332">
        <v>1440</v>
      </c>
      <c r="J10" s="2332">
        <v>1440</v>
      </c>
      <c r="K10" s="2332">
        <v>1440</v>
      </c>
      <c r="L10" s="474" t="s">
        <v>84</v>
      </c>
      <c r="M10" s="17"/>
      <c r="N10" s="1208">
        <f>_xlfn.IFS(
data!$CG$26&lt;CG3,23,
data!$CG$26&lt;CJ3,24,
data!$CG$26&lt;CM3,25,
data!$CG$26&lt;CP3,26,
data!$CG$26&lt;CS3,27,
data!$CG$26&lt;CV3,28,
data!$CG$26&lt;CY3,29,
data!$CG$26&lt;DB3,30,
data!$CG$26&lt;DE3,31,
data!$CG$26&lt;DH3,32,
data!$CG$26&lt;DK3,33,
data!$CG$26&lt;DN3,34,
data!$CG$26&lt;DQ3,35,
data!$CG$26&lt;DT3,36,
data!$CG$26&lt;DW3,37,
data!$CG$26&lt;DZ3,38,
data!$CG$26&lt;EC3,39,
data!$CG$26&lt;EF3,40,
data!$CG$26&gt;=EF3,41
)</f>
        <v>23</v>
      </c>
      <c r="O10" s="1111" t="str">
        <f t="shared" si="27"/>
        <v/>
      </c>
      <c r="P10" s="1111" t="str">
        <f t="shared" si="27"/>
        <v/>
      </c>
      <c r="Q10" s="1111" t="str">
        <f t="shared" si="27"/>
        <v/>
      </c>
      <c r="R10" s="1111" t="str">
        <f t="shared" si="27"/>
        <v/>
      </c>
      <c r="S10" s="1111" t="str">
        <f t="shared" si="27"/>
        <v/>
      </c>
      <c r="T10" s="1111" t="str">
        <f t="shared" si="27"/>
        <v/>
      </c>
      <c r="U10" s="1111" t="str">
        <f t="shared" si="27"/>
        <v/>
      </c>
      <c r="V10" s="1111" t="str">
        <f t="shared" si="27"/>
        <v/>
      </c>
      <c r="W10" s="1111" t="str">
        <f t="shared" si="27"/>
        <v/>
      </c>
      <c r="X10" s="1111" t="str">
        <f t="shared" si="27"/>
        <v/>
      </c>
      <c r="Y10" s="1111" t="str">
        <f t="shared" si="27"/>
        <v/>
      </c>
      <c r="Z10" s="1111" t="str">
        <f t="shared" si="27"/>
        <v/>
      </c>
      <c r="AA10" s="1111" t="str">
        <f t="shared" si="27"/>
        <v/>
      </c>
      <c r="AB10" s="1111" t="str">
        <f t="shared" si="27"/>
        <v/>
      </c>
      <c r="AC10" s="1111" t="str">
        <f t="shared" si="27"/>
        <v/>
      </c>
      <c r="AD10" s="1111" t="str">
        <f t="shared" si="27"/>
        <v/>
      </c>
      <c r="AE10" s="1111" t="str">
        <f t="shared" si="23"/>
        <v/>
      </c>
      <c r="AF10" s="1111" t="str">
        <f t="shared" si="23"/>
        <v/>
      </c>
      <c r="AG10" s="1111" t="str">
        <f t="shared" si="23"/>
        <v/>
      </c>
      <c r="AH10" s="1111" t="str">
        <f t="shared" si="24"/>
        <v/>
      </c>
      <c r="AI10" s="1111" t="str">
        <f t="shared" si="24"/>
        <v/>
      </c>
      <c r="AJ10" s="1111" t="str">
        <f t="shared" si="4"/>
        <v/>
      </c>
      <c r="AK10" s="4367" t="str">
        <f>ACTIONS!$J$34</f>
        <v>MND8</v>
      </c>
      <c r="AL10" s="4367"/>
      <c r="AM10" s="468" t="s">
        <v>67</v>
      </c>
      <c r="AN10" s="4456" t="s">
        <v>64</v>
      </c>
      <c r="AO10" s="468" t="s">
        <v>67</v>
      </c>
      <c r="AP10" s="4455" t="str">
        <f>ACTIONS!$BX$34</f>
        <v>BDY8</v>
      </c>
      <c r="AQ10" s="4455"/>
      <c r="AR10" s="1112" t="str">
        <f t="shared" si="5"/>
        <v/>
      </c>
      <c r="AS10" s="1112" t="str">
        <f t="shared" si="5"/>
        <v/>
      </c>
      <c r="AT10" s="1112" t="str">
        <f t="shared" si="5"/>
        <v/>
      </c>
      <c r="AU10" s="1112" t="str">
        <f t="shared" si="5"/>
        <v/>
      </c>
      <c r="AV10" s="1112" t="str">
        <f t="shared" si="5"/>
        <v/>
      </c>
      <c r="AW10" s="1112" t="str">
        <f t="shared" si="5"/>
        <v/>
      </c>
      <c r="AX10" s="1112" t="str">
        <f t="shared" si="5"/>
        <v/>
      </c>
      <c r="AY10" s="1112" t="str">
        <f t="shared" si="5"/>
        <v/>
      </c>
      <c r="AZ10" s="1112" t="str">
        <f t="shared" si="5"/>
        <v/>
      </c>
      <c r="BA10" s="1112" t="str">
        <f t="shared" si="5"/>
        <v/>
      </c>
      <c r="BB10" s="1112" t="str">
        <f t="shared" si="5"/>
        <v/>
      </c>
      <c r="BC10" s="1112" t="str">
        <f t="shared" si="5"/>
        <v/>
      </c>
      <c r="BD10" s="1112" t="str">
        <f t="shared" si="5"/>
        <v/>
      </c>
      <c r="BE10" s="1112" t="str">
        <f t="shared" si="5"/>
        <v/>
      </c>
      <c r="BF10" s="1112" t="str">
        <f t="shared" si="5"/>
        <v/>
      </c>
      <c r="BG10" s="1112" t="str">
        <f t="shared" si="5"/>
        <v/>
      </c>
      <c r="BH10" s="1112" t="str">
        <f t="shared" si="25"/>
        <v/>
      </c>
      <c r="BI10" s="1112" t="str">
        <f t="shared" si="25"/>
        <v/>
      </c>
      <c r="BJ10" s="1112" t="str">
        <f t="shared" si="25"/>
        <v/>
      </c>
      <c r="BK10" s="1112" t="str">
        <f t="shared" si="25"/>
        <v/>
      </c>
      <c r="BL10" s="1112" t="str">
        <f t="shared" si="26"/>
        <v/>
      </c>
      <c r="BM10" s="1112" t="str">
        <f t="shared" si="26"/>
        <v/>
      </c>
      <c r="BN10" s="1207">
        <f>_xlfn.IFS(
data!$CG$31&lt;CG3,23,
data!$CG$31&lt;CJ3,24,
data!$CG$31&lt;CM3,25,
data!$CG$31&lt;CP3,26,
data!$CG$31&lt;CS3,27,
data!$CG$31&lt;CV3,28,
data!$CG$31&lt;CY3,29,
data!$CG$31&lt;DB3,30,
data!$CG$31&lt;DE3,31,
data!$CG$31&lt;DH3,32,
data!$CG$31&lt;DK3,33,
data!$CG$31&lt;DN3,34,
data!$CG$31&lt;DQ3,35,
data!$CG$31&lt;DT3,36,
data!$CG$31&lt;DW3,37,
data!$CG$31&lt;DZ3,38,
data!$CG$31&lt;EC3,39,
data!$CG$31&lt;EF3,40,
data!$CG$31&gt;=EF3,41
)</f>
        <v>23</v>
      </c>
      <c r="BO10" s="17"/>
      <c r="BP10" s="474" t="s">
        <v>84</v>
      </c>
      <c r="BQ10" s="2332">
        <v>1440</v>
      </c>
      <c r="BR10" s="2332">
        <v>1440</v>
      </c>
      <c r="BS10" s="2332">
        <v>1440</v>
      </c>
      <c r="BT10" s="2332">
        <v>1440</v>
      </c>
      <c r="BU10" s="2332">
        <v>1440</v>
      </c>
      <c r="BV10" s="2332">
        <v>1440</v>
      </c>
      <c r="BW10" s="2332">
        <v>1440</v>
      </c>
      <c r="BX10" s="2332">
        <v>1440</v>
      </c>
      <c r="BY10" s="2332">
        <v>1440</v>
      </c>
      <c r="BZ10" s="473">
        <v>24</v>
      </c>
      <c r="CA10" s="17"/>
      <c r="CC10" s="2701">
        <f ca="1">IF(PLANS!$B$1=32,0,$CC$8-PLANS!$B$1)</f>
        <v>0</v>
      </c>
      <c r="CD10" s="384" t="s">
        <v>1697</v>
      </c>
      <c r="DY10" s="101">
        <v>3</v>
      </c>
      <c r="EK10" s="4352" t="str">
        <f t="shared" si="2"/>
        <v>MND8</v>
      </c>
      <c r="EL10" s="4353"/>
      <c r="EM10" s="1108">
        <f>data!$CG$28</f>
        <v>0</v>
      </c>
      <c r="EN10" s="1106">
        <f>data!$CG$27</f>
        <v>0</v>
      </c>
      <c r="EO10" s="1107"/>
      <c r="EP10" s="1109">
        <f>data!$CG$32</f>
        <v>0</v>
      </c>
      <c r="EQ10" s="1108">
        <f>data!$CG$33</f>
        <v>0</v>
      </c>
      <c r="ER10" s="4354" t="str">
        <f t="shared" si="3"/>
        <v>BDY8</v>
      </c>
      <c r="ES10" s="4353"/>
    </row>
    <row r="11" spans="1:149" ht="17.100000000000001" customHeight="1" thickTop="1" thickBot="1" x14ac:dyDescent="0.2">
      <c r="A11" s="17"/>
      <c r="B11" s="473">
        <v>23</v>
      </c>
      <c r="C11" s="2332">
        <v>1380</v>
      </c>
      <c r="D11" s="2332">
        <v>1380</v>
      </c>
      <c r="E11" s="2332">
        <v>1380</v>
      </c>
      <c r="F11" s="2332">
        <v>1380</v>
      </c>
      <c r="G11" s="2332">
        <v>1380</v>
      </c>
      <c r="H11" s="2332">
        <v>1380</v>
      </c>
      <c r="I11" s="2332">
        <v>1380</v>
      </c>
      <c r="J11" s="2332">
        <v>1380</v>
      </c>
      <c r="K11" s="2332">
        <v>1380</v>
      </c>
      <c r="L11" s="474" t="s">
        <v>84</v>
      </c>
      <c r="M11" s="17"/>
      <c r="N11" s="1208">
        <f>_xlfn.IFS(
data!$CH$26&lt;CG3,23,
data!$CH$26&lt;CJ3,24,
data!$CH$26&lt;CM3,25,
data!$CH$26&lt;CP3,26,
data!$CH$26&lt;CS3,27,
data!$CH$26&lt;CV3,28,
data!$CH$26&lt;CY3,29,
data!$CH$26&lt;DB3,30,
data!$CH$26&lt;DE3,31,
data!$CH$26&lt;DH3,32,
data!$CH$26&lt;DK3,33,
data!$CH$26&lt;DN3,34,
data!$CH$26&lt;DQ3,35,
data!$CH$26&lt;DT3,36,
data!$CH$26&lt;DW3,37,
data!$CH$26&lt;DZ3,38,
data!$CH$26&lt;EC3,39,
data!$CH$26&lt;EF3,40,
data!$CH$26&gt;=EF3,41
)</f>
        <v>23</v>
      </c>
      <c r="O11" s="1111" t="str">
        <f t="shared" si="27"/>
        <v/>
      </c>
      <c r="P11" s="1111" t="str">
        <f t="shared" si="27"/>
        <v/>
      </c>
      <c r="Q11" s="1111" t="str">
        <f t="shared" si="27"/>
        <v/>
      </c>
      <c r="R11" s="1111" t="str">
        <f t="shared" si="27"/>
        <v/>
      </c>
      <c r="S11" s="1111" t="str">
        <f t="shared" si="27"/>
        <v/>
      </c>
      <c r="T11" s="1111" t="str">
        <f t="shared" si="27"/>
        <v/>
      </c>
      <c r="U11" s="1111" t="str">
        <f t="shared" si="27"/>
        <v/>
      </c>
      <c r="V11" s="1111" t="str">
        <f t="shared" si="27"/>
        <v/>
      </c>
      <c r="W11" s="1111" t="str">
        <f t="shared" si="27"/>
        <v/>
      </c>
      <c r="X11" s="1111" t="str">
        <f t="shared" si="27"/>
        <v/>
      </c>
      <c r="Y11" s="1111" t="str">
        <f t="shared" si="27"/>
        <v/>
      </c>
      <c r="Z11" s="1111" t="str">
        <f t="shared" si="27"/>
        <v/>
      </c>
      <c r="AA11" s="1111" t="str">
        <f t="shared" si="27"/>
        <v/>
      </c>
      <c r="AB11" s="1111" t="str">
        <f t="shared" si="27"/>
        <v/>
      </c>
      <c r="AC11" s="1111" t="str">
        <f t="shared" si="27"/>
        <v/>
      </c>
      <c r="AD11" s="1111" t="str">
        <f t="shared" si="27"/>
        <v/>
      </c>
      <c r="AE11" s="1111" t="str">
        <f t="shared" si="23"/>
        <v/>
      </c>
      <c r="AF11" s="1111" t="str">
        <f t="shared" si="23"/>
        <v/>
      </c>
      <c r="AG11" s="1111" t="str">
        <f t="shared" si="23"/>
        <v/>
      </c>
      <c r="AH11" s="1111" t="str">
        <f t="shared" si="24"/>
        <v/>
      </c>
      <c r="AI11" s="1111" t="str">
        <f t="shared" si="24"/>
        <v/>
      </c>
      <c r="AJ11" s="1111" t="str">
        <f t="shared" si="4"/>
        <v/>
      </c>
      <c r="AK11" s="4450" t="str">
        <f>ACTIONS!$K$34</f>
        <v>MND9</v>
      </c>
      <c r="AL11" s="4450"/>
      <c r="AM11" s="468" t="s">
        <v>67</v>
      </c>
      <c r="AN11" s="4457"/>
      <c r="AO11" s="468" t="s">
        <v>67</v>
      </c>
      <c r="AP11" s="4451" t="str">
        <f>ACTIONS!$BY$34</f>
        <v>BDY9</v>
      </c>
      <c r="AQ11" s="4451"/>
      <c r="AR11" s="1112" t="str">
        <f t="shared" si="5"/>
        <v/>
      </c>
      <c r="AS11" s="1112" t="str">
        <f t="shared" si="5"/>
        <v/>
      </c>
      <c r="AT11" s="1112" t="str">
        <f t="shared" si="5"/>
        <v/>
      </c>
      <c r="AU11" s="1112" t="str">
        <f t="shared" si="5"/>
        <v/>
      </c>
      <c r="AV11" s="1112" t="str">
        <f t="shared" si="5"/>
        <v/>
      </c>
      <c r="AW11" s="1112" t="str">
        <f t="shared" si="5"/>
        <v/>
      </c>
      <c r="AX11" s="1112" t="str">
        <f t="shared" si="5"/>
        <v/>
      </c>
      <c r="AY11" s="1112" t="str">
        <f t="shared" si="5"/>
        <v/>
      </c>
      <c r="AZ11" s="1112" t="str">
        <f t="shared" si="5"/>
        <v/>
      </c>
      <c r="BA11" s="1112" t="str">
        <f t="shared" si="5"/>
        <v/>
      </c>
      <c r="BB11" s="1112" t="str">
        <f t="shared" si="5"/>
        <v/>
      </c>
      <c r="BC11" s="1112" t="str">
        <f t="shared" si="5"/>
        <v/>
      </c>
      <c r="BD11" s="1112" t="str">
        <f t="shared" si="5"/>
        <v/>
      </c>
      <c r="BE11" s="1112" t="str">
        <f t="shared" si="5"/>
        <v/>
      </c>
      <c r="BF11" s="1112" t="str">
        <f t="shared" si="5"/>
        <v/>
      </c>
      <c r="BG11" s="1112" t="str">
        <f t="shared" si="5"/>
        <v/>
      </c>
      <c r="BH11" s="1112" t="str">
        <f t="shared" si="25"/>
        <v/>
      </c>
      <c r="BI11" s="1112" t="str">
        <f t="shared" si="25"/>
        <v/>
      </c>
      <c r="BJ11" s="1112" t="str">
        <f t="shared" si="25"/>
        <v/>
      </c>
      <c r="BK11" s="1112" t="str">
        <f t="shared" si="25"/>
        <v/>
      </c>
      <c r="BL11" s="1112" t="str">
        <f t="shared" si="26"/>
        <v/>
      </c>
      <c r="BM11" s="1112" t="str">
        <f t="shared" si="26"/>
        <v/>
      </c>
      <c r="BN11" s="1207">
        <f>_xlfn.IFS(
data!$CH$31&lt;CG3,23,
data!$CH$31&lt;CJ3,24,
data!$CH$31&lt;CM3,25,
data!$CH$31&lt;CP3,26,
data!$CH$31&lt;CS3,27,
data!$CH$31&lt;CV3,28,
data!$CH$31&lt;CY3,29,
data!$CH$31&lt;DB3,30,
data!$CH$31&lt;DE3,31,
data!$CH$31&lt;DH3,32,
data!$CH$31&lt;DK3,33,
data!$CH$31&lt;DN3,34,
data!$CH$31&lt;DQ3,35,
data!$CH$31&lt;DT3,36,
data!$CH$31&lt;DW3,37,
data!$CH$31&lt;DZ3,38,
data!$CH$31&lt;EC3,39,
data!$CH$31&lt;EF3,40,
data!$CH$31&gt;=EF3,41
)</f>
        <v>23</v>
      </c>
      <c r="BO11" s="17"/>
      <c r="BP11" s="474" t="s">
        <v>84</v>
      </c>
      <c r="BQ11" s="2332">
        <v>1380</v>
      </c>
      <c r="BR11" s="2332">
        <v>1380</v>
      </c>
      <c r="BS11" s="2332">
        <v>1380</v>
      </c>
      <c r="BT11" s="2332">
        <v>1380</v>
      </c>
      <c r="BU11" s="2332">
        <v>1380</v>
      </c>
      <c r="BV11" s="2332">
        <v>1380</v>
      </c>
      <c r="BW11" s="2332">
        <v>1380</v>
      </c>
      <c r="BX11" s="2332">
        <v>1380</v>
      </c>
      <c r="BY11" s="2332">
        <v>1380</v>
      </c>
      <c r="BZ11" s="473">
        <v>23</v>
      </c>
      <c r="CA11" s="17"/>
      <c r="CR11" s="479"/>
      <c r="CS11" s="479"/>
      <c r="CT11" s="479"/>
      <c r="DD11" s="479"/>
      <c r="DE11" s="479"/>
      <c r="DF11" s="479"/>
      <c r="DY11" s="101">
        <v>4</v>
      </c>
      <c r="EK11" s="4352" t="str">
        <f t="shared" si="2"/>
        <v>MND9</v>
      </c>
      <c r="EL11" s="4353"/>
      <c r="EM11" s="1108">
        <f>data!$CH$28</f>
        <v>0</v>
      </c>
      <c r="EN11" s="1106">
        <f>data!$CH$27</f>
        <v>0</v>
      </c>
      <c r="EO11" s="1110"/>
      <c r="EP11" s="1109">
        <f>data!$CH$32</f>
        <v>0</v>
      </c>
      <c r="EQ11" s="1108">
        <f>data!$CH$33</f>
        <v>0</v>
      </c>
      <c r="ER11" s="4354" t="str">
        <f t="shared" si="3"/>
        <v>BDY9</v>
      </c>
      <c r="ES11" s="4353"/>
    </row>
    <row r="12" spans="1:149" ht="17.100000000000001" customHeight="1" thickTop="1" x14ac:dyDescent="0.15">
      <c r="A12" s="17"/>
      <c r="B12" s="473">
        <v>22</v>
      </c>
      <c r="C12" s="2332">
        <v>1320</v>
      </c>
      <c r="D12" s="2332">
        <v>1320</v>
      </c>
      <c r="E12" s="2332">
        <v>1320</v>
      </c>
      <c r="F12" s="2332">
        <v>1320</v>
      </c>
      <c r="G12" s="2332">
        <v>1320</v>
      </c>
      <c r="H12" s="2332">
        <v>1320</v>
      </c>
      <c r="I12" s="2332">
        <v>1320</v>
      </c>
      <c r="J12" s="2332">
        <v>1320</v>
      </c>
      <c r="K12" s="2332">
        <v>1320</v>
      </c>
      <c r="L12" s="474" t="s">
        <v>84</v>
      </c>
      <c r="M12" s="17"/>
      <c r="N12" s="1115" t="str">
        <f>ROUND(data!$CV$22,0)&amp;"+"</f>
        <v>414+</v>
      </c>
      <c r="O12" s="1115">
        <f>data!$CU$22</f>
        <v>385.05214398434453</v>
      </c>
      <c r="P12" s="1115">
        <f>data!$CT$22</f>
        <v>357.19251808032817</v>
      </c>
      <c r="Q12" s="1115">
        <f>data!$CS$22</f>
        <v>330.65954102888395</v>
      </c>
      <c r="R12" s="1115">
        <f>data!$CR$22</f>
        <v>305.39003907512762</v>
      </c>
      <c r="S12" s="1115">
        <f>data!$CQ$22</f>
        <v>281.32384673821679</v>
      </c>
      <c r="T12" s="1115">
        <f>data!$CP$22</f>
        <v>258.40366356020644</v>
      </c>
      <c r="U12" s="1115">
        <f>data!$CO$22</f>
        <v>236.57491767638712</v>
      </c>
      <c r="V12" s="1115">
        <f>data!$CN$22</f>
        <v>215.78563588227343</v>
      </c>
      <c r="W12" s="1115">
        <f>data!$CM$22</f>
        <v>195.98631988787946</v>
      </c>
      <c r="X12" s="1115">
        <f>data!$CL$22</f>
        <v>177.12982846464712</v>
      </c>
      <c r="Y12" s="1115">
        <f>data!$CK$22</f>
        <v>159.17126520442582</v>
      </c>
      <c r="Z12" s="1115">
        <f>data!$CJ$22</f>
        <v>142.0678716232627</v>
      </c>
      <c r="AA12" s="1115">
        <f>data!$CI$22</f>
        <v>125.7789253554883</v>
      </c>
      <c r="AB12" s="1115">
        <f>data!$CH$22</f>
        <v>110.26564319570313</v>
      </c>
      <c r="AC12" s="1115">
        <f>data!$CG$22</f>
        <v>95.491088757812506</v>
      </c>
      <c r="AD12" s="1115">
        <f>data!$CF$22</f>
        <v>81.420084531249998</v>
      </c>
      <c r="AE12" s="1115">
        <f>data!$CE$22</f>
        <v>68.019128124999995</v>
      </c>
      <c r="AF12" s="1115">
        <f>data!$CD$22</f>
        <v>55.2563125</v>
      </c>
      <c r="AG12" s="1115">
        <f>data!$CC$22</f>
        <v>43.10125</v>
      </c>
      <c r="AH12" s="1115">
        <f>data!$CB$22</f>
        <v>31.524999999999999</v>
      </c>
      <c r="AI12" s="1115">
        <f>data!$CA$22</f>
        <v>20.5</v>
      </c>
      <c r="AJ12" s="1115">
        <f>data!$BZ$22</f>
        <v>10</v>
      </c>
      <c r="AK12" s="4361" t="s">
        <v>85</v>
      </c>
      <c r="AL12" s="4361"/>
      <c r="AM12" s="868"/>
      <c r="AN12" s="869"/>
      <c r="AO12" s="868"/>
      <c r="AP12" s="4362" t="s">
        <v>85</v>
      </c>
      <c r="AQ12" s="4362"/>
      <c r="AR12" s="1115">
        <f>data!$BZ$22</f>
        <v>10</v>
      </c>
      <c r="AS12" s="1115">
        <f>data!$CA$22</f>
        <v>20.5</v>
      </c>
      <c r="AT12" s="1115">
        <f>data!$CB$22</f>
        <v>31.524999999999999</v>
      </c>
      <c r="AU12" s="1115">
        <f>data!$CC$22</f>
        <v>43.10125</v>
      </c>
      <c r="AV12" s="1115">
        <f>data!$CD$22</f>
        <v>55.2563125</v>
      </c>
      <c r="AW12" s="1115">
        <f>data!$CE$22</f>
        <v>68.019128124999995</v>
      </c>
      <c r="AX12" s="1115">
        <f>data!$CF$22</f>
        <v>81.420084531249998</v>
      </c>
      <c r="AY12" s="1115">
        <f>data!$CG$22</f>
        <v>95.491088757812506</v>
      </c>
      <c r="AZ12" s="1115">
        <f>data!$CH$22</f>
        <v>110.26564319570313</v>
      </c>
      <c r="BA12" s="1115">
        <f>data!$CI$22</f>
        <v>125.7789253554883</v>
      </c>
      <c r="BB12" s="1115">
        <f>data!$CJ$22</f>
        <v>142.0678716232627</v>
      </c>
      <c r="BC12" s="1115">
        <f>data!$CK$22</f>
        <v>159.17126520442582</v>
      </c>
      <c r="BD12" s="1115">
        <f>data!$CL$22</f>
        <v>177.12982846464712</v>
      </c>
      <c r="BE12" s="1115">
        <f>data!$CM$22</f>
        <v>195.98631988787946</v>
      </c>
      <c r="BF12" s="1115">
        <f>data!$CN$22</f>
        <v>215.78563588227343</v>
      </c>
      <c r="BG12" s="1115">
        <f>data!$CO$22</f>
        <v>236.57491767638712</v>
      </c>
      <c r="BH12" s="1115">
        <f>data!$CP$22</f>
        <v>258.40366356020644</v>
      </c>
      <c r="BI12" s="1115">
        <f>data!$CQ$22</f>
        <v>281.32384673821679</v>
      </c>
      <c r="BJ12" s="1115">
        <f>data!$CR$22</f>
        <v>305.39003907512762</v>
      </c>
      <c r="BK12" s="1115">
        <f>data!$CS$22</f>
        <v>330.65954102888395</v>
      </c>
      <c r="BL12" s="1115">
        <f>data!$CT$22</f>
        <v>357.19251808032817</v>
      </c>
      <c r="BM12" s="1115">
        <f>data!$CU$22</f>
        <v>385.05214398434453</v>
      </c>
      <c r="BN12" s="1115" t="str">
        <f>ROUND(data!$CV$22,0)&amp;"+"</f>
        <v>414+</v>
      </c>
      <c r="BO12" s="17"/>
      <c r="BP12" s="474" t="s">
        <v>84</v>
      </c>
      <c r="BQ12" s="2332">
        <v>1320</v>
      </c>
      <c r="BR12" s="2332">
        <v>1320</v>
      </c>
      <c r="BS12" s="2332">
        <v>1320</v>
      </c>
      <c r="BT12" s="2332">
        <v>1320</v>
      </c>
      <c r="BU12" s="2332">
        <v>1320</v>
      </c>
      <c r="BV12" s="2332">
        <v>1320</v>
      </c>
      <c r="BW12" s="2332">
        <v>1320</v>
      </c>
      <c r="BX12" s="2332">
        <v>1320</v>
      </c>
      <c r="BY12" s="2332">
        <v>1320</v>
      </c>
      <c r="BZ12" s="473">
        <v>22</v>
      </c>
      <c r="CA12" s="17"/>
      <c r="CR12" s="479"/>
      <c r="CS12" s="479"/>
      <c r="CT12" s="479"/>
      <c r="DD12" s="479"/>
      <c r="DE12" s="479"/>
      <c r="DF12" s="479"/>
      <c r="DY12" s="101">
        <v>5</v>
      </c>
      <c r="EM12" s="4357" t="s">
        <v>850</v>
      </c>
      <c r="EN12" s="4358" t="s">
        <v>849</v>
      </c>
      <c r="EO12" s="4357" t="s">
        <v>848</v>
      </c>
      <c r="EP12" s="4358" t="s">
        <v>849</v>
      </c>
      <c r="EQ12" s="4357" t="s">
        <v>850</v>
      </c>
    </row>
    <row r="13" spans="1:149" ht="17.100000000000001" customHeight="1" x14ac:dyDescent="0.3">
      <c r="A13" s="17"/>
      <c r="B13" s="473">
        <v>21</v>
      </c>
      <c r="C13" s="2332">
        <v>1260</v>
      </c>
      <c r="D13" s="2332">
        <v>1260</v>
      </c>
      <c r="E13" s="2332">
        <v>1260</v>
      </c>
      <c r="F13" s="2332">
        <v>1260</v>
      </c>
      <c r="G13" s="2332">
        <v>1260</v>
      </c>
      <c r="H13" s="2332">
        <v>1260</v>
      </c>
      <c r="I13" s="2332">
        <v>1260</v>
      </c>
      <c r="J13" s="2332">
        <v>1260</v>
      </c>
      <c r="K13" s="2332">
        <v>1260</v>
      </c>
      <c r="L13" s="474" t="s">
        <v>84</v>
      </c>
      <c r="M13" s="17"/>
      <c r="N13" s="17"/>
      <c r="O13" s="17"/>
      <c r="P13" s="870"/>
      <c r="Q13" s="870"/>
      <c r="R13" s="870"/>
      <c r="S13" s="870"/>
      <c r="T13" s="870"/>
      <c r="U13" s="870"/>
      <c r="V13" s="870"/>
      <c r="W13" s="870"/>
      <c r="X13" s="870"/>
      <c r="Y13" s="870"/>
      <c r="Z13" s="871"/>
      <c r="AA13" s="871"/>
      <c r="AB13" s="871"/>
      <c r="AC13" s="871"/>
      <c r="AD13" s="871"/>
      <c r="AE13" s="871"/>
      <c r="AF13" s="871"/>
      <c r="AG13" s="871"/>
      <c r="AH13" s="871"/>
      <c r="AI13" s="871"/>
      <c r="AJ13" s="871"/>
      <c r="AK13" s="871"/>
      <c r="AL13" s="871"/>
      <c r="AM13" s="872"/>
      <c r="AN13" s="824"/>
      <c r="AO13" s="872"/>
      <c r="AP13" s="873"/>
      <c r="AQ13" s="873"/>
      <c r="AR13" s="873"/>
      <c r="AS13" s="873"/>
      <c r="AT13" s="873"/>
      <c r="AU13" s="873"/>
      <c r="AV13" s="873"/>
      <c r="AW13" s="873"/>
      <c r="AX13" s="873"/>
      <c r="AY13" s="873"/>
      <c r="AZ13" s="873"/>
      <c r="BA13" s="873"/>
      <c r="BB13" s="873"/>
      <c r="BC13" s="874"/>
      <c r="BD13" s="874"/>
      <c r="BE13" s="874"/>
      <c r="BF13" s="874"/>
      <c r="BG13" s="874"/>
      <c r="BH13" s="874"/>
      <c r="BI13" s="874"/>
      <c r="BJ13" s="874"/>
      <c r="BK13" s="874"/>
      <c r="BL13" s="874"/>
      <c r="BM13" s="17"/>
      <c r="BN13" s="17"/>
      <c r="BO13" s="17"/>
      <c r="BP13" s="474" t="s">
        <v>84</v>
      </c>
      <c r="BQ13" s="2332">
        <v>1260</v>
      </c>
      <c r="BR13" s="2332">
        <v>1260</v>
      </c>
      <c r="BS13" s="2332">
        <v>1260</v>
      </c>
      <c r="BT13" s="2332">
        <v>1260</v>
      </c>
      <c r="BU13" s="2332">
        <v>1260</v>
      </c>
      <c r="BV13" s="2332">
        <v>1260</v>
      </c>
      <c r="BW13" s="2332">
        <v>1260</v>
      </c>
      <c r="BX13" s="2332">
        <v>1260</v>
      </c>
      <c r="BY13" s="2332">
        <v>1260</v>
      </c>
      <c r="BZ13" s="473">
        <v>21</v>
      </c>
      <c r="CA13" s="17"/>
      <c r="CE13" s="304"/>
      <c r="CF13" s="480" t="s">
        <v>439</v>
      </c>
      <c r="CG13" s="481"/>
      <c r="CH13" s="480"/>
      <c r="CI13" s="480" t="s">
        <v>1653</v>
      </c>
      <c r="CJ13" s="482"/>
      <c r="CK13" s="480"/>
      <c r="CL13" s="480" t="s">
        <v>462</v>
      </c>
      <c r="CP13" s="480" t="s">
        <v>464</v>
      </c>
      <c r="CT13" s="480" t="s">
        <v>477</v>
      </c>
      <c r="DD13" s="483"/>
      <c r="DE13" s="483"/>
      <c r="DF13" s="483"/>
      <c r="DY13" s="101">
        <v>6</v>
      </c>
      <c r="EK13" s="418" t="s">
        <v>82</v>
      </c>
      <c r="EM13" s="4357"/>
      <c r="EN13" s="4359"/>
      <c r="EO13" s="4357"/>
      <c r="EP13" s="4359"/>
      <c r="EQ13" s="4357"/>
      <c r="ES13" s="418" t="s">
        <v>83</v>
      </c>
    </row>
    <row r="14" spans="1:149" ht="17.100000000000001" customHeight="1" thickBot="1" x14ac:dyDescent="0.35">
      <c r="A14" s="17"/>
      <c r="B14" s="471">
        <v>20</v>
      </c>
      <c r="C14" s="2332">
        <v>1200</v>
      </c>
      <c r="D14" s="2332">
        <v>1200</v>
      </c>
      <c r="E14" s="2332">
        <v>1200</v>
      </c>
      <c r="F14" s="2332">
        <v>1200</v>
      </c>
      <c r="G14" s="2332">
        <v>1200</v>
      </c>
      <c r="H14" s="2332">
        <v>1200</v>
      </c>
      <c r="I14" s="2332">
        <v>1200</v>
      </c>
      <c r="J14" s="2332">
        <v>1200</v>
      </c>
      <c r="K14" s="2332">
        <v>1200</v>
      </c>
      <c r="L14" s="472" t="s">
        <v>84</v>
      </c>
      <c r="M14" s="17"/>
      <c r="N14" s="17"/>
      <c r="O14" s="17"/>
      <c r="P14" s="870"/>
      <c r="Q14" s="870"/>
      <c r="R14" s="870"/>
      <c r="S14" s="870"/>
      <c r="T14" s="870"/>
      <c r="U14" s="870"/>
      <c r="V14" s="870"/>
      <c r="W14" s="870"/>
      <c r="X14" s="870"/>
      <c r="Y14" s="870"/>
      <c r="Z14" s="871"/>
      <c r="AA14" s="871"/>
      <c r="AB14" s="871"/>
      <c r="AC14" s="871"/>
      <c r="AD14" s="871"/>
      <c r="AE14" s="871"/>
      <c r="AF14" s="871"/>
      <c r="AG14" s="871"/>
      <c r="AH14" s="871"/>
      <c r="AI14" s="871"/>
      <c r="AJ14" s="871"/>
      <c r="AK14" s="871"/>
      <c r="AL14" s="875" t="s">
        <v>86</v>
      </c>
      <c r="AM14" s="4368" t="s">
        <v>87</v>
      </c>
      <c r="AN14" s="4368"/>
      <c r="AO14" s="4368"/>
      <c r="AP14" s="876" t="s">
        <v>88</v>
      </c>
      <c r="AQ14" s="873"/>
      <c r="AR14" s="873"/>
      <c r="AS14" s="873"/>
      <c r="AT14" s="873"/>
      <c r="AU14" s="873"/>
      <c r="AV14" s="873"/>
      <c r="AW14" s="873"/>
      <c r="AX14" s="873"/>
      <c r="AY14" s="873"/>
      <c r="AZ14" s="873"/>
      <c r="BA14" s="873"/>
      <c r="BB14" s="873"/>
      <c r="BC14" s="874"/>
      <c r="BD14" s="874"/>
      <c r="BE14" s="874"/>
      <c r="BF14" s="874"/>
      <c r="BG14" s="874"/>
      <c r="BH14" s="874"/>
      <c r="BI14" s="874"/>
      <c r="BJ14" s="874"/>
      <c r="BK14" s="874"/>
      <c r="BL14" s="874"/>
      <c r="BM14" s="17"/>
      <c r="BN14" s="17"/>
      <c r="BO14" s="17"/>
      <c r="BP14" s="472" t="s">
        <v>84</v>
      </c>
      <c r="BQ14" s="2332">
        <v>1200</v>
      </c>
      <c r="BR14" s="2332">
        <v>1200</v>
      </c>
      <c r="BS14" s="2332">
        <v>1200</v>
      </c>
      <c r="BT14" s="2332">
        <v>1200</v>
      </c>
      <c r="BU14" s="2332">
        <v>1200</v>
      </c>
      <c r="BV14" s="2332">
        <v>1200</v>
      </c>
      <c r="BW14" s="2332">
        <v>1200</v>
      </c>
      <c r="BX14" s="2332">
        <v>1200</v>
      </c>
      <c r="BY14" s="2332">
        <v>1200</v>
      </c>
      <c r="BZ14" s="471">
        <v>20</v>
      </c>
      <c r="CA14" s="17"/>
      <c r="CE14" s="307" t="s">
        <v>784</v>
      </c>
      <c r="CF14" s="306">
        <f>COUNTA($W$27:$Y$35,$BG$27:$BI$35)</f>
        <v>0</v>
      </c>
      <c r="CG14" s="35"/>
      <c r="CH14" s="307"/>
      <c r="CI14" s="306">
        <f>SUM($AD$27:$AD$35,$BN$27:$BN$35)</f>
        <v>0</v>
      </c>
      <c r="CJ14" s="35"/>
      <c r="CK14" s="307"/>
      <c r="CL14" s="306">
        <f>CF14-CI14</f>
        <v>0</v>
      </c>
      <c r="CP14" s="306">
        <f>SUM($CT$27:$CT$35,$DI$27:$DI$35)</f>
        <v>0</v>
      </c>
      <c r="CT14" s="308">
        <f>CL14-CP14</f>
        <v>0</v>
      </c>
      <c r="DY14" s="101">
        <v>7</v>
      </c>
      <c r="EM14" s="4357"/>
      <c r="EN14" s="4359"/>
      <c r="EO14" s="4357"/>
      <c r="EP14" s="4359"/>
      <c r="EQ14" s="4357"/>
    </row>
    <row r="15" spans="1:149" ht="17.100000000000001" customHeight="1" thickTop="1" x14ac:dyDescent="0.15">
      <c r="A15" s="17"/>
      <c r="B15" s="473">
        <v>19</v>
      </c>
      <c r="C15" s="2332">
        <v>1140</v>
      </c>
      <c r="D15" s="2332">
        <v>1140</v>
      </c>
      <c r="E15" s="2332">
        <v>1140</v>
      </c>
      <c r="F15" s="2332">
        <v>1140</v>
      </c>
      <c r="G15" s="2332">
        <v>1140</v>
      </c>
      <c r="H15" s="2332">
        <v>1140</v>
      </c>
      <c r="I15" s="2332">
        <v>1140</v>
      </c>
      <c r="J15" s="2332">
        <v>1140</v>
      </c>
      <c r="K15" s="2332">
        <v>1140</v>
      </c>
      <c r="L15" s="474" t="s">
        <v>84</v>
      </c>
      <c r="M15" s="17"/>
      <c r="N15" s="17"/>
      <c r="O15" s="17"/>
      <c r="P15" s="1191"/>
      <c r="Q15" s="1192"/>
      <c r="R15" s="1192"/>
      <c r="S15" s="1192"/>
      <c r="T15" s="1192"/>
      <c r="U15" s="1192"/>
      <c r="V15" s="1192"/>
      <c r="W15" s="1192"/>
      <c r="X15" s="1192"/>
      <c r="Y15" s="1192"/>
      <c r="Z15" s="1192"/>
      <c r="AA15" s="1192"/>
      <c r="AB15" s="1192"/>
      <c r="AC15" s="1192"/>
      <c r="AD15" s="1192"/>
      <c r="AE15" s="1192"/>
      <c r="AF15" s="1192"/>
      <c r="AG15" s="1192"/>
      <c r="AH15" s="1192"/>
      <c r="AI15" s="1192"/>
      <c r="AJ15" s="1192"/>
      <c r="AK15" s="1192"/>
      <c r="AL15" s="1193"/>
      <c r="AM15" s="4369" t="e">
        <f ca="1">IF(AND($AN$16&lt;2,ACTIONS!$DC$12=1),2,$AN$16)</f>
        <v>#N/A</v>
      </c>
      <c r="AN15" s="4369"/>
      <c r="AO15" s="4369"/>
      <c r="AP15" s="1194"/>
      <c r="AQ15" s="1192"/>
      <c r="AR15" s="1192"/>
      <c r="AS15" s="1192"/>
      <c r="AT15" s="1192"/>
      <c r="AU15" s="1192"/>
      <c r="AV15" s="1192"/>
      <c r="AW15" s="1192"/>
      <c r="AX15" s="1192"/>
      <c r="AY15" s="1192"/>
      <c r="AZ15" s="1192"/>
      <c r="BA15" s="1192"/>
      <c r="BB15" s="1192"/>
      <c r="BC15" s="1192"/>
      <c r="BD15" s="1192"/>
      <c r="BE15" s="1192"/>
      <c r="BF15" s="1192"/>
      <c r="BG15" s="1192"/>
      <c r="BH15" s="1192"/>
      <c r="BI15" s="1192"/>
      <c r="BJ15" s="1192"/>
      <c r="BK15" s="1192"/>
      <c r="BL15" s="1195"/>
      <c r="BM15" s="17"/>
      <c r="BN15" s="17"/>
      <c r="BO15" s="17"/>
      <c r="BP15" s="474" t="s">
        <v>84</v>
      </c>
      <c r="BQ15" s="2332">
        <v>1140</v>
      </c>
      <c r="BR15" s="2332">
        <v>1140</v>
      </c>
      <c r="BS15" s="2332">
        <v>1140</v>
      </c>
      <c r="BT15" s="2332">
        <v>1140</v>
      </c>
      <c r="BU15" s="2332">
        <v>1140</v>
      </c>
      <c r="BV15" s="2332">
        <v>1140</v>
      </c>
      <c r="BW15" s="2332">
        <v>1140</v>
      </c>
      <c r="BX15" s="2332">
        <v>1140</v>
      </c>
      <c r="BY15" s="2332">
        <v>1140</v>
      </c>
      <c r="BZ15" s="473">
        <v>19</v>
      </c>
      <c r="CA15" s="17"/>
      <c r="CB15" s="449"/>
      <c r="CQ15" s="449"/>
      <c r="CT15" s="449"/>
      <c r="CU15" s="453"/>
      <c r="CV15" s="453"/>
      <c r="CW15" s="453"/>
      <c r="CX15" s="453"/>
      <c r="CZ15" s="449"/>
      <c r="DA15" s="449"/>
      <c r="DB15" s="449"/>
      <c r="DC15" s="449"/>
      <c r="DD15" s="449"/>
      <c r="DE15" s="449"/>
      <c r="DF15" s="449"/>
      <c r="DG15" s="453"/>
      <c r="DH15" s="453"/>
      <c r="DI15" s="453"/>
      <c r="DJ15" s="453"/>
      <c r="DM15" s="449"/>
      <c r="DU15" s="484"/>
      <c r="DV15" s="484"/>
      <c r="DY15" s="101">
        <v>8</v>
      </c>
      <c r="EM15" s="4357"/>
      <c r="EN15" s="4359"/>
      <c r="EO15" s="4357"/>
      <c r="EP15" s="4359"/>
      <c r="EQ15" s="4357"/>
    </row>
    <row r="16" spans="1:149" ht="17.100000000000001" customHeight="1" x14ac:dyDescent="0.65">
      <c r="A16" s="17"/>
      <c r="B16" s="473">
        <v>18</v>
      </c>
      <c r="C16" s="2332">
        <v>1080</v>
      </c>
      <c r="D16" s="2332">
        <v>1080</v>
      </c>
      <c r="E16" s="2332">
        <v>1080</v>
      </c>
      <c r="F16" s="2332">
        <v>1080</v>
      </c>
      <c r="G16" s="2332">
        <v>1080</v>
      </c>
      <c r="H16" s="2332">
        <v>1080</v>
      </c>
      <c r="I16" s="2332">
        <v>1080</v>
      </c>
      <c r="J16" s="2332">
        <v>1080</v>
      </c>
      <c r="K16" s="2332">
        <v>1080</v>
      </c>
      <c r="L16" s="474" t="s">
        <v>84</v>
      </c>
      <c r="M16" s="17"/>
      <c r="N16" s="4280" t="str">
        <f ca="1">IFERROR(IF(ACTIONS!$DC$12=1,"※",""),"")</f>
        <v/>
      </c>
      <c r="O16" s="4281"/>
      <c r="P16" s="1196"/>
      <c r="Q16" s="4356" t="str">
        <f>IF($AF$21&gt;=S18,"®","")</f>
        <v/>
      </c>
      <c r="R16" s="4356"/>
      <c r="S16" s="1203"/>
      <c r="T16" s="4356" t="str">
        <f>IF($AF$21&gt;=V18,"®","")</f>
        <v/>
      </c>
      <c r="U16" s="4356"/>
      <c r="V16" s="1204"/>
      <c r="W16" s="4356" t="str">
        <f>IF($AF$21&gt;=Y18,"®","")</f>
        <v/>
      </c>
      <c r="X16" s="4356"/>
      <c r="Y16" s="1204"/>
      <c r="Z16" s="4356" t="str">
        <f>IF($AF$21&gt;=AB18,"®","")</f>
        <v/>
      </c>
      <c r="AA16" s="4356"/>
      <c r="AB16" s="1204"/>
      <c r="AC16" s="4356" t="str">
        <f>IF($AF$21&gt;=AE18,"®","")</f>
        <v/>
      </c>
      <c r="AD16" s="4356"/>
      <c r="AE16" s="1204"/>
      <c r="AF16" s="4356" t="str">
        <f>IF($AF$21&gt;=AH18,"®","")</f>
        <v/>
      </c>
      <c r="AG16" s="4356"/>
      <c r="AH16" s="1204"/>
      <c r="AI16" s="4356" t="str">
        <f>IF($AF$21&gt;=AK18,"®","")</f>
        <v/>
      </c>
      <c r="AJ16" s="4356"/>
      <c r="AK16" s="1204"/>
      <c r="AL16" s="4356" t="s">
        <v>84</v>
      </c>
      <c r="AM16" s="4356"/>
      <c r="AN16" s="3232">
        <f ca="1">IF(PLANS!$B$1&lt;&gt;32,
IF(
$AD$21&gt;=1,
IF( AND(PLANS!$L$3-INT(PLANS!$L$3)&lt;12/24,ACTIONS!$DC$9&gt;$AO$22),ACTIONS!$DC$9,$AO$22),
2),
$AO$21)</f>
        <v>0</v>
      </c>
      <c r="AO16" s="4356" t="s">
        <v>84</v>
      </c>
      <c r="AP16" s="4356"/>
      <c r="AQ16" s="1204"/>
      <c r="AR16" s="4356" t="str">
        <f>IF($AF$21&gt;=AQ18,"®","")</f>
        <v/>
      </c>
      <c r="AS16" s="4356"/>
      <c r="AT16" s="1204"/>
      <c r="AU16" s="4356" t="str">
        <f>IF($AF$21&gt;=AT18,"®","")</f>
        <v/>
      </c>
      <c r="AV16" s="4356"/>
      <c r="AW16" s="1204"/>
      <c r="AX16" s="4356" t="str">
        <f>IF($AF$21&gt;=AW18,"®","")</f>
        <v/>
      </c>
      <c r="AY16" s="4356"/>
      <c r="AZ16" s="1204"/>
      <c r="BA16" s="4356" t="str">
        <f>IF($AF$21&gt;=AZ18,"®","")</f>
        <v/>
      </c>
      <c r="BB16" s="4356"/>
      <c r="BC16" s="1204"/>
      <c r="BD16" s="4356" t="str">
        <f>IF($AF$21&gt;=BC18,"®","")</f>
        <v/>
      </c>
      <c r="BE16" s="4356"/>
      <c r="BF16" s="1204"/>
      <c r="BG16" s="4356" t="str">
        <f>IF($AF$21&gt;=BF18,"®","")</f>
        <v/>
      </c>
      <c r="BH16" s="4356"/>
      <c r="BI16" s="1204"/>
      <c r="BJ16" s="4356" t="str">
        <f>IF($AF$21&gt;=BI18,"®","")</f>
        <v/>
      </c>
      <c r="BK16" s="4356"/>
      <c r="BL16" s="1197"/>
      <c r="BM16" s="4360" t="str">
        <f ca="1">IFERROR(IF(ACTIONS!$DC$12=1,"※",""),"")</f>
        <v/>
      </c>
      <c r="BN16" s="4280"/>
      <c r="BO16" s="17"/>
      <c r="BP16" s="474" t="s">
        <v>84</v>
      </c>
      <c r="BQ16" s="2332">
        <v>1080</v>
      </c>
      <c r="BR16" s="2332">
        <v>1080</v>
      </c>
      <c r="BS16" s="2332">
        <v>1080</v>
      </c>
      <c r="BT16" s="2332">
        <v>1080</v>
      </c>
      <c r="BU16" s="2332">
        <v>1080</v>
      </c>
      <c r="BV16" s="2332">
        <v>1080</v>
      </c>
      <c r="BW16" s="2332">
        <v>1080</v>
      </c>
      <c r="BX16" s="2332">
        <v>1080</v>
      </c>
      <c r="BY16" s="2332">
        <v>1080</v>
      </c>
      <c r="BZ16" s="473">
        <v>18</v>
      </c>
      <c r="CA16" s="17"/>
      <c r="CQ16" s="485"/>
      <c r="CT16" s="101"/>
      <c r="DA16" s="485"/>
      <c r="DB16" s="485"/>
      <c r="DC16" s="485"/>
      <c r="DD16" s="101"/>
      <c r="DE16" s="101"/>
      <c r="DF16" s="101"/>
      <c r="DM16" s="485"/>
      <c r="DY16" s="101">
        <v>9</v>
      </c>
      <c r="EM16" s="4357"/>
      <c r="EN16" s="4359"/>
      <c r="EO16" s="4357"/>
      <c r="EP16" s="4359"/>
      <c r="EQ16" s="4357"/>
    </row>
    <row r="17" spans="1:146" ht="17.100000000000001" customHeight="1" x14ac:dyDescent="0.65">
      <c r="A17" s="17"/>
      <c r="B17" s="473">
        <v>17</v>
      </c>
      <c r="C17" s="2332">
        <v>1020</v>
      </c>
      <c r="D17" s="2332">
        <v>1020</v>
      </c>
      <c r="E17" s="2332">
        <v>1020</v>
      </c>
      <c r="F17" s="2332">
        <v>1020</v>
      </c>
      <c r="G17" s="2332">
        <v>1020</v>
      </c>
      <c r="H17" s="2332">
        <v>1020</v>
      </c>
      <c r="I17" s="2332">
        <v>1020</v>
      </c>
      <c r="J17" s="2332">
        <v>1020</v>
      </c>
      <c r="K17" s="2332">
        <v>1020</v>
      </c>
      <c r="L17" s="474" t="s">
        <v>84</v>
      </c>
      <c r="M17" s="17"/>
      <c r="N17" s="4280"/>
      <c r="O17" s="4281"/>
      <c r="P17" s="1198"/>
      <c r="Q17" s="4356"/>
      <c r="R17" s="4356"/>
      <c r="S17" s="1203"/>
      <c r="T17" s="4356"/>
      <c r="U17" s="4356"/>
      <c r="V17" s="1204"/>
      <c r="W17" s="4356"/>
      <c r="X17" s="4356"/>
      <c r="Y17" s="1204"/>
      <c r="Z17" s="4356"/>
      <c r="AA17" s="4356"/>
      <c r="AB17" s="1204"/>
      <c r="AC17" s="4356"/>
      <c r="AD17" s="4356"/>
      <c r="AE17" s="1204"/>
      <c r="AF17" s="4356"/>
      <c r="AG17" s="4356"/>
      <c r="AH17" s="1204"/>
      <c r="AI17" s="4356"/>
      <c r="AJ17" s="4356"/>
      <c r="AK17" s="1204"/>
      <c r="AL17" s="4356"/>
      <c r="AM17" s="4356"/>
      <c r="AN17" s="1202">
        <f>ACTIONS!$CT$33</f>
        <v>360</v>
      </c>
      <c r="AO17" s="4356"/>
      <c r="AP17" s="4356"/>
      <c r="AQ17" s="1204"/>
      <c r="AR17" s="4356"/>
      <c r="AS17" s="4356"/>
      <c r="AT17" s="1204"/>
      <c r="AU17" s="4356"/>
      <c r="AV17" s="4356"/>
      <c r="AW17" s="1204"/>
      <c r="AX17" s="4356"/>
      <c r="AY17" s="4356"/>
      <c r="AZ17" s="1204"/>
      <c r="BA17" s="4356"/>
      <c r="BB17" s="4356"/>
      <c r="BC17" s="1204"/>
      <c r="BD17" s="4356"/>
      <c r="BE17" s="4356"/>
      <c r="BF17" s="1204"/>
      <c r="BG17" s="4356"/>
      <c r="BH17" s="4356"/>
      <c r="BI17" s="1204"/>
      <c r="BJ17" s="4356"/>
      <c r="BK17" s="4356"/>
      <c r="BL17" s="1197"/>
      <c r="BM17" s="4360"/>
      <c r="BN17" s="4280"/>
      <c r="BO17" s="17"/>
      <c r="BP17" s="474" t="s">
        <v>84</v>
      </c>
      <c r="BQ17" s="2332">
        <v>1020</v>
      </c>
      <c r="BR17" s="2332">
        <v>1020</v>
      </c>
      <c r="BS17" s="2332">
        <v>1020</v>
      </c>
      <c r="BT17" s="2332">
        <v>1020</v>
      </c>
      <c r="BU17" s="2332">
        <v>1020</v>
      </c>
      <c r="BV17" s="2332">
        <v>1020</v>
      </c>
      <c r="BW17" s="2332">
        <v>1020</v>
      </c>
      <c r="BX17" s="2332">
        <v>1020</v>
      </c>
      <c r="BY17" s="2332">
        <v>1020</v>
      </c>
      <c r="BZ17" s="473">
        <v>17</v>
      </c>
      <c r="CA17" s="17"/>
      <c r="CB17" s="449"/>
      <c r="CF17" s="480" t="s">
        <v>439</v>
      </c>
      <c r="CG17" s="481"/>
      <c r="CH17" s="480"/>
      <c r="CI17" s="480" t="s">
        <v>749</v>
      </c>
      <c r="CJ17" s="482"/>
      <c r="CK17" s="480"/>
      <c r="CL17" s="480" t="s">
        <v>462</v>
      </c>
      <c r="CP17" s="480" t="s">
        <v>464</v>
      </c>
      <c r="CQ17" s="449"/>
      <c r="CT17" s="480" t="s">
        <v>477</v>
      </c>
      <c r="CU17" s="453"/>
      <c r="CV17" s="453"/>
      <c r="CW17" s="453"/>
      <c r="CX17" s="453"/>
      <c r="CZ17" s="449"/>
      <c r="DA17" s="449"/>
      <c r="DB17" s="449"/>
      <c r="DC17" s="449"/>
      <c r="DD17" s="486"/>
      <c r="DE17" s="486"/>
      <c r="DF17" s="486"/>
      <c r="DG17" s="453"/>
      <c r="DH17" s="453"/>
      <c r="DI17" s="453"/>
      <c r="DM17" s="449"/>
      <c r="DU17" s="484"/>
      <c r="DV17" s="484"/>
      <c r="DY17" s="101">
        <v>10</v>
      </c>
      <c r="EM17" s="1104"/>
      <c r="EN17" s="4359"/>
      <c r="EO17" s="4357"/>
      <c r="EP17" s="4359"/>
    </row>
    <row r="18" spans="1:146" ht="17.100000000000001" customHeight="1" thickBot="1" x14ac:dyDescent="0.25">
      <c r="A18" s="17"/>
      <c r="B18" s="473">
        <v>16</v>
      </c>
      <c r="C18" s="2332">
        <v>960</v>
      </c>
      <c r="D18" s="2332">
        <v>960</v>
      </c>
      <c r="E18" s="2332">
        <v>960</v>
      </c>
      <c r="F18" s="2332">
        <v>960</v>
      </c>
      <c r="G18" s="2332">
        <v>960</v>
      </c>
      <c r="H18" s="2332">
        <v>960</v>
      </c>
      <c r="I18" s="2332">
        <v>960</v>
      </c>
      <c r="J18" s="2332">
        <v>960</v>
      </c>
      <c r="K18" s="2332">
        <v>960</v>
      </c>
      <c r="L18" s="474" t="s">
        <v>84</v>
      </c>
      <c r="M18" s="17"/>
      <c r="N18" s="17"/>
      <c r="O18" s="17"/>
      <c r="P18" s="1199"/>
      <c r="Q18" s="4371">
        <v>16</v>
      </c>
      <c r="R18" s="4371"/>
      <c r="S18" s="1205">
        <v>16</v>
      </c>
      <c r="T18" s="4371">
        <v>14</v>
      </c>
      <c r="U18" s="4371"/>
      <c r="V18" s="1205">
        <v>14</v>
      </c>
      <c r="W18" s="4371">
        <v>12</v>
      </c>
      <c r="X18" s="4371"/>
      <c r="Y18" s="1205">
        <v>12</v>
      </c>
      <c r="Z18" s="4371">
        <v>10</v>
      </c>
      <c r="AA18" s="4371"/>
      <c r="AB18" s="1205">
        <v>10</v>
      </c>
      <c r="AC18" s="4371">
        <v>8</v>
      </c>
      <c r="AD18" s="4371"/>
      <c r="AE18" s="1205">
        <v>8</v>
      </c>
      <c r="AF18" s="4371">
        <v>6</v>
      </c>
      <c r="AG18" s="4371"/>
      <c r="AH18" s="1205">
        <v>6</v>
      </c>
      <c r="AI18" s="4371">
        <v>4</v>
      </c>
      <c r="AJ18" s="4371"/>
      <c r="AK18" s="1205">
        <v>4</v>
      </c>
      <c r="AL18" s="4371">
        <v>2</v>
      </c>
      <c r="AM18" s="4371"/>
      <c r="AN18" s="1206">
        <v>2</v>
      </c>
      <c r="AO18" s="4355">
        <v>2</v>
      </c>
      <c r="AP18" s="4355"/>
      <c r="AQ18" s="1206">
        <v>4</v>
      </c>
      <c r="AR18" s="4355">
        <v>4</v>
      </c>
      <c r="AS18" s="4355"/>
      <c r="AT18" s="1206">
        <v>6</v>
      </c>
      <c r="AU18" s="4355">
        <v>6</v>
      </c>
      <c r="AV18" s="4355"/>
      <c r="AW18" s="1206">
        <v>8</v>
      </c>
      <c r="AX18" s="4355">
        <v>8</v>
      </c>
      <c r="AY18" s="4355"/>
      <c r="AZ18" s="1206">
        <v>10</v>
      </c>
      <c r="BA18" s="4355">
        <v>10</v>
      </c>
      <c r="BB18" s="4355"/>
      <c r="BC18" s="1206">
        <v>12</v>
      </c>
      <c r="BD18" s="4355">
        <v>12</v>
      </c>
      <c r="BE18" s="4355"/>
      <c r="BF18" s="1206">
        <v>14</v>
      </c>
      <c r="BG18" s="4355">
        <v>14</v>
      </c>
      <c r="BH18" s="4355"/>
      <c r="BI18" s="1206">
        <v>16</v>
      </c>
      <c r="BJ18" s="4355">
        <v>16</v>
      </c>
      <c r="BK18" s="4355"/>
      <c r="BL18" s="1200"/>
      <c r="BM18" s="17"/>
      <c r="BN18" s="17"/>
      <c r="BO18" s="17"/>
      <c r="BP18" s="474" t="s">
        <v>84</v>
      </c>
      <c r="BQ18" s="2332">
        <v>960</v>
      </c>
      <c r="BR18" s="2332">
        <v>960</v>
      </c>
      <c r="BS18" s="2332">
        <v>960</v>
      </c>
      <c r="BT18" s="2332">
        <v>960</v>
      </c>
      <c r="BU18" s="2332">
        <v>960</v>
      </c>
      <c r="BV18" s="2332">
        <v>960</v>
      </c>
      <c r="BW18" s="2332">
        <v>960</v>
      </c>
      <c r="BX18" s="2332">
        <v>960</v>
      </c>
      <c r="BY18" s="2332">
        <v>960</v>
      </c>
      <c r="BZ18" s="473">
        <v>16</v>
      </c>
      <c r="CA18" s="17"/>
      <c r="CE18" s="307" t="s">
        <v>455</v>
      </c>
      <c r="CF18" s="306">
        <f>COUNTA($AH$27,$AH$29,$AH$31,$AH$33,$AH$35)</f>
        <v>0</v>
      </c>
      <c r="CG18" s="35"/>
      <c r="CH18" s="307"/>
      <c r="CI18" s="306">
        <f>SUM(AW27,AW29,AW31,AW33,AW35)</f>
        <v>0</v>
      </c>
      <c r="CJ18" s="35"/>
      <c r="CK18" s="307"/>
      <c r="CL18" s="306">
        <f>CF18-CI18</f>
        <v>0</v>
      </c>
      <c r="CP18" s="306">
        <f ca="1">SUM($DU$27:$DU$31)</f>
        <v>0</v>
      </c>
      <c r="CQ18" s="485"/>
      <c r="CT18" s="308">
        <f ca="1">CL18-CP18</f>
        <v>0</v>
      </c>
      <c r="CZ18" s="484"/>
      <c r="DA18" s="485"/>
      <c r="DB18" s="485"/>
      <c r="DC18" s="485"/>
      <c r="DD18" s="101"/>
      <c r="DE18" s="101"/>
      <c r="DF18" s="101"/>
      <c r="DM18" s="485"/>
      <c r="DY18" s="101">
        <v>11</v>
      </c>
      <c r="EM18" s="1104"/>
    </row>
    <row r="19" spans="1:146" ht="17.100000000000001" customHeight="1" thickTop="1" x14ac:dyDescent="0.15">
      <c r="A19" s="17"/>
      <c r="B19" s="473">
        <v>15</v>
      </c>
      <c r="C19" s="2332">
        <v>900</v>
      </c>
      <c r="D19" s="2332">
        <v>900</v>
      </c>
      <c r="E19" s="2332">
        <v>900</v>
      </c>
      <c r="F19" s="2332">
        <v>900</v>
      </c>
      <c r="G19" s="2332">
        <v>900</v>
      </c>
      <c r="H19" s="2332">
        <v>900</v>
      </c>
      <c r="I19" s="2332">
        <v>900</v>
      </c>
      <c r="J19" s="2332">
        <v>900</v>
      </c>
      <c r="K19" s="2332">
        <v>900</v>
      </c>
      <c r="L19" s="474" t="s">
        <v>84</v>
      </c>
      <c r="M19" s="17"/>
      <c r="N19" s="17"/>
      <c r="O19" s="17"/>
      <c r="P19" s="94"/>
      <c r="Q19" s="4346"/>
      <c r="R19" s="4346"/>
      <c r="S19" s="877"/>
      <c r="T19" s="4346"/>
      <c r="U19" s="4346"/>
      <c r="V19" s="877"/>
      <c r="W19" s="4346"/>
      <c r="X19" s="4346"/>
      <c r="Y19" s="877"/>
      <c r="Z19" s="4346"/>
      <c r="AA19" s="4346"/>
      <c r="AB19" s="877"/>
      <c r="AC19" s="4346"/>
      <c r="AD19" s="4346"/>
      <c r="AE19" s="877"/>
      <c r="AF19" s="4346"/>
      <c r="AG19" s="4346"/>
      <c r="AH19" s="877"/>
      <c r="AI19" s="4346"/>
      <c r="AJ19" s="4346"/>
      <c r="AK19" s="877"/>
      <c r="AL19" s="4346"/>
      <c r="AM19" s="4346"/>
      <c r="AN19" s="877"/>
      <c r="AO19" s="4346"/>
      <c r="AP19" s="4346"/>
      <c r="AQ19" s="877"/>
      <c r="AR19" s="4346"/>
      <c r="AS19" s="4346"/>
      <c r="AT19" s="877"/>
      <c r="AU19" s="4346"/>
      <c r="AV19" s="4346"/>
      <c r="AW19" s="877"/>
      <c r="AX19" s="4346"/>
      <c r="AY19" s="4346"/>
      <c r="AZ19" s="877"/>
      <c r="BA19" s="4346"/>
      <c r="BB19" s="4346"/>
      <c r="BC19" s="877"/>
      <c r="BD19" s="4346"/>
      <c r="BE19" s="4346"/>
      <c r="BF19" s="877"/>
      <c r="BG19" s="4346"/>
      <c r="BH19" s="4346"/>
      <c r="BI19" s="877"/>
      <c r="BJ19" s="4346"/>
      <c r="BK19" s="4346"/>
      <c r="BL19" s="877"/>
      <c r="BM19" s="17"/>
      <c r="BN19" s="17"/>
      <c r="BO19" s="17"/>
      <c r="BP19" s="474" t="s">
        <v>84</v>
      </c>
      <c r="BQ19" s="2332">
        <v>900</v>
      </c>
      <c r="BR19" s="2332">
        <v>900</v>
      </c>
      <c r="BS19" s="2332">
        <v>900</v>
      </c>
      <c r="BT19" s="2332">
        <v>900</v>
      </c>
      <c r="BU19" s="2332">
        <v>900</v>
      </c>
      <c r="BV19" s="2332">
        <v>900</v>
      </c>
      <c r="BW19" s="2332">
        <v>900</v>
      </c>
      <c r="BX19" s="2332">
        <v>900</v>
      </c>
      <c r="BY19" s="2332">
        <v>900</v>
      </c>
      <c r="BZ19" s="473">
        <v>15</v>
      </c>
      <c r="CA19" s="17"/>
      <c r="CB19" s="449"/>
      <c r="CQ19" s="449"/>
      <c r="CR19" s="486"/>
      <c r="CS19" s="486"/>
      <c r="CT19" s="486"/>
      <c r="CU19" s="453"/>
      <c r="CV19" s="453"/>
      <c r="CW19" s="453"/>
      <c r="CX19" s="453"/>
      <c r="CZ19" s="484"/>
      <c r="DA19" s="449"/>
      <c r="DB19" s="449"/>
      <c r="DC19" s="449"/>
      <c r="DD19" s="486"/>
      <c r="DE19" s="486"/>
      <c r="DF19" s="486"/>
      <c r="DG19" s="453"/>
      <c r="DH19" s="453"/>
      <c r="DI19" s="453"/>
      <c r="DJ19" s="453"/>
      <c r="DM19" s="449"/>
      <c r="DU19" s="484"/>
      <c r="DV19" s="484"/>
      <c r="DY19" s="101">
        <v>12</v>
      </c>
      <c r="EM19" s="1104"/>
    </row>
    <row r="20" spans="1:146" ht="17.100000000000001" customHeight="1" x14ac:dyDescent="0.3">
      <c r="A20" s="17"/>
      <c r="B20" s="473">
        <v>14</v>
      </c>
      <c r="C20" s="2332">
        <v>840</v>
      </c>
      <c r="D20" s="2332">
        <v>840</v>
      </c>
      <c r="E20" s="2332">
        <v>840</v>
      </c>
      <c r="F20" s="2332">
        <v>840</v>
      </c>
      <c r="G20" s="2332">
        <v>840</v>
      </c>
      <c r="H20" s="2332">
        <v>840</v>
      </c>
      <c r="I20" s="2332">
        <v>840</v>
      </c>
      <c r="J20" s="2332">
        <v>840</v>
      </c>
      <c r="K20" s="2332">
        <v>840</v>
      </c>
      <c r="L20" s="474" t="s">
        <v>84</v>
      </c>
      <c r="M20" s="17"/>
      <c r="N20" s="17"/>
      <c r="O20" s="878"/>
      <c r="P20" s="879"/>
      <c r="Q20" s="1232">
        <v>12.5</v>
      </c>
      <c r="R20" s="1232">
        <v>10.5</v>
      </c>
      <c r="S20" s="1232">
        <v>8.5</v>
      </c>
      <c r="T20" s="1232">
        <v>6.5</v>
      </c>
      <c r="U20" s="1232">
        <v>4.5</v>
      </c>
      <c r="V20" s="1232">
        <v>2.5</v>
      </c>
      <c r="W20" s="1232">
        <v>0.5</v>
      </c>
      <c r="X20" s="880"/>
      <c r="Y20" s="1092"/>
      <c r="Z20" s="881"/>
      <c r="AA20" s="17"/>
      <c r="AB20" s="17"/>
      <c r="AC20" s="17"/>
      <c r="AD20" s="17"/>
      <c r="AE20" s="17"/>
      <c r="AF20" s="17"/>
      <c r="AG20" s="17"/>
      <c r="AH20" s="17"/>
      <c r="AI20" s="882"/>
      <c r="AJ20" s="4460" t="s">
        <v>89</v>
      </c>
      <c r="AK20" s="4460"/>
      <c r="AL20" s="4460"/>
      <c r="AM20" s="4460"/>
      <c r="AN20" s="4460"/>
      <c r="AO20" s="4460"/>
      <c r="AP20" s="4460"/>
      <c r="AQ20" s="4460"/>
      <c r="AR20" s="4460"/>
      <c r="AS20" s="882"/>
      <c r="AT20" s="17"/>
      <c r="AU20" s="17"/>
      <c r="AV20" s="17"/>
      <c r="AW20" s="17"/>
      <c r="AX20" s="17"/>
      <c r="AY20" s="17"/>
      <c r="AZ20" s="17"/>
      <c r="BA20" s="17"/>
      <c r="BB20" s="883"/>
      <c r="BC20" s="1093"/>
      <c r="BD20" s="872"/>
      <c r="BE20" s="1232">
        <v>1</v>
      </c>
      <c r="BF20" s="1232">
        <v>3</v>
      </c>
      <c r="BG20" s="1232">
        <v>5</v>
      </c>
      <c r="BH20" s="1232">
        <v>7</v>
      </c>
      <c r="BI20" s="1232">
        <v>9</v>
      </c>
      <c r="BJ20" s="1232">
        <v>11</v>
      </c>
      <c r="BK20" s="1232">
        <v>13</v>
      </c>
      <c r="BL20" s="879"/>
      <c r="BM20" s="17"/>
      <c r="BN20" s="17"/>
      <c r="BO20" s="17"/>
      <c r="BP20" s="474" t="s">
        <v>84</v>
      </c>
      <c r="BQ20" s="2332">
        <v>840</v>
      </c>
      <c r="BR20" s="2332">
        <v>840</v>
      </c>
      <c r="BS20" s="2332">
        <v>840</v>
      </c>
      <c r="BT20" s="2332">
        <v>840</v>
      </c>
      <c r="BU20" s="2332">
        <v>840</v>
      </c>
      <c r="BV20" s="2332">
        <v>840</v>
      </c>
      <c r="BW20" s="2332">
        <v>840</v>
      </c>
      <c r="BX20" s="2332">
        <v>840</v>
      </c>
      <c r="BY20" s="2332">
        <v>840</v>
      </c>
      <c r="BZ20" s="473">
        <v>14</v>
      </c>
      <c r="CA20" s="17"/>
      <c r="CO20" s="485"/>
      <c r="CP20" s="485"/>
      <c r="CQ20" s="485"/>
      <c r="CR20" s="101"/>
      <c r="CS20" s="101"/>
      <c r="CT20" s="101"/>
      <c r="DA20" s="485"/>
      <c r="DB20" s="485"/>
      <c r="DC20" s="485"/>
      <c r="DD20" s="101"/>
      <c r="DE20" s="101"/>
      <c r="DF20" s="101"/>
      <c r="DM20" s="485"/>
      <c r="DN20" s="69"/>
      <c r="DO20" s="485"/>
      <c r="DP20" s="101"/>
      <c r="DQ20" s="101"/>
      <c r="DR20" s="101"/>
      <c r="DY20" s="101">
        <v>13</v>
      </c>
      <c r="EM20" s="1104"/>
    </row>
    <row r="21" spans="1:146" ht="17.100000000000001" customHeight="1" x14ac:dyDescent="0.2">
      <c r="A21" s="17"/>
      <c r="B21" s="473">
        <v>13</v>
      </c>
      <c r="C21" s="2332">
        <v>780</v>
      </c>
      <c r="D21" s="2332">
        <v>780</v>
      </c>
      <c r="E21" s="2332">
        <v>780</v>
      </c>
      <c r="F21" s="2332">
        <v>780</v>
      </c>
      <c r="G21" s="2332">
        <v>780</v>
      </c>
      <c r="H21" s="2332">
        <v>780</v>
      </c>
      <c r="I21" s="2332">
        <v>780</v>
      </c>
      <c r="J21" s="2332">
        <v>780</v>
      </c>
      <c r="K21" s="2332">
        <v>780</v>
      </c>
      <c r="L21" s="474" t="s">
        <v>84</v>
      </c>
      <c r="M21" s="17"/>
      <c r="N21" s="17"/>
      <c r="O21" s="884"/>
      <c r="P21" s="885"/>
      <c r="Q21" s="3389" t="str">
        <f ca="1">IF(ACTIONS!$CH$37&gt;=Q20,"♥","")</f>
        <v/>
      </c>
      <c r="R21" s="3389" t="str">
        <f ca="1">IF(ACTIONS!$CH$37&gt;=R20,"♥","")</f>
        <v/>
      </c>
      <c r="S21" s="3389" t="str">
        <f ca="1">IF(ACTIONS!$CH$37&gt;=S20,"♥","")</f>
        <v/>
      </c>
      <c r="T21" s="3389" t="str">
        <f ca="1">IF(ACTIONS!$CH$37&gt;=T20,"♥","")</f>
        <v/>
      </c>
      <c r="U21" s="3389" t="str">
        <f ca="1">IF(ACTIONS!$CH$37&gt;=U20,"♥","")</f>
        <v/>
      </c>
      <c r="V21" s="3389" t="str">
        <f ca="1">IF(ACTIONS!$CH$37&gt;=V20,"♥","")</f>
        <v>♥</v>
      </c>
      <c r="W21" s="3389" t="str">
        <f ca="1">IF(ACTIONS!$CH$37&gt;=W20,"♥","")</f>
        <v>♥</v>
      </c>
      <c r="X21" s="1225" t="str">
        <f ca="1">IF(ACTIONS!$CH$37&gt;=0.5,"L I V E S","")</f>
        <v>L I V E S</v>
      </c>
      <c r="Y21" s="1224"/>
      <c r="Z21" s="887"/>
      <c r="AA21" s="4316" t="s">
        <v>90</v>
      </c>
      <c r="AB21" s="4316"/>
      <c r="AC21" s="4316"/>
      <c r="AD21" s="4317">
        <f>MAX(ACTIONS!$CB$3:$CB$33)</f>
        <v>0</v>
      </c>
      <c r="AE21" s="4317"/>
      <c r="AF21" s="4318">
        <f>MAX(ACTIONS!$CC$3:$CC$33)</f>
        <v>0</v>
      </c>
      <c r="AG21" s="4318"/>
      <c r="AH21" s="3227" t="s">
        <v>79</v>
      </c>
      <c r="AI21" s="3228"/>
      <c r="AJ21" s="4315" t="s">
        <v>91</v>
      </c>
      <c r="AK21" s="4316"/>
      <c r="AL21" s="4316"/>
      <c r="AM21" s="4321">
        <f ca="1">IFERROR(VLOOKUP(ACTIONS!$DC$6,ACTIONS!$CI$1:$CK$33,2,FALSE),0)</f>
        <v>0</v>
      </c>
      <c r="AN21" s="4321"/>
      <c r="AO21" s="4318">
        <f ca="1">IFERROR(VLOOKUP(ACTIONS!$DC$6,ACTIONS!$CI$1:$CK$33,3,FALSE),0)</f>
        <v>0</v>
      </c>
      <c r="AP21" s="4318"/>
      <c r="AQ21" s="3227" t="s">
        <v>79</v>
      </c>
      <c r="AR21" s="3229"/>
      <c r="AS21" s="4316" t="s">
        <v>92</v>
      </c>
      <c r="AT21" s="4316"/>
      <c r="AU21" s="4316"/>
      <c r="AV21" s="4317">
        <f ca="1">_xlfn.MINIFS(ACTIONS!$CE$3:$CE$33,ACTIONS!$CE$3:$CE$33,"&lt;&gt;0")</f>
        <v>0</v>
      </c>
      <c r="AW21" s="4317"/>
      <c r="AX21" s="4318">
        <f ca="1">_xlfn.MINIFS(ACTIONS!$CF$3:$CF$33,ACTIONS!$CF$3:$CF$33,"&lt;&gt;0")</f>
        <v>0</v>
      </c>
      <c r="AY21" s="4318"/>
      <c r="AZ21" s="3227" t="s">
        <v>79</v>
      </c>
      <c r="BA21" s="3228"/>
      <c r="BB21" s="888"/>
      <c r="BC21" s="886"/>
      <c r="BD21" s="1226" t="str">
        <f ca="1">IF(ACTIONS!$CH$37&gt;=0.5,"L I V E S","")</f>
        <v>L I V E S</v>
      </c>
      <c r="BE21" s="3389" t="str">
        <f ca="1">IF(ACTIONS!$CH$37&gt;=BE20,"♥","")</f>
        <v>♥</v>
      </c>
      <c r="BF21" s="3389" t="str">
        <f ca="1">IF(ACTIONS!$CH$37&gt;=BF20,"♥","")</f>
        <v>♥</v>
      </c>
      <c r="BG21" s="3389" t="str">
        <f ca="1">IF(ACTIONS!$CH$37&gt;=BG20,"♥","")</f>
        <v/>
      </c>
      <c r="BH21" s="3389" t="str">
        <f ca="1">IF(ACTIONS!$CH$37&gt;=BH20,"♥","")</f>
        <v/>
      </c>
      <c r="BI21" s="3389" t="str">
        <f ca="1">IF(ACTIONS!$CH$37&gt;=BI20,"♥","")</f>
        <v/>
      </c>
      <c r="BJ21" s="3389" t="str">
        <f ca="1">IF(ACTIONS!$CH$37&gt;=BJ20,"♥","")</f>
        <v/>
      </c>
      <c r="BK21" s="3389" t="str">
        <f ca="1">IF(ACTIONS!$CH$37&gt;=BK20,"♥","")</f>
        <v/>
      </c>
      <c r="BL21" s="889"/>
      <c r="BM21" s="890"/>
      <c r="BN21" s="17"/>
      <c r="BO21" s="17"/>
      <c r="BP21" s="474" t="s">
        <v>84</v>
      </c>
      <c r="BQ21" s="2332">
        <v>780</v>
      </c>
      <c r="BR21" s="2332">
        <v>780</v>
      </c>
      <c r="BS21" s="2332">
        <v>780</v>
      </c>
      <c r="BT21" s="2332">
        <v>780</v>
      </c>
      <c r="BU21" s="2332">
        <v>780</v>
      </c>
      <c r="BV21" s="2332">
        <v>780</v>
      </c>
      <c r="BW21" s="2332">
        <v>780</v>
      </c>
      <c r="BX21" s="2332">
        <v>780</v>
      </c>
      <c r="BY21" s="2332">
        <v>780</v>
      </c>
      <c r="BZ21" s="473">
        <v>13</v>
      </c>
      <c r="CA21" s="17"/>
      <c r="CB21" s="449"/>
      <c r="CE21" s="307" t="s">
        <v>494</v>
      </c>
      <c r="CF21" s="306">
        <f>CF14+CF18</f>
        <v>0</v>
      </c>
      <c r="CH21" s="39">
        <v>11</v>
      </c>
      <c r="CI21" s="36" t="s">
        <v>495</v>
      </c>
      <c r="CM21" s="453"/>
      <c r="CN21" s="449"/>
      <c r="CO21" s="449"/>
      <c r="CP21" s="449"/>
      <c r="CQ21" s="449"/>
      <c r="CR21" s="486"/>
      <c r="CS21" s="486"/>
      <c r="CT21" s="486"/>
      <c r="CU21" s="453"/>
      <c r="CV21" s="453"/>
      <c r="CW21" s="453"/>
      <c r="CX21" s="453"/>
      <c r="CZ21" s="449"/>
      <c r="DA21" s="449"/>
      <c r="DB21" s="449"/>
      <c r="DC21" s="449"/>
      <c r="DD21" s="486"/>
      <c r="DE21" s="486"/>
      <c r="DF21" s="486"/>
      <c r="DG21" s="453"/>
      <c r="DH21" s="453"/>
      <c r="DI21" s="453"/>
      <c r="DJ21" s="453"/>
      <c r="DM21" s="449"/>
      <c r="DN21" s="487"/>
      <c r="DO21" s="449"/>
      <c r="DP21" s="4325"/>
      <c r="DQ21" s="4325"/>
      <c r="DR21" s="4325"/>
      <c r="DS21" s="484"/>
      <c r="DT21" s="484"/>
      <c r="DU21" s="484"/>
      <c r="DV21" s="484"/>
      <c r="DY21" s="101">
        <v>14</v>
      </c>
    </row>
    <row r="22" spans="1:146" ht="17.100000000000001" customHeight="1" x14ac:dyDescent="0.15">
      <c r="A22" s="17"/>
      <c r="B22" s="473">
        <v>12</v>
      </c>
      <c r="C22" s="2332">
        <v>720</v>
      </c>
      <c r="D22" s="2332">
        <v>720</v>
      </c>
      <c r="E22" s="2332">
        <v>720</v>
      </c>
      <c r="F22" s="2332">
        <v>720</v>
      </c>
      <c r="G22" s="2332">
        <v>720</v>
      </c>
      <c r="H22" s="2332">
        <v>720</v>
      </c>
      <c r="I22" s="2332">
        <v>720</v>
      </c>
      <c r="J22" s="2332">
        <v>720</v>
      </c>
      <c r="K22" s="2332">
        <v>720</v>
      </c>
      <c r="L22" s="474" t="s">
        <v>84</v>
      </c>
      <c r="M22" s="17"/>
      <c r="N22" s="17"/>
      <c r="O22" s="92"/>
      <c r="P22" s="879"/>
      <c r="Q22" s="1233">
        <v>13.5</v>
      </c>
      <c r="R22" s="1233">
        <v>11.5</v>
      </c>
      <c r="S22" s="1233">
        <v>9.5</v>
      </c>
      <c r="T22" s="1233">
        <v>7.5</v>
      </c>
      <c r="U22" s="1233">
        <v>5.5</v>
      </c>
      <c r="V22" s="1233">
        <v>3.5</v>
      </c>
      <c r="W22" s="1233">
        <v>1.5</v>
      </c>
      <c r="X22" s="879"/>
      <c r="Y22" s="879"/>
      <c r="Z22" s="17"/>
      <c r="AA22" s="17"/>
      <c r="AB22" s="17"/>
      <c r="AC22" s="17"/>
      <c r="AD22" s="17"/>
      <c r="AE22" s="17"/>
      <c r="AF22" s="17"/>
      <c r="AG22" s="17"/>
      <c r="AH22" s="17"/>
      <c r="AI22" s="17"/>
      <c r="AJ22" s="4319" t="str">
        <f ca="1">IF(AM22="","","TODAY")</f>
        <v/>
      </c>
      <c r="AK22" s="4319"/>
      <c r="AL22" s="4319"/>
      <c r="AM22" s="4459" t="str">
        <f ca="1">_xlfn.IFS(
ACTIONS!$N$1=1,ACTIONS!$CB$33,
ACTIONS!$N$1=2,ACTIONS!$CB$32,
ACTIONS!$N$1=3,ACTIONS!$CB$31,
ACTIONS!$N$1=4,ACTIONS!$CB$30,
ACTIONS!$N$1=5,ACTIONS!$CB$29,
ACTIONS!$N$1=6,ACTIONS!$CB$28,
ACTIONS!$N$1=7,ACTIONS!$CB$27,
ACTIONS!$N$1=8,ACTIONS!$CB$26,
ACTIONS!$N$1=9,ACTIONS!$CB$25,
ACTIONS!$N$1=10,ACTIONS!$CB$24,
ACTIONS!$N$1=11,ACTIONS!$CB$23,
ACTIONS!$N$1=12,ACTIONS!$CB$22,
ACTIONS!$N$1=13,ACTIONS!$CB$21,
ACTIONS!$N$1=14,ACTIONS!$CB$20,
ACTIONS!$N$1=15,ACTIONS!$CB$19,
ACTIONS!$N$1=16,ACTIONS!$CB$18,
ACTIONS!$N$1=17,ACTIONS!$CB$17,
ACTIONS!$N$1=18,ACTIONS!$CB$16,
ACTIONS!$N$1=19,ACTIONS!$CB$15,
ACTIONS!$N$1=20,ACTIONS!$CB$14,
ACTIONS!$N$1=21,ACTIONS!$CB$13,
ACTIONS!$N$1=22,ACTIONS!$CB$12,
ACTIONS!$N$1=23,ACTIONS!$CB$11,
ACTIONS!$N$1=24,ACTIONS!$CB$10,
ACTIONS!$N$1=25,ACTIONS!$CB$9,
ACTIONS!$N$1=26,ACTIONS!$CB$8,
ACTIONS!$N$1=27,ACTIONS!$CB$7,
ACTIONS!$N$1=28,ACTIONS!$CB$6,
ACTIONS!$N$1=29,ACTIONS!$CB$5,
ACTIONS!$N$1=30,ACTIONS!$CB$4,
ACTIONS!$N$1=31,ACTIONS!$CB$3,
ACTIONS!$N$1=32,""
)</f>
        <v/>
      </c>
      <c r="AN22" s="4459"/>
      <c r="AO22" s="4320" t="str">
        <f ca="1">IF('^'!$BK$45="A C T I V E", ROUNDDOWN(AM22/60,1)," ")</f>
        <v xml:space="preserve"> </v>
      </c>
      <c r="AP22" s="4320"/>
      <c r="AQ22" s="891" t="str">
        <f ca="1">IF(AM22="","","hrs")</f>
        <v/>
      </c>
      <c r="AR22" s="94"/>
      <c r="AS22" s="17"/>
      <c r="AT22" s="17"/>
      <c r="AU22" s="17"/>
      <c r="AV22" s="17"/>
      <c r="AW22" s="17"/>
      <c r="AX22" s="17"/>
      <c r="AY22" s="17"/>
      <c r="AZ22" s="17"/>
      <c r="BA22" s="17"/>
      <c r="BB22" s="91"/>
      <c r="BC22" s="879"/>
      <c r="BD22" s="17"/>
      <c r="BE22" s="1233">
        <v>2</v>
      </c>
      <c r="BF22" s="1233">
        <v>4</v>
      </c>
      <c r="BG22" s="1233">
        <v>6</v>
      </c>
      <c r="BH22" s="1233">
        <v>8</v>
      </c>
      <c r="BI22" s="1233">
        <v>10</v>
      </c>
      <c r="BJ22" s="1233">
        <v>12</v>
      </c>
      <c r="BK22" s="1233">
        <v>14</v>
      </c>
      <c r="BL22" s="879"/>
      <c r="BM22" s="17"/>
      <c r="BN22" s="17"/>
      <c r="BO22" s="17"/>
      <c r="BP22" s="474" t="s">
        <v>84</v>
      </c>
      <c r="BQ22" s="2332">
        <v>720</v>
      </c>
      <c r="BR22" s="2332">
        <v>720</v>
      </c>
      <c r="BS22" s="2332">
        <v>720</v>
      </c>
      <c r="BT22" s="2332">
        <v>720</v>
      </c>
      <c r="BU22" s="2332">
        <v>720</v>
      </c>
      <c r="BV22" s="2332">
        <v>720</v>
      </c>
      <c r="BW22" s="2332">
        <v>720</v>
      </c>
      <c r="BX22" s="2332">
        <v>720</v>
      </c>
      <c r="BY22" s="2332">
        <v>720</v>
      </c>
      <c r="BZ22" s="473">
        <v>12</v>
      </c>
      <c r="CA22" s="17"/>
      <c r="CC22" s="485"/>
      <c r="CE22" s="298" t="s">
        <v>496</v>
      </c>
      <c r="CF22" s="39">
        <f>IF($CF$21&lt;$CH$21,1,0)</f>
        <v>1</v>
      </c>
      <c r="CO22" s="485"/>
      <c r="CP22" s="485"/>
      <c r="CQ22" s="485"/>
      <c r="CR22" s="101"/>
      <c r="CS22" s="101"/>
      <c r="CT22" s="101"/>
      <c r="DA22" s="485"/>
      <c r="DB22" s="485"/>
      <c r="DC22" s="485"/>
      <c r="DD22" s="101"/>
      <c r="DE22" s="101"/>
      <c r="DF22" s="101"/>
      <c r="DM22" s="485"/>
      <c r="DN22" s="69"/>
      <c r="DO22" s="485"/>
      <c r="DP22" s="101"/>
      <c r="DQ22" s="101"/>
      <c r="DR22" s="101"/>
      <c r="DY22" s="101">
        <v>15</v>
      </c>
    </row>
    <row r="23" spans="1:146" ht="17.100000000000001" customHeight="1" thickBot="1" x14ac:dyDescent="0.2">
      <c r="A23" s="17"/>
      <c r="B23" s="473">
        <v>11</v>
      </c>
      <c r="C23" s="2332">
        <v>660</v>
      </c>
      <c r="D23" s="2332">
        <v>660</v>
      </c>
      <c r="E23" s="2332">
        <v>660</v>
      </c>
      <c r="F23" s="2332">
        <v>660</v>
      </c>
      <c r="G23" s="2332">
        <v>660</v>
      </c>
      <c r="H23" s="2332">
        <v>660</v>
      </c>
      <c r="I23" s="2332">
        <v>660</v>
      </c>
      <c r="J23" s="2332">
        <v>660</v>
      </c>
      <c r="K23" s="2332">
        <v>660</v>
      </c>
      <c r="L23" s="474" t="s">
        <v>84</v>
      </c>
      <c r="M23" s="17"/>
      <c r="N23" s="892"/>
      <c r="O23" s="92"/>
      <c r="P23" s="92"/>
      <c r="Q23" s="92"/>
      <c r="R23" s="92"/>
      <c r="S23" s="92"/>
      <c r="T23" s="92"/>
      <c r="U23" s="92"/>
      <c r="V23" s="92"/>
      <c r="W23" s="92"/>
      <c r="X23" s="893"/>
      <c r="Y23" s="17"/>
      <c r="Z23" s="17"/>
      <c r="AA23" s="17"/>
      <c r="AB23" s="17"/>
      <c r="AC23" s="17"/>
      <c r="AD23" s="17"/>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17"/>
      <c r="BK23" s="17"/>
      <c r="BL23" s="17"/>
      <c r="BM23" s="17"/>
      <c r="BN23" s="17"/>
      <c r="BO23" s="17"/>
      <c r="BP23" s="474" t="s">
        <v>84</v>
      </c>
      <c r="BQ23" s="2332">
        <v>660</v>
      </c>
      <c r="BR23" s="2332">
        <v>660</v>
      </c>
      <c r="BS23" s="2332">
        <v>660</v>
      </c>
      <c r="BT23" s="2332">
        <v>660</v>
      </c>
      <c r="BU23" s="2332">
        <v>660</v>
      </c>
      <c r="BV23" s="2332">
        <v>660</v>
      </c>
      <c r="BW23" s="2332">
        <v>660</v>
      </c>
      <c r="BX23" s="2332">
        <v>660</v>
      </c>
      <c r="BY23" s="2332">
        <v>660</v>
      </c>
      <c r="BZ23" s="473">
        <v>11</v>
      </c>
      <c r="CA23" s="17"/>
      <c r="CB23" s="443"/>
      <c r="CC23" s="443"/>
      <c r="CM23" s="453"/>
      <c r="CN23" s="443"/>
      <c r="CO23" s="443"/>
      <c r="CP23" s="443"/>
      <c r="CQ23" s="443"/>
      <c r="CR23" s="488"/>
      <c r="CS23" s="488"/>
      <c r="CT23" s="488"/>
      <c r="CU23" s="455"/>
      <c r="CV23" s="455"/>
      <c r="CW23" s="455"/>
      <c r="CX23" s="455"/>
      <c r="CZ23" s="443"/>
      <c r="DA23" s="443"/>
      <c r="DB23" s="443"/>
      <c r="DC23" s="443"/>
      <c r="DD23" s="488"/>
      <c r="DE23" s="488"/>
      <c r="DF23" s="488"/>
      <c r="DG23" s="455"/>
      <c r="DH23" s="455"/>
      <c r="DI23" s="455"/>
      <c r="DJ23" s="455"/>
      <c r="DM23" s="443"/>
      <c r="DU23" s="489"/>
      <c r="DV23" s="489"/>
      <c r="DY23" s="101">
        <v>16</v>
      </c>
    </row>
    <row r="24" spans="1:146" ht="17.100000000000001" customHeight="1" thickTop="1" x14ac:dyDescent="0.2">
      <c r="A24" s="17"/>
      <c r="B24" s="471">
        <v>10</v>
      </c>
      <c r="C24" s="2332">
        <v>600</v>
      </c>
      <c r="D24" s="2332">
        <v>600</v>
      </c>
      <c r="E24" s="2332">
        <v>600</v>
      </c>
      <c r="F24" s="2332">
        <v>600</v>
      </c>
      <c r="G24" s="2332">
        <v>600</v>
      </c>
      <c r="H24" s="2332">
        <v>600</v>
      </c>
      <c r="I24" s="2332">
        <v>600</v>
      </c>
      <c r="J24" s="2332">
        <v>600</v>
      </c>
      <c r="K24" s="2332">
        <v>600</v>
      </c>
      <c r="L24" s="472" t="s">
        <v>84</v>
      </c>
      <c r="M24" s="17"/>
      <c r="N24" s="4301" t="s">
        <v>1336</v>
      </c>
      <c r="O24" s="4302"/>
      <c r="P24" s="4302"/>
      <c r="Q24" s="4302"/>
      <c r="R24" s="4302"/>
      <c r="S24" s="4302"/>
      <c r="T24" s="4302"/>
      <c r="U24" s="4302"/>
      <c r="V24" s="4302"/>
      <c r="W24" s="4302"/>
      <c r="X24" s="4302"/>
      <c r="Y24" s="4302"/>
      <c r="Z24" s="4302"/>
      <c r="AA24" s="4302"/>
      <c r="AB24" s="4302"/>
      <c r="AC24" s="4302"/>
      <c r="AD24" s="4303"/>
      <c r="AE24" s="17"/>
      <c r="AF24" s="4328" t="s">
        <v>1352</v>
      </c>
      <c r="AG24" s="4329"/>
      <c r="AH24" s="4329"/>
      <c r="AI24" s="4329"/>
      <c r="AJ24" s="4329"/>
      <c r="AK24" s="4329"/>
      <c r="AL24" s="4329"/>
      <c r="AM24" s="4329"/>
      <c r="AN24" s="4329"/>
      <c r="AO24" s="4329"/>
      <c r="AP24" s="4329"/>
      <c r="AQ24" s="4329"/>
      <c r="AR24" s="4329"/>
      <c r="AS24" s="4329"/>
      <c r="AT24" s="4329"/>
      <c r="AU24" s="4329"/>
      <c r="AV24" s="4330"/>
      <c r="AW24" s="17"/>
      <c r="AX24" s="4301" t="s">
        <v>1335</v>
      </c>
      <c r="AY24" s="4302"/>
      <c r="AZ24" s="4302"/>
      <c r="BA24" s="4302"/>
      <c r="BB24" s="4302"/>
      <c r="BC24" s="4302"/>
      <c r="BD24" s="4302"/>
      <c r="BE24" s="4302"/>
      <c r="BF24" s="4302"/>
      <c r="BG24" s="4302"/>
      <c r="BH24" s="4302"/>
      <c r="BI24" s="4302"/>
      <c r="BJ24" s="4302"/>
      <c r="BK24" s="4302"/>
      <c r="BL24" s="4302"/>
      <c r="BM24" s="4302"/>
      <c r="BN24" s="4303"/>
      <c r="BO24" s="17"/>
      <c r="BP24" s="472" t="s">
        <v>84</v>
      </c>
      <c r="BQ24" s="2332">
        <v>600</v>
      </c>
      <c r="BR24" s="2332">
        <v>600</v>
      </c>
      <c r="BS24" s="2332">
        <v>600</v>
      </c>
      <c r="BT24" s="2332">
        <v>600</v>
      </c>
      <c r="BU24" s="2332">
        <v>600</v>
      </c>
      <c r="BV24" s="2332">
        <v>600</v>
      </c>
      <c r="BW24" s="2332">
        <v>600</v>
      </c>
      <c r="BX24" s="2332">
        <v>600</v>
      </c>
      <c r="BY24" s="2332">
        <v>600</v>
      </c>
      <c r="BZ24" s="471">
        <v>10</v>
      </c>
      <c r="CA24" s="17"/>
      <c r="CI24" s="227"/>
      <c r="CJ24" s="228"/>
      <c r="CK24" s="4514" t="s">
        <v>1333</v>
      </c>
      <c r="CL24" s="4514"/>
      <c r="CM24" s="4514"/>
      <c r="CN24" s="4514"/>
      <c r="CO24" s="4514"/>
      <c r="CP24" s="4514"/>
      <c r="CQ24" s="4514"/>
      <c r="CR24" s="4514"/>
      <c r="CS24" s="4514"/>
      <c r="CT24" s="4514"/>
      <c r="CU24" s="228"/>
      <c r="CV24" s="256"/>
      <c r="CX24" s="674"/>
      <c r="CY24" s="675"/>
      <c r="CZ24" s="4515" t="s">
        <v>1334</v>
      </c>
      <c r="DA24" s="4515"/>
      <c r="DB24" s="4515"/>
      <c r="DC24" s="4515"/>
      <c r="DD24" s="4515"/>
      <c r="DE24" s="4515"/>
      <c r="DF24" s="4515"/>
      <c r="DG24" s="4515"/>
      <c r="DH24" s="4515"/>
      <c r="DI24" s="4515"/>
      <c r="DJ24" s="675"/>
      <c r="DK24" s="677"/>
      <c r="DM24" s="2137"/>
      <c r="DN24" s="2706"/>
      <c r="DO24" s="4514" t="s">
        <v>455</v>
      </c>
      <c r="DP24" s="4514"/>
      <c r="DQ24" s="4514"/>
      <c r="DR24" s="4514"/>
      <c r="DS24" s="4514"/>
      <c r="DT24" s="4514"/>
      <c r="DU24" s="4514"/>
      <c r="DV24" s="2706"/>
      <c r="DW24" s="256"/>
      <c r="DY24" s="101">
        <v>17</v>
      </c>
    </row>
    <row r="25" spans="1:146" ht="17.100000000000001" customHeight="1" thickBot="1" x14ac:dyDescent="0.25">
      <c r="A25" s="17"/>
      <c r="B25" s="473">
        <v>9</v>
      </c>
      <c r="C25" s="2332">
        <v>540</v>
      </c>
      <c r="D25" s="2332">
        <v>540</v>
      </c>
      <c r="E25" s="2332">
        <v>540</v>
      </c>
      <c r="F25" s="2332">
        <v>540</v>
      </c>
      <c r="G25" s="2332">
        <v>540</v>
      </c>
      <c r="H25" s="2332">
        <v>540</v>
      </c>
      <c r="I25" s="2332">
        <v>540</v>
      </c>
      <c r="J25" s="2332">
        <v>540</v>
      </c>
      <c r="K25" s="2332">
        <v>540</v>
      </c>
      <c r="L25" s="474" t="s">
        <v>84</v>
      </c>
      <c r="M25" s="17"/>
      <c r="N25" s="4304"/>
      <c r="O25" s="4305"/>
      <c r="P25" s="4305"/>
      <c r="Q25" s="4305"/>
      <c r="R25" s="4305"/>
      <c r="S25" s="4305"/>
      <c r="T25" s="4305"/>
      <c r="U25" s="4305"/>
      <c r="V25" s="4305"/>
      <c r="W25" s="4305"/>
      <c r="X25" s="4305"/>
      <c r="Y25" s="4305"/>
      <c r="Z25" s="4305"/>
      <c r="AA25" s="4305"/>
      <c r="AB25" s="4305"/>
      <c r="AC25" s="4305"/>
      <c r="AD25" s="4306"/>
      <c r="AE25" s="92"/>
      <c r="AF25" s="4331"/>
      <c r="AG25" s="4332"/>
      <c r="AH25" s="4332"/>
      <c r="AI25" s="4332"/>
      <c r="AJ25" s="4332"/>
      <c r="AK25" s="4332"/>
      <c r="AL25" s="4332"/>
      <c r="AM25" s="4332"/>
      <c r="AN25" s="4332"/>
      <c r="AO25" s="4332"/>
      <c r="AP25" s="4332"/>
      <c r="AQ25" s="4332"/>
      <c r="AR25" s="4332"/>
      <c r="AS25" s="4332"/>
      <c r="AT25" s="4332"/>
      <c r="AU25" s="4332"/>
      <c r="AV25" s="4333"/>
      <c r="AW25" s="92"/>
      <c r="AX25" s="4304"/>
      <c r="AY25" s="4305"/>
      <c r="AZ25" s="4305"/>
      <c r="BA25" s="4305"/>
      <c r="BB25" s="4305"/>
      <c r="BC25" s="4305"/>
      <c r="BD25" s="4305"/>
      <c r="BE25" s="4305"/>
      <c r="BF25" s="4305"/>
      <c r="BG25" s="4305"/>
      <c r="BH25" s="4305"/>
      <c r="BI25" s="4305"/>
      <c r="BJ25" s="4305"/>
      <c r="BK25" s="4305"/>
      <c r="BL25" s="4305"/>
      <c r="BM25" s="4305"/>
      <c r="BN25" s="4306"/>
      <c r="BO25" s="17"/>
      <c r="BP25" s="474" t="s">
        <v>84</v>
      </c>
      <c r="BQ25" s="2332">
        <v>540</v>
      </c>
      <c r="BR25" s="2332">
        <v>540</v>
      </c>
      <c r="BS25" s="2332">
        <v>540</v>
      </c>
      <c r="BT25" s="2332">
        <v>540</v>
      </c>
      <c r="BU25" s="2332">
        <v>540</v>
      </c>
      <c r="BV25" s="2332">
        <v>540</v>
      </c>
      <c r="BW25" s="2332">
        <v>540</v>
      </c>
      <c r="BX25" s="2332">
        <v>540</v>
      </c>
      <c r="BY25" s="2332">
        <v>540</v>
      </c>
      <c r="BZ25" s="473">
        <v>9</v>
      </c>
      <c r="CA25" s="17"/>
      <c r="CC25" s="491" t="s">
        <v>318</v>
      </c>
      <c r="CE25" s="491" t="s">
        <v>319</v>
      </c>
      <c r="CF25" s="46"/>
      <c r="CI25" s="242"/>
      <c r="CK25" s="2702" t="s">
        <v>472</v>
      </c>
      <c r="CN25" s="492" t="s">
        <v>412</v>
      </c>
      <c r="CQ25" s="492" t="s">
        <v>1698</v>
      </c>
      <c r="CT25" s="377" t="s">
        <v>471</v>
      </c>
      <c r="CV25" s="299"/>
      <c r="CX25" s="2708"/>
      <c r="CY25" s="2707"/>
      <c r="CZ25" s="2702" t="s">
        <v>472</v>
      </c>
      <c r="DC25" s="492" t="s">
        <v>412</v>
      </c>
      <c r="DF25" s="492" t="s">
        <v>1698</v>
      </c>
      <c r="DI25" s="377" t="s">
        <v>471</v>
      </c>
      <c r="DK25" s="681"/>
      <c r="DM25" s="242"/>
      <c r="DO25" s="492" t="s">
        <v>412</v>
      </c>
      <c r="DR25" s="492" t="s">
        <v>1698</v>
      </c>
      <c r="DU25" s="377" t="s">
        <v>471</v>
      </c>
      <c r="DW25" s="299"/>
      <c r="DY25" s="101">
        <v>18</v>
      </c>
    </row>
    <row r="26" spans="1:146" ht="17.100000000000001" customHeight="1" thickTop="1" thickBot="1" x14ac:dyDescent="0.2">
      <c r="A26" s="17"/>
      <c r="B26" s="473">
        <v>8</v>
      </c>
      <c r="C26" s="2332">
        <v>480</v>
      </c>
      <c r="D26" s="2332">
        <v>480</v>
      </c>
      <c r="E26" s="2332">
        <v>480</v>
      </c>
      <c r="F26" s="2332">
        <v>480</v>
      </c>
      <c r="G26" s="2332">
        <v>480</v>
      </c>
      <c r="H26" s="2332">
        <v>480</v>
      </c>
      <c r="I26" s="2332">
        <v>480</v>
      </c>
      <c r="J26" s="2332">
        <v>480</v>
      </c>
      <c r="K26" s="2332">
        <v>480</v>
      </c>
      <c r="L26" s="474" t="s">
        <v>84</v>
      </c>
      <c r="M26" s="17"/>
      <c r="N26" s="493"/>
      <c r="O26" s="894"/>
      <c r="P26" s="894"/>
      <c r="Q26" s="894"/>
      <c r="R26" s="894"/>
      <c r="S26" s="894"/>
      <c r="T26" s="894"/>
      <c r="U26" s="894"/>
      <c r="V26" s="894"/>
      <c r="W26" s="894"/>
      <c r="X26" s="894"/>
      <c r="Y26" s="894"/>
      <c r="Z26" s="894"/>
      <c r="AA26" s="894"/>
      <c r="AB26" s="894"/>
      <c r="AC26" s="894"/>
      <c r="AD26" s="494"/>
      <c r="AE26" s="17"/>
      <c r="AF26" s="4349" t="s">
        <v>1353</v>
      </c>
      <c r="AG26" s="4350"/>
      <c r="AH26" s="4350"/>
      <c r="AI26" s="4350"/>
      <c r="AJ26" s="4350"/>
      <c r="AK26" s="4350"/>
      <c r="AL26" s="4350"/>
      <c r="AM26" s="4350"/>
      <c r="AN26" s="4350"/>
      <c r="AO26" s="4350"/>
      <c r="AP26" s="4350"/>
      <c r="AQ26" s="4350"/>
      <c r="AR26" s="4350"/>
      <c r="AS26" s="4350"/>
      <c r="AT26" s="4350"/>
      <c r="AU26" s="4350"/>
      <c r="AV26" s="4351"/>
      <c r="AW26" s="17"/>
      <c r="AX26" s="493"/>
      <c r="AY26" s="894"/>
      <c r="AZ26" s="894"/>
      <c r="BA26" s="894"/>
      <c r="BB26" s="894"/>
      <c r="BC26" s="894"/>
      <c r="BD26" s="894"/>
      <c r="BE26" s="894"/>
      <c r="BF26" s="894"/>
      <c r="BG26" s="894"/>
      <c r="BH26" s="894"/>
      <c r="BI26" s="894"/>
      <c r="BJ26" s="894"/>
      <c r="BK26" s="894"/>
      <c r="BL26" s="894"/>
      <c r="BM26" s="894"/>
      <c r="BN26" s="494"/>
      <c r="BO26" s="17"/>
      <c r="BP26" s="474" t="s">
        <v>84</v>
      </c>
      <c r="BQ26" s="2332">
        <v>480</v>
      </c>
      <c r="BR26" s="2332">
        <v>480</v>
      </c>
      <c r="BS26" s="2332">
        <v>480</v>
      </c>
      <c r="BT26" s="2332">
        <v>480</v>
      </c>
      <c r="BU26" s="2332">
        <v>480</v>
      </c>
      <c r="BV26" s="2332">
        <v>480</v>
      </c>
      <c r="BW26" s="2332">
        <v>480</v>
      </c>
      <c r="BX26" s="2332">
        <v>480</v>
      </c>
      <c r="BY26" s="2332">
        <v>480</v>
      </c>
      <c r="BZ26" s="473">
        <v>8</v>
      </c>
      <c r="CA26" s="17"/>
      <c r="CC26" s="495"/>
      <c r="CE26" s="46"/>
      <c r="CF26" s="46"/>
      <c r="CI26" s="242"/>
      <c r="CK26" s="2703" t="s">
        <v>473</v>
      </c>
      <c r="CL26" s="496"/>
      <c r="CM26" s="496"/>
      <c r="CN26" s="497" t="s">
        <v>462</v>
      </c>
      <c r="CO26" s="496"/>
      <c r="CQ26" s="379" t="s">
        <v>1705</v>
      </c>
      <c r="CS26" s="496"/>
      <c r="CT26" s="2704" t="s">
        <v>1705</v>
      </c>
      <c r="CU26" s="496"/>
      <c r="CV26" s="2705"/>
      <c r="CX26" s="2709"/>
      <c r="CY26" s="496"/>
      <c r="CZ26" s="2703" t="s">
        <v>473</v>
      </c>
      <c r="DA26" s="496"/>
      <c r="DB26" s="496"/>
      <c r="DC26" s="497" t="s">
        <v>462</v>
      </c>
      <c r="DD26" s="496"/>
      <c r="DF26" s="379" t="s">
        <v>1705</v>
      </c>
      <c r="DH26" s="496"/>
      <c r="DI26" s="2704" t="s">
        <v>1705</v>
      </c>
      <c r="DK26" s="681"/>
      <c r="DM26" s="242"/>
      <c r="DO26" s="497" t="s">
        <v>462</v>
      </c>
      <c r="DP26" s="496"/>
      <c r="DR26" s="379" t="s">
        <v>1705</v>
      </c>
      <c r="DT26" s="496"/>
      <c r="DU26" s="2704" t="s">
        <v>1705</v>
      </c>
      <c r="DW26" s="299"/>
      <c r="DY26" s="101">
        <v>19</v>
      </c>
    </row>
    <row r="27" spans="1:146" ht="17.100000000000001" customHeight="1" thickTop="1" x14ac:dyDescent="0.25">
      <c r="A27" s="17"/>
      <c r="B27" s="473">
        <v>7</v>
      </c>
      <c r="C27" s="2332">
        <v>420</v>
      </c>
      <c r="D27" s="2332">
        <v>420</v>
      </c>
      <c r="E27" s="2332">
        <v>420</v>
      </c>
      <c r="F27" s="2332">
        <v>420</v>
      </c>
      <c r="G27" s="2332">
        <v>420</v>
      </c>
      <c r="H27" s="2332">
        <v>420</v>
      </c>
      <c r="I27" s="2332">
        <v>420</v>
      </c>
      <c r="J27" s="2332">
        <v>420</v>
      </c>
      <c r="K27" s="2332">
        <v>420</v>
      </c>
      <c r="L27" s="474" t="s">
        <v>84</v>
      </c>
      <c r="M27" s="17"/>
      <c r="N27" s="498"/>
      <c r="O27" s="4375" t="str">
        <f>ACTIONS!$C$34</f>
        <v>MND1</v>
      </c>
      <c r="P27" s="4375"/>
      <c r="Q27" s="499" t="s">
        <v>67</v>
      </c>
      <c r="R27" s="4375">
        <f>_xlfn.IFS(
W27=$DJ$41,data!ED104,
W27=$DJ$42,data!EE104,
W27=$DJ$43,data!EF104,
W27=$DJ$44,data!EJ104,
W27=$DJ$45,data!EH104,
W27=$DJ$46,data!EI104,
TRUE, 0)</f>
        <v>0</v>
      </c>
      <c r="S27" s="4375"/>
      <c r="T27" s="500" t="s">
        <v>94</v>
      </c>
      <c r="U27" s="4458"/>
      <c r="V27" s="4458"/>
      <c r="W27" s="4458"/>
      <c r="X27" s="4458"/>
      <c r="Y27" s="4458"/>
      <c r="Z27" s="456"/>
      <c r="AA27" s="501" t="str">
        <f t="shared" ref="AA27:AA35" si="28">_xlfn.IFS(OR(W27=$CC$46,W27=$CC$47),$CC$50,W27=$CC$48,$CC$51,TRUE," ")</f>
        <v xml:space="preserve"> </v>
      </c>
      <c r="AB27" s="502" t="s">
        <v>96</v>
      </c>
      <c r="AC27" s="457">
        <v>15</v>
      </c>
      <c r="AD27" s="503">
        <f>IF(AND(U27&gt;0,R27&gt;=U27),1,0)</f>
        <v>0</v>
      </c>
      <c r="AE27" s="17"/>
      <c r="AF27" s="4341" t="s">
        <v>64</v>
      </c>
      <c r="AG27" s="4342"/>
      <c r="AH27" s="4338"/>
      <c r="AI27" s="4338"/>
      <c r="AJ27" s="4338"/>
      <c r="AK27" s="4338"/>
      <c r="AL27" s="4338"/>
      <c r="AM27" s="4338"/>
      <c r="AN27" s="4338"/>
      <c r="AO27" s="4338"/>
      <c r="AP27" s="4338"/>
      <c r="AQ27" s="4338"/>
      <c r="AR27" s="504">
        <f>ACTIONS!$Z$83</f>
        <v>0</v>
      </c>
      <c r="AS27" s="505" t="s">
        <v>94</v>
      </c>
      <c r="AT27" s="458"/>
      <c r="AU27" s="4334" t="s">
        <v>96</v>
      </c>
      <c r="AV27" s="4336">
        <v>15</v>
      </c>
      <c r="AW27" s="506">
        <f>IF(AND(AT27&gt;0,AR27&gt;=AT27),1,0)</f>
        <v>0</v>
      </c>
      <c r="AX27" s="498"/>
      <c r="AY27" s="4307" t="str">
        <f>ACTIONS!$BQ$34</f>
        <v>BDY1</v>
      </c>
      <c r="AZ27" s="4307"/>
      <c r="BA27" s="499" t="s">
        <v>67</v>
      </c>
      <c r="BB27" s="4307">
        <f>_xlfn.IFS(
BG27=$DJ$41,data!ED114,
BG27=$DJ$42,data!EE114,
BG27=$DJ$43,data!EF114,
BG27=$DJ$44,data!EJ114,
BG27=$DJ$45,data!EH114,
BG27=$DJ$46,data!EI114,
TRUE, 0)</f>
        <v>0</v>
      </c>
      <c r="BC27" s="4307"/>
      <c r="BD27" s="507" t="s">
        <v>94</v>
      </c>
      <c r="BE27" s="4308"/>
      <c r="BF27" s="4308"/>
      <c r="BG27" s="4308"/>
      <c r="BH27" s="4308"/>
      <c r="BI27" s="4308"/>
      <c r="BJ27" s="459"/>
      <c r="BK27" s="508" t="str">
        <f t="shared" ref="BK27:BK35" si="29">_xlfn.IFS(OR(BG27=$CC$46,BG27=$CC$47),$CC$50,BG27=$CC$48,$CC$51,TRUE," ")</f>
        <v xml:space="preserve"> </v>
      </c>
      <c r="BL27" s="502" t="s">
        <v>96</v>
      </c>
      <c r="BM27" s="457">
        <v>15</v>
      </c>
      <c r="BN27" s="503">
        <f>IF(AND(BE27&gt;0,BB27&gt;=BE27),1,0)</f>
        <v>0</v>
      </c>
      <c r="BO27" s="17"/>
      <c r="BP27" s="474" t="s">
        <v>84</v>
      </c>
      <c r="BQ27" s="2332">
        <v>420</v>
      </c>
      <c r="BR27" s="2332">
        <v>420</v>
      </c>
      <c r="BS27" s="2332">
        <v>420</v>
      </c>
      <c r="BT27" s="2332">
        <v>420</v>
      </c>
      <c r="BU27" s="2332">
        <v>420</v>
      </c>
      <c r="BV27" s="2332">
        <v>420</v>
      </c>
      <c r="BW27" s="2332">
        <v>420</v>
      </c>
      <c r="BX27" s="2332">
        <v>420</v>
      </c>
      <c r="BY27" s="2332">
        <v>420</v>
      </c>
      <c r="BZ27" s="473">
        <v>7</v>
      </c>
      <c r="CA27" s="17"/>
      <c r="CC27" s="46">
        <f t="shared" ref="CC27:CC35" si="30">(BE27/3)*2</f>
        <v>0</v>
      </c>
      <c r="CE27" s="46">
        <f t="shared" ref="CE27:CE35" si="31">(BE27/4)*3</f>
        <v>0</v>
      </c>
      <c r="CF27" s="46"/>
      <c r="CI27" s="242"/>
      <c r="CJ27" s="374" t="str">
        <f>O27&amp;" "</f>
        <v xml:space="preserve">MND1 </v>
      </c>
      <c r="CK27" s="509">
        <v>300</v>
      </c>
      <c r="CN27" s="383" t="str">
        <f ca="1">_xlfn.IFS(
AND(R27&lt;U27,PLANS!$B$1=32),32,
W27=$CQ$41,ROUND((U27-R27)/CK27,0),
OR(W27=$CQ$42,W27=$CQ$43,W27=$CQ$44,W27=$CQ$45),U27-R27,
W27=$CQ$46,(U27-R27)*Z27,
TRUE,""
)</f>
        <v/>
      </c>
      <c r="CQ27" s="383">
        <f ca="1">ACTIONS!DK11</f>
        <v>0</v>
      </c>
      <c r="CT27" s="383" t="str">
        <f>IF(W27="","",IF(CQ27=1,IF(CN27&lt;=$CC$10,0,1),IF(CN27&lt;=$CC$9,0,1)))</f>
        <v/>
      </c>
      <c r="CV27" s="299"/>
      <c r="CX27" s="694"/>
      <c r="CY27" s="374" t="str">
        <f t="shared" ref="CY27:CY35" si="32">AY27&amp;" "</f>
        <v xml:space="preserve">BDY1 </v>
      </c>
      <c r="CZ27" s="509">
        <v>180</v>
      </c>
      <c r="DA27" s="46"/>
      <c r="DB27" s="46"/>
      <c r="DC27" s="383" t="str">
        <f ca="1">_xlfn.IFS(
AND(BB27&lt;BE27,PLANS!$B$1=32),32,
BG27=$DJ$41,ROUND((BE27-BB27)/CZ27,0),
OR(BG27=$DJ$42,BG27=$DJ$43,BG27=$DJ$44,BG27=$DJ$45),BE27-BB27,
BG27=$DJ$46,(BE27-BB27)*BJ27,
TRUE,""
)</f>
        <v/>
      </c>
      <c r="DD27" s="35"/>
      <c r="DF27" s="383">
        <f ca="1">ACTIONS!DO11</f>
        <v>0</v>
      </c>
      <c r="DH27" s="35"/>
      <c r="DI27" s="383" t="str">
        <f>IF(BG27="","",IF(DF27=1,IF(DC27&lt;=$CC$10,0,1),IF(DC27&lt;=$CC$9,0,1)))</f>
        <v/>
      </c>
      <c r="DK27" s="681"/>
      <c r="DM27" s="242"/>
      <c r="DO27" s="383">
        <f>$AT$27-$AR$27</f>
        <v>0</v>
      </c>
      <c r="DR27" s="383">
        <f ca="1">ACTIONS!$Y$83</f>
        <v>0</v>
      </c>
      <c r="DU27" s="383">
        <f ca="1">IF(DR27=1,IF(DO27&lt;=$CC$10,0,1),IF(DO27&lt;=$CC$9,0,1))</f>
        <v>0</v>
      </c>
      <c r="DW27" s="2641">
        <f ca="1">DU27</f>
        <v>0</v>
      </c>
      <c r="DY27" s="101">
        <v>20</v>
      </c>
    </row>
    <row r="28" spans="1:146" ht="17.100000000000001" customHeight="1" thickBot="1" x14ac:dyDescent="0.3">
      <c r="A28" s="17"/>
      <c r="B28" s="473">
        <v>6</v>
      </c>
      <c r="C28" s="2332">
        <v>360</v>
      </c>
      <c r="D28" s="2332">
        <v>360</v>
      </c>
      <c r="E28" s="2332">
        <v>360</v>
      </c>
      <c r="F28" s="2332">
        <v>360</v>
      </c>
      <c r="G28" s="2332">
        <v>360</v>
      </c>
      <c r="H28" s="2332">
        <v>360</v>
      </c>
      <c r="I28" s="2332">
        <v>360</v>
      </c>
      <c r="J28" s="2332">
        <v>360</v>
      </c>
      <c r="K28" s="2332">
        <v>360</v>
      </c>
      <c r="L28" s="474" t="s">
        <v>84</v>
      </c>
      <c r="M28" s="17"/>
      <c r="N28" s="498"/>
      <c r="O28" s="4313" t="str">
        <f>ACTIONS!$D$34</f>
        <v>MND2</v>
      </c>
      <c r="P28" s="4313"/>
      <c r="Q28" s="499" t="s">
        <v>67</v>
      </c>
      <c r="R28" s="4313">
        <f>_xlfn.IFS(
W28=$DJ$41,data!ED105,
W28=$DJ$42,data!EE105,
W28=$DJ$43,data!EF105,
W28=$DJ$44,data!EJ105,
W28=$DJ$45,data!EH105,
W28=$DJ$46,data!EI105,
TRUE, 0)</f>
        <v>0</v>
      </c>
      <c r="S28" s="4313"/>
      <c r="T28" s="511" t="s">
        <v>94</v>
      </c>
      <c r="U28" s="4380"/>
      <c r="V28" s="4380"/>
      <c r="W28" s="4380"/>
      <c r="X28" s="4380"/>
      <c r="Y28" s="4380"/>
      <c r="Z28" s="460"/>
      <c r="AA28" s="512" t="str">
        <f t="shared" si="28"/>
        <v xml:space="preserve"> </v>
      </c>
      <c r="AB28" s="502" t="s">
        <v>96</v>
      </c>
      <c r="AC28" s="457">
        <v>15</v>
      </c>
      <c r="AD28" s="503">
        <f t="shared" ref="AD28:AD35" si="33">IF(AND(U28&gt;0,R28&gt;=U28),1,0)</f>
        <v>0</v>
      </c>
      <c r="AE28" s="17"/>
      <c r="AF28" s="4343"/>
      <c r="AG28" s="4344"/>
      <c r="AH28" s="4340"/>
      <c r="AI28" s="4340"/>
      <c r="AJ28" s="4340"/>
      <c r="AK28" s="4340"/>
      <c r="AL28" s="4340"/>
      <c r="AM28" s="4340"/>
      <c r="AN28" s="4340"/>
      <c r="AO28" s="4340"/>
      <c r="AP28" s="4340"/>
      <c r="AQ28" s="4340"/>
      <c r="AR28" s="4339" t="s">
        <v>77</v>
      </c>
      <c r="AS28" s="4339"/>
      <c r="AT28" s="4339"/>
      <c r="AU28" s="4335"/>
      <c r="AV28" s="4337"/>
      <c r="AW28" s="513">
        <f>IF(AR27&gt;=(AT27/3)*2,1,0)</f>
        <v>1</v>
      </c>
      <c r="AX28" s="498"/>
      <c r="AY28" s="4345" t="str">
        <f>ACTIONS!$BR$34</f>
        <v>BDY2</v>
      </c>
      <c r="AZ28" s="4345"/>
      <c r="BA28" s="499" t="s">
        <v>67</v>
      </c>
      <c r="BB28" s="4345">
        <f>_xlfn.IFS(
BG28=$DJ$41,data!ED115,
BG28=$DJ$42,data!EE115,
BG28=$DJ$43,data!EF115,
BG28=$DJ$44,data!EJ115,
BG28=$DJ$45,data!EH115,
BG28=$DJ$46,data!EI115,
TRUE, 0)</f>
        <v>0</v>
      </c>
      <c r="BC28" s="4345"/>
      <c r="BD28" s="514" t="s">
        <v>94</v>
      </c>
      <c r="BE28" s="4309"/>
      <c r="BF28" s="4309"/>
      <c r="BG28" s="4309"/>
      <c r="BH28" s="4309"/>
      <c r="BI28" s="4309"/>
      <c r="BJ28" s="461"/>
      <c r="BK28" s="515" t="str">
        <f t="shared" si="29"/>
        <v xml:space="preserve"> </v>
      </c>
      <c r="BL28" s="502" t="s">
        <v>96</v>
      </c>
      <c r="BM28" s="457">
        <v>15</v>
      </c>
      <c r="BN28" s="503">
        <f t="shared" ref="BN28:BN35" si="34">IF(AND(BE28&gt;0,BB28&gt;=BE28),1,0)</f>
        <v>0</v>
      </c>
      <c r="BO28" s="17"/>
      <c r="BP28" s="474" t="s">
        <v>84</v>
      </c>
      <c r="BQ28" s="2332">
        <v>360</v>
      </c>
      <c r="BR28" s="2332">
        <v>360</v>
      </c>
      <c r="BS28" s="2332">
        <v>360</v>
      </c>
      <c r="BT28" s="2332">
        <v>360</v>
      </c>
      <c r="BU28" s="2332">
        <v>360</v>
      </c>
      <c r="BV28" s="2332">
        <v>360</v>
      </c>
      <c r="BW28" s="2332">
        <v>360</v>
      </c>
      <c r="BX28" s="2332">
        <v>360</v>
      </c>
      <c r="BY28" s="2332">
        <v>360</v>
      </c>
      <c r="BZ28" s="473">
        <v>6</v>
      </c>
      <c r="CA28" s="17"/>
      <c r="CC28" s="46">
        <f t="shared" si="30"/>
        <v>0</v>
      </c>
      <c r="CE28" s="46">
        <f t="shared" si="31"/>
        <v>0</v>
      </c>
      <c r="CF28" s="46"/>
      <c r="CI28" s="242"/>
      <c r="CJ28" s="374" t="str">
        <f t="shared" ref="CJ28:CJ35" si="35">O28&amp;" "</f>
        <v xml:space="preserve">MND2 </v>
      </c>
      <c r="CK28" s="509">
        <v>300</v>
      </c>
      <c r="CN28" s="383" t="str">
        <f ca="1">_xlfn.IFS(
AND(R28&lt;U28,PLANS!$B$1=32),32,
W28=$CQ$41,ROUND((U28-R28)/CK28,0),
OR(W28=$CQ$42,W28=$CQ$43,W28=$CQ$44,W28=$CQ$45),U28-R28,
W28=$CQ$46,(U28-R28)*Z28,
TRUE,""
)</f>
        <v/>
      </c>
      <c r="CQ28" s="383">
        <f ca="1">ACTIONS!DK12</f>
        <v>0</v>
      </c>
      <c r="CT28" s="383" t="str">
        <f t="shared" ref="CT28:CT35" si="36">IF(W28="","",IF(CQ28=1,IF(CN28&lt;=$CC$10,0,1),IF(CN28&lt;=$CC$9,0,1)))</f>
        <v/>
      </c>
      <c r="CV28" s="299"/>
      <c r="CX28" s="694"/>
      <c r="CY28" s="374" t="str">
        <f t="shared" si="32"/>
        <v xml:space="preserve">BDY2 </v>
      </c>
      <c r="CZ28" s="509">
        <v>120</v>
      </c>
      <c r="DA28" s="46"/>
      <c r="DB28" s="46"/>
      <c r="DC28" s="383" t="str">
        <f ca="1">_xlfn.IFS(
AND(BB28&lt;BE28,PLANS!$B$1=32),32,
BG28=$DJ$41,ROUND((BE28-BB28)/CZ28,0),
OR(BG28=$DJ$42,BG28=$DJ$43,BG28=$DJ$44,BG28=$DJ$45),BE28-BB28,
BG28=$DJ$46,(BE28-BB28)*BJ28,
TRUE,""
)</f>
        <v/>
      </c>
      <c r="DD28" s="35"/>
      <c r="DF28" s="383">
        <f ca="1">ACTIONS!DO12</f>
        <v>0</v>
      </c>
      <c r="DH28" s="35"/>
      <c r="DI28" s="383" t="str">
        <f t="shared" ref="DI28:DI35" si="37">IF(BG28="","",IF(DF28=1,IF(DC28&lt;=$CC$10,0,1),IF(DC28&lt;=$CC$9,0,1)))</f>
        <v/>
      </c>
      <c r="DK28" s="681"/>
      <c r="DM28" s="242"/>
      <c r="DO28" s="383">
        <f>$AT$29-$AR$29</f>
        <v>0</v>
      </c>
      <c r="DR28" s="383">
        <f ca="1">ACTIONS!$AF$83</f>
        <v>0</v>
      </c>
      <c r="DU28" s="383">
        <f t="shared" ref="DU28:DU31" ca="1" si="38">IF(DR28=1,IF(DO28&lt;=$CC$10,0,1),IF(DO28&lt;=$CC$9,0,1))</f>
        <v>0</v>
      </c>
      <c r="DW28" s="2641"/>
      <c r="DY28" s="101">
        <v>21</v>
      </c>
    </row>
    <row r="29" spans="1:146" ht="17.100000000000001" customHeight="1" thickTop="1" x14ac:dyDescent="0.25">
      <c r="A29" s="17"/>
      <c r="B29" s="473">
        <v>5</v>
      </c>
      <c r="C29" s="2332">
        <v>300</v>
      </c>
      <c r="D29" s="2332">
        <v>300</v>
      </c>
      <c r="E29" s="2332">
        <v>300</v>
      </c>
      <c r="F29" s="2332">
        <v>300</v>
      </c>
      <c r="G29" s="2332">
        <v>300</v>
      </c>
      <c r="H29" s="2332">
        <v>300</v>
      </c>
      <c r="I29" s="2332">
        <v>300</v>
      </c>
      <c r="J29" s="2332">
        <v>300</v>
      </c>
      <c r="K29" s="2332">
        <v>300</v>
      </c>
      <c r="L29" s="474" t="s">
        <v>84</v>
      </c>
      <c r="M29" s="17"/>
      <c r="N29" s="498"/>
      <c r="O29" s="4314" t="str">
        <f>ACTIONS!$E$34</f>
        <v>MND3</v>
      </c>
      <c r="P29" s="4314"/>
      <c r="Q29" s="499" t="s">
        <v>67</v>
      </c>
      <c r="R29" s="4314">
        <f>_xlfn.IFS(
W29=$DJ$41,data!ED106,
W29=$DJ$42,data!EE106,
W29=$DJ$43,data!EF106,
W29=$DJ$44,data!EJ106,
W29=$DJ$45,data!EH106,
W29=$DJ$46,data!EI106,
TRUE, 0)</f>
        <v>0</v>
      </c>
      <c r="S29" s="4314"/>
      <c r="T29" s="516" t="s">
        <v>94</v>
      </c>
      <c r="U29" s="4377"/>
      <c r="V29" s="4377"/>
      <c r="W29" s="4377"/>
      <c r="X29" s="4377"/>
      <c r="Y29" s="4377"/>
      <c r="Z29" s="462"/>
      <c r="AA29" s="517" t="str">
        <f t="shared" si="28"/>
        <v xml:space="preserve"> </v>
      </c>
      <c r="AB29" s="502" t="s">
        <v>96</v>
      </c>
      <c r="AC29" s="457">
        <v>15</v>
      </c>
      <c r="AD29" s="503">
        <f t="shared" si="33"/>
        <v>0</v>
      </c>
      <c r="AE29" s="17"/>
      <c r="AF29" s="4341" t="s">
        <v>64</v>
      </c>
      <c r="AG29" s="4342"/>
      <c r="AH29" s="4338"/>
      <c r="AI29" s="4338"/>
      <c r="AJ29" s="4338"/>
      <c r="AK29" s="4338"/>
      <c r="AL29" s="4338"/>
      <c r="AM29" s="4338"/>
      <c r="AN29" s="4338"/>
      <c r="AO29" s="4338"/>
      <c r="AP29" s="4338"/>
      <c r="AQ29" s="4338"/>
      <c r="AR29" s="504">
        <f>ACTIONS!$AG$83</f>
        <v>0</v>
      </c>
      <c r="AS29" s="505" t="s">
        <v>94</v>
      </c>
      <c r="AT29" s="458"/>
      <c r="AU29" s="4334" t="s">
        <v>96</v>
      </c>
      <c r="AV29" s="4336">
        <v>15</v>
      </c>
      <c r="AW29" s="506">
        <f>IF(AND(AT29&gt;0,AR29&gt;=AT29),1,0)</f>
        <v>0</v>
      </c>
      <c r="AX29" s="498"/>
      <c r="AY29" s="4347" t="str">
        <f>ACTIONS!$BS$34</f>
        <v>BDY3</v>
      </c>
      <c r="AZ29" s="4347"/>
      <c r="BA29" s="499" t="s">
        <v>67</v>
      </c>
      <c r="BB29" s="4347">
        <f>_xlfn.IFS(
BG29=$DJ$41,data!ED116,
BG29=$DJ$42,data!EE116,
BG29=$DJ$43,data!EF116,
BG29=$DJ$44,data!EJ116,
BG29=$DJ$45,data!EH116,
BG29=$DJ$46,data!EI116,
TRUE, 0)</f>
        <v>0</v>
      </c>
      <c r="BC29" s="4347"/>
      <c r="BD29" s="518" t="s">
        <v>94</v>
      </c>
      <c r="BE29" s="4326"/>
      <c r="BF29" s="4326"/>
      <c r="BG29" s="4326"/>
      <c r="BH29" s="4326"/>
      <c r="BI29" s="4326"/>
      <c r="BJ29" s="463"/>
      <c r="BK29" s="519" t="str">
        <f t="shared" si="29"/>
        <v xml:space="preserve"> </v>
      </c>
      <c r="BL29" s="502" t="s">
        <v>96</v>
      </c>
      <c r="BM29" s="457">
        <v>15</v>
      </c>
      <c r="BN29" s="503">
        <f t="shared" si="34"/>
        <v>0</v>
      </c>
      <c r="BO29" s="17"/>
      <c r="BP29" s="474" t="s">
        <v>84</v>
      </c>
      <c r="BQ29" s="2332">
        <v>300</v>
      </c>
      <c r="BR29" s="2332">
        <v>300</v>
      </c>
      <c r="BS29" s="2332">
        <v>300</v>
      </c>
      <c r="BT29" s="2332">
        <v>300</v>
      </c>
      <c r="BU29" s="2332">
        <v>300</v>
      </c>
      <c r="BV29" s="2332">
        <v>300</v>
      </c>
      <c r="BW29" s="2332">
        <v>300</v>
      </c>
      <c r="BX29" s="2332">
        <v>300</v>
      </c>
      <c r="BY29" s="2332">
        <v>300</v>
      </c>
      <c r="BZ29" s="473">
        <v>5</v>
      </c>
      <c r="CA29" s="17"/>
      <c r="CC29" s="46">
        <f t="shared" si="30"/>
        <v>0</v>
      </c>
      <c r="CE29" s="46">
        <f t="shared" si="31"/>
        <v>0</v>
      </c>
      <c r="CF29" s="46"/>
      <c r="CI29" s="242"/>
      <c r="CJ29" s="374" t="str">
        <f t="shared" si="35"/>
        <v xml:space="preserve">MND3 </v>
      </c>
      <c r="CK29" s="509">
        <v>300</v>
      </c>
      <c r="CN29" s="383" t="str">
        <f ca="1">_xlfn.IFS(
AND(R29&lt;U29,PLANS!$B$1=32),32,
W29=$CC$43,ROUND((U29-R29)/CK29,0),
OR(W29=$CC$44,W29=$CC$45,W29=$CC$46,W29=$CC$47),U29-R29,
W29=$CC$48,(U29-R29)*Z29,
TRUE,""
)</f>
        <v/>
      </c>
      <c r="CQ29" s="383">
        <f ca="1">ACTIONS!DK13</f>
        <v>0</v>
      </c>
      <c r="CT29" s="383" t="str">
        <f t="shared" si="36"/>
        <v/>
      </c>
      <c r="CV29" s="299"/>
      <c r="CX29" s="694"/>
      <c r="CY29" s="374" t="str">
        <f t="shared" si="32"/>
        <v xml:space="preserve">BDY3 </v>
      </c>
      <c r="CZ29" s="509">
        <v>300</v>
      </c>
      <c r="DA29" s="46"/>
      <c r="DB29" s="46"/>
      <c r="DC29" s="383" t="str">
        <f ca="1">_xlfn.IFS(
AND(BB29&lt;BE29,PLANS!$B$1=32),32,
BG29=$DJ$41,ROUND((BE29-BB29)/CZ29,0),
OR(BG29=$DJ$42,BG29=$DJ$43,BG29=$DJ$44,BG29=$DJ$45),BE29-BB29,
BG29=$DJ$46,(BE29-BB29)*BJ29,
TRUE,""
)</f>
        <v/>
      </c>
      <c r="DD29" s="35"/>
      <c r="DF29" s="383">
        <f ca="1">ACTIONS!DO13</f>
        <v>0</v>
      </c>
      <c r="DH29" s="35"/>
      <c r="DI29" s="383" t="str">
        <f t="shared" si="37"/>
        <v/>
      </c>
      <c r="DK29" s="681"/>
      <c r="DM29" s="242"/>
      <c r="DO29" s="383">
        <f>$AT$31-$AR$31</f>
        <v>0</v>
      </c>
      <c r="DR29" s="383">
        <f ca="1">ACTIONS!$AM$83</f>
        <v>0</v>
      </c>
      <c r="DU29" s="383">
        <f t="shared" ca="1" si="38"/>
        <v>0</v>
      </c>
      <c r="DW29" s="2641">
        <f ca="1">DU28</f>
        <v>0</v>
      </c>
      <c r="DY29" s="101">
        <v>22</v>
      </c>
    </row>
    <row r="30" spans="1:146" ht="17.100000000000001" customHeight="1" thickBot="1" x14ac:dyDescent="0.3">
      <c r="A30" s="17"/>
      <c r="B30" s="473">
        <v>4</v>
      </c>
      <c r="C30" s="2332">
        <v>240</v>
      </c>
      <c r="D30" s="2332">
        <v>240</v>
      </c>
      <c r="E30" s="2332">
        <v>240</v>
      </c>
      <c r="F30" s="2332">
        <v>240</v>
      </c>
      <c r="G30" s="2332">
        <v>240</v>
      </c>
      <c r="H30" s="2332">
        <v>240</v>
      </c>
      <c r="I30" s="2332">
        <v>240</v>
      </c>
      <c r="J30" s="2332">
        <v>240</v>
      </c>
      <c r="K30" s="2332">
        <v>240</v>
      </c>
      <c r="L30" s="474" t="s">
        <v>84</v>
      </c>
      <c r="M30" s="17"/>
      <c r="N30" s="498"/>
      <c r="O30" s="4348" t="str">
        <f>ACTIONS!$F$34</f>
        <v>MND4</v>
      </c>
      <c r="P30" s="4348"/>
      <c r="Q30" s="499" t="s">
        <v>67</v>
      </c>
      <c r="R30" s="4348">
        <f>_xlfn.IFS(
W30=$DJ$41,data!ED107,
W30=$DJ$42,data!EE107,
W30=$DJ$43,data!EF107,
W30=$DJ$44,data!EJ107,
W30=$DJ$45,data!EH107,
W30=$DJ$46,data!EI107,
TRUE, 0)</f>
        <v>0</v>
      </c>
      <c r="S30" s="4348"/>
      <c r="T30" s="520" t="s">
        <v>94</v>
      </c>
      <c r="U30" s="4378"/>
      <c r="V30" s="4378"/>
      <c r="W30" s="4378"/>
      <c r="X30" s="4378"/>
      <c r="Y30" s="4378"/>
      <c r="Z30" s="464"/>
      <c r="AA30" s="521" t="str">
        <f t="shared" si="28"/>
        <v xml:space="preserve"> </v>
      </c>
      <c r="AB30" s="502" t="s">
        <v>96</v>
      </c>
      <c r="AC30" s="457">
        <v>15</v>
      </c>
      <c r="AD30" s="503">
        <f t="shared" si="33"/>
        <v>0</v>
      </c>
      <c r="AE30" s="17"/>
      <c r="AF30" s="4343"/>
      <c r="AG30" s="4344"/>
      <c r="AH30" s="4340"/>
      <c r="AI30" s="4340"/>
      <c r="AJ30" s="4340"/>
      <c r="AK30" s="4340"/>
      <c r="AL30" s="4340"/>
      <c r="AM30" s="4340"/>
      <c r="AN30" s="4340"/>
      <c r="AO30" s="4340"/>
      <c r="AP30" s="4340"/>
      <c r="AQ30" s="4340"/>
      <c r="AR30" s="4339" t="s">
        <v>77</v>
      </c>
      <c r="AS30" s="4339"/>
      <c r="AT30" s="4339"/>
      <c r="AU30" s="4335"/>
      <c r="AV30" s="4337"/>
      <c r="AW30" s="513">
        <f>IF(AR29&gt;=(AT29/3)*2,1,0)</f>
        <v>1</v>
      </c>
      <c r="AX30" s="498"/>
      <c r="AY30" s="4327" t="str">
        <f>ACTIONS!$BT$34</f>
        <v>BDY4</v>
      </c>
      <c r="AZ30" s="4327"/>
      <c r="BA30" s="499" t="s">
        <v>67</v>
      </c>
      <c r="BB30" s="4327">
        <f>_xlfn.IFS(
BG30=$DJ$41,data!ED117,
BG30=$DJ$42,data!EE117,
BG30=$DJ$43,data!EF117,
BG30=$DJ$44,data!EJ117,
BG30=$DJ$45,data!EH117,
BG30=$DJ$46,data!EI117,
TRUE, 0)</f>
        <v>0</v>
      </c>
      <c r="BC30" s="4327"/>
      <c r="BD30" s="522" t="s">
        <v>94</v>
      </c>
      <c r="BE30" s="4310"/>
      <c r="BF30" s="4310"/>
      <c r="BG30" s="4310"/>
      <c r="BH30" s="4310"/>
      <c r="BI30" s="4310"/>
      <c r="BJ30" s="465"/>
      <c r="BK30" s="523" t="str">
        <f t="shared" si="29"/>
        <v xml:space="preserve"> </v>
      </c>
      <c r="BL30" s="502" t="s">
        <v>96</v>
      </c>
      <c r="BM30" s="457">
        <v>15</v>
      </c>
      <c r="BN30" s="503">
        <f t="shared" si="34"/>
        <v>0</v>
      </c>
      <c r="BO30" s="17"/>
      <c r="BP30" s="474" t="s">
        <v>84</v>
      </c>
      <c r="BQ30" s="2332">
        <v>240</v>
      </c>
      <c r="BR30" s="2332">
        <v>240</v>
      </c>
      <c r="BS30" s="2332">
        <v>240</v>
      </c>
      <c r="BT30" s="2332">
        <v>240</v>
      </c>
      <c r="BU30" s="2332">
        <v>240</v>
      </c>
      <c r="BV30" s="2332">
        <v>240</v>
      </c>
      <c r="BW30" s="2332">
        <v>240</v>
      </c>
      <c r="BX30" s="2332">
        <v>240</v>
      </c>
      <c r="BY30" s="2332">
        <v>240</v>
      </c>
      <c r="BZ30" s="473">
        <v>4</v>
      </c>
      <c r="CA30" s="17"/>
      <c r="CC30" s="46">
        <f t="shared" si="30"/>
        <v>0</v>
      </c>
      <c r="CE30" s="46">
        <f t="shared" si="31"/>
        <v>0</v>
      </c>
      <c r="CF30" s="46"/>
      <c r="CI30" s="242"/>
      <c r="CJ30" s="374" t="str">
        <f t="shared" si="35"/>
        <v xml:space="preserve">MND4 </v>
      </c>
      <c r="CK30" s="509">
        <v>300</v>
      </c>
      <c r="CN30" s="383" t="str">
        <f ca="1">_xlfn.IFS(
AND(R30&lt;U30,PLANS!$B$1=32),32,
W30=$CQ$41,ROUND((U30-R30)/CK30,0),
OR(W30=$CQ$42,W30=$CQ$43,W30=$CQ$44,W30=$CQ$45),U30-R30,
W30=$CQ$46,(U30-R30)*Z30,
TRUE,""
)</f>
        <v/>
      </c>
      <c r="CQ30" s="383">
        <f ca="1">ACTIONS!DK14</f>
        <v>0</v>
      </c>
      <c r="CT30" s="383" t="str">
        <f t="shared" si="36"/>
        <v/>
      </c>
      <c r="CV30" s="299"/>
      <c r="CX30" s="694"/>
      <c r="CY30" s="374" t="str">
        <f t="shared" si="32"/>
        <v xml:space="preserve">BDY4 </v>
      </c>
      <c r="CZ30" s="509">
        <v>120</v>
      </c>
      <c r="DA30" s="46"/>
      <c r="DB30" s="46"/>
      <c r="DC30" s="383" t="str">
        <f ca="1">_xlfn.IFS(
AND(BB30&lt;BE30,PLANS!$B$1=32),32,
BG30=$DJ$41,ROUND((BE30-BB30)/CZ30,0),
OR(BG30=$DJ$42,BG30=$DJ$43,BG30=$DJ$44,BG30=$DJ$45),BE30-BB30,
BG30=$DJ$46,(BE30-BB30)*BJ30,
TRUE,""
)</f>
        <v/>
      </c>
      <c r="DD30" s="35"/>
      <c r="DF30" s="383">
        <f ca="1">ACTIONS!DO14</f>
        <v>0</v>
      </c>
      <c r="DH30" s="35"/>
      <c r="DI30" s="383" t="str">
        <f t="shared" si="37"/>
        <v/>
      </c>
      <c r="DK30" s="681"/>
      <c r="DM30" s="242"/>
      <c r="DO30" s="383">
        <f>$AT$33-$AR$33</f>
        <v>0</v>
      </c>
      <c r="DR30" s="383">
        <f ca="1">ACTIONS!$AT$83</f>
        <v>0</v>
      </c>
      <c r="DU30" s="383">
        <f t="shared" ca="1" si="38"/>
        <v>0</v>
      </c>
      <c r="DW30" s="2641"/>
      <c r="DY30" s="101">
        <v>23</v>
      </c>
    </row>
    <row r="31" spans="1:146" ht="17.100000000000001" customHeight="1" thickTop="1" x14ac:dyDescent="0.25">
      <c r="A31" s="17"/>
      <c r="B31" s="473">
        <v>3</v>
      </c>
      <c r="C31" s="2332">
        <v>180</v>
      </c>
      <c r="D31" s="2332">
        <v>180</v>
      </c>
      <c r="E31" s="2332">
        <v>180</v>
      </c>
      <c r="F31" s="2332">
        <v>180</v>
      </c>
      <c r="G31" s="2332">
        <v>180</v>
      </c>
      <c r="H31" s="2332">
        <v>180</v>
      </c>
      <c r="I31" s="2332">
        <v>180</v>
      </c>
      <c r="J31" s="2332">
        <v>180</v>
      </c>
      <c r="K31" s="2332">
        <v>180</v>
      </c>
      <c r="L31" s="474" t="s">
        <v>84</v>
      </c>
      <c r="M31" s="17"/>
      <c r="N31" s="498"/>
      <c r="O31" s="4376" t="str">
        <f>ACTIONS!$G$34</f>
        <v>MND5</v>
      </c>
      <c r="P31" s="4376"/>
      <c r="Q31" s="499" t="s">
        <v>67</v>
      </c>
      <c r="R31" s="4376">
        <f>_xlfn.IFS(
W31=$DJ$41,data!ED108,
W31=$DJ$42,data!EE108,
W31=$DJ$43,data!EF108,
W31=$DJ$44,data!EJ108,
W31=$DJ$45,data!EH108,
W31=$DJ$46,data!EI108,
TRUE, 0)</f>
        <v>0</v>
      </c>
      <c r="S31" s="4376"/>
      <c r="T31" s="524" t="s">
        <v>94</v>
      </c>
      <c r="U31" s="4379"/>
      <c r="V31" s="4379"/>
      <c r="W31" s="4379"/>
      <c r="X31" s="4379"/>
      <c r="Y31" s="4379"/>
      <c r="Z31" s="466"/>
      <c r="AA31" s="525" t="str">
        <f t="shared" si="28"/>
        <v xml:space="preserve"> </v>
      </c>
      <c r="AB31" s="502" t="s">
        <v>96</v>
      </c>
      <c r="AC31" s="457">
        <v>15</v>
      </c>
      <c r="AD31" s="503">
        <f t="shared" si="33"/>
        <v>0</v>
      </c>
      <c r="AE31" s="17"/>
      <c r="AF31" s="4341" t="s">
        <v>64</v>
      </c>
      <c r="AG31" s="4342"/>
      <c r="AH31" s="4338"/>
      <c r="AI31" s="4338"/>
      <c r="AJ31" s="4338"/>
      <c r="AK31" s="4338"/>
      <c r="AL31" s="4338"/>
      <c r="AM31" s="4338"/>
      <c r="AN31" s="4338"/>
      <c r="AO31" s="4338"/>
      <c r="AP31" s="4338"/>
      <c r="AQ31" s="4338"/>
      <c r="AR31" s="504">
        <f>ACTIONS!$AN$83</f>
        <v>0</v>
      </c>
      <c r="AS31" s="505" t="s">
        <v>94</v>
      </c>
      <c r="AT31" s="458"/>
      <c r="AU31" s="4334" t="s">
        <v>96</v>
      </c>
      <c r="AV31" s="4336">
        <v>15</v>
      </c>
      <c r="AW31" s="506">
        <f>IF(AND(AT31&gt;0,AR31&gt;=AT31),1,0)</f>
        <v>0</v>
      </c>
      <c r="AX31" s="498"/>
      <c r="AY31" s="4376" t="str">
        <f>ACTIONS!$BU$34</f>
        <v>BDY5</v>
      </c>
      <c r="AZ31" s="4376"/>
      <c r="BA31" s="499" t="s">
        <v>67</v>
      </c>
      <c r="BB31" s="4376">
        <f>_xlfn.IFS(
BG31=$DJ$41,data!ED118,
BG31=$DJ$42,data!EE118,
BG31=$DJ$43,data!EF118,
BG31=$DJ$44,data!EJ118,
BG31=$DJ$45,data!EH118,
BG31=$DJ$46,data!EI118,
TRUE, 0)</f>
        <v>0</v>
      </c>
      <c r="BC31" s="4376"/>
      <c r="BD31" s="524" t="s">
        <v>94</v>
      </c>
      <c r="BE31" s="4379"/>
      <c r="BF31" s="4379"/>
      <c r="BG31" s="4379"/>
      <c r="BH31" s="4379"/>
      <c r="BI31" s="4379"/>
      <c r="BJ31" s="466"/>
      <c r="BK31" s="525" t="str">
        <f t="shared" si="29"/>
        <v xml:space="preserve"> </v>
      </c>
      <c r="BL31" s="502" t="s">
        <v>96</v>
      </c>
      <c r="BM31" s="457">
        <v>15</v>
      </c>
      <c r="BN31" s="503">
        <f t="shared" si="34"/>
        <v>0</v>
      </c>
      <c r="BO31" s="17"/>
      <c r="BP31" s="474" t="s">
        <v>84</v>
      </c>
      <c r="BQ31" s="2332">
        <v>180</v>
      </c>
      <c r="BR31" s="2332">
        <v>180</v>
      </c>
      <c r="BS31" s="2332">
        <v>180</v>
      </c>
      <c r="BT31" s="2332">
        <v>180</v>
      </c>
      <c r="BU31" s="2332">
        <v>180</v>
      </c>
      <c r="BV31" s="2332">
        <v>180</v>
      </c>
      <c r="BW31" s="2332">
        <v>180</v>
      </c>
      <c r="BX31" s="2332">
        <v>180</v>
      </c>
      <c r="BY31" s="2332">
        <v>180</v>
      </c>
      <c r="BZ31" s="473">
        <v>3</v>
      </c>
      <c r="CA31" s="17"/>
      <c r="CC31" s="46">
        <f t="shared" si="30"/>
        <v>0</v>
      </c>
      <c r="CE31" s="46">
        <f t="shared" si="31"/>
        <v>0</v>
      </c>
      <c r="CF31" s="46"/>
      <c r="CI31" s="242"/>
      <c r="CJ31" s="374" t="str">
        <f t="shared" si="35"/>
        <v xml:space="preserve">MND5 </v>
      </c>
      <c r="CK31" s="509">
        <v>300</v>
      </c>
      <c r="CN31" s="383" t="str">
        <f ca="1">_xlfn.IFS(
AND(R31&lt;U31,PLANS!$B$1=32),32,
W31=$CQ$41,ROUND((U31-R31)/CK31,0),
OR(W31=$CQ$42,W31=$CQ$43,W31=$CQ$44,W31=$CQ$45),U31-R31,
W31=$CQ$46,(U31-R31)*Z31,
TRUE,""
)</f>
        <v/>
      </c>
      <c r="CQ31" s="383">
        <f ca="1">ACTIONS!DK15</f>
        <v>0</v>
      </c>
      <c r="CT31" s="383" t="str">
        <f t="shared" si="36"/>
        <v/>
      </c>
      <c r="CV31" s="299"/>
      <c r="CX31" s="694"/>
      <c r="CY31" s="374" t="str">
        <f t="shared" si="32"/>
        <v xml:space="preserve">BDY5 </v>
      </c>
      <c r="CZ31" s="509">
        <v>300</v>
      </c>
      <c r="DA31" s="46"/>
      <c r="DB31" s="46"/>
      <c r="DC31" s="383" t="str">
        <f ca="1">_xlfn.IFS(
AND(BB31&lt;BE31,PLANS!$B$1=32),32,
BG31=$DJ$41,ROUND((BE31-BB31)/CZ31,0),
OR(BG31=$DJ$42,BG31=$DJ$43,BG31=$DJ$44,BG31=$DJ$45),BE31-BB31,
BG31=$DJ$46,(BE31-BB31)*BJ31,
TRUE,""
)</f>
        <v/>
      </c>
      <c r="DD31" s="35"/>
      <c r="DF31" s="383">
        <f ca="1">ACTIONS!DO15</f>
        <v>0</v>
      </c>
      <c r="DH31" s="35"/>
      <c r="DI31" s="383" t="str">
        <f t="shared" si="37"/>
        <v/>
      </c>
      <c r="DK31" s="681"/>
      <c r="DM31" s="242"/>
      <c r="DO31" s="383">
        <f>$AT$35-$AR$35</f>
        <v>0</v>
      </c>
      <c r="DR31" s="383">
        <f ca="1">ACTIONS!$BA$83</f>
        <v>0</v>
      </c>
      <c r="DU31" s="383">
        <f t="shared" ca="1" si="38"/>
        <v>0</v>
      </c>
      <c r="DW31" s="2641">
        <f ca="1">DU29</f>
        <v>0</v>
      </c>
      <c r="DY31" s="101">
        <v>24</v>
      </c>
    </row>
    <row r="32" spans="1:146" ht="17.100000000000001" customHeight="1" thickBot="1" x14ac:dyDescent="0.3">
      <c r="A32" s="17"/>
      <c r="B32" s="473">
        <v>2</v>
      </c>
      <c r="C32" s="2332">
        <v>120</v>
      </c>
      <c r="D32" s="2332">
        <v>120</v>
      </c>
      <c r="E32" s="2332">
        <v>120</v>
      </c>
      <c r="F32" s="2332">
        <v>120</v>
      </c>
      <c r="G32" s="2332">
        <v>120</v>
      </c>
      <c r="H32" s="2332">
        <v>120</v>
      </c>
      <c r="I32" s="2332">
        <v>120</v>
      </c>
      <c r="J32" s="2332">
        <v>120</v>
      </c>
      <c r="K32" s="2332">
        <v>120</v>
      </c>
      <c r="L32" s="474" t="s">
        <v>84</v>
      </c>
      <c r="M32" s="17"/>
      <c r="N32" s="498"/>
      <c r="O32" s="4327" t="str">
        <f>ACTIONS!$H$34</f>
        <v>MND6</v>
      </c>
      <c r="P32" s="4327"/>
      <c r="Q32" s="499" t="s">
        <v>67</v>
      </c>
      <c r="R32" s="4327">
        <f>_xlfn.IFS(
W32=$DJ$41,data!ED109,
W32=$DJ$42,data!EE109,
W32=$DJ$43,data!EF109,
W32=$DJ$44,data!EJ109,
W32=$DJ$45,data!EH109,
W32=$DJ$46,data!EI109,
TRUE, 0)</f>
        <v>0</v>
      </c>
      <c r="S32" s="4327"/>
      <c r="T32" s="522" t="s">
        <v>94</v>
      </c>
      <c r="U32" s="4310"/>
      <c r="V32" s="4310"/>
      <c r="W32" s="4310"/>
      <c r="X32" s="4310"/>
      <c r="Y32" s="4310"/>
      <c r="Z32" s="465"/>
      <c r="AA32" s="523" t="str">
        <f t="shared" si="28"/>
        <v xml:space="preserve"> </v>
      </c>
      <c r="AB32" s="502" t="s">
        <v>96</v>
      </c>
      <c r="AC32" s="457">
        <v>15</v>
      </c>
      <c r="AD32" s="503">
        <f t="shared" si="33"/>
        <v>0</v>
      </c>
      <c r="AE32" s="17"/>
      <c r="AF32" s="4343"/>
      <c r="AG32" s="4344"/>
      <c r="AH32" s="4340"/>
      <c r="AI32" s="4340"/>
      <c r="AJ32" s="4340"/>
      <c r="AK32" s="4340"/>
      <c r="AL32" s="4340"/>
      <c r="AM32" s="4340"/>
      <c r="AN32" s="4340"/>
      <c r="AO32" s="4340"/>
      <c r="AP32" s="4340"/>
      <c r="AQ32" s="4340"/>
      <c r="AR32" s="4339" t="s">
        <v>77</v>
      </c>
      <c r="AS32" s="4339"/>
      <c r="AT32" s="4339"/>
      <c r="AU32" s="4335"/>
      <c r="AV32" s="4337"/>
      <c r="AW32" s="513">
        <f>IF(AR31&gt;=(AT31/3)*2,1,0)</f>
        <v>1</v>
      </c>
      <c r="AX32" s="498"/>
      <c r="AY32" s="4348" t="str">
        <f>ACTIONS!$BV$34</f>
        <v>BDY6</v>
      </c>
      <c r="AZ32" s="4348"/>
      <c r="BA32" s="499" t="s">
        <v>67</v>
      </c>
      <c r="BB32" s="4348">
        <f>_xlfn.IFS(
BG32=$DJ$41,data!ED119,
BG32=$DJ$42,data!EE119,
BG32=$DJ$43,data!EF119,
BG32=$DJ$44,data!EJ119,
BG32=$DJ$45,data!EH119,
BG32=$DJ$46,data!EI119,
TRUE, 0)</f>
        <v>0</v>
      </c>
      <c r="BC32" s="4348"/>
      <c r="BD32" s="520" t="s">
        <v>94</v>
      </c>
      <c r="BE32" s="4378"/>
      <c r="BF32" s="4378"/>
      <c r="BG32" s="4378"/>
      <c r="BH32" s="4378"/>
      <c r="BI32" s="4378"/>
      <c r="BJ32" s="464"/>
      <c r="BK32" s="521" t="str">
        <f t="shared" si="29"/>
        <v xml:space="preserve"> </v>
      </c>
      <c r="BL32" s="502" t="s">
        <v>96</v>
      </c>
      <c r="BM32" s="457">
        <v>15</v>
      </c>
      <c r="BN32" s="503">
        <f t="shared" si="34"/>
        <v>0</v>
      </c>
      <c r="BO32" s="17"/>
      <c r="BP32" s="474" t="s">
        <v>84</v>
      </c>
      <c r="BQ32" s="2332">
        <v>120</v>
      </c>
      <c r="BR32" s="2332">
        <v>120</v>
      </c>
      <c r="BS32" s="2332">
        <v>120</v>
      </c>
      <c r="BT32" s="2332">
        <v>120</v>
      </c>
      <c r="BU32" s="2332">
        <v>120</v>
      </c>
      <c r="BV32" s="2332">
        <v>120</v>
      </c>
      <c r="BW32" s="2332">
        <v>120</v>
      </c>
      <c r="BX32" s="2332">
        <v>120</v>
      </c>
      <c r="BY32" s="2332">
        <v>120</v>
      </c>
      <c r="BZ32" s="473">
        <v>2</v>
      </c>
      <c r="CA32" s="17"/>
      <c r="CC32" s="46">
        <f t="shared" si="30"/>
        <v>0</v>
      </c>
      <c r="CE32" s="46">
        <f t="shared" si="31"/>
        <v>0</v>
      </c>
      <c r="CF32" s="46"/>
      <c r="CI32" s="242"/>
      <c r="CJ32" s="374" t="str">
        <f t="shared" si="35"/>
        <v xml:space="preserve">MND6 </v>
      </c>
      <c r="CK32" s="509">
        <v>300</v>
      </c>
      <c r="CN32" s="383" t="str">
        <f ca="1">_xlfn.IFS(
AND(R32&lt;U32,PLANS!$B$1=32),32,
W32=$CQ$41,ROUND((U32-R32)/CK32,0),
OR(W32=$CQ$42,W32=$CQ$43,W32=$CQ$44,W32=$CQ$45),U32-R32,
W32=$CQ$46,(U32-R32)*Z32,
TRUE,""
)</f>
        <v/>
      </c>
      <c r="CQ32" s="383">
        <f ca="1">ACTIONS!DK16</f>
        <v>0</v>
      </c>
      <c r="CT32" s="383" t="str">
        <f t="shared" si="36"/>
        <v/>
      </c>
      <c r="CV32" s="299"/>
      <c r="CX32" s="694"/>
      <c r="CY32" s="374" t="str">
        <f t="shared" si="32"/>
        <v xml:space="preserve">BDY6 </v>
      </c>
      <c r="CZ32" s="509">
        <v>600</v>
      </c>
      <c r="DA32" s="46"/>
      <c r="DB32" s="46"/>
      <c r="DC32" s="383" t="str">
        <f ca="1">_xlfn.IFS(
AND(BB32&lt;BE32,PLANS!$B$1=32),32,
BG32=$DJ$41,ROUND((BE32-BB32)/CZ32,0),
OR(BG32=$DJ$42,BG32=$DJ$43,BG32=$DJ$44,BG32=$DJ$45),BE32-BB32,
BG32=$DJ$46,(BE32-BB32)*BJ32,
TRUE,""
)</f>
        <v/>
      </c>
      <c r="DD32" s="35"/>
      <c r="DF32" s="383">
        <f ca="1">ACTIONS!DO16</f>
        <v>0</v>
      </c>
      <c r="DH32" s="35"/>
      <c r="DI32" s="383" t="str">
        <f t="shared" si="37"/>
        <v/>
      </c>
      <c r="DK32" s="681"/>
      <c r="DM32" s="242"/>
      <c r="DW32" s="2641"/>
      <c r="DY32" s="101">
        <v>25</v>
      </c>
    </row>
    <row r="33" spans="1:129" ht="17.100000000000001" customHeight="1" thickTop="1" x14ac:dyDescent="0.25">
      <c r="A33" s="17"/>
      <c r="B33" s="473">
        <v>1</v>
      </c>
      <c r="C33" s="2332">
        <v>60</v>
      </c>
      <c r="D33" s="2332">
        <v>60</v>
      </c>
      <c r="E33" s="2332">
        <v>60</v>
      </c>
      <c r="F33" s="2332">
        <v>60</v>
      </c>
      <c r="G33" s="2332">
        <v>60</v>
      </c>
      <c r="H33" s="2332">
        <v>60</v>
      </c>
      <c r="I33" s="2332">
        <v>60</v>
      </c>
      <c r="J33" s="2332">
        <v>60</v>
      </c>
      <c r="K33" s="2332">
        <v>60</v>
      </c>
      <c r="L33" s="474" t="s">
        <v>84</v>
      </c>
      <c r="M33" s="17"/>
      <c r="N33" s="498"/>
      <c r="O33" s="4347" t="str">
        <f>ACTIONS!$I$34</f>
        <v>MND7</v>
      </c>
      <c r="P33" s="4347"/>
      <c r="Q33" s="499" t="s">
        <v>67</v>
      </c>
      <c r="R33" s="4347">
        <f>_xlfn.IFS(
W33=$DJ$41,data!ED110,
W33=$DJ$42,data!EE110,
W33=$DJ$43,data!EF110,
W33=$DJ$44,data!EJ110,
W33=$DJ$45,data!EH110,
W33=$DJ$46,data!EI110,
TRUE, 0)</f>
        <v>0</v>
      </c>
      <c r="S33" s="4347"/>
      <c r="T33" s="518" t="s">
        <v>94</v>
      </c>
      <c r="U33" s="4326"/>
      <c r="V33" s="4326"/>
      <c r="W33" s="4326"/>
      <c r="X33" s="4326"/>
      <c r="Y33" s="4326"/>
      <c r="Z33" s="463"/>
      <c r="AA33" s="519" t="str">
        <f t="shared" si="28"/>
        <v xml:space="preserve"> </v>
      </c>
      <c r="AB33" s="502" t="s">
        <v>96</v>
      </c>
      <c r="AC33" s="457">
        <v>15</v>
      </c>
      <c r="AD33" s="503">
        <f t="shared" si="33"/>
        <v>0</v>
      </c>
      <c r="AE33" s="17"/>
      <c r="AF33" s="4341" t="s">
        <v>64</v>
      </c>
      <c r="AG33" s="4342"/>
      <c r="AH33" s="4338"/>
      <c r="AI33" s="4338"/>
      <c r="AJ33" s="4338"/>
      <c r="AK33" s="4338"/>
      <c r="AL33" s="4338"/>
      <c r="AM33" s="4338"/>
      <c r="AN33" s="4338"/>
      <c r="AO33" s="4338"/>
      <c r="AP33" s="4338"/>
      <c r="AQ33" s="4338"/>
      <c r="AR33" s="504">
        <f>ACTIONS!$AU$83</f>
        <v>0</v>
      </c>
      <c r="AS33" s="505" t="s">
        <v>94</v>
      </c>
      <c r="AT33" s="458"/>
      <c r="AU33" s="4334" t="s">
        <v>96</v>
      </c>
      <c r="AV33" s="4336">
        <v>15</v>
      </c>
      <c r="AW33" s="506">
        <f>IF(AND(AT33&gt;0,AR33&gt;=AT33),1,0)</f>
        <v>0</v>
      </c>
      <c r="AX33" s="498"/>
      <c r="AY33" s="4314" t="str">
        <f>ACTIONS!$BW$34</f>
        <v>BDY7</v>
      </c>
      <c r="AZ33" s="4314"/>
      <c r="BA33" s="499" t="s">
        <v>67</v>
      </c>
      <c r="BB33" s="4314">
        <f>_xlfn.IFS(
BG33=$DJ$41,data!ED120,
BG33=$DJ$42,data!EE120,
BG33=$DJ$43,data!EF120,
BG33=$DJ$44,data!EJ120,
BG33=$DJ$45,data!EH120,
BG33=$DJ$46,data!EI120,
TRUE, 0)</f>
        <v>0</v>
      </c>
      <c r="BC33" s="4314"/>
      <c r="BD33" s="516" t="s">
        <v>94</v>
      </c>
      <c r="BE33" s="4377"/>
      <c r="BF33" s="4377"/>
      <c r="BG33" s="4377"/>
      <c r="BH33" s="4377"/>
      <c r="BI33" s="4377"/>
      <c r="BJ33" s="462"/>
      <c r="BK33" s="517" t="str">
        <f t="shared" si="29"/>
        <v xml:space="preserve"> </v>
      </c>
      <c r="BL33" s="502" t="s">
        <v>96</v>
      </c>
      <c r="BM33" s="457">
        <v>15</v>
      </c>
      <c r="BN33" s="503">
        <f t="shared" si="34"/>
        <v>0</v>
      </c>
      <c r="BO33" s="17"/>
      <c r="BP33" s="474" t="s">
        <v>84</v>
      </c>
      <c r="BQ33" s="2332">
        <v>60</v>
      </c>
      <c r="BR33" s="2332">
        <v>60</v>
      </c>
      <c r="BS33" s="2332">
        <v>60</v>
      </c>
      <c r="BT33" s="2332">
        <v>60</v>
      </c>
      <c r="BU33" s="2332">
        <v>60</v>
      </c>
      <c r="BV33" s="2332">
        <v>60</v>
      </c>
      <c r="BW33" s="2332">
        <v>60</v>
      </c>
      <c r="BX33" s="2332">
        <v>60</v>
      </c>
      <c r="BY33" s="2332">
        <v>60</v>
      </c>
      <c r="BZ33" s="473">
        <v>1</v>
      </c>
      <c r="CA33" s="17"/>
      <c r="CC33" s="46">
        <f t="shared" si="30"/>
        <v>0</v>
      </c>
      <c r="CE33" s="46">
        <f t="shared" si="31"/>
        <v>0</v>
      </c>
      <c r="CF33" s="46"/>
      <c r="CI33" s="242"/>
      <c r="CJ33" s="374" t="str">
        <f t="shared" si="35"/>
        <v xml:space="preserve">MND7 </v>
      </c>
      <c r="CK33" s="509">
        <v>600</v>
      </c>
      <c r="CN33" s="383" t="str">
        <f ca="1">_xlfn.IFS(
AND(R33&lt;U33,PLANS!$B$1=32),32,
W33=$CQ$41,ROUND((U33-R33)/CK33,0),
OR(W33=$CQ$42,W33=$CQ$43,W33=$CQ$44,W33=$CQ$45),U33-R33,
W33=$CQ$46,(U33-R33)*Z33,
TRUE,""
)</f>
        <v/>
      </c>
      <c r="CQ33" s="383">
        <f ca="1">ACTIONS!DK17</f>
        <v>0</v>
      </c>
      <c r="CT33" s="383" t="str">
        <f t="shared" si="36"/>
        <v/>
      </c>
      <c r="CV33" s="299"/>
      <c r="CX33" s="694"/>
      <c r="CY33" s="374" t="str">
        <f t="shared" si="32"/>
        <v xml:space="preserve">BDY7 </v>
      </c>
      <c r="CZ33" s="509">
        <v>150</v>
      </c>
      <c r="DA33" s="46"/>
      <c r="DB33" s="46"/>
      <c r="DC33" s="383" t="str">
        <f ca="1">_xlfn.IFS(
AND(BB33&lt;BE33,PLANS!$B$1=32),32,
BG33=$DJ$41,ROUND((BE33-BB33)/CZ33,0),
OR(BG33=$DJ$42,BG33=$DJ$43,BG33=$DJ$44,BG33=$DJ$45),BE33-BB33,
BG33=$DJ$46,(BE33-BB33)*BJ33,
TRUE,""
)</f>
        <v/>
      </c>
      <c r="DD33" s="35"/>
      <c r="DF33" s="383">
        <f ca="1">ACTIONS!DO17</f>
        <v>0</v>
      </c>
      <c r="DH33" s="35"/>
      <c r="DI33" s="383" t="str">
        <f t="shared" si="37"/>
        <v/>
      </c>
      <c r="DK33" s="681"/>
      <c r="DM33" s="242"/>
      <c r="DW33" s="2641">
        <f ca="1">DU30</f>
        <v>0</v>
      </c>
      <c r="DY33" s="101">
        <v>26</v>
      </c>
    </row>
    <row r="34" spans="1:129" ht="17.100000000000001" customHeight="1" thickBot="1" x14ac:dyDescent="0.3">
      <c r="A34" s="17"/>
      <c r="B34" s="4414" t="s">
        <v>85</v>
      </c>
      <c r="C34" s="4415" t="str">
        <f>ACTIONS!$C$34</f>
        <v>MND1</v>
      </c>
      <c r="D34" s="4419" t="str">
        <f>ACTIONS!$D$34</f>
        <v>MND2</v>
      </c>
      <c r="E34" s="4434" t="str">
        <f>ACTIONS!$E$34</f>
        <v>MND3</v>
      </c>
      <c r="F34" s="4437" t="str">
        <f>ACTIONS!$F$34</f>
        <v>MND4</v>
      </c>
      <c r="G34" s="4422" t="str">
        <f>ACTIONS!$G$34</f>
        <v>MND5</v>
      </c>
      <c r="H34" s="4425" t="str">
        <f>ACTIONS!$H$34</f>
        <v>MND6</v>
      </c>
      <c r="I34" s="4428" t="str">
        <f>ACTIONS!$I$34</f>
        <v>MND7</v>
      </c>
      <c r="J34" s="4431" t="str">
        <f>ACTIONS!$J$34</f>
        <v>MND8</v>
      </c>
      <c r="K34" s="4416" t="str">
        <f>ACTIONS!$K$34</f>
        <v>MND9</v>
      </c>
      <c r="L34" s="4414" t="s">
        <v>99</v>
      </c>
      <c r="M34" s="17"/>
      <c r="N34" s="498"/>
      <c r="O34" s="4345" t="str">
        <f>ACTIONS!$J$34</f>
        <v>MND8</v>
      </c>
      <c r="P34" s="4345"/>
      <c r="Q34" s="499" t="s">
        <v>67</v>
      </c>
      <c r="R34" s="4345">
        <f>_xlfn.IFS(
W34=$DJ$41,data!ED111,
W34=$DJ$42,data!EE111,
W34=$DJ$43,data!EF111,
W34=$DJ$44,data!EJ111,
W34=$DJ$45,data!EH111,
W34=$DJ$46,data!EI111,
TRUE, 0)</f>
        <v>0</v>
      </c>
      <c r="S34" s="4345"/>
      <c r="T34" s="514" t="s">
        <v>94</v>
      </c>
      <c r="U34" s="4309"/>
      <c r="V34" s="4309"/>
      <c r="W34" s="4309"/>
      <c r="X34" s="4309"/>
      <c r="Y34" s="4309"/>
      <c r="Z34" s="461"/>
      <c r="AA34" s="515" t="str">
        <f t="shared" si="28"/>
        <v xml:space="preserve"> </v>
      </c>
      <c r="AB34" s="502" t="s">
        <v>96</v>
      </c>
      <c r="AC34" s="457">
        <v>15</v>
      </c>
      <c r="AD34" s="503">
        <f t="shared" si="33"/>
        <v>0</v>
      </c>
      <c r="AE34" s="17"/>
      <c r="AF34" s="4343"/>
      <c r="AG34" s="4344"/>
      <c r="AH34" s="4340"/>
      <c r="AI34" s="4340"/>
      <c r="AJ34" s="4340"/>
      <c r="AK34" s="4340"/>
      <c r="AL34" s="4340"/>
      <c r="AM34" s="4340"/>
      <c r="AN34" s="4340"/>
      <c r="AO34" s="4340"/>
      <c r="AP34" s="4340"/>
      <c r="AQ34" s="4340"/>
      <c r="AR34" s="4339" t="s">
        <v>77</v>
      </c>
      <c r="AS34" s="4339"/>
      <c r="AT34" s="4339"/>
      <c r="AU34" s="4335"/>
      <c r="AV34" s="4337"/>
      <c r="AW34" s="513">
        <f>IF(AR33&gt;=(AT33/3)*2,1,0)</f>
        <v>1</v>
      </c>
      <c r="AX34" s="498"/>
      <c r="AY34" s="4313" t="str">
        <f>ACTIONS!$BX$34</f>
        <v>BDY8</v>
      </c>
      <c r="AZ34" s="4313"/>
      <c r="BA34" s="499" t="s">
        <v>67</v>
      </c>
      <c r="BB34" s="4313">
        <f>_xlfn.IFS(
BG34=$DJ$41,data!ED121,
BG34=$DJ$42,data!EE121,
BG34=$DJ$43,data!EF121,
BG34=$DJ$44,data!EJ121,
BG34=$DJ$45,data!EH121,
BG34=$DJ$46,data!EI121,
TRUE, 0)</f>
        <v>0</v>
      </c>
      <c r="BC34" s="4313"/>
      <c r="BD34" s="511" t="s">
        <v>94</v>
      </c>
      <c r="BE34" s="4380"/>
      <c r="BF34" s="4380"/>
      <c r="BG34" s="4380"/>
      <c r="BH34" s="4380"/>
      <c r="BI34" s="4380"/>
      <c r="BJ34" s="460"/>
      <c r="BK34" s="512" t="str">
        <f t="shared" si="29"/>
        <v xml:space="preserve"> </v>
      </c>
      <c r="BL34" s="502" t="s">
        <v>96</v>
      </c>
      <c r="BM34" s="457">
        <v>15</v>
      </c>
      <c r="BN34" s="503">
        <f t="shared" si="34"/>
        <v>0</v>
      </c>
      <c r="BO34" s="17"/>
      <c r="BP34" s="4497" t="s">
        <v>99</v>
      </c>
      <c r="BQ34" s="4498" t="str">
        <f>ACTIONS!$BQ$34</f>
        <v>BDY1</v>
      </c>
      <c r="BR34" s="4431" t="str">
        <f>ACTIONS!$BR$34</f>
        <v>BDY2</v>
      </c>
      <c r="BS34" s="4428" t="str">
        <f>ACTIONS!$BS$34</f>
        <v>BDY3</v>
      </c>
      <c r="BT34" s="4425" t="str">
        <f>ACTIONS!$BT$34</f>
        <v>BDY4</v>
      </c>
      <c r="BU34" s="4422" t="str">
        <f>ACTIONS!$BU$34</f>
        <v>BDY5</v>
      </c>
      <c r="BV34" s="4437" t="str">
        <f>ACTIONS!$BV$34</f>
        <v>BDY6</v>
      </c>
      <c r="BW34" s="4434" t="str">
        <f>ACTIONS!$BW$34</f>
        <v>BDY7</v>
      </c>
      <c r="BX34" s="4419" t="str">
        <f>ACTIONS!$BX$34</f>
        <v>BDY8</v>
      </c>
      <c r="BY34" s="4499" t="str">
        <f>ACTIONS!$BY$34</f>
        <v>BDY9</v>
      </c>
      <c r="BZ34" s="4497" t="s">
        <v>85</v>
      </c>
      <c r="CA34" s="17"/>
      <c r="CC34" s="46">
        <f t="shared" si="30"/>
        <v>0</v>
      </c>
      <c r="CE34" s="46">
        <f t="shared" si="31"/>
        <v>0</v>
      </c>
      <c r="CF34" s="46"/>
      <c r="CI34" s="242"/>
      <c r="CJ34" s="374" t="str">
        <f t="shared" si="35"/>
        <v xml:space="preserve">MND8 </v>
      </c>
      <c r="CK34" s="509">
        <v>300</v>
      </c>
      <c r="CN34" s="383" t="str">
        <f ca="1">_xlfn.IFS(
AND(R34&lt;U34,PLANS!$B$1=32),32,
W34=$CQ$41,ROUND((U34-R34)/CK34,0),
OR(W34=$CQ$42,W34=$CQ$43,W34=$CQ$44,W34=$CQ$45),U34-R34,
W34=$CQ$46,(U34-R34)*Z34,
TRUE,""
)</f>
        <v/>
      </c>
      <c r="CQ34" s="383">
        <f ca="1">ACTIONS!DK18</f>
        <v>0</v>
      </c>
      <c r="CT34" s="383" t="str">
        <f t="shared" si="36"/>
        <v/>
      </c>
      <c r="CV34" s="299"/>
      <c r="CX34" s="694"/>
      <c r="CY34" s="374" t="str">
        <f t="shared" si="32"/>
        <v xml:space="preserve">BDY8 </v>
      </c>
      <c r="CZ34" s="509">
        <v>120</v>
      </c>
      <c r="DA34" s="46"/>
      <c r="DB34" s="46"/>
      <c r="DC34" s="383" t="str">
        <f ca="1">_xlfn.IFS(
AND(BB34&lt;BE34,PLANS!$B$1=32),32,
BG34=$DJ$41,ROUND((BE34-BB34)/CZ34,0),
OR(BG34=$DJ$42,BG34=$DJ$43,BG34=$DJ$44,BG34=$DJ$45),BE34-BB34,
BG34=$DJ$46,(BE34-BB34)*BJ34,
TRUE,""
)</f>
        <v/>
      </c>
      <c r="DD34" s="35"/>
      <c r="DF34" s="383">
        <f ca="1">ACTIONS!DO18</f>
        <v>0</v>
      </c>
      <c r="DH34" s="35"/>
      <c r="DI34" s="383" t="str">
        <f t="shared" si="37"/>
        <v/>
      </c>
      <c r="DK34" s="681"/>
      <c r="DM34" s="242"/>
      <c r="DW34" s="2641"/>
      <c r="DY34" s="101">
        <v>27</v>
      </c>
    </row>
    <row r="35" spans="1:129" ht="17.100000000000001" customHeight="1" thickTop="1" x14ac:dyDescent="0.25">
      <c r="A35" s="17"/>
      <c r="B35" s="4414"/>
      <c r="C35" s="4415"/>
      <c r="D35" s="4420"/>
      <c r="E35" s="4435"/>
      <c r="F35" s="4438"/>
      <c r="G35" s="4423"/>
      <c r="H35" s="4426"/>
      <c r="I35" s="4429"/>
      <c r="J35" s="4432"/>
      <c r="K35" s="4417"/>
      <c r="L35" s="4414"/>
      <c r="M35" s="17"/>
      <c r="N35" s="498"/>
      <c r="O35" s="4307" t="str">
        <f>ACTIONS!$K$34</f>
        <v>MND9</v>
      </c>
      <c r="P35" s="4307"/>
      <c r="Q35" s="499" t="s">
        <v>67</v>
      </c>
      <c r="R35" s="4307">
        <f>_xlfn.IFS(
W35=$DJ$41,data!ED112,
W35=$DJ$42,data!EE112,
W35=$DJ$43,data!EF112,
W35=$DJ$44,data!EJ112,
W35=$DJ$45,data!EH112,
W35=$DJ$46,data!EI112,
TRUE, 0)</f>
        <v>0</v>
      </c>
      <c r="S35" s="4307"/>
      <c r="T35" s="507" t="s">
        <v>94</v>
      </c>
      <c r="U35" s="4308"/>
      <c r="V35" s="4308"/>
      <c r="W35" s="4308"/>
      <c r="X35" s="4308"/>
      <c r="Y35" s="4308"/>
      <c r="Z35" s="459"/>
      <c r="AA35" s="508" t="str">
        <f t="shared" si="28"/>
        <v xml:space="preserve"> </v>
      </c>
      <c r="AB35" s="502" t="s">
        <v>96</v>
      </c>
      <c r="AC35" s="457">
        <v>15</v>
      </c>
      <c r="AD35" s="503">
        <f t="shared" si="33"/>
        <v>0</v>
      </c>
      <c r="AE35" s="17"/>
      <c r="AF35" s="4341" t="s">
        <v>64</v>
      </c>
      <c r="AG35" s="4342"/>
      <c r="AH35" s="4338"/>
      <c r="AI35" s="4338"/>
      <c r="AJ35" s="4338"/>
      <c r="AK35" s="4338"/>
      <c r="AL35" s="4338"/>
      <c r="AM35" s="4338"/>
      <c r="AN35" s="4338"/>
      <c r="AO35" s="4338"/>
      <c r="AP35" s="4338"/>
      <c r="AQ35" s="4338"/>
      <c r="AR35" s="504">
        <f>ACTIONS!$BB$83</f>
        <v>0</v>
      </c>
      <c r="AS35" s="505" t="s">
        <v>94</v>
      </c>
      <c r="AT35" s="458"/>
      <c r="AU35" s="4334" t="s">
        <v>96</v>
      </c>
      <c r="AV35" s="4336">
        <v>15</v>
      </c>
      <c r="AW35" s="506">
        <f>IF(AND(AT35&gt;0,AR35&gt;=AT35),1,0)</f>
        <v>0</v>
      </c>
      <c r="AX35" s="498"/>
      <c r="AY35" s="4375" t="str">
        <f>ACTIONS!$BY$34</f>
        <v>BDY9</v>
      </c>
      <c r="AZ35" s="4375"/>
      <c r="BA35" s="499" t="s">
        <v>67</v>
      </c>
      <c r="BB35" s="4375">
        <f>_xlfn.IFS(
BG35=$DJ$41,data!ED122,
BG35=$DJ$42,data!EE122,
BG35=$DJ$43,data!EF122,
BG35=$DJ$44,data!EJ122,
BG35=$DJ$45,data!EH122,
BG35=$DJ$46,data!EI122,
TRUE, 0)</f>
        <v>0</v>
      </c>
      <c r="BC35" s="4375"/>
      <c r="BD35" s="500" t="s">
        <v>94</v>
      </c>
      <c r="BE35" s="4458"/>
      <c r="BF35" s="4458"/>
      <c r="BG35" s="4458"/>
      <c r="BH35" s="4458"/>
      <c r="BI35" s="4458"/>
      <c r="BJ35" s="456"/>
      <c r="BK35" s="501" t="str">
        <f t="shared" si="29"/>
        <v xml:space="preserve"> </v>
      </c>
      <c r="BL35" s="502" t="s">
        <v>96</v>
      </c>
      <c r="BM35" s="457">
        <v>15</v>
      </c>
      <c r="BN35" s="503">
        <f t="shared" si="34"/>
        <v>0</v>
      </c>
      <c r="BO35" s="17"/>
      <c r="BP35" s="4497"/>
      <c r="BQ35" s="4498"/>
      <c r="BR35" s="4432"/>
      <c r="BS35" s="4429"/>
      <c r="BT35" s="4426"/>
      <c r="BU35" s="4423"/>
      <c r="BV35" s="4438"/>
      <c r="BW35" s="4435"/>
      <c r="BX35" s="4420"/>
      <c r="BY35" s="4500"/>
      <c r="BZ35" s="4497"/>
      <c r="CA35" s="17"/>
      <c r="CC35" s="46">
        <f t="shared" si="30"/>
        <v>0</v>
      </c>
      <c r="CE35" s="46">
        <f t="shared" si="31"/>
        <v>0</v>
      </c>
      <c r="CF35" s="46"/>
      <c r="CI35" s="242"/>
      <c r="CJ35" s="374" t="str">
        <f t="shared" si="35"/>
        <v xml:space="preserve">MND9 </v>
      </c>
      <c r="CK35" s="509">
        <v>300</v>
      </c>
      <c r="CN35" s="383" t="str">
        <f ca="1">_xlfn.IFS(
AND(R35&lt;U35,PLANS!$B$1=32),32,
W35=$CQ$41,ROUND((U35-R35)/CK35,0),
OR(W35=$CQ$42,W35=$CQ$43,W35=$CQ$44,W35=$CQ$45),U35-R35,
W35=$CQ$46,(U35-R35)*Z35,
TRUE,""
)</f>
        <v/>
      </c>
      <c r="CQ35" s="383">
        <f ca="1">ACTIONS!DK19</f>
        <v>0</v>
      </c>
      <c r="CT35" s="383" t="str">
        <f t="shared" si="36"/>
        <v/>
      </c>
      <c r="CV35" s="299"/>
      <c r="CX35" s="694"/>
      <c r="CY35" s="374" t="str">
        <f t="shared" si="32"/>
        <v xml:space="preserve">BDY9 </v>
      </c>
      <c r="CZ35" s="509">
        <v>120</v>
      </c>
      <c r="DA35" s="46"/>
      <c r="DB35" s="46"/>
      <c r="DC35" s="383" t="str">
        <f ca="1">_xlfn.IFS(
AND(BB35&lt;BE35,PLANS!$B$1=32),32,
BG35=$DJ$41,ROUND((BE35-BB35)/CZ35,0),
OR(BG35=$DJ$42,BG35=$DJ$43,BG35=$DJ$44,BG35=$DJ$45),BE35-BB35,
BG35=$DJ$46,(BE35-BB35)*BJ35,
TRUE,""
)</f>
        <v/>
      </c>
      <c r="DD35" s="35"/>
      <c r="DF35" s="383">
        <f ca="1">ACTIONS!DO19</f>
        <v>0</v>
      </c>
      <c r="DH35" s="35"/>
      <c r="DI35" s="383" t="str">
        <f t="shared" si="37"/>
        <v/>
      </c>
      <c r="DK35" s="681"/>
      <c r="DM35" s="242"/>
      <c r="DW35" s="2641">
        <f ca="1">DU31</f>
        <v>0</v>
      </c>
      <c r="DY35" s="101">
        <v>28</v>
      </c>
    </row>
    <row r="36" spans="1:129" ht="17.100000000000001" customHeight="1" thickBot="1" x14ac:dyDescent="0.2">
      <c r="A36" s="17"/>
      <c r="B36" s="4414"/>
      <c r="C36" s="4415"/>
      <c r="D36" s="4421"/>
      <c r="E36" s="4436"/>
      <c r="F36" s="4439"/>
      <c r="G36" s="4424"/>
      <c r="H36" s="4427"/>
      <c r="I36" s="4430"/>
      <c r="J36" s="4433"/>
      <c r="K36" s="4418"/>
      <c r="L36" s="4414"/>
      <c r="M36" s="17"/>
      <c r="N36" s="526"/>
      <c r="O36" s="527"/>
      <c r="P36" s="528"/>
      <c r="Q36" s="529"/>
      <c r="R36" s="527"/>
      <c r="S36" s="527"/>
      <c r="T36" s="527"/>
      <c r="U36" s="527"/>
      <c r="V36" s="527"/>
      <c r="W36" s="527"/>
      <c r="X36" s="527"/>
      <c r="Y36" s="527"/>
      <c r="Z36" s="527"/>
      <c r="AA36" s="527"/>
      <c r="AB36" s="527"/>
      <c r="AC36" s="527"/>
      <c r="AD36" s="530"/>
      <c r="AE36" s="17"/>
      <c r="AF36" s="4343"/>
      <c r="AG36" s="4344"/>
      <c r="AH36" s="4340"/>
      <c r="AI36" s="4340"/>
      <c r="AJ36" s="4340"/>
      <c r="AK36" s="4340"/>
      <c r="AL36" s="4340"/>
      <c r="AM36" s="4340"/>
      <c r="AN36" s="4340"/>
      <c r="AO36" s="4340"/>
      <c r="AP36" s="4340"/>
      <c r="AQ36" s="4340"/>
      <c r="AR36" s="4339" t="s">
        <v>77</v>
      </c>
      <c r="AS36" s="4339"/>
      <c r="AT36" s="4339"/>
      <c r="AU36" s="4335"/>
      <c r="AV36" s="4337"/>
      <c r="AW36" s="513">
        <f>IF(AR35&gt;=(AT35/3)*2,1,0)</f>
        <v>1</v>
      </c>
      <c r="AX36" s="526"/>
      <c r="AY36" s="527"/>
      <c r="AZ36" s="528"/>
      <c r="BA36" s="529"/>
      <c r="BB36" s="527"/>
      <c r="BC36" s="527"/>
      <c r="BD36" s="527"/>
      <c r="BE36" s="527"/>
      <c r="BF36" s="527"/>
      <c r="BG36" s="527"/>
      <c r="BH36" s="527"/>
      <c r="BI36" s="527"/>
      <c r="BJ36" s="527"/>
      <c r="BK36" s="527"/>
      <c r="BL36" s="527"/>
      <c r="BM36" s="527"/>
      <c r="BN36" s="530"/>
      <c r="BO36" s="17"/>
      <c r="BP36" s="4497"/>
      <c r="BQ36" s="4498"/>
      <c r="BR36" s="4433"/>
      <c r="BS36" s="4430"/>
      <c r="BT36" s="4427"/>
      <c r="BU36" s="4424"/>
      <c r="BV36" s="4439"/>
      <c r="BW36" s="4436"/>
      <c r="BX36" s="4421"/>
      <c r="BY36" s="4501"/>
      <c r="BZ36" s="4497"/>
      <c r="CA36" s="17"/>
      <c r="CI36" s="251"/>
      <c r="CJ36" s="252"/>
      <c r="CK36" s="252"/>
      <c r="CL36" s="252"/>
      <c r="CM36" s="252"/>
      <c r="CN36" s="252"/>
      <c r="CO36" s="252"/>
      <c r="CP36" s="252"/>
      <c r="CQ36" s="252"/>
      <c r="CR36" s="252"/>
      <c r="CS36" s="252"/>
      <c r="CT36" s="252"/>
      <c r="CU36" s="252"/>
      <c r="CV36" s="253"/>
      <c r="CX36" s="696"/>
      <c r="CY36" s="697"/>
      <c r="CZ36" s="697"/>
      <c r="DA36" s="697"/>
      <c r="DB36" s="697"/>
      <c r="DC36" s="697"/>
      <c r="DD36" s="697"/>
      <c r="DE36" s="697"/>
      <c r="DF36" s="697"/>
      <c r="DG36" s="697"/>
      <c r="DH36" s="697"/>
      <c r="DI36" s="697"/>
      <c r="DJ36" s="697"/>
      <c r="DK36" s="2710"/>
      <c r="DM36" s="251"/>
      <c r="DN36" s="252"/>
      <c r="DO36" s="252"/>
      <c r="DP36" s="252"/>
      <c r="DQ36" s="252"/>
      <c r="DR36" s="252"/>
      <c r="DS36" s="252"/>
      <c r="DT36" s="252"/>
      <c r="DU36" s="252"/>
      <c r="DV36" s="252"/>
      <c r="DW36" s="253"/>
      <c r="DY36" s="1214">
        <f>IF(OR('^'!$BK$52&lt;&gt;2,PLANS!$CD$57=1),29,"")</f>
        <v>29</v>
      </c>
    </row>
    <row r="37" spans="1:129" ht="17.100000000000001" customHeight="1" thickTop="1" x14ac:dyDescent="0.15">
      <c r="A37" s="17"/>
      <c r="B37" s="467"/>
      <c r="C37" s="531" t="s">
        <v>69</v>
      </c>
      <c r="D37" s="532" t="s">
        <v>69</v>
      </c>
      <c r="E37" s="533" t="s">
        <v>69</v>
      </c>
      <c r="F37" s="534" t="s">
        <v>69</v>
      </c>
      <c r="G37" s="535" t="s">
        <v>69</v>
      </c>
      <c r="H37" s="536" t="s">
        <v>69</v>
      </c>
      <c r="I37" s="537" t="s">
        <v>69</v>
      </c>
      <c r="J37" s="538" t="s">
        <v>69</v>
      </c>
      <c r="K37" s="539" t="s">
        <v>69</v>
      </c>
      <c r="L37" s="467"/>
      <c r="M37" s="17"/>
      <c r="N37" s="223"/>
      <c r="O37" s="223"/>
      <c r="P37" s="223"/>
      <c r="Q37" s="223"/>
      <c r="R37" s="223"/>
      <c r="S37" s="223"/>
      <c r="T37" s="223"/>
      <c r="U37" s="223"/>
      <c r="V37" s="223"/>
      <c r="W37" s="223"/>
      <c r="X37" s="223"/>
      <c r="Y37" s="223"/>
      <c r="Z37" s="223"/>
      <c r="AA37" s="223"/>
      <c r="AB37" s="223"/>
      <c r="AC37" s="223"/>
      <c r="AD37" s="223"/>
      <c r="AE37" s="223"/>
      <c r="AF37" s="223"/>
      <c r="AG37" s="223"/>
      <c r="AH37" s="223"/>
      <c r="AI37" s="223"/>
      <c r="AJ37" s="223"/>
      <c r="AK37" s="223"/>
      <c r="AL37" s="223"/>
      <c r="AM37" s="223"/>
      <c r="AN37" s="17"/>
      <c r="AO37" s="17"/>
      <c r="AP37" s="17"/>
      <c r="AQ37" s="17"/>
      <c r="AR37" s="17"/>
      <c r="AS37" s="17"/>
      <c r="AT37" s="17"/>
      <c r="AU37" s="17"/>
      <c r="AV37" s="17"/>
      <c r="AW37" s="91"/>
      <c r="AX37" s="17"/>
      <c r="AY37" s="17"/>
      <c r="AZ37" s="17"/>
      <c r="BA37" s="17"/>
      <c r="BB37" s="17"/>
      <c r="BC37" s="17"/>
      <c r="BD37" s="17"/>
      <c r="BE37" s="17"/>
      <c r="BF37" s="17"/>
      <c r="BG37" s="17"/>
      <c r="BH37" s="17"/>
      <c r="BI37" s="17"/>
      <c r="BJ37" s="17"/>
      <c r="BK37" s="17"/>
      <c r="BL37" s="17"/>
      <c r="BM37" s="17"/>
      <c r="BN37" s="17"/>
      <c r="BO37" s="17"/>
      <c r="BP37" s="469"/>
      <c r="BQ37" s="539" t="s">
        <v>69</v>
      </c>
      <c r="BR37" s="538" t="s">
        <v>69</v>
      </c>
      <c r="BS37" s="537" t="s">
        <v>69</v>
      </c>
      <c r="BT37" s="536" t="s">
        <v>69</v>
      </c>
      <c r="BU37" s="535" t="s">
        <v>69</v>
      </c>
      <c r="BV37" s="534" t="s">
        <v>69</v>
      </c>
      <c r="BW37" s="533" t="s">
        <v>69</v>
      </c>
      <c r="BX37" s="532" t="s">
        <v>69</v>
      </c>
      <c r="BY37" s="531" t="s">
        <v>69</v>
      </c>
      <c r="BZ37" s="469"/>
      <c r="CA37" s="17"/>
      <c r="DY37" s="1214">
        <f>IF('^'!$BK$52&lt;&gt;2,30,"")</f>
        <v>30</v>
      </c>
    </row>
    <row r="38" spans="1:129" ht="17.100000000000001" customHeight="1" x14ac:dyDescent="0.15">
      <c r="A38" s="17"/>
      <c r="B38" s="17"/>
      <c r="C38" s="17"/>
      <c r="D38" s="17"/>
      <c r="E38" s="17"/>
      <c r="F38" s="17"/>
      <c r="G38" s="31" t="s">
        <v>1</v>
      </c>
      <c r="H38" s="17"/>
      <c r="I38" s="17"/>
      <c r="J38" s="17"/>
      <c r="K38" s="17"/>
      <c r="L38" s="17"/>
      <c r="M38" s="17"/>
      <c r="N38" s="32"/>
      <c r="O38" s="17"/>
      <c r="P38" s="83"/>
      <c r="Q38" s="17"/>
      <c r="R38" s="17"/>
      <c r="S38" s="17"/>
      <c r="T38" s="17"/>
      <c r="U38" s="17"/>
      <c r="V38" s="32"/>
      <c r="W38" s="17"/>
      <c r="X38" s="31"/>
      <c r="Y38" s="32"/>
      <c r="Z38" s="17"/>
      <c r="AA38" s="17"/>
      <c r="AB38" s="17"/>
      <c r="AC38" s="17"/>
      <c r="AD38" s="17"/>
      <c r="AE38" s="17"/>
      <c r="AF38" s="895"/>
      <c r="AG38" s="895"/>
      <c r="AH38" s="895"/>
      <c r="AI38" s="895"/>
      <c r="AJ38" s="896"/>
      <c r="AK38" s="896"/>
      <c r="AL38" s="896"/>
      <c r="AM38" s="896"/>
      <c r="AN38" s="31" t="s">
        <v>1</v>
      </c>
      <c r="AO38" s="896"/>
      <c r="AP38" s="896"/>
      <c r="AQ38" s="896"/>
      <c r="AR38" s="896"/>
      <c r="AS38" s="897"/>
      <c r="AT38" s="897"/>
      <c r="AU38" s="897"/>
      <c r="AV38" s="897"/>
      <c r="AW38" s="17"/>
      <c r="AX38" s="17"/>
      <c r="AY38" s="17"/>
      <c r="AZ38" s="17"/>
      <c r="BA38" s="17"/>
      <c r="BB38" s="17"/>
      <c r="BC38" s="32"/>
      <c r="BD38" s="32"/>
      <c r="BE38" s="17"/>
      <c r="BF38" s="32"/>
      <c r="BG38" s="17"/>
      <c r="BH38" s="17"/>
      <c r="BI38" s="17"/>
      <c r="BJ38" s="17"/>
      <c r="BK38" s="17"/>
      <c r="BL38" s="17"/>
      <c r="BM38" s="17"/>
      <c r="BN38" s="17"/>
      <c r="BO38" s="17"/>
      <c r="BP38" s="17"/>
      <c r="BQ38" s="17"/>
      <c r="BR38" s="17"/>
      <c r="BS38" s="17"/>
      <c r="BT38" s="17"/>
      <c r="BU38" s="31" t="s">
        <v>1</v>
      </c>
      <c r="BV38" s="17"/>
      <c r="BW38" s="17"/>
      <c r="BX38" s="17"/>
      <c r="BY38" s="17"/>
      <c r="BZ38" s="17"/>
      <c r="CA38" s="17"/>
      <c r="DY38" s="1214" t="str">
        <f>IF(OR('^'!$BK$52=1,'^'!$BK$52=3,'^'!$BK$52=5,'^'!$BK$52=7,'^'!$BK$52=8,'^'!$BK$52=10,'^'!$BK$52=12),31,"")</f>
        <v/>
      </c>
    </row>
    <row r="39" spans="1:129" ht="17.100000000000001" customHeight="1" x14ac:dyDescent="0.25">
      <c r="G39" s="33" t="s">
        <v>1</v>
      </c>
      <c r="V39" s="34"/>
      <c r="X39" s="33"/>
      <c r="Y39" s="34"/>
      <c r="AN39" s="33" t="s">
        <v>1</v>
      </c>
      <c r="BC39" s="34"/>
      <c r="BD39" s="34"/>
      <c r="BF39" s="34"/>
      <c r="BU39" s="33" t="s">
        <v>1</v>
      </c>
      <c r="CI39" s="548"/>
      <c r="CJ39" s="549"/>
      <c r="CK39" s="549"/>
      <c r="CL39" s="549"/>
      <c r="CM39" s="1126" t="s">
        <v>101</v>
      </c>
      <c r="CN39" s="1126"/>
      <c r="CO39" s="1126"/>
      <c r="CP39" s="1126"/>
      <c r="CQ39" s="1126"/>
      <c r="CR39" s="1126"/>
      <c r="CS39" s="1126"/>
      <c r="CT39" s="1126"/>
      <c r="CU39" s="549"/>
      <c r="CV39" s="549"/>
      <c r="CW39" s="549"/>
      <c r="CX39" s="549"/>
      <c r="CY39" s="550"/>
      <c r="DA39" s="548"/>
      <c r="DB39" s="549"/>
      <c r="DC39" s="549"/>
      <c r="DD39" s="549"/>
      <c r="DE39" s="1126" t="s">
        <v>101</v>
      </c>
      <c r="DF39" s="1126"/>
      <c r="DG39" s="1126"/>
      <c r="DH39" s="1126"/>
      <c r="DI39" s="1126"/>
      <c r="DJ39" s="1126"/>
      <c r="DK39" s="1126"/>
      <c r="DL39" s="1126"/>
      <c r="DM39" s="549"/>
      <c r="DN39" s="549"/>
      <c r="DO39" s="549"/>
      <c r="DP39" s="549"/>
      <c r="DQ39" s="550"/>
    </row>
    <row r="40" spans="1:129" ht="17.100000000000001" customHeight="1" x14ac:dyDescent="0.15">
      <c r="G40" s="33" t="s">
        <v>1</v>
      </c>
      <c r="V40" s="34"/>
      <c r="X40" s="33"/>
      <c r="Y40" s="34"/>
      <c r="AN40" s="33" t="s">
        <v>1</v>
      </c>
      <c r="BC40" s="34"/>
      <c r="BD40" s="34"/>
      <c r="BF40" s="34"/>
      <c r="BU40" s="33" t="s">
        <v>1</v>
      </c>
      <c r="CI40" s="242"/>
      <c r="CM40" s="26"/>
      <c r="CN40" s="26"/>
      <c r="CO40" s="26"/>
      <c r="CP40" s="26"/>
      <c r="CQ40" s="26"/>
      <c r="CR40" s="26"/>
      <c r="CS40" s="26"/>
      <c r="CT40" s="26"/>
      <c r="CY40" s="299"/>
      <c r="DA40" s="242"/>
      <c r="DE40" s="26"/>
      <c r="DF40" s="26"/>
      <c r="DG40" s="26"/>
      <c r="DH40" s="26"/>
      <c r="DI40" s="26"/>
      <c r="DJ40" s="26"/>
      <c r="DK40" s="26"/>
      <c r="DL40" s="26"/>
      <c r="DQ40" s="299"/>
    </row>
    <row r="41" spans="1:129" ht="17.100000000000001" customHeight="1" x14ac:dyDescent="0.25">
      <c r="C41" s="4322" t="s">
        <v>1351</v>
      </c>
      <c r="D41" s="4323"/>
      <c r="E41" s="4323"/>
      <c r="F41" s="4323"/>
      <c r="G41" s="4323"/>
      <c r="H41" s="4323"/>
      <c r="I41" s="4323"/>
      <c r="J41" s="4323"/>
      <c r="K41" s="4324"/>
      <c r="M41" s="10"/>
      <c r="N41" s="1470"/>
      <c r="O41" s="1471"/>
      <c r="P41" s="1471"/>
      <c r="Q41" s="1471"/>
      <c r="R41" s="1471"/>
      <c r="S41" s="1471"/>
      <c r="T41" s="1471"/>
      <c r="U41" s="1471"/>
      <c r="V41" s="1471"/>
      <c r="W41" s="1471"/>
      <c r="X41" s="1471"/>
      <c r="Y41" s="1471"/>
      <c r="Z41" s="1471"/>
      <c r="AA41" s="1472"/>
      <c r="AB41" s="1472"/>
      <c r="AC41" s="1472"/>
      <c r="AD41" s="1472"/>
      <c r="AE41" s="1473"/>
      <c r="AF41" s="1472"/>
      <c r="AG41" s="1474"/>
      <c r="AH41" s="1474"/>
      <c r="AI41" s="1474"/>
      <c r="AJ41" s="1474"/>
      <c r="AK41" s="1474"/>
      <c r="AL41" s="1474"/>
      <c r="AM41" s="4512" t="s">
        <v>443</v>
      </c>
      <c r="AN41" s="4512"/>
      <c r="AO41" s="4512"/>
      <c r="AP41" s="1474"/>
      <c r="AQ41" s="1474"/>
      <c r="AR41" s="1474"/>
      <c r="AS41" s="1474"/>
      <c r="AT41" s="1474"/>
      <c r="AU41" s="1474"/>
      <c r="AV41" s="1474"/>
      <c r="AW41" s="1474"/>
      <c r="AX41" s="1474"/>
      <c r="AY41" s="1474"/>
      <c r="AZ41" s="1474"/>
      <c r="BA41" s="1474"/>
      <c r="BB41" s="1474"/>
      <c r="BC41" s="1474"/>
      <c r="BD41" s="1474"/>
      <c r="BE41" s="1474"/>
      <c r="BF41" s="1474"/>
      <c r="BG41" s="1474"/>
      <c r="BH41" s="1474"/>
      <c r="BI41" s="1474"/>
      <c r="BJ41" s="1474"/>
      <c r="BK41" s="1474"/>
      <c r="BL41" s="1474"/>
      <c r="BM41" s="1474"/>
      <c r="BN41" s="1475"/>
      <c r="BO41" s="7"/>
      <c r="BQ41" s="4322" t="s">
        <v>1350</v>
      </c>
      <c r="BR41" s="4323"/>
      <c r="BS41" s="4323"/>
      <c r="BT41" s="4323"/>
      <c r="BU41" s="4323"/>
      <c r="BV41" s="4323"/>
      <c r="BW41" s="4323"/>
      <c r="BX41" s="4323"/>
      <c r="BY41" s="4324"/>
      <c r="CI41" s="562"/>
      <c r="CJ41" s="563"/>
      <c r="CK41" s="563"/>
      <c r="CL41" s="563"/>
      <c r="CM41" s="564" t="s">
        <v>78</v>
      </c>
      <c r="CN41" s="565" t="s">
        <v>94</v>
      </c>
      <c r="CO41" s="566" t="s">
        <v>102</v>
      </c>
      <c r="CP41" s="567"/>
      <c r="CQ41" s="1127" t="str">
        <f t="shared" ref="CQ41:CQ46" si="39">DJ41</f>
        <v>total XP</v>
      </c>
      <c r="CR41" s="1127"/>
      <c r="CS41" s="1127"/>
      <c r="CT41" s="568"/>
      <c r="CU41" s="569"/>
      <c r="CV41" s="570"/>
      <c r="CW41" s="571"/>
      <c r="CX41" s="571"/>
      <c r="CY41" s="572"/>
      <c r="DA41" s="562"/>
      <c r="DB41" s="563"/>
      <c r="DC41" s="563"/>
      <c r="DD41" s="563"/>
      <c r="DE41" s="563"/>
      <c r="DF41" s="564" t="s">
        <v>78</v>
      </c>
      <c r="DG41" s="565" t="s">
        <v>94</v>
      </c>
      <c r="DH41" s="566" t="s">
        <v>102</v>
      </c>
      <c r="DI41" s="567"/>
      <c r="DJ41" s="1127" t="s">
        <v>98</v>
      </c>
      <c r="DK41" s="1127"/>
      <c r="DL41" s="1127"/>
      <c r="DM41" s="568"/>
      <c r="DN41" s="569"/>
      <c r="DO41" s="570"/>
      <c r="DP41" s="571"/>
      <c r="DQ41" s="572"/>
    </row>
    <row r="42" spans="1:129" ht="17.100000000000001" customHeight="1" x14ac:dyDescent="0.25">
      <c r="C42" s="4395" t="s">
        <v>1060</v>
      </c>
      <c r="D42" s="4396"/>
      <c r="E42" s="4396"/>
      <c r="F42" s="4396"/>
      <c r="G42" s="4396"/>
      <c r="H42" s="4396"/>
      <c r="I42" s="4396"/>
      <c r="J42" s="4396"/>
      <c r="K42" s="4397"/>
      <c r="M42" s="10"/>
      <c r="N42" s="242"/>
      <c r="O42" s="10"/>
      <c r="P42" s="10"/>
      <c r="Q42" s="2062"/>
      <c r="R42" s="2062"/>
      <c r="S42" s="2062"/>
      <c r="T42" s="2062"/>
      <c r="U42" s="2062"/>
      <c r="V42" s="2062"/>
      <c r="W42" s="2062"/>
      <c r="X42" s="10"/>
      <c r="Y42" s="10"/>
      <c r="Z42" s="10"/>
      <c r="AA42" s="7"/>
      <c r="AB42" s="7"/>
      <c r="AC42" s="7"/>
      <c r="AD42" s="7"/>
      <c r="AE42" s="12"/>
      <c r="AF42" s="7"/>
      <c r="AG42" s="541"/>
      <c r="AH42" s="541"/>
      <c r="AI42" s="541"/>
      <c r="AJ42" s="541"/>
      <c r="AK42" s="541"/>
      <c r="AL42" s="541"/>
      <c r="AM42" s="4513"/>
      <c r="AN42" s="4513"/>
      <c r="AO42" s="4513"/>
      <c r="AP42" s="541"/>
      <c r="AQ42" s="541"/>
      <c r="AR42" s="541"/>
      <c r="AS42" s="541"/>
      <c r="AT42" s="541"/>
      <c r="AU42" s="541"/>
      <c r="AV42" s="7"/>
      <c r="AW42" s="12"/>
      <c r="AX42" s="2061"/>
      <c r="AY42" s="2061"/>
      <c r="AZ42" s="2061"/>
      <c r="BA42" s="2061"/>
      <c r="BB42" s="8"/>
      <c r="BC42" s="8"/>
      <c r="BD42" s="8"/>
      <c r="BE42" s="12"/>
      <c r="BF42" s="12"/>
      <c r="BG42" s="2061"/>
      <c r="BH42" s="2061"/>
      <c r="BI42" s="2061"/>
      <c r="BJ42" s="2061"/>
      <c r="BK42" s="2061"/>
      <c r="BL42" s="2061"/>
      <c r="BM42" s="2061"/>
      <c r="BN42" s="1476"/>
      <c r="BO42" s="7"/>
      <c r="BQ42" s="4395" t="s">
        <v>1060</v>
      </c>
      <c r="BR42" s="4396"/>
      <c r="BS42" s="4396"/>
      <c r="BT42" s="4396"/>
      <c r="BU42" s="4396"/>
      <c r="BV42" s="4396"/>
      <c r="BW42" s="4396"/>
      <c r="BX42" s="4396"/>
      <c r="BY42" s="4397"/>
      <c r="CC42" s="45"/>
      <c r="CI42" s="562"/>
      <c r="CJ42" s="563"/>
      <c r="CK42" s="563"/>
      <c r="CL42" s="563"/>
      <c r="CM42" s="564" t="s">
        <v>78</v>
      </c>
      <c r="CN42" s="565" t="s">
        <v>94</v>
      </c>
      <c r="CO42" s="566" t="s">
        <v>102</v>
      </c>
      <c r="CP42" s="567"/>
      <c r="CQ42" s="1125" t="str">
        <f t="shared" si="39"/>
        <v>total days</v>
      </c>
      <c r="CR42" s="1125"/>
      <c r="CS42" s="1125"/>
      <c r="CT42" s="568"/>
      <c r="CU42" s="579"/>
      <c r="CV42" s="580"/>
      <c r="CW42" s="581"/>
      <c r="CX42" s="581"/>
      <c r="CY42" s="572"/>
      <c r="DA42" s="562"/>
      <c r="DB42" s="563"/>
      <c r="DC42" s="563"/>
      <c r="DD42" s="563"/>
      <c r="DE42" s="563"/>
      <c r="DF42" s="564" t="s">
        <v>78</v>
      </c>
      <c r="DG42" s="565" t="s">
        <v>94</v>
      </c>
      <c r="DH42" s="566" t="s">
        <v>102</v>
      </c>
      <c r="DI42" s="567"/>
      <c r="DJ42" s="1125" t="s">
        <v>97</v>
      </c>
      <c r="DK42" s="1125"/>
      <c r="DL42" s="1125"/>
      <c r="DM42" s="568"/>
      <c r="DN42" s="579"/>
      <c r="DO42" s="580"/>
      <c r="DP42" s="581"/>
      <c r="DQ42" s="572"/>
    </row>
    <row r="43" spans="1:129" ht="17.100000000000001" customHeight="1" x14ac:dyDescent="0.25">
      <c r="C43" s="4372">
        <f ca="1">IF(AND(PLANS!$B$1&gt;1,SUM(ACTIONS!C3:C33)&gt;1),AVERAGEIF(ACTIONS!C3:C33,"&lt;&gt;0"), 0)</f>
        <v>0</v>
      </c>
      <c r="D43" s="4398">
        <f ca="1">IF(AND(PLANS!$B$1&gt;1,SUM(ACTIONS!D3:D33)&gt;1),AVERAGEIF(ACTIONS!D3:D33,"&lt;&gt;0"), 0)</f>
        <v>0</v>
      </c>
      <c r="E43" s="4401">
        <f ca="1">IF(AND(PLANS!$B$1&gt;1,SUM(ACTIONS!E3:E33)&gt;1),AVERAGEIF(ACTIONS!E3:E33,"&lt;&gt;0"), 0)</f>
        <v>0</v>
      </c>
      <c r="F43" s="4440">
        <f ca="1">IF(AND(PLANS!$B$1&gt;1,SUM(ACTIONS!F3:F33)&gt;1),AVERAGEIF(ACTIONS!F3:F33,"&lt;&gt;0"), 0)</f>
        <v>0</v>
      </c>
      <c r="G43" s="4381">
        <f ca="1">IF(AND(PLANS!$B$1&gt;1,SUM(ACTIONS!G3:G33)&gt;1),AVERAGEIF(ACTIONS!G3:G33,"&lt;&gt;0"), 0)</f>
        <v>0</v>
      </c>
      <c r="H43" s="4384">
        <f ca="1">IF(AND(PLANS!$B$1&gt;1,SUM(ACTIONS!H3:H33)&gt;1),AVERAGEIF(ACTIONS!H3:H33,"&lt;&gt;0"), 0)</f>
        <v>0</v>
      </c>
      <c r="I43" s="4387">
        <f ca="1">IF(AND(PLANS!$B$1&gt;1,SUM(ACTIONS!I3:I33)&gt;1),AVERAGEIF(ACTIONS!I3:I33,"&lt;&gt;0"), 0)</f>
        <v>0</v>
      </c>
      <c r="J43" s="4390">
        <f ca="1">IF(AND(PLANS!$B$1&gt;1,SUM(ACTIONS!J3:J33)&gt;1),AVERAGEIF(ACTIONS!J3:J33,"&lt;&gt;0"), 0)</f>
        <v>0</v>
      </c>
      <c r="K43" s="4444">
        <f ca="1">IF(AND(PLANS!$B$1&gt;1,SUM(ACTIONS!K3:K33)&gt;1),AVERAGEIF(ACTIONS!K3:K33,"&lt;&gt;0"), 0)</f>
        <v>0</v>
      </c>
      <c r="M43" s="10"/>
      <c r="N43" s="242"/>
      <c r="O43" s="10"/>
      <c r="P43" s="10"/>
      <c r="Q43" s="2062"/>
      <c r="R43" s="2062"/>
      <c r="S43" s="2062"/>
      <c r="T43" s="2062"/>
      <c r="U43" s="2062"/>
      <c r="V43" s="2062"/>
      <c r="W43" s="2062"/>
      <c r="X43" s="10"/>
      <c r="Y43" s="10"/>
      <c r="Z43" s="10"/>
      <c r="AA43" s="7"/>
      <c r="AB43" s="7"/>
      <c r="AC43" s="7"/>
      <c r="AD43" s="7"/>
      <c r="AE43" s="12"/>
      <c r="AF43" s="7"/>
      <c r="AG43" s="4405" t="s">
        <v>1056</v>
      </c>
      <c r="AH43" s="4405"/>
      <c r="AI43" s="4405"/>
      <c r="AJ43" s="4405"/>
      <c r="AK43" s="4405"/>
      <c r="AL43" s="4405"/>
      <c r="AM43" s="4405"/>
      <c r="AN43" s="4405"/>
      <c r="AO43" s="4405"/>
      <c r="AP43" s="4405"/>
      <c r="AQ43" s="4405"/>
      <c r="AR43" s="4405"/>
      <c r="AS43" s="4405"/>
      <c r="AT43" s="4405"/>
      <c r="AU43" s="4405"/>
      <c r="AV43" s="7"/>
      <c r="AW43" s="12"/>
      <c r="AX43" s="2061"/>
      <c r="AY43" s="2061"/>
      <c r="AZ43" s="2061"/>
      <c r="BA43" s="2061"/>
      <c r="BB43" s="8"/>
      <c r="BC43" s="8"/>
      <c r="BD43" s="8"/>
      <c r="BE43" s="12"/>
      <c r="BF43" s="12"/>
      <c r="BG43" s="2061"/>
      <c r="BH43" s="2061"/>
      <c r="BI43" s="2061"/>
      <c r="BJ43" s="2061"/>
      <c r="BK43" s="2061"/>
      <c r="BL43" s="2061"/>
      <c r="BM43" s="2061"/>
      <c r="BN43" s="1476"/>
      <c r="BO43" s="7"/>
      <c r="BQ43" s="4444">
        <f ca="1">IF(AND(PLANS!$B$1&gt;1,SUM(ACTIONS!BQ3:BQ33)&gt;1),AVERAGEIF(ACTIONS!BQ3:BQ33,"&lt;&gt;0"), 0)</f>
        <v>0</v>
      </c>
      <c r="BR43" s="4390">
        <f ca="1">IF(AND(PLANS!$B$1&gt;1,SUM(ACTIONS!BR3:BR33)&gt;1),AVERAGEIF(ACTIONS!BR3:BR33,"&lt;&gt;0"), 0)</f>
        <v>0</v>
      </c>
      <c r="BS43" s="4387">
        <f ca="1">IF(AND(PLANS!$B$1&gt;1,SUM(ACTIONS!BS3:BS33)&gt;1),AVERAGEIF(ACTIONS!BS3:BS33,"&lt;&gt;0"), 0)</f>
        <v>0</v>
      </c>
      <c r="BT43" s="4384">
        <f ca="1">IF(AND(PLANS!$B$1&gt;1,SUM(ACTIONS!BT3:BT33)&gt;1),AVERAGEIF(ACTIONS!BT3:BT33,"&lt;&gt;0"), 0)</f>
        <v>0</v>
      </c>
      <c r="BU43" s="4381">
        <f ca="1">IF(AND(PLANS!$B$1&gt;1,SUM(ACTIONS!BU3:BU33)&gt;1),AVERAGEIF(ACTIONS!BU3:BU33,"&lt;&gt;0"), 0)</f>
        <v>0</v>
      </c>
      <c r="BV43" s="4440">
        <f ca="1">IF(AND(PLANS!$B$1&gt;1,SUM(ACTIONS!BV3:BV33)&gt;1),AVERAGEIF(ACTIONS!BV3:BV33,"&lt;&gt;0"), 0)</f>
        <v>0</v>
      </c>
      <c r="BW43" s="4401">
        <f ca="1">IF(AND(PLANS!$B$1&gt;1,SUM(ACTIONS!BW3:BW33)&gt;1),AVERAGEIF(ACTIONS!BW3:BW33,"&lt;&gt;0"), 0)</f>
        <v>0</v>
      </c>
      <c r="BX43" s="4398">
        <f ca="1">IF(AND(PLANS!$B$1&gt;1,SUM(ACTIONS!BX3:BX33)&gt;1),AVERAGEIF(ACTIONS!BX3:BX33,"&lt;&gt;0"), 0)</f>
        <v>0</v>
      </c>
      <c r="BY43" s="4372">
        <f ca="1">IF(AND(PLANS!$B$1&gt;1,SUM(ACTIONS!BY3:BY33)&gt;1),AVERAGEIF(ACTIONS!BY3:BY33,"&lt;&gt;0"), 0)</f>
        <v>0</v>
      </c>
      <c r="CC43" s="45" t="s">
        <v>98</v>
      </c>
      <c r="CF43" s="45">
        <v>5</v>
      </c>
      <c r="CI43" s="562"/>
      <c r="CJ43" s="563"/>
      <c r="CK43" s="563"/>
      <c r="CL43" s="563"/>
      <c r="CM43" s="564" t="s">
        <v>78</v>
      </c>
      <c r="CN43" s="565" t="s">
        <v>94</v>
      </c>
      <c r="CO43" s="566" t="s">
        <v>102</v>
      </c>
      <c r="CP43" s="567"/>
      <c r="CQ43" s="1125" t="str">
        <f t="shared" si="39"/>
        <v>day chain</v>
      </c>
      <c r="CR43" s="1125"/>
      <c r="CS43" s="1125"/>
      <c r="CT43" s="568"/>
      <c r="CU43" s="579"/>
      <c r="CV43" s="580"/>
      <c r="CW43" s="581"/>
      <c r="CX43" s="581"/>
      <c r="CY43" s="572"/>
      <c r="DA43" s="562"/>
      <c r="DB43" s="563"/>
      <c r="DC43" s="563"/>
      <c r="DD43" s="563"/>
      <c r="DE43" s="563"/>
      <c r="DF43" s="564" t="s">
        <v>78</v>
      </c>
      <c r="DG43" s="565" t="s">
        <v>94</v>
      </c>
      <c r="DH43" s="566" t="s">
        <v>102</v>
      </c>
      <c r="DI43" s="567"/>
      <c r="DJ43" s="1125" t="s">
        <v>104</v>
      </c>
      <c r="DK43" s="1125"/>
      <c r="DL43" s="1125"/>
      <c r="DM43" s="568"/>
      <c r="DN43" s="579"/>
      <c r="DO43" s="580"/>
      <c r="DP43" s="581"/>
      <c r="DQ43" s="572"/>
    </row>
    <row r="44" spans="1:129" ht="17.100000000000001" customHeight="1" x14ac:dyDescent="0.25">
      <c r="C44" s="4373"/>
      <c r="D44" s="4399"/>
      <c r="E44" s="4402"/>
      <c r="F44" s="4441"/>
      <c r="G44" s="4382"/>
      <c r="H44" s="4385"/>
      <c r="I44" s="4388"/>
      <c r="J44" s="4391"/>
      <c r="K44" s="4445"/>
      <c r="M44" s="10"/>
      <c r="N44" s="242"/>
      <c r="O44" s="10"/>
      <c r="P44" s="10"/>
      <c r="Q44" s="10"/>
      <c r="R44" s="10"/>
      <c r="S44" s="10"/>
      <c r="T44" s="10"/>
      <c r="U44" s="10"/>
      <c r="V44" s="10"/>
      <c r="W44" s="10"/>
      <c r="X44" s="10"/>
      <c r="Y44" s="10"/>
      <c r="Z44" s="10"/>
      <c r="AA44" s="7"/>
      <c r="AB44" s="7"/>
      <c r="AC44" s="7"/>
      <c r="AD44" s="7"/>
      <c r="AE44" s="12"/>
      <c r="AF44" s="7"/>
      <c r="AG44" s="262"/>
      <c r="AH44" s="262"/>
      <c r="AI44" s="262"/>
      <c r="AJ44" s="262"/>
      <c r="AK44" s="262"/>
      <c r="AL44" s="262"/>
      <c r="AM44" s="4405">
        <f ca="1">SUM($AC$45:$AD$48,$AL$45:$AM$48,$AO$45:$AP$48,$AX$45:$AY$48)</f>
        <v>0</v>
      </c>
      <c r="AN44" s="4405"/>
      <c r="AO44" s="4405"/>
      <c r="AP44" s="262"/>
      <c r="AQ44" s="262"/>
      <c r="AR44" s="262"/>
      <c r="AS44" s="262"/>
      <c r="AT44" s="262"/>
      <c r="AU44" s="262"/>
      <c r="AV44" s="7"/>
      <c r="AW44" s="12"/>
      <c r="AX44" s="2061"/>
      <c r="AY44" s="2061"/>
      <c r="AZ44" s="2061"/>
      <c r="BA44" s="2061"/>
      <c r="BB44" s="8"/>
      <c r="BC44" s="8"/>
      <c r="BD44" s="8"/>
      <c r="BE44" s="12"/>
      <c r="BF44" s="12"/>
      <c r="BG44" s="12"/>
      <c r="BH44" s="12"/>
      <c r="BI44" s="12"/>
      <c r="BJ44" s="12"/>
      <c r="BK44" s="12"/>
      <c r="BL44" s="12"/>
      <c r="BM44" s="12"/>
      <c r="BN44" s="1476"/>
      <c r="BO44" s="7"/>
      <c r="BQ44" s="4445"/>
      <c r="BR44" s="4391"/>
      <c r="BS44" s="4388"/>
      <c r="BT44" s="4385"/>
      <c r="BU44" s="4382"/>
      <c r="BV44" s="4441"/>
      <c r="BW44" s="4402"/>
      <c r="BX44" s="4399"/>
      <c r="BY44" s="4373"/>
      <c r="CC44" s="45" t="s">
        <v>97</v>
      </c>
      <c r="CF44" s="45">
        <v>10</v>
      </c>
      <c r="CI44" s="562"/>
      <c r="CJ44" s="563"/>
      <c r="CK44" s="563"/>
      <c r="CL44" s="563"/>
      <c r="CM44" s="564" t="s">
        <v>78</v>
      </c>
      <c r="CN44" s="565" t="s">
        <v>94</v>
      </c>
      <c r="CO44" s="566" t="s">
        <v>102</v>
      </c>
      <c r="CP44" s="567"/>
      <c r="CQ44" s="1125" t="str">
        <f t="shared" si="39"/>
        <v>total days of</v>
      </c>
      <c r="CR44" s="1125"/>
      <c r="CS44" s="1125"/>
      <c r="CT44" s="568" t="s">
        <v>78</v>
      </c>
      <c r="CU44" s="588" t="s">
        <v>69</v>
      </c>
      <c r="CV44" s="589"/>
      <c r="CW44" s="590"/>
      <c r="CX44" s="590"/>
      <c r="CY44" s="572"/>
      <c r="DA44" s="562"/>
      <c r="DB44" s="563"/>
      <c r="DC44" s="563"/>
      <c r="DD44" s="563"/>
      <c r="DE44" s="563"/>
      <c r="DF44" s="564" t="s">
        <v>78</v>
      </c>
      <c r="DG44" s="565" t="s">
        <v>94</v>
      </c>
      <c r="DH44" s="566" t="s">
        <v>102</v>
      </c>
      <c r="DI44" s="567"/>
      <c r="DJ44" s="1125" t="s">
        <v>95</v>
      </c>
      <c r="DK44" s="1125"/>
      <c r="DL44" s="1125"/>
      <c r="DM44" s="568" t="s">
        <v>78</v>
      </c>
      <c r="DN44" s="588" t="s">
        <v>69</v>
      </c>
      <c r="DO44" s="589"/>
      <c r="DP44" s="590"/>
      <c r="DQ44" s="572"/>
    </row>
    <row r="45" spans="1:129" ht="17.100000000000001" customHeight="1" x14ac:dyDescent="0.25">
      <c r="C45" s="4374"/>
      <c r="D45" s="4400"/>
      <c r="E45" s="4403"/>
      <c r="F45" s="4442"/>
      <c r="G45" s="4383"/>
      <c r="H45" s="4386"/>
      <c r="I45" s="4389"/>
      <c r="J45" s="4392"/>
      <c r="K45" s="4446"/>
      <c r="M45" s="10"/>
      <c r="N45" s="242"/>
      <c r="O45" s="4311"/>
      <c r="P45" s="4311"/>
      <c r="Q45" s="4311"/>
      <c r="R45" s="4311"/>
      <c r="S45" s="4311"/>
      <c r="T45" s="4312"/>
      <c r="U45" s="4312"/>
      <c r="V45" s="10"/>
      <c r="W45" s="10"/>
      <c r="X45" s="4311" t="s">
        <v>1584</v>
      </c>
      <c r="Y45" s="4311"/>
      <c r="Z45" s="4311"/>
      <c r="AA45" s="4311"/>
      <c r="AB45" s="4311"/>
      <c r="AC45" s="4312">
        <f ca="1">SUM(ACTIONS!$CQ$72:$CQ$77)</f>
        <v>0</v>
      </c>
      <c r="AD45" s="4312"/>
      <c r="AE45" s="12"/>
      <c r="AF45" s="7"/>
      <c r="AG45" s="4311" t="s">
        <v>1087</v>
      </c>
      <c r="AH45" s="4311"/>
      <c r="AI45" s="4311"/>
      <c r="AJ45" s="4311"/>
      <c r="AK45" s="4311"/>
      <c r="AL45" s="4312">
        <f>SUM(ACTIONS!$CQ$43:$CQ$44)</f>
        <v>0</v>
      </c>
      <c r="AM45" s="4312"/>
      <c r="AN45" s="543"/>
      <c r="AO45" s="4393">
        <f>SUM(ACTIONS!$CQ$46:$CQ$48)</f>
        <v>0</v>
      </c>
      <c r="AP45" s="4393"/>
      <c r="AQ45" s="4394" t="s">
        <v>1088</v>
      </c>
      <c r="AR45" s="4394"/>
      <c r="AS45" s="4394"/>
      <c r="AT45" s="4394"/>
      <c r="AU45" s="4394"/>
      <c r="AV45" s="7"/>
      <c r="AW45" s="7"/>
      <c r="AX45" s="4393">
        <f>ACTIONS!$CQ$60</f>
        <v>0</v>
      </c>
      <c r="AY45" s="4393"/>
      <c r="AZ45" s="4394" t="s">
        <v>485</v>
      </c>
      <c r="BA45" s="4394"/>
      <c r="BB45" s="4394"/>
      <c r="BC45" s="4394"/>
      <c r="BD45" s="4394"/>
      <c r="BE45" s="12"/>
      <c r="BF45" s="12"/>
      <c r="BG45" s="4393"/>
      <c r="BH45" s="4393"/>
      <c r="BI45" s="4394"/>
      <c r="BJ45" s="4394"/>
      <c r="BK45" s="4394"/>
      <c r="BL45" s="4394"/>
      <c r="BM45" s="4394"/>
      <c r="BN45" s="1476"/>
      <c r="BO45" s="7"/>
      <c r="BQ45" s="4446"/>
      <c r="BR45" s="4392"/>
      <c r="BS45" s="4389"/>
      <c r="BT45" s="4386"/>
      <c r="BU45" s="4383"/>
      <c r="BV45" s="4442"/>
      <c r="BW45" s="4403"/>
      <c r="BX45" s="4400"/>
      <c r="BY45" s="4374"/>
      <c r="CC45" s="45" t="s">
        <v>104</v>
      </c>
      <c r="CF45" s="45">
        <v>15</v>
      </c>
      <c r="CI45" s="562"/>
      <c r="CJ45" s="563"/>
      <c r="CK45" s="563"/>
      <c r="CL45" s="563"/>
      <c r="CM45" s="564" t="s">
        <v>78</v>
      </c>
      <c r="CN45" s="565" t="s">
        <v>94</v>
      </c>
      <c r="CO45" s="566" t="s">
        <v>102</v>
      </c>
      <c r="CP45" s="567"/>
      <c r="CQ45" s="1125" t="str">
        <f t="shared" si="39"/>
        <v xml:space="preserve">day chain of </v>
      </c>
      <c r="CR45" s="1125"/>
      <c r="CS45" s="1125"/>
      <c r="CT45" s="568" t="s">
        <v>78</v>
      </c>
      <c r="CU45" s="579" t="s">
        <v>69</v>
      </c>
      <c r="CV45" s="580"/>
      <c r="CW45" s="581"/>
      <c r="CX45" s="581"/>
      <c r="CY45" s="572"/>
      <c r="DA45" s="562"/>
      <c r="DB45" s="563"/>
      <c r="DC45" s="563"/>
      <c r="DD45" s="563"/>
      <c r="DE45" s="563"/>
      <c r="DF45" s="564" t="s">
        <v>78</v>
      </c>
      <c r="DG45" s="565" t="s">
        <v>94</v>
      </c>
      <c r="DH45" s="566" t="s">
        <v>102</v>
      </c>
      <c r="DI45" s="567"/>
      <c r="DJ45" s="1125" t="s">
        <v>105</v>
      </c>
      <c r="DK45" s="1125"/>
      <c r="DL45" s="1125"/>
      <c r="DM45" s="568" t="s">
        <v>78</v>
      </c>
      <c r="DN45" s="579" t="s">
        <v>69</v>
      </c>
      <c r="DO45" s="580"/>
      <c r="DP45" s="581"/>
      <c r="DQ45" s="572"/>
    </row>
    <row r="46" spans="1:129" ht="17.100000000000001" customHeight="1" x14ac:dyDescent="0.25">
      <c r="C46" s="4395" t="s">
        <v>1061</v>
      </c>
      <c r="D46" s="4396"/>
      <c r="E46" s="4396"/>
      <c r="F46" s="4396"/>
      <c r="G46" s="4396"/>
      <c r="H46" s="4396"/>
      <c r="I46" s="4396"/>
      <c r="J46" s="4396"/>
      <c r="K46" s="4397"/>
      <c r="M46" s="10"/>
      <c r="N46" s="242"/>
      <c r="O46" s="541"/>
      <c r="P46" s="541"/>
      <c r="Q46" s="541"/>
      <c r="R46" s="541"/>
      <c r="S46" s="541"/>
      <c r="T46" s="541"/>
      <c r="U46" s="541"/>
      <c r="V46" s="10"/>
      <c r="W46" s="10"/>
      <c r="X46" s="4311" t="s">
        <v>1176</v>
      </c>
      <c r="Y46" s="4311"/>
      <c r="Z46" s="4311"/>
      <c r="AA46" s="4311"/>
      <c r="AB46" s="4311"/>
      <c r="AC46" s="4312">
        <f>SUM(ACTIONS!$CQ$69:$CQ$70)</f>
        <v>0</v>
      </c>
      <c r="AD46" s="4312"/>
      <c r="AE46" s="12"/>
      <c r="AF46" s="7"/>
      <c r="AG46" s="4311" t="s">
        <v>859</v>
      </c>
      <c r="AH46" s="4311"/>
      <c r="AI46" s="4311"/>
      <c r="AJ46" s="4311"/>
      <c r="AK46" s="4311"/>
      <c r="AL46" s="4312">
        <f>ACTIONS!$CQ$66</f>
        <v>0</v>
      </c>
      <c r="AM46" s="4312"/>
      <c r="AN46" s="543"/>
      <c r="AO46" s="4393">
        <f>ACTIONS!$CQ$67</f>
        <v>0</v>
      </c>
      <c r="AP46" s="4393"/>
      <c r="AQ46" s="4394" t="s">
        <v>489</v>
      </c>
      <c r="AR46" s="4394"/>
      <c r="AS46" s="4394"/>
      <c r="AT46" s="4394"/>
      <c r="AU46" s="4394"/>
      <c r="AV46" s="7"/>
      <c r="AW46" s="7"/>
      <c r="AX46" s="4393">
        <f>ACTIONS!$CQ$79</f>
        <v>0</v>
      </c>
      <c r="AY46" s="4393"/>
      <c r="AZ46" s="4394" t="s">
        <v>1588</v>
      </c>
      <c r="BA46" s="4394"/>
      <c r="BB46" s="4394"/>
      <c r="BC46" s="4394"/>
      <c r="BD46" s="4394"/>
      <c r="BE46" s="12"/>
      <c r="BF46" s="12"/>
      <c r="BG46" s="541"/>
      <c r="BH46" s="541"/>
      <c r="BI46" s="541"/>
      <c r="BJ46" s="541"/>
      <c r="BK46" s="541"/>
      <c r="BL46" s="541"/>
      <c r="BM46" s="541"/>
      <c r="BN46" s="1476"/>
      <c r="BO46" s="7"/>
      <c r="BQ46" s="4395" t="s">
        <v>1061</v>
      </c>
      <c r="BR46" s="4396"/>
      <c r="BS46" s="4396"/>
      <c r="BT46" s="4396"/>
      <c r="BU46" s="4396"/>
      <c r="BV46" s="4396"/>
      <c r="BW46" s="4396"/>
      <c r="BX46" s="4396"/>
      <c r="BY46" s="4397"/>
      <c r="CC46" s="45" t="s">
        <v>95</v>
      </c>
      <c r="CF46" s="45">
        <v>20</v>
      </c>
      <c r="CI46" s="562"/>
      <c r="CJ46" s="563"/>
      <c r="CK46" s="563"/>
      <c r="CL46" s="563"/>
      <c r="CM46" s="564" t="s">
        <v>78</v>
      </c>
      <c r="CN46" s="565" t="s">
        <v>94</v>
      </c>
      <c r="CO46" s="566" t="s">
        <v>102</v>
      </c>
      <c r="CP46" s="567"/>
      <c r="CQ46" s="1125" t="str">
        <f t="shared" si="39"/>
        <v>chains of</v>
      </c>
      <c r="CR46" s="1125"/>
      <c r="CS46" s="1125"/>
      <c r="CT46" s="568" t="s">
        <v>78</v>
      </c>
      <c r="CU46" s="588" t="str">
        <f>DN46</f>
        <v>days</v>
      </c>
      <c r="CV46" s="589"/>
      <c r="CW46" s="590"/>
      <c r="CX46" s="590"/>
      <c r="CY46" s="572"/>
      <c r="DA46" s="562"/>
      <c r="DB46" s="563"/>
      <c r="DC46" s="563"/>
      <c r="DD46" s="563"/>
      <c r="DE46" s="563"/>
      <c r="DF46" s="564" t="s">
        <v>78</v>
      </c>
      <c r="DG46" s="565" t="s">
        <v>94</v>
      </c>
      <c r="DH46" s="566" t="s">
        <v>102</v>
      </c>
      <c r="DI46" s="567"/>
      <c r="DJ46" s="1125" t="s">
        <v>106</v>
      </c>
      <c r="DK46" s="1125"/>
      <c r="DL46" s="1125"/>
      <c r="DM46" s="568" t="s">
        <v>78</v>
      </c>
      <c r="DN46" s="588" t="s">
        <v>77</v>
      </c>
      <c r="DO46" s="589"/>
      <c r="DP46" s="590"/>
      <c r="DQ46" s="572"/>
    </row>
    <row r="47" spans="1:129" ht="17.100000000000001" customHeight="1" x14ac:dyDescent="0.25">
      <c r="C47" s="4372">
        <f ca="1">IF(AND(PLANS!$B$1&gt;1,SUM(ACTIONS!C3:C33)&gt;1),MAX(ACTIONS!C3:C33), 0)</f>
        <v>0</v>
      </c>
      <c r="D47" s="4398">
        <f ca="1">IF(AND(PLANS!$B$1&gt;1,SUM(ACTIONS!D3:D33)&gt;1),MAX(ACTIONS!D3:D33), 0)</f>
        <v>0</v>
      </c>
      <c r="E47" s="4401">
        <f ca="1">IF(AND(PLANS!$B$1&gt;1,SUM(ACTIONS!E3:E33)&gt;1),MAX(ACTIONS!E3:E33), 0)</f>
        <v>0</v>
      </c>
      <c r="F47" s="4440">
        <f ca="1">IF(AND(PLANS!$B$1&gt;1,SUM(ACTIONS!F3:F33)&gt;1),MAX(ACTIONS!F3:F33), 0)</f>
        <v>0</v>
      </c>
      <c r="G47" s="4381">
        <f ca="1">IF(AND(PLANS!$B$1&gt;1,SUM(ACTIONS!G3:G33)&gt;1),MAX(ACTIONS!G3:G33), 0)</f>
        <v>0</v>
      </c>
      <c r="H47" s="4384">
        <f ca="1">IF(AND(PLANS!$B$1&gt;1,SUM(ACTIONS!H3:H33)&gt;1),MAX(ACTIONS!H3:H33), 0)</f>
        <v>0</v>
      </c>
      <c r="I47" s="4387">
        <f ca="1">IF(AND(PLANS!$B$1&gt;1,SUM(ACTIONS!I3:I33)&gt;1),MAX(ACTIONS!I3:I33), 0)</f>
        <v>0</v>
      </c>
      <c r="J47" s="4390">
        <f ca="1">IF(AND(PLANS!$B$1&gt;1,SUM(ACTIONS!J3:J33)&gt;1),MAX(ACTIONS!J3:J33), 0)</f>
        <v>0</v>
      </c>
      <c r="K47" s="4444">
        <f ca="1">IF(AND(PLANS!$B$1&gt;1,SUM(ACTIONS!K3:K33)&gt;1),MAX(ACTIONS!K3:K33), 0)</f>
        <v>0</v>
      </c>
      <c r="M47" s="10"/>
      <c r="N47" s="242"/>
      <c r="O47" s="541"/>
      <c r="P47" s="541"/>
      <c r="Q47" s="541"/>
      <c r="R47" s="541"/>
      <c r="S47" s="541"/>
      <c r="T47" s="541"/>
      <c r="U47" s="541"/>
      <c r="V47" s="10"/>
      <c r="W47" s="10"/>
      <c r="X47" s="4311" t="s">
        <v>1153</v>
      </c>
      <c r="Y47" s="4311"/>
      <c r="Z47" s="4311"/>
      <c r="AA47" s="4311"/>
      <c r="AB47" s="4311"/>
      <c r="AC47" s="4312">
        <f>ACTIONS!$CQ$62</f>
        <v>0</v>
      </c>
      <c r="AD47" s="4312"/>
      <c r="AE47" s="12"/>
      <c r="AF47" s="7"/>
      <c r="AG47" s="4311" t="s">
        <v>1585</v>
      </c>
      <c r="AH47" s="4311"/>
      <c r="AI47" s="4311"/>
      <c r="AJ47" s="4311"/>
      <c r="AK47" s="4311"/>
      <c r="AL47" s="4312">
        <f>ACTIONS!$CQ$64</f>
        <v>0</v>
      </c>
      <c r="AM47" s="4312"/>
      <c r="AN47" s="543"/>
      <c r="AO47" s="4393">
        <f>ACTIONS!$CQ$63</f>
        <v>0</v>
      </c>
      <c r="AP47" s="4393"/>
      <c r="AQ47" s="4394" t="s">
        <v>1660</v>
      </c>
      <c r="AR47" s="4394"/>
      <c r="AS47" s="4394"/>
      <c r="AT47" s="4394"/>
      <c r="AU47" s="4394"/>
      <c r="AV47" s="7"/>
      <c r="AW47" s="7"/>
      <c r="AX47" s="4393">
        <f>SUM(ACTIONS!$CQ$50:$CQ$51)</f>
        <v>0</v>
      </c>
      <c r="AY47" s="4393"/>
      <c r="AZ47" s="4394" t="s">
        <v>1586</v>
      </c>
      <c r="BA47" s="4394"/>
      <c r="BB47" s="4394"/>
      <c r="BC47" s="4394"/>
      <c r="BD47" s="4394"/>
      <c r="BE47" s="12"/>
      <c r="BF47" s="12"/>
      <c r="BG47" s="541"/>
      <c r="BH47" s="541"/>
      <c r="BI47" s="541"/>
      <c r="BJ47" s="541"/>
      <c r="BK47" s="541"/>
      <c r="BL47" s="541"/>
      <c r="BM47" s="541"/>
      <c r="BN47" s="1476"/>
      <c r="BO47" s="7"/>
      <c r="BQ47" s="4444">
        <f ca="1">IF(AND(PLANS!$B$1&gt;1,SUM(ACTIONS!BQ3:BQ33)&gt;1),MAX(ACTIONS!BQ3:BQ33), 0)</f>
        <v>0</v>
      </c>
      <c r="BR47" s="4390">
        <f ca="1">IF(AND(PLANS!$B$1&gt;1,SUM(ACTIONS!BR3:BR33)&gt;1),MAX(ACTIONS!BR3:BR33), 0)</f>
        <v>0</v>
      </c>
      <c r="BS47" s="4387">
        <f ca="1">IF(AND(PLANS!$B$1&gt;1,SUM(ACTIONS!BS3:BS33)&gt;1),MAX(ACTIONS!BS3:BS33), 0)</f>
        <v>0</v>
      </c>
      <c r="BT47" s="4384">
        <f ca="1">IF(AND(PLANS!$B$1&gt;1,SUM(ACTIONS!BT3:BT33)&gt;1),MAX(ACTIONS!BT3:BT33), 0)</f>
        <v>0</v>
      </c>
      <c r="BU47" s="4381">
        <f ca="1">IF(AND(PLANS!$B$1&gt;1,SUM(ACTIONS!BU3:BU33)&gt;1),MAX(ACTIONS!BU3:BU33), 0)</f>
        <v>0</v>
      </c>
      <c r="BV47" s="4440">
        <f ca="1">IF(AND(PLANS!$B$1&gt;1,SUM(ACTIONS!BV3:BV33)&gt;1),MAX(ACTIONS!BV3:BV33), 0)</f>
        <v>0</v>
      </c>
      <c r="BW47" s="4401">
        <f ca="1">IF(AND(PLANS!$B$1&gt;1,SUM(ACTIONS!BW3:BW33)&gt;1),MAX(ACTIONS!BW3:BW33), 0)</f>
        <v>0</v>
      </c>
      <c r="BX47" s="4398">
        <f ca="1">IF(AND(PLANS!$B$1&gt;1,SUM(ACTIONS!BX3:BX33)&gt;1),MAX(ACTIONS!BX3:BX33), 0)</f>
        <v>0</v>
      </c>
      <c r="BY47" s="4372">
        <f ca="1">IF(AND(PLANS!$B$1&gt;1,SUM(ACTIONS!BY3:BY33)&gt;1),MAX(ACTIONS!BY3:BY33), 0)</f>
        <v>0</v>
      </c>
      <c r="CC47" s="45" t="s">
        <v>778</v>
      </c>
      <c r="CF47" s="45">
        <v>25</v>
      </c>
      <c r="CI47" s="592"/>
      <c r="CJ47" s="593"/>
      <c r="CK47" s="593"/>
      <c r="CL47" s="593"/>
      <c r="CM47" s="593"/>
      <c r="CN47" s="593"/>
      <c r="CO47" s="593"/>
      <c r="CP47" s="594"/>
      <c r="CQ47" s="593"/>
      <c r="CR47" s="593"/>
      <c r="CS47" s="593"/>
      <c r="CT47" s="593"/>
      <c r="CU47" s="593"/>
      <c r="CV47" s="593"/>
      <c r="CW47" s="593"/>
      <c r="CX47" s="593"/>
      <c r="CY47" s="595"/>
      <c r="DA47" s="592"/>
      <c r="DB47" s="593"/>
      <c r="DC47" s="593"/>
      <c r="DD47" s="593"/>
      <c r="DE47" s="593"/>
      <c r="DF47" s="593"/>
      <c r="DG47" s="593"/>
      <c r="DH47" s="593"/>
      <c r="DI47" s="594"/>
      <c r="DJ47" s="593"/>
      <c r="DK47" s="593"/>
      <c r="DL47" s="593"/>
      <c r="DM47" s="593"/>
      <c r="DN47" s="593"/>
      <c r="DO47" s="593"/>
      <c r="DP47" s="593"/>
      <c r="DQ47" s="595"/>
    </row>
    <row r="48" spans="1:129" ht="17.100000000000001" customHeight="1" x14ac:dyDescent="0.2">
      <c r="C48" s="4373"/>
      <c r="D48" s="4399"/>
      <c r="E48" s="4402"/>
      <c r="F48" s="4441"/>
      <c r="G48" s="4382"/>
      <c r="H48" s="4385"/>
      <c r="I48" s="4388"/>
      <c r="J48" s="4391"/>
      <c r="K48" s="4445"/>
      <c r="M48" s="10"/>
      <c r="N48" s="242"/>
      <c r="O48" s="541"/>
      <c r="P48" s="541"/>
      <c r="Q48" s="541"/>
      <c r="R48" s="541"/>
      <c r="S48" s="541"/>
      <c r="T48" s="541"/>
      <c r="U48" s="541"/>
      <c r="V48" s="10"/>
      <c r="W48" s="10"/>
      <c r="X48" s="4311" t="s">
        <v>1058</v>
      </c>
      <c r="Y48" s="4311"/>
      <c r="Z48" s="4311"/>
      <c r="AA48" s="4311"/>
      <c r="AB48" s="4311"/>
      <c r="AC48" s="4312">
        <f>ACTIONS!$CQ$56</f>
        <v>0</v>
      </c>
      <c r="AD48" s="4312"/>
      <c r="AE48" s="12"/>
      <c r="AF48" s="7"/>
      <c r="AG48" s="4311" t="s">
        <v>526</v>
      </c>
      <c r="AH48" s="4311"/>
      <c r="AI48" s="4311"/>
      <c r="AJ48" s="4311"/>
      <c r="AK48" s="4311"/>
      <c r="AL48" s="4312">
        <f>ACTIONS!$CQ$57</f>
        <v>0</v>
      </c>
      <c r="AM48" s="4312"/>
      <c r="AN48" s="543"/>
      <c r="AO48" s="4393">
        <f>ACTIONS!$CQ$58</f>
        <v>0</v>
      </c>
      <c r="AP48" s="4393"/>
      <c r="AQ48" s="4394" t="s">
        <v>527</v>
      </c>
      <c r="AR48" s="4394"/>
      <c r="AS48" s="4394"/>
      <c r="AT48" s="4394"/>
      <c r="AU48" s="4394"/>
      <c r="AV48" s="7"/>
      <c r="AW48" s="7"/>
      <c r="AX48" s="4393">
        <f ca="1">SUM(ACTIONS!$CQ$53:$CQ$54)</f>
        <v>0</v>
      </c>
      <c r="AY48" s="4393"/>
      <c r="AZ48" s="4394" t="s">
        <v>1059</v>
      </c>
      <c r="BA48" s="4394"/>
      <c r="BB48" s="4394"/>
      <c r="BC48" s="4394"/>
      <c r="BD48" s="4394"/>
      <c r="BE48" s="12"/>
      <c r="BF48" s="12"/>
      <c r="BG48" s="541"/>
      <c r="BH48" s="541"/>
      <c r="BI48" s="541"/>
      <c r="BJ48" s="541"/>
      <c r="BK48" s="541"/>
      <c r="BL48" s="541"/>
      <c r="BM48" s="541"/>
      <c r="BN48" s="1476"/>
      <c r="BO48" s="12"/>
      <c r="BQ48" s="4445"/>
      <c r="BR48" s="4391"/>
      <c r="BS48" s="4388"/>
      <c r="BT48" s="4385"/>
      <c r="BU48" s="4382"/>
      <c r="BV48" s="4441"/>
      <c r="BW48" s="4402"/>
      <c r="BX48" s="4399"/>
      <c r="BY48" s="4373"/>
      <c r="CC48" s="45" t="s">
        <v>106</v>
      </c>
      <c r="CF48" s="45"/>
    </row>
    <row r="49" spans="2:116" ht="17.100000000000001" customHeight="1" x14ac:dyDescent="0.2">
      <c r="C49" s="4374"/>
      <c r="D49" s="4400"/>
      <c r="E49" s="4403"/>
      <c r="F49" s="4442"/>
      <c r="G49" s="4383"/>
      <c r="H49" s="4386"/>
      <c r="I49" s="4389"/>
      <c r="J49" s="4392"/>
      <c r="K49" s="4446"/>
      <c r="M49" s="10"/>
      <c r="N49" s="1477"/>
      <c r="O49" s="1478"/>
      <c r="P49" s="1478"/>
      <c r="Q49" s="1478"/>
      <c r="R49" s="1478"/>
      <c r="S49" s="1478"/>
      <c r="T49" s="1478"/>
      <c r="U49" s="1478"/>
      <c r="V49" s="1478"/>
      <c r="W49" s="1478"/>
      <c r="X49" s="1478"/>
      <c r="Y49" s="1478"/>
      <c r="Z49" s="1478"/>
      <c r="AA49" s="1479"/>
      <c r="AB49" s="1479"/>
      <c r="AC49" s="1479"/>
      <c r="AD49" s="1479"/>
      <c r="AE49" s="1480"/>
      <c r="AF49" s="1479"/>
      <c r="AG49" s="697"/>
      <c r="AH49" s="697"/>
      <c r="AI49" s="697"/>
      <c r="AJ49" s="697"/>
      <c r="AK49" s="697"/>
      <c r="AL49" s="697"/>
      <c r="AM49" s="697"/>
      <c r="AN49" s="697"/>
      <c r="AO49" s="697"/>
      <c r="AP49" s="697"/>
      <c r="AQ49" s="697"/>
      <c r="AR49" s="697"/>
      <c r="AS49" s="697"/>
      <c r="AT49" s="697"/>
      <c r="AU49" s="697"/>
      <c r="AV49" s="1479"/>
      <c r="AW49" s="1480"/>
      <c r="AX49" s="1480"/>
      <c r="AY49" s="1480"/>
      <c r="AZ49" s="1480"/>
      <c r="BA49" s="1480"/>
      <c r="BB49" s="1480"/>
      <c r="BC49" s="1480"/>
      <c r="BD49" s="1480"/>
      <c r="BE49" s="1480"/>
      <c r="BF49" s="1480"/>
      <c r="BG49" s="1480"/>
      <c r="BH49" s="1480"/>
      <c r="BI49" s="1480"/>
      <c r="BJ49" s="1480"/>
      <c r="BK49" s="1480"/>
      <c r="BL49" s="1480"/>
      <c r="BM49" s="1480"/>
      <c r="BN49" s="1481"/>
      <c r="BO49" s="12"/>
      <c r="BQ49" s="4446"/>
      <c r="BR49" s="4392"/>
      <c r="BS49" s="4389"/>
      <c r="BT49" s="4386"/>
      <c r="BU49" s="4383"/>
      <c r="BV49" s="4442"/>
      <c r="BW49" s="4403"/>
      <c r="BX49" s="4400"/>
      <c r="BY49" s="4374"/>
      <c r="CI49" s="227"/>
      <c r="CJ49" s="228"/>
      <c r="CK49" s="228"/>
      <c r="CL49" s="551"/>
      <c r="CM49" s="551"/>
      <c r="CN49" s="551"/>
      <c r="CO49" s="551"/>
      <c r="CP49" s="551"/>
      <c r="CQ49" s="551"/>
      <c r="CR49" s="551"/>
      <c r="CS49" s="551"/>
      <c r="CT49" s="551"/>
      <c r="CU49" s="551"/>
      <c r="CV49" s="551"/>
      <c r="CW49" s="228"/>
      <c r="CX49" s="228"/>
      <c r="CY49" s="256"/>
    </row>
    <row r="50" spans="2:116" ht="17.100000000000001" customHeight="1" x14ac:dyDescent="0.2">
      <c r="C50" s="4395" t="s">
        <v>1062</v>
      </c>
      <c r="D50" s="4396"/>
      <c r="E50" s="4396"/>
      <c r="F50" s="4396"/>
      <c r="G50" s="4396"/>
      <c r="H50" s="4396"/>
      <c r="I50" s="4396"/>
      <c r="J50" s="4396"/>
      <c r="K50" s="4397"/>
      <c r="M50" s="10"/>
      <c r="N50" s="10"/>
      <c r="O50" s="10"/>
      <c r="P50" s="10"/>
      <c r="Q50" s="10"/>
      <c r="R50" s="10"/>
      <c r="S50" s="10"/>
      <c r="T50" s="10"/>
      <c r="U50" s="10"/>
      <c r="V50" s="10"/>
      <c r="W50" s="10"/>
      <c r="X50" s="10"/>
      <c r="Y50" s="10"/>
      <c r="Z50" s="10"/>
      <c r="AA50" s="7"/>
      <c r="AB50" s="7"/>
      <c r="AC50" s="7"/>
      <c r="AD50" s="7"/>
      <c r="AE50" s="7"/>
      <c r="AF50" s="7"/>
      <c r="AG50" s="7"/>
      <c r="AH50" s="7"/>
      <c r="AI50" s="7"/>
      <c r="AJ50" s="7"/>
      <c r="AK50" s="7"/>
      <c r="AL50" s="7"/>
      <c r="AM50" s="7"/>
      <c r="AN50" s="7"/>
      <c r="AO50" s="7"/>
      <c r="AP50" s="7"/>
      <c r="AQ50" s="7"/>
      <c r="AR50" s="7"/>
      <c r="AS50" s="7"/>
      <c r="AT50" s="7"/>
      <c r="AU50" s="7"/>
      <c r="AV50" s="7"/>
      <c r="AW50" s="7"/>
      <c r="AX50" s="7"/>
      <c r="AY50" s="7"/>
      <c r="AZ50" s="7"/>
      <c r="BA50" s="7"/>
      <c r="BB50" s="7"/>
      <c r="BC50" s="7"/>
      <c r="BD50" s="7"/>
      <c r="BE50" s="7"/>
      <c r="BF50" s="7"/>
      <c r="BG50" s="7"/>
      <c r="BH50" s="7"/>
      <c r="BI50" s="7"/>
      <c r="BJ50" s="7"/>
      <c r="BK50" s="7"/>
      <c r="BL50" s="7"/>
      <c r="BM50" s="7"/>
      <c r="BN50" s="7"/>
      <c r="BO50" s="7"/>
      <c r="BQ50" s="4395" t="s">
        <v>1062</v>
      </c>
      <c r="BR50" s="4396"/>
      <c r="BS50" s="4396"/>
      <c r="BT50" s="4396"/>
      <c r="BU50" s="4396"/>
      <c r="BV50" s="4396"/>
      <c r="BW50" s="4396"/>
      <c r="BX50" s="4396"/>
      <c r="BY50" s="4397"/>
      <c r="CC50" s="45" t="s">
        <v>69</v>
      </c>
      <c r="CI50" s="242"/>
      <c r="CL50" s="574" t="s">
        <v>103</v>
      </c>
      <c r="CM50" s="574"/>
      <c r="CN50" s="574"/>
      <c r="CO50" s="574"/>
      <c r="CP50" s="574"/>
      <c r="CQ50" s="574"/>
      <c r="CR50" s="574"/>
      <c r="CS50" s="574"/>
      <c r="CT50" s="574"/>
      <c r="CU50" s="574"/>
      <c r="CV50" s="574"/>
      <c r="CY50" s="299"/>
    </row>
    <row r="51" spans="2:116" ht="17.100000000000001" customHeight="1" x14ac:dyDescent="0.2">
      <c r="C51" s="4487">
        <f>data!EC94</f>
        <v>0</v>
      </c>
      <c r="D51" s="4484">
        <f>data!ED94</f>
        <v>0</v>
      </c>
      <c r="E51" s="4481">
        <f>data!EE94</f>
        <v>0</v>
      </c>
      <c r="F51" s="4478">
        <f>data!EF94</f>
        <v>0</v>
      </c>
      <c r="G51" s="4475">
        <f>data!EG94</f>
        <v>0</v>
      </c>
      <c r="H51" s="4472">
        <f>data!EH94</f>
        <v>0</v>
      </c>
      <c r="I51" s="4469">
        <f>data!EI94</f>
        <v>0</v>
      </c>
      <c r="J51" s="4466">
        <f>data!EJ94</f>
        <v>0</v>
      </c>
      <c r="K51" s="4463">
        <f>data!EK94</f>
        <v>0</v>
      </c>
      <c r="N51" s="227"/>
      <c r="O51" s="540"/>
      <c r="P51" s="540"/>
      <c r="Q51" s="540"/>
      <c r="R51" s="540"/>
      <c r="S51" s="540"/>
      <c r="T51" s="540"/>
      <c r="U51" s="4412" t="s">
        <v>1057</v>
      </c>
      <c r="V51" s="4412"/>
      <c r="W51" s="4412"/>
      <c r="X51" s="540"/>
      <c r="Y51" s="540"/>
      <c r="Z51" s="540"/>
      <c r="AA51" s="540"/>
      <c r="AB51" s="540"/>
      <c r="AC51" s="540"/>
      <c r="AD51" s="256"/>
      <c r="AF51" s="227"/>
      <c r="AG51" s="540"/>
      <c r="AH51" s="540"/>
      <c r="AI51" s="540"/>
      <c r="AJ51" s="540"/>
      <c r="AK51" s="540"/>
      <c r="AL51" s="540"/>
      <c r="AM51" s="4504" t="s">
        <v>68</v>
      </c>
      <c r="AN51" s="4504"/>
      <c r="AO51" s="4504"/>
      <c r="AP51" s="540"/>
      <c r="AQ51" s="540"/>
      <c r="AR51" s="540"/>
      <c r="AS51" s="540"/>
      <c r="AT51" s="540"/>
      <c r="AU51" s="540"/>
      <c r="AV51" s="256"/>
      <c r="AX51" s="227"/>
      <c r="AY51" s="540"/>
      <c r="AZ51" s="540"/>
      <c r="BA51" s="540"/>
      <c r="BB51" s="540"/>
      <c r="BC51" s="540"/>
      <c r="BD51" s="540"/>
      <c r="BE51" s="4461" t="s">
        <v>76</v>
      </c>
      <c r="BF51" s="4461"/>
      <c r="BG51" s="4461"/>
      <c r="BH51" s="540"/>
      <c r="BI51" s="540"/>
      <c r="BJ51" s="540"/>
      <c r="BK51" s="540"/>
      <c r="BL51" s="540"/>
      <c r="BM51" s="540"/>
      <c r="BN51" s="256"/>
      <c r="BQ51" s="4463">
        <f>data!EN94</f>
        <v>0</v>
      </c>
      <c r="BR51" s="4466">
        <f>data!EO94</f>
        <v>0</v>
      </c>
      <c r="BS51" s="4469">
        <f>data!EP94</f>
        <v>0</v>
      </c>
      <c r="BT51" s="4472">
        <f>data!EQ94</f>
        <v>0</v>
      </c>
      <c r="BU51" s="4475">
        <f>data!ER94</f>
        <v>0</v>
      </c>
      <c r="BV51" s="4478">
        <f>data!ES94</f>
        <v>0</v>
      </c>
      <c r="BW51" s="4481">
        <f>data!ET94</f>
        <v>0</v>
      </c>
      <c r="BX51" s="4484">
        <f>data!EU94</f>
        <v>0</v>
      </c>
      <c r="BY51" s="4487">
        <f>data!EV94</f>
        <v>0</v>
      </c>
      <c r="CC51" s="45" t="s">
        <v>77</v>
      </c>
      <c r="CI51" s="242"/>
      <c r="CJ51" s="573"/>
      <c r="CK51" s="573"/>
      <c r="CL51" s="574"/>
      <c r="CM51" s="574"/>
      <c r="CN51" s="574"/>
      <c r="CO51" s="574"/>
      <c r="CP51" s="574"/>
      <c r="CQ51" s="574"/>
      <c r="CR51" s="574"/>
      <c r="CS51" s="574"/>
      <c r="CT51" s="574"/>
      <c r="CU51" s="574"/>
      <c r="CV51" s="574"/>
      <c r="CW51" s="575"/>
      <c r="CX51" s="573"/>
      <c r="CY51" s="299"/>
    </row>
    <row r="52" spans="2:116" ht="17.100000000000001" customHeight="1" x14ac:dyDescent="0.2">
      <c r="C52" s="4488"/>
      <c r="D52" s="4485"/>
      <c r="E52" s="4482"/>
      <c r="F52" s="4479"/>
      <c r="G52" s="4476"/>
      <c r="H52" s="4473"/>
      <c r="I52" s="4470"/>
      <c r="J52" s="4467"/>
      <c r="K52" s="4464"/>
      <c r="N52" s="242"/>
      <c r="O52" s="541"/>
      <c r="P52" s="541"/>
      <c r="Q52" s="541"/>
      <c r="R52" s="541"/>
      <c r="S52" s="541"/>
      <c r="T52" s="541"/>
      <c r="U52" s="4413"/>
      <c r="V52" s="4413"/>
      <c r="W52" s="4413"/>
      <c r="X52" s="541"/>
      <c r="Y52" s="541"/>
      <c r="Z52" s="541"/>
      <c r="AA52" s="541"/>
      <c r="AB52" s="541"/>
      <c r="AC52" s="541"/>
      <c r="AD52" s="542"/>
      <c r="AF52" s="242"/>
      <c r="AG52" s="541"/>
      <c r="AH52" s="541"/>
      <c r="AI52" s="541"/>
      <c r="AJ52" s="541"/>
      <c r="AK52" s="541"/>
      <c r="AL52" s="541"/>
      <c r="AM52" s="4505"/>
      <c r="AN52" s="4505"/>
      <c r="AO52" s="4505"/>
      <c r="AP52" s="541"/>
      <c r="AQ52" s="541"/>
      <c r="AR52" s="541"/>
      <c r="AS52" s="541"/>
      <c r="AT52" s="541"/>
      <c r="AU52" s="541"/>
      <c r="AV52" s="542"/>
      <c r="AX52" s="242"/>
      <c r="AY52" s="541"/>
      <c r="AZ52" s="541"/>
      <c r="BA52" s="541"/>
      <c r="BB52" s="541"/>
      <c r="BC52" s="541"/>
      <c r="BD52" s="541"/>
      <c r="BE52" s="4462"/>
      <c r="BF52" s="4462"/>
      <c r="BG52" s="4462"/>
      <c r="BH52" s="541"/>
      <c r="BI52" s="541"/>
      <c r="BJ52" s="541"/>
      <c r="BK52" s="541"/>
      <c r="BL52" s="541"/>
      <c r="BM52" s="541"/>
      <c r="BN52" s="542"/>
      <c r="BQ52" s="4464"/>
      <c r="BR52" s="4467"/>
      <c r="BS52" s="4470"/>
      <c r="BT52" s="4473"/>
      <c r="BU52" s="4476"/>
      <c r="BV52" s="4479"/>
      <c r="BW52" s="4482"/>
      <c r="BX52" s="4485"/>
      <c r="BY52" s="4488"/>
      <c r="CI52" s="242"/>
      <c r="CJ52" s="582"/>
      <c r="CK52" s="582"/>
      <c r="CL52" s="583"/>
      <c r="CM52" s="584"/>
      <c r="CN52" s="584"/>
      <c r="CO52" s="584"/>
      <c r="CP52" s="583" t="s">
        <v>1699</v>
      </c>
      <c r="CQ52" s="585" t="s">
        <v>65</v>
      </c>
      <c r="CR52" s="584">
        <v>5</v>
      </c>
      <c r="CS52" s="584"/>
      <c r="CT52" s="584"/>
      <c r="CU52" s="584"/>
      <c r="CV52" s="583"/>
      <c r="CW52" s="582"/>
      <c r="CX52" s="582"/>
      <c r="CY52" s="299"/>
    </row>
    <row r="53" spans="2:116" ht="17.100000000000001" customHeight="1" x14ac:dyDescent="0.15">
      <c r="C53" s="4489"/>
      <c r="D53" s="4486"/>
      <c r="E53" s="4483"/>
      <c r="F53" s="4480"/>
      <c r="G53" s="4477"/>
      <c r="H53" s="4474"/>
      <c r="I53" s="4471"/>
      <c r="J53" s="4468"/>
      <c r="K53" s="4465"/>
      <c r="N53" s="242"/>
      <c r="O53" s="4405" t="s">
        <v>792</v>
      </c>
      <c r="P53" s="4405"/>
      <c r="Q53" s="4405"/>
      <c r="R53" s="4405"/>
      <c r="S53" s="4405"/>
      <c r="T53" s="4405"/>
      <c r="U53" s="4405"/>
      <c r="V53" s="4405"/>
      <c r="W53" s="4405"/>
      <c r="X53" s="4405"/>
      <c r="Y53" s="4405"/>
      <c r="Z53" s="4405"/>
      <c r="AA53" s="4405"/>
      <c r="AB53" s="4405"/>
      <c r="AC53" s="4405"/>
      <c r="AD53" s="542"/>
      <c r="AF53" s="242"/>
      <c r="AG53" s="4405" t="s">
        <v>791</v>
      </c>
      <c r="AH53" s="4405"/>
      <c r="AI53" s="4405"/>
      <c r="AJ53" s="4405"/>
      <c r="AK53" s="4405"/>
      <c r="AL53" s="4405"/>
      <c r="AM53" s="4405"/>
      <c r="AN53" s="4405"/>
      <c r="AO53" s="4405"/>
      <c r="AP53" s="4405"/>
      <c r="AQ53" s="4405"/>
      <c r="AR53" s="4405"/>
      <c r="AS53" s="4405"/>
      <c r="AT53" s="4405"/>
      <c r="AU53" s="4405"/>
      <c r="AV53" s="542"/>
      <c r="AX53" s="242"/>
      <c r="AY53" s="4405" t="s">
        <v>793</v>
      </c>
      <c r="AZ53" s="4405"/>
      <c r="BA53" s="4405"/>
      <c r="BB53" s="4405"/>
      <c r="BC53" s="4405"/>
      <c r="BD53" s="4405"/>
      <c r="BE53" s="4405"/>
      <c r="BF53" s="4405"/>
      <c r="BG53" s="4405"/>
      <c r="BH53" s="4405"/>
      <c r="BI53" s="4405"/>
      <c r="BJ53" s="4405"/>
      <c r="BK53" s="4405"/>
      <c r="BL53" s="4405"/>
      <c r="BM53" s="4405"/>
      <c r="BN53" s="542"/>
      <c r="BQ53" s="4465"/>
      <c r="BR53" s="4468"/>
      <c r="BS53" s="4471"/>
      <c r="BT53" s="4474"/>
      <c r="BU53" s="4477"/>
      <c r="BV53" s="4480"/>
      <c r="BW53" s="4483"/>
      <c r="BX53" s="4486"/>
      <c r="BY53" s="4489"/>
      <c r="CI53" s="242"/>
      <c r="CJ53" s="582"/>
      <c r="CK53" s="582"/>
      <c r="CL53" s="583"/>
      <c r="CM53" s="584"/>
      <c r="CN53" s="584"/>
      <c r="CO53" s="584"/>
      <c r="CP53" s="583" t="s">
        <v>1488</v>
      </c>
      <c r="CQ53" s="585" t="s">
        <v>65</v>
      </c>
      <c r="CR53" s="584">
        <v>10</v>
      </c>
      <c r="CS53" s="584"/>
      <c r="CT53" s="584"/>
      <c r="CU53" s="584"/>
      <c r="CV53" s="583"/>
      <c r="CW53" s="582"/>
      <c r="CX53" s="582"/>
      <c r="CY53" s="299"/>
    </row>
    <row r="54" spans="2:116" ht="17.100000000000001" customHeight="1" x14ac:dyDescent="0.2">
      <c r="C54" s="4395" t="s">
        <v>1063</v>
      </c>
      <c r="D54" s="4396"/>
      <c r="E54" s="4396"/>
      <c r="F54" s="4396"/>
      <c r="G54" s="4396"/>
      <c r="H54" s="4396"/>
      <c r="I54" s="4396"/>
      <c r="J54" s="4396"/>
      <c r="K54" s="4397"/>
      <c r="N54" s="242"/>
      <c r="O54" s="262"/>
      <c r="P54" s="262"/>
      <c r="Q54" s="262"/>
      <c r="R54" s="262"/>
      <c r="S54" s="262"/>
      <c r="T54" s="262"/>
      <c r="U54" s="4405">
        <f ca="1">SUM(T55:X57)</f>
        <v>0</v>
      </c>
      <c r="V54" s="4405"/>
      <c r="W54" s="4405"/>
      <c r="X54" s="262"/>
      <c r="Y54" s="262"/>
      <c r="Z54" s="262"/>
      <c r="AA54" s="262"/>
      <c r="AB54" s="262"/>
      <c r="AC54" s="262"/>
      <c r="AD54" s="542"/>
      <c r="AF54" s="242"/>
      <c r="AG54" s="262"/>
      <c r="AH54" s="262"/>
      <c r="AI54" s="262"/>
      <c r="AJ54" s="262"/>
      <c r="AK54" s="262"/>
      <c r="AL54" s="262"/>
      <c r="AM54" s="4405">
        <f>SUM(AL55:AP58)</f>
        <v>0</v>
      </c>
      <c r="AN54" s="4405"/>
      <c r="AO54" s="4405"/>
      <c r="AP54" s="262"/>
      <c r="AQ54" s="262"/>
      <c r="AR54" s="262"/>
      <c r="AS54" s="262"/>
      <c r="AT54" s="262"/>
      <c r="AU54" s="262"/>
      <c r="AV54" s="542"/>
      <c r="AX54" s="242"/>
      <c r="AY54" s="262"/>
      <c r="AZ54" s="262"/>
      <c r="BA54" s="262"/>
      <c r="BB54" s="262"/>
      <c r="BC54" s="262"/>
      <c r="BD54" s="262"/>
      <c r="BE54" s="4405">
        <f>SUM(BD55:BH57)</f>
        <v>0</v>
      </c>
      <c r="BF54" s="4405"/>
      <c r="BG54" s="4405"/>
      <c r="BH54" s="262"/>
      <c r="BI54" s="262"/>
      <c r="BJ54" s="262"/>
      <c r="BK54" s="262"/>
      <c r="BL54" s="262"/>
      <c r="BM54" s="262"/>
      <c r="BN54" s="542"/>
      <c r="BQ54" s="4395" t="s">
        <v>1063</v>
      </c>
      <c r="BR54" s="4396"/>
      <c r="BS54" s="4396"/>
      <c r="BT54" s="4396"/>
      <c r="BU54" s="4396"/>
      <c r="BV54" s="4396"/>
      <c r="BW54" s="4396"/>
      <c r="BX54" s="4396"/>
      <c r="BY54" s="4397"/>
      <c r="CI54" s="242"/>
      <c r="CJ54" s="582"/>
      <c r="CK54" s="582"/>
      <c r="CL54" s="583"/>
      <c r="CM54" s="584"/>
      <c r="CN54" s="584"/>
      <c r="CO54" s="584"/>
      <c r="CP54" s="583" t="s">
        <v>1489</v>
      </c>
      <c r="CQ54" s="585" t="s">
        <v>65</v>
      </c>
      <c r="CR54" s="584">
        <v>15</v>
      </c>
      <c r="CS54" s="584"/>
      <c r="CT54" s="584"/>
      <c r="CU54" s="584"/>
      <c r="CV54" s="583"/>
      <c r="CW54" s="582"/>
      <c r="CX54" s="582"/>
      <c r="CY54" s="299"/>
    </row>
    <row r="55" spans="2:116" ht="17.100000000000001" customHeight="1" x14ac:dyDescent="0.2">
      <c r="C55" s="4487">
        <f>data!EC95</f>
        <v>0</v>
      </c>
      <c r="D55" s="4484">
        <f>data!ED95</f>
        <v>0</v>
      </c>
      <c r="E55" s="4481">
        <f>data!EE95</f>
        <v>0</v>
      </c>
      <c r="F55" s="4478">
        <f>data!EF95</f>
        <v>0</v>
      </c>
      <c r="G55" s="4475">
        <f>data!EG95</f>
        <v>0</v>
      </c>
      <c r="H55" s="4472">
        <f>data!EH95</f>
        <v>0</v>
      </c>
      <c r="I55" s="4469">
        <f>data!EI95</f>
        <v>0</v>
      </c>
      <c r="J55" s="4466">
        <f>data!EJ95</f>
        <v>0</v>
      </c>
      <c r="K55" s="4463">
        <f>data!EK95</f>
        <v>0</v>
      </c>
      <c r="N55" s="242"/>
      <c r="O55" s="4311" t="s">
        <v>1667</v>
      </c>
      <c r="P55" s="4311"/>
      <c r="Q55" s="4311"/>
      <c r="R55" s="4311"/>
      <c r="S55" s="4311"/>
      <c r="T55" s="4312">
        <f ca="1">ACTIONS!$DH$52</f>
        <v>0</v>
      </c>
      <c r="U55" s="4312"/>
      <c r="V55" s="543"/>
      <c r="W55" s="4393">
        <f ca="1">SUM(ACTIONS!$DH$43:$DH$45)</f>
        <v>0</v>
      </c>
      <c r="X55" s="4393"/>
      <c r="Y55" s="4394" t="s">
        <v>1052</v>
      </c>
      <c r="Z55" s="4394"/>
      <c r="AA55" s="4394"/>
      <c r="AB55" s="4394"/>
      <c r="AC55" s="4394"/>
      <c r="AD55" s="542"/>
      <c r="AF55" s="242"/>
      <c r="AG55" s="4311" t="s">
        <v>485</v>
      </c>
      <c r="AH55" s="4311"/>
      <c r="AI55" s="4311"/>
      <c r="AJ55" s="4311"/>
      <c r="AK55" s="4311"/>
      <c r="AL55" s="4312">
        <f>IF(BOUNTY!$G$6&lt;&gt;"",1,0)</f>
        <v>0</v>
      </c>
      <c r="AM55" s="4312"/>
      <c r="AN55" s="543"/>
      <c r="AO55" s="4393">
        <f>IF(BOUNTY!$BF$6&lt;&gt;"",1,0)</f>
        <v>0</v>
      </c>
      <c r="AP55" s="4393"/>
      <c r="AQ55" s="4394" t="s">
        <v>1337</v>
      </c>
      <c r="AR55" s="4394"/>
      <c r="AS55" s="4394"/>
      <c r="AT55" s="4394"/>
      <c r="AU55" s="4394"/>
      <c r="AV55" s="542"/>
      <c r="AX55" s="242"/>
      <c r="AY55" s="4311" t="str">
        <f>"&gt; "&amp;RESPITE!$AM$136&amp;RESPITE!$AN$136</f>
        <v>&gt; 20 HOURS TV</v>
      </c>
      <c r="AZ55" s="4311"/>
      <c r="BA55" s="4311"/>
      <c r="BB55" s="4311"/>
      <c r="BC55" s="4311"/>
      <c r="BD55" s="4503">
        <f>RESPITE!$DB$50</f>
        <v>0</v>
      </c>
      <c r="BE55" s="4503"/>
      <c r="BF55" s="543"/>
      <c r="BG55" s="4393">
        <f>RESPITE!$DB$51</f>
        <v>0</v>
      </c>
      <c r="BH55" s="4393"/>
      <c r="BI55" s="4394" t="str">
        <f>"&gt; "&amp;RESPITE!$BM$136&amp;RESPITE!$BN$136</f>
        <v>&gt; 10 HOURS FILM</v>
      </c>
      <c r="BJ55" s="4394"/>
      <c r="BK55" s="4394"/>
      <c r="BL55" s="4394"/>
      <c r="BM55" s="4394"/>
      <c r="BN55" s="542"/>
      <c r="BQ55" s="4463">
        <f>data!EN95</f>
        <v>0</v>
      </c>
      <c r="BR55" s="4466">
        <f>data!EO95</f>
        <v>0</v>
      </c>
      <c r="BS55" s="4469">
        <f>data!EP95</f>
        <v>0</v>
      </c>
      <c r="BT55" s="4472">
        <f>data!EQ95</f>
        <v>0</v>
      </c>
      <c r="BU55" s="4475">
        <f>data!ER95</f>
        <v>0</v>
      </c>
      <c r="BV55" s="4478">
        <f>data!ES95</f>
        <v>0</v>
      </c>
      <c r="BW55" s="4481">
        <f>data!ET95</f>
        <v>0</v>
      </c>
      <c r="BX55" s="4484">
        <f>data!EU95</f>
        <v>0</v>
      </c>
      <c r="BY55" s="4487">
        <f>data!EV95</f>
        <v>0</v>
      </c>
      <c r="CI55" s="242"/>
      <c r="CJ55" s="582"/>
      <c r="CK55" s="582"/>
      <c r="CL55" s="583"/>
      <c r="CM55" s="584"/>
      <c r="CN55" s="584"/>
      <c r="CO55" s="584"/>
      <c r="CP55" s="583" t="s">
        <v>1700</v>
      </c>
      <c r="CQ55" s="585" t="s">
        <v>65</v>
      </c>
      <c r="CR55" s="584">
        <v>20</v>
      </c>
      <c r="CS55" s="584"/>
      <c r="CT55" s="584"/>
      <c r="CU55" s="584"/>
      <c r="CV55" s="583"/>
      <c r="CW55" s="582"/>
      <c r="CX55" s="582"/>
      <c r="CY55" s="299"/>
    </row>
    <row r="56" spans="2:116" ht="17.100000000000001" customHeight="1" x14ac:dyDescent="0.2">
      <c r="C56" s="4488"/>
      <c r="D56" s="4485"/>
      <c r="E56" s="4482"/>
      <c r="F56" s="4479"/>
      <c r="G56" s="4476"/>
      <c r="H56" s="4473"/>
      <c r="I56" s="4470"/>
      <c r="J56" s="4467"/>
      <c r="K56" s="4464"/>
      <c r="N56" s="242"/>
      <c r="O56" s="4311" t="s">
        <v>1050</v>
      </c>
      <c r="P56" s="4311"/>
      <c r="Q56" s="4311"/>
      <c r="R56" s="4311"/>
      <c r="S56" s="4311"/>
      <c r="T56" s="4312">
        <f>ACTIONS!$DH$47</f>
        <v>0</v>
      </c>
      <c r="U56" s="4312"/>
      <c r="V56" s="543"/>
      <c r="W56" s="4393">
        <f ca="1">ACTIONS!$DH$48</f>
        <v>0</v>
      </c>
      <c r="X56" s="4393"/>
      <c r="Y56" s="4394" t="s">
        <v>1051</v>
      </c>
      <c r="Z56" s="4394"/>
      <c r="AA56" s="4394"/>
      <c r="AB56" s="4394"/>
      <c r="AC56" s="4394"/>
      <c r="AD56" s="542"/>
      <c r="AF56" s="242"/>
      <c r="AG56" s="4311" t="s">
        <v>1708</v>
      </c>
      <c r="AH56" s="4311"/>
      <c r="AI56" s="4311"/>
      <c r="AJ56" s="4311"/>
      <c r="AK56" s="4311"/>
      <c r="AL56" s="4312">
        <f>IF(BOUNTY!$P$6&lt;&gt;"",1,0)</f>
        <v>0</v>
      </c>
      <c r="AM56" s="4312"/>
      <c r="AN56" s="543"/>
      <c r="AO56" s="4393">
        <f>IF(BOUNTY!$BO$6&lt;&gt;"",1,0)</f>
        <v>0</v>
      </c>
      <c r="AP56" s="4393"/>
      <c r="AQ56" s="4394" t="s">
        <v>1338</v>
      </c>
      <c r="AR56" s="4394"/>
      <c r="AS56" s="4394"/>
      <c r="AT56" s="4394"/>
      <c r="AU56" s="4394"/>
      <c r="AV56" s="542"/>
      <c r="AX56" s="242"/>
      <c r="AY56" s="4311" t="str">
        <f>"&gt; "&amp;RESPITE!$M$136&amp;RESPITE!$N$136</f>
        <v>&gt; 20 HOURS GAMING</v>
      </c>
      <c r="AZ56" s="4311"/>
      <c r="BA56" s="4311"/>
      <c r="BB56" s="4311"/>
      <c r="BC56" s="4311"/>
      <c r="BD56" s="4312">
        <f>RESPITE!$DB$49</f>
        <v>0</v>
      </c>
      <c r="BE56" s="4312"/>
      <c r="BF56" s="543"/>
      <c r="BG56" s="4490">
        <f>RESPITE!$DB$52</f>
        <v>0</v>
      </c>
      <c r="BH56" s="4490"/>
      <c r="BI56" s="4394" t="str">
        <f>"&gt; "&amp;RESPITE!$Z$136&amp;RESPITE!$AA$136</f>
        <v>&gt; 40 HOURS OVERALL</v>
      </c>
      <c r="BJ56" s="4394"/>
      <c r="BK56" s="4394"/>
      <c r="BL56" s="4394"/>
      <c r="BM56" s="4394"/>
      <c r="BN56" s="542"/>
      <c r="BQ56" s="4464"/>
      <c r="BR56" s="4467"/>
      <c r="BS56" s="4470"/>
      <c r="BT56" s="4473"/>
      <c r="BU56" s="4476"/>
      <c r="BV56" s="4479"/>
      <c r="BW56" s="4482"/>
      <c r="BX56" s="4485"/>
      <c r="BY56" s="4488"/>
      <c r="CI56" s="242"/>
      <c r="CJ56" s="582"/>
      <c r="CK56" s="582"/>
      <c r="CL56" s="583"/>
      <c r="CM56" s="584"/>
      <c r="CN56" s="584"/>
      <c r="CO56" s="584"/>
      <c r="CP56" s="583" t="s">
        <v>1701</v>
      </c>
      <c r="CQ56" s="585" t="s">
        <v>65</v>
      </c>
      <c r="CR56" s="584">
        <v>25</v>
      </c>
      <c r="CS56" s="584"/>
      <c r="CT56" s="584"/>
      <c r="CU56" s="584"/>
      <c r="CV56" s="583"/>
      <c r="CW56" s="582"/>
      <c r="CX56" s="582"/>
      <c r="CY56" s="299"/>
      <c r="DL56" s="586"/>
    </row>
    <row r="57" spans="2:116" ht="17.100000000000001" customHeight="1" x14ac:dyDescent="0.2">
      <c r="C57" s="4489"/>
      <c r="D57" s="4486"/>
      <c r="E57" s="4483"/>
      <c r="F57" s="4480"/>
      <c r="G57" s="4477"/>
      <c r="H57" s="4474"/>
      <c r="I57" s="4471"/>
      <c r="J57" s="4468"/>
      <c r="K57" s="4465"/>
      <c r="N57" s="242"/>
      <c r="O57" s="46"/>
      <c r="P57" s="46"/>
      <c r="Q57" s="46"/>
      <c r="R57" s="46"/>
      <c r="S57" s="46"/>
      <c r="T57" s="46"/>
      <c r="U57" s="4404">
        <f>ACTIONS!$DH$50</f>
        <v>0</v>
      </c>
      <c r="V57" s="4404"/>
      <c r="W57" s="4404"/>
      <c r="X57" s="46"/>
      <c r="Y57" s="46"/>
      <c r="Z57" s="46"/>
      <c r="AA57" s="46"/>
      <c r="AB57" s="46"/>
      <c r="AC57" s="46"/>
      <c r="AD57" s="542"/>
      <c r="AF57" s="242"/>
      <c r="AG57" s="4311" t="s">
        <v>60</v>
      </c>
      <c r="AH57" s="4311"/>
      <c r="AI57" s="4311"/>
      <c r="AJ57" s="4311"/>
      <c r="AK57" s="4311"/>
      <c r="AL57" s="4312">
        <f>IF(BOUNTY!$G$9&lt;&gt;"",1,0)</f>
        <v>0</v>
      </c>
      <c r="AM57" s="4312"/>
      <c r="AN57" s="543"/>
      <c r="AO57" s="4393">
        <f>IF(BOUNTY!$BF$9&lt;&gt;"",1,0)</f>
        <v>0</v>
      </c>
      <c r="AP57" s="4393"/>
      <c r="AQ57" s="4394" t="s">
        <v>714</v>
      </c>
      <c r="AR57" s="4394"/>
      <c r="AS57" s="4394"/>
      <c r="AT57" s="4394"/>
      <c r="AU57" s="4394"/>
      <c r="AV57" s="542"/>
      <c r="AX57" s="242"/>
      <c r="AY57" s="46"/>
      <c r="AZ57" s="46"/>
      <c r="BA57" s="46"/>
      <c r="BB57" s="46"/>
      <c r="BC57" s="46"/>
      <c r="BD57" s="46"/>
      <c r="BE57" s="4404">
        <f>RESPITE!$DB$53</f>
        <v>0</v>
      </c>
      <c r="BF57" s="4404"/>
      <c r="BG57" s="4404"/>
      <c r="BH57" s="46"/>
      <c r="BI57" s="46"/>
      <c r="BJ57" s="46"/>
      <c r="BK57" s="46"/>
      <c r="BL57" s="46"/>
      <c r="BM57" s="46"/>
      <c r="BN57" s="542"/>
      <c r="BQ57" s="4465"/>
      <c r="BR57" s="4468"/>
      <c r="BS57" s="4471"/>
      <c r="BT57" s="4474"/>
      <c r="BU57" s="4477"/>
      <c r="BV57" s="4480"/>
      <c r="BW57" s="4483"/>
      <c r="BX57" s="4486"/>
      <c r="BY57" s="4489"/>
      <c r="CI57" s="251"/>
      <c r="CJ57" s="252"/>
      <c r="CK57" s="252"/>
      <c r="CL57" s="252"/>
      <c r="CM57" s="252"/>
      <c r="CN57" s="252"/>
      <c r="CO57" s="252"/>
      <c r="CP57" s="252"/>
      <c r="CQ57" s="596"/>
      <c r="CR57" s="252"/>
      <c r="CS57" s="252"/>
      <c r="CT57" s="252"/>
      <c r="CU57" s="252"/>
      <c r="CV57" s="252"/>
      <c r="CW57" s="252"/>
      <c r="CX57" s="252"/>
      <c r="CY57" s="253"/>
    </row>
    <row r="58" spans="2:116" ht="17.100000000000001" customHeight="1" x14ac:dyDescent="0.3">
      <c r="N58" s="242"/>
      <c r="O58" s="46"/>
      <c r="P58" s="46"/>
      <c r="Q58" s="46"/>
      <c r="R58" s="46"/>
      <c r="S58" s="544"/>
      <c r="T58" s="4404" t="s">
        <v>1688</v>
      </c>
      <c r="U58" s="4404"/>
      <c r="V58" s="4404"/>
      <c r="W58" s="4404"/>
      <c r="X58" s="4404"/>
      <c r="Y58" s="545"/>
      <c r="Z58" s="541"/>
      <c r="AA58" s="46"/>
      <c r="AB58" s="46"/>
      <c r="AC58" s="46"/>
      <c r="AD58" s="542"/>
      <c r="AF58" s="242"/>
      <c r="AG58" s="4311" t="s">
        <v>173</v>
      </c>
      <c r="AH58" s="4311"/>
      <c r="AI58" s="4311"/>
      <c r="AJ58" s="4311"/>
      <c r="AK58" s="4311"/>
      <c r="AL58" s="4312">
        <f>IF(BOUNTY!$P$9&lt;&gt;"",1,0)</f>
        <v>0</v>
      </c>
      <c r="AM58" s="4312"/>
      <c r="AN58" s="543"/>
      <c r="AO58" s="4393">
        <f>IF(BOUNTY!$BO$9&lt;&gt;"",1,0)</f>
        <v>0</v>
      </c>
      <c r="AP58" s="4393"/>
      <c r="AQ58" s="4394" t="s">
        <v>1244</v>
      </c>
      <c r="AR58" s="4394"/>
      <c r="AS58" s="4394"/>
      <c r="AT58" s="4394"/>
      <c r="AU58" s="4394"/>
      <c r="AV58" s="542"/>
      <c r="AX58" s="242"/>
      <c r="AY58" s="46"/>
      <c r="AZ58" s="46"/>
      <c r="BA58" s="46"/>
      <c r="BB58" s="46"/>
      <c r="BC58" s="544"/>
      <c r="BD58" s="4404" t="str">
        <f>"&gt; "&amp;RESPITE!$AZ$136&amp;RESPITE!$BA$136</f>
        <v>&gt; 0 HOURS WILD CARD</v>
      </c>
      <c r="BE58" s="4404"/>
      <c r="BF58" s="4404"/>
      <c r="BG58" s="4404"/>
      <c r="BH58" s="4404"/>
      <c r="BI58" s="545"/>
      <c r="BJ58" s="541"/>
      <c r="BK58" s="46"/>
      <c r="BL58" s="46"/>
      <c r="BM58" s="46"/>
      <c r="BN58" s="542"/>
    </row>
    <row r="59" spans="2:116" ht="17.100000000000001" customHeight="1" x14ac:dyDescent="0.15">
      <c r="N59" s="251"/>
      <c r="AD59" s="546"/>
      <c r="AF59" s="251"/>
      <c r="AV59" s="546"/>
      <c r="AX59" s="251"/>
      <c r="BN59" s="546"/>
    </row>
    <row r="60" spans="2:116" ht="17.100000000000001" customHeight="1" x14ac:dyDescent="0.2">
      <c r="O60" s="540"/>
      <c r="P60" s="540"/>
      <c r="Q60" s="540"/>
      <c r="R60" s="540"/>
      <c r="S60" s="540"/>
      <c r="T60" s="540"/>
      <c r="U60" s="540"/>
      <c r="V60" s="540"/>
      <c r="W60" s="540"/>
      <c r="X60" s="540"/>
      <c r="Y60" s="540"/>
      <c r="Z60" s="540"/>
      <c r="AA60" s="540"/>
      <c r="AB60" s="540"/>
      <c r="AC60" s="540"/>
      <c r="AG60" s="540"/>
      <c r="AH60" s="540"/>
      <c r="AI60" s="540"/>
      <c r="AJ60" s="540"/>
      <c r="AK60" s="540"/>
      <c r="AL60" s="540"/>
      <c r="AM60" s="540"/>
      <c r="AN60" s="540"/>
      <c r="AO60" s="540"/>
      <c r="AP60" s="540"/>
      <c r="AQ60" s="540"/>
      <c r="AR60" s="540"/>
      <c r="AS60" s="540"/>
      <c r="AT60" s="540"/>
      <c r="AU60" s="540"/>
      <c r="AY60" s="540"/>
      <c r="AZ60" s="540"/>
      <c r="BA60" s="540"/>
      <c r="BB60" s="540"/>
      <c r="BC60" s="540"/>
      <c r="BD60" s="540"/>
      <c r="BE60" s="540"/>
      <c r="BF60" s="540"/>
      <c r="BG60" s="540"/>
      <c r="BH60" s="540"/>
      <c r="BI60" s="540"/>
      <c r="BJ60" s="540"/>
      <c r="BK60" s="540"/>
      <c r="BL60" s="540"/>
      <c r="BM60" s="540"/>
    </row>
    <row r="61" spans="2:116" ht="17.100000000000001" customHeight="1" x14ac:dyDescent="0.15">
      <c r="AN61" s="34" t="s">
        <v>9</v>
      </c>
      <c r="AO61" s="34"/>
    </row>
    <row r="62" spans="2:116" ht="17.100000000000001" customHeight="1" x14ac:dyDescent="0.15">
      <c r="AN62" s="34" t="s">
        <v>9</v>
      </c>
      <c r="AO62" s="34"/>
      <c r="CN62" s="487"/>
    </row>
    <row r="63" spans="2:116" ht="17.100000000000001" customHeight="1" thickBot="1" x14ac:dyDescent="0.2">
      <c r="N63" s="4406" t="s">
        <v>1340</v>
      </c>
      <c r="O63" s="4407"/>
      <c r="P63" s="4407"/>
      <c r="Q63" s="4407"/>
      <c r="R63" s="4407"/>
      <c r="S63" s="4407"/>
      <c r="T63" s="4407"/>
      <c r="U63" s="4407"/>
      <c r="V63" s="4407"/>
      <c r="W63" s="4407"/>
      <c r="X63" s="4407"/>
      <c r="Y63" s="4407"/>
      <c r="Z63" s="4407"/>
      <c r="AA63" s="4407"/>
      <c r="AB63" s="4407"/>
      <c r="AC63" s="4407"/>
      <c r="AD63" s="4408"/>
      <c r="AF63" s="4506" t="s">
        <v>857</v>
      </c>
      <c r="AG63" s="4507"/>
      <c r="AH63" s="4507"/>
      <c r="AI63" s="4507"/>
      <c r="AJ63" s="4507"/>
      <c r="AK63" s="4507"/>
      <c r="AL63" s="4507"/>
      <c r="AM63" s="4507"/>
      <c r="AN63" s="4507"/>
      <c r="AO63" s="4507"/>
      <c r="AP63" s="4507"/>
      <c r="AQ63" s="4507"/>
      <c r="AR63" s="4507"/>
      <c r="AS63" s="4507"/>
      <c r="AT63" s="4507"/>
      <c r="AU63" s="4507"/>
      <c r="AV63" s="4508"/>
      <c r="AX63" s="4406" t="s">
        <v>1339</v>
      </c>
      <c r="AY63" s="4407"/>
      <c r="AZ63" s="4407"/>
      <c r="BA63" s="4407"/>
      <c r="BB63" s="4407"/>
      <c r="BC63" s="4407"/>
      <c r="BD63" s="4407"/>
      <c r="BE63" s="4407"/>
      <c r="BF63" s="4407"/>
      <c r="BG63" s="4407"/>
      <c r="BH63" s="4407"/>
      <c r="BI63" s="4407"/>
      <c r="BJ63" s="4407"/>
      <c r="BK63" s="4407"/>
      <c r="BL63" s="4407"/>
      <c r="BM63" s="4407"/>
      <c r="BN63" s="4408"/>
      <c r="CM63" s="601"/>
      <c r="CN63" s="602"/>
      <c r="CO63" s="603"/>
      <c r="CP63" s="1469"/>
      <c r="CQ63" s="1469"/>
      <c r="CR63" s="1469"/>
    </row>
    <row r="64" spans="2:116" ht="17.100000000000001" customHeight="1" thickTop="1" x14ac:dyDescent="0.2">
      <c r="B64" s="4447" t="s">
        <v>852</v>
      </c>
      <c r="C64" s="4447"/>
      <c r="D64" s="4447"/>
      <c r="E64" s="4447"/>
      <c r="F64" s="4447"/>
      <c r="G64" s="4447"/>
      <c r="H64" s="4447"/>
      <c r="I64" s="4447"/>
      <c r="J64" s="4447"/>
      <c r="K64" s="4447"/>
      <c r="L64" s="4447"/>
      <c r="N64" s="4409"/>
      <c r="O64" s="4410"/>
      <c r="P64" s="4410"/>
      <c r="Q64" s="4410"/>
      <c r="R64" s="4410"/>
      <c r="S64" s="4410"/>
      <c r="T64" s="4410"/>
      <c r="U64" s="4410"/>
      <c r="V64" s="4410"/>
      <c r="W64" s="4410"/>
      <c r="X64" s="4410"/>
      <c r="Y64" s="4410"/>
      <c r="Z64" s="4410"/>
      <c r="AA64" s="4410"/>
      <c r="AB64" s="4410"/>
      <c r="AC64" s="4410"/>
      <c r="AD64" s="4411"/>
      <c r="AF64" s="4509"/>
      <c r="AG64" s="4510"/>
      <c r="AH64" s="4510"/>
      <c r="AI64" s="4510"/>
      <c r="AJ64" s="4510"/>
      <c r="AK64" s="4510"/>
      <c r="AL64" s="4510"/>
      <c r="AM64" s="4510"/>
      <c r="AN64" s="4510"/>
      <c r="AO64" s="4510"/>
      <c r="AP64" s="4510"/>
      <c r="AQ64" s="4510"/>
      <c r="AR64" s="4510"/>
      <c r="AS64" s="4510"/>
      <c r="AT64" s="4510"/>
      <c r="AU64" s="4510"/>
      <c r="AV64" s="4511"/>
      <c r="AX64" s="4409"/>
      <c r="AY64" s="4410"/>
      <c r="AZ64" s="4410"/>
      <c r="BA64" s="4410"/>
      <c r="BB64" s="4410"/>
      <c r="BC64" s="4410"/>
      <c r="BD64" s="4410"/>
      <c r="BE64" s="4410"/>
      <c r="BF64" s="4410"/>
      <c r="BG64" s="4410"/>
      <c r="BH64" s="4410"/>
      <c r="BI64" s="4410"/>
      <c r="BJ64" s="4410"/>
      <c r="BK64" s="4410"/>
      <c r="BL64" s="4410"/>
      <c r="BM64" s="4410"/>
      <c r="BN64" s="4411"/>
      <c r="BP64" s="4493" t="s">
        <v>852</v>
      </c>
      <c r="BQ64" s="4493"/>
      <c r="BR64" s="4493"/>
      <c r="BS64" s="4493"/>
      <c r="BT64" s="4493"/>
      <c r="BU64" s="4493"/>
      <c r="BV64" s="4493"/>
      <c r="BW64" s="4493"/>
      <c r="BX64" s="4493"/>
      <c r="BY64" s="4493"/>
      <c r="BZ64" s="4493"/>
      <c r="CA64" s="547"/>
      <c r="CM64" s="601"/>
      <c r="CN64" s="602"/>
      <c r="CO64" s="603"/>
      <c r="CP64" s="1469"/>
      <c r="CQ64" s="1469"/>
      <c r="CR64" s="1469"/>
    </row>
    <row r="65" spans="1:96" ht="17.100000000000001" customHeight="1" x14ac:dyDescent="0.15">
      <c r="N65" s="552"/>
      <c r="O65" s="553"/>
      <c r="P65" s="553"/>
      <c r="Q65" s="553"/>
      <c r="R65" s="553"/>
      <c r="S65" s="553"/>
      <c r="T65" s="553"/>
      <c r="U65" s="553"/>
      <c r="V65" s="2836"/>
      <c r="W65" s="553"/>
      <c r="X65" s="553"/>
      <c r="Y65" s="553"/>
      <c r="Z65" s="553"/>
      <c r="AA65" s="553"/>
      <c r="AB65" s="553"/>
      <c r="AC65" s="553"/>
      <c r="AD65" s="554"/>
      <c r="AF65" s="2833"/>
      <c r="AG65" s="2834"/>
      <c r="AH65" s="2834"/>
      <c r="AI65" s="2834"/>
      <c r="AJ65" s="2834"/>
      <c r="AK65" s="2834"/>
      <c r="AL65" s="2834"/>
      <c r="AM65" s="2834"/>
      <c r="AN65" s="2834"/>
      <c r="AO65" s="2834"/>
      <c r="AP65" s="2834"/>
      <c r="AQ65" s="2834"/>
      <c r="AR65" s="2834"/>
      <c r="AS65" s="2834"/>
      <c r="AT65" s="2834"/>
      <c r="AU65" s="2834"/>
      <c r="AV65" s="2835"/>
      <c r="AX65" s="552"/>
      <c r="AY65" s="553"/>
      <c r="AZ65" s="553"/>
      <c r="BA65" s="553"/>
      <c r="BB65" s="553"/>
      <c r="BC65" s="553"/>
      <c r="BD65" s="553"/>
      <c r="BE65" s="553"/>
      <c r="BF65" s="553"/>
      <c r="BG65" s="553"/>
      <c r="BH65" s="553"/>
      <c r="BI65" s="553"/>
      <c r="BJ65" s="553"/>
      <c r="BK65" s="553"/>
      <c r="BL65" s="553"/>
      <c r="BM65" s="553"/>
      <c r="BN65" s="554"/>
      <c r="CA65" s="547"/>
      <c r="CM65" s="601"/>
      <c r="CN65" s="602"/>
      <c r="CO65" s="603"/>
      <c r="CP65" s="1469"/>
      <c r="CQ65" s="1469"/>
      <c r="CR65" s="1469"/>
    </row>
    <row r="66" spans="1:96" ht="17.100000000000001" customHeight="1" x14ac:dyDescent="0.25">
      <c r="B66" s="555"/>
      <c r="D66" s="556">
        <v>10</v>
      </c>
      <c r="F66" s="555"/>
      <c r="H66" s="557">
        <v>5</v>
      </c>
      <c r="J66" s="555"/>
      <c r="L66" s="556">
        <v>5</v>
      </c>
      <c r="N66" s="242"/>
      <c r="O66" s="4288" t="str">
        <f>ACTIONS!$C$34</f>
        <v>MND1</v>
      </c>
      <c r="P66" s="4288"/>
      <c r="Q66" s="558" t="s">
        <v>67</v>
      </c>
      <c r="R66" s="4289"/>
      <c r="S66" s="4289"/>
      <c r="T66" s="4289"/>
      <c r="U66" s="4289"/>
      <c r="V66" s="4289"/>
      <c r="W66" s="4289"/>
      <c r="X66" s="4289"/>
      <c r="Y66" s="4289"/>
      <c r="Z66" s="4289"/>
      <c r="AA66" s="4289"/>
      <c r="AB66" s="4289"/>
      <c r="AC66" s="4289"/>
      <c r="AD66" s="559"/>
      <c r="AF66" s="4290" t="s">
        <v>64</v>
      </c>
      <c r="AG66" s="4291"/>
      <c r="AH66" s="4294"/>
      <c r="AI66" s="4294"/>
      <c r="AJ66" s="4294"/>
      <c r="AK66" s="4294"/>
      <c r="AL66" s="4294"/>
      <c r="AM66" s="4294"/>
      <c r="AN66" s="4294"/>
      <c r="AO66" s="4294"/>
      <c r="AP66" s="4294"/>
      <c r="AQ66" s="4294"/>
      <c r="AR66" s="4294"/>
      <c r="AS66" s="4294"/>
      <c r="AT66" s="4294"/>
      <c r="AU66" s="4295"/>
      <c r="AV66" s="4296"/>
      <c r="AW66" s="560"/>
      <c r="AX66" s="242"/>
      <c r="AY66" s="4288" t="str">
        <f>ACTIONS!$BQ$34</f>
        <v>BDY1</v>
      </c>
      <c r="AZ66" s="4288"/>
      <c r="BA66" s="558" t="s">
        <v>67</v>
      </c>
      <c r="BB66" s="4289"/>
      <c r="BC66" s="4289"/>
      <c r="BD66" s="4289"/>
      <c r="BE66" s="4289"/>
      <c r="BF66" s="4289"/>
      <c r="BG66" s="4289"/>
      <c r="BH66" s="4289"/>
      <c r="BI66" s="4289"/>
      <c r="BJ66" s="4289"/>
      <c r="BK66" s="4289"/>
      <c r="BL66" s="4289"/>
      <c r="BM66" s="4289"/>
      <c r="BN66" s="559"/>
      <c r="BP66" s="561">
        <v>10</v>
      </c>
      <c r="BR66" s="555"/>
      <c r="BT66" s="555"/>
      <c r="BV66" s="555"/>
      <c r="BX66" s="555"/>
      <c r="BZ66" s="557">
        <v>15</v>
      </c>
      <c r="CM66" s="601"/>
      <c r="CN66" s="602"/>
      <c r="CO66" s="603"/>
      <c r="CP66" s="1469"/>
      <c r="CQ66" s="1469"/>
      <c r="CR66" s="1469"/>
    </row>
    <row r="67" spans="1:96" ht="17.100000000000001" customHeight="1" x14ac:dyDescent="0.25">
      <c r="B67" s="561">
        <v>5</v>
      </c>
      <c r="D67" s="555"/>
      <c r="F67" s="556">
        <v>10</v>
      </c>
      <c r="H67" s="576">
        <v>10</v>
      </c>
      <c r="J67" s="576">
        <v>10</v>
      </c>
      <c r="L67" s="556">
        <v>10</v>
      </c>
      <c r="N67" s="242"/>
      <c r="O67" s="4288" t="str">
        <f>ACTIONS!$D$34</f>
        <v>MND2</v>
      </c>
      <c r="P67" s="4288"/>
      <c r="Q67" s="558" t="s">
        <v>67</v>
      </c>
      <c r="R67" s="4299"/>
      <c r="S67" s="4299"/>
      <c r="T67" s="4299"/>
      <c r="U67" s="4299"/>
      <c r="V67" s="4299"/>
      <c r="W67" s="4299"/>
      <c r="X67" s="4299"/>
      <c r="Y67" s="4299"/>
      <c r="Z67" s="4299"/>
      <c r="AA67" s="4299"/>
      <c r="AB67" s="4299"/>
      <c r="AC67" s="4299"/>
      <c r="AD67" s="559"/>
      <c r="AE67" s="577"/>
      <c r="AF67" s="4292"/>
      <c r="AG67" s="4293"/>
      <c r="AH67" s="4300"/>
      <c r="AI67" s="4300"/>
      <c r="AJ67" s="4300"/>
      <c r="AK67" s="4300"/>
      <c r="AL67" s="4300"/>
      <c r="AM67" s="4300"/>
      <c r="AN67" s="4300"/>
      <c r="AO67" s="4300"/>
      <c r="AP67" s="4300"/>
      <c r="AQ67" s="4300"/>
      <c r="AR67" s="4300"/>
      <c r="AS67" s="4300"/>
      <c r="AT67" s="4300"/>
      <c r="AU67" s="4297"/>
      <c r="AV67" s="4298"/>
      <c r="AW67" s="578"/>
      <c r="AX67" s="242"/>
      <c r="AY67" s="4288" t="str">
        <f>ACTIONS!$BR$34</f>
        <v>BDY2</v>
      </c>
      <c r="AZ67" s="4288"/>
      <c r="BA67" s="558" t="s">
        <v>67</v>
      </c>
      <c r="BB67" s="4299"/>
      <c r="BC67" s="4299"/>
      <c r="BD67" s="4299"/>
      <c r="BE67" s="4299"/>
      <c r="BF67" s="4299"/>
      <c r="BG67" s="4299"/>
      <c r="BH67" s="4299"/>
      <c r="BI67" s="4299"/>
      <c r="BJ67" s="4299"/>
      <c r="BK67" s="4299"/>
      <c r="BL67" s="4299"/>
      <c r="BM67" s="4299"/>
      <c r="BN67" s="559"/>
      <c r="BP67" s="555"/>
      <c r="BR67" s="556">
        <v>5</v>
      </c>
      <c r="BT67" s="555"/>
      <c r="BV67" s="555"/>
      <c r="BX67" s="557">
        <v>5</v>
      </c>
      <c r="BZ67" s="555"/>
      <c r="CM67" s="601"/>
      <c r="CN67" s="602"/>
      <c r="CO67" s="603"/>
      <c r="CP67" s="1469"/>
      <c r="CQ67" s="1469"/>
      <c r="CR67" s="1469"/>
    </row>
    <row r="68" spans="1:96" ht="17.100000000000001" customHeight="1" x14ac:dyDescent="0.25">
      <c r="B68" s="555"/>
      <c r="D68" s="556">
        <v>15</v>
      </c>
      <c r="F68" s="556">
        <v>10</v>
      </c>
      <c r="H68" s="576">
        <v>15</v>
      </c>
      <c r="J68" s="576">
        <v>15</v>
      </c>
      <c r="L68" s="556">
        <v>10</v>
      </c>
      <c r="N68" s="242"/>
      <c r="O68" s="4288" t="str">
        <f>ACTIONS!$E$34</f>
        <v>MND3</v>
      </c>
      <c r="P68" s="4288"/>
      <c r="Q68" s="558" t="s">
        <v>67</v>
      </c>
      <c r="R68" s="4299"/>
      <c r="S68" s="4299"/>
      <c r="T68" s="4299"/>
      <c r="U68" s="4299"/>
      <c r="V68" s="4299"/>
      <c r="W68" s="4299"/>
      <c r="X68" s="4299"/>
      <c r="Y68" s="4299"/>
      <c r="Z68" s="4299"/>
      <c r="AA68" s="4299"/>
      <c r="AB68" s="4299"/>
      <c r="AC68" s="4299"/>
      <c r="AD68" s="559"/>
      <c r="AE68" s="587"/>
      <c r="AF68" s="4290" t="s">
        <v>64</v>
      </c>
      <c r="AG68" s="4291"/>
      <c r="AH68" s="4294"/>
      <c r="AI68" s="4294"/>
      <c r="AJ68" s="4294"/>
      <c r="AK68" s="4294"/>
      <c r="AL68" s="4294"/>
      <c r="AM68" s="4294"/>
      <c r="AN68" s="4294"/>
      <c r="AO68" s="4294"/>
      <c r="AP68" s="4294"/>
      <c r="AQ68" s="4294"/>
      <c r="AR68" s="4294"/>
      <c r="AS68" s="4294"/>
      <c r="AT68" s="4294"/>
      <c r="AU68" s="4295"/>
      <c r="AV68" s="4296"/>
      <c r="AX68" s="242"/>
      <c r="AY68" s="4288" t="str">
        <f>ACTIONS!$BS$34</f>
        <v>BDY3</v>
      </c>
      <c r="AZ68" s="4288"/>
      <c r="BA68" s="558" t="s">
        <v>67</v>
      </c>
      <c r="BB68" s="4299"/>
      <c r="BC68" s="4299"/>
      <c r="BD68" s="4299"/>
      <c r="BE68" s="4299"/>
      <c r="BF68" s="4299"/>
      <c r="BG68" s="4299"/>
      <c r="BH68" s="4299"/>
      <c r="BI68" s="4299"/>
      <c r="BJ68" s="4299"/>
      <c r="BK68" s="4299"/>
      <c r="BL68" s="4299"/>
      <c r="BM68" s="4299"/>
      <c r="BN68" s="559"/>
      <c r="BP68" s="561">
        <v>10</v>
      </c>
      <c r="BR68" s="556">
        <v>10</v>
      </c>
      <c r="BT68" s="555"/>
      <c r="BV68" s="576">
        <v>10</v>
      </c>
      <c r="BX68" s="557">
        <v>5</v>
      </c>
      <c r="BZ68" s="556">
        <v>10</v>
      </c>
      <c r="CM68" s="601"/>
      <c r="CN68" s="602"/>
      <c r="CO68" s="603"/>
      <c r="CP68" s="1469"/>
      <c r="CQ68" s="1469"/>
      <c r="CR68" s="1469"/>
    </row>
    <row r="69" spans="1:96" ht="17.100000000000001" customHeight="1" x14ac:dyDescent="0.25">
      <c r="B69" s="561">
        <v>10</v>
      </c>
      <c r="D69" s="556">
        <v>10</v>
      </c>
      <c r="F69" s="556">
        <v>5</v>
      </c>
      <c r="H69" s="576">
        <v>10</v>
      </c>
      <c r="J69" s="576">
        <v>10</v>
      </c>
      <c r="L69" s="555"/>
      <c r="N69" s="242"/>
      <c r="O69" s="4288" t="str">
        <f>ACTIONS!$F$34</f>
        <v>MND4</v>
      </c>
      <c r="P69" s="4288"/>
      <c r="Q69" s="558" t="s">
        <v>67</v>
      </c>
      <c r="R69" s="4299"/>
      <c r="S69" s="4299"/>
      <c r="T69" s="4299"/>
      <c r="U69" s="4299"/>
      <c r="V69" s="4299"/>
      <c r="W69" s="4299"/>
      <c r="X69" s="4299"/>
      <c r="Y69" s="4299"/>
      <c r="Z69" s="4299"/>
      <c r="AA69" s="4299"/>
      <c r="AB69" s="4299"/>
      <c r="AC69" s="4299"/>
      <c r="AD69" s="559"/>
      <c r="AE69" s="577"/>
      <c r="AF69" s="4292"/>
      <c r="AG69" s="4293"/>
      <c r="AH69" s="4300"/>
      <c r="AI69" s="4300"/>
      <c r="AJ69" s="4300"/>
      <c r="AK69" s="4300"/>
      <c r="AL69" s="4300"/>
      <c r="AM69" s="4300"/>
      <c r="AN69" s="4300"/>
      <c r="AO69" s="4300"/>
      <c r="AP69" s="4300"/>
      <c r="AQ69" s="4300"/>
      <c r="AR69" s="4300"/>
      <c r="AS69" s="4300"/>
      <c r="AT69" s="4300"/>
      <c r="AU69" s="4297"/>
      <c r="AV69" s="4298"/>
      <c r="AX69" s="242"/>
      <c r="AY69" s="4288" t="str">
        <f>ACTIONS!$BT$34</f>
        <v>BDY4</v>
      </c>
      <c r="AZ69" s="4288"/>
      <c r="BA69" s="558" t="s">
        <v>67</v>
      </c>
      <c r="BB69" s="4299"/>
      <c r="BC69" s="4299"/>
      <c r="BD69" s="4299"/>
      <c r="BE69" s="4299"/>
      <c r="BF69" s="4299"/>
      <c r="BG69" s="4299"/>
      <c r="BH69" s="4299"/>
      <c r="BI69" s="4299"/>
      <c r="BJ69" s="4299"/>
      <c r="BK69" s="4299"/>
      <c r="BL69" s="4299"/>
      <c r="BM69" s="4299"/>
      <c r="BN69" s="559"/>
      <c r="BP69" s="555"/>
      <c r="BR69" s="555"/>
      <c r="BT69" s="556">
        <v>10</v>
      </c>
      <c r="BV69" s="555"/>
      <c r="BX69" s="576">
        <v>10</v>
      </c>
      <c r="BZ69" s="556">
        <v>5</v>
      </c>
      <c r="CM69" s="601"/>
      <c r="CN69" s="602"/>
      <c r="CO69" s="603"/>
      <c r="CP69" s="1469"/>
      <c r="CQ69" s="1469"/>
      <c r="CR69" s="1469"/>
    </row>
    <row r="70" spans="1:96" ht="17.100000000000001" customHeight="1" x14ac:dyDescent="0.25">
      <c r="B70" s="555"/>
      <c r="D70" s="555"/>
      <c r="F70" s="555"/>
      <c r="H70" s="557">
        <v>5</v>
      </c>
      <c r="J70" s="576">
        <v>10</v>
      </c>
      <c r="L70" s="556">
        <v>10</v>
      </c>
      <c r="N70" s="242"/>
      <c r="O70" s="4288" t="str">
        <f>ACTIONS!$G$34</f>
        <v>MND5</v>
      </c>
      <c r="P70" s="4288"/>
      <c r="Q70" s="558" t="s">
        <v>67</v>
      </c>
      <c r="R70" s="4299"/>
      <c r="S70" s="4299"/>
      <c r="T70" s="4299"/>
      <c r="U70" s="4299"/>
      <c r="V70" s="4299"/>
      <c r="W70" s="4299"/>
      <c r="X70" s="4299"/>
      <c r="Y70" s="4299"/>
      <c r="Z70" s="4299"/>
      <c r="AA70" s="4299"/>
      <c r="AB70" s="4299"/>
      <c r="AC70" s="4299"/>
      <c r="AD70" s="559"/>
      <c r="AE70" s="587"/>
      <c r="AF70" s="4290" t="s">
        <v>64</v>
      </c>
      <c r="AG70" s="4291"/>
      <c r="AH70" s="4294"/>
      <c r="AI70" s="4294"/>
      <c r="AJ70" s="4294"/>
      <c r="AK70" s="4294"/>
      <c r="AL70" s="4294"/>
      <c r="AM70" s="4294"/>
      <c r="AN70" s="4294"/>
      <c r="AO70" s="4294"/>
      <c r="AP70" s="4294"/>
      <c r="AQ70" s="4294"/>
      <c r="AR70" s="4294"/>
      <c r="AS70" s="4294"/>
      <c r="AT70" s="4294"/>
      <c r="AU70" s="4295"/>
      <c r="AV70" s="4296"/>
      <c r="AX70" s="242"/>
      <c r="AY70" s="4288" t="str">
        <f>ACTIONS!$BU$34</f>
        <v>BDY5</v>
      </c>
      <c r="AZ70" s="4288"/>
      <c r="BA70" s="558" t="s">
        <v>67</v>
      </c>
      <c r="BB70" s="4299"/>
      <c r="BC70" s="4299"/>
      <c r="BD70" s="4299"/>
      <c r="BE70" s="4299"/>
      <c r="BF70" s="4299"/>
      <c r="BG70" s="4299"/>
      <c r="BH70" s="4299"/>
      <c r="BI70" s="4299"/>
      <c r="BJ70" s="4299"/>
      <c r="BK70" s="4299"/>
      <c r="BL70" s="4299"/>
      <c r="BM70" s="4299"/>
      <c r="BN70" s="559"/>
      <c r="BP70" s="561">
        <v>5</v>
      </c>
      <c r="BR70" s="556">
        <v>15</v>
      </c>
      <c r="BT70" s="556">
        <v>5</v>
      </c>
      <c r="BV70" s="576">
        <v>15</v>
      </c>
      <c r="BX70" s="576">
        <v>15</v>
      </c>
      <c r="BY70" s="591"/>
      <c r="BZ70" s="555"/>
      <c r="CM70" s="601"/>
      <c r="CN70" s="602"/>
      <c r="CO70" s="603"/>
      <c r="CP70" s="1469"/>
      <c r="CQ70" s="1469"/>
      <c r="CR70" s="1469"/>
    </row>
    <row r="71" spans="1:96" ht="17.100000000000001" customHeight="1" x14ac:dyDescent="0.25">
      <c r="B71" s="555">
        <v>5</v>
      </c>
      <c r="D71" s="556">
        <v>5</v>
      </c>
      <c r="F71" s="555"/>
      <c r="H71" s="576">
        <v>10</v>
      </c>
      <c r="J71" s="576">
        <v>15</v>
      </c>
      <c r="L71" s="556">
        <v>5</v>
      </c>
      <c r="N71" s="242"/>
      <c r="O71" s="4288" t="str">
        <f>ACTIONS!$H$34</f>
        <v>MND6</v>
      </c>
      <c r="P71" s="4288"/>
      <c r="Q71" s="558" t="s">
        <v>67</v>
      </c>
      <c r="R71" s="4299"/>
      <c r="S71" s="4299"/>
      <c r="T71" s="4299"/>
      <c r="U71" s="4299"/>
      <c r="V71" s="4299"/>
      <c r="W71" s="4299"/>
      <c r="X71" s="4299"/>
      <c r="Y71" s="4299"/>
      <c r="Z71" s="4299"/>
      <c r="AA71" s="4299"/>
      <c r="AB71" s="4299"/>
      <c r="AC71" s="4299"/>
      <c r="AD71" s="559"/>
      <c r="AF71" s="4292"/>
      <c r="AG71" s="4293"/>
      <c r="AH71" s="4300"/>
      <c r="AI71" s="4300"/>
      <c r="AJ71" s="4300"/>
      <c r="AK71" s="4300"/>
      <c r="AL71" s="4300"/>
      <c r="AM71" s="4300"/>
      <c r="AN71" s="4300"/>
      <c r="AO71" s="4300"/>
      <c r="AP71" s="4300"/>
      <c r="AQ71" s="4300"/>
      <c r="AR71" s="4300"/>
      <c r="AS71" s="4300"/>
      <c r="AT71" s="4300"/>
      <c r="AU71" s="4297"/>
      <c r="AV71" s="4298"/>
      <c r="AX71" s="242"/>
      <c r="AY71" s="4288" t="str">
        <f>ACTIONS!$BV$34</f>
        <v>BDY6</v>
      </c>
      <c r="AZ71" s="4288"/>
      <c r="BA71" s="558" t="s">
        <v>67</v>
      </c>
      <c r="BB71" s="4299"/>
      <c r="BC71" s="4299"/>
      <c r="BD71" s="4299"/>
      <c r="BE71" s="4299"/>
      <c r="BF71" s="4299"/>
      <c r="BG71" s="4299"/>
      <c r="BH71" s="4299"/>
      <c r="BI71" s="4299"/>
      <c r="BJ71" s="4299"/>
      <c r="BK71" s="4299"/>
      <c r="BL71" s="4299"/>
      <c r="BM71" s="4299"/>
      <c r="BN71" s="559"/>
      <c r="BP71" s="561">
        <v>5</v>
      </c>
      <c r="BR71" s="555"/>
      <c r="BT71" s="556">
        <v>15</v>
      </c>
      <c r="BV71" s="555"/>
      <c r="BX71" s="555"/>
      <c r="BZ71" s="556">
        <v>10</v>
      </c>
      <c r="CM71" s="601"/>
      <c r="CN71" s="602"/>
      <c r="CO71" s="603"/>
      <c r="CP71" s="1469"/>
      <c r="CQ71" s="1469"/>
      <c r="CR71" s="1469"/>
    </row>
    <row r="72" spans="1:96" ht="17.100000000000001" customHeight="1" x14ac:dyDescent="0.25">
      <c r="B72" s="561">
        <v>5</v>
      </c>
      <c r="D72" s="556">
        <v>5</v>
      </c>
      <c r="F72" s="556">
        <v>15</v>
      </c>
      <c r="H72" s="557">
        <v>5</v>
      </c>
      <c r="J72" s="557">
        <v>5</v>
      </c>
      <c r="L72" s="556">
        <v>15</v>
      </c>
      <c r="N72" s="242"/>
      <c r="O72" s="4288" t="str">
        <f>ACTIONS!$I$34</f>
        <v>MND7</v>
      </c>
      <c r="P72" s="4288"/>
      <c r="Q72" s="558" t="s">
        <v>67</v>
      </c>
      <c r="R72" s="4299"/>
      <c r="S72" s="4299"/>
      <c r="T72" s="4299"/>
      <c r="U72" s="4299"/>
      <c r="V72" s="4299"/>
      <c r="W72" s="4299"/>
      <c r="X72" s="4299"/>
      <c r="Y72" s="4299"/>
      <c r="Z72" s="4299"/>
      <c r="AA72" s="4299"/>
      <c r="AB72" s="4299"/>
      <c r="AC72" s="4299"/>
      <c r="AD72" s="559"/>
      <c r="AF72" s="4290" t="s">
        <v>64</v>
      </c>
      <c r="AG72" s="4291"/>
      <c r="AH72" s="4294"/>
      <c r="AI72" s="4294"/>
      <c r="AJ72" s="4294"/>
      <c r="AK72" s="4294"/>
      <c r="AL72" s="4294"/>
      <c r="AM72" s="4294"/>
      <c r="AN72" s="4294"/>
      <c r="AO72" s="4294"/>
      <c r="AP72" s="4294"/>
      <c r="AQ72" s="4294"/>
      <c r="AR72" s="4294"/>
      <c r="AS72" s="4294"/>
      <c r="AT72" s="4294"/>
      <c r="AU72" s="4295"/>
      <c r="AV72" s="4296"/>
      <c r="AX72" s="242"/>
      <c r="AY72" s="4288" t="str">
        <f>ACTIONS!$BW$34</f>
        <v>BDY7</v>
      </c>
      <c r="AZ72" s="4288"/>
      <c r="BA72" s="558" t="s">
        <v>67</v>
      </c>
      <c r="BB72" s="4299"/>
      <c r="BC72" s="4299"/>
      <c r="BD72" s="4299"/>
      <c r="BE72" s="4299"/>
      <c r="BF72" s="4299"/>
      <c r="BG72" s="4299"/>
      <c r="BH72" s="4299"/>
      <c r="BI72" s="4299"/>
      <c r="BJ72" s="4299"/>
      <c r="BK72" s="4299"/>
      <c r="BL72" s="4299"/>
      <c r="BM72" s="4299"/>
      <c r="BN72" s="559"/>
      <c r="BP72" s="561">
        <v>10</v>
      </c>
      <c r="BR72" s="556">
        <v>5</v>
      </c>
      <c r="BT72" s="556">
        <v>5</v>
      </c>
      <c r="BV72" s="557">
        <v>5</v>
      </c>
      <c r="BX72" s="557">
        <v>5</v>
      </c>
      <c r="BZ72" s="556">
        <v>15</v>
      </c>
      <c r="CM72" s="601"/>
      <c r="CN72" s="602"/>
      <c r="CO72" s="603"/>
      <c r="CP72" s="1469"/>
      <c r="CQ72" s="1469"/>
      <c r="CR72" s="1469"/>
    </row>
    <row r="73" spans="1:96" ht="17.100000000000001" customHeight="1" x14ac:dyDescent="0.25">
      <c r="N73" s="242"/>
      <c r="O73" s="4288" t="str">
        <f>ACTIONS!$J$34</f>
        <v>MND8</v>
      </c>
      <c r="P73" s="4288"/>
      <c r="Q73" s="558" t="s">
        <v>67</v>
      </c>
      <c r="R73" s="4299"/>
      <c r="S73" s="4299"/>
      <c r="T73" s="4299"/>
      <c r="U73" s="4299"/>
      <c r="V73" s="4299"/>
      <c r="W73" s="4299"/>
      <c r="X73" s="4299"/>
      <c r="Y73" s="4299"/>
      <c r="Z73" s="4299"/>
      <c r="AA73" s="4299"/>
      <c r="AB73" s="4299"/>
      <c r="AC73" s="4299"/>
      <c r="AD73" s="559"/>
      <c r="AF73" s="4292"/>
      <c r="AG73" s="4293"/>
      <c r="AH73" s="4300"/>
      <c r="AI73" s="4300"/>
      <c r="AJ73" s="4300"/>
      <c r="AK73" s="4300"/>
      <c r="AL73" s="4300"/>
      <c r="AM73" s="4300"/>
      <c r="AN73" s="4300"/>
      <c r="AO73" s="4300"/>
      <c r="AP73" s="4300"/>
      <c r="AQ73" s="4300"/>
      <c r="AR73" s="4300"/>
      <c r="AS73" s="4300"/>
      <c r="AT73" s="4300"/>
      <c r="AU73" s="4297"/>
      <c r="AV73" s="4298"/>
      <c r="AX73" s="242"/>
      <c r="AY73" s="4288" t="str">
        <f>ACTIONS!$BX$34</f>
        <v>BDY8</v>
      </c>
      <c r="AZ73" s="4288"/>
      <c r="BA73" s="558" t="s">
        <v>67</v>
      </c>
      <c r="BB73" s="4299"/>
      <c r="BC73" s="4299"/>
      <c r="BD73" s="4299"/>
      <c r="BE73" s="4299"/>
      <c r="BF73" s="4299"/>
      <c r="BG73" s="4299"/>
      <c r="BH73" s="4299"/>
      <c r="BI73" s="4299"/>
      <c r="BJ73" s="4299"/>
      <c r="BK73" s="4299"/>
      <c r="BL73" s="4299"/>
      <c r="BM73" s="4299"/>
      <c r="BN73" s="559"/>
      <c r="CM73" s="601"/>
      <c r="CN73" s="602"/>
      <c r="CO73" s="603"/>
      <c r="CP73" s="1469"/>
      <c r="CQ73" s="1469"/>
      <c r="CR73" s="1469"/>
    </row>
    <row r="74" spans="1:96" ht="17.100000000000001" customHeight="1" x14ac:dyDescent="0.25">
      <c r="A74" s="4443" t="str">
        <f>"20 "&amp;$DJ$41</f>
        <v>20 total XP</v>
      </c>
      <c r="B74" s="4443"/>
      <c r="C74" s="4443" t="str">
        <f>"5 "&amp;$DJ$42</f>
        <v>5 total days</v>
      </c>
      <c r="D74" s="4443"/>
      <c r="E74" s="4443" t="str">
        <f>"3 "&amp;$DJ$43</f>
        <v>3 day chain</v>
      </c>
      <c r="F74" s="4443"/>
      <c r="G74" s="4443" t="str">
        <f>"4 "&amp;$DJ$44&amp;" 10 "&amp;DN44</f>
        <v>4 total days of 10 XP</v>
      </c>
      <c r="H74" s="4443"/>
      <c r="I74" s="4443" t="str">
        <f>"5 "&amp;$DJ$45&amp;" 10 "&amp;DN45</f>
        <v>5 day chain of  10 XP</v>
      </c>
      <c r="J74" s="4443"/>
      <c r="K74" s="4443" t="str">
        <f>"2 "&amp;$DJ$46&amp;" 3 "&amp;DN46</f>
        <v>2 chains of 3 days</v>
      </c>
      <c r="L74" s="4443"/>
      <c r="N74" s="242"/>
      <c r="O74" s="4288" t="str">
        <f>ACTIONS!$K$34</f>
        <v>MND9</v>
      </c>
      <c r="P74" s="4288"/>
      <c r="Q74" s="558" t="s">
        <v>67</v>
      </c>
      <c r="R74" s="4299"/>
      <c r="S74" s="4299"/>
      <c r="T74" s="4299"/>
      <c r="U74" s="4299"/>
      <c r="V74" s="4299"/>
      <c r="W74" s="4299"/>
      <c r="X74" s="4299"/>
      <c r="Y74" s="4299"/>
      <c r="Z74" s="4299"/>
      <c r="AA74" s="4299"/>
      <c r="AB74" s="4299"/>
      <c r="AC74" s="4299"/>
      <c r="AD74" s="559"/>
      <c r="AF74" s="4290" t="s">
        <v>64</v>
      </c>
      <c r="AG74" s="4291"/>
      <c r="AH74" s="4294"/>
      <c r="AI74" s="4294"/>
      <c r="AJ74" s="4294"/>
      <c r="AK74" s="4294"/>
      <c r="AL74" s="4294"/>
      <c r="AM74" s="4294"/>
      <c r="AN74" s="4294"/>
      <c r="AO74" s="4294"/>
      <c r="AP74" s="4294"/>
      <c r="AQ74" s="4294"/>
      <c r="AR74" s="4294"/>
      <c r="AS74" s="4294"/>
      <c r="AT74" s="4294"/>
      <c r="AU74" s="4295"/>
      <c r="AV74" s="4296"/>
      <c r="AX74" s="242"/>
      <c r="AY74" s="4288" t="str">
        <f>ACTIONS!$BY$34</f>
        <v>BDY9</v>
      </c>
      <c r="AZ74" s="4288"/>
      <c r="BA74" s="558" t="s">
        <v>67</v>
      </c>
      <c r="BB74" s="4299"/>
      <c r="BC74" s="4299"/>
      <c r="BD74" s="4299"/>
      <c r="BE74" s="4299"/>
      <c r="BF74" s="4299"/>
      <c r="BG74" s="4299"/>
      <c r="BH74" s="4299"/>
      <c r="BI74" s="4299"/>
      <c r="BJ74" s="4299"/>
      <c r="BK74" s="4299"/>
      <c r="BL74" s="4299"/>
      <c r="BM74" s="4299"/>
      <c r="BN74" s="559"/>
      <c r="BP74" s="4494" t="str">
        <f>"40 "&amp;$DJ$41</f>
        <v>40 total XP</v>
      </c>
      <c r="BQ74" s="4494"/>
      <c r="BR74" s="4494" t="str">
        <f>"4 "&amp;$DJ$42</f>
        <v>4 total days</v>
      </c>
      <c r="BS74" s="4494"/>
      <c r="BT74" s="4494" t="str">
        <f>"4 "&amp;$DJ$43</f>
        <v>4 day chain</v>
      </c>
      <c r="BU74" s="4494"/>
      <c r="BV74" s="4494" t="str">
        <f>"2 "&amp;$DJ$44&amp;" 10 "&amp;DN44</f>
        <v>2 total days of 10 XP</v>
      </c>
      <c r="BW74" s="4494"/>
      <c r="BX74" s="4494" t="str">
        <f>"2 "&amp;$DJ$45&amp;" 10 "&amp;DN45</f>
        <v>2 day chain of  10 XP</v>
      </c>
      <c r="BY74" s="4494"/>
      <c r="BZ74" s="4494" t="str">
        <f>"2 "&amp;$DJ$46&amp;" 2 "&amp;DN46</f>
        <v>2 chains of 2 days</v>
      </c>
      <c r="CA74" s="4494"/>
      <c r="CM74" s="601"/>
      <c r="CN74" s="602"/>
      <c r="CO74" s="603"/>
      <c r="CP74" s="1469"/>
      <c r="CQ74" s="1469"/>
      <c r="CR74" s="1469"/>
    </row>
    <row r="75" spans="1:96" ht="17.100000000000001" customHeight="1" x14ac:dyDescent="0.15">
      <c r="A75" s="4443"/>
      <c r="B75" s="4443"/>
      <c r="C75" s="4443"/>
      <c r="D75" s="4443"/>
      <c r="E75" s="4443"/>
      <c r="F75" s="4443"/>
      <c r="G75" s="4443"/>
      <c r="H75" s="4443"/>
      <c r="I75" s="4443"/>
      <c r="J75" s="4443"/>
      <c r="K75" s="4443"/>
      <c r="L75" s="4443"/>
      <c r="N75" s="251"/>
      <c r="O75" s="597"/>
      <c r="P75" s="598"/>
      <c r="Q75" s="599"/>
      <c r="R75" s="597"/>
      <c r="S75" s="597"/>
      <c r="T75" s="597"/>
      <c r="U75" s="597"/>
      <c r="V75" s="597"/>
      <c r="W75" s="597"/>
      <c r="X75" s="597"/>
      <c r="Y75" s="597"/>
      <c r="Z75" s="597"/>
      <c r="AA75" s="597"/>
      <c r="AB75" s="597"/>
      <c r="AC75" s="597"/>
      <c r="AD75" s="600"/>
      <c r="AF75" s="4292"/>
      <c r="AG75" s="4293"/>
      <c r="AH75" s="4300"/>
      <c r="AI75" s="4300"/>
      <c r="AJ75" s="4300"/>
      <c r="AK75" s="4300"/>
      <c r="AL75" s="4300"/>
      <c r="AM75" s="4300"/>
      <c r="AN75" s="4300"/>
      <c r="AO75" s="4300"/>
      <c r="AP75" s="4300"/>
      <c r="AQ75" s="4300"/>
      <c r="AR75" s="4300"/>
      <c r="AS75" s="4300"/>
      <c r="AT75" s="4300"/>
      <c r="AU75" s="4297"/>
      <c r="AV75" s="4298"/>
      <c r="AX75" s="251"/>
      <c r="AY75" s="597"/>
      <c r="AZ75" s="598"/>
      <c r="BA75" s="599"/>
      <c r="BB75" s="597"/>
      <c r="BC75" s="597"/>
      <c r="BD75" s="597"/>
      <c r="BE75" s="597"/>
      <c r="BF75" s="597"/>
      <c r="BG75" s="597"/>
      <c r="BH75" s="597"/>
      <c r="BI75" s="597"/>
      <c r="BJ75" s="597"/>
      <c r="BK75" s="597"/>
      <c r="BL75" s="597"/>
      <c r="BM75" s="597"/>
      <c r="BN75" s="600"/>
      <c r="BP75" s="4494"/>
      <c r="BQ75" s="4494"/>
      <c r="BR75" s="4494"/>
      <c r="BS75" s="4494"/>
      <c r="BT75" s="4494"/>
      <c r="BU75" s="4494"/>
      <c r="BV75" s="4494"/>
      <c r="BW75" s="4494"/>
      <c r="BX75" s="4494"/>
      <c r="BY75" s="4494"/>
      <c r="BZ75" s="4494"/>
      <c r="CA75" s="4494"/>
      <c r="CM75" s="601"/>
      <c r="CN75" s="602"/>
      <c r="CO75" s="603"/>
      <c r="CP75" s="1469"/>
      <c r="CQ75" s="1469"/>
      <c r="CR75" s="1469"/>
    </row>
    <row r="76" spans="1:96" ht="17.100000000000001" customHeight="1" x14ac:dyDescent="0.15">
      <c r="N76" s="552"/>
      <c r="O76" s="553"/>
      <c r="P76" s="553"/>
      <c r="Q76" s="553"/>
      <c r="R76" s="553"/>
      <c r="S76" s="553"/>
      <c r="T76" s="553"/>
      <c r="U76" s="553"/>
      <c r="V76" s="553"/>
      <c r="W76" s="553"/>
      <c r="X76" s="553"/>
      <c r="Y76" s="553"/>
      <c r="Z76" s="553"/>
      <c r="AA76" s="553"/>
      <c r="AB76" s="553"/>
      <c r="AC76" s="553"/>
      <c r="AD76" s="554"/>
      <c r="AF76" s="2833"/>
      <c r="AG76" s="2834"/>
      <c r="AH76" s="2834"/>
      <c r="AI76" s="2834"/>
      <c r="AJ76" s="2834"/>
      <c r="AK76" s="2834"/>
      <c r="AL76" s="2834"/>
      <c r="AM76" s="2834"/>
      <c r="AN76" s="2834"/>
      <c r="AO76" s="2834"/>
      <c r="AP76" s="2834"/>
      <c r="AQ76" s="2834"/>
      <c r="AR76" s="2834"/>
      <c r="AS76" s="2834"/>
      <c r="AT76" s="2834"/>
      <c r="AU76" s="2834"/>
      <c r="AV76" s="2835"/>
      <c r="AX76" s="552"/>
      <c r="AY76" s="553"/>
      <c r="AZ76" s="553"/>
      <c r="BA76" s="553"/>
      <c r="BB76" s="553"/>
      <c r="BC76" s="553"/>
      <c r="BD76" s="553"/>
      <c r="BE76" s="553"/>
      <c r="BF76" s="553"/>
      <c r="BG76" s="553"/>
      <c r="BH76" s="553"/>
      <c r="BI76" s="553"/>
      <c r="BJ76" s="553"/>
      <c r="BK76" s="553"/>
      <c r="BL76" s="553"/>
      <c r="BM76" s="553"/>
      <c r="BN76" s="554"/>
      <c r="CM76" s="601"/>
      <c r="CN76" s="602"/>
      <c r="CO76" s="603"/>
      <c r="CP76" s="1469"/>
      <c r="CQ76" s="1469"/>
      <c r="CR76" s="1469"/>
    </row>
    <row r="77" spans="1:96" ht="17.100000000000001" customHeight="1" x14ac:dyDescent="0.25">
      <c r="N77" s="242"/>
      <c r="O77" s="4288" t="str">
        <f>ACTIONS!$C$34</f>
        <v>MND1</v>
      </c>
      <c r="P77" s="4288"/>
      <c r="Q77" s="558" t="s">
        <v>67</v>
      </c>
      <c r="R77" s="4289"/>
      <c r="S77" s="4289"/>
      <c r="T77" s="4289"/>
      <c r="U77" s="4289"/>
      <c r="V77" s="4289"/>
      <c r="W77" s="4289"/>
      <c r="X77" s="4289"/>
      <c r="Y77" s="4289"/>
      <c r="Z77" s="4289"/>
      <c r="AA77" s="4289"/>
      <c r="AB77" s="4289"/>
      <c r="AC77" s="4289"/>
      <c r="AD77" s="559"/>
      <c r="AF77" s="4290" t="s">
        <v>64</v>
      </c>
      <c r="AG77" s="4291"/>
      <c r="AH77" s="4294"/>
      <c r="AI77" s="4294"/>
      <c r="AJ77" s="4294"/>
      <c r="AK77" s="4294"/>
      <c r="AL77" s="4294"/>
      <c r="AM77" s="4294"/>
      <c r="AN77" s="4294"/>
      <c r="AO77" s="4294"/>
      <c r="AP77" s="4294"/>
      <c r="AQ77" s="4294"/>
      <c r="AR77" s="4294"/>
      <c r="AS77" s="4294"/>
      <c r="AT77" s="4294"/>
      <c r="AU77" s="4295"/>
      <c r="AV77" s="4296"/>
      <c r="AW77" s="560"/>
      <c r="AX77" s="242"/>
      <c r="AY77" s="4288" t="str">
        <f>ACTIONS!$BQ$34</f>
        <v>BDY1</v>
      </c>
      <c r="AZ77" s="4288"/>
      <c r="BA77" s="558" t="s">
        <v>67</v>
      </c>
      <c r="BB77" s="4289"/>
      <c r="BC77" s="4289"/>
      <c r="BD77" s="4289"/>
      <c r="BE77" s="4289"/>
      <c r="BF77" s="4289"/>
      <c r="BG77" s="4289"/>
      <c r="BH77" s="4289"/>
      <c r="BI77" s="4289"/>
      <c r="BJ77" s="4289"/>
      <c r="BK77" s="4289"/>
      <c r="BL77" s="4289"/>
      <c r="BM77" s="4289"/>
      <c r="BN77" s="559"/>
    </row>
    <row r="78" spans="1:96" ht="17.100000000000001" customHeight="1" x14ac:dyDescent="0.25">
      <c r="N78" s="242"/>
      <c r="O78" s="4288" t="str">
        <f>ACTIONS!$D$34</f>
        <v>MND2</v>
      </c>
      <c r="P78" s="4288"/>
      <c r="Q78" s="558" t="s">
        <v>67</v>
      </c>
      <c r="R78" s="4299"/>
      <c r="S78" s="4299"/>
      <c r="T78" s="4299"/>
      <c r="U78" s="4299"/>
      <c r="V78" s="4299"/>
      <c r="W78" s="4299"/>
      <c r="X78" s="4299"/>
      <c r="Y78" s="4299"/>
      <c r="Z78" s="4299"/>
      <c r="AA78" s="4299"/>
      <c r="AB78" s="4299"/>
      <c r="AC78" s="4299"/>
      <c r="AD78" s="559"/>
      <c r="AE78" s="577"/>
      <c r="AF78" s="4292"/>
      <c r="AG78" s="4293"/>
      <c r="AH78" s="4300"/>
      <c r="AI78" s="4300"/>
      <c r="AJ78" s="4300"/>
      <c r="AK78" s="4300"/>
      <c r="AL78" s="4300"/>
      <c r="AM78" s="4300"/>
      <c r="AN78" s="4300"/>
      <c r="AO78" s="4300"/>
      <c r="AP78" s="4300"/>
      <c r="AQ78" s="4300"/>
      <c r="AR78" s="4300"/>
      <c r="AS78" s="4300"/>
      <c r="AT78" s="4300"/>
      <c r="AU78" s="4297"/>
      <c r="AV78" s="4298"/>
      <c r="AW78" s="578"/>
      <c r="AX78" s="242"/>
      <c r="AY78" s="4288" t="str">
        <f>ACTIONS!$BR$34</f>
        <v>BDY2</v>
      </c>
      <c r="AZ78" s="4288"/>
      <c r="BA78" s="558" t="s">
        <v>67</v>
      </c>
      <c r="BB78" s="4299"/>
      <c r="BC78" s="4299"/>
      <c r="BD78" s="4299"/>
      <c r="BE78" s="4299"/>
      <c r="BF78" s="4299"/>
      <c r="BG78" s="4299"/>
      <c r="BH78" s="4299"/>
      <c r="BI78" s="4299"/>
      <c r="BJ78" s="4299"/>
      <c r="BK78" s="4299"/>
      <c r="BL78" s="4299"/>
      <c r="BM78" s="4299"/>
      <c r="BN78" s="559"/>
    </row>
    <row r="79" spans="1:96" ht="17.100000000000001" customHeight="1" x14ac:dyDescent="0.25">
      <c r="N79" s="242"/>
      <c r="O79" s="4288" t="str">
        <f>ACTIONS!$E$34</f>
        <v>MND3</v>
      </c>
      <c r="P79" s="4288"/>
      <c r="Q79" s="558" t="s">
        <v>67</v>
      </c>
      <c r="R79" s="4299"/>
      <c r="S79" s="4299"/>
      <c r="T79" s="4299"/>
      <c r="U79" s="4299"/>
      <c r="V79" s="4299"/>
      <c r="W79" s="4299"/>
      <c r="X79" s="4299"/>
      <c r="Y79" s="4299"/>
      <c r="Z79" s="4299"/>
      <c r="AA79" s="4299"/>
      <c r="AB79" s="4299"/>
      <c r="AC79" s="4299"/>
      <c r="AD79" s="559"/>
      <c r="AE79" s="587"/>
      <c r="AF79" s="4290" t="s">
        <v>64</v>
      </c>
      <c r="AG79" s="4291"/>
      <c r="AH79" s="4294"/>
      <c r="AI79" s="4294"/>
      <c r="AJ79" s="4294"/>
      <c r="AK79" s="4294"/>
      <c r="AL79" s="4294"/>
      <c r="AM79" s="4294"/>
      <c r="AN79" s="4294"/>
      <c r="AO79" s="4294"/>
      <c r="AP79" s="4294"/>
      <c r="AQ79" s="4294"/>
      <c r="AR79" s="4294"/>
      <c r="AS79" s="4294"/>
      <c r="AT79" s="4294"/>
      <c r="AU79" s="4295"/>
      <c r="AV79" s="4296"/>
      <c r="AX79" s="242"/>
      <c r="AY79" s="4288" t="str">
        <f>ACTIONS!$BS$34</f>
        <v>BDY3</v>
      </c>
      <c r="AZ79" s="4288"/>
      <c r="BA79" s="558" t="s">
        <v>67</v>
      </c>
      <c r="BB79" s="4299"/>
      <c r="BC79" s="4299"/>
      <c r="BD79" s="4299"/>
      <c r="BE79" s="4299"/>
      <c r="BF79" s="4299"/>
      <c r="BG79" s="4299"/>
      <c r="BH79" s="4299"/>
      <c r="BI79" s="4299"/>
      <c r="BJ79" s="4299"/>
      <c r="BK79" s="4299"/>
      <c r="BL79" s="4299"/>
      <c r="BM79" s="4299"/>
      <c r="BN79" s="559"/>
    </row>
    <row r="80" spans="1:96" ht="17.100000000000001" customHeight="1" x14ac:dyDescent="0.25">
      <c r="B80" s="23"/>
      <c r="C80" s="23"/>
      <c r="D80" s="23"/>
      <c r="G80" s="2787"/>
      <c r="H80" s="2787"/>
      <c r="I80" s="2787"/>
      <c r="J80" s="2787"/>
      <c r="K80" s="2787"/>
      <c r="L80" s="2787"/>
      <c r="M80" s="2787"/>
      <c r="N80" s="242"/>
      <c r="O80" s="4288" t="str">
        <f>ACTIONS!$F$34</f>
        <v>MND4</v>
      </c>
      <c r="P80" s="4288"/>
      <c r="Q80" s="558" t="s">
        <v>67</v>
      </c>
      <c r="R80" s="4299"/>
      <c r="S80" s="4299"/>
      <c r="T80" s="4299"/>
      <c r="U80" s="4299"/>
      <c r="V80" s="4299"/>
      <c r="W80" s="4299"/>
      <c r="X80" s="4299"/>
      <c r="Y80" s="4299"/>
      <c r="Z80" s="4299"/>
      <c r="AA80" s="4299"/>
      <c r="AB80" s="4299"/>
      <c r="AC80" s="4299"/>
      <c r="AD80" s="559"/>
      <c r="AE80" s="577"/>
      <c r="AF80" s="4292"/>
      <c r="AG80" s="4293"/>
      <c r="AH80" s="4300"/>
      <c r="AI80" s="4300"/>
      <c r="AJ80" s="4300"/>
      <c r="AK80" s="4300"/>
      <c r="AL80" s="4300"/>
      <c r="AM80" s="4300"/>
      <c r="AN80" s="4300"/>
      <c r="AO80" s="4300"/>
      <c r="AP80" s="4300"/>
      <c r="AQ80" s="4300"/>
      <c r="AR80" s="4300"/>
      <c r="AS80" s="4300"/>
      <c r="AT80" s="4300"/>
      <c r="AU80" s="4297"/>
      <c r="AV80" s="4298"/>
      <c r="AX80" s="242"/>
      <c r="AY80" s="4288" t="str">
        <f>ACTIONS!$BT$34</f>
        <v>BDY4</v>
      </c>
      <c r="AZ80" s="4288"/>
      <c r="BA80" s="558" t="s">
        <v>67</v>
      </c>
      <c r="BB80" s="4299"/>
      <c r="BC80" s="4299"/>
      <c r="BD80" s="4299"/>
      <c r="BE80" s="4299"/>
      <c r="BF80" s="4299"/>
      <c r="BG80" s="4299"/>
      <c r="BH80" s="4299"/>
      <c r="BI80" s="4299"/>
      <c r="BJ80" s="4299"/>
      <c r="BK80" s="4299"/>
      <c r="BL80" s="4299"/>
      <c r="BM80" s="4299"/>
      <c r="BN80" s="559"/>
      <c r="BO80" s="2788"/>
      <c r="BP80" s="2788"/>
      <c r="BQ80" s="2788"/>
      <c r="BR80" s="2788"/>
      <c r="BS80" s="2788"/>
      <c r="BT80" s="2788"/>
      <c r="BU80" s="2788"/>
      <c r="BW80" s="23"/>
      <c r="BX80" s="23"/>
      <c r="BY80" s="23"/>
      <c r="BZ80" s="23"/>
    </row>
    <row r="81" spans="2:78" ht="17.100000000000001" customHeight="1" x14ac:dyDescent="0.25">
      <c r="B81" s="23"/>
      <c r="C81" s="23"/>
      <c r="D81" s="23"/>
      <c r="G81" s="2787"/>
      <c r="H81" s="2787"/>
      <c r="I81" s="2787"/>
      <c r="J81" s="2787"/>
      <c r="K81" s="2787"/>
      <c r="L81" s="2787"/>
      <c r="M81" s="2787"/>
      <c r="N81" s="242"/>
      <c r="O81" s="4288" t="str">
        <f>ACTIONS!$G$34</f>
        <v>MND5</v>
      </c>
      <c r="P81" s="4288"/>
      <c r="Q81" s="558" t="s">
        <v>67</v>
      </c>
      <c r="R81" s="4299"/>
      <c r="S81" s="4299"/>
      <c r="T81" s="4299"/>
      <c r="U81" s="4299"/>
      <c r="V81" s="4299"/>
      <c r="W81" s="4299"/>
      <c r="X81" s="4299"/>
      <c r="Y81" s="4299"/>
      <c r="Z81" s="4299"/>
      <c r="AA81" s="4299"/>
      <c r="AB81" s="4299"/>
      <c r="AC81" s="4299"/>
      <c r="AD81" s="559"/>
      <c r="AE81" s="587"/>
      <c r="AF81" s="4290" t="s">
        <v>64</v>
      </c>
      <c r="AG81" s="4291"/>
      <c r="AH81" s="4294"/>
      <c r="AI81" s="4294"/>
      <c r="AJ81" s="4294"/>
      <c r="AK81" s="4294"/>
      <c r="AL81" s="4294"/>
      <c r="AM81" s="4294"/>
      <c r="AN81" s="4294"/>
      <c r="AO81" s="4294"/>
      <c r="AP81" s="4294"/>
      <c r="AQ81" s="4294"/>
      <c r="AR81" s="4294"/>
      <c r="AS81" s="4294"/>
      <c r="AT81" s="4294"/>
      <c r="AU81" s="4295"/>
      <c r="AV81" s="4296"/>
      <c r="AX81" s="242"/>
      <c r="AY81" s="4288" t="str">
        <f>ACTIONS!$BU$34</f>
        <v>BDY5</v>
      </c>
      <c r="AZ81" s="4288"/>
      <c r="BA81" s="558" t="s">
        <v>67</v>
      </c>
      <c r="BB81" s="4299"/>
      <c r="BC81" s="4299"/>
      <c r="BD81" s="4299"/>
      <c r="BE81" s="4299"/>
      <c r="BF81" s="4299"/>
      <c r="BG81" s="4299"/>
      <c r="BH81" s="4299"/>
      <c r="BI81" s="4299"/>
      <c r="BJ81" s="4299"/>
      <c r="BK81" s="4299"/>
      <c r="BL81" s="4299"/>
      <c r="BM81" s="4299"/>
      <c r="BN81" s="559"/>
      <c r="BO81" s="2788"/>
      <c r="BP81" s="2788"/>
      <c r="BQ81" s="2788"/>
      <c r="BR81" s="2788"/>
      <c r="BS81" s="2788"/>
      <c r="BT81" s="2788"/>
      <c r="BU81" s="2788"/>
      <c r="BW81" s="23"/>
      <c r="BX81" s="23"/>
      <c r="BY81" s="23"/>
      <c r="BZ81" s="23"/>
    </row>
    <row r="82" spans="2:78" ht="17.100000000000001" customHeight="1" x14ac:dyDescent="0.25">
      <c r="B82" s="23"/>
      <c r="C82" s="23"/>
      <c r="D82" s="23"/>
      <c r="N82" s="242"/>
      <c r="O82" s="4288" t="str">
        <f>ACTIONS!$H$34</f>
        <v>MND6</v>
      </c>
      <c r="P82" s="4288"/>
      <c r="Q82" s="558" t="s">
        <v>67</v>
      </c>
      <c r="R82" s="4299"/>
      <c r="S82" s="4299"/>
      <c r="T82" s="4299"/>
      <c r="U82" s="4299"/>
      <c r="V82" s="4299"/>
      <c r="W82" s="4299"/>
      <c r="X82" s="4299"/>
      <c r="Y82" s="4299"/>
      <c r="Z82" s="4299"/>
      <c r="AA82" s="4299"/>
      <c r="AB82" s="4299"/>
      <c r="AC82" s="4299"/>
      <c r="AD82" s="559"/>
      <c r="AF82" s="4292"/>
      <c r="AG82" s="4293"/>
      <c r="AH82" s="4300"/>
      <c r="AI82" s="4300"/>
      <c r="AJ82" s="4300"/>
      <c r="AK82" s="4300"/>
      <c r="AL82" s="4300"/>
      <c r="AM82" s="4300"/>
      <c r="AN82" s="4300"/>
      <c r="AO82" s="4300"/>
      <c r="AP82" s="4300"/>
      <c r="AQ82" s="4300"/>
      <c r="AR82" s="4300"/>
      <c r="AS82" s="4300"/>
      <c r="AT82" s="4300"/>
      <c r="AU82" s="4297"/>
      <c r="AV82" s="4298"/>
      <c r="AX82" s="242"/>
      <c r="AY82" s="4288" t="str">
        <f>ACTIONS!$BV$34</f>
        <v>BDY6</v>
      </c>
      <c r="AZ82" s="4288"/>
      <c r="BA82" s="558" t="s">
        <v>67</v>
      </c>
      <c r="BB82" s="4299"/>
      <c r="BC82" s="4299"/>
      <c r="BD82" s="4299"/>
      <c r="BE82" s="4299"/>
      <c r="BF82" s="4299"/>
      <c r="BG82" s="4299"/>
      <c r="BH82" s="4299"/>
      <c r="BI82" s="4299"/>
      <c r="BJ82" s="4299"/>
      <c r="BK82" s="4299"/>
      <c r="BL82" s="4299"/>
      <c r="BM82" s="4299"/>
      <c r="BN82" s="559"/>
      <c r="BW82" s="23"/>
      <c r="BX82" s="23"/>
      <c r="BY82" s="23"/>
      <c r="BZ82" s="23"/>
    </row>
    <row r="83" spans="2:78" ht="17.100000000000001" customHeight="1" x14ac:dyDescent="0.25">
      <c r="B83" s="23"/>
      <c r="C83" s="23"/>
      <c r="D83" s="23"/>
      <c r="N83" s="242"/>
      <c r="O83" s="4288" t="str">
        <f>ACTIONS!$I$34</f>
        <v>MND7</v>
      </c>
      <c r="P83" s="4288"/>
      <c r="Q83" s="558" t="s">
        <v>67</v>
      </c>
      <c r="R83" s="4299"/>
      <c r="S83" s="4299"/>
      <c r="T83" s="4299"/>
      <c r="U83" s="4299"/>
      <c r="V83" s="4299"/>
      <c r="W83" s="4299"/>
      <c r="X83" s="4299"/>
      <c r="Y83" s="4299"/>
      <c r="Z83" s="4299"/>
      <c r="AA83" s="4299"/>
      <c r="AB83" s="4299"/>
      <c r="AC83" s="4299"/>
      <c r="AD83" s="559"/>
      <c r="AF83" s="4290" t="s">
        <v>64</v>
      </c>
      <c r="AG83" s="4291"/>
      <c r="AH83" s="4294"/>
      <c r="AI83" s="4294"/>
      <c r="AJ83" s="4294"/>
      <c r="AK83" s="4294"/>
      <c r="AL83" s="4294"/>
      <c r="AM83" s="4294"/>
      <c r="AN83" s="4294"/>
      <c r="AO83" s="4294"/>
      <c r="AP83" s="4294"/>
      <c r="AQ83" s="4294"/>
      <c r="AR83" s="4294"/>
      <c r="AS83" s="4294"/>
      <c r="AT83" s="4294"/>
      <c r="AU83" s="4295"/>
      <c r="AV83" s="4296"/>
      <c r="AX83" s="242"/>
      <c r="AY83" s="4288" t="str">
        <f>ACTIONS!$BW$34</f>
        <v>BDY7</v>
      </c>
      <c r="AZ83" s="4288"/>
      <c r="BA83" s="558" t="s">
        <v>67</v>
      </c>
      <c r="BB83" s="4299"/>
      <c r="BC83" s="4299"/>
      <c r="BD83" s="4299"/>
      <c r="BE83" s="4299"/>
      <c r="BF83" s="4299"/>
      <c r="BG83" s="4299"/>
      <c r="BH83" s="4299"/>
      <c r="BI83" s="4299"/>
      <c r="BJ83" s="4299"/>
      <c r="BK83" s="4299"/>
      <c r="BL83" s="4299"/>
      <c r="BM83" s="4299"/>
      <c r="BN83" s="559"/>
      <c r="BW83" s="23"/>
      <c r="BX83" s="23"/>
      <c r="BY83" s="23"/>
      <c r="BZ83" s="23"/>
    </row>
    <row r="84" spans="2:78" ht="17.100000000000001" customHeight="1" x14ac:dyDescent="0.25">
      <c r="B84" s="23"/>
      <c r="C84" s="23"/>
      <c r="D84" s="23"/>
      <c r="N84" s="242"/>
      <c r="O84" s="4288" t="str">
        <f>ACTIONS!$J$34</f>
        <v>MND8</v>
      </c>
      <c r="P84" s="4288"/>
      <c r="Q84" s="558" t="s">
        <v>67</v>
      </c>
      <c r="R84" s="4299"/>
      <c r="S84" s="4299"/>
      <c r="T84" s="4299"/>
      <c r="U84" s="4299"/>
      <c r="V84" s="4299"/>
      <c r="W84" s="4299"/>
      <c r="X84" s="4299"/>
      <c r="Y84" s="4299"/>
      <c r="Z84" s="4299"/>
      <c r="AA84" s="4299"/>
      <c r="AB84" s="4299"/>
      <c r="AC84" s="4299"/>
      <c r="AD84" s="559"/>
      <c r="AF84" s="4292"/>
      <c r="AG84" s="4293"/>
      <c r="AH84" s="4300"/>
      <c r="AI84" s="4300"/>
      <c r="AJ84" s="4300"/>
      <c r="AK84" s="4300"/>
      <c r="AL84" s="4300"/>
      <c r="AM84" s="4300"/>
      <c r="AN84" s="4300"/>
      <c r="AO84" s="4300"/>
      <c r="AP84" s="4300"/>
      <c r="AQ84" s="4300"/>
      <c r="AR84" s="4300"/>
      <c r="AS84" s="4300"/>
      <c r="AT84" s="4300"/>
      <c r="AU84" s="4297"/>
      <c r="AV84" s="4298"/>
      <c r="AX84" s="242"/>
      <c r="AY84" s="4288" t="str">
        <f>ACTIONS!$BX$34</f>
        <v>BDY8</v>
      </c>
      <c r="AZ84" s="4288"/>
      <c r="BA84" s="558" t="s">
        <v>67</v>
      </c>
      <c r="BB84" s="4299"/>
      <c r="BC84" s="4299"/>
      <c r="BD84" s="4299"/>
      <c r="BE84" s="4299"/>
      <c r="BF84" s="4299"/>
      <c r="BG84" s="4299"/>
      <c r="BH84" s="4299"/>
      <c r="BI84" s="4299"/>
      <c r="BJ84" s="4299"/>
      <c r="BK84" s="4299"/>
      <c r="BL84" s="4299"/>
      <c r="BM84" s="4299"/>
      <c r="BN84" s="559"/>
      <c r="BW84" s="23"/>
      <c r="BX84" s="23"/>
      <c r="BY84" s="23"/>
      <c r="BZ84" s="23"/>
    </row>
    <row r="85" spans="2:78" ht="17.100000000000001" customHeight="1" x14ac:dyDescent="0.25">
      <c r="B85" s="23"/>
      <c r="C85" s="23"/>
      <c r="D85" s="23"/>
      <c r="N85" s="242"/>
      <c r="O85" s="4288" t="str">
        <f>ACTIONS!$K$34</f>
        <v>MND9</v>
      </c>
      <c r="P85" s="4288"/>
      <c r="Q85" s="558" t="s">
        <v>67</v>
      </c>
      <c r="R85" s="4299"/>
      <c r="S85" s="4299"/>
      <c r="T85" s="4299"/>
      <c r="U85" s="4299"/>
      <c r="V85" s="4299"/>
      <c r="W85" s="4299"/>
      <c r="X85" s="4299"/>
      <c r="Y85" s="4299"/>
      <c r="Z85" s="4299"/>
      <c r="AA85" s="4299"/>
      <c r="AB85" s="4299"/>
      <c r="AC85" s="4299"/>
      <c r="AD85" s="559"/>
      <c r="AF85" s="4290" t="s">
        <v>64</v>
      </c>
      <c r="AG85" s="4291"/>
      <c r="AH85" s="4294"/>
      <c r="AI85" s="4294"/>
      <c r="AJ85" s="4294"/>
      <c r="AK85" s="4294"/>
      <c r="AL85" s="4294"/>
      <c r="AM85" s="4294"/>
      <c r="AN85" s="4294"/>
      <c r="AO85" s="4294"/>
      <c r="AP85" s="4294"/>
      <c r="AQ85" s="4294"/>
      <c r="AR85" s="4294"/>
      <c r="AS85" s="4294"/>
      <c r="AT85" s="4294"/>
      <c r="AU85" s="4295"/>
      <c r="AV85" s="4296"/>
      <c r="AX85" s="242"/>
      <c r="AY85" s="4288" t="str">
        <f>ACTIONS!$BY$34</f>
        <v>BDY9</v>
      </c>
      <c r="AZ85" s="4288"/>
      <c r="BA85" s="558" t="s">
        <v>67</v>
      </c>
      <c r="BB85" s="4299"/>
      <c r="BC85" s="4299"/>
      <c r="BD85" s="4299"/>
      <c r="BE85" s="4299"/>
      <c r="BF85" s="4299"/>
      <c r="BG85" s="4299"/>
      <c r="BH85" s="4299"/>
      <c r="BI85" s="4299"/>
      <c r="BJ85" s="4299"/>
      <c r="BK85" s="4299"/>
      <c r="BL85" s="4299"/>
      <c r="BM85" s="4299"/>
      <c r="BN85" s="559"/>
      <c r="BW85" s="23"/>
      <c r="BX85" s="23"/>
      <c r="BY85" s="23"/>
      <c r="BZ85" s="23"/>
    </row>
    <row r="86" spans="2:78" ht="17.100000000000001" customHeight="1" x14ac:dyDescent="0.15">
      <c r="B86" s="23"/>
      <c r="C86" s="23"/>
      <c r="D86" s="23"/>
      <c r="N86" s="251"/>
      <c r="O86" s="597"/>
      <c r="P86" s="598"/>
      <c r="Q86" s="599"/>
      <c r="R86" s="597"/>
      <c r="S86" s="597"/>
      <c r="T86" s="597"/>
      <c r="U86" s="597"/>
      <c r="V86" s="597"/>
      <c r="W86" s="597"/>
      <c r="X86" s="597"/>
      <c r="Y86" s="597"/>
      <c r="Z86" s="597"/>
      <c r="AA86" s="597"/>
      <c r="AB86" s="597"/>
      <c r="AC86" s="597"/>
      <c r="AD86" s="600"/>
      <c r="AF86" s="4292"/>
      <c r="AG86" s="4293"/>
      <c r="AH86" s="4300"/>
      <c r="AI86" s="4300"/>
      <c r="AJ86" s="4300"/>
      <c r="AK86" s="4300"/>
      <c r="AL86" s="4300"/>
      <c r="AM86" s="4300"/>
      <c r="AN86" s="4300"/>
      <c r="AO86" s="4300"/>
      <c r="AP86" s="4300"/>
      <c r="AQ86" s="4300"/>
      <c r="AR86" s="4300"/>
      <c r="AS86" s="4300"/>
      <c r="AT86" s="4300"/>
      <c r="AU86" s="4297"/>
      <c r="AV86" s="4298"/>
      <c r="AX86" s="251"/>
      <c r="AY86" s="597"/>
      <c r="AZ86" s="598"/>
      <c r="BA86" s="599"/>
      <c r="BB86" s="597"/>
      <c r="BC86" s="597"/>
      <c r="BD86" s="597"/>
      <c r="BE86" s="597"/>
      <c r="BF86" s="597"/>
      <c r="BG86" s="597"/>
      <c r="BH86" s="597"/>
      <c r="BI86" s="597"/>
      <c r="BJ86" s="597"/>
      <c r="BK86" s="597"/>
      <c r="BL86" s="597"/>
      <c r="BM86" s="597"/>
      <c r="BN86" s="600"/>
      <c r="BW86" s="23"/>
      <c r="BX86" s="23"/>
      <c r="BY86" s="23"/>
      <c r="BZ86" s="23"/>
    </row>
    <row r="87" spans="2:78" ht="17.100000000000001" customHeight="1" x14ac:dyDescent="0.15">
      <c r="B87" s="23"/>
      <c r="C87" s="23"/>
      <c r="D87" s="23"/>
      <c r="N87" s="552"/>
      <c r="O87" s="553"/>
      <c r="P87" s="553"/>
      <c r="Q87" s="553"/>
      <c r="R87" s="553"/>
      <c r="S87" s="553"/>
      <c r="T87" s="553"/>
      <c r="U87" s="553"/>
      <c r="V87" s="553"/>
      <c r="W87" s="553"/>
      <c r="X87" s="553"/>
      <c r="Y87" s="553"/>
      <c r="Z87" s="553"/>
      <c r="AA87" s="553"/>
      <c r="AB87" s="553"/>
      <c r="AC87" s="553"/>
      <c r="AD87" s="554"/>
      <c r="AF87" s="2833"/>
      <c r="AG87" s="2834"/>
      <c r="AH87" s="2834"/>
      <c r="AI87" s="2834"/>
      <c r="AJ87" s="2834"/>
      <c r="AK87" s="2834"/>
      <c r="AL87" s="2834"/>
      <c r="AM87" s="2834"/>
      <c r="AN87" s="2834"/>
      <c r="AO87" s="2834"/>
      <c r="AP87" s="2834"/>
      <c r="AQ87" s="2834"/>
      <c r="AR87" s="2834"/>
      <c r="AS87" s="2834"/>
      <c r="AT87" s="2834"/>
      <c r="AU87" s="2834"/>
      <c r="AV87" s="2835"/>
      <c r="AX87" s="552"/>
      <c r="AY87" s="553"/>
      <c r="AZ87" s="553"/>
      <c r="BA87" s="553"/>
      <c r="BB87" s="553"/>
      <c r="BC87" s="553"/>
      <c r="BD87" s="553"/>
      <c r="BE87" s="553"/>
      <c r="BF87" s="553"/>
      <c r="BG87" s="553"/>
      <c r="BH87" s="553"/>
      <c r="BI87" s="553"/>
      <c r="BJ87" s="553"/>
      <c r="BK87" s="553"/>
      <c r="BL87" s="553"/>
      <c r="BM87" s="553"/>
      <c r="BN87" s="554"/>
      <c r="BW87" s="23"/>
      <c r="BX87" s="23"/>
      <c r="BY87" s="23"/>
      <c r="BZ87" s="23"/>
    </row>
    <row r="88" spans="2:78" ht="17.100000000000001" customHeight="1" x14ac:dyDescent="0.25">
      <c r="B88" s="23"/>
      <c r="C88" s="23"/>
      <c r="D88" s="23"/>
      <c r="N88" s="242"/>
      <c r="O88" s="4288" t="str">
        <f>ACTIONS!$C$34</f>
        <v>MND1</v>
      </c>
      <c r="P88" s="4288"/>
      <c r="Q88" s="558" t="s">
        <v>67</v>
      </c>
      <c r="R88" s="4289"/>
      <c r="S88" s="4289"/>
      <c r="T88" s="4289"/>
      <c r="U88" s="4289"/>
      <c r="V88" s="4289"/>
      <c r="W88" s="4289"/>
      <c r="X88" s="4289"/>
      <c r="Y88" s="4289"/>
      <c r="Z88" s="4289"/>
      <c r="AA88" s="4289"/>
      <c r="AB88" s="4289"/>
      <c r="AC88" s="4289"/>
      <c r="AD88" s="559"/>
      <c r="AF88" s="4290" t="s">
        <v>64</v>
      </c>
      <c r="AG88" s="4291"/>
      <c r="AH88" s="4294"/>
      <c r="AI88" s="4294"/>
      <c r="AJ88" s="4294"/>
      <c r="AK88" s="4294"/>
      <c r="AL88" s="4294"/>
      <c r="AM88" s="4294"/>
      <c r="AN88" s="4294"/>
      <c r="AO88" s="4294"/>
      <c r="AP88" s="4294"/>
      <c r="AQ88" s="4294"/>
      <c r="AR88" s="4294"/>
      <c r="AS88" s="4294"/>
      <c r="AT88" s="4294"/>
      <c r="AU88" s="4295"/>
      <c r="AV88" s="4296"/>
      <c r="AW88" s="560"/>
      <c r="AX88" s="242"/>
      <c r="AY88" s="4288" t="str">
        <f>ACTIONS!$BQ$34</f>
        <v>BDY1</v>
      </c>
      <c r="AZ88" s="4288"/>
      <c r="BA88" s="558" t="s">
        <v>67</v>
      </c>
      <c r="BB88" s="4289"/>
      <c r="BC88" s="4289"/>
      <c r="BD88" s="4289"/>
      <c r="BE88" s="4289"/>
      <c r="BF88" s="4289"/>
      <c r="BG88" s="4289"/>
      <c r="BH88" s="4289"/>
      <c r="BI88" s="4289"/>
      <c r="BJ88" s="4289"/>
      <c r="BK88" s="4289"/>
      <c r="BL88" s="4289"/>
      <c r="BM88" s="4289"/>
      <c r="BN88" s="559"/>
      <c r="BW88" s="23"/>
      <c r="BX88" s="23"/>
      <c r="BY88" s="23"/>
      <c r="BZ88" s="23"/>
    </row>
    <row r="89" spans="2:78" ht="17.100000000000001" customHeight="1" x14ac:dyDescent="0.25">
      <c r="B89" s="23"/>
      <c r="C89" s="23"/>
      <c r="D89" s="23"/>
      <c r="N89" s="242"/>
      <c r="O89" s="4288" t="str">
        <f>ACTIONS!$D$34</f>
        <v>MND2</v>
      </c>
      <c r="P89" s="4288"/>
      <c r="Q89" s="558" t="s">
        <v>67</v>
      </c>
      <c r="R89" s="4299"/>
      <c r="S89" s="4299"/>
      <c r="T89" s="4299"/>
      <c r="U89" s="4299"/>
      <c r="V89" s="4299"/>
      <c r="W89" s="4299"/>
      <c r="X89" s="4299"/>
      <c r="Y89" s="4299"/>
      <c r="Z89" s="4299"/>
      <c r="AA89" s="4299"/>
      <c r="AB89" s="4299"/>
      <c r="AC89" s="4299"/>
      <c r="AD89" s="559"/>
      <c r="AE89" s="577"/>
      <c r="AF89" s="4292"/>
      <c r="AG89" s="4293"/>
      <c r="AH89" s="4300"/>
      <c r="AI89" s="4300"/>
      <c r="AJ89" s="4300"/>
      <c r="AK89" s="4300"/>
      <c r="AL89" s="4300"/>
      <c r="AM89" s="4300"/>
      <c r="AN89" s="4300"/>
      <c r="AO89" s="4300"/>
      <c r="AP89" s="4300"/>
      <c r="AQ89" s="4300"/>
      <c r="AR89" s="4300"/>
      <c r="AS89" s="4300"/>
      <c r="AT89" s="4300"/>
      <c r="AU89" s="4297"/>
      <c r="AV89" s="4298"/>
      <c r="AW89" s="578"/>
      <c r="AX89" s="242"/>
      <c r="AY89" s="4288" t="str">
        <f>ACTIONS!$BR$34</f>
        <v>BDY2</v>
      </c>
      <c r="AZ89" s="4288"/>
      <c r="BA89" s="558" t="s">
        <v>67</v>
      </c>
      <c r="BB89" s="4299"/>
      <c r="BC89" s="4299"/>
      <c r="BD89" s="4299"/>
      <c r="BE89" s="4299"/>
      <c r="BF89" s="4299"/>
      <c r="BG89" s="4299"/>
      <c r="BH89" s="4299"/>
      <c r="BI89" s="4299"/>
      <c r="BJ89" s="4299"/>
      <c r="BK89" s="4299"/>
      <c r="BL89" s="4299"/>
      <c r="BM89" s="4299"/>
      <c r="BN89" s="559"/>
      <c r="BW89" s="23"/>
      <c r="BX89" s="23"/>
      <c r="BY89" s="23"/>
      <c r="BZ89" s="23"/>
    </row>
    <row r="90" spans="2:78" ht="17.100000000000001" customHeight="1" x14ac:dyDescent="0.25">
      <c r="B90" s="23"/>
      <c r="C90" s="23"/>
      <c r="D90" s="23"/>
      <c r="N90" s="242"/>
      <c r="O90" s="4288" t="str">
        <f>ACTIONS!$E$34</f>
        <v>MND3</v>
      </c>
      <c r="P90" s="4288"/>
      <c r="Q90" s="558" t="s">
        <v>67</v>
      </c>
      <c r="R90" s="4299"/>
      <c r="S90" s="4299"/>
      <c r="T90" s="4299"/>
      <c r="U90" s="4299"/>
      <c r="V90" s="4299"/>
      <c r="W90" s="4299"/>
      <c r="X90" s="4299"/>
      <c r="Y90" s="4299"/>
      <c r="Z90" s="4299"/>
      <c r="AA90" s="4299"/>
      <c r="AB90" s="4299"/>
      <c r="AC90" s="4299"/>
      <c r="AD90" s="559"/>
      <c r="AE90" s="587"/>
      <c r="AF90" s="4290" t="s">
        <v>64</v>
      </c>
      <c r="AG90" s="4291"/>
      <c r="AH90" s="4294"/>
      <c r="AI90" s="4294"/>
      <c r="AJ90" s="4294"/>
      <c r="AK90" s="4294"/>
      <c r="AL90" s="4294"/>
      <c r="AM90" s="4294"/>
      <c r="AN90" s="4294"/>
      <c r="AO90" s="4294"/>
      <c r="AP90" s="4294"/>
      <c r="AQ90" s="4294"/>
      <c r="AR90" s="4294"/>
      <c r="AS90" s="4294"/>
      <c r="AT90" s="4294"/>
      <c r="AU90" s="4295"/>
      <c r="AV90" s="4296"/>
      <c r="AX90" s="242"/>
      <c r="AY90" s="4288" t="str">
        <f>ACTIONS!$BS$34</f>
        <v>BDY3</v>
      </c>
      <c r="AZ90" s="4288"/>
      <c r="BA90" s="558" t="s">
        <v>67</v>
      </c>
      <c r="BB90" s="4299"/>
      <c r="BC90" s="4299"/>
      <c r="BD90" s="4299"/>
      <c r="BE90" s="4299"/>
      <c r="BF90" s="4299"/>
      <c r="BG90" s="4299"/>
      <c r="BH90" s="4299"/>
      <c r="BI90" s="4299"/>
      <c r="BJ90" s="4299"/>
      <c r="BK90" s="4299"/>
      <c r="BL90" s="4299"/>
      <c r="BM90" s="4299"/>
      <c r="BN90" s="559"/>
      <c r="BW90" s="23"/>
      <c r="BX90" s="23"/>
      <c r="BY90" s="23"/>
      <c r="BZ90" s="23"/>
    </row>
    <row r="91" spans="2:78" ht="17.100000000000001" customHeight="1" x14ac:dyDescent="0.25">
      <c r="B91" s="23"/>
      <c r="C91" s="23"/>
      <c r="D91" s="23"/>
      <c r="N91" s="242"/>
      <c r="O91" s="4288" t="str">
        <f>ACTIONS!$F$34</f>
        <v>MND4</v>
      </c>
      <c r="P91" s="4288"/>
      <c r="Q91" s="558" t="s">
        <v>67</v>
      </c>
      <c r="R91" s="4299"/>
      <c r="S91" s="4299"/>
      <c r="T91" s="4299"/>
      <c r="U91" s="4299"/>
      <c r="V91" s="4299"/>
      <c r="W91" s="4299"/>
      <c r="X91" s="4299"/>
      <c r="Y91" s="4299"/>
      <c r="Z91" s="4299"/>
      <c r="AA91" s="4299"/>
      <c r="AB91" s="4299"/>
      <c r="AC91" s="4299"/>
      <c r="AD91" s="559"/>
      <c r="AE91" s="577"/>
      <c r="AF91" s="4292"/>
      <c r="AG91" s="4293"/>
      <c r="AH91" s="4300"/>
      <c r="AI91" s="4300"/>
      <c r="AJ91" s="4300"/>
      <c r="AK91" s="4300"/>
      <c r="AL91" s="4300"/>
      <c r="AM91" s="4300"/>
      <c r="AN91" s="4300"/>
      <c r="AO91" s="4300"/>
      <c r="AP91" s="4300"/>
      <c r="AQ91" s="4300"/>
      <c r="AR91" s="4300"/>
      <c r="AS91" s="4300"/>
      <c r="AT91" s="4300"/>
      <c r="AU91" s="4297"/>
      <c r="AV91" s="4298"/>
      <c r="AX91" s="242"/>
      <c r="AY91" s="4288" t="str">
        <f>ACTIONS!$BT$34</f>
        <v>BDY4</v>
      </c>
      <c r="AZ91" s="4288"/>
      <c r="BA91" s="558" t="s">
        <v>67</v>
      </c>
      <c r="BB91" s="4299"/>
      <c r="BC91" s="4299"/>
      <c r="BD91" s="4299"/>
      <c r="BE91" s="4299"/>
      <c r="BF91" s="4299"/>
      <c r="BG91" s="4299"/>
      <c r="BH91" s="4299"/>
      <c r="BI91" s="4299"/>
      <c r="BJ91" s="4299"/>
      <c r="BK91" s="4299"/>
      <c r="BL91" s="4299"/>
      <c r="BM91" s="4299"/>
      <c r="BN91" s="559"/>
      <c r="BW91" s="23"/>
      <c r="BX91" s="23"/>
      <c r="BY91" s="23"/>
      <c r="BZ91" s="23"/>
    </row>
    <row r="92" spans="2:78" ht="17.100000000000001" customHeight="1" x14ac:dyDescent="0.25">
      <c r="B92" s="23"/>
      <c r="C92" s="23"/>
      <c r="D92" s="23"/>
      <c r="N92" s="242"/>
      <c r="O92" s="4288" t="str">
        <f>ACTIONS!$G$34</f>
        <v>MND5</v>
      </c>
      <c r="P92" s="4288"/>
      <c r="Q92" s="558" t="s">
        <v>67</v>
      </c>
      <c r="R92" s="4299"/>
      <c r="S92" s="4299"/>
      <c r="T92" s="4299"/>
      <c r="U92" s="4299"/>
      <c r="V92" s="4299"/>
      <c r="W92" s="4299"/>
      <c r="X92" s="4299"/>
      <c r="Y92" s="4299"/>
      <c r="Z92" s="4299"/>
      <c r="AA92" s="4299"/>
      <c r="AB92" s="4299"/>
      <c r="AC92" s="4299"/>
      <c r="AD92" s="559"/>
      <c r="AE92" s="587"/>
      <c r="AF92" s="4290" t="s">
        <v>64</v>
      </c>
      <c r="AG92" s="4291"/>
      <c r="AH92" s="4294"/>
      <c r="AI92" s="4294"/>
      <c r="AJ92" s="4294"/>
      <c r="AK92" s="4294"/>
      <c r="AL92" s="4294"/>
      <c r="AM92" s="4294"/>
      <c r="AN92" s="4294"/>
      <c r="AO92" s="4294"/>
      <c r="AP92" s="4294"/>
      <c r="AQ92" s="4294"/>
      <c r="AR92" s="4294"/>
      <c r="AS92" s="4294"/>
      <c r="AT92" s="4294"/>
      <c r="AU92" s="4295"/>
      <c r="AV92" s="4296"/>
      <c r="AX92" s="242"/>
      <c r="AY92" s="4288" t="str">
        <f>ACTIONS!$BU$34</f>
        <v>BDY5</v>
      </c>
      <c r="AZ92" s="4288"/>
      <c r="BA92" s="558" t="s">
        <v>67</v>
      </c>
      <c r="BB92" s="4299"/>
      <c r="BC92" s="4299"/>
      <c r="BD92" s="4299"/>
      <c r="BE92" s="4299"/>
      <c r="BF92" s="4299"/>
      <c r="BG92" s="4299"/>
      <c r="BH92" s="4299"/>
      <c r="BI92" s="4299"/>
      <c r="BJ92" s="4299"/>
      <c r="BK92" s="4299"/>
      <c r="BL92" s="4299"/>
      <c r="BM92" s="4299"/>
      <c r="BN92" s="559"/>
      <c r="BW92" s="23"/>
      <c r="BX92" s="23"/>
      <c r="BY92" s="23"/>
      <c r="BZ92" s="23"/>
    </row>
    <row r="93" spans="2:78" ht="17.100000000000001" customHeight="1" x14ac:dyDescent="0.25">
      <c r="B93" s="23"/>
      <c r="C93" s="23"/>
      <c r="D93" s="23"/>
      <c r="N93" s="242"/>
      <c r="O93" s="4288" t="str">
        <f>ACTIONS!$H$34</f>
        <v>MND6</v>
      </c>
      <c r="P93" s="4288"/>
      <c r="Q93" s="558" t="s">
        <v>67</v>
      </c>
      <c r="R93" s="4299"/>
      <c r="S93" s="4299"/>
      <c r="T93" s="4299"/>
      <c r="U93" s="4299"/>
      <c r="V93" s="4299"/>
      <c r="W93" s="4299"/>
      <c r="X93" s="4299"/>
      <c r="Y93" s="4299"/>
      <c r="Z93" s="4299"/>
      <c r="AA93" s="4299"/>
      <c r="AB93" s="4299"/>
      <c r="AC93" s="4299"/>
      <c r="AD93" s="559"/>
      <c r="AF93" s="4292"/>
      <c r="AG93" s="4293"/>
      <c r="AH93" s="4300"/>
      <c r="AI93" s="4300"/>
      <c r="AJ93" s="4300"/>
      <c r="AK93" s="4300"/>
      <c r="AL93" s="4300"/>
      <c r="AM93" s="4300"/>
      <c r="AN93" s="4300"/>
      <c r="AO93" s="4300"/>
      <c r="AP93" s="4300"/>
      <c r="AQ93" s="4300"/>
      <c r="AR93" s="4300"/>
      <c r="AS93" s="4300"/>
      <c r="AT93" s="4300"/>
      <c r="AU93" s="4297"/>
      <c r="AV93" s="4298"/>
      <c r="AX93" s="242"/>
      <c r="AY93" s="4288" t="str">
        <f>ACTIONS!$BV$34</f>
        <v>BDY6</v>
      </c>
      <c r="AZ93" s="4288"/>
      <c r="BA93" s="558" t="s">
        <v>67</v>
      </c>
      <c r="BB93" s="4299"/>
      <c r="BC93" s="4299"/>
      <c r="BD93" s="4299"/>
      <c r="BE93" s="4299"/>
      <c r="BF93" s="4299"/>
      <c r="BG93" s="4299"/>
      <c r="BH93" s="4299"/>
      <c r="BI93" s="4299"/>
      <c r="BJ93" s="4299"/>
      <c r="BK93" s="4299"/>
      <c r="BL93" s="4299"/>
      <c r="BM93" s="4299"/>
      <c r="BN93" s="559"/>
      <c r="BW93" s="23"/>
      <c r="BX93" s="23"/>
      <c r="BY93" s="23"/>
      <c r="BZ93" s="23"/>
    </row>
    <row r="94" spans="2:78" ht="17.100000000000001" customHeight="1" x14ac:dyDescent="0.25">
      <c r="B94" s="23"/>
      <c r="C94" s="23"/>
      <c r="D94" s="23"/>
      <c r="N94" s="242"/>
      <c r="O94" s="4288" t="str">
        <f>ACTIONS!$I$34</f>
        <v>MND7</v>
      </c>
      <c r="P94" s="4288"/>
      <c r="Q94" s="558" t="s">
        <v>67</v>
      </c>
      <c r="R94" s="4299"/>
      <c r="S94" s="4299"/>
      <c r="T94" s="4299"/>
      <c r="U94" s="4299"/>
      <c r="V94" s="4299"/>
      <c r="W94" s="4299"/>
      <c r="X94" s="4299"/>
      <c r="Y94" s="4299"/>
      <c r="Z94" s="4299"/>
      <c r="AA94" s="4299"/>
      <c r="AB94" s="4299"/>
      <c r="AC94" s="4299"/>
      <c r="AD94" s="559"/>
      <c r="AF94" s="4290" t="s">
        <v>64</v>
      </c>
      <c r="AG94" s="4291"/>
      <c r="AH94" s="4294"/>
      <c r="AI94" s="4294"/>
      <c r="AJ94" s="4294"/>
      <c r="AK94" s="4294"/>
      <c r="AL94" s="4294"/>
      <c r="AM94" s="4294"/>
      <c r="AN94" s="4294"/>
      <c r="AO94" s="4294"/>
      <c r="AP94" s="4294"/>
      <c r="AQ94" s="4294"/>
      <c r="AR94" s="4294"/>
      <c r="AS94" s="4294"/>
      <c r="AT94" s="4294"/>
      <c r="AU94" s="4295"/>
      <c r="AV94" s="4296"/>
      <c r="AX94" s="242"/>
      <c r="AY94" s="4288" t="str">
        <f>ACTIONS!$BW$34</f>
        <v>BDY7</v>
      </c>
      <c r="AZ94" s="4288"/>
      <c r="BA94" s="558" t="s">
        <v>67</v>
      </c>
      <c r="BB94" s="4299"/>
      <c r="BC94" s="4299"/>
      <c r="BD94" s="4299"/>
      <c r="BE94" s="4299"/>
      <c r="BF94" s="4299"/>
      <c r="BG94" s="4299"/>
      <c r="BH94" s="4299"/>
      <c r="BI94" s="4299"/>
      <c r="BJ94" s="4299"/>
      <c r="BK94" s="4299"/>
      <c r="BL94" s="4299"/>
      <c r="BM94" s="4299"/>
      <c r="BN94" s="559"/>
      <c r="BW94" s="23"/>
      <c r="BX94" s="23"/>
      <c r="BY94" s="23"/>
      <c r="BZ94" s="23"/>
    </row>
    <row r="95" spans="2:78" ht="17.100000000000001" customHeight="1" x14ac:dyDescent="0.25">
      <c r="B95" s="23"/>
      <c r="C95" s="23"/>
      <c r="D95" s="23"/>
      <c r="N95" s="242"/>
      <c r="O95" s="4288" t="str">
        <f>ACTIONS!$J$34</f>
        <v>MND8</v>
      </c>
      <c r="P95" s="4288"/>
      <c r="Q95" s="558" t="s">
        <v>67</v>
      </c>
      <c r="R95" s="4299"/>
      <c r="S95" s="4299"/>
      <c r="T95" s="4299"/>
      <c r="U95" s="4299"/>
      <c r="V95" s="4299"/>
      <c r="W95" s="4299"/>
      <c r="X95" s="4299"/>
      <c r="Y95" s="4299"/>
      <c r="Z95" s="4299"/>
      <c r="AA95" s="4299"/>
      <c r="AB95" s="4299"/>
      <c r="AC95" s="4299"/>
      <c r="AD95" s="559"/>
      <c r="AF95" s="4292"/>
      <c r="AG95" s="4293"/>
      <c r="AH95" s="4300"/>
      <c r="AI95" s="4300"/>
      <c r="AJ95" s="4300"/>
      <c r="AK95" s="4300"/>
      <c r="AL95" s="4300"/>
      <c r="AM95" s="4300"/>
      <c r="AN95" s="4300"/>
      <c r="AO95" s="4300"/>
      <c r="AP95" s="4300"/>
      <c r="AQ95" s="4300"/>
      <c r="AR95" s="4300"/>
      <c r="AS95" s="4300"/>
      <c r="AT95" s="4300"/>
      <c r="AU95" s="4297"/>
      <c r="AV95" s="4298"/>
      <c r="AX95" s="242"/>
      <c r="AY95" s="4288" t="str">
        <f>ACTIONS!$BX$34</f>
        <v>BDY8</v>
      </c>
      <c r="AZ95" s="4288"/>
      <c r="BA95" s="558" t="s">
        <v>67</v>
      </c>
      <c r="BB95" s="4299"/>
      <c r="BC95" s="4299"/>
      <c r="BD95" s="4299"/>
      <c r="BE95" s="4299"/>
      <c r="BF95" s="4299"/>
      <c r="BG95" s="4299"/>
      <c r="BH95" s="4299"/>
      <c r="BI95" s="4299"/>
      <c r="BJ95" s="4299"/>
      <c r="BK95" s="4299"/>
      <c r="BL95" s="4299"/>
      <c r="BM95" s="4299"/>
      <c r="BN95" s="559"/>
      <c r="BW95" s="23"/>
      <c r="BX95" s="23"/>
      <c r="BY95" s="23"/>
      <c r="BZ95" s="23"/>
    </row>
    <row r="96" spans="2:78" ht="17.100000000000001" customHeight="1" x14ac:dyDescent="0.25">
      <c r="B96" s="23"/>
      <c r="C96" s="23"/>
      <c r="D96" s="23"/>
      <c r="N96" s="242"/>
      <c r="O96" s="4288" t="str">
        <f>ACTIONS!$K$34</f>
        <v>MND9</v>
      </c>
      <c r="P96" s="4288"/>
      <c r="Q96" s="558" t="s">
        <v>67</v>
      </c>
      <c r="R96" s="4299"/>
      <c r="S96" s="4299"/>
      <c r="T96" s="4299"/>
      <c r="U96" s="4299"/>
      <c r="V96" s="4299"/>
      <c r="W96" s="4299"/>
      <c r="X96" s="4299"/>
      <c r="Y96" s="4299"/>
      <c r="Z96" s="4299"/>
      <c r="AA96" s="4299"/>
      <c r="AB96" s="4299"/>
      <c r="AC96" s="4299"/>
      <c r="AD96" s="559"/>
      <c r="AF96" s="4290" t="s">
        <v>64</v>
      </c>
      <c r="AG96" s="4291"/>
      <c r="AH96" s="4294"/>
      <c r="AI96" s="4294"/>
      <c r="AJ96" s="4294"/>
      <c r="AK96" s="4294"/>
      <c r="AL96" s="4294"/>
      <c r="AM96" s="4294"/>
      <c r="AN96" s="4294"/>
      <c r="AO96" s="4294"/>
      <c r="AP96" s="4294"/>
      <c r="AQ96" s="4294"/>
      <c r="AR96" s="4294"/>
      <c r="AS96" s="4294"/>
      <c r="AT96" s="4294"/>
      <c r="AU96" s="4295"/>
      <c r="AV96" s="4296"/>
      <c r="AX96" s="242"/>
      <c r="AY96" s="4288" t="str">
        <f>ACTIONS!$BY$34</f>
        <v>BDY9</v>
      </c>
      <c r="AZ96" s="4288"/>
      <c r="BA96" s="558" t="s">
        <v>67</v>
      </c>
      <c r="BB96" s="4299"/>
      <c r="BC96" s="4299"/>
      <c r="BD96" s="4299"/>
      <c r="BE96" s="4299"/>
      <c r="BF96" s="4299"/>
      <c r="BG96" s="4299"/>
      <c r="BH96" s="4299"/>
      <c r="BI96" s="4299"/>
      <c r="BJ96" s="4299"/>
      <c r="BK96" s="4299"/>
      <c r="BL96" s="4299"/>
      <c r="BM96" s="4299"/>
      <c r="BN96" s="559"/>
      <c r="BW96" s="23"/>
      <c r="BX96" s="23"/>
      <c r="BY96" s="23"/>
      <c r="BZ96" s="23"/>
    </row>
    <row r="97" spans="2:78" ht="17.100000000000001" customHeight="1" x14ac:dyDescent="0.15">
      <c r="B97" s="23"/>
      <c r="C97" s="23"/>
      <c r="D97" s="23"/>
      <c r="N97" s="251"/>
      <c r="O97" s="597"/>
      <c r="P97" s="598"/>
      <c r="Q97" s="599"/>
      <c r="R97" s="597"/>
      <c r="S97" s="597"/>
      <c r="T97" s="597"/>
      <c r="U97" s="597"/>
      <c r="V97" s="597"/>
      <c r="W97" s="597"/>
      <c r="X97" s="597"/>
      <c r="Y97" s="597"/>
      <c r="Z97" s="597"/>
      <c r="AA97" s="597"/>
      <c r="AB97" s="597"/>
      <c r="AC97" s="597"/>
      <c r="AD97" s="600"/>
      <c r="AF97" s="4292"/>
      <c r="AG97" s="4293"/>
      <c r="AH97" s="4300"/>
      <c r="AI97" s="4300"/>
      <c r="AJ97" s="4300"/>
      <c r="AK97" s="4300"/>
      <c r="AL97" s="4300"/>
      <c r="AM97" s="4300"/>
      <c r="AN97" s="4300"/>
      <c r="AO97" s="4300"/>
      <c r="AP97" s="4300"/>
      <c r="AQ97" s="4300"/>
      <c r="AR97" s="4300"/>
      <c r="AS97" s="4300"/>
      <c r="AT97" s="4300"/>
      <c r="AU97" s="4297"/>
      <c r="AV97" s="4298"/>
      <c r="AX97" s="251"/>
      <c r="AY97" s="597"/>
      <c r="AZ97" s="598"/>
      <c r="BA97" s="599"/>
      <c r="BB97" s="597"/>
      <c r="BC97" s="597"/>
      <c r="BD97" s="597"/>
      <c r="BE97" s="597"/>
      <c r="BF97" s="597"/>
      <c r="BG97" s="597"/>
      <c r="BH97" s="597"/>
      <c r="BI97" s="597"/>
      <c r="BJ97" s="597"/>
      <c r="BK97" s="597"/>
      <c r="BL97" s="597"/>
      <c r="BM97" s="597"/>
      <c r="BN97" s="600"/>
      <c r="BW97" s="23"/>
      <c r="BX97" s="23"/>
      <c r="BY97" s="23"/>
      <c r="BZ97" s="23"/>
    </row>
    <row r="98" spans="2:78" ht="17.100000000000001" customHeight="1" x14ac:dyDescent="0.15">
      <c r="B98" s="23"/>
      <c r="C98" s="23"/>
      <c r="D98" s="23"/>
      <c r="BW98" s="23"/>
      <c r="BX98" s="23"/>
      <c r="BY98" s="23"/>
      <c r="BZ98" s="23"/>
    </row>
    <row r="99" spans="2:78" ht="17.100000000000001" customHeight="1" x14ac:dyDescent="0.15">
      <c r="B99" s="23"/>
      <c r="C99" s="23"/>
      <c r="D99" s="23"/>
      <c r="BW99" s="23"/>
      <c r="BX99" s="23"/>
      <c r="BY99" s="23"/>
      <c r="BZ99" s="23"/>
    </row>
    <row r="100" spans="2:78" ht="17.100000000000001" customHeight="1" x14ac:dyDescent="0.15">
      <c r="B100" s="23"/>
      <c r="C100" s="23"/>
      <c r="D100" s="23"/>
      <c r="BW100" s="23"/>
      <c r="BX100" s="23"/>
      <c r="BY100" s="23"/>
      <c r="BZ100" s="23"/>
    </row>
    <row r="101" spans="2:78" ht="17.100000000000001" customHeight="1" x14ac:dyDescent="0.15">
      <c r="B101" s="23"/>
      <c r="C101" s="23"/>
      <c r="D101" s="23"/>
      <c r="BW101" s="23"/>
      <c r="BX101" s="23"/>
      <c r="BY101" s="23"/>
      <c r="BZ101" s="23"/>
    </row>
    <row r="102" spans="2:78" ht="17.100000000000001" customHeight="1" x14ac:dyDescent="0.15">
      <c r="B102" s="23"/>
      <c r="C102" s="23"/>
      <c r="D102" s="23"/>
      <c r="BW102" s="23"/>
      <c r="BX102" s="23"/>
      <c r="BY102" s="23"/>
      <c r="BZ102" s="23"/>
    </row>
    <row r="103" spans="2:78" ht="17.100000000000001" customHeight="1" x14ac:dyDescent="0.15">
      <c r="B103" s="23"/>
      <c r="C103" s="23"/>
      <c r="D103" s="23"/>
      <c r="BW103" s="23"/>
      <c r="BX103" s="23"/>
      <c r="BY103" s="23"/>
      <c r="BZ103" s="23"/>
    </row>
    <row r="104" spans="2:78" ht="17.100000000000001" customHeight="1" x14ac:dyDescent="0.15">
      <c r="B104" s="23"/>
      <c r="C104" s="23"/>
      <c r="D104" s="23"/>
      <c r="BW104" s="23"/>
      <c r="BX104" s="23"/>
      <c r="BY104" s="23"/>
      <c r="BZ104" s="23"/>
    </row>
    <row r="105" spans="2:78" ht="17.100000000000001" customHeight="1" x14ac:dyDescent="0.15">
      <c r="B105" s="23"/>
      <c r="C105" s="23"/>
      <c r="D105" s="23"/>
      <c r="BW105" s="23"/>
      <c r="BX105" s="23"/>
      <c r="BY105" s="23"/>
      <c r="BZ105" s="23"/>
    </row>
    <row r="106" spans="2:78" ht="17.100000000000001" customHeight="1" x14ac:dyDescent="0.15">
      <c r="B106" s="23"/>
      <c r="C106" s="23"/>
      <c r="D106" s="23"/>
      <c r="BW106" s="23"/>
      <c r="BX106" s="23"/>
      <c r="BY106" s="23"/>
      <c r="BZ106" s="23"/>
    </row>
    <row r="107" spans="2:78" ht="17.100000000000001" customHeight="1" x14ac:dyDescent="0.15">
      <c r="B107" s="23"/>
      <c r="C107" s="23"/>
      <c r="D107" s="23"/>
      <c r="G107" s="2789"/>
      <c r="H107" s="2789"/>
      <c r="I107" s="2789"/>
      <c r="J107" s="2789"/>
      <c r="K107" s="2789"/>
      <c r="L107" s="2789"/>
      <c r="M107" s="2789"/>
      <c r="N107" s="2789"/>
      <c r="O107" s="2789"/>
      <c r="P107" s="2789"/>
      <c r="Q107" s="2789"/>
      <c r="R107" s="2789"/>
      <c r="S107" s="2789"/>
      <c r="T107" s="2789"/>
      <c r="AM107" s="23"/>
      <c r="AN107" s="23"/>
      <c r="AO107" s="23"/>
      <c r="BW107" s="23"/>
      <c r="BX107" s="23"/>
      <c r="BY107" s="23"/>
      <c r="BZ107" s="23"/>
    </row>
    <row r="108" spans="2:78" ht="17.100000000000001" customHeight="1" x14ac:dyDescent="0.15">
      <c r="C108" s="34"/>
      <c r="D108" s="33"/>
      <c r="G108" s="2789"/>
      <c r="H108" s="2789"/>
      <c r="I108" s="2789"/>
      <c r="J108" s="2789"/>
      <c r="K108" s="2789"/>
      <c r="L108" s="2789"/>
      <c r="M108" s="2789"/>
      <c r="N108" s="2789"/>
      <c r="O108" s="2789"/>
      <c r="P108" s="2789"/>
      <c r="Q108" s="2789"/>
      <c r="R108" s="2789"/>
      <c r="S108" s="2789"/>
      <c r="T108" s="2789"/>
      <c r="BX108" s="33"/>
    </row>
    <row r="109" spans="2:78" ht="17.100000000000001" customHeight="1" x14ac:dyDescent="0.15">
      <c r="C109" s="34"/>
      <c r="D109" s="33"/>
      <c r="BX109" s="33"/>
    </row>
    <row r="110" spans="2:78" ht="17.100000000000001" customHeight="1" x14ac:dyDescent="0.15">
      <c r="C110" s="34"/>
      <c r="D110" s="33"/>
      <c r="BX110" s="33"/>
    </row>
    <row r="111" spans="2:78" ht="17.100000000000001" customHeight="1" x14ac:dyDescent="0.15">
      <c r="C111" s="34"/>
      <c r="D111" s="33"/>
      <c r="BX111" s="33"/>
    </row>
    <row r="112" spans="2:78" ht="17.100000000000001" customHeight="1" x14ac:dyDescent="0.15">
      <c r="C112" s="34"/>
      <c r="D112" s="33"/>
      <c r="BX112" s="33"/>
    </row>
    <row r="113" spans="3:76" ht="17.100000000000001" customHeight="1" x14ac:dyDescent="0.15">
      <c r="C113" s="34"/>
      <c r="D113" s="33"/>
      <c r="BX113" s="33"/>
    </row>
    <row r="114" spans="3:76" ht="17.100000000000001" customHeight="1" x14ac:dyDescent="0.15">
      <c r="C114" s="34"/>
      <c r="D114" s="33"/>
      <c r="BX114" s="33"/>
    </row>
    <row r="115" spans="3:76" ht="17.100000000000001" customHeight="1" x14ac:dyDescent="0.15">
      <c r="C115" s="34"/>
      <c r="D115" s="33"/>
      <c r="BX115" s="33"/>
    </row>
    <row r="116" spans="3:76" ht="17.100000000000001" customHeight="1" x14ac:dyDescent="0.15">
      <c r="C116" s="34"/>
      <c r="D116" s="33"/>
      <c r="BX116" s="33"/>
    </row>
    <row r="117" spans="3:76" ht="17.100000000000001" customHeight="1" x14ac:dyDescent="0.15">
      <c r="C117" s="34"/>
      <c r="D117" s="33"/>
      <c r="BX117" s="33"/>
    </row>
    <row r="118" spans="3:76" ht="17.100000000000001" customHeight="1" x14ac:dyDescent="0.15">
      <c r="C118" s="34"/>
      <c r="D118" s="33"/>
      <c r="BX118" s="33"/>
    </row>
    <row r="119" spans="3:76" ht="17.100000000000001" customHeight="1" x14ac:dyDescent="0.15">
      <c r="C119" s="34"/>
      <c r="D119" s="33"/>
      <c r="BX119" s="33"/>
    </row>
  </sheetData>
  <sheetProtection sheet="1" objects="1" scenarios="1"/>
  <mergeCells count="661">
    <mergeCell ref="DO24:DU24"/>
    <mergeCell ref="CZ24:DI24"/>
    <mergeCell ref="CK24:CT24"/>
    <mergeCell ref="BQ42:BY42"/>
    <mergeCell ref="BQ46:BY46"/>
    <mergeCell ref="BQ50:BY50"/>
    <mergeCell ref="BQ51:BQ53"/>
    <mergeCell ref="BR51:BR53"/>
    <mergeCell ref="BS51:BS53"/>
    <mergeCell ref="BT51:BT53"/>
    <mergeCell ref="BU51:BU53"/>
    <mergeCell ref="BV51:BV53"/>
    <mergeCell ref="BW51:BW53"/>
    <mergeCell ref="BX51:BX53"/>
    <mergeCell ref="BY51:BY53"/>
    <mergeCell ref="BQ43:BQ45"/>
    <mergeCell ref="BR47:BR49"/>
    <mergeCell ref="BS47:BS49"/>
    <mergeCell ref="BY43:BY45"/>
    <mergeCell ref="BW43:BW45"/>
    <mergeCell ref="BU43:BU45"/>
    <mergeCell ref="BS43:BS45"/>
    <mergeCell ref="BR43:BR45"/>
    <mergeCell ref="BW47:BW49"/>
    <mergeCell ref="C54:K54"/>
    <mergeCell ref="C55:C57"/>
    <mergeCell ref="D55:D57"/>
    <mergeCell ref="E55:E57"/>
    <mergeCell ref="F55:F57"/>
    <mergeCell ref="G55:G57"/>
    <mergeCell ref="H55:H57"/>
    <mergeCell ref="I55:I57"/>
    <mergeCell ref="J55:J57"/>
    <mergeCell ref="K55:K57"/>
    <mergeCell ref="C50:K50"/>
    <mergeCell ref="C51:C53"/>
    <mergeCell ref="D51:D53"/>
    <mergeCell ref="E51:E53"/>
    <mergeCell ref="F51:F53"/>
    <mergeCell ref="G51:G53"/>
    <mergeCell ref="H51:H53"/>
    <mergeCell ref="I51:I53"/>
    <mergeCell ref="J51:J53"/>
    <mergeCell ref="K51:K53"/>
    <mergeCell ref="AM41:AO42"/>
    <mergeCell ref="AG43:AU43"/>
    <mergeCell ref="AM44:AO44"/>
    <mergeCell ref="AX47:AY47"/>
    <mergeCell ref="AZ47:BD47"/>
    <mergeCell ref="AX45:AY45"/>
    <mergeCell ref="AZ45:BD45"/>
    <mergeCell ref="AQ45:AU45"/>
    <mergeCell ref="AG47:AK47"/>
    <mergeCell ref="AL47:AM47"/>
    <mergeCell ref="AO47:AP47"/>
    <mergeCell ref="AQ47:AU47"/>
    <mergeCell ref="Y56:AC56"/>
    <mergeCell ref="AU74:AV75"/>
    <mergeCell ref="AH75:AT75"/>
    <mergeCell ref="AU70:AV71"/>
    <mergeCell ref="AU68:AV69"/>
    <mergeCell ref="AF72:AG73"/>
    <mergeCell ref="AH72:AT72"/>
    <mergeCell ref="AH73:AT73"/>
    <mergeCell ref="AH68:AT68"/>
    <mergeCell ref="AH71:AT71"/>
    <mergeCell ref="AF74:AG75"/>
    <mergeCell ref="AU72:AV73"/>
    <mergeCell ref="AH70:AT70"/>
    <mergeCell ref="AG58:AK58"/>
    <mergeCell ref="AL58:AM58"/>
    <mergeCell ref="AG56:AK56"/>
    <mergeCell ref="AF63:AV64"/>
    <mergeCell ref="AF66:AG67"/>
    <mergeCell ref="AH66:AT66"/>
    <mergeCell ref="R74:AC74"/>
    <mergeCell ref="AU66:AV67"/>
    <mergeCell ref="AH67:AT67"/>
    <mergeCell ref="AL56:AM56"/>
    <mergeCell ref="AO57:AP57"/>
    <mergeCell ref="AQ58:AU58"/>
    <mergeCell ref="BD55:BE55"/>
    <mergeCell ref="AX63:BN64"/>
    <mergeCell ref="AY66:AZ66"/>
    <mergeCell ref="AY55:BC55"/>
    <mergeCell ref="AY56:BC56"/>
    <mergeCell ref="BG33:BI33"/>
    <mergeCell ref="AV35:AV36"/>
    <mergeCell ref="AG53:AU53"/>
    <mergeCell ref="AM54:AO54"/>
    <mergeCell ref="AG55:AK55"/>
    <mergeCell ref="AL55:AM55"/>
    <mergeCell ref="BG55:BH55"/>
    <mergeCell ref="BI55:BM55"/>
    <mergeCell ref="AY53:BM53"/>
    <mergeCell ref="AR36:AT36"/>
    <mergeCell ref="AF35:AG36"/>
    <mergeCell ref="AU35:AU36"/>
    <mergeCell ref="AO55:AP55"/>
    <mergeCell ref="AQ55:AU55"/>
    <mergeCell ref="AM51:AO52"/>
    <mergeCell ref="BG45:BH45"/>
    <mergeCell ref="AX48:AY48"/>
    <mergeCell ref="AZ48:BD48"/>
    <mergeCell ref="BG32:BI32"/>
    <mergeCell ref="BE31:BF31"/>
    <mergeCell ref="BE33:BF33"/>
    <mergeCell ref="BE35:BF35"/>
    <mergeCell ref="AY32:AZ32"/>
    <mergeCell ref="AY33:AZ33"/>
    <mergeCell ref="BG34:BI34"/>
    <mergeCell ref="BB31:BC31"/>
    <mergeCell ref="BE32:BF32"/>
    <mergeCell ref="BE34:BF34"/>
    <mergeCell ref="BB34:BC34"/>
    <mergeCell ref="BB35:BC35"/>
    <mergeCell ref="AY35:AZ35"/>
    <mergeCell ref="BG35:BI35"/>
    <mergeCell ref="AY31:AZ31"/>
    <mergeCell ref="BG31:BI31"/>
    <mergeCell ref="CP3:CR3"/>
    <mergeCell ref="CP4:CR4"/>
    <mergeCell ref="DB3:DD3"/>
    <mergeCell ref="DE3:DG3"/>
    <mergeCell ref="DH3:DJ3"/>
    <mergeCell ref="CP2:CR2"/>
    <mergeCell ref="CS2:CU2"/>
    <mergeCell ref="CV2:CX2"/>
    <mergeCell ref="BA18:BB18"/>
    <mergeCell ref="BD18:BE18"/>
    <mergeCell ref="CG3:CI3"/>
    <mergeCell ref="CG4:CI4"/>
    <mergeCell ref="CJ2:CL2"/>
    <mergeCell ref="CM2:CO2"/>
    <mergeCell ref="CB2:CC2"/>
    <mergeCell ref="BG16:BH17"/>
    <mergeCell ref="CY2:DA2"/>
    <mergeCell ref="DB2:DD2"/>
    <mergeCell ref="DE2:DG2"/>
    <mergeCell ref="DH2:DJ2"/>
    <mergeCell ref="CS3:CU3"/>
    <mergeCell ref="CV3:CX3"/>
    <mergeCell ref="CY3:DA3"/>
    <mergeCell ref="EC2:EE2"/>
    <mergeCell ref="BI45:BM45"/>
    <mergeCell ref="AG46:AK46"/>
    <mergeCell ref="AL46:AM46"/>
    <mergeCell ref="AO46:AP46"/>
    <mergeCell ref="AQ46:AU46"/>
    <mergeCell ref="AX46:AY46"/>
    <mergeCell ref="AZ46:BD46"/>
    <mergeCell ref="DK2:DM2"/>
    <mergeCell ref="DN2:DP2"/>
    <mergeCell ref="BP34:BP36"/>
    <mergeCell ref="BQ34:BQ36"/>
    <mergeCell ref="BZ34:BZ36"/>
    <mergeCell ref="BT34:BT36"/>
    <mergeCell ref="BU34:BU36"/>
    <mergeCell ref="BV34:BV36"/>
    <mergeCell ref="BW34:BW36"/>
    <mergeCell ref="BX34:BX36"/>
    <mergeCell ref="BS34:BS36"/>
    <mergeCell ref="BR34:BR36"/>
    <mergeCell ref="BY34:BY36"/>
    <mergeCell ref="BJ19:BK19"/>
    <mergeCell ref="BG18:BH18"/>
    <mergeCell ref="BG19:BH19"/>
    <mergeCell ref="EF2:EH2"/>
    <mergeCell ref="DZ3:EB3"/>
    <mergeCell ref="EC3:EE3"/>
    <mergeCell ref="EF3:EH3"/>
    <mergeCell ref="DZ4:EB4"/>
    <mergeCell ref="EC4:EE4"/>
    <mergeCell ref="EF4:EH4"/>
    <mergeCell ref="CB4:CC4"/>
    <mergeCell ref="CD2:CF2"/>
    <mergeCell ref="CG2:CI2"/>
    <mergeCell ref="CM3:CO3"/>
    <mergeCell ref="CJ4:CL4"/>
    <mergeCell ref="CM4:CO4"/>
    <mergeCell ref="CD4:CF4"/>
    <mergeCell ref="CD3:CF3"/>
    <mergeCell ref="CJ3:CL3"/>
    <mergeCell ref="DQ2:DS2"/>
    <mergeCell ref="DK3:DM3"/>
    <mergeCell ref="DN3:DP3"/>
    <mergeCell ref="DT2:DV2"/>
    <mergeCell ref="DW2:DY2"/>
    <mergeCell ref="DT3:DV3"/>
    <mergeCell ref="DW3:DY3"/>
    <mergeCell ref="DZ2:EB2"/>
    <mergeCell ref="BX47:BX49"/>
    <mergeCell ref="BY47:BY49"/>
    <mergeCell ref="BT43:BT45"/>
    <mergeCell ref="BX43:BX45"/>
    <mergeCell ref="BV47:BV49"/>
    <mergeCell ref="BV43:BV45"/>
    <mergeCell ref="BU47:BU49"/>
    <mergeCell ref="BT47:BT49"/>
    <mergeCell ref="BQ47:BQ49"/>
    <mergeCell ref="BQ41:BY41"/>
    <mergeCell ref="CB3:CC3"/>
    <mergeCell ref="AY69:AZ69"/>
    <mergeCell ref="BB68:BM68"/>
    <mergeCell ref="BP64:BZ64"/>
    <mergeCell ref="BZ74:CA75"/>
    <mergeCell ref="BP74:BQ75"/>
    <mergeCell ref="BR74:BS75"/>
    <mergeCell ref="BT74:BU75"/>
    <mergeCell ref="BV74:BW75"/>
    <mergeCell ref="BX74:BY75"/>
    <mergeCell ref="AY70:AZ70"/>
    <mergeCell ref="AY72:AZ72"/>
    <mergeCell ref="AY68:AZ68"/>
    <mergeCell ref="AY67:AZ67"/>
    <mergeCell ref="AY73:AZ73"/>
    <mergeCell ref="BB70:BM70"/>
    <mergeCell ref="BB74:BM74"/>
    <mergeCell ref="BB73:BM73"/>
    <mergeCell ref="BB72:BM72"/>
    <mergeCell ref="BB71:BM71"/>
    <mergeCell ref="BB67:BM67"/>
    <mergeCell ref="AY74:AZ74"/>
    <mergeCell ref="AY71:AZ71"/>
    <mergeCell ref="R71:AC71"/>
    <mergeCell ref="AO56:AP56"/>
    <mergeCell ref="AQ56:AU56"/>
    <mergeCell ref="BB69:BM69"/>
    <mergeCell ref="BB66:BM66"/>
    <mergeCell ref="BE51:BG52"/>
    <mergeCell ref="BE54:BG54"/>
    <mergeCell ref="BD58:BH58"/>
    <mergeCell ref="BQ54:BY54"/>
    <mergeCell ref="BQ55:BQ57"/>
    <mergeCell ref="BR55:BR57"/>
    <mergeCell ref="BS55:BS57"/>
    <mergeCell ref="BT55:BT57"/>
    <mergeCell ref="BU55:BU57"/>
    <mergeCell ref="BV55:BV57"/>
    <mergeCell ref="BW55:BW57"/>
    <mergeCell ref="BX55:BX57"/>
    <mergeCell ref="BY55:BY57"/>
    <mergeCell ref="BD56:BE56"/>
    <mergeCell ref="BG56:BH56"/>
    <mergeCell ref="BI56:BM56"/>
    <mergeCell ref="BE57:BG57"/>
    <mergeCell ref="AQ57:AU57"/>
    <mergeCell ref="AO58:AP58"/>
    <mergeCell ref="Z19:AA19"/>
    <mergeCell ref="AA21:AC21"/>
    <mergeCell ref="AC46:AD46"/>
    <mergeCell ref="AF68:AG69"/>
    <mergeCell ref="AH74:AT74"/>
    <mergeCell ref="T56:U56"/>
    <mergeCell ref="U33:V33"/>
    <mergeCell ref="T19:U19"/>
    <mergeCell ref="U27:V27"/>
    <mergeCell ref="W27:Y27"/>
    <mergeCell ref="AF70:AG71"/>
    <mergeCell ref="AH69:AT69"/>
    <mergeCell ref="AR34:AT34"/>
    <mergeCell ref="AR32:AT32"/>
    <mergeCell ref="AR30:AT30"/>
    <mergeCell ref="AF33:AG34"/>
    <mergeCell ref="AH34:AQ34"/>
    <mergeCell ref="AF31:AG32"/>
    <mergeCell ref="AM22:AN22"/>
    <mergeCell ref="AJ20:AR20"/>
    <mergeCell ref="AL19:AM19"/>
    <mergeCell ref="AO19:AP19"/>
    <mergeCell ref="AI19:AJ19"/>
    <mergeCell ref="AR19:AS19"/>
    <mergeCell ref="AK2:AL2"/>
    <mergeCell ref="AP2:AQ2"/>
    <mergeCell ref="AK7:AL7"/>
    <mergeCell ref="AK11:AL11"/>
    <mergeCell ref="AP11:AQ11"/>
    <mergeCell ref="AP7:AQ7"/>
    <mergeCell ref="AK8:AL8"/>
    <mergeCell ref="AP8:AQ8"/>
    <mergeCell ref="AK9:AL9"/>
    <mergeCell ref="AP9:AQ9"/>
    <mergeCell ref="AK10:AL10"/>
    <mergeCell ref="AP10:AQ10"/>
    <mergeCell ref="AN8:AN9"/>
    <mergeCell ref="AN10:AN11"/>
    <mergeCell ref="AK3:AL3"/>
    <mergeCell ref="AP3:AQ3"/>
    <mergeCell ref="AP5:AQ5"/>
    <mergeCell ref="AK6:AL6"/>
    <mergeCell ref="AK4:AL4"/>
    <mergeCell ref="AK5:AL5"/>
    <mergeCell ref="G74:H75"/>
    <mergeCell ref="O66:P66"/>
    <mergeCell ref="J43:J45"/>
    <mergeCell ref="K43:K45"/>
    <mergeCell ref="O67:P67"/>
    <mergeCell ref="C74:D75"/>
    <mergeCell ref="E74:F75"/>
    <mergeCell ref="I43:I45"/>
    <mergeCell ref="G43:G45"/>
    <mergeCell ref="F43:F45"/>
    <mergeCell ref="H43:H45"/>
    <mergeCell ref="I74:J75"/>
    <mergeCell ref="K74:L75"/>
    <mergeCell ref="D43:D45"/>
    <mergeCell ref="E43:E45"/>
    <mergeCell ref="B64:L64"/>
    <mergeCell ref="O71:P71"/>
    <mergeCell ref="O73:P73"/>
    <mergeCell ref="A74:B75"/>
    <mergeCell ref="O74:P74"/>
    <mergeCell ref="K47:K49"/>
    <mergeCell ref="O72:P72"/>
    <mergeCell ref="O70:P70"/>
    <mergeCell ref="O68:P68"/>
    <mergeCell ref="W56:X56"/>
    <mergeCell ref="O45:S45"/>
    <mergeCell ref="T45:U45"/>
    <mergeCell ref="B34:B36"/>
    <mergeCell ref="C34:C36"/>
    <mergeCell ref="K34:K36"/>
    <mergeCell ref="R33:S33"/>
    <mergeCell ref="R68:AC68"/>
    <mergeCell ref="W35:Y35"/>
    <mergeCell ref="R66:AC66"/>
    <mergeCell ref="U34:V34"/>
    <mergeCell ref="D34:D36"/>
    <mergeCell ref="G34:G36"/>
    <mergeCell ref="L34:L36"/>
    <mergeCell ref="H34:H36"/>
    <mergeCell ref="I34:I36"/>
    <mergeCell ref="J34:J36"/>
    <mergeCell ref="E34:E36"/>
    <mergeCell ref="F34:F36"/>
    <mergeCell ref="O34:P34"/>
    <mergeCell ref="O33:P33"/>
    <mergeCell ref="R34:S34"/>
    <mergeCell ref="F47:F49"/>
    <mergeCell ref="C46:K46"/>
    <mergeCell ref="X45:AB45"/>
    <mergeCell ref="AC45:AD45"/>
    <mergeCell ref="AG45:AK45"/>
    <mergeCell ref="AL45:AM45"/>
    <mergeCell ref="AO45:AP45"/>
    <mergeCell ref="R70:AC70"/>
    <mergeCell ref="R73:AC73"/>
    <mergeCell ref="R72:AC72"/>
    <mergeCell ref="R35:S35"/>
    <mergeCell ref="U35:V35"/>
    <mergeCell ref="U57:W57"/>
    <mergeCell ref="T58:X58"/>
    <mergeCell ref="O53:AC53"/>
    <mergeCell ref="N63:AD64"/>
    <mergeCell ref="R67:AC67"/>
    <mergeCell ref="U51:W52"/>
    <mergeCell ref="U54:W54"/>
    <mergeCell ref="O55:S55"/>
    <mergeCell ref="T55:U55"/>
    <mergeCell ref="W55:X55"/>
    <mergeCell ref="Y55:AC55"/>
    <mergeCell ref="O56:S56"/>
    <mergeCell ref="O69:P69"/>
    <mergeCell ref="R69:AC69"/>
    <mergeCell ref="AH33:AQ33"/>
    <mergeCell ref="AH36:AQ36"/>
    <mergeCell ref="AH35:AQ35"/>
    <mergeCell ref="G47:G49"/>
    <mergeCell ref="H47:H49"/>
    <mergeCell ref="I47:I49"/>
    <mergeCell ref="J47:J49"/>
    <mergeCell ref="R30:S30"/>
    <mergeCell ref="X47:AB47"/>
    <mergeCell ref="AC47:AD47"/>
    <mergeCell ref="X48:AB48"/>
    <mergeCell ref="AC48:AD48"/>
    <mergeCell ref="AG48:AK48"/>
    <mergeCell ref="AL48:AM48"/>
    <mergeCell ref="AO48:AP48"/>
    <mergeCell ref="AQ48:AU48"/>
    <mergeCell ref="O30:P30"/>
    <mergeCell ref="W30:Y30"/>
    <mergeCell ref="O35:P35"/>
    <mergeCell ref="C42:K42"/>
    <mergeCell ref="C43:C45"/>
    <mergeCell ref="D47:D49"/>
    <mergeCell ref="X46:AB46"/>
    <mergeCell ref="E47:E49"/>
    <mergeCell ref="W33:Y33"/>
    <mergeCell ref="C47:C49"/>
    <mergeCell ref="AC19:AD19"/>
    <mergeCell ref="AD21:AE21"/>
    <mergeCell ref="N24:AD25"/>
    <mergeCell ref="O27:P27"/>
    <mergeCell ref="R27:S27"/>
    <mergeCell ref="Q19:R19"/>
    <mergeCell ref="O32:P32"/>
    <mergeCell ref="R32:S32"/>
    <mergeCell ref="O31:P31"/>
    <mergeCell ref="R31:S31"/>
    <mergeCell ref="R29:S29"/>
    <mergeCell ref="R28:S28"/>
    <mergeCell ref="U29:V29"/>
    <mergeCell ref="U30:V30"/>
    <mergeCell ref="W32:Y32"/>
    <mergeCell ref="U31:V31"/>
    <mergeCell ref="U32:V32"/>
    <mergeCell ref="W19:X19"/>
    <mergeCell ref="W31:Y31"/>
    <mergeCell ref="U28:V28"/>
    <mergeCell ref="W28:Y28"/>
    <mergeCell ref="W29:Y29"/>
    <mergeCell ref="T16:U17"/>
    <mergeCell ref="Q16:R17"/>
    <mergeCell ref="Z16:AA17"/>
    <mergeCell ref="AF16:AG17"/>
    <mergeCell ref="AI16:AJ17"/>
    <mergeCell ref="AU16:AV17"/>
    <mergeCell ref="AX16:AY17"/>
    <mergeCell ref="AR16:AS17"/>
    <mergeCell ref="Z18:AA18"/>
    <mergeCell ref="AC18:AD18"/>
    <mergeCell ref="AF18:AG18"/>
    <mergeCell ref="AI18:AJ18"/>
    <mergeCell ref="AC16:AD17"/>
    <mergeCell ref="W16:X17"/>
    <mergeCell ref="Q18:R18"/>
    <mergeCell ref="T18:U18"/>
    <mergeCell ref="W18:X18"/>
    <mergeCell ref="AR18:AS18"/>
    <mergeCell ref="AU18:AV18"/>
    <mergeCell ref="AX18:AY18"/>
    <mergeCell ref="AO18:AP18"/>
    <mergeCell ref="AO16:AP17"/>
    <mergeCell ref="AL16:AM17"/>
    <mergeCell ref="AL18:AM18"/>
    <mergeCell ref="EK3:EL3"/>
    <mergeCell ref="ER3:ES3"/>
    <mergeCell ref="EK4:EL4"/>
    <mergeCell ref="ER4:ES4"/>
    <mergeCell ref="DT4:DV4"/>
    <mergeCell ref="DW4:DY4"/>
    <mergeCell ref="CS4:CU4"/>
    <mergeCell ref="CV4:CX4"/>
    <mergeCell ref="CY4:DA4"/>
    <mergeCell ref="DB4:DD4"/>
    <mergeCell ref="DE4:DG4"/>
    <mergeCell ref="DH4:DJ4"/>
    <mergeCell ref="DQ3:DS3"/>
    <mergeCell ref="DK4:DM4"/>
    <mergeCell ref="DN4:DP4"/>
    <mergeCell ref="DQ4:DS4"/>
    <mergeCell ref="AK12:AL12"/>
    <mergeCell ref="AP12:AQ12"/>
    <mergeCell ref="AP6:AQ6"/>
    <mergeCell ref="AN3:AN4"/>
    <mergeCell ref="AN5:AN6"/>
    <mergeCell ref="BD16:BE17"/>
    <mergeCell ref="AP4:AQ4"/>
    <mergeCell ref="AM14:AO14"/>
    <mergeCell ref="AM15:AO15"/>
    <mergeCell ref="BA16:BB17"/>
    <mergeCell ref="EK5:EL5"/>
    <mergeCell ref="ER5:ES5"/>
    <mergeCell ref="EK6:EL6"/>
    <mergeCell ref="ER6:ES6"/>
    <mergeCell ref="BJ18:BK18"/>
    <mergeCell ref="BJ16:BK17"/>
    <mergeCell ref="EQ12:EQ16"/>
    <mergeCell ref="EN12:EN17"/>
    <mergeCell ref="EP12:EP17"/>
    <mergeCell ref="EO12:EO17"/>
    <mergeCell ref="EK7:EL7"/>
    <mergeCell ref="ER7:ES7"/>
    <mergeCell ref="EK8:EL8"/>
    <mergeCell ref="ER8:ES8"/>
    <mergeCell ref="EK9:EL9"/>
    <mergeCell ref="EM12:EM16"/>
    <mergeCell ref="ER9:ES9"/>
    <mergeCell ref="EK10:EL10"/>
    <mergeCell ref="ER10:ES10"/>
    <mergeCell ref="EK11:EL11"/>
    <mergeCell ref="ER11:ES11"/>
    <mergeCell ref="BM16:BN17"/>
    <mergeCell ref="BD19:BE19"/>
    <mergeCell ref="AX19:AY19"/>
    <mergeCell ref="BA19:BB19"/>
    <mergeCell ref="AX21:AY21"/>
    <mergeCell ref="AH29:AQ29"/>
    <mergeCell ref="AF29:AG30"/>
    <mergeCell ref="AV33:AV34"/>
    <mergeCell ref="AU33:AU34"/>
    <mergeCell ref="AV31:AV32"/>
    <mergeCell ref="AU31:AU32"/>
    <mergeCell ref="AV29:AV30"/>
    <mergeCell ref="AU29:AU30"/>
    <mergeCell ref="AY34:AZ34"/>
    <mergeCell ref="BB33:BC33"/>
    <mergeCell ref="AY29:AZ29"/>
    <mergeCell ref="BB32:BC32"/>
    <mergeCell ref="AH31:AQ31"/>
    <mergeCell ref="AH32:AQ32"/>
    <mergeCell ref="AF26:AV26"/>
    <mergeCell ref="AF19:AG19"/>
    <mergeCell ref="BB29:BC29"/>
    <mergeCell ref="BB28:BC28"/>
    <mergeCell ref="AF21:AG21"/>
    <mergeCell ref="AU19:AV19"/>
    <mergeCell ref="AJ21:AL21"/>
    <mergeCell ref="AV21:AW21"/>
    <mergeCell ref="AS21:AU21"/>
    <mergeCell ref="AO21:AP21"/>
    <mergeCell ref="AJ22:AL22"/>
    <mergeCell ref="AO22:AP22"/>
    <mergeCell ref="AM21:AN21"/>
    <mergeCell ref="C41:K41"/>
    <mergeCell ref="DP21:DR21"/>
    <mergeCell ref="BG29:BI29"/>
    <mergeCell ref="AY27:AZ27"/>
    <mergeCell ref="BB30:BC30"/>
    <mergeCell ref="BE29:BF29"/>
    <mergeCell ref="BG30:BI30"/>
    <mergeCell ref="AY30:AZ30"/>
    <mergeCell ref="AF24:AV25"/>
    <mergeCell ref="AU27:AU28"/>
    <mergeCell ref="AV27:AV28"/>
    <mergeCell ref="AH27:AQ27"/>
    <mergeCell ref="AR28:AT28"/>
    <mergeCell ref="AH28:AQ28"/>
    <mergeCell ref="AF27:AG28"/>
    <mergeCell ref="AH30:AQ30"/>
    <mergeCell ref="AY28:AZ28"/>
    <mergeCell ref="AX24:BN25"/>
    <mergeCell ref="BB27:BC27"/>
    <mergeCell ref="BG27:BI27"/>
    <mergeCell ref="BE27:BF27"/>
    <mergeCell ref="BG28:BI28"/>
    <mergeCell ref="BE30:BF30"/>
    <mergeCell ref="BE28:BF28"/>
    <mergeCell ref="O77:P77"/>
    <mergeCell ref="R77:AC77"/>
    <mergeCell ref="AF77:AG78"/>
    <mergeCell ref="AH77:AT77"/>
    <mergeCell ref="AU77:AV78"/>
    <mergeCell ref="AY77:AZ77"/>
    <mergeCell ref="BB77:BM77"/>
    <mergeCell ref="O78:P78"/>
    <mergeCell ref="R78:AC78"/>
    <mergeCell ref="AH78:AT78"/>
    <mergeCell ref="AY78:AZ78"/>
    <mergeCell ref="BB78:BM78"/>
    <mergeCell ref="AG57:AK57"/>
    <mergeCell ref="AL57:AM57"/>
    <mergeCell ref="W34:Y34"/>
    <mergeCell ref="O28:P28"/>
    <mergeCell ref="O29:P29"/>
    <mergeCell ref="O79:P79"/>
    <mergeCell ref="R79:AC79"/>
    <mergeCell ref="AF79:AG80"/>
    <mergeCell ref="AH79:AT79"/>
    <mergeCell ref="AU79:AV80"/>
    <mergeCell ref="AY79:AZ79"/>
    <mergeCell ref="BB79:BM79"/>
    <mergeCell ref="O80:P80"/>
    <mergeCell ref="R80:AC80"/>
    <mergeCell ref="AH80:AT80"/>
    <mergeCell ref="AY80:AZ80"/>
    <mergeCell ref="BB80:BM80"/>
    <mergeCell ref="O81:P81"/>
    <mergeCell ref="R81:AC81"/>
    <mergeCell ref="AF81:AG82"/>
    <mergeCell ref="AH81:AT81"/>
    <mergeCell ref="AU81:AV82"/>
    <mergeCell ref="AY81:AZ81"/>
    <mergeCell ref="BB81:BM81"/>
    <mergeCell ref="O82:P82"/>
    <mergeCell ref="R82:AC82"/>
    <mergeCell ref="AH82:AT82"/>
    <mergeCell ref="AY82:AZ82"/>
    <mergeCell ref="BB82:BM82"/>
    <mergeCell ref="O83:P83"/>
    <mergeCell ref="R83:AC83"/>
    <mergeCell ref="AF83:AG84"/>
    <mergeCell ref="AH83:AT83"/>
    <mergeCell ref="AU83:AV84"/>
    <mergeCell ref="AY83:AZ83"/>
    <mergeCell ref="BB83:BM83"/>
    <mergeCell ref="O84:P84"/>
    <mergeCell ref="R84:AC84"/>
    <mergeCell ref="AH84:AT84"/>
    <mergeCell ref="AY84:AZ84"/>
    <mergeCell ref="BB84:BM84"/>
    <mergeCell ref="O90:P90"/>
    <mergeCell ref="R90:AC90"/>
    <mergeCell ref="AF90:AG91"/>
    <mergeCell ref="AH90:AT90"/>
    <mergeCell ref="AU90:AV91"/>
    <mergeCell ref="AY90:AZ90"/>
    <mergeCell ref="BB90:BM90"/>
    <mergeCell ref="O91:P91"/>
    <mergeCell ref="R91:AC91"/>
    <mergeCell ref="AH91:AT91"/>
    <mergeCell ref="AY91:AZ91"/>
    <mergeCell ref="BB91:BM91"/>
    <mergeCell ref="AH92:AT92"/>
    <mergeCell ref="AU92:AV93"/>
    <mergeCell ref="AY92:AZ92"/>
    <mergeCell ref="BB92:BM92"/>
    <mergeCell ref="O93:P93"/>
    <mergeCell ref="R93:AC93"/>
    <mergeCell ref="AH93:AT93"/>
    <mergeCell ref="AY93:AZ93"/>
    <mergeCell ref="BB93:BM93"/>
    <mergeCell ref="AH86:AT86"/>
    <mergeCell ref="O96:P96"/>
    <mergeCell ref="R96:AC96"/>
    <mergeCell ref="AF96:AG97"/>
    <mergeCell ref="AH96:AT96"/>
    <mergeCell ref="AU96:AV97"/>
    <mergeCell ref="AY96:AZ96"/>
    <mergeCell ref="BB96:BM96"/>
    <mergeCell ref="AH97:AT97"/>
    <mergeCell ref="O94:P94"/>
    <mergeCell ref="R94:AC94"/>
    <mergeCell ref="AF94:AG95"/>
    <mergeCell ref="AH94:AT94"/>
    <mergeCell ref="AU94:AV95"/>
    <mergeCell ref="AY94:AZ94"/>
    <mergeCell ref="BB94:BM94"/>
    <mergeCell ref="O95:P95"/>
    <mergeCell ref="R95:AC95"/>
    <mergeCell ref="AH95:AT95"/>
    <mergeCell ref="AY95:AZ95"/>
    <mergeCell ref="BB95:BM95"/>
    <mergeCell ref="O92:P92"/>
    <mergeCell ref="R92:AC92"/>
    <mergeCell ref="AF92:AG93"/>
    <mergeCell ref="N16:O17"/>
    <mergeCell ref="B2:E2"/>
    <mergeCell ref="F2:G2"/>
    <mergeCell ref="BW2:BZ2"/>
    <mergeCell ref="BU2:BV2"/>
    <mergeCell ref="O88:P88"/>
    <mergeCell ref="R88:AC88"/>
    <mergeCell ref="AF88:AG89"/>
    <mergeCell ref="AH88:AT88"/>
    <mergeCell ref="AU88:AV89"/>
    <mergeCell ref="AY88:AZ88"/>
    <mergeCell ref="BB88:BM88"/>
    <mergeCell ref="O89:P89"/>
    <mergeCell ref="R89:AC89"/>
    <mergeCell ref="AH89:AT89"/>
    <mergeCell ref="AY89:AZ89"/>
    <mergeCell ref="BB89:BM89"/>
    <mergeCell ref="O85:P85"/>
    <mergeCell ref="R85:AC85"/>
    <mergeCell ref="AF85:AG86"/>
    <mergeCell ref="AH85:AT85"/>
    <mergeCell ref="AU85:AV86"/>
    <mergeCell ref="AY85:AZ85"/>
    <mergeCell ref="BB85:BM85"/>
  </mergeCells>
  <phoneticPr fontId="39" type="noConversion"/>
  <conditionalFormatting sqref="C3">
    <cfRule type="cellIs" dxfId="3251" priority="1154" operator="greaterThanOrEqual">
      <formula>1860</formula>
    </cfRule>
  </conditionalFormatting>
  <conditionalFormatting sqref="H3">
    <cfRule type="cellIs" dxfId="3250" priority="1153" operator="greaterThanOrEqual">
      <formula>1860</formula>
    </cfRule>
  </conditionalFormatting>
  <conditionalFormatting sqref="D3">
    <cfRule type="cellIs" dxfId="3249" priority="1152" operator="greaterThanOrEqual">
      <formula>1860</formula>
    </cfRule>
  </conditionalFormatting>
  <conditionalFormatting sqref="E3">
    <cfRule type="cellIs" dxfId="3248" priority="1150" operator="greaterThanOrEqual">
      <formula>1860</formula>
    </cfRule>
    <cfRule type="cellIs" dxfId="3247" priority="1151" operator="greaterThanOrEqual">
      <formula>1860</formula>
    </cfRule>
  </conditionalFormatting>
  <conditionalFormatting sqref="F3">
    <cfRule type="cellIs" dxfId="3246" priority="1149" operator="greaterThanOrEqual">
      <formula>1860</formula>
    </cfRule>
  </conditionalFormatting>
  <conditionalFormatting sqref="G3">
    <cfRule type="cellIs" dxfId="3245" priority="1148" operator="greaterThanOrEqual">
      <formula>1860</formula>
    </cfRule>
  </conditionalFormatting>
  <conditionalFormatting sqref="I3">
    <cfRule type="cellIs" dxfId="3244" priority="1147" operator="greaterThanOrEqual">
      <formula>1860</formula>
    </cfRule>
  </conditionalFormatting>
  <conditionalFormatting sqref="J3">
    <cfRule type="cellIs" dxfId="3243" priority="1146" operator="greaterThanOrEqual">
      <formula>1860</formula>
    </cfRule>
  </conditionalFormatting>
  <conditionalFormatting sqref="K3">
    <cfRule type="cellIs" dxfId="3242" priority="1145" operator="greaterThanOrEqual">
      <formula>1860</formula>
    </cfRule>
  </conditionalFormatting>
  <conditionalFormatting sqref="BQ3">
    <cfRule type="cellIs" dxfId="3241" priority="1143" operator="greaterThanOrEqual">
      <formula>1860</formula>
    </cfRule>
  </conditionalFormatting>
  <conditionalFormatting sqref="BR3">
    <cfRule type="cellIs" dxfId="3240" priority="1142" operator="greaterThanOrEqual">
      <formula>1860</formula>
    </cfRule>
  </conditionalFormatting>
  <conditionalFormatting sqref="BS3">
    <cfRule type="cellIs" dxfId="3239" priority="1141" operator="greaterThanOrEqual">
      <formula>1860</formula>
    </cfRule>
  </conditionalFormatting>
  <conditionalFormatting sqref="BT3">
    <cfRule type="cellIs" dxfId="3238" priority="1140" operator="greaterThanOrEqual">
      <formula>1860</formula>
    </cfRule>
  </conditionalFormatting>
  <conditionalFormatting sqref="BU3">
    <cfRule type="cellIs" dxfId="3237" priority="1139" operator="greaterThanOrEqual">
      <formula>1860</formula>
    </cfRule>
  </conditionalFormatting>
  <conditionalFormatting sqref="BV3">
    <cfRule type="cellIs" dxfId="3236" priority="1138" operator="greaterThanOrEqual">
      <formula>1860</formula>
    </cfRule>
  </conditionalFormatting>
  <conditionalFormatting sqref="BW3">
    <cfRule type="cellIs" dxfId="3235" priority="1137" operator="greaterThanOrEqual">
      <formula>1860</formula>
    </cfRule>
  </conditionalFormatting>
  <conditionalFormatting sqref="BX3">
    <cfRule type="cellIs" dxfId="3234" priority="1136" operator="greaterThanOrEqual">
      <formula>1860</formula>
    </cfRule>
  </conditionalFormatting>
  <conditionalFormatting sqref="BY3">
    <cfRule type="cellIs" dxfId="3233" priority="1135" operator="greaterThanOrEqual">
      <formula>1860</formula>
    </cfRule>
  </conditionalFormatting>
  <conditionalFormatting sqref="CM52:CM56 CJ51:CJ56">
    <cfRule type="expression" dxfId="3232" priority="1093">
      <formula>CU51=1</formula>
    </cfRule>
  </conditionalFormatting>
  <conditionalFormatting sqref="AM3:AM11">
    <cfRule type="expression" dxfId="3231" priority="1091">
      <formula>AD27=1</formula>
    </cfRule>
  </conditionalFormatting>
  <conditionalFormatting sqref="AO3:AO11">
    <cfRule type="expression" dxfId="3230" priority="1087">
      <formula>BN27=1</formula>
    </cfRule>
  </conditionalFormatting>
  <conditionalFormatting sqref="CK52:CL55 CK51">
    <cfRule type="expression" dxfId="3229" priority="2782">
      <formula>#REF!=1</formula>
    </cfRule>
  </conditionalFormatting>
  <conditionalFormatting sqref="CK56:CL56">
    <cfRule type="expression" dxfId="3228" priority="1007">
      <formula>#REF!=1</formula>
    </cfRule>
  </conditionalFormatting>
  <conditionalFormatting sqref="CW51">
    <cfRule type="expression" dxfId="3227" priority="1004">
      <formula>#REF!=1</formula>
    </cfRule>
  </conditionalFormatting>
  <conditionalFormatting sqref="CL50:CL51">
    <cfRule type="expression" dxfId="3226" priority="978">
      <formula>CW50=1</formula>
    </cfRule>
  </conditionalFormatting>
  <conditionalFormatting sqref="CP52:CP55">
    <cfRule type="expression" dxfId="3225" priority="954">
      <formula>#REF!=1</formula>
    </cfRule>
  </conditionalFormatting>
  <conditionalFormatting sqref="CP56">
    <cfRule type="expression" dxfId="3224" priority="953">
      <formula>#REF!=1</formula>
    </cfRule>
  </conditionalFormatting>
  <conditionalFormatting sqref="O27:P27">
    <cfRule type="expression" dxfId="3223" priority="534">
      <formula>ISBLANK(W27)</formula>
    </cfRule>
  </conditionalFormatting>
  <conditionalFormatting sqref="T27:T35">
    <cfRule type="expression" dxfId="3222" priority="923">
      <formula>U27=0</formula>
    </cfRule>
  </conditionalFormatting>
  <conditionalFormatting sqref="R27:S27">
    <cfRule type="expression" dxfId="3221" priority="922">
      <formula>U27=0</formula>
    </cfRule>
  </conditionalFormatting>
  <conditionalFormatting sqref="CV52:CV56">
    <cfRule type="expression" dxfId="3220" priority="6923">
      <formula>#REF!=1</formula>
    </cfRule>
  </conditionalFormatting>
  <conditionalFormatting sqref="CN52:CO56">
    <cfRule type="expression" dxfId="3219" priority="6926">
      <formula>#REF!=1</formula>
    </cfRule>
  </conditionalFormatting>
  <conditionalFormatting sqref="O66:P66">
    <cfRule type="expression" dxfId="3218" priority="810">
      <formula>ISBLANK(R66)</formula>
    </cfRule>
  </conditionalFormatting>
  <conditionalFormatting sqref="O67:P74">
    <cfRule type="expression" dxfId="3217" priority="809">
      <formula>ISBLANK(R67)</formula>
    </cfRule>
  </conditionalFormatting>
  <conditionalFormatting sqref="AY66:AZ74">
    <cfRule type="expression" dxfId="3216" priority="808">
      <formula>ISBLANK(BB66)</formula>
    </cfRule>
  </conditionalFormatting>
  <conditionalFormatting sqref="AH70:AT70">
    <cfRule type="expression" dxfId="3215" priority="693">
      <formula>AH70="Challenge"</formula>
    </cfRule>
  </conditionalFormatting>
  <conditionalFormatting sqref="AH71:AT71">
    <cfRule type="expression" dxfId="3214" priority="692">
      <formula>AH70="Challenge"</formula>
    </cfRule>
  </conditionalFormatting>
  <conditionalFormatting sqref="AH66:AT66">
    <cfRule type="expression" dxfId="3213" priority="631">
      <formula>AH66="Challenge"</formula>
    </cfRule>
  </conditionalFormatting>
  <conditionalFormatting sqref="AH67:AT67">
    <cfRule type="expression" dxfId="3212" priority="630">
      <formula>AH66="Challenge"</formula>
    </cfRule>
  </conditionalFormatting>
  <conditionalFormatting sqref="AH68:AT68">
    <cfRule type="expression" dxfId="3211" priority="629">
      <formula>AH68="Challenge"</formula>
    </cfRule>
  </conditionalFormatting>
  <conditionalFormatting sqref="AH69:AT69">
    <cfRule type="expression" dxfId="3210" priority="628">
      <formula>AH68="Challenge"</formula>
    </cfRule>
  </conditionalFormatting>
  <conditionalFormatting sqref="AH72:AT72">
    <cfRule type="expression" dxfId="3209" priority="627">
      <formula>AH72="Challenge"</formula>
    </cfRule>
  </conditionalFormatting>
  <conditionalFormatting sqref="AH73:AT73">
    <cfRule type="expression" dxfId="3208" priority="626">
      <formula>AH72="Challenge"</formula>
    </cfRule>
  </conditionalFormatting>
  <conditionalFormatting sqref="AH74:AT74">
    <cfRule type="expression" dxfId="3207" priority="625">
      <formula>AH74="Challenge"</formula>
    </cfRule>
  </conditionalFormatting>
  <conditionalFormatting sqref="AH75:AT75">
    <cfRule type="expression" dxfId="3206" priority="624">
      <formula>AH74="Challenge"</formula>
    </cfRule>
  </conditionalFormatting>
  <conditionalFormatting sqref="Q27:Q35">
    <cfRule type="expression" dxfId="3205" priority="493">
      <formula>ISBLANK(W27)</formula>
    </cfRule>
  </conditionalFormatting>
  <conditionalFormatting sqref="Q27:Q35">
    <cfRule type="expression" dxfId="3204" priority="621">
      <formula>AND(U27&gt;0,R27&gt;=((U27/3)*2))</formula>
    </cfRule>
  </conditionalFormatting>
  <conditionalFormatting sqref="CW54">
    <cfRule type="expression" dxfId="3203" priority="7682">
      <formula>#REF!=1</formula>
    </cfRule>
  </conditionalFormatting>
  <conditionalFormatting sqref="CS54:CU54 CQ54">
    <cfRule type="expression" dxfId="3202" priority="7683">
      <formula>#REF!=1</formula>
    </cfRule>
  </conditionalFormatting>
  <conditionalFormatting sqref="CW55">
    <cfRule type="expression" dxfId="3201" priority="7684">
      <formula>#REF!=1</formula>
    </cfRule>
  </conditionalFormatting>
  <conditionalFormatting sqref="CQ55">
    <cfRule type="expression" dxfId="3200" priority="7685">
      <formula>#REF!=1</formula>
    </cfRule>
  </conditionalFormatting>
  <conditionalFormatting sqref="CW56">
    <cfRule type="expression" dxfId="3199" priority="7686">
      <formula>#REF!=1</formula>
    </cfRule>
  </conditionalFormatting>
  <conditionalFormatting sqref="CQ56">
    <cfRule type="expression" dxfId="3198" priority="7687">
      <formula>#REF!=1</formula>
    </cfRule>
  </conditionalFormatting>
  <conditionalFormatting sqref="CW52">
    <cfRule type="expression" dxfId="3197" priority="7688">
      <formula>#REF!=1</formula>
    </cfRule>
  </conditionalFormatting>
  <conditionalFormatting sqref="CQ52">
    <cfRule type="expression" dxfId="3196" priority="7689">
      <formula>#REF!=1</formula>
    </cfRule>
  </conditionalFormatting>
  <conditionalFormatting sqref="CW53">
    <cfRule type="expression" dxfId="3195" priority="7690">
      <formula>#REF!=1</formula>
    </cfRule>
  </conditionalFormatting>
  <conditionalFormatting sqref="CQ53">
    <cfRule type="expression" dxfId="3194" priority="7691">
      <formula>#REF!=1</formula>
    </cfRule>
  </conditionalFormatting>
  <conditionalFormatting sqref="CX51">
    <cfRule type="expression" dxfId="3193" priority="9913">
      <formula>#REF!=1</formula>
    </cfRule>
  </conditionalFormatting>
  <conditionalFormatting sqref="CX52">
    <cfRule type="expression" dxfId="3192" priority="9914">
      <formula>#REF!=1</formula>
    </cfRule>
  </conditionalFormatting>
  <conditionalFormatting sqref="CX53">
    <cfRule type="expression" dxfId="3191" priority="9915">
      <formula>#REF!=1</formula>
    </cfRule>
  </conditionalFormatting>
  <conditionalFormatting sqref="CX54">
    <cfRule type="expression" dxfId="3190" priority="9916">
      <formula>#REF!=1</formula>
    </cfRule>
  </conditionalFormatting>
  <conditionalFormatting sqref="CS55:CU55">
    <cfRule type="expression" dxfId="3189" priority="9917">
      <formula>#REF!=1</formula>
    </cfRule>
  </conditionalFormatting>
  <conditionalFormatting sqref="CX55">
    <cfRule type="expression" dxfId="3188" priority="9918">
      <formula>#REF!=1</formula>
    </cfRule>
  </conditionalFormatting>
  <conditionalFormatting sqref="CS56:CU56">
    <cfRule type="expression" dxfId="3187" priority="9919">
      <formula>#REF!=1</formula>
    </cfRule>
  </conditionalFormatting>
  <conditionalFormatting sqref="CX56">
    <cfRule type="expression" dxfId="3186" priority="9920">
      <formula>#REF!=1</formula>
    </cfRule>
  </conditionalFormatting>
  <conditionalFormatting sqref="CS52:CU52">
    <cfRule type="expression" dxfId="3185" priority="9921">
      <formula>#REF!=1</formula>
    </cfRule>
  </conditionalFormatting>
  <conditionalFormatting sqref="CS53:CU53">
    <cfRule type="expression" dxfId="3184" priority="9922">
      <formula>#REF!=1</formula>
    </cfRule>
  </conditionalFormatting>
  <conditionalFormatting sqref="O28:P35">
    <cfRule type="expression" dxfId="3183" priority="483">
      <formula>ISBLANK(W28)</formula>
    </cfRule>
  </conditionalFormatting>
  <conditionalFormatting sqref="R28:S35">
    <cfRule type="expression" dxfId="3182" priority="487">
      <formula>U28=0</formula>
    </cfRule>
  </conditionalFormatting>
  <conditionalFormatting sqref="AY27:AZ27">
    <cfRule type="expression" dxfId="3181" priority="462">
      <formula>ISBLANK(BG27)</formula>
    </cfRule>
  </conditionalFormatting>
  <conditionalFormatting sqref="BD27:BD35">
    <cfRule type="expression" dxfId="3180" priority="476">
      <formula>BE27=0</formula>
    </cfRule>
  </conditionalFormatting>
  <conditionalFormatting sqref="BB27:BC27">
    <cfRule type="expression" dxfId="3179" priority="475">
      <formula>BE27=0</formula>
    </cfRule>
  </conditionalFormatting>
  <conditionalFormatting sqref="BA27:BA35">
    <cfRule type="expression" dxfId="3178" priority="461">
      <formula>ISBLANK(BG27)</formula>
    </cfRule>
  </conditionalFormatting>
  <conditionalFormatting sqref="BA27:BA35">
    <cfRule type="expression" dxfId="3177" priority="469">
      <formula>AND(BE27&gt;0,BB27&gt;=((BE27/3)*2))</formula>
    </cfRule>
  </conditionalFormatting>
  <conditionalFormatting sqref="AY28:AZ35">
    <cfRule type="expression" dxfId="3176" priority="451">
      <formula>ISBLANK(BG28)</formula>
    </cfRule>
  </conditionalFormatting>
  <conditionalFormatting sqref="BB28:BC35">
    <cfRule type="expression" dxfId="3175" priority="455">
      <formula>BE28=0</formula>
    </cfRule>
  </conditionalFormatting>
  <conditionalFormatting sqref="AY28:BM28">
    <cfRule type="expression" dxfId="3174" priority="286">
      <formula>$BN$28=1</formula>
    </cfRule>
  </conditionalFormatting>
  <conditionalFormatting sqref="O35:AC35">
    <cfRule type="expression" dxfId="3173" priority="285">
      <formula>$AD$35=1</formula>
    </cfRule>
  </conditionalFormatting>
  <conditionalFormatting sqref="O34:AC34">
    <cfRule type="expression" dxfId="3172" priority="284">
      <formula>$AD$34=1</formula>
    </cfRule>
  </conditionalFormatting>
  <conditionalFormatting sqref="AY27:BM27">
    <cfRule type="expression" dxfId="3171" priority="49">
      <formula>$BN$27=1</formula>
    </cfRule>
  </conditionalFormatting>
  <conditionalFormatting sqref="O33:AC33">
    <cfRule type="expression" dxfId="3170" priority="282">
      <formula>$AD$33=1</formula>
    </cfRule>
  </conditionalFormatting>
  <conditionalFormatting sqref="AY29:BM29">
    <cfRule type="expression" dxfId="3169" priority="281">
      <formula>$BN$29=1</formula>
    </cfRule>
  </conditionalFormatting>
  <conditionalFormatting sqref="AY30:BM30">
    <cfRule type="expression" dxfId="3168" priority="280">
      <formula>$BN$30=1</formula>
    </cfRule>
  </conditionalFormatting>
  <conditionalFormatting sqref="O32:AC32">
    <cfRule type="expression" dxfId="3167" priority="279">
      <formula>$AD$32=1</formula>
    </cfRule>
  </conditionalFormatting>
  <conditionalFormatting sqref="O31:AC31">
    <cfRule type="expression" dxfId="3166" priority="278">
      <formula>$AD$31=1</formula>
    </cfRule>
  </conditionalFormatting>
  <conditionalFormatting sqref="AY31:BM31">
    <cfRule type="expression" dxfId="3165" priority="277">
      <formula>$BN$31=1</formula>
    </cfRule>
  </conditionalFormatting>
  <conditionalFormatting sqref="AY32:BM32">
    <cfRule type="expression" dxfId="3164" priority="276">
      <formula>$BN$32=1</formula>
    </cfRule>
  </conditionalFormatting>
  <conditionalFormatting sqref="O30:AC30">
    <cfRule type="expression" dxfId="3163" priority="275">
      <formula>$AD$30=1</formula>
    </cfRule>
  </conditionalFormatting>
  <conditionalFormatting sqref="O29:AC29">
    <cfRule type="expression" dxfId="3162" priority="274">
      <formula>$AD$29=1</formula>
    </cfRule>
  </conditionalFormatting>
  <conditionalFormatting sqref="AY33:BM33">
    <cfRule type="expression" dxfId="3161" priority="273">
      <formula>$BN$33=1</formula>
    </cfRule>
  </conditionalFormatting>
  <conditionalFormatting sqref="AY34:BM34">
    <cfRule type="expression" dxfId="3160" priority="272">
      <formula>$BN$34=1</formula>
    </cfRule>
  </conditionalFormatting>
  <conditionalFormatting sqref="O28:AC28">
    <cfRule type="expression" dxfId="3159" priority="271">
      <formula>$AD$28=1</formula>
    </cfRule>
  </conditionalFormatting>
  <conditionalFormatting sqref="O27:AC27">
    <cfRule type="expression" dxfId="3158" priority="48">
      <formula>$AD$27=1</formula>
    </cfRule>
  </conditionalFormatting>
  <conditionalFormatting sqref="AY35:BM35">
    <cfRule type="expression" dxfId="3157" priority="269">
      <formula>$BN$35=1</formula>
    </cfRule>
  </conditionalFormatting>
  <conditionalFormatting sqref="AN3:AN4">
    <cfRule type="expression" dxfId="3156" priority="23331">
      <formula>AW27=1</formula>
    </cfRule>
  </conditionalFormatting>
  <conditionalFormatting sqref="AN5:AN6">
    <cfRule type="expression" dxfId="3155" priority="23332">
      <formula>$AW$29=1</formula>
    </cfRule>
  </conditionalFormatting>
  <conditionalFormatting sqref="AN7">
    <cfRule type="expression" dxfId="3154" priority="23333">
      <formula>$AW$31=1</formula>
    </cfRule>
  </conditionalFormatting>
  <conditionalFormatting sqref="AN8:AN9">
    <cfRule type="expression" dxfId="3153" priority="23334">
      <formula>$AW$33=1</formula>
    </cfRule>
  </conditionalFormatting>
  <conditionalFormatting sqref="AN10:AN11">
    <cfRule type="expression" dxfId="3152" priority="23335">
      <formula>$AW$35=1</formula>
    </cfRule>
  </conditionalFormatting>
  <conditionalFormatting sqref="AF27:AG28">
    <cfRule type="expression" dxfId="3151" priority="172">
      <formula>AND(AH27="",AH28="")</formula>
    </cfRule>
    <cfRule type="expression" dxfId="3150" priority="253">
      <formula>AW27=1</formula>
    </cfRule>
    <cfRule type="expression" dxfId="3149" priority="268">
      <formula>AW28=1</formula>
    </cfRule>
  </conditionalFormatting>
  <conditionalFormatting sqref="AL27:AM27 AL29:AN29 AL31:AN31 AL33:AN33 AL35:AN35">
    <cfRule type="expression" dxfId="3148" priority="252">
      <formula>BA27=1</formula>
    </cfRule>
    <cfRule type="expression" dxfId="3147" priority="267">
      <formula>DQ27=1</formula>
    </cfRule>
  </conditionalFormatting>
  <conditionalFormatting sqref="AL28:AM28 AL30:AN30 AL32:AN32 AL34:AN34 AL36:AN36">
    <cfRule type="expression" dxfId="3146" priority="251">
      <formula>BA27=1</formula>
    </cfRule>
    <cfRule type="expression" dxfId="3145" priority="266">
      <formula>DQ27=1</formula>
    </cfRule>
  </conditionalFormatting>
  <conditionalFormatting sqref="AF29:AG30">
    <cfRule type="expression" dxfId="3144" priority="169">
      <formula>AND(AH29="",AH30="")</formula>
    </cfRule>
    <cfRule type="expression" dxfId="3143" priority="170">
      <formula>AW29=1</formula>
    </cfRule>
    <cfRule type="expression" dxfId="3142" priority="171">
      <formula>AW30=1</formula>
    </cfRule>
  </conditionalFormatting>
  <conditionalFormatting sqref="AF31:AG32">
    <cfRule type="expression" dxfId="3141" priority="166">
      <formula>AND(AH31="",AH32="")</formula>
    </cfRule>
    <cfRule type="expression" dxfId="3140" priority="167">
      <formula>AW31=1</formula>
    </cfRule>
    <cfRule type="expression" dxfId="3139" priority="168">
      <formula>AW32=1</formula>
    </cfRule>
  </conditionalFormatting>
  <conditionalFormatting sqref="AF33:AG34">
    <cfRule type="expression" dxfId="3138" priority="163">
      <formula>AND(AH33="",AH34="")</formula>
    </cfRule>
    <cfRule type="expression" dxfId="3137" priority="164">
      <formula>AW33=1</formula>
    </cfRule>
    <cfRule type="expression" dxfId="3136" priority="165">
      <formula>AW34=1</formula>
    </cfRule>
  </conditionalFormatting>
  <conditionalFormatting sqref="AF35:AG36">
    <cfRule type="expression" dxfId="3135" priority="160">
      <formula>AND(AH35="",AH36="")</formula>
    </cfRule>
    <cfRule type="expression" dxfId="3134" priority="161">
      <formula>AW35=1</formula>
    </cfRule>
    <cfRule type="expression" dxfId="3133" priority="162">
      <formula>AW36=1</formula>
    </cfRule>
  </conditionalFormatting>
  <conditionalFormatting sqref="U54:W54">
    <cfRule type="expression" dxfId="3132" priority="117">
      <formula>U54&gt;0</formula>
    </cfRule>
  </conditionalFormatting>
  <conditionalFormatting sqref="AY53:BI53 AG53:AP53 O53:X53 Z53:AC53">
    <cfRule type="expression" dxfId="3131" priority="116">
      <formula>U54&gt;0</formula>
    </cfRule>
  </conditionalFormatting>
  <conditionalFormatting sqref="U51:W52">
    <cfRule type="expression" dxfId="3130" priority="115">
      <formula>U54&gt;0</formula>
    </cfRule>
  </conditionalFormatting>
  <conditionalFormatting sqref="T56:U56">
    <cfRule type="expression" dxfId="3129" priority="114">
      <formula>T56&gt;0</formula>
    </cfRule>
  </conditionalFormatting>
  <conditionalFormatting sqref="O56:S56">
    <cfRule type="expression" dxfId="3128" priority="113">
      <formula>T56&gt;0</formula>
    </cfRule>
  </conditionalFormatting>
  <conditionalFormatting sqref="W56:X56">
    <cfRule type="expression" dxfId="3127" priority="112">
      <formula>W56&gt;0</formula>
    </cfRule>
  </conditionalFormatting>
  <conditionalFormatting sqref="Y56:AC56">
    <cfRule type="expression" dxfId="3126" priority="111">
      <formula>W56&gt;0</formula>
    </cfRule>
  </conditionalFormatting>
  <conditionalFormatting sqref="U57:W57">
    <cfRule type="expression" dxfId="3125" priority="110">
      <formula>U57&gt;0</formula>
    </cfRule>
  </conditionalFormatting>
  <conditionalFormatting sqref="T58:X58">
    <cfRule type="expression" dxfId="3124" priority="109">
      <formula>U57&gt;0</formula>
    </cfRule>
  </conditionalFormatting>
  <conditionalFormatting sqref="T55:U55">
    <cfRule type="expression" dxfId="3123" priority="108">
      <formula>T55&gt;0</formula>
    </cfRule>
  </conditionalFormatting>
  <conditionalFormatting sqref="O55:S55">
    <cfRule type="expression" dxfId="3122" priority="107">
      <formula>T55&gt;0</formula>
    </cfRule>
  </conditionalFormatting>
  <conditionalFormatting sqref="W55:X55">
    <cfRule type="expression" dxfId="3121" priority="106">
      <formula>W55&gt;0</formula>
    </cfRule>
  </conditionalFormatting>
  <conditionalFormatting sqref="Y55:AC55">
    <cfRule type="expression" dxfId="3120" priority="105">
      <formula>W55&gt;0</formula>
    </cfRule>
  </conditionalFormatting>
  <conditionalFormatting sqref="BE54:BG54">
    <cfRule type="expression" dxfId="3119" priority="104">
      <formula>BE54&gt;0</formula>
    </cfRule>
  </conditionalFormatting>
  <conditionalFormatting sqref="BE51:BG52">
    <cfRule type="expression" dxfId="3118" priority="102">
      <formula>BE54&gt;0</formula>
    </cfRule>
  </conditionalFormatting>
  <conditionalFormatting sqref="BD56:BE56">
    <cfRule type="expression" dxfId="3117" priority="101">
      <formula>BD56&gt;0</formula>
    </cfRule>
  </conditionalFormatting>
  <conditionalFormatting sqref="AY56:BC56">
    <cfRule type="expression" dxfId="3116" priority="100">
      <formula>BD56&gt;0</formula>
    </cfRule>
  </conditionalFormatting>
  <conditionalFormatting sqref="BG56:BH56">
    <cfRule type="expression" dxfId="3115" priority="99">
      <formula>BG56&gt;0</formula>
    </cfRule>
  </conditionalFormatting>
  <conditionalFormatting sqref="BI56:BM56">
    <cfRule type="expression" dxfId="3114" priority="98">
      <formula>BG56&gt;0</formula>
    </cfRule>
  </conditionalFormatting>
  <conditionalFormatting sqref="BE57:BG57">
    <cfRule type="expression" dxfId="3113" priority="97">
      <formula>BE57&gt;0</formula>
    </cfRule>
  </conditionalFormatting>
  <conditionalFormatting sqref="BD58:BH58">
    <cfRule type="expression" dxfId="3112" priority="96">
      <formula>BE57&gt;0</formula>
    </cfRule>
  </conditionalFormatting>
  <conditionalFormatting sqref="BD55:BE55">
    <cfRule type="expression" dxfId="3111" priority="95">
      <formula>BD55&gt;0</formula>
    </cfRule>
  </conditionalFormatting>
  <conditionalFormatting sqref="AY55:BC55">
    <cfRule type="expression" dxfId="3110" priority="94">
      <formula>BD55&gt;0</formula>
    </cfRule>
  </conditionalFormatting>
  <conditionalFormatting sqref="BG55:BH55">
    <cfRule type="expression" dxfId="3109" priority="93">
      <formula>BG55&gt;0</formula>
    </cfRule>
  </conditionalFormatting>
  <conditionalFormatting sqref="BI55:BM55">
    <cfRule type="expression" dxfId="3108" priority="92">
      <formula>BG55&gt;0</formula>
    </cfRule>
  </conditionalFormatting>
  <conditionalFormatting sqref="AM54:AO54">
    <cfRule type="expression" dxfId="3107" priority="91">
      <formula>AM54&gt;0</formula>
    </cfRule>
  </conditionalFormatting>
  <conditionalFormatting sqref="AM51:AO52">
    <cfRule type="expression" dxfId="3106" priority="89">
      <formula>AM54&gt;0</formula>
    </cfRule>
  </conditionalFormatting>
  <conditionalFormatting sqref="AL55:AM58">
    <cfRule type="expression" dxfId="3105" priority="88">
      <formula>AL55&gt;0</formula>
    </cfRule>
  </conditionalFormatting>
  <conditionalFormatting sqref="AG55:AK58">
    <cfRule type="expression" dxfId="3104" priority="87">
      <formula>AL55&gt;0</formula>
    </cfRule>
  </conditionalFormatting>
  <conditionalFormatting sqref="AO55:AP58">
    <cfRule type="expression" dxfId="3103" priority="86">
      <formula>AO55&gt;0</formula>
    </cfRule>
  </conditionalFormatting>
  <conditionalFormatting sqref="AQ55:AU58">
    <cfRule type="expression" dxfId="3102" priority="85">
      <formula>AO55&gt;0</formula>
    </cfRule>
  </conditionalFormatting>
  <conditionalFormatting sqref="CR52:CR56">
    <cfRule type="expression" dxfId="3101" priority="28557">
      <formula>DO42=1</formula>
    </cfRule>
  </conditionalFormatting>
  <conditionalFormatting sqref="AL16:AM17">
    <cfRule type="expression" dxfId="3100" priority="81">
      <formula>$AM$15&gt;=AL18</formula>
    </cfRule>
  </conditionalFormatting>
  <conditionalFormatting sqref="AI16:AJ17">
    <cfRule type="expression" dxfId="3099" priority="79">
      <formula>$AM$15&gt;=AI18</formula>
    </cfRule>
  </conditionalFormatting>
  <conditionalFormatting sqref="AF16:AG17">
    <cfRule type="expression" dxfId="3098" priority="77">
      <formula>$AM$15&gt;=AF18</formula>
    </cfRule>
  </conditionalFormatting>
  <conditionalFormatting sqref="AC16:AD17">
    <cfRule type="expression" dxfId="3097" priority="75">
      <formula>$AM$15&gt;=AC18</formula>
    </cfRule>
  </conditionalFormatting>
  <conditionalFormatting sqref="Z16:AA17">
    <cfRule type="expression" dxfId="3096" priority="73">
      <formula>$AM$15&gt;=Z18</formula>
    </cfRule>
  </conditionalFormatting>
  <conditionalFormatting sqref="W16:X17">
    <cfRule type="expression" dxfId="3095" priority="71">
      <formula>$AM$15&gt;=W18</formula>
    </cfRule>
  </conditionalFormatting>
  <conditionalFormatting sqref="T16:U17">
    <cfRule type="expression" dxfId="3094" priority="69">
      <formula>$AM$15&gt;=T18</formula>
    </cfRule>
  </conditionalFormatting>
  <conditionalFormatting sqref="Q16:R17">
    <cfRule type="expression" dxfId="3093" priority="67">
      <formula>$AM$15&gt;=Q18</formula>
    </cfRule>
  </conditionalFormatting>
  <conditionalFormatting sqref="AO16:AP17">
    <cfRule type="expression" dxfId="3092" priority="65">
      <formula>$AM$15&gt;=AO18</formula>
    </cfRule>
  </conditionalFormatting>
  <conditionalFormatting sqref="AR16:AS17">
    <cfRule type="expression" dxfId="3091" priority="63">
      <formula>$AM$15&gt;=AR18</formula>
    </cfRule>
  </conditionalFormatting>
  <conditionalFormatting sqref="AU16:AV17">
    <cfRule type="expression" dxfId="3090" priority="61">
      <formula>$AM$15&gt;=AU18</formula>
    </cfRule>
  </conditionalFormatting>
  <conditionalFormatting sqref="AX16:AY17">
    <cfRule type="expression" dxfId="3089" priority="59">
      <formula>$AM$15&gt;=AX18</formula>
    </cfRule>
  </conditionalFormatting>
  <conditionalFormatting sqref="BA16:BB17">
    <cfRule type="expression" dxfId="3088" priority="57">
      <formula>$AM$15&gt;=BA18</formula>
    </cfRule>
  </conditionalFormatting>
  <conditionalFormatting sqref="BD16:BE17">
    <cfRule type="expression" dxfId="3087" priority="55">
      <formula>$AM$15&gt;=BD18</formula>
    </cfRule>
  </conditionalFormatting>
  <conditionalFormatting sqref="BG16:BH17">
    <cfRule type="expression" dxfId="3086" priority="53">
      <formula>$AM$15&gt;=BG18</formula>
    </cfRule>
  </conditionalFormatting>
  <conditionalFormatting sqref="BJ16:BK17">
    <cfRule type="expression" dxfId="3085" priority="51">
      <formula>$AM$15&gt;=BJ18</formula>
    </cfRule>
  </conditionalFormatting>
  <conditionalFormatting sqref="BN3:BN11">
    <cfRule type="expression" dxfId="3084" priority="47">
      <formula>$EP3&lt;&gt;$EQ3</formula>
    </cfRule>
  </conditionalFormatting>
  <conditionalFormatting sqref="N3:N11">
    <cfRule type="expression" dxfId="3083" priority="46">
      <formula>$EN3&lt;&gt;$EM3</formula>
    </cfRule>
  </conditionalFormatting>
  <conditionalFormatting sqref="BJ53">
    <cfRule type="expression" dxfId="3082" priority="34835">
      <formula>BP44&gt;0</formula>
    </cfRule>
  </conditionalFormatting>
  <conditionalFormatting sqref="AM44:AO44">
    <cfRule type="expression" dxfId="3081" priority="42">
      <formula>AM44&gt;0</formula>
    </cfRule>
  </conditionalFormatting>
  <conditionalFormatting sqref="AG43:AU43">
    <cfRule type="expression" dxfId="3080" priority="41">
      <formula>AM44&gt;0</formula>
    </cfRule>
  </conditionalFormatting>
  <conditionalFormatting sqref="AM41:AO42">
    <cfRule type="expression" dxfId="3079" priority="40">
      <formula>AM44&gt;0</formula>
    </cfRule>
  </conditionalFormatting>
  <conditionalFormatting sqref="AL45:AL48">
    <cfRule type="expression" dxfId="3078" priority="39">
      <formula>AL45&gt;0</formula>
    </cfRule>
  </conditionalFormatting>
  <conditionalFormatting sqref="AG45:AK48">
    <cfRule type="expression" dxfId="3077" priority="38">
      <formula>AL45&gt;0</formula>
    </cfRule>
  </conditionalFormatting>
  <conditionalFormatting sqref="AO45:AO48">
    <cfRule type="expression" dxfId="3076" priority="37">
      <formula>AO45&gt;0</formula>
    </cfRule>
  </conditionalFormatting>
  <conditionalFormatting sqref="AQ45:AU48">
    <cfRule type="expression" dxfId="3075" priority="36">
      <formula>AO45&gt;0</formula>
    </cfRule>
  </conditionalFormatting>
  <conditionalFormatting sqref="AX45:AX48">
    <cfRule type="expression" dxfId="3074" priority="35">
      <formula>AX45&gt;0</formula>
    </cfRule>
  </conditionalFormatting>
  <conditionalFormatting sqref="AZ46:BD48">
    <cfRule type="expression" dxfId="3073" priority="34">
      <formula>AX46&gt;0</formula>
    </cfRule>
  </conditionalFormatting>
  <conditionalFormatting sqref="AC45:AC48">
    <cfRule type="expression" dxfId="3072" priority="33">
      <formula>AC45&gt;0</formula>
    </cfRule>
  </conditionalFormatting>
  <conditionalFormatting sqref="X46:AB48">
    <cfRule type="expression" dxfId="3071" priority="32">
      <formula>AC46&gt;0</formula>
    </cfRule>
  </conditionalFormatting>
  <conditionalFormatting sqref="BK53:BM53">
    <cfRule type="expression" dxfId="3070" priority="34884">
      <formula>BQ45&gt;0</formula>
    </cfRule>
  </conditionalFormatting>
  <conditionalFormatting sqref="X45:AB45">
    <cfRule type="expression" dxfId="3069" priority="31">
      <formula>AC45&gt;0</formula>
    </cfRule>
  </conditionalFormatting>
  <conditionalFormatting sqref="AZ45:BD45">
    <cfRule type="expression" dxfId="3068" priority="30">
      <formula>AX45&gt;0</formula>
    </cfRule>
  </conditionalFormatting>
  <conditionalFormatting sqref="AQ53:AU53">
    <cfRule type="expression" dxfId="3067" priority="43211">
      <formula>AW54&gt;0</formula>
    </cfRule>
  </conditionalFormatting>
  <conditionalFormatting sqref="Y53">
    <cfRule type="expression" dxfId="3066" priority="43260">
      <formula>AE54&gt;0</formula>
    </cfRule>
  </conditionalFormatting>
  <conditionalFormatting sqref="R27:S35">
    <cfRule type="expression" dxfId="3065" priority="43454">
      <formula>CT27=1</formula>
    </cfRule>
  </conditionalFormatting>
  <conditionalFormatting sqref="BI27:BI35">
    <cfRule type="expression" dxfId="3064" priority="43517">
      <formula>#REF!=1</formula>
    </cfRule>
  </conditionalFormatting>
  <conditionalFormatting sqref="AN27">
    <cfRule type="expression" dxfId="3063" priority="43577">
      <formula>BC27=1</formula>
    </cfRule>
    <cfRule type="expression" dxfId="3062" priority="43578">
      <formula>CQ27=1</formula>
    </cfRule>
  </conditionalFormatting>
  <conditionalFormatting sqref="AN28">
    <cfRule type="expression" dxfId="3061" priority="43579">
      <formula>BC27=1</formula>
    </cfRule>
    <cfRule type="expression" dxfId="3060" priority="43580">
      <formula>CQ27=1</formula>
    </cfRule>
  </conditionalFormatting>
  <conditionalFormatting sqref="U27:V35">
    <cfRule type="expression" dxfId="3059" priority="43753">
      <formula>CT27=1</formula>
    </cfRule>
  </conditionalFormatting>
  <conditionalFormatting sqref="W27:Y35">
    <cfRule type="expression" dxfId="3058" priority="43754">
      <formula>CT27=1</formula>
    </cfRule>
  </conditionalFormatting>
  <conditionalFormatting sqref="Z27:Z35">
    <cfRule type="expression" dxfId="3057" priority="43755">
      <formula>CT27=1</formula>
    </cfRule>
  </conditionalFormatting>
  <conditionalFormatting sqref="AB27:AB35">
    <cfRule type="expression" dxfId="3056" priority="43756">
      <formula>CT27=1</formula>
    </cfRule>
    <cfRule type="expression" dxfId="3055" priority="43757">
      <formula>ISBLANK(W27)</formula>
    </cfRule>
  </conditionalFormatting>
  <conditionalFormatting sqref="AC27:AC35">
    <cfRule type="expression" dxfId="3054" priority="43758">
      <formula>CT27=1</formula>
    </cfRule>
    <cfRule type="expression" dxfId="3053" priority="43759">
      <formula>W27=""</formula>
    </cfRule>
  </conditionalFormatting>
  <conditionalFormatting sqref="T27:T35">
    <cfRule type="expression" dxfId="3052" priority="43761">
      <formula>CT27=1</formula>
    </cfRule>
  </conditionalFormatting>
  <conditionalFormatting sqref="AA27:AA35">
    <cfRule type="expression" dxfId="3051" priority="43762">
      <formula>CT27=1</formula>
    </cfRule>
  </conditionalFormatting>
  <conditionalFormatting sqref="BL27:BL35">
    <cfRule type="expression" dxfId="3050" priority="43931">
      <formula>DI27=1</formula>
    </cfRule>
    <cfRule type="expression" dxfId="3049" priority="43932">
      <formula>ISBLANK(BG27)</formula>
    </cfRule>
  </conditionalFormatting>
  <conditionalFormatting sqref="BM27:BM35">
    <cfRule type="expression" dxfId="3048" priority="43933">
      <formula>DI27=1</formula>
    </cfRule>
    <cfRule type="expression" dxfId="3047" priority="43934">
      <formula>BG27=""</formula>
    </cfRule>
  </conditionalFormatting>
  <conditionalFormatting sqref="BB27:BC35">
    <cfRule type="expression" dxfId="3046" priority="43935">
      <formula>DI27=1</formula>
    </cfRule>
  </conditionalFormatting>
  <conditionalFormatting sqref="BD27:BD35">
    <cfRule type="expression" dxfId="3045" priority="43936">
      <formula>DI27=1</formula>
    </cfRule>
  </conditionalFormatting>
  <conditionalFormatting sqref="BE27:BF35">
    <cfRule type="expression" dxfId="3044" priority="43937">
      <formula>DI27=1</formula>
    </cfRule>
  </conditionalFormatting>
  <conditionalFormatting sqref="BG27:BH35">
    <cfRule type="expression" dxfId="3043" priority="43938">
      <formula>DI27=1</formula>
    </cfRule>
  </conditionalFormatting>
  <conditionalFormatting sqref="BJ27:BJ35">
    <cfRule type="expression" dxfId="3042" priority="43939">
      <formula>DI27=1</formula>
    </cfRule>
  </conditionalFormatting>
  <conditionalFormatting sqref="BK27:BK35">
    <cfRule type="expression" dxfId="3041" priority="43940">
      <formula>DI27=1</formula>
    </cfRule>
  </conditionalFormatting>
  <conditionalFormatting sqref="AI29:AK29 AI31:AK31 AI33:AK33 AI35:AK35 AI27:AK27 AO29:AQ29 AO31:AQ31 AO33:AQ33 AO35:AQ35 AO27:AQ27">
    <cfRule type="expression" dxfId="3040" priority="43991">
      <formula>AX27=1</formula>
    </cfRule>
    <cfRule type="expression" dxfId="3039" priority="43992">
      <formula>#REF!=1</formula>
    </cfRule>
  </conditionalFormatting>
  <conditionalFormatting sqref="AI30:AK30 AI32:AK32 AI34:AK34 AI36:AK36 AI28:AK28 AO30:AQ30 AO32:AQ32 AO34:AQ34 AO36:AQ36 AO28:AQ28">
    <cfRule type="expression" dxfId="3038" priority="44013">
      <formula>AX27=1</formula>
    </cfRule>
    <cfRule type="expression" dxfId="3037" priority="44014">
      <formula>#REF!=1</formula>
    </cfRule>
  </conditionalFormatting>
  <conditionalFormatting sqref="AS30:AT30 AS32:AT32 AS34:AT34 AS36:AT36 AS28:AT28">
    <cfRule type="expression" dxfId="3036" priority="44033">
      <formula>AX27=1</formula>
    </cfRule>
    <cfRule type="expression" dxfId="3035" priority="44034">
      <formula>AND(AI27="",AI28="")</formula>
    </cfRule>
    <cfRule type="expression" dxfId="3034" priority="44035">
      <formula>#REF!=1</formula>
    </cfRule>
  </conditionalFormatting>
  <conditionalFormatting sqref="AH29 AH31 AH33 AH35 AH27">
    <cfRule type="expression" dxfId="3033" priority="44120">
      <formula>AW27=1</formula>
    </cfRule>
    <cfRule type="expression" dxfId="3032" priority="44121">
      <formula>DW27=1</formula>
    </cfRule>
  </conditionalFormatting>
  <conditionalFormatting sqref="AH30 AH32 AH34 AH36 AH28">
    <cfRule type="expression" dxfId="3031" priority="44130">
      <formula>AW27=1</formula>
    </cfRule>
    <cfRule type="expression" dxfId="3030" priority="44131">
      <formula>DW27=1</formula>
    </cfRule>
  </conditionalFormatting>
  <conditionalFormatting sqref="AR30 AR32 AR34 AR36 AR28">
    <cfRule type="expression" dxfId="3029" priority="44140">
      <formula>AW27=1</formula>
    </cfRule>
    <cfRule type="expression" dxfId="3028" priority="44141">
      <formula>AND(AH27="",AH28="")</formula>
    </cfRule>
    <cfRule type="expression" dxfId="3027" priority="44142">
      <formula>DW27=1</formula>
    </cfRule>
  </conditionalFormatting>
  <conditionalFormatting sqref="AR29 AR31 AR33 AR35 AR27">
    <cfRule type="expression" dxfId="3026" priority="44155">
      <formula>AW27=1</formula>
    </cfRule>
    <cfRule type="expression" dxfId="3025" priority="44156">
      <formula>AND(AH27="",AH28="")</formula>
    </cfRule>
    <cfRule type="expression" dxfId="3024" priority="44157">
      <formula>DW27=1</formula>
    </cfRule>
  </conditionalFormatting>
  <conditionalFormatting sqref="AS29 AS31 AS33 AS35 AS27">
    <cfRule type="expression" dxfId="3023" priority="44170">
      <formula>AW27=1</formula>
    </cfRule>
    <cfRule type="expression" dxfId="3022" priority="44171">
      <formula>AND(AH27="",AH28="")</formula>
    </cfRule>
    <cfRule type="expression" dxfId="3021" priority="44172">
      <formula>DW27=1</formula>
    </cfRule>
  </conditionalFormatting>
  <conditionalFormatting sqref="AT29 AT31 AT33 AT35 AT27">
    <cfRule type="expression" dxfId="3020" priority="44185">
      <formula>AW27=1</formula>
    </cfRule>
    <cfRule type="expression" dxfId="3019" priority="44186">
      <formula>DW27=1</formula>
    </cfRule>
  </conditionalFormatting>
  <conditionalFormatting sqref="AU27:AU36">
    <cfRule type="expression" dxfId="3018" priority="44195">
      <formula>AW27=1</formula>
    </cfRule>
    <cfRule type="expression" dxfId="3017" priority="44196">
      <formula>AND(AH27="",AH28="")</formula>
    </cfRule>
    <cfRule type="expression" dxfId="3016" priority="44197">
      <formula>DW27=1</formula>
    </cfRule>
  </conditionalFormatting>
  <conditionalFormatting sqref="AV27:AV36">
    <cfRule type="expression" dxfId="3015" priority="44198">
      <formula>AW27=1</formula>
    </cfRule>
    <cfRule type="expression" dxfId="3014" priority="44199">
      <formula>AND(AH27="",AH28="")</formula>
    </cfRule>
    <cfRule type="expression" dxfId="3013" priority="44200">
      <formula>DW27=1</formula>
    </cfRule>
  </conditionalFormatting>
  <conditionalFormatting sqref="O77:P77">
    <cfRule type="expression" dxfId="3012" priority="29">
      <formula>ISBLANK(R77)</formula>
    </cfRule>
  </conditionalFormatting>
  <conditionalFormatting sqref="O78:P85">
    <cfRule type="expression" dxfId="3011" priority="28">
      <formula>ISBLANK(R78)</formula>
    </cfRule>
  </conditionalFormatting>
  <conditionalFormatting sqref="AY77:AZ85">
    <cfRule type="expression" dxfId="3010" priority="27">
      <formula>ISBLANK(BB77)</formula>
    </cfRule>
  </conditionalFormatting>
  <conditionalFormatting sqref="AH81:AT81">
    <cfRule type="expression" dxfId="3009" priority="26">
      <formula>AH81="Challenge"</formula>
    </cfRule>
  </conditionalFormatting>
  <conditionalFormatting sqref="AH82:AT82">
    <cfRule type="expression" dxfId="3008" priority="25">
      <formula>AH81="Challenge"</formula>
    </cfRule>
  </conditionalFormatting>
  <conditionalFormatting sqref="AH77:AT77">
    <cfRule type="expression" dxfId="3007" priority="24">
      <formula>AH77="Challenge"</formula>
    </cfRule>
  </conditionalFormatting>
  <conditionalFormatting sqref="AH78:AT78">
    <cfRule type="expression" dxfId="3006" priority="23">
      <formula>AH77="Challenge"</formula>
    </cfRule>
  </conditionalFormatting>
  <conditionalFormatting sqref="AH79:AT79">
    <cfRule type="expression" dxfId="3005" priority="22">
      <formula>AH79="Challenge"</formula>
    </cfRule>
  </conditionalFormatting>
  <conditionalFormatting sqref="AH80:AT80">
    <cfRule type="expression" dxfId="3004" priority="21">
      <formula>AH79="Challenge"</formula>
    </cfRule>
  </conditionalFormatting>
  <conditionalFormatting sqref="AH83:AT83">
    <cfRule type="expression" dxfId="3003" priority="20">
      <formula>AH83="Challenge"</formula>
    </cfRule>
  </conditionalFormatting>
  <conditionalFormatting sqref="AH84:AT84">
    <cfRule type="expression" dxfId="3002" priority="19">
      <formula>AH83="Challenge"</formula>
    </cfRule>
  </conditionalFormatting>
  <conditionalFormatting sqref="AH85:AT85">
    <cfRule type="expression" dxfId="3001" priority="18">
      <formula>AH85="Challenge"</formula>
    </cfRule>
  </conditionalFormatting>
  <conditionalFormatting sqref="AH86:AT86">
    <cfRule type="expression" dxfId="3000" priority="17">
      <formula>AH85="Challenge"</formula>
    </cfRule>
  </conditionalFormatting>
  <conditionalFormatting sqref="O88:P88">
    <cfRule type="expression" dxfId="2999" priority="16">
      <formula>ISBLANK(R88)</formula>
    </cfRule>
  </conditionalFormatting>
  <conditionalFormatting sqref="O89:P96">
    <cfRule type="expression" dxfId="2998" priority="15">
      <formula>ISBLANK(R89)</formula>
    </cfRule>
  </conditionalFormatting>
  <conditionalFormatting sqref="AY88:AZ96">
    <cfRule type="expression" dxfId="2997" priority="14">
      <formula>ISBLANK(BB88)</formula>
    </cfRule>
  </conditionalFormatting>
  <conditionalFormatting sqref="AH92:AT92">
    <cfRule type="expression" dxfId="2996" priority="13">
      <formula>AH92="Challenge"</formula>
    </cfRule>
  </conditionalFormatting>
  <conditionalFormatting sqref="AH93:AT93">
    <cfRule type="expression" dxfId="2995" priority="12">
      <formula>AH92="Challenge"</formula>
    </cfRule>
  </conditionalFormatting>
  <conditionalFormatting sqref="AH88:AT88">
    <cfRule type="expression" dxfId="2994" priority="11">
      <formula>AH88="Challenge"</formula>
    </cfRule>
  </conditionalFormatting>
  <conditionalFormatting sqref="AH89:AT89">
    <cfRule type="expression" dxfId="2993" priority="10">
      <formula>AH88="Challenge"</formula>
    </cfRule>
  </conditionalFormatting>
  <conditionalFormatting sqref="AH90:AT90">
    <cfRule type="expression" dxfId="2992" priority="9">
      <formula>AH90="Challenge"</formula>
    </cfRule>
  </conditionalFormatting>
  <conditionalFormatting sqref="AH91:AT91">
    <cfRule type="expression" dxfId="2991" priority="8">
      <formula>AH90="Challenge"</formula>
    </cfRule>
  </conditionalFormatting>
  <conditionalFormatting sqref="AH94:AT94">
    <cfRule type="expression" dxfId="2990" priority="7">
      <formula>AH94="Challenge"</formula>
    </cfRule>
  </conditionalFormatting>
  <conditionalFormatting sqref="AH95:AT95">
    <cfRule type="expression" dxfId="2989" priority="6">
      <formula>AH94="Challenge"</formula>
    </cfRule>
  </conditionalFormatting>
  <conditionalFormatting sqref="AH96:AT96">
    <cfRule type="expression" dxfId="2988" priority="5">
      <formula>AH96="Challenge"</formula>
    </cfRule>
  </conditionalFormatting>
  <conditionalFormatting sqref="AH97:AT97">
    <cfRule type="expression" dxfId="2987" priority="4">
      <formula>AH96="Challenge"</formula>
    </cfRule>
  </conditionalFormatting>
  <conditionalFormatting sqref="N16:O17 BM16:BN17">
    <cfRule type="expression" dxfId="2986" priority="1">
      <formula>$AN$16&lt;2</formula>
    </cfRule>
  </conditionalFormatting>
  <dataValidations count="37">
    <dataValidation type="list" allowBlank="1" showInputMessage="1" showErrorMessage="1" sqref="AC27:AC35 BM27:BM35 AV27:AV36" xr:uid="{8515A19B-A76C-485C-9F7A-45C0FE58A1B8}">
      <formula1>$CF$43:$CF$47</formula1>
    </dataValidation>
    <dataValidation allowBlank="1" showInputMessage="1" showErrorMessage="1" prompt="Enter description" sqref="AH28:AQ28 AH30:AQ30 AH32:AQ32 AH34:AQ34 AH36:AQ36" xr:uid="{F461FDC5-0503-4816-95F4-B74974ED72DF}"/>
    <dataValidation allowBlank="1" showInputMessage="1" showErrorMessage="1" promptTitle="Body Objectives" prompt="Details and progress of current objectives._x000a__x000a_Enter target number and objective type (plus number of days/XP where relevant)._x000a__x000a_• colour fill indicates objective met_x000a_• black star indicates near completion_x000a_• greyed out indicates out of time" sqref="AX24:BN25" xr:uid="{48DEAFCC-F857-4953-A6F5-767FCA66C4F8}"/>
    <dataValidation allowBlank="1" showInputMessage="1" showErrorMessage="1" promptTitle="Challenges " prompt="Details and progress of current challenges._x000a__x000a_Enter title and description, plus target days._x000a__x000a_• grey fill indicates target complete_x000a_• black star indicates near completion_x000a_• greyed out indicates out of time" sqref="AF24:AV25" xr:uid="{C8F49A81-AE5E-4281-B5D4-FD825A7C4B03}"/>
    <dataValidation allowBlank="1" showInputMessage="1" showErrorMessage="1" promptTitle="Health Points " prompt="120 XP = 2 HP_x000a__x000a_• Calculated in multiples of 120 XP based on XP for the day._x000a_• Before 12 noon HP of previous day shown (if more than current day)._x000a_• If day average is strong enough, a base of 2 HP is rewarded to avoid a death if no XP is gained." sqref="AM14:AO14" xr:uid="{12217336-B353-4DC1-B6BF-F1854947C706}"/>
    <dataValidation allowBlank="1" showInputMessage="1" showErrorMessage="1" promptTitle="Challenge Types" prompt="For targets too specific to simply be skill objectives, or goals that encompass multiple skills._x000a__x000a_Potential structure for the five challenges:_x000a_1. Part of a full year._x000a_2. Part of a 100 days._x000a_3. The whole month._x000a_4. Most of the month._x000a_5. For 7 or 10 days." sqref="AF26:AV26" xr:uid="{7E5BC86A-801E-4CFE-8F31-0B08E7AF5C76}"/>
    <dataValidation type="list" allowBlank="1" showInputMessage="1" showErrorMessage="1" prompt="Select target number of days" sqref="AT27 AT29 AT31 AT33 AT35" xr:uid="{1938CD6B-CA3C-468F-9A7F-7D544A54B1A8}">
      <formula1>$DY$8:$DY$38</formula1>
    </dataValidation>
    <dataValidation allowBlank="1" showInputMessage="1" showErrorMessage="1" promptTitle="Mind Objectives" prompt="Details and progress of current objectives._x000a__x000a_Enter target number and objective type (plus number of days/XP where relevant)._x000a__x000a_• colour fill indicates objective met_x000a_• black star indicates near completion_x000a_• greyed out indicates out of time" sqref="N24:AD25" xr:uid="{49EC8310-DB45-4130-9B07-037F62B55CC5}"/>
    <dataValidation allowBlank="1" showInputMessage="1" showErrorMessage="1" promptTitle="Next Mind Objectives" prompt="Notes on objectives to aim at next." sqref="N63:AD64" xr:uid="{EABC9B4F-4BB5-4931-B4BF-0718F1AAB0BA}"/>
    <dataValidation allowBlank="1" showInputMessage="1" showErrorMessage="1" promptTitle="Next Body Objectives" prompt="Notes on objectives to aim at next." sqref="AX63:BN64" xr:uid="{D8D12A64-4923-4508-B492-CDD2B6AE6DA2}"/>
    <dataValidation allowBlank="1" showInputMessage="1" showErrorMessage="1" promptTitle="Next Challenges" prompt="Notes on challenges to do next." sqref="AF63:AV64" xr:uid="{F02291BE-6C8E-4CD8-A25A-122E4C5FD1D4}"/>
    <dataValidation allowBlank="1" showInputMessage="1" showErrorMessage="1" promptTitle="Level Progression" prompt="Body skills." sqref="AP3:AQ11" xr:uid="{90440636-F054-43C5-BF74-F8A6BE585586}"/>
    <dataValidation allowBlank="1" showInputMessage="1" showErrorMessage="1" promptTitle="Challenges" prompt="White star indicates challenge complete." sqref="AN3:AN11" xr:uid="{5994B1F3-EC71-4606-873B-7B3976960D0F}"/>
    <dataValidation allowBlank="1" showInputMessage="1" showErrorMessage="1" promptTitle="Objectives" prompt="White star indicates objective complete." sqref="AM3:AM11 AO3:AO11" xr:uid="{123BCECA-1EB8-44A3-B138-155E5CAA065A}"/>
    <dataValidation allowBlank="1" showInputMessage="1" showErrorMessage="1" promptTitle="Difficulty Level" prompt="  5 = Very easy_x000a_10 = Easy_x000a_15 = Normal_x000a_20 = Hard_x000a_25 = Very hard" sqref="AB27:AB35 AU27:AU36 BL27:BL35" xr:uid="{89C8B8B1-18A0-44AE-A65A-2CCB9D2D06B8}"/>
    <dataValidation allowBlank="1" showInputMessage="1" showErrorMessage="1" promptTitle=" PROGRESS" prompt="This is for objectives and progression._x000a_ _x000a_Here you can:_x000a_• create skill objectives and set challenges_x000a_• view level ups and XP gained_x000a_• see status of lives, rewards &amp; booby traps_x000a_ _x000a_Select individual cells for specific information and instructions._x000a_" sqref="CA1" xr:uid="{C0E5CDD7-B90A-406B-BCA5-CE65070C4BCB}"/>
    <dataValidation allowBlank="1" showInputMessage="1" showErrorMessage="1" promptTitle=" HUD = Overview" prompt=" LOGS = Journal           PLANS = Calendar_x000a_ NOTES = Ideas            TIMINGS = Schedule_x000a__x000a_ MISSIONS = Tasks_x000a_ ACTIONS = Input_x000a_[PROGRESS = Output]_x000a_ JOURNEY = Status_x000a__x000a_ BOUNTY = Rewards   MONEY = Finance_x000a_ VICTORY = Success    RESPITE = Media_x000a_ GUIDE = History" sqref="A1" xr:uid="{0D15DB54-012A-4640-BA39-8527CE4BA17E}"/>
    <dataValidation type="whole" allowBlank="1" showInputMessage="1" showErrorMessage="1" prompt="Enter number" sqref="BJ27:BJ35 Z27:Z35" xr:uid="{CC917B56-4DD2-4621-9755-2636A679B65F}">
      <formula1>1</formula1>
      <formula2>999</formula2>
    </dataValidation>
    <dataValidation type="list" allowBlank="1" showInputMessage="1" showErrorMessage="1" prompt="Select objective type" sqref="W27:Y35 BG27:BI35" xr:uid="{4FEEB095-4932-4508-BC73-31D0185384E9}">
      <formula1>$CC$43:$CC$48</formula1>
    </dataValidation>
    <dataValidation allowBlank="1" showInputMessage="1" showErrorMessage="1" prompt="Enter title" sqref="AH27:AQ27 AH29:AQ29 AH31:AQ31 AH33:AQ33 AH35:AQ35" xr:uid="{FD272ACA-3F9F-40C0-9545-72EE138C194D}"/>
    <dataValidation allowBlank="1" showInputMessage="1" showErrorMessage="1" promptTitle="Level Progression" prompt="Skill maxed. _x000a__x000a_Number shown = level _x000a_Number in bold = level up" sqref="N3:N11 BN3:BN11" xr:uid="{472F7FD2-F432-4FE2-8033-A7E7C9700C73}"/>
    <dataValidation allowBlank="1" showInputMessage="1" showErrorMessage="1" promptTitle="Level" prompt="Number reached" sqref="AP2:BM2 O2:AL2" xr:uid="{4FB760B1-D9C2-46D0-B288-99E885BAFE9A}"/>
    <dataValidation allowBlank="1" showInputMessage="1" showErrorMessage="1" promptTitle="Hours" prompt="Reached per level number." sqref="N12:AL12 AP12:BN12" xr:uid="{F5ADC7DA-FEBB-4212-8775-2EB744A7EEB0}"/>
    <dataValidation allowBlank="1" showInputMessage="1" showErrorMessage="1" promptTitle="Level Progression" prompt="Mind skills." sqref="AK3:AL11" xr:uid="{22502915-FD25-4C18-A89D-B320108CF251}"/>
    <dataValidation allowBlank="1" showInputMessage="1" showErrorMessage="1" promptTitle="Level Progression" prompt="⯇ = level up_x000a_" sqref="O3:AJ11" xr:uid="{50B76F9D-FB44-4708-909D-3F21430A4DB2}"/>
    <dataValidation allowBlank="1" showInputMessage="1" showErrorMessage="1" promptTitle="Level Progression" prompt="⯈ = level up" sqref="AR3:BM11" xr:uid="{A2736D64-7CBD-4C26-9F91-1B7BD338AA74}"/>
    <dataValidation allowBlank="1" showInputMessage="1" showErrorMessage="1" prompt="Total so far based on chosen objective type." sqref="BB27:BC35 R27:S35" xr:uid="{0B4AD128-871B-4B88-91DB-D5787A0CD151}"/>
    <dataValidation type="whole" allowBlank="1" showInputMessage="1" showErrorMessage="1" prompt="Enter target number" sqref="BE27:BF35 U27:V35" xr:uid="{788BBD27-DC17-4330-8767-CC0CA2852473}">
      <formula1>1</formula1>
      <formula2>9999</formula2>
    </dataValidation>
    <dataValidation allowBlank="1" showInputMessage="1" showErrorMessage="1" prompt="Black star indicates objective near completion" sqref="Q27:Q35 BA27:BA35 AF27:AG36" xr:uid="{320BCB78-CAEC-4B85-8DA7-0AB1258509C7}"/>
    <dataValidation allowBlank="1" showInputMessage="1" showErrorMessage="1" promptTitle="Lives Added" prompt="Details of life hearts gained this month in the various areas." sqref="AF41:AV44" xr:uid="{29F5CF81-6EFD-4793-9429-28A1754368B1}"/>
    <dataValidation allowBlank="1" showInputMessage="1" showErrorMessage="1" promptTitle="Lives Lost" prompt="Details of life hearts removed this month due to the various penalties." sqref="N51:AD54" xr:uid="{20CD26C0-BAA1-4D57-855E-162611B5C5BD}"/>
    <dataValidation allowBlank="1" showInputMessage="1" showErrorMessage="1" promptTitle="Booby Traps" prompt="Details of booby traps encountered randomly this month according to the various media limits." sqref="AX51:BN54" xr:uid="{00EEB705-35D2-4C93-9AAA-C38A909E9FB5}"/>
    <dataValidation allowBlank="1" showInputMessage="1" showErrorMessage="1" promptTitle="Rewards" prompt="Details of booty items obtained randomly this month for the various criterias met." sqref="AF51:AV54" xr:uid="{094D23FA-B237-44B4-8588-05478F52A08B}"/>
    <dataValidation allowBlank="1" showInputMessage="1" showErrorMessage="1" promptTitle="Day XP Min" prompt="The lowest XP gained in a day this month. " sqref="AS21:BA21" xr:uid="{F3C233C7-4782-444B-B5E4-AED11D159F2D}"/>
    <dataValidation allowBlank="1" showInputMessage="1" showErrorMessage="1" promptTitle="Day XP Avg" prompt="When day average exceeds minimum according to difficulty level, a base of 2 HP is rewarded to avoid a death if not enough XP is gained." sqref="AJ21:AR21" xr:uid="{733AD8E5-828A-45FB-8A5F-7E3DC4B3BDF9}"/>
    <dataValidation allowBlank="1" showInputMessage="1" showErrorMessage="1" promptTitle="Day XP Max" prompt="The highest XP gained in a day this month, shown in the HP shadow." sqref="AA21:AI21" xr:uid="{B584B6BB-D19A-4BFB-99E4-69476620026E}"/>
    <dataValidation allowBlank="1" showInputMessage="1" showErrorMessage="1" promptTitle="HP Boost" prompt="Strong day XP average._x000a__x000a_Low day XP death is avoided while boost is active." sqref="N16:O17 BM16:BN17" xr:uid="{BBA4CDC7-4720-493B-93FB-0FC74A8E2C9F}"/>
  </dataValidations>
  <printOptions horizontalCentered="1" verticalCentered="1" gridLines="1"/>
  <pageMargins left="0.39370078740157483" right="0.39370078740157483" top="0.39370078740157483" bottom="0.39370078740157483" header="0" footer="0"/>
  <pageSetup paperSize="9" scale="50" fitToWidth="0" fitToHeight="0" orientation="landscape" r:id="rId1"/>
  <headerFooter>
    <oddHeader>&amp;C&amp;"Lucida Console,Bold"GAMEPLAN</oddHeader>
  </headerFooter>
  <extLst>
    <ext xmlns:x14="http://schemas.microsoft.com/office/spreadsheetml/2009/9/main" uri="{78C0D931-6437-407d-A8EE-F0AAD7539E65}">
      <x14:conditionalFormattings>
        <x14:conditionalFormatting xmlns:xm="http://schemas.microsoft.com/office/excel/2006/main">
          <x14:cfRule type="expression" priority="2" id="{00000000-000E-0000-0800-000001000000}">
            <xm:f>ACTIONS!$DC$12=1</xm:f>
            <x14:dxf>
              <font>
                <color theme="0"/>
              </font>
            </x14:dxf>
          </x14:cfRule>
          <xm:sqref>AJ21:AR21</xm:sqref>
        </x14:conditionalFormatting>
        <x14:conditionalFormatting xmlns:xm="http://schemas.microsoft.com/office/excel/2006/main">
          <x14:cfRule type="expression" priority="45" id="{00000000-000E-0000-0700-000002000000}">
            <xm:f>ACTIONS!$CH$37&gt;=Q22</xm:f>
            <x14:dxf>
              <font>
                <color theme="0"/>
              </font>
            </x14:dxf>
          </x14:cfRule>
          <xm:sqref>Q21:W21</xm:sqref>
        </x14:conditionalFormatting>
        <x14:conditionalFormatting xmlns:xm="http://schemas.microsoft.com/office/excel/2006/main">
          <x14:cfRule type="expression" priority="415" id="{97B8D2C2-16D2-4FF2-ABC4-98368B3FBFF8}">
            <xm:f>ACTIONS!$CH$37=0</xm:f>
            <x14:dxf>
              <font>
                <color theme="1"/>
              </font>
            </x14:dxf>
          </x14:cfRule>
          <xm:sqref>AM14:AO14 Y20</xm:sqref>
        </x14:conditionalFormatting>
        <x14:conditionalFormatting xmlns:xm="http://schemas.microsoft.com/office/excel/2006/main">
          <x14:cfRule type="expression" priority="80" id="{ADF3EC73-996F-479A-93C4-76CEC4A415D9}">
            <xm:f>AND($AM$15&gt;=AL18,ACTIONS!$CH$37=0)</xm:f>
            <x14:dxf>
              <font>
                <color theme="1"/>
              </font>
            </x14:dxf>
          </x14:cfRule>
          <xm:sqref>AL16:AM17</xm:sqref>
        </x14:conditionalFormatting>
        <x14:conditionalFormatting xmlns:xm="http://schemas.microsoft.com/office/excel/2006/main">
          <x14:cfRule type="expression" priority="78" id="{310D0A57-F629-479A-A36F-B9547329EB8C}">
            <xm:f>AND($AM$15&gt;=AI18,ACTIONS!$CH$37=0)</xm:f>
            <x14:dxf>
              <font>
                <color theme="1"/>
              </font>
            </x14:dxf>
          </x14:cfRule>
          <xm:sqref>AI16:AJ17</xm:sqref>
        </x14:conditionalFormatting>
        <x14:conditionalFormatting xmlns:xm="http://schemas.microsoft.com/office/excel/2006/main">
          <x14:cfRule type="expression" priority="76" id="{14BBA3A7-9FB4-492C-9911-84E7FBE10D05}">
            <xm:f>AND($AM$15&gt;=AF18,ACTIONS!$CH$37=0)</xm:f>
            <x14:dxf>
              <font>
                <color theme="1"/>
              </font>
            </x14:dxf>
          </x14:cfRule>
          <xm:sqref>AF16:AG17</xm:sqref>
        </x14:conditionalFormatting>
        <x14:conditionalFormatting xmlns:xm="http://schemas.microsoft.com/office/excel/2006/main">
          <x14:cfRule type="expression" priority="74" id="{F599A917-57DA-4F6E-BFCE-E2707089D870}">
            <xm:f>AND($AM$15&gt;=AC18,ACTIONS!$CH$37=0)</xm:f>
            <x14:dxf>
              <font>
                <color theme="1"/>
              </font>
            </x14:dxf>
          </x14:cfRule>
          <xm:sqref>AC16:AD17</xm:sqref>
        </x14:conditionalFormatting>
        <x14:conditionalFormatting xmlns:xm="http://schemas.microsoft.com/office/excel/2006/main">
          <x14:cfRule type="expression" priority="72" id="{5795E3B7-BAC0-4108-94CB-5E896F54AF00}">
            <xm:f>AND($AM$15&gt;=Z18,ACTIONS!$CH$37=0)</xm:f>
            <x14:dxf>
              <font>
                <color theme="1"/>
              </font>
            </x14:dxf>
          </x14:cfRule>
          <xm:sqref>Z16:AA17</xm:sqref>
        </x14:conditionalFormatting>
        <x14:conditionalFormatting xmlns:xm="http://schemas.microsoft.com/office/excel/2006/main">
          <x14:cfRule type="expression" priority="70" id="{B0A9B22B-8C04-4518-A9CC-EC972A8FAB35}">
            <xm:f>AND($AM$15&gt;=W18,ACTIONS!$CH$37=0)</xm:f>
            <x14:dxf>
              <font>
                <color theme="1"/>
              </font>
            </x14:dxf>
          </x14:cfRule>
          <xm:sqref>W16:X17</xm:sqref>
        </x14:conditionalFormatting>
        <x14:conditionalFormatting xmlns:xm="http://schemas.microsoft.com/office/excel/2006/main">
          <x14:cfRule type="expression" priority="68" id="{41388F6D-BC5D-4366-96F4-1DC57C8F8381}">
            <xm:f>AND($AM$15&gt;=T18,ACTIONS!$CH$37=0)</xm:f>
            <x14:dxf>
              <font>
                <color theme="1"/>
              </font>
            </x14:dxf>
          </x14:cfRule>
          <xm:sqref>T16:U17</xm:sqref>
        </x14:conditionalFormatting>
        <x14:conditionalFormatting xmlns:xm="http://schemas.microsoft.com/office/excel/2006/main">
          <x14:cfRule type="expression" priority="66" id="{8F149611-963B-4AC5-82DD-34E1A27A7054}">
            <xm:f>AND($AM$15&gt;=Q18,ACTIONS!$CH$37=0)</xm:f>
            <x14:dxf>
              <font>
                <color theme="1"/>
              </font>
            </x14:dxf>
          </x14:cfRule>
          <xm:sqref>Q16:R17</xm:sqref>
        </x14:conditionalFormatting>
        <x14:conditionalFormatting xmlns:xm="http://schemas.microsoft.com/office/excel/2006/main">
          <x14:cfRule type="expression" priority="64" id="{99D8AC3E-D8BF-4F36-9587-ABCD66DCB249}">
            <xm:f>AND($AM$15&gt;=AO18,ACTIONS!$CH$37=0)</xm:f>
            <x14:dxf>
              <font>
                <color theme="1"/>
              </font>
            </x14:dxf>
          </x14:cfRule>
          <xm:sqref>AO16:AP17</xm:sqref>
        </x14:conditionalFormatting>
        <x14:conditionalFormatting xmlns:xm="http://schemas.microsoft.com/office/excel/2006/main">
          <x14:cfRule type="expression" priority="62" id="{71CAAF3C-5AD4-478B-8FA9-D099C487B754}">
            <xm:f>AND($AM$15&gt;=AR18,ACTIONS!$CH$37=0)</xm:f>
            <x14:dxf>
              <font>
                <color theme="1"/>
              </font>
            </x14:dxf>
          </x14:cfRule>
          <xm:sqref>AR16:AS17</xm:sqref>
        </x14:conditionalFormatting>
        <x14:conditionalFormatting xmlns:xm="http://schemas.microsoft.com/office/excel/2006/main">
          <x14:cfRule type="expression" priority="60" id="{80BEB70B-241D-47C8-94EA-058BF7B24E81}">
            <xm:f>AND($AM$15&gt;=AU18,ACTIONS!$CH$37=0)</xm:f>
            <x14:dxf>
              <font>
                <color theme="1"/>
              </font>
            </x14:dxf>
          </x14:cfRule>
          <xm:sqref>AU16:AV17</xm:sqref>
        </x14:conditionalFormatting>
        <x14:conditionalFormatting xmlns:xm="http://schemas.microsoft.com/office/excel/2006/main">
          <x14:cfRule type="expression" priority="58" id="{B0BB8791-9340-4D2E-8B72-70A42D4BE104}">
            <xm:f>AND($AM$15&gt;=AX18,ACTIONS!$CH$37=0)</xm:f>
            <x14:dxf>
              <font>
                <color theme="1"/>
              </font>
            </x14:dxf>
          </x14:cfRule>
          <xm:sqref>AX16:AY17</xm:sqref>
        </x14:conditionalFormatting>
        <x14:conditionalFormatting xmlns:xm="http://schemas.microsoft.com/office/excel/2006/main">
          <x14:cfRule type="expression" priority="56" id="{1155A7EE-F5F9-4412-AAF7-19638D7FB277}">
            <xm:f>AND($AM$15&gt;=BA18,ACTIONS!$CH$37=0)</xm:f>
            <x14:dxf>
              <font>
                <color theme="1"/>
              </font>
            </x14:dxf>
          </x14:cfRule>
          <xm:sqref>BA16:BB17</xm:sqref>
        </x14:conditionalFormatting>
        <x14:conditionalFormatting xmlns:xm="http://schemas.microsoft.com/office/excel/2006/main">
          <x14:cfRule type="expression" priority="54" id="{E0E97CA5-576E-4DA5-979D-5ABE43C0EC46}">
            <xm:f>AND($AM$15&gt;=BD18,ACTIONS!$CH$37=0)</xm:f>
            <x14:dxf>
              <font>
                <color theme="1"/>
              </font>
            </x14:dxf>
          </x14:cfRule>
          <xm:sqref>BD16:BE17</xm:sqref>
        </x14:conditionalFormatting>
        <x14:conditionalFormatting xmlns:xm="http://schemas.microsoft.com/office/excel/2006/main">
          <x14:cfRule type="expression" priority="52" id="{DD91B61E-BF60-4FCA-A8BF-1DFD2245B6C2}">
            <xm:f>AND($AM$15&gt;=BG18,ACTIONS!$CH$37=0)</xm:f>
            <x14:dxf>
              <font>
                <color theme="1"/>
              </font>
            </x14:dxf>
          </x14:cfRule>
          <xm:sqref>BG16:BH17</xm:sqref>
        </x14:conditionalFormatting>
        <x14:conditionalFormatting xmlns:xm="http://schemas.microsoft.com/office/excel/2006/main">
          <x14:cfRule type="expression" priority="50" id="{ED08BE55-9930-49AE-B063-2AFE5C5674B5}">
            <xm:f>AND($AM$15&gt;=BJ18,ACTIONS!$CH$37=0)</xm:f>
            <x14:dxf>
              <font>
                <color theme="1"/>
              </font>
            </x14:dxf>
          </x14:cfRule>
          <xm:sqref>BJ16:BK17</xm:sqref>
        </x14:conditionalFormatting>
        <x14:conditionalFormatting xmlns:xm="http://schemas.microsoft.com/office/excel/2006/main">
          <x14:cfRule type="expression" priority="43" id="{8A3A3834-002F-499C-8ABE-BD3185275FAE}">
            <xm:f>ACTIONS!$CH$37&gt;=BE22</xm:f>
            <x14:dxf>
              <font>
                <color theme="0"/>
              </font>
            </x14:dxf>
          </x14:cfRule>
          <xm:sqref>BE21:BK21</xm:sqref>
        </x14:conditionalFormatting>
        <x14:conditionalFormatting xmlns:xm="http://schemas.microsoft.com/office/excel/2006/main">
          <x14:cfRule type="expression" priority="44292" id="{803C4394-4A76-4656-9602-E8AB65DD2074}">
            <xm:f>ACTIONS!$DC$15&gt;=$K4</xm:f>
            <x14:dxf>
              <font>
                <color theme="0"/>
              </font>
              <fill>
                <patternFill>
                  <bgColor rgb="FF0070C0"/>
                </patternFill>
              </fill>
            </x14:dxf>
          </x14:cfRule>
          <xm:sqref>K4:K33</xm:sqref>
        </x14:conditionalFormatting>
        <x14:conditionalFormatting xmlns:xm="http://schemas.microsoft.com/office/excel/2006/main">
          <x14:cfRule type="expression" priority="44293" id="{2361CD45-8586-410C-AC62-0AF5C9FB9328}">
            <xm:f>ACTIONS!$DB$15&gt;=$J4</xm:f>
            <x14:dxf>
              <font>
                <color theme="0"/>
              </font>
              <fill>
                <patternFill>
                  <bgColor rgb="FF9900CC"/>
                </patternFill>
              </fill>
            </x14:dxf>
          </x14:cfRule>
          <xm:sqref>J4:J33</xm:sqref>
        </x14:conditionalFormatting>
        <x14:conditionalFormatting xmlns:xm="http://schemas.microsoft.com/office/excel/2006/main">
          <x14:cfRule type="expression" priority="44294" id="{886C0095-DA33-4D8F-9A46-B6430361BB4D}">
            <xm:f>ACTIONS!$DA$15&gt;=$I4</xm:f>
            <x14:dxf>
              <font>
                <color theme="0"/>
              </font>
              <fill>
                <patternFill>
                  <bgColor rgb="FFFF00FF"/>
                </patternFill>
              </fill>
            </x14:dxf>
          </x14:cfRule>
          <xm:sqref>I4:I33</xm:sqref>
        </x14:conditionalFormatting>
        <x14:conditionalFormatting xmlns:xm="http://schemas.microsoft.com/office/excel/2006/main">
          <x14:cfRule type="expression" priority="44295" id="{F0E87170-F65F-4227-A9F8-CCE0C6884E4F}">
            <xm:f>ACTIONS!$CY$15&gt;=$G4</xm:f>
            <x14:dxf>
              <font>
                <color theme="0"/>
              </font>
              <fill>
                <patternFill>
                  <bgColor rgb="FFC00000"/>
                </patternFill>
              </fill>
            </x14:dxf>
          </x14:cfRule>
          <xm:sqref>G4:G33</xm:sqref>
        </x14:conditionalFormatting>
        <x14:conditionalFormatting xmlns:xm="http://schemas.microsoft.com/office/excel/2006/main">
          <x14:cfRule type="expression" priority="44296" id="{013DCE21-24AB-4AF2-AAF0-D7176C7E11F1}">
            <xm:f>ACTIONS!$CX$15&gt;=$F4</xm:f>
            <x14:dxf>
              <font>
                <color theme="0"/>
              </font>
              <fill>
                <patternFill>
                  <bgColor rgb="FFFF6600"/>
                </patternFill>
              </fill>
            </x14:dxf>
          </x14:cfRule>
          <xm:sqref>F4:F33</xm:sqref>
        </x14:conditionalFormatting>
        <x14:conditionalFormatting xmlns:xm="http://schemas.microsoft.com/office/excel/2006/main">
          <x14:cfRule type="expression" priority="44297" id="{D080E3B2-2584-4FB2-A587-E4E6A52C330D}">
            <xm:f>ACTIONS!$CW$15&gt;=$E4</xm:f>
            <x14:dxf>
              <font>
                <color theme="0"/>
              </font>
              <fill>
                <patternFill>
                  <bgColor rgb="FFFFC000"/>
                </patternFill>
              </fill>
            </x14:dxf>
          </x14:cfRule>
          <xm:sqref>E4:E33</xm:sqref>
        </x14:conditionalFormatting>
        <x14:conditionalFormatting xmlns:xm="http://schemas.microsoft.com/office/excel/2006/main">
          <x14:cfRule type="expression" priority="44298" id="{40B07544-E657-4C12-821B-5B698869F6A1}">
            <xm:f>ACTIONS!$CV$15&gt;=$D4</xm:f>
            <x14:dxf>
              <font>
                <color theme="0"/>
              </font>
              <fill>
                <patternFill>
                  <bgColor rgb="FF00B050"/>
                </patternFill>
              </fill>
            </x14:dxf>
          </x14:cfRule>
          <xm:sqref>D4:D33</xm:sqref>
        </x14:conditionalFormatting>
        <x14:conditionalFormatting xmlns:xm="http://schemas.microsoft.com/office/excel/2006/main">
          <x14:cfRule type="expression" priority="44299" id="{9EB669FE-73F3-48CA-9D54-416854FE0F98}">
            <xm:f>ACTIONS!$CU$15&gt;=$C4</xm:f>
            <x14:dxf>
              <font>
                <color theme="0"/>
              </font>
              <fill>
                <patternFill>
                  <bgColor rgb="FF00B0F0"/>
                </patternFill>
              </fill>
            </x14:dxf>
          </x14:cfRule>
          <xm:sqref>C4:C33</xm:sqref>
        </x14:conditionalFormatting>
        <x14:conditionalFormatting xmlns:xm="http://schemas.microsoft.com/office/excel/2006/main">
          <x14:cfRule type="expression" priority="44300" id="{47575309-CB37-44CA-9FF0-9B7C70973E67}">
            <xm:f>ACTIONS!$CZ$15&gt;=$H4</xm:f>
            <x14:dxf>
              <font>
                <color theme="0"/>
              </font>
              <fill>
                <patternFill>
                  <bgColor rgb="FFFF0000"/>
                </patternFill>
              </fill>
            </x14:dxf>
          </x14:cfRule>
          <xm:sqref>H4:H33</xm:sqref>
        </x14:conditionalFormatting>
        <x14:conditionalFormatting xmlns:xm="http://schemas.microsoft.com/office/excel/2006/main">
          <x14:cfRule type="cellIs" priority="44301" operator="equal" id="{ECD596FE-D5CE-4CF8-918F-6E64D9D26479}">
            <xm:f>ACTIONS!$CU$15</xm:f>
            <x14:dxf/>
          </x14:cfRule>
          <xm:sqref>C3 E3:K3</xm:sqref>
        </x14:conditionalFormatting>
        <x14:conditionalFormatting xmlns:xm="http://schemas.microsoft.com/office/excel/2006/main">
          <x14:cfRule type="expression" priority="44350" id="{B9E7E045-B42E-4499-B3EC-DEBF1A691DDE}">
            <xm:f>ACTIONS!$CU$18&gt;=$BQ4</xm:f>
            <x14:dxf>
              <font>
                <color theme="0"/>
              </font>
              <fill>
                <patternFill>
                  <bgColor rgb="FF0070C0"/>
                </patternFill>
              </fill>
            </x14:dxf>
          </x14:cfRule>
          <xm:sqref>BQ4:BQ33</xm:sqref>
        </x14:conditionalFormatting>
        <x14:conditionalFormatting xmlns:xm="http://schemas.microsoft.com/office/excel/2006/main">
          <x14:cfRule type="expression" priority="44351" id="{D22AA456-567F-42CB-B955-B61C2D51DABB}">
            <xm:f>ACTIONS!$DA$18&gt;=$BW4</xm:f>
            <x14:dxf>
              <font>
                <color theme="0"/>
              </font>
              <fill>
                <patternFill>
                  <bgColor rgb="FFFFC000"/>
                </patternFill>
              </fill>
            </x14:dxf>
          </x14:cfRule>
          <xm:sqref>BW4:BW33</xm:sqref>
        </x14:conditionalFormatting>
        <x14:conditionalFormatting xmlns:xm="http://schemas.microsoft.com/office/excel/2006/main">
          <x14:cfRule type="expression" priority="44352" id="{DF8717DF-F8EF-4B42-8073-51D5CF0DC587}">
            <xm:f>ACTIONS!$CV$18&gt;=$BR4</xm:f>
            <x14:dxf>
              <font>
                <color theme="0"/>
              </font>
              <fill>
                <patternFill>
                  <bgColor rgb="FF9900CC"/>
                </patternFill>
              </fill>
            </x14:dxf>
          </x14:cfRule>
          <xm:sqref>BR4:BR33</xm:sqref>
        </x14:conditionalFormatting>
        <x14:conditionalFormatting xmlns:xm="http://schemas.microsoft.com/office/excel/2006/main">
          <x14:cfRule type="expression" priority="44353" id="{BCDB034F-9957-4D04-9060-6FA889FEC996}">
            <xm:f>ACTIONS!$CW$18&gt;=$BS4</xm:f>
            <x14:dxf>
              <font>
                <color theme="0"/>
              </font>
              <fill>
                <patternFill>
                  <bgColor rgb="FFFF00FF"/>
                </patternFill>
              </fill>
            </x14:dxf>
          </x14:cfRule>
          <xm:sqref>BS4:BS33</xm:sqref>
        </x14:conditionalFormatting>
        <x14:conditionalFormatting xmlns:xm="http://schemas.microsoft.com/office/excel/2006/main">
          <x14:cfRule type="expression" priority="44354" id="{BDE04527-4734-4367-BEDA-6C64E955E264}">
            <xm:f>ACTIONS!$CX$18&gt;=$BT4</xm:f>
            <x14:dxf>
              <font>
                <color theme="0"/>
              </font>
              <fill>
                <patternFill>
                  <bgColor rgb="FFFF0000"/>
                </patternFill>
              </fill>
            </x14:dxf>
          </x14:cfRule>
          <xm:sqref>BT4:BT33</xm:sqref>
        </x14:conditionalFormatting>
        <x14:conditionalFormatting xmlns:xm="http://schemas.microsoft.com/office/excel/2006/main">
          <x14:cfRule type="expression" priority="44355" id="{52E49EF5-B715-4443-AC98-5C22966AECE2}">
            <xm:f>ACTIONS!$CY$18&gt;=$BU4</xm:f>
            <x14:dxf>
              <font>
                <color theme="0"/>
              </font>
              <fill>
                <patternFill>
                  <bgColor rgb="FFC00000"/>
                </patternFill>
              </fill>
            </x14:dxf>
          </x14:cfRule>
          <xm:sqref>BU4:BU33</xm:sqref>
        </x14:conditionalFormatting>
        <x14:conditionalFormatting xmlns:xm="http://schemas.microsoft.com/office/excel/2006/main">
          <x14:cfRule type="expression" priority="44356" id="{439E2134-D15D-4BD9-BF5B-FB186FD084E3}">
            <xm:f>ACTIONS!$CZ$18&gt;=$BV4</xm:f>
            <x14:dxf>
              <font>
                <color theme="0"/>
              </font>
              <fill>
                <patternFill>
                  <bgColor rgb="FFFF6600"/>
                </patternFill>
              </fill>
            </x14:dxf>
          </x14:cfRule>
          <xm:sqref>BV4:BV33</xm:sqref>
        </x14:conditionalFormatting>
        <x14:conditionalFormatting xmlns:xm="http://schemas.microsoft.com/office/excel/2006/main">
          <x14:cfRule type="expression" priority="44357" id="{2397FBB2-77FE-44EC-BDDE-C94FB96C2C8C}">
            <xm:f>ACTIONS!$DB$18&gt;=$BX4</xm:f>
            <x14:dxf>
              <font>
                <color theme="0"/>
              </font>
              <fill>
                <patternFill>
                  <bgColor rgb="FF00B050"/>
                </patternFill>
              </fill>
            </x14:dxf>
          </x14:cfRule>
          <xm:sqref>BX4:BX33</xm:sqref>
        </x14:conditionalFormatting>
        <x14:conditionalFormatting xmlns:xm="http://schemas.microsoft.com/office/excel/2006/main">
          <x14:cfRule type="expression" priority="44358" id="{8A7DC5CE-324C-4378-9EFD-DD0EF99E7310}">
            <xm:f>ACTIONS!$DC$18&gt;=$BY4</xm:f>
            <x14:dxf>
              <font>
                <color theme="0"/>
              </font>
              <fill>
                <patternFill>
                  <bgColor rgb="FF00B0F0"/>
                </patternFill>
              </fill>
            </x14:dxf>
          </x14:cfRule>
          <xm:sqref>BY4:BY33</xm:sqref>
        </x14:conditionalFormatting>
        <x14:conditionalFormatting xmlns:xm="http://schemas.microsoft.com/office/excel/2006/main">
          <x14:cfRule type="expression" priority="58367" id="{BF0C7BCC-17B9-40FB-BCE4-73EC2E518253}">
            <xm:f>data!$BZ$33&gt;=AR2</xm:f>
            <x14:dxf>
              <font>
                <color theme="0"/>
              </font>
              <fill>
                <patternFill>
                  <bgColor rgb="FF0070C0"/>
                </patternFill>
              </fill>
            </x14:dxf>
          </x14:cfRule>
          <xm:sqref>AR3:BN3</xm:sqref>
        </x14:conditionalFormatting>
        <x14:conditionalFormatting xmlns:xm="http://schemas.microsoft.com/office/excel/2006/main">
          <x14:cfRule type="expression" priority="58368" id="{B9D93541-EAB4-481D-88C4-8B1DD77F6D22}">
            <xm:f>data!$CA$33&gt;=AR2</xm:f>
            <x14:dxf>
              <font>
                <color theme="0"/>
              </font>
              <fill>
                <patternFill>
                  <bgColor rgb="FF9900CC"/>
                </patternFill>
              </fill>
            </x14:dxf>
          </x14:cfRule>
          <xm:sqref>AR4:BN4</xm:sqref>
        </x14:conditionalFormatting>
        <x14:conditionalFormatting xmlns:xm="http://schemas.microsoft.com/office/excel/2006/main">
          <x14:cfRule type="expression" priority="58369" id="{40663ACF-9069-4474-A399-AF091ACCB999}">
            <xm:f>data!$CB$33&gt;=AR2</xm:f>
            <x14:dxf>
              <font>
                <color theme="0"/>
              </font>
              <fill>
                <patternFill>
                  <bgColor rgb="FFFF00FF"/>
                </patternFill>
              </fill>
            </x14:dxf>
          </x14:cfRule>
          <xm:sqref>AR5:BN5</xm:sqref>
        </x14:conditionalFormatting>
        <x14:conditionalFormatting xmlns:xm="http://schemas.microsoft.com/office/excel/2006/main">
          <x14:cfRule type="expression" priority="58370" id="{153CB80C-5E22-4181-8194-FE511D160024}">
            <xm:f>data!$CC$33&gt;=AR2</xm:f>
            <x14:dxf>
              <font>
                <color theme="0"/>
              </font>
              <fill>
                <patternFill>
                  <bgColor rgb="FFFF0000"/>
                </patternFill>
              </fill>
            </x14:dxf>
          </x14:cfRule>
          <xm:sqref>AR6:BN6</xm:sqref>
        </x14:conditionalFormatting>
        <x14:conditionalFormatting xmlns:xm="http://schemas.microsoft.com/office/excel/2006/main">
          <x14:cfRule type="expression" priority="58371" id="{D935CF3B-8A85-4B3F-A3DB-1EC03BFFB308}">
            <xm:f>data!$CD$33&gt;=AR2</xm:f>
            <x14:dxf>
              <font>
                <color theme="0"/>
              </font>
              <fill>
                <patternFill>
                  <bgColor rgb="FFC00000"/>
                </patternFill>
              </fill>
            </x14:dxf>
          </x14:cfRule>
          <xm:sqref>AR7:BN7</xm:sqref>
        </x14:conditionalFormatting>
        <x14:conditionalFormatting xmlns:xm="http://schemas.microsoft.com/office/excel/2006/main">
          <x14:cfRule type="expression" priority="58372" id="{E1A04B14-A1A6-4C9F-B03F-2E8CBDBDEEAF}">
            <xm:f>data!$CE$33&gt;=AR2</xm:f>
            <x14:dxf>
              <font>
                <color theme="0"/>
              </font>
              <fill>
                <patternFill>
                  <bgColor rgb="FFFF6600"/>
                </patternFill>
              </fill>
            </x14:dxf>
          </x14:cfRule>
          <xm:sqref>AR8:BN8</xm:sqref>
        </x14:conditionalFormatting>
        <x14:conditionalFormatting xmlns:xm="http://schemas.microsoft.com/office/excel/2006/main">
          <x14:cfRule type="expression" priority="58373" id="{43C37E8D-C641-4AEB-9D13-985CF926A3AC}">
            <xm:f>data!$CF$33&gt;=AR2</xm:f>
            <x14:dxf>
              <font>
                <color theme="0"/>
              </font>
              <fill>
                <patternFill>
                  <bgColor rgb="FFFFC000"/>
                </patternFill>
              </fill>
            </x14:dxf>
          </x14:cfRule>
          <xm:sqref>AR9:BN9</xm:sqref>
        </x14:conditionalFormatting>
        <x14:conditionalFormatting xmlns:xm="http://schemas.microsoft.com/office/excel/2006/main">
          <x14:cfRule type="expression" priority="58374" id="{0B5253A3-B73B-4B69-B77F-1AE0B14BAA63}">
            <xm:f>data!$CG$33&gt;=AR2</xm:f>
            <x14:dxf>
              <font>
                <color theme="0"/>
              </font>
              <fill>
                <patternFill>
                  <bgColor rgb="FF00B050"/>
                </patternFill>
              </fill>
            </x14:dxf>
          </x14:cfRule>
          <xm:sqref>AR10:BN10</xm:sqref>
        </x14:conditionalFormatting>
        <x14:conditionalFormatting xmlns:xm="http://schemas.microsoft.com/office/excel/2006/main">
          <x14:cfRule type="expression" priority="58375" id="{06F0FD3F-071E-4DEB-BDDC-67D6103701AD}">
            <xm:f>data!$CH$33&gt;=AR2</xm:f>
            <x14:dxf>
              <font>
                <color theme="0"/>
              </font>
              <fill>
                <patternFill>
                  <bgColor rgb="FF00B0F0"/>
                </patternFill>
              </fill>
            </x14:dxf>
          </x14:cfRule>
          <xm:sqref>AR11:BN11</xm:sqref>
        </x14:conditionalFormatting>
        <x14:conditionalFormatting xmlns:xm="http://schemas.microsoft.com/office/excel/2006/main">
          <x14:cfRule type="expression" priority="58376" id="{908E3B21-953D-47E2-AA8F-FB1A4D816370}">
            <xm:f>data!$BZ$28&gt;=N2</xm:f>
            <x14:dxf>
              <font>
                <color theme="0"/>
              </font>
              <fill>
                <patternFill>
                  <bgColor rgb="FF00B0F0"/>
                </patternFill>
              </fill>
            </x14:dxf>
          </x14:cfRule>
          <xm:sqref>N3:AJ3</xm:sqref>
        </x14:conditionalFormatting>
        <x14:conditionalFormatting xmlns:xm="http://schemas.microsoft.com/office/excel/2006/main">
          <x14:cfRule type="expression" priority="58377" id="{8CFE57AB-F591-4FAF-9E30-C115F1742244}">
            <xm:f>data!$CA$28&gt;=N2</xm:f>
            <x14:dxf>
              <font>
                <color theme="0"/>
              </font>
              <fill>
                <patternFill>
                  <bgColor rgb="FF00B050"/>
                </patternFill>
              </fill>
            </x14:dxf>
          </x14:cfRule>
          <xm:sqref>N4:AJ4</xm:sqref>
        </x14:conditionalFormatting>
        <x14:conditionalFormatting xmlns:xm="http://schemas.microsoft.com/office/excel/2006/main">
          <x14:cfRule type="expression" priority="58378" id="{DA6E6D06-4A93-4460-985E-A263D2D7366A}">
            <xm:f>data!$CB$28&gt;=N2</xm:f>
            <x14:dxf>
              <font>
                <color theme="0"/>
              </font>
              <fill>
                <patternFill>
                  <bgColor rgb="FFFFC000"/>
                </patternFill>
              </fill>
            </x14:dxf>
          </x14:cfRule>
          <xm:sqref>N5:AJ5</xm:sqref>
        </x14:conditionalFormatting>
        <x14:conditionalFormatting xmlns:xm="http://schemas.microsoft.com/office/excel/2006/main">
          <x14:cfRule type="expression" priority="58379" id="{F83B9E9C-C084-44E6-BC8D-88B081DD3F72}">
            <xm:f>data!$CC$28&gt;=N2</xm:f>
            <x14:dxf>
              <font>
                <color theme="0"/>
              </font>
              <fill>
                <patternFill>
                  <bgColor rgb="FFFF6600"/>
                </patternFill>
              </fill>
            </x14:dxf>
          </x14:cfRule>
          <xm:sqref>N6:AJ6</xm:sqref>
        </x14:conditionalFormatting>
        <x14:conditionalFormatting xmlns:xm="http://schemas.microsoft.com/office/excel/2006/main">
          <x14:cfRule type="expression" priority="58380" id="{41F19D34-07B8-419E-9474-3ADE8917CAB9}">
            <xm:f>data!$CD$28&gt;=N2</xm:f>
            <x14:dxf>
              <font>
                <color theme="0"/>
              </font>
              <fill>
                <patternFill>
                  <bgColor rgb="FFC00000"/>
                </patternFill>
              </fill>
            </x14:dxf>
          </x14:cfRule>
          <xm:sqref>N7:AJ7</xm:sqref>
        </x14:conditionalFormatting>
        <x14:conditionalFormatting xmlns:xm="http://schemas.microsoft.com/office/excel/2006/main">
          <x14:cfRule type="expression" priority="58381" id="{33D1051C-CF4A-4960-B669-621D4700A08E}">
            <xm:f>data!$CE$28&gt;=N2</xm:f>
            <x14:dxf>
              <font>
                <color theme="0"/>
              </font>
              <fill>
                <patternFill>
                  <bgColor rgb="FFFF0000"/>
                </patternFill>
              </fill>
            </x14:dxf>
          </x14:cfRule>
          <xm:sqref>N8:AJ8</xm:sqref>
        </x14:conditionalFormatting>
        <x14:conditionalFormatting xmlns:xm="http://schemas.microsoft.com/office/excel/2006/main">
          <x14:cfRule type="expression" priority="58382" id="{293289D9-46A9-42F0-8CBE-0C900C971624}">
            <xm:f>data!$CF$28&gt;=N2</xm:f>
            <x14:dxf>
              <font>
                <color theme="0"/>
              </font>
              <fill>
                <patternFill>
                  <bgColor rgb="FFFF00FF"/>
                </patternFill>
              </fill>
            </x14:dxf>
          </x14:cfRule>
          <xm:sqref>N9:AJ9</xm:sqref>
        </x14:conditionalFormatting>
        <x14:conditionalFormatting xmlns:xm="http://schemas.microsoft.com/office/excel/2006/main">
          <x14:cfRule type="expression" priority="58383" id="{6B7D8911-0624-4110-8600-E882D3FBFB82}">
            <xm:f>data!$CG$28&gt;=N2</xm:f>
            <x14:dxf>
              <font>
                <color theme="0"/>
              </font>
              <fill>
                <patternFill>
                  <bgColor rgb="FF9900CC"/>
                </patternFill>
              </fill>
            </x14:dxf>
          </x14:cfRule>
          <xm:sqref>N10:AJ10</xm:sqref>
        </x14:conditionalFormatting>
        <x14:conditionalFormatting xmlns:xm="http://schemas.microsoft.com/office/excel/2006/main">
          <x14:cfRule type="expression" priority="58384" id="{0F7A82F2-B1BB-43B6-94A5-FD5E9EF3429A}">
            <xm:f>data!$CH$28&gt;=N2</xm:f>
            <x14:dxf>
              <font>
                <color theme="0"/>
              </font>
              <fill>
                <patternFill>
                  <bgColor rgb="FF0070C0"/>
                </patternFill>
              </fill>
            </x14:dxf>
          </x14:cfRule>
          <xm:sqref>N11:AJ11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C114F-A664-4FE5-80CE-1231D5F01FD3}">
  <sheetPr codeName="Sheet9"/>
  <dimension ref="A1:CK157"/>
  <sheetViews>
    <sheetView showGridLines="0" showRowColHeaders="0" zoomScaleNormal="100" workbookViewId="0"/>
  </sheetViews>
  <sheetFormatPr defaultColWidth="3.42578125" defaultRowHeight="17.100000000000001" customHeight="1" x14ac:dyDescent="0.15"/>
  <cols>
    <col min="1" max="36" width="3.42578125" style="19"/>
    <col min="37" max="37" width="3.42578125" style="19" customWidth="1"/>
    <col min="38" max="79" width="3.42578125" style="19"/>
    <col min="80" max="89" width="3.42578125" style="19" hidden="1" customWidth="1"/>
    <col min="90" max="16384" width="3.42578125" style="19"/>
  </cols>
  <sheetData>
    <row r="1" spans="1:88" ht="17.100000000000001" customHeight="1" x14ac:dyDescent="0.15">
      <c r="A1" s="2694" t="s">
        <v>1706</v>
      </c>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2339"/>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8" t="s">
        <v>782</v>
      </c>
      <c r="CC1" s="1122"/>
    </row>
    <row r="2" spans="1:88" ht="17.100000000000001" customHeight="1" thickBot="1" x14ac:dyDescent="0.2">
      <c r="A2" s="17"/>
      <c r="B2" s="604"/>
      <c r="C2" s="604"/>
      <c r="D2" s="604"/>
      <c r="E2" s="604"/>
      <c r="F2" s="604"/>
      <c r="G2" s="604"/>
      <c r="H2" s="604"/>
      <c r="I2" s="604"/>
      <c r="J2" s="604"/>
      <c r="K2" s="604"/>
      <c r="L2" s="604"/>
      <c r="M2" s="17"/>
      <c r="N2" s="17"/>
      <c r="O2" s="17"/>
      <c r="P2" s="17"/>
      <c r="Q2" s="17"/>
      <c r="R2" s="17"/>
      <c r="S2" s="17"/>
      <c r="T2" s="17"/>
      <c r="U2" s="17"/>
      <c r="V2" s="17"/>
      <c r="W2" s="17"/>
      <c r="X2" s="17"/>
      <c r="Y2" s="17"/>
      <c r="Z2" s="17"/>
      <c r="AA2" s="17"/>
      <c r="AB2" s="17"/>
      <c r="AC2" s="17"/>
      <c r="AD2" s="17"/>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17"/>
      <c r="BK2" s="17"/>
      <c r="BL2" s="17"/>
      <c r="BM2" s="17"/>
      <c r="BN2" s="17"/>
      <c r="BO2" s="17"/>
      <c r="BP2" s="604"/>
      <c r="BQ2" s="604"/>
      <c r="BR2" s="604"/>
      <c r="BS2" s="604"/>
      <c r="BT2" s="604"/>
      <c r="BU2" s="604"/>
      <c r="BV2" s="604"/>
      <c r="BW2" s="604"/>
      <c r="BX2" s="604"/>
      <c r="BY2" s="604"/>
      <c r="BZ2" s="604"/>
      <c r="CA2" s="605"/>
      <c r="CC2" s="1124" t="s">
        <v>505</v>
      </c>
      <c r="CD2" s="46"/>
    </row>
    <row r="3" spans="1:88" ht="17.100000000000001" customHeight="1" thickTop="1" x14ac:dyDescent="0.3">
      <c r="A3" s="17"/>
      <c r="B3" s="604"/>
      <c r="C3" s="17"/>
      <c r="D3" s="17"/>
      <c r="E3" s="17"/>
      <c r="F3" s="17"/>
      <c r="G3" s="17"/>
      <c r="H3" s="826"/>
      <c r="I3" s="826"/>
      <c r="J3" s="17"/>
      <c r="K3" s="826"/>
      <c r="L3" s="826"/>
      <c r="M3" s="17"/>
      <c r="N3" s="17"/>
      <c r="O3" s="17"/>
      <c r="P3" s="826"/>
      <c r="Q3" s="826"/>
      <c r="R3" s="898"/>
      <c r="S3" s="826"/>
      <c r="T3" s="826"/>
      <c r="U3" s="899"/>
      <c r="V3" s="826"/>
      <c r="W3" s="826"/>
      <c r="X3" s="900"/>
      <c r="Y3" s="605"/>
      <c r="Z3" s="605"/>
      <c r="AA3" s="2333"/>
      <c r="AB3" s="2334"/>
      <c r="AC3" s="2335"/>
      <c r="AD3" s="2335"/>
      <c r="AE3" s="2335"/>
      <c r="AF3" s="2335"/>
      <c r="AG3" s="2335"/>
      <c r="AH3" s="606"/>
      <c r="AI3" s="606"/>
      <c r="AJ3" s="606"/>
      <c r="AK3" s="606"/>
      <c r="AL3" s="606"/>
      <c r="AM3" s="606"/>
      <c r="AN3" s="606"/>
      <c r="AO3" s="606"/>
      <c r="AP3" s="606"/>
      <c r="AQ3" s="606"/>
      <c r="AR3" s="606"/>
      <c r="AS3" s="606"/>
      <c r="AT3" s="606"/>
      <c r="AU3" s="606"/>
      <c r="AV3" s="606"/>
      <c r="AW3" s="606"/>
      <c r="AX3" s="606"/>
      <c r="AY3" s="606"/>
      <c r="AZ3" s="607"/>
      <c r="BA3" s="608"/>
      <c r="BB3" s="17"/>
      <c r="BC3" s="17"/>
      <c r="BD3" s="901"/>
      <c r="BE3" s="901"/>
      <c r="BF3" s="901"/>
      <c r="BG3" s="901"/>
      <c r="BH3" s="901"/>
      <c r="BI3" s="901"/>
      <c r="BJ3" s="902"/>
      <c r="BK3" s="826"/>
      <c r="BL3" s="826"/>
      <c r="BM3" s="17"/>
      <c r="BN3" s="17"/>
      <c r="BO3" s="17"/>
      <c r="BP3" s="17"/>
      <c r="BQ3" s="17"/>
      <c r="BR3" s="17"/>
      <c r="BS3" s="17"/>
      <c r="BT3" s="17"/>
      <c r="BU3" s="17"/>
      <c r="BV3" s="17"/>
      <c r="BW3" s="17"/>
      <c r="BX3" s="17"/>
      <c r="BY3" s="17"/>
      <c r="BZ3" s="604"/>
      <c r="CA3" s="605"/>
      <c r="CC3" s="46"/>
      <c r="CD3" s="46"/>
    </row>
    <row r="4" spans="1:88" ht="17.100000000000001" customHeight="1" thickBot="1" x14ac:dyDescent="0.35">
      <c r="A4" s="17"/>
      <c r="B4" s="604"/>
      <c r="C4" s="17"/>
      <c r="D4" s="17"/>
      <c r="E4" s="17"/>
      <c r="F4" s="17"/>
      <c r="G4" s="17"/>
      <c r="H4" s="826"/>
      <c r="I4" s="826"/>
      <c r="J4" s="17"/>
      <c r="K4" s="826"/>
      <c r="L4" s="826"/>
      <c r="M4" s="17"/>
      <c r="N4" s="17"/>
      <c r="O4" s="17"/>
      <c r="P4" s="826"/>
      <c r="Q4" s="826"/>
      <c r="R4" s="898"/>
      <c r="S4" s="826"/>
      <c r="T4" s="826"/>
      <c r="U4" s="902"/>
      <c r="V4" s="826"/>
      <c r="W4" s="826"/>
      <c r="X4" s="903"/>
      <c r="Y4" s="17"/>
      <c r="Z4" s="17"/>
      <c r="AA4" s="2336"/>
      <c r="AB4" s="904"/>
      <c r="AC4" s="2345" t="s">
        <v>439</v>
      </c>
      <c r="AD4" s="2346">
        <f>SUM(AB9,AB12,AB15,AB18,AZ9,AZ12,AZ15,AZ18)</f>
        <v>0</v>
      </c>
      <c r="AE4" s="904"/>
      <c r="AF4" s="2337"/>
      <c r="AG4" s="155"/>
      <c r="AH4" s="4567" t="e">
        <f>_xlfn.IFS(PLANS!$F$3="JANUARY","J A N U A R Y   S T A T U S",PLANS!$F$3="FEBRUARY","F E B R U A R Y   S T A T U S",PLANS!$F$3="MARCH","M A R C H   S T A T U S",PLANS!$F$3="APRIL","A P R I L   S T A T U S",PLANS!$F$3="MAY","M A Y   S T A T U S",PLANS!$F$3="JUNE","J U N E   S T A T U S",PLANS!$F$3="JULY","J U L Y   S T A T U S",PLANS!$F$3="AUGUST","A U G U S T   S T A T U S",PLANS!$F$3="SEPTEMBER","S E P T E M B E R   S T A T U S",PLANS!$F$3="OCTOBER","O C T O B E R   S T A T U S",PLANS!$F$3="NOVEMBER","N O V E M B E R   S T A T U S",PLANS!$F$3="DECEMBER","D E C E M B E R   S T A T U S")</f>
        <v>#N/A</v>
      </c>
      <c r="AI4" s="4567"/>
      <c r="AJ4" s="4567"/>
      <c r="AK4" s="4567"/>
      <c r="AL4" s="4567"/>
      <c r="AM4" s="4567"/>
      <c r="AN4" s="4567"/>
      <c r="AO4" s="4567"/>
      <c r="AP4" s="4567"/>
      <c r="AQ4" s="4567"/>
      <c r="AR4" s="4567"/>
      <c r="AS4" s="4567"/>
      <c r="AT4" s="4567"/>
      <c r="AU4" s="906"/>
      <c r="AV4" s="904"/>
      <c r="AW4" s="904"/>
      <c r="AX4" s="904"/>
      <c r="AY4" s="904"/>
      <c r="AZ4" s="907"/>
      <c r="BA4" s="609"/>
      <c r="BB4" s="17"/>
      <c r="BC4" s="17"/>
      <c r="BD4" s="901"/>
      <c r="BE4" s="901"/>
      <c r="BF4" s="901"/>
      <c r="BG4" s="901"/>
      <c r="BH4" s="901"/>
      <c r="BI4" s="901"/>
      <c r="BJ4" s="902"/>
      <c r="BK4" s="826"/>
      <c r="BL4" s="826"/>
      <c r="BM4" s="17"/>
      <c r="BN4" s="17"/>
      <c r="BO4" s="17"/>
      <c r="BP4" s="17"/>
      <c r="BQ4" s="17"/>
      <c r="BR4" s="17"/>
      <c r="BS4" s="17"/>
      <c r="BT4" s="17"/>
      <c r="BU4" s="17"/>
      <c r="BV4" s="17"/>
      <c r="BW4" s="17"/>
      <c r="BX4" s="17"/>
      <c r="BY4" s="17"/>
      <c r="BZ4" s="604"/>
      <c r="CA4" s="605"/>
      <c r="CD4" s="46"/>
    </row>
    <row r="5" spans="1:88" ht="17.100000000000001" customHeight="1" thickTop="1" x14ac:dyDescent="0.3">
      <c r="A5" s="17"/>
      <c r="B5" s="604"/>
      <c r="C5" s="17"/>
      <c r="D5" s="17"/>
      <c r="E5" s="610"/>
      <c r="F5" s="611"/>
      <c r="G5" s="611"/>
      <c r="H5" s="611"/>
      <c r="I5" s="611"/>
      <c r="J5" s="611"/>
      <c r="K5" s="611"/>
      <c r="L5" s="611"/>
      <c r="M5" s="611"/>
      <c r="N5" s="611"/>
      <c r="O5" s="611"/>
      <c r="P5" s="611"/>
      <c r="Q5" s="611"/>
      <c r="R5" s="611"/>
      <c r="S5" s="611"/>
      <c r="T5" s="611"/>
      <c r="U5" s="611"/>
      <c r="V5" s="611"/>
      <c r="W5" s="611"/>
      <c r="X5" s="612"/>
      <c r="Y5" s="17"/>
      <c r="Z5" s="17"/>
      <c r="AA5" s="2341" t="s">
        <v>790</v>
      </c>
      <c r="AB5" s="2342" t="s">
        <v>785</v>
      </c>
      <c r="AC5" s="2342" t="s">
        <v>786</v>
      </c>
      <c r="AD5" s="2342" t="s">
        <v>787</v>
      </c>
      <c r="AE5" s="2342" t="s">
        <v>788</v>
      </c>
      <c r="AF5" s="2342" t="s">
        <v>789</v>
      </c>
      <c r="AG5" s="908"/>
      <c r="AH5" s="909"/>
      <c r="AI5" s="908"/>
      <c r="AJ5" s="908"/>
      <c r="AK5" s="908"/>
      <c r="AL5" s="908"/>
      <c r="AM5" s="908"/>
      <c r="AN5" s="613"/>
      <c r="AO5" s="908"/>
      <c r="AP5" s="908"/>
      <c r="AQ5" s="908"/>
      <c r="AR5" s="908"/>
      <c r="AS5" s="908"/>
      <c r="AT5" s="908"/>
      <c r="AU5" s="908"/>
      <c r="AV5" s="908"/>
      <c r="AW5" s="908"/>
      <c r="AX5" s="908"/>
      <c r="AY5" s="908"/>
      <c r="AZ5" s="908"/>
      <c r="BA5" s="614"/>
      <c r="BB5" s="17"/>
      <c r="BC5" s="17"/>
      <c r="BD5" s="610"/>
      <c r="BE5" s="611"/>
      <c r="BF5" s="611"/>
      <c r="BG5" s="611"/>
      <c r="BH5" s="611"/>
      <c r="BI5" s="611"/>
      <c r="BJ5" s="611"/>
      <c r="BK5" s="611"/>
      <c r="BL5" s="611"/>
      <c r="BM5" s="611"/>
      <c r="BN5" s="611"/>
      <c r="BO5" s="611"/>
      <c r="BP5" s="611"/>
      <c r="BQ5" s="611"/>
      <c r="BR5" s="611"/>
      <c r="BS5" s="611"/>
      <c r="BT5" s="611"/>
      <c r="BU5" s="611"/>
      <c r="BV5" s="611"/>
      <c r="BW5" s="612"/>
      <c r="BX5" s="17"/>
      <c r="BY5" s="17"/>
      <c r="BZ5" s="604"/>
      <c r="CA5" s="605"/>
      <c r="CC5" s="1120"/>
      <c r="CD5" s="46"/>
    </row>
    <row r="6" spans="1:88" ht="17.100000000000001" customHeight="1" x14ac:dyDescent="0.3">
      <c r="A6" s="17"/>
      <c r="B6" s="604"/>
      <c r="C6" s="17"/>
      <c r="D6" s="17"/>
      <c r="E6" s="615"/>
      <c r="F6" s="910"/>
      <c r="G6" s="4568" t="s">
        <v>111</v>
      </c>
      <c r="H6" s="4568"/>
      <c r="I6" s="4568"/>
      <c r="J6" s="4568"/>
      <c r="K6" s="4568"/>
      <c r="L6" s="4568"/>
      <c r="M6" s="4568"/>
      <c r="N6" s="4568"/>
      <c r="O6" s="4568"/>
      <c r="P6" s="4568"/>
      <c r="Q6" s="4568"/>
      <c r="R6" s="4568"/>
      <c r="S6" s="4568"/>
      <c r="T6" s="4568"/>
      <c r="U6" s="4568"/>
      <c r="V6" s="4568"/>
      <c r="W6" s="910"/>
      <c r="X6" s="616"/>
      <c r="Y6" s="17"/>
      <c r="Z6" s="17"/>
      <c r="AA6" s="2343">
        <v>0</v>
      </c>
      <c r="AB6" s="2344">
        <v>1</v>
      </c>
      <c r="AC6" s="2344">
        <v>2</v>
      </c>
      <c r="AD6" s="2344">
        <v>3</v>
      </c>
      <c r="AE6" s="2344">
        <v>4</v>
      </c>
      <c r="AF6" s="2344">
        <v>5</v>
      </c>
      <c r="AG6" s="2338"/>
      <c r="AH6" s="4578" t="str">
        <f>_xlfn.IFS(AD4&gt;=32,"Õ",AD4&gt;=24,"Ö",AD4&gt;=16,"Ø",AD4&gt;=10,"Û",AD4&gt;=5,"Ú",TRUE,"Ü")</f>
        <v>Ü</v>
      </c>
      <c r="AI6" s="4578"/>
      <c r="AJ6" s="4578"/>
      <c r="AK6" s="4578"/>
      <c r="AL6" s="4578"/>
      <c r="AM6" s="4578"/>
      <c r="AN6" s="4578"/>
      <c r="AO6" s="4578"/>
      <c r="AP6" s="4578"/>
      <c r="AQ6" s="4578"/>
      <c r="AR6" s="4578"/>
      <c r="AS6" s="4578"/>
      <c r="AT6" s="4578"/>
      <c r="AU6" s="907"/>
      <c r="AV6" s="911"/>
      <c r="AW6" s="912"/>
      <c r="AX6" s="907"/>
      <c r="AY6" s="907"/>
      <c r="AZ6" s="907"/>
      <c r="BA6" s="609"/>
      <c r="BB6" s="17"/>
      <c r="BC6" s="17"/>
      <c r="BD6" s="615"/>
      <c r="BE6" s="617"/>
      <c r="BF6" s="4568" t="s">
        <v>113</v>
      </c>
      <c r="BG6" s="4568"/>
      <c r="BH6" s="4568"/>
      <c r="BI6" s="4568"/>
      <c r="BJ6" s="4568"/>
      <c r="BK6" s="4568"/>
      <c r="BL6" s="4568"/>
      <c r="BM6" s="4568"/>
      <c r="BN6" s="4568"/>
      <c r="BO6" s="4568"/>
      <c r="BP6" s="4568"/>
      <c r="BQ6" s="4568"/>
      <c r="BR6" s="4568"/>
      <c r="BS6" s="4568"/>
      <c r="BT6" s="4568"/>
      <c r="BU6" s="4568"/>
      <c r="BV6" s="617"/>
      <c r="BW6" s="616"/>
      <c r="BX6" s="17"/>
      <c r="BY6" s="17"/>
      <c r="BZ6" s="604"/>
      <c r="CA6" s="605"/>
      <c r="CC6" s="1121" t="s">
        <v>805</v>
      </c>
      <c r="CD6" s="46"/>
    </row>
    <row r="7" spans="1:88" ht="17.100000000000001" customHeight="1" x14ac:dyDescent="0.3">
      <c r="A7" s="17"/>
      <c r="B7" s="604"/>
      <c r="C7" s="17"/>
      <c r="D7" s="17"/>
      <c r="E7" s="618"/>
      <c r="F7" s="913"/>
      <c r="G7" s="913"/>
      <c r="H7" s="913"/>
      <c r="I7" s="913"/>
      <c r="J7" s="913"/>
      <c r="K7" s="913"/>
      <c r="L7" s="913"/>
      <c r="M7" s="913"/>
      <c r="N7" s="914"/>
      <c r="O7" s="914"/>
      <c r="P7" s="913"/>
      <c r="Q7" s="913"/>
      <c r="R7" s="913"/>
      <c r="S7" s="913"/>
      <c r="T7" s="913"/>
      <c r="U7" s="913"/>
      <c r="V7" s="913"/>
      <c r="W7" s="913"/>
      <c r="X7" s="619"/>
      <c r="Y7" s="17"/>
      <c r="Z7" s="17"/>
      <c r="AA7" s="2336"/>
      <c r="AB7" s="3171"/>
      <c r="AC7" s="3219" t="s">
        <v>2200</v>
      </c>
      <c r="AD7" s="3171"/>
      <c r="AE7" s="3171"/>
      <c r="AF7" s="917"/>
      <c r="AG7" s="917"/>
      <c r="AH7" s="4578"/>
      <c r="AI7" s="4578"/>
      <c r="AJ7" s="4578"/>
      <c r="AK7" s="4578"/>
      <c r="AL7" s="4578"/>
      <c r="AM7" s="4578"/>
      <c r="AN7" s="4578"/>
      <c r="AO7" s="4578"/>
      <c r="AP7" s="4578"/>
      <c r="AQ7" s="4578"/>
      <c r="AR7" s="4578"/>
      <c r="AS7" s="4578"/>
      <c r="AT7" s="4578"/>
      <c r="AU7" s="915"/>
      <c r="AV7" s="915"/>
      <c r="AW7" s="915"/>
      <c r="AX7" s="915"/>
      <c r="AY7" s="915"/>
      <c r="AZ7" s="907"/>
      <c r="BA7" s="609"/>
      <c r="BB7" s="17"/>
      <c r="BC7" s="17"/>
      <c r="BD7" s="615"/>
      <c r="BE7" s="910"/>
      <c r="BF7" s="910"/>
      <c r="BG7" s="910"/>
      <c r="BH7" s="910"/>
      <c r="BI7" s="910"/>
      <c r="BJ7" s="910"/>
      <c r="BK7" s="910"/>
      <c r="BL7" s="910"/>
      <c r="BM7" s="916"/>
      <c r="BN7" s="910"/>
      <c r="BO7" s="910"/>
      <c r="BP7" s="910"/>
      <c r="BQ7" s="910"/>
      <c r="BR7" s="910"/>
      <c r="BS7" s="910"/>
      <c r="BT7" s="910"/>
      <c r="BU7" s="910"/>
      <c r="BV7" s="617"/>
      <c r="BW7" s="619"/>
      <c r="BX7" s="17"/>
      <c r="BY7" s="17"/>
      <c r="BZ7" s="604"/>
      <c r="CA7" s="605"/>
      <c r="CC7" s="1121" t="s">
        <v>806</v>
      </c>
      <c r="CD7" s="46"/>
    </row>
    <row r="8" spans="1:88" ht="17.100000000000001" customHeight="1" x14ac:dyDescent="0.3">
      <c r="A8" s="17"/>
      <c r="B8" s="604"/>
      <c r="C8" s="17"/>
      <c r="D8" s="17"/>
      <c r="E8" s="618"/>
      <c r="F8" s="617"/>
      <c r="G8" s="4569" t="s">
        <v>683</v>
      </c>
      <c r="H8" s="4569"/>
      <c r="I8" s="4569"/>
      <c r="J8" s="4569"/>
      <c r="K8" s="4569"/>
      <c r="L8" s="4569"/>
      <c r="M8" s="4569"/>
      <c r="N8" s="4569"/>
      <c r="O8" s="4569"/>
      <c r="P8" s="4569"/>
      <c r="Q8" s="4569"/>
      <c r="R8" s="4569"/>
      <c r="S8" s="4569"/>
      <c r="T8" s="4569"/>
      <c r="U8" s="4569"/>
      <c r="V8" s="4569"/>
      <c r="W8" s="617"/>
      <c r="X8" s="619"/>
      <c r="Y8" s="17"/>
      <c r="Z8" s="17"/>
      <c r="AA8" s="620"/>
      <c r="AB8" s="3171"/>
      <c r="AC8" s="4574" t="s">
        <v>299</v>
      </c>
      <c r="AD8" s="4574"/>
      <c r="AE8" s="4574"/>
      <c r="AF8" s="4574"/>
      <c r="AG8" s="907"/>
      <c r="AH8" s="4578"/>
      <c r="AI8" s="4578"/>
      <c r="AJ8" s="4578"/>
      <c r="AK8" s="4578"/>
      <c r="AL8" s="4578"/>
      <c r="AM8" s="4578"/>
      <c r="AN8" s="4578"/>
      <c r="AO8" s="4578"/>
      <c r="AP8" s="4578"/>
      <c r="AQ8" s="4578"/>
      <c r="AR8" s="4578"/>
      <c r="AS8" s="4578"/>
      <c r="AT8" s="4578"/>
      <c r="AU8" s="907"/>
      <c r="AV8" s="4571" t="s">
        <v>112</v>
      </c>
      <c r="AW8" s="4571"/>
      <c r="AX8" s="4571"/>
      <c r="AY8" s="4571"/>
      <c r="AZ8" s="918"/>
      <c r="BA8" s="609"/>
      <c r="BB8" s="17"/>
      <c r="BC8" s="17"/>
      <c r="BD8" s="618"/>
      <c r="BE8" s="913"/>
      <c r="BF8" s="4569" t="s">
        <v>545</v>
      </c>
      <c r="BG8" s="4569"/>
      <c r="BH8" s="4569"/>
      <c r="BI8" s="4569"/>
      <c r="BJ8" s="4569"/>
      <c r="BK8" s="4569"/>
      <c r="BL8" s="4569"/>
      <c r="BM8" s="4569"/>
      <c r="BN8" s="4569"/>
      <c r="BO8" s="4569"/>
      <c r="BP8" s="4569"/>
      <c r="BQ8" s="4569"/>
      <c r="BR8" s="4569"/>
      <c r="BS8" s="4569"/>
      <c r="BT8" s="4569"/>
      <c r="BU8" s="4569"/>
      <c r="BV8" s="617"/>
      <c r="BW8" s="619"/>
      <c r="BX8" s="17"/>
      <c r="BY8" s="17"/>
      <c r="BZ8" s="604"/>
      <c r="CA8" s="605"/>
      <c r="CC8" s="1121" t="s">
        <v>807</v>
      </c>
      <c r="CD8" s="46"/>
    </row>
    <row r="9" spans="1:88" ht="17.100000000000001" customHeight="1" x14ac:dyDescent="0.2">
      <c r="A9" s="17"/>
      <c r="B9" s="604"/>
      <c r="C9" s="17"/>
      <c r="D9" s="17"/>
      <c r="E9" s="618"/>
      <c r="F9" s="617"/>
      <c r="G9" s="4570" t="s">
        <v>1927</v>
      </c>
      <c r="H9" s="4570"/>
      <c r="I9" s="4570"/>
      <c r="J9" s="4570"/>
      <c r="K9" s="4570"/>
      <c r="L9" s="4570"/>
      <c r="M9" s="4570"/>
      <c r="N9" s="4570"/>
      <c r="O9" s="4570"/>
      <c r="P9" s="4570"/>
      <c r="Q9" s="4570"/>
      <c r="R9" s="4570"/>
      <c r="S9" s="4570"/>
      <c r="T9" s="4570"/>
      <c r="U9" s="4570"/>
      <c r="V9" s="4570"/>
      <c r="W9" s="617"/>
      <c r="X9" s="621"/>
      <c r="Y9" s="17"/>
      <c r="Z9" s="17"/>
      <c r="AA9" s="620"/>
      <c r="AB9" s="919" cm="1">
        <f t="array" ref="AB9">_xlfn.IFS(AC9=$AA$5,$AA$6,AC9=$AB$5,$AB$6,AC9=$AC$5,$AC$6,AC9=$AD$5,$AD$6,AC9=$AE$5,$AE$6,AC9=$AF$5,$AF$6,TRUE,0)</f>
        <v>0</v>
      </c>
      <c r="AC9" s="4572" t="s">
        <v>790</v>
      </c>
      <c r="AD9" s="4572"/>
      <c r="AE9" s="4572"/>
      <c r="AF9" s="4572"/>
      <c r="AG9" s="907"/>
      <c r="AH9" s="4578"/>
      <c r="AI9" s="4578"/>
      <c r="AJ9" s="4578"/>
      <c r="AK9" s="4578"/>
      <c r="AL9" s="4578"/>
      <c r="AM9" s="4578"/>
      <c r="AN9" s="4578"/>
      <c r="AO9" s="4578"/>
      <c r="AP9" s="4578"/>
      <c r="AQ9" s="4578"/>
      <c r="AR9" s="4578"/>
      <c r="AS9" s="4578"/>
      <c r="AT9" s="4578"/>
      <c r="AU9" s="907"/>
      <c r="AV9" s="4573" t="s">
        <v>790</v>
      </c>
      <c r="AW9" s="4573"/>
      <c r="AX9" s="4573"/>
      <c r="AY9" s="4573"/>
      <c r="AZ9" s="2340" cm="1">
        <f t="array" ref="AZ9">_xlfn.IFS(AV9=$AA$5,$AA$6,AV9=$AB$5,$AB$6,AV9=$AC$5,$AC$6,AV9=$AD$5,$AD$6,AV9=$AE$5,$AE$6,AV9=$AF$5,$AF$6,TRUE,0)</f>
        <v>0</v>
      </c>
      <c r="BA9" s="609"/>
      <c r="BB9" s="17"/>
      <c r="BC9" s="17"/>
      <c r="BD9" s="618"/>
      <c r="BE9" s="617"/>
      <c r="BF9" s="4570" t="s">
        <v>693</v>
      </c>
      <c r="BG9" s="4570"/>
      <c r="BH9" s="4570"/>
      <c r="BI9" s="4570"/>
      <c r="BJ9" s="4570"/>
      <c r="BK9" s="4570"/>
      <c r="BL9" s="4570"/>
      <c r="BM9" s="4570"/>
      <c r="BN9" s="4570"/>
      <c r="BO9" s="4570"/>
      <c r="BP9" s="4570"/>
      <c r="BQ9" s="4570"/>
      <c r="BR9" s="4570"/>
      <c r="BS9" s="4570"/>
      <c r="BT9" s="4570"/>
      <c r="BU9" s="4570"/>
      <c r="BV9" s="617"/>
      <c r="BW9" s="621"/>
      <c r="BX9" s="17"/>
      <c r="BY9" s="17"/>
      <c r="BZ9" s="604"/>
      <c r="CA9" s="605"/>
      <c r="CC9" s="1121" t="s">
        <v>808</v>
      </c>
      <c r="CD9" s="46"/>
    </row>
    <row r="10" spans="1:88" ht="17.100000000000001" customHeight="1" thickBot="1" x14ac:dyDescent="0.25">
      <c r="A10" s="17"/>
      <c r="B10" s="604"/>
      <c r="C10" s="17"/>
      <c r="D10" s="17"/>
      <c r="E10" s="618"/>
      <c r="F10" s="617"/>
      <c r="G10" s="617"/>
      <c r="H10" s="617"/>
      <c r="I10" s="617"/>
      <c r="J10" s="617"/>
      <c r="K10" s="617"/>
      <c r="L10" s="617"/>
      <c r="M10" s="617"/>
      <c r="N10" s="617"/>
      <c r="O10" s="617"/>
      <c r="P10" s="617"/>
      <c r="Q10" s="617"/>
      <c r="R10" s="617"/>
      <c r="S10" s="617"/>
      <c r="T10" s="617"/>
      <c r="U10" s="617"/>
      <c r="V10" s="617"/>
      <c r="W10" s="617"/>
      <c r="X10" s="621"/>
      <c r="Y10" s="17"/>
      <c r="Z10" s="17"/>
      <c r="AA10" s="620"/>
      <c r="AB10" s="919"/>
      <c r="AC10" s="907"/>
      <c r="AD10" s="907"/>
      <c r="AE10" s="907"/>
      <c r="AF10" s="907"/>
      <c r="AG10" s="907"/>
      <c r="AH10" s="4578"/>
      <c r="AI10" s="4578"/>
      <c r="AJ10" s="4578"/>
      <c r="AK10" s="4578"/>
      <c r="AL10" s="4578"/>
      <c r="AM10" s="4578"/>
      <c r="AN10" s="4578"/>
      <c r="AO10" s="4578"/>
      <c r="AP10" s="4578"/>
      <c r="AQ10" s="4578"/>
      <c r="AR10" s="4578"/>
      <c r="AS10" s="4578"/>
      <c r="AT10" s="4578"/>
      <c r="AU10" s="907"/>
      <c r="AV10" s="920"/>
      <c r="AW10" s="920"/>
      <c r="AX10" s="920"/>
      <c r="AY10" s="920"/>
      <c r="AZ10" s="2340"/>
      <c r="BA10" s="609"/>
      <c r="BB10" s="17"/>
      <c r="BC10" s="17"/>
      <c r="BD10" s="618"/>
      <c r="BE10" s="617"/>
      <c r="BF10" s="617"/>
      <c r="BG10" s="617"/>
      <c r="BH10" s="617"/>
      <c r="BI10" s="617"/>
      <c r="BJ10" s="617"/>
      <c r="BK10" s="617"/>
      <c r="BL10" s="617"/>
      <c r="BM10" s="921"/>
      <c r="BN10" s="617"/>
      <c r="BO10" s="617"/>
      <c r="BP10" s="617"/>
      <c r="BQ10" s="617"/>
      <c r="BR10" s="617"/>
      <c r="BS10" s="617"/>
      <c r="BT10" s="617"/>
      <c r="BU10" s="617"/>
      <c r="BV10" s="617"/>
      <c r="BW10" s="621"/>
      <c r="BX10" s="17"/>
      <c r="BY10" s="17"/>
      <c r="BZ10" s="604"/>
      <c r="CA10" s="605"/>
      <c r="CC10" s="1121" t="s">
        <v>809</v>
      </c>
      <c r="CD10" s="46"/>
    </row>
    <row r="11" spans="1:88" ht="17.100000000000001" customHeight="1" thickTop="1" x14ac:dyDescent="0.2">
      <c r="A11" s="17"/>
      <c r="B11" s="604"/>
      <c r="C11" s="17"/>
      <c r="D11" s="17"/>
      <c r="E11" s="618"/>
      <c r="F11" s="617"/>
      <c r="G11" s="4519" t="s">
        <v>72</v>
      </c>
      <c r="H11" s="4520"/>
      <c r="I11" s="4523" t="str">
        <f>IF(ISBLANK(G13),data!$JO$123,_xlfn.IFS(
ISNUMBER(SEARCH( data!$JP$87, G13 )), data!$JO$87,
ISNUMBER(SEARCH( data!$JP$88, G13 )), data!$JO$88,
ISNUMBER(SEARCH( data!$JP$89, G13 )), data!$JO$89,
ISNUMBER(SEARCH( data!$JP$90, G13 )), data!$JO$90,
ISNUMBER(SEARCH( data!$JP$91, G13 )), data!$JO$91,
ISNUMBER(SEARCH( data!$JP$92, G13 )), data!$JO$92,
ISNUMBER(SEARCH( data!$JP$93, G13 )), data!$JO$93,
ISNUMBER(SEARCH( data!$JP$94, G13 )), data!$JO$94,
ISNUMBER(SEARCH( data!$JP$95, G13 )), data!$JO$95,
ISNUMBER(SEARCH( data!$JP$96, G13 )), data!$JO$96,
ISNUMBER(SEARCH( data!$JP$97, G13 )), data!$JO$97,
ISNUMBER(SEARCH( data!$JP$98, G13 )), data!$JO$98,
ISNUMBER(SEARCH( data!$JP$99, G13 )), data!$JO$99,
ISNUMBER(SEARCH( data!$JP$100, G13 )), data!$JO$100,
ISNUMBER(SEARCH( data!$JP$101, G13 )), data!$JO$101,
ISNUMBER(SEARCH( data!$JP$102, G13 )), data!$JO$102,
ISNUMBER(SEARCH( data!$JP$103, G13 )), data!$JO$103,
ISNUMBER(SEARCH( data!$JP$104, G13 )), data!$JO$104,
ISNUMBER(SEARCH( data!$JP$105, G13 )), data!$JO$105,
ISNUMBER(SEARCH( data!$JP$106, G13 )), data!$JO$106,
ISNUMBER(SEARCH( data!$JP$107, G13 )), data!$JO$107,
ISNUMBER(SEARCH( data!$JP$108, G13 )), data!$JO$108,
ISNUMBER(SEARCH( data!$JP$109, G13 )), data!$JO$109,
ISNUMBER(SEARCH( data!$JP$110, G13 )), data!$JO$110,
ISNUMBER(SEARCH( data!$JP$111, G13 )), data!$JO$111,
ISNUMBER(SEARCH( data!$JP$112, G13 )), data!$JO$112,
ISNUMBER(SEARCH( data!$JP$113, G13 )), data!$JO$113,
ISNUMBER(SEARCH( data!$JP$114, G13 )), data!$JO$114,
ISNUMBER(SEARCH( data!$JP$115, G13 )), data!$JO$115,
ISNUMBER(SEARCH( data!$JP$116, G13 )), data!$JO$116,
ISNUMBER(SEARCH( data!$JP$117, G13 )), data!$JO$117,
ISNUMBER(SEARCH( data!$JP$118, G13 )), data!$JO$118,
ISNUMBER(SEARCH( data!$JP$119, G13 )), data!$JO$119,
ISNUMBER(SEARCH( data!$JP$120, G13 )), data!$JO$120,
TRUE,data!$JO$122))</f>
        <v>🖼</v>
      </c>
      <c r="J11" s="4523"/>
      <c r="K11" s="4523"/>
      <c r="L11" s="4520" t="s">
        <v>72</v>
      </c>
      <c r="M11" s="4525"/>
      <c r="N11" s="622"/>
      <c r="O11" s="622"/>
      <c r="P11" s="4519" t="s">
        <v>72</v>
      </c>
      <c r="Q11" s="4520"/>
      <c r="R11" s="4523" t="str">
        <f>IF(ISBLANK(P13),data!$JO$127,_xlfn.IFS(
ISNUMBER(SEARCH( data!$JP$87, P13 )), data!$JO$87,
ISNUMBER(SEARCH( data!$JP$88, P13 )), data!$JO$88,
ISNUMBER(SEARCH( data!$JP$89, P13 )), data!$JO$89,
ISNUMBER(SEARCH( data!$JP$90, P13 )), data!$JO$90,
ISNUMBER(SEARCH( data!$JP$91, P13 )), data!$JO$91,
ISNUMBER(SEARCH( data!$JP$92, P13 )), data!$JO$92,
ISNUMBER(SEARCH( data!$JP$93, P13 )), data!$JO$93,
ISNUMBER(SEARCH( data!$JP$94, P13 )), data!$JO$94,
ISNUMBER(SEARCH( data!$JP$95, P13 )), data!$JO$95,
ISNUMBER(SEARCH( data!$JP$96, P13 )), data!$JO$96,
ISNUMBER(SEARCH( data!$JP$97, P13 )), data!$JO$97,
ISNUMBER(SEARCH( data!$JP$98, P13 )), data!$JO$98,
ISNUMBER(SEARCH( data!$JP$99, P13 )), data!$JO$99,
ISNUMBER(SEARCH( data!$JP$100, P13 )), data!$JO$100,
ISNUMBER(SEARCH( data!$JP$101, P13 )), data!$JO$101,
ISNUMBER(SEARCH( data!$JP$102, P13 )), data!$JO$102,
ISNUMBER(SEARCH( data!$JP$103, P13 )), data!$JO$103,
ISNUMBER(SEARCH( data!$JP$104, P13 )), data!$JO$104,
ISNUMBER(SEARCH( data!$JP$105, P13 )), data!$JO$105,
ISNUMBER(SEARCH( data!$JP$106, P13 )), data!$JO$106,
ISNUMBER(SEARCH( data!$JP$107, P13 )), data!$JO$107,
ISNUMBER(SEARCH( data!$JP$108, P13 )), data!$JO$108,
ISNUMBER(SEARCH( data!$JP$109, P13 )), data!$JO$109,
ISNUMBER(SEARCH( data!$JP$110, P13 )), data!$JO$110,
ISNUMBER(SEARCH( data!$JP$111, P13 )), data!$JO$111,
ISNUMBER(SEARCH( data!$JP$112, P13 )), data!$JO$112,
ISNUMBER(SEARCH( data!$JP$113, P13 )), data!$JO$113,
ISNUMBER(SEARCH( data!$JP$114, P13 )), data!$JO$114,
ISNUMBER(SEARCH( data!$JP$115, P13 )), data!$JO$115,
ISNUMBER(SEARCH( data!$JP$116, P13 )), data!$JO$116,
ISNUMBER(SEARCH( data!$JP$117, P13 )), data!$JO$117,
ISNUMBER(SEARCH( data!$JP$118, P13 )), data!$JO$118,
ISNUMBER(SEARCH( data!$JP$119, P13 )), data!$JO$119,
ISNUMBER(SEARCH( data!$JP$120, P13 )), data!$JO$120,
TRUE,data!$JO$122))</f>
        <v>🌳</v>
      </c>
      <c r="S11" s="4523"/>
      <c r="T11" s="4523"/>
      <c r="U11" s="4520" t="s">
        <v>72</v>
      </c>
      <c r="V11" s="4525"/>
      <c r="W11" s="617"/>
      <c r="X11" s="621"/>
      <c r="Y11" s="17"/>
      <c r="Z11" s="17"/>
      <c r="AA11" s="620"/>
      <c r="AB11" s="919"/>
      <c r="AC11" s="4574" t="s">
        <v>411</v>
      </c>
      <c r="AD11" s="4574"/>
      <c r="AE11" s="4574"/>
      <c r="AF11" s="4574"/>
      <c r="AG11" s="907"/>
      <c r="AH11" s="4578"/>
      <c r="AI11" s="4578"/>
      <c r="AJ11" s="4578"/>
      <c r="AK11" s="4578"/>
      <c r="AL11" s="4578"/>
      <c r="AM11" s="4578"/>
      <c r="AN11" s="4578"/>
      <c r="AO11" s="4578"/>
      <c r="AP11" s="4578"/>
      <c r="AQ11" s="4578"/>
      <c r="AR11" s="4578"/>
      <c r="AS11" s="4578"/>
      <c r="AT11" s="4578"/>
      <c r="AU11" s="907"/>
      <c r="AV11" s="4571" t="s">
        <v>116</v>
      </c>
      <c r="AW11" s="4571"/>
      <c r="AX11" s="4571"/>
      <c r="AY11" s="4571"/>
      <c r="AZ11" s="2340"/>
      <c r="BA11" s="609"/>
      <c r="BB11" s="17"/>
      <c r="BC11" s="17"/>
      <c r="BD11" s="618"/>
      <c r="BE11" s="617"/>
      <c r="BF11" s="4519" t="s">
        <v>72</v>
      </c>
      <c r="BG11" s="4520"/>
      <c r="BH11" s="4523" t="str">
        <f>IF(ISBLANK(BF13),data!$JQ$106,_xlfn.IFS(
ISNUMBER(SEARCH( data!$JR$87, BF13 )), data!$JQ$87,
ISNUMBER(SEARCH( data!$JR$88, BF13 )), data!$JQ$88,
ISNUMBER(SEARCH( data!$JR$89, BF13 )), data!$JQ$89,
ISNUMBER(SEARCH( data!$JR$90, BF13 )), data!$JQ$90,
ISNUMBER(SEARCH( data!$JR$91, BF13 )), data!$JQ$91,
ISNUMBER(SEARCH( data!$JR$92, BF13 )), data!$JQ$92,
ISNUMBER(SEARCH( data!$JR$93, BF13 )), data!$JQ$93,
ISNUMBER(SEARCH( data!$JR$94, BF13 )), data!$JQ$94,
ISNUMBER(SEARCH( data!$JR$95, BF13 )), data!$JQ$95,
ISNUMBER(SEARCH( data!$JR$96, BF13 )), data!$JQ$96,
ISNUMBER(SEARCH( data!$JR$97, BF13 )), data!$JQ$97,
ISNUMBER(SEARCH( data!$JR$98, BF13 )), data!$JQ$98,
ISNUMBER(SEARCH( data!$JR$99, BF13 )), data!$JQ$99,
ISNUMBER(SEARCH( data!$JR$100, BF13 )), data!$JQ$100,
ISNUMBER(SEARCH( data!$JR$101, BF13 )), data!$JQ$101,
ISNUMBER(SEARCH( data!$JR$102, BF13 )), data!$JQ$102,
ISNUMBER(SEARCH( data!$JR$103, BF13 )), data!$JQ$103,
TRUE,data!$JQ$105))</f>
        <v>🗊</v>
      </c>
      <c r="BI11" s="4523"/>
      <c r="BJ11" s="4523"/>
      <c r="BK11" s="4520" t="s">
        <v>72</v>
      </c>
      <c r="BL11" s="4525"/>
      <c r="BM11" s="622"/>
      <c r="BN11" s="622"/>
      <c r="BO11" s="4519" t="s">
        <v>72</v>
      </c>
      <c r="BP11" s="4520"/>
      <c r="BQ11" s="4523" t="str">
        <f>IF(ISBLANK(BO13),data!$JQ$110,_xlfn.IFS(
ISNUMBER(SEARCH( data!$JR$87, BO13 )), data!$JQ$87,
ISNUMBER(SEARCH( data!$JR$88, BO13 )), data!$JQ$88,
ISNUMBER(SEARCH( data!$JR$89, BO13 )), data!$JQ$89,
ISNUMBER(SEARCH( data!$JR$90, BO13 )), data!$JQ$90,
ISNUMBER(SEARCH( data!$JR$91, BO13 )), data!$JQ$91,
ISNUMBER(SEARCH( data!$JR$92, BO13 )), data!$JQ$92,
ISNUMBER(SEARCH( data!$JR$93, BO13 )), data!$JQ$93,
ISNUMBER(SEARCH( data!$JR$94, BO13 )), data!$JQ$94,
ISNUMBER(SEARCH( data!$JR$95, BO13 )), data!$JQ$95,
ISNUMBER(SEARCH( data!$JR$96, BO13 )), data!$JQ$96,
ISNUMBER(SEARCH( data!$JR$97, BO13 )), data!$JQ$97,
ISNUMBER(SEARCH( data!$JR$98, BO13 )), data!$JQ$98,
ISNUMBER(SEARCH( data!$JR$99, BO13 )), data!$JQ$99,
ISNUMBER(SEARCH( data!$JR$100, BO13 )), data!$JQ$100,
ISNUMBER(SEARCH( data!$JR$101, BO13 )), data!$JQ$101,
ISNUMBER(SEARCH( data!$JR$102, BO13 )), data!$JQ$102,
ISNUMBER(SEARCH( data!$JR$103, BO13 )), data!$JQ$103,
TRUE,data!$JQ$105))</f>
        <v>🖂</v>
      </c>
      <c r="BR11" s="4523"/>
      <c r="BS11" s="4523"/>
      <c r="BT11" s="4520" t="s">
        <v>72</v>
      </c>
      <c r="BU11" s="4525"/>
      <c r="BV11" s="617"/>
      <c r="BW11" s="621"/>
      <c r="BX11" s="17"/>
      <c r="BY11" s="17"/>
      <c r="BZ11" s="604"/>
      <c r="CA11" s="605"/>
      <c r="CC11" s="1121" t="s">
        <v>810</v>
      </c>
      <c r="CD11" s="46"/>
      <c r="CJ11" s="73"/>
    </row>
    <row r="12" spans="1:88" ht="17.100000000000001" customHeight="1" x14ac:dyDescent="0.2">
      <c r="A12" s="17"/>
      <c r="B12" s="604"/>
      <c r="C12" s="17"/>
      <c r="D12" s="17"/>
      <c r="E12" s="618"/>
      <c r="F12" s="617"/>
      <c r="G12" s="4521"/>
      <c r="H12" s="4522"/>
      <c r="I12" s="4524"/>
      <c r="J12" s="4524"/>
      <c r="K12" s="4524"/>
      <c r="L12" s="4522"/>
      <c r="M12" s="4526"/>
      <c r="N12" s="622"/>
      <c r="O12" s="622"/>
      <c r="P12" s="4521"/>
      <c r="Q12" s="4522"/>
      <c r="R12" s="4524"/>
      <c r="S12" s="4524"/>
      <c r="T12" s="4524"/>
      <c r="U12" s="4522"/>
      <c r="V12" s="4526"/>
      <c r="W12" s="617"/>
      <c r="X12" s="621"/>
      <c r="Y12" s="17"/>
      <c r="Z12" s="17"/>
      <c r="AA12" s="620"/>
      <c r="AB12" s="919" cm="1">
        <f t="array" ref="AB12">_xlfn.IFS(AC12=$AA$5,$AA$6,AC12=$AB$5,$AB$6,AC12=$AC$5,$AC$6,AC12=$AD$5,$AD$6,AC12=$AE$5,$AE$6,AC12=$AF$5,$AF$6,TRUE,0)</f>
        <v>0</v>
      </c>
      <c r="AC12" s="4572" t="s">
        <v>790</v>
      </c>
      <c r="AD12" s="4572"/>
      <c r="AE12" s="4572"/>
      <c r="AF12" s="4572"/>
      <c r="AG12" s="907"/>
      <c r="AH12" s="4578"/>
      <c r="AI12" s="4578"/>
      <c r="AJ12" s="4578"/>
      <c r="AK12" s="4578"/>
      <c r="AL12" s="4578"/>
      <c r="AM12" s="4578"/>
      <c r="AN12" s="4578"/>
      <c r="AO12" s="4578"/>
      <c r="AP12" s="4578"/>
      <c r="AQ12" s="4578"/>
      <c r="AR12" s="4578"/>
      <c r="AS12" s="4578"/>
      <c r="AT12" s="4578"/>
      <c r="AU12" s="907"/>
      <c r="AV12" s="4573" t="s">
        <v>790</v>
      </c>
      <c r="AW12" s="4573"/>
      <c r="AX12" s="4573"/>
      <c r="AY12" s="4573"/>
      <c r="AZ12" s="2340" cm="1">
        <f t="array" ref="AZ12">_xlfn.IFS(AV12=$AA$5,$AA$6,AV12=$AB$5,$AB$6,AV12=$AC$5,$AC$6,AV12=$AD$5,$AD$6,AV12=$AE$5,$AE$6,AV12=$AF$5,$AF$6,TRUE,0)</f>
        <v>0</v>
      </c>
      <c r="BA12" s="609"/>
      <c r="BB12" s="17"/>
      <c r="BC12" s="17"/>
      <c r="BD12" s="618"/>
      <c r="BE12" s="617"/>
      <c r="BF12" s="4521"/>
      <c r="BG12" s="4522"/>
      <c r="BH12" s="4524"/>
      <c r="BI12" s="4524"/>
      <c r="BJ12" s="4524"/>
      <c r="BK12" s="4522"/>
      <c r="BL12" s="4526"/>
      <c r="BM12" s="622"/>
      <c r="BN12" s="622"/>
      <c r="BO12" s="4521"/>
      <c r="BP12" s="4522"/>
      <c r="BQ12" s="4524"/>
      <c r="BR12" s="4524"/>
      <c r="BS12" s="4524"/>
      <c r="BT12" s="4522"/>
      <c r="BU12" s="4526"/>
      <c r="BV12" s="617"/>
      <c r="BW12" s="621"/>
      <c r="BX12" s="17"/>
      <c r="BY12" s="17"/>
      <c r="BZ12" s="604"/>
      <c r="CA12" s="605"/>
      <c r="CC12" s="1121" t="s">
        <v>811</v>
      </c>
      <c r="CJ12" s="73"/>
    </row>
    <row r="13" spans="1:88" ht="17.100000000000001" customHeight="1" x14ac:dyDescent="0.2">
      <c r="A13" s="17"/>
      <c r="B13" s="922"/>
      <c r="C13" s="17"/>
      <c r="D13" s="17"/>
      <c r="E13" s="618"/>
      <c r="F13" s="617"/>
      <c r="G13" s="4527"/>
      <c r="H13" s="4528"/>
      <c r="I13" s="4528"/>
      <c r="J13" s="4528"/>
      <c r="K13" s="4528"/>
      <c r="L13" s="4528"/>
      <c r="M13" s="4529"/>
      <c r="N13" s="622"/>
      <c r="O13" s="622"/>
      <c r="P13" s="4527"/>
      <c r="Q13" s="4528"/>
      <c r="R13" s="4528"/>
      <c r="S13" s="4528"/>
      <c r="T13" s="4528"/>
      <c r="U13" s="4528"/>
      <c r="V13" s="4529"/>
      <c r="W13" s="617"/>
      <c r="X13" s="621"/>
      <c r="Y13" s="17"/>
      <c r="Z13" s="17"/>
      <c r="AA13" s="620"/>
      <c r="AB13" s="919"/>
      <c r="AC13" s="907"/>
      <c r="AD13" s="907"/>
      <c r="AE13" s="907"/>
      <c r="AF13" s="907"/>
      <c r="AG13" s="907"/>
      <c r="AH13" s="4581" t="str">
        <f>_xlfn.IFS(SUM(AB9,AB12,AB15,AB18)&gt;=16,"P",SUM(AB9,AB12,AB15,AB18)&gt;=11,"I",SUM(AB9,AB12,AB15,AB18)&gt;=6,"A",TRUE,"t")
&amp;_xlfn.IFS(AVERAGE(AB9,AB12,AB15,AB18,AZ9,AZ12,AZ15,AZ18)&gt;=4.5,"Q",AVERAGE(AB9,AB12,AB15,AB18,AZ9,AZ12,AZ15,AZ18)&gt;=3,"S",AVERAGE(AB9,AB12,AB15,AB18,AZ9,AZ12,AZ15,AZ18)&gt;=1.5,"K",TRUE,"R")
&amp;_xlfn.IFS(SUM(AZ9,AZ12,AZ15,AZ18)&gt;=16,"M",SUM(AZ9,AZ12,AZ15,AZ18)&gt;=11,"G",SUM(AZ9,AZ12,AZ15,AZ18)&gt;=6,"F",TRUE,"C")</f>
        <v>tRC</v>
      </c>
      <c r="AI13" s="4581"/>
      <c r="AJ13" s="4581"/>
      <c r="AK13" s="4581"/>
      <c r="AL13" s="4581"/>
      <c r="AM13" s="4581"/>
      <c r="AN13" s="4581"/>
      <c r="AO13" s="4581"/>
      <c r="AP13" s="4581"/>
      <c r="AQ13" s="4581"/>
      <c r="AR13" s="4581"/>
      <c r="AS13" s="4581"/>
      <c r="AT13" s="4581"/>
      <c r="AU13" s="907"/>
      <c r="AV13" s="920"/>
      <c r="AW13" s="920"/>
      <c r="AX13" s="920"/>
      <c r="AY13" s="920"/>
      <c r="AZ13" s="2340"/>
      <c r="BA13" s="609"/>
      <c r="BB13" s="17"/>
      <c r="BC13" s="17"/>
      <c r="BD13" s="618"/>
      <c r="BE13" s="617"/>
      <c r="BF13" s="4527"/>
      <c r="BG13" s="4528"/>
      <c r="BH13" s="4528"/>
      <c r="BI13" s="4528"/>
      <c r="BJ13" s="4528"/>
      <c r="BK13" s="4528"/>
      <c r="BL13" s="4529"/>
      <c r="BM13" s="622"/>
      <c r="BN13" s="622"/>
      <c r="BO13" s="4527"/>
      <c r="BP13" s="4528"/>
      <c r="BQ13" s="4528"/>
      <c r="BR13" s="4528"/>
      <c r="BS13" s="4528"/>
      <c r="BT13" s="4528"/>
      <c r="BU13" s="4529"/>
      <c r="BV13" s="617"/>
      <c r="BW13" s="621"/>
      <c r="BX13" s="17"/>
      <c r="BY13" s="17"/>
      <c r="BZ13" s="604"/>
      <c r="CA13" s="605"/>
      <c r="CJ13" s="73"/>
    </row>
    <row r="14" spans="1:88" ht="17.100000000000001" customHeight="1" thickBot="1" x14ac:dyDescent="0.25">
      <c r="A14" s="17"/>
      <c r="B14" s="922"/>
      <c r="C14" s="17"/>
      <c r="D14" s="17"/>
      <c r="E14" s="618"/>
      <c r="F14" s="617"/>
      <c r="G14" s="4530"/>
      <c r="H14" s="4531"/>
      <c r="I14" s="4531"/>
      <c r="J14" s="4531"/>
      <c r="K14" s="4531"/>
      <c r="L14" s="4531"/>
      <c r="M14" s="4532"/>
      <c r="N14" s="622"/>
      <c r="O14" s="622"/>
      <c r="P14" s="4530"/>
      <c r="Q14" s="4531"/>
      <c r="R14" s="4531"/>
      <c r="S14" s="4531"/>
      <c r="T14" s="4531"/>
      <c r="U14" s="4531"/>
      <c r="V14" s="4532"/>
      <c r="W14" s="617"/>
      <c r="X14" s="621"/>
      <c r="Y14" s="17"/>
      <c r="Z14" s="17"/>
      <c r="AA14" s="620"/>
      <c r="AB14" s="919"/>
      <c r="AC14" s="4574" t="s">
        <v>300</v>
      </c>
      <c r="AD14" s="4574"/>
      <c r="AE14" s="4574"/>
      <c r="AF14" s="4574"/>
      <c r="AG14" s="907"/>
      <c r="AH14" s="4581"/>
      <c r="AI14" s="4581"/>
      <c r="AJ14" s="4581"/>
      <c r="AK14" s="4581"/>
      <c r="AL14" s="4581"/>
      <c r="AM14" s="4581"/>
      <c r="AN14" s="4581"/>
      <c r="AO14" s="4581"/>
      <c r="AP14" s="4581"/>
      <c r="AQ14" s="4581"/>
      <c r="AR14" s="4581"/>
      <c r="AS14" s="4581"/>
      <c r="AT14" s="4581"/>
      <c r="AU14" s="907"/>
      <c r="AV14" s="4571" t="s">
        <v>301</v>
      </c>
      <c r="AW14" s="4571"/>
      <c r="AX14" s="4571"/>
      <c r="AY14" s="4571"/>
      <c r="AZ14" s="2340"/>
      <c r="BA14" s="609"/>
      <c r="BB14" s="17"/>
      <c r="BC14" s="17"/>
      <c r="BD14" s="618"/>
      <c r="BE14" s="617"/>
      <c r="BF14" s="4530"/>
      <c r="BG14" s="4531"/>
      <c r="BH14" s="4531"/>
      <c r="BI14" s="4531"/>
      <c r="BJ14" s="4531"/>
      <c r="BK14" s="4531"/>
      <c r="BL14" s="4532"/>
      <c r="BM14" s="622"/>
      <c r="BN14" s="622"/>
      <c r="BO14" s="4530"/>
      <c r="BP14" s="4531"/>
      <c r="BQ14" s="4531"/>
      <c r="BR14" s="4531"/>
      <c r="BS14" s="4531"/>
      <c r="BT14" s="4531"/>
      <c r="BU14" s="4532"/>
      <c r="BV14" s="617"/>
      <c r="BW14" s="621"/>
      <c r="BX14" s="17"/>
      <c r="BY14" s="17"/>
      <c r="BZ14" s="604"/>
      <c r="CA14" s="605"/>
      <c r="CC14" s="44" t="s">
        <v>402</v>
      </c>
      <c r="CD14" s="101"/>
      <c r="CE14" s="101"/>
      <c r="CF14" s="101"/>
      <c r="CG14" s="44" t="s">
        <v>1433</v>
      </c>
      <c r="CJ14" s="73"/>
    </row>
    <row r="15" spans="1:88" ht="17.100000000000001" customHeight="1" thickTop="1" x14ac:dyDescent="0.2">
      <c r="A15" s="17"/>
      <c r="B15" s="923"/>
      <c r="C15" s="17"/>
      <c r="D15" s="17"/>
      <c r="E15" s="618"/>
      <c r="F15" s="617"/>
      <c r="G15" s="4517"/>
      <c r="H15" s="4517"/>
      <c r="I15" s="4517"/>
      <c r="J15" s="4517"/>
      <c r="K15" s="4517"/>
      <c r="L15" s="4517"/>
      <c r="M15" s="4517"/>
      <c r="N15" s="924"/>
      <c r="O15" s="924"/>
      <c r="P15" s="4517"/>
      <c r="Q15" s="4517"/>
      <c r="R15" s="4517"/>
      <c r="S15" s="4517"/>
      <c r="T15" s="4517"/>
      <c r="U15" s="4517"/>
      <c r="V15" s="4517"/>
      <c r="W15" s="617"/>
      <c r="X15" s="621"/>
      <c r="Y15" s="17"/>
      <c r="Z15" s="17"/>
      <c r="AA15" s="620"/>
      <c r="AB15" s="919" cm="1">
        <f t="array" ref="AB15">_xlfn.IFS(AC15=$AA$5,$AA$6,AC15=$AB$5,$AB$6,AC15=$AC$5,$AC$6,AC15=$AD$5,$AD$6,AC15=$AE$5,$AE$6,AC15=$AF$5,$AF$6,TRUE,0)</f>
        <v>0</v>
      </c>
      <c r="AC15" s="4572" t="s">
        <v>790</v>
      </c>
      <c r="AD15" s="4572"/>
      <c r="AE15" s="4572"/>
      <c r="AF15" s="4572"/>
      <c r="AG15" s="907"/>
      <c r="AH15" s="4581"/>
      <c r="AI15" s="4581"/>
      <c r="AJ15" s="4581"/>
      <c r="AK15" s="4581"/>
      <c r="AL15" s="4581"/>
      <c r="AM15" s="4581"/>
      <c r="AN15" s="4581"/>
      <c r="AO15" s="4581"/>
      <c r="AP15" s="4581"/>
      <c r="AQ15" s="4581"/>
      <c r="AR15" s="4581"/>
      <c r="AS15" s="4581"/>
      <c r="AT15" s="4581"/>
      <c r="AU15" s="907"/>
      <c r="AV15" s="4573" t="s">
        <v>790</v>
      </c>
      <c r="AW15" s="4573"/>
      <c r="AX15" s="4573"/>
      <c r="AY15" s="4573"/>
      <c r="AZ15" s="2340" cm="1">
        <f t="array" ref="AZ15">_xlfn.IFS(AV15=$AA$5,$AA$6,AV15=$AB$5,$AB$6,AV15=$AC$5,$AC$6,AV15=$AD$5,$AD$6,AV15=$AE$5,$AE$6,AV15=$AF$5,$AF$6,TRUE,0)</f>
        <v>0</v>
      </c>
      <c r="BA15" s="609"/>
      <c r="BB15" s="17"/>
      <c r="BC15" s="17"/>
      <c r="BD15" s="618"/>
      <c r="BE15" s="617"/>
      <c r="BF15" s="4517"/>
      <c r="BG15" s="4517"/>
      <c r="BH15" s="4517"/>
      <c r="BI15" s="4517"/>
      <c r="BJ15" s="4517"/>
      <c r="BK15" s="4517"/>
      <c r="BL15" s="4517"/>
      <c r="BM15" s="924"/>
      <c r="BN15" s="924"/>
      <c r="BO15" s="4517"/>
      <c r="BP15" s="4517"/>
      <c r="BQ15" s="4517"/>
      <c r="BR15" s="4517"/>
      <c r="BS15" s="4517"/>
      <c r="BT15" s="4517"/>
      <c r="BU15" s="4517"/>
      <c r="BV15" s="617"/>
      <c r="BW15" s="621"/>
      <c r="BX15" s="17"/>
      <c r="BY15" s="901"/>
      <c r="BZ15" s="604"/>
      <c r="CA15" s="901"/>
      <c r="CC15" s="44" t="s">
        <v>302</v>
      </c>
      <c r="CD15" s="101"/>
      <c r="CE15" s="101"/>
      <c r="CF15" s="101"/>
      <c r="CG15" s="44" t="s">
        <v>686</v>
      </c>
      <c r="CJ15" s="73"/>
    </row>
    <row r="16" spans="1:88" ht="17.100000000000001" customHeight="1" thickBot="1" x14ac:dyDescent="0.25">
      <c r="A16" s="17"/>
      <c r="B16" s="923"/>
      <c r="C16" s="17"/>
      <c r="D16" s="17"/>
      <c r="E16" s="618"/>
      <c r="F16" s="617"/>
      <c r="G16" s="617"/>
      <c r="H16" s="617"/>
      <c r="I16" s="617"/>
      <c r="J16" s="617"/>
      <c r="K16" s="617"/>
      <c r="L16" s="617"/>
      <c r="M16" s="617"/>
      <c r="N16" s="617"/>
      <c r="O16" s="617"/>
      <c r="P16" s="617"/>
      <c r="Q16" s="617"/>
      <c r="R16" s="617"/>
      <c r="S16" s="617"/>
      <c r="T16" s="617"/>
      <c r="U16" s="617"/>
      <c r="V16" s="617"/>
      <c r="W16" s="617"/>
      <c r="X16" s="621"/>
      <c r="Y16" s="17"/>
      <c r="Z16" s="17"/>
      <c r="AA16" s="620"/>
      <c r="AB16" s="919"/>
      <c r="AC16" s="907"/>
      <c r="AD16" s="907"/>
      <c r="AE16" s="907"/>
      <c r="AF16" s="907"/>
      <c r="AG16" s="907"/>
      <c r="AH16" s="4581"/>
      <c r="AI16" s="4581"/>
      <c r="AJ16" s="4581"/>
      <c r="AK16" s="4581"/>
      <c r="AL16" s="4581"/>
      <c r="AM16" s="4581"/>
      <c r="AN16" s="4581"/>
      <c r="AO16" s="4581"/>
      <c r="AP16" s="4581"/>
      <c r="AQ16" s="4581"/>
      <c r="AR16" s="4581"/>
      <c r="AS16" s="4581"/>
      <c r="AT16" s="4581"/>
      <c r="AU16" s="907"/>
      <c r="AV16" s="920"/>
      <c r="AW16" s="920"/>
      <c r="AX16" s="920"/>
      <c r="AY16" s="920"/>
      <c r="AZ16" s="2340"/>
      <c r="BA16" s="609"/>
      <c r="BB16" s="17"/>
      <c r="BC16" s="17"/>
      <c r="BD16" s="618"/>
      <c r="BE16" s="617"/>
      <c r="BF16" s="617"/>
      <c r="BG16" s="617"/>
      <c r="BH16" s="617"/>
      <c r="BI16" s="617"/>
      <c r="BJ16" s="617"/>
      <c r="BK16" s="617"/>
      <c r="BL16" s="617"/>
      <c r="BM16" s="617"/>
      <c r="BN16" s="617"/>
      <c r="BO16" s="617"/>
      <c r="BP16" s="617"/>
      <c r="BQ16" s="617"/>
      <c r="BR16" s="617"/>
      <c r="BS16" s="617"/>
      <c r="BT16" s="617"/>
      <c r="BU16" s="617"/>
      <c r="BV16" s="617"/>
      <c r="BW16" s="621"/>
      <c r="BX16" s="17"/>
      <c r="BY16" s="901"/>
      <c r="BZ16" s="604"/>
      <c r="CA16" s="901"/>
      <c r="CC16" s="44" t="s">
        <v>936</v>
      </c>
      <c r="CD16" s="101"/>
      <c r="CE16" s="101"/>
      <c r="CF16" s="101"/>
      <c r="CG16" s="44" t="s">
        <v>1098</v>
      </c>
      <c r="CJ16" s="73"/>
    </row>
    <row r="17" spans="1:88" ht="17.100000000000001" customHeight="1" thickTop="1" x14ac:dyDescent="0.2">
      <c r="A17" s="17"/>
      <c r="B17" s="923"/>
      <c r="C17" s="17"/>
      <c r="D17" s="17"/>
      <c r="E17" s="618"/>
      <c r="F17" s="617"/>
      <c r="G17" s="4519" t="s">
        <v>72</v>
      </c>
      <c r="H17" s="4520"/>
      <c r="I17" s="4523" t="str">
        <f>IF(ISBLANK(G19),data!$JO$124,_xlfn.IFS(
ISNUMBER(SEARCH( data!$JP$87, G19 )), data!$JO$87,
ISNUMBER(SEARCH( data!$JP$88, G19 )), data!$JO$88,
ISNUMBER(SEARCH( data!$JP$89, G19 )), data!$JO$89,
ISNUMBER(SEARCH( data!$JP$90, G19 )), data!$JO$90,
ISNUMBER(SEARCH( data!$JP$91, G19 )), data!$JO$91,
ISNUMBER(SEARCH( data!$JP$92, G19 )), data!$JO$92,
ISNUMBER(SEARCH( data!$JP$93, G19 )), data!$JO$93,
ISNUMBER(SEARCH( data!$JP$94, G19 )), data!$JO$94,
ISNUMBER(SEARCH( data!$JP$95, G19 )), data!$JO$95,
ISNUMBER(SEARCH( data!$JP$96, G19 )), data!$JO$96,
ISNUMBER(SEARCH( data!$JP$97, G19 )), data!$JO$97,
ISNUMBER(SEARCH( data!$JP$98, G19 )), data!$JO$98,
ISNUMBER(SEARCH( data!$JP$99, G19 )), data!$JO$99,
ISNUMBER(SEARCH( data!$JP$100, G19 )), data!$JO$100,
ISNUMBER(SEARCH( data!$JP$101, G19 )), data!$JO$101,
ISNUMBER(SEARCH( data!$JP$102, G19 )), data!$JO$102,
ISNUMBER(SEARCH( data!$JP$103, G19 )), data!$JO$103,
ISNUMBER(SEARCH( data!$JP$104, G19 )), data!$JO$104,
ISNUMBER(SEARCH( data!$JP$105, G19 )), data!$JO$105,
ISNUMBER(SEARCH( data!$JP$106, G19 )), data!$JO$106,
ISNUMBER(SEARCH( data!$JP$107, G19 )), data!$JO$107,
ISNUMBER(SEARCH( data!$JP$108, G19 )), data!$JO$108,
ISNUMBER(SEARCH( data!$JP$109, G19 )), data!$JO$109,
ISNUMBER(SEARCH( data!$JP$110, G19 )), data!$JO$110,
ISNUMBER(SEARCH( data!$JP$111, G19 )), data!$JO$111,
ISNUMBER(SEARCH( data!$JP$112, G19 )), data!$JO$112,
ISNUMBER(SEARCH( data!$JP$113, G19 )), data!$JO$113,
ISNUMBER(SEARCH( data!$JP$114, G19 )), data!$JO$114,
ISNUMBER(SEARCH( data!$JP$115, G19 )), data!$JO$115,
ISNUMBER(SEARCH( data!$JP$116, G19 )), data!$JO$116,
ISNUMBER(SEARCH( data!$JP$117, G19 )), data!$JO$117,
ISNUMBER(SEARCH( data!$JP$118, G19 )), data!$JO$118,
ISNUMBER(SEARCH( data!$JP$119, G19 )), data!$JO$119,
ISNUMBER(SEARCH( data!$JP$120, G19 )), data!$JO$120,
TRUE,data!$JO$122))</f>
        <v>📑</v>
      </c>
      <c r="J17" s="4523"/>
      <c r="K17" s="4523"/>
      <c r="L17" s="4520" t="s">
        <v>72</v>
      </c>
      <c r="M17" s="4525"/>
      <c r="N17" s="622"/>
      <c r="O17" s="622"/>
      <c r="P17" s="4519" t="s">
        <v>72</v>
      </c>
      <c r="Q17" s="4520"/>
      <c r="R17" s="4523" t="str">
        <f>IF(ISBLANK(P19),data!$JO$128,_xlfn.IFS(
ISNUMBER(SEARCH( data!$JP$87, P19 )), data!$JO$87,
ISNUMBER(SEARCH( data!$JP$88, P19 )), data!$JO$88,
ISNUMBER(SEARCH( data!$JP$89, P19 )), data!$JO$89,
ISNUMBER(SEARCH( data!$JP$90, P19 )), data!$JO$90,
ISNUMBER(SEARCH( data!$JP$91, P19 )), data!$JO$91,
ISNUMBER(SEARCH( data!$JP$92, P19 )), data!$JO$92,
ISNUMBER(SEARCH( data!$JP$93, P19 )), data!$JO$93,
ISNUMBER(SEARCH( data!$JP$94, P19 )), data!$JO$94,
ISNUMBER(SEARCH( data!$JP$95, P19 )), data!$JO$95,
ISNUMBER(SEARCH( data!$JP$96, P19 )), data!$JO$96,
ISNUMBER(SEARCH( data!$JP$97, P19 )), data!$JO$97,
ISNUMBER(SEARCH( data!$JP$98, P19 )), data!$JO$98,
ISNUMBER(SEARCH( data!$JP$99, P19 )), data!$JO$99,
ISNUMBER(SEARCH( data!$JP$100, P19 )), data!$JO$100,
ISNUMBER(SEARCH( data!$JP$101, P19 )), data!$JO$101,
ISNUMBER(SEARCH( data!$JP$102, P19 )), data!$JO$102,
ISNUMBER(SEARCH( data!$JP$103, P19 )), data!$JO$103,
ISNUMBER(SEARCH( data!$JP$104, P19 )), data!$JO$104,
ISNUMBER(SEARCH( data!$JP$105, P19 )), data!$JO$105,
ISNUMBER(SEARCH( data!$JP$106, P19 )), data!$JO$106,
ISNUMBER(SEARCH( data!$JP$107, P19 )), data!$JO$107,
ISNUMBER(SEARCH( data!$JP$108, P19 )), data!$JO$108,
ISNUMBER(SEARCH( data!$JP$109, P19 )), data!$JO$109,
ISNUMBER(SEARCH( data!$JP$110, P19 )), data!$JO$110,
ISNUMBER(SEARCH( data!$JP$111, P19 )), data!$JO$111,
ISNUMBER(SEARCH( data!$JP$112, P19 )), data!$JO$112,
ISNUMBER(SEARCH( data!$JP$113, P19 )), data!$JO$113,
ISNUMBER(SEARCH( data!$JP$114, P19 )), data!$JO$114,
ISNUMBER(SEARCH( data!$JP$115, P19 )), data!$JO$115,
ISNUMBER(SEARCH( data!$JP$116, P19 )), data!$JO$116,
ISNUMBER(SEARCH( data!$JP$117, P19 )), data!$JO$117,
ISNUMBER(SEARCH( data!$JP$118, P19 )), data!$JO$118,
ISNUMBER(SEARCH( data!$JP$119, P19 )), data!$JO$119,
ISNUMBER(SEARCH( data!$JP$120, P19 )), data!$JO$120,
TRUE,data!$JO$122))</f>
        <v>🌅</v>
      </c>
      <c r="S17" s="4523"/>
      <c r="T17" s="4523"/>
      <c r="U17" s="4520" t="s">
        <v>72</v>
      </c>
      <c r="V17" s="4525"/>
      <c r="W17" s="617"/>
      <c r="X17" s="623"/>
      <c r="Y17" s="17"/>
      <c r="Z17" s="17"/>
      <c r="AA17" s="620"/>
      <c r="AB17" s="919"/>
      <c r="AC17" s="4574" t="s">
        <v>115</v>
      </c>
      <c r="AD17" s="4574"/>
      <c r="AE17" s="4574"/>
      <c r="AF17" s="4574"/>
      <c r="AG17" s="907"/>
      <c r="AH17" s="4581"/>
      <c r="AI17" s="4581"/>
      <c r="AJ17" s="4581"/>
      <c r="AK17" s="4581"/>
      <c r="AL17" s="4581"/>
      <c r="AM17" s="4581"/>
      <c r="AN17" s="4581"/>
      <c r="AO17" s="4581"/>
      <c r="AP17" s="4581"/>
      <c r="AQ17" s="4581"/>
      <c r="AR17" s="4581"/>
      <c r="AS17" s="4581"/>
      <c r="AT17" s="4581"/>
      <c r="AU17" s="907"/>
      <c r="AV17" s="4571" t="s">
        <v>114</v>
      </c>
      <c r="AW17" s="4571"/>
      <c r="AX17" s="4571"/>
      <c r="AY17" s="4571"/>
      <c r="AZ17" s="2340"/>
      <c r="BA17" s="609"/>
      <c r="BB17" s="17"/>
      <c r="BC17" s="17"/>
      <c r="BD17" s="618"/>
      <c r="BE17" s="617"/>
      <c r="BF17" s="4519" t="s">
        <v>72</v>
      </c>
      <c r="BG17" s="4520"/>
      <c r="BH17" s="4523" t="str">
        <f>IF(ISBLANK(BF19),data!$JQ$107,_xlfn.IFS(
ISNUMBER(SEARCH( data!$JR$87, BF19 )), data!$JQ$87,
ISNUMBER(SEARCH( data!$JR$88, BF19 )), data!$JQ$88,
ISNUMBER(SEARCH( data!$JR$89, BF19 )), data!$JQ$89,
ISNUMBER(SEARCH( data!$JR$90, BF19 )), data!$JQ$90,
ISNUMBER(SEARCH( data!$JR$91, BF19 )), data!$JQ$91,
ISNUMBER(SEARCH( data!$JR$92, BF19 )), data!$JQ$92,
ISNUMBER(SEARCH( data!$JR$93, BF19 )), data!$JQ$93,
ISNUMBER(SEARCH( data!$JR$94, BF19 )), data!$JQ$94,
ISNUMBER(SEARCH( data!$JR$95, BF19 )), data!$JQ$95,
ISNUMBER(SEARCH( data!$JR$96, BF19 )), data!$JQ$96,
ISNUMBER(SEARCH( data!$JR$97, BF19 )), data!$JQ$97,
ISNUMBER(SEARCH( data!$JR$98, BF19 )), data!$JQ$98,
ISNUMBER(SEARCH( data!$JR$99, BF19 )), data!$JQ$99,
ISNUMBER(SEARCH( data!$JR$100, BF19 )), data!$JQ$100,
ISNUMBER(SEARCH( data!$JR$101, BF19 )), data!$JQ$101,
ISNUMBER(SEARCH( data!$JR$102, BF19 )), data!$JQ$102,
ISNUMBER(SEARCH( data!$JR$103, BF19 )), data!$JQ$103,
TRUE,data!$JQ$105))</f>
        <v>💬</v>
      </c>
      <c r="BI17" s="4523"/>
      <c r="BJ17" s="4523"/>
      <c r="BK17" s="4520" t="s">
        <v>72</v>
      </c>
      <c r="BL17" s="4525"/>
      <c r="BM17" s="622"/>
      <c r="BN17" s="622"/>
      <c r="BO17" s="4519" t="s">
        <v>72</v>
      </c>
      <c r="BP17" s="4520"/>
      <c r="BQ17" s="4523" t="str">
        <f>IF(ISBLANK(BO19),data!$JQ$111,_xlfn.IFS(
ISNUMBER(SEARCH( data!$JR$87, BO19 )), data!$JQ$87,
ISNUMBER(SEARCH( data!$JR$88, BO19 )), data!$JQ$88,
ISNUMBER(SEARCH( data!$JR$89, BO19 )), data!$JQ$89,
ISNUMBER(SEARCH( data!$JR$90, BO19 )), data!$JQ$90,
ISNUMBER(SEARCH( data!$JR$91, BO19 )), data!$JQ$91,
ISNUMBER(SEARCH( data!$JR$92, BO19 )), data!$JQ$92,
ISNUMBER(SEARCH( data!$JR$93, BO19 )), data!$JQ$93,
ISNUMBER(SEARCH( data!$JR$94, BO19 )), data!$JQ$94,
ISNUMBER(SEARCH( data!$JR$95, BO19 )), data!$JQ$95,
ISNUMBER(SEARCH( data!$JR$96, BO19 )), data!$JQ$96,
ISNUMBER(SEARCH( data!$JR$97, BO19 )), data!$JQ$97,
ISNUMBER(SEARCH( data!$JR$98, BO19 )), data!$JQ$98,
ISNUMBER(SEARCH( data!$JR$99, BO19 )), data!$JQ$99,
ISNUMBER(SEARCH( data!$JR$100, BO19 )), data!$JQ$100,
ISNUMBER(SEARCH( data!$JR$101, BO19 )), data!$JQ$101,
ISNUMBER(SEARCH( data!$JR$102, BO19 )), data!$JQ$102,
ISNUMBER(SEARCH( data!$JR$103, BO19 )), data!$JQ$103,
TRUE,data!$JQ$105))</f>
        <v>🕿</v>
      </c>
      <c r="BR17" s="4523"/>
      <c r="BS17" s="4523"/>
      <c r="BT17" s="4520" t="s">
        <v>72</v>
      </c>
      <c r="BU17" s="4525"/>
      <c r="BV17" s="617"/>
      <c r="BW17" s="621"/>
      <c r="BX17" s="17"/>
      <c r="BY17" s="901"/>
      <c r="BZ17" s="604"/>
      <c r="CA17" s="605"/>
      <c r="CC17" s="44" t="s">
        <v>938</v>
      </c>
      <c r="CD17" s="101"/>
      <c r="CE17" s="101"/>
      <c r="CF17" s="101"/>
      <c r="CG17" s="44" t="s">
        <v>1626</v>
      </c>
      <c r="CJ17" s="73"/>
    </row>
    <row r="18" spans="1:88" ht="17.100000000000001" customHeight="1" x14ac:dyDescent="0.2">
      <c r="A18" s="17"/>
      <c r="B18" s="923"/>
      <c r="C18" s="17"/>
      <c r="D18" s="17"/>
      <c r="E18" s="618"/>
      <c r="F18" s="617"/>
      <c r="G18" s="4521"/>
      <c r="H18" s="4522"/>
      <c r="I18" s="4524"/>
      <c r="J18" s="4524"/>
      <c r="K18" s="4524"/>
      <c r="L18" s="4522"/>
      <c r="M18" s="4526"/>
      <c r="N18" s="622"/>
      <c r="O18" s="622"/>
      <c r="P18" s="4521"/>
      <c r="Q18" s="4522"/>
      <c r="R18" s="4524"/>
      <c r="S18" s="4524"/>
      <c r="T18" s="4524"/>
      <c r="U18" s="4522"/>
      <c r="V18" s="4526"/>
      <c r="W18" s="617"/>
      <c r="X18" s="621"/>
      <c r="Y18" s="17"/>
      <c r="Z18" s="17"/>
      <c r="AA18" s="620"/>
      <c r="AB18" s="919" cm="1">
        <f t="array" ref="AB18">_xlfn.IFS(AC18=$AA$5,$AA$6,AC18=$AB$5,$AB$6,AC18=$AC$5,$AC$6,AC18=$AD$5,$AD$6,AC18=$AE$5,$AE$6,AC18=$AF$5,$AF$6,TRUE,0)</f>
        <v>0</v>
      </c>
      <c r="AC18" s="4572" t="s">
        <v>790</v>
      </c>
      <c r="AD18" s="4572"/>
      <c r="AE18" s="4572"/>
      <c r="AF18" s="4572"/>
      <c r="AG18" s="907"/>
      <c r="AH18" s="4581"/>
      <c r="AI18" s="4581"/>
      <c r="AJ18" s="4581"/>
      <c r="AK18" s="4581"/>
      <c r="AL18" s="4581"/>
      <c r="AM18" s="4581"/>
      <c r="AN18" s="4581"/>
      <c r="AO18" s="4581"/>
      <c r="AP18" s="4581"/>
      <c r="AQ18" s="4581"/>
      <c r="AR18" s="4581"/>
      <c r="AS18" s="4581"/>
      <c r="AT18" s="4581"/>
      <c r="AU18" s="907"/>
      <c r="AV18" s="4573" t="s">
        <v>790</v>
      </c>
      <c r="AW18" s="4573"/>
      <c r="AX18" s="4573"/>
      <c r="AY18" s="4573"/>
      <c r="AZ18" s="2340" cm="1">
        <f t="array" ref="AZ18">_xlfn.IFS(AV18=$AA$5,$AA$6,AV18=$AB$5,$AB$6,AV18=$AC$5,$AC$6,AV18=$AD$5,$AD$6,AV18=$AE$5,$AE$6,AV18=$AF$5,$AF$6,TRUE,0)</f>
        <v>0</v>
      </c>
      <c r="BA18" s="609"/>
      <c r="BB18" s="17"/>
      <c r="BC18" s="17"/>
      <c r="BD18" s="618"/>
      <c r="BE18" s="617"/>
      <c r="BF18" s="4521"/>
      <c r="BG18" s="4522"/>
      <c r="BH18" s="4524"/>
      <c r="BI18" s="4524"/>
      <c r="BJ18" s="4524"/>
      <c r="BK18" s="4522"/>
      <c r="BL18" s="4526"/>
      <c r="BM18" s="622"/>
      <c r="BN18" s="622"/>
      <c r="BO18" s="4521"/>
      <c r="BP18" s="4522"/>
      <c r="BQ18" s="4524"/>
      <c r="BR18" s="4524"/>
      <c r="BS18" s="4524"/>
      <c r="BT18" s="4522"/>
      <c r="BU18" s="4526"/>
      <c r="BV18" s="617"/>
      <c r="BW18" s="621"/>
      <c r="BX18" s="17"/>
      <c r="BY18" s="901"/>
      <c r="BZ18" s="604"/>
      <c r="CA18" s="605"/>
      <c r="CC18" s="44" t="s">
        <v>556</v>
      </c>
      <c r="CD18" s="101"/>
      <c r="CE18" s="101"/>
      <c r="CF18" s="101"/>
      <c r="CG18" s="44" t="s">
        <v>331</v>
      </c>
      <c r="CJ18" s="73"/>
    </row>
    <row r="19" spans="1:88" ht="17.100000000000001" customHeight="1" x14ac:dyDescent="0.2">
      <c r="A19" s="17"/>
      <c r="B19" s="923"/>
      <c r="C19" s="17"/>
      <c r="D19" s="17"/>
      <c r="E19" s="618"/>
      <c r="F19" s="617"/>
      <c r="G19" s="4527"/>
      <c r="H19" s="4528"/>
      <c r="I19" s="4528"/>
      <c r="J19" s="4528"/>
      <c r="K19" s="4528"/>
      <c r="L19" s="4528"/>
      <c r="M19" s="4529"/>
      <c r="N19" s="622"/>
      <c r="O19" s="622"/>
      <c r="P19" s="4527"/>
      <c r="Q19" s="4528"/>
      <c r="R19" s="4528"/>
      <c r="S19" s="4528"/>
      <c r="T19" s="4528"/>
      <c r="U19" s="4528"/>
      <c r="V19" s="4529"/>
      <c r="W19" s="617"/>
      <c r="X19" s="621"/>
      <c r="Y19" s="17"/>
      <c r="Z19" s="17"/>
      <c r="AA19" s="620"/>
      <c r="AB19" s="917"/>
      <c r="AC19" s="907"/>
      <c r="AD19" s="907"/>
      <c r="AE19" s="925"/>
      <c r="AF19" s="926"/>
      <c r="AG19" s="927"/>
      <c r="AH19" s="928"/>
      <c r="AI19" s="926"/>
      <c r="AJ19" s="929"/>
      <c r="AK19" s="928"/>
      <c r="AL19" s="926"/>
      <c r="AM19" s="929"/>
      <c r="AN19" s="928"/>
      <c r="AO19" s="926"/>
      <c r="AP19" s="927"/>
      <c r="AQ19" s="928"/>
      <c r="AR19" s="926"/>
      <c r="AS19" s="927"/>
      <c r="AT19" s="928"/>
      <c r="AU19" s="926"/>
      <c r="AV19" s="927"/>
      <c r="AW19" s="927"/>
      <c r="AX19" s="907"/>
      <c r="AY19" s="930"/>
      <c r="AZ19" s="917"/>
      <c r="BA19" s="609"/>
      <c r="BB19" s="17"/>
      <c r="BC19" s="17"/>
      <c r="BD19" s="618"/>
      <c r="BE19" s="617"/>
      <c r="BF19" s="4527"/>
      <c r="BG19" s="4528"/>
      <c r="BH19" s="4528"/>
      <c r="BI19" s="4528"/>
      <c r="BJ19" s="4528"/>
      <c r="BK19" s="4528"/>
      <c r="BL19" s="4529"/>
      <c r="BM19" s="622"/>
      <c r="BN19" s="622"/>
      <c r="BO19" s="4527"/>
      <c r="BP19" s="4528"/>
      <c r="BQ19" s="4528"/>
      <c r="BR19" s="4528"/>
      <c r="BS19" s="4528"/>
      <c r="BT19" s="4528"/>
      <c r="BU19" s="4529"/>
      <c r="BV19" s="617"/>
      <c r="BW19" s="621"/>
      <c r="BX19" s="17"/>
      <c r="BY19" s="901"/>
      <c r="BZ19" s="604"/>
      <c r="CA19" s="605"/>
      <c r="CC19" s="44" t="s">
        <v>2328</v>
      </c>
      <c r="CD19" s="101"/>
      <c r="CE19" s="101"/>
      <c r="CF19" s="101"/>
      <c r="CG19" s="44" t="s">
        <v>1610</v>
      </c>
      <c r="CJ19" s="73"/>
    </row>
    <row r="20" spans="1:88" ht="17.100000000000001" customHeight="1" thickBot="1" x14ac:dyDescent="0.25">
      <c r="A20" s="17"/>
      <c r="B20" s="923"/>
      <c r="C20" s="17"/>
      <c r="D20" s="17"/>
      <c r="E20" s="618"/>
      <c r="F20" s="617"/>
      <c r="G20" s="4530"/>
      <c r="H20" s="4531"/>
      <c r="I20" s="4531"/>
      <c r="J20" s="4531"/>
      <c r="K20" s="4531"/>
      <c r="L20" s="4531"/>
      <c r="M20" s="4532"/>
      <c r="N20" s="622"/>
      <c r="O20" s="622"/>
      <c r="P20" s="4530"/>
      <c r="Q20" s="4531"/>
      <c r="R20" s="4531"/>
      <c r="S20" s="4531"/>
      <c r="T20" s="4531"/>
      <c r="U20" s="4531"/>
      <c r="V20" s="4532"/>
      <c r="W20" s="617"/>
      <c r="X20" s="621"/>
      <c r="Y20" s="17"/>
      <c r="Z20" s="17"/>
      <c r="AA20" s="624"/>
      <c r="AB20" s="625"/>
      <c r="AC20" s="625"/>
      <c r="AD20" s="625"/>
      <c r="AE20" s="625"/>
      <c r="AF20" s="625"/>
      <c r="AG20" s="625"/>
      <c r="AH20" s="625"/>
      <c r="AI20" s="625"/>
      <c r="AJ20" s="625"/>
      <c r="AK20" s="625"/>
      <c r="AL20" s="625"/>
      <c r="AM20" s="625"/>
      <c r="AN20" s="625"/>
      <c r="AO20" s="625"/>
      <c r="AP20" s="625"/>
      <c r="AQ20" s="625"/>
      <c r="AR20" s="625"/>
      <c r="AS20" s="625"/>
      <c r="AT20" s="625"/>
      <c r="AU20" s="625"/>
      <c r="AV20" s="625"/>
      <c r="AW20" s="625"/>
      <c r="AX20" s="625"/>
      <c r="AY20" s="625"/>
      <c r="AZ20" s="625"/>
      <c r="BA20" s="626"/>
      <c r="BB20" s="17"/>
      <c r="BC20" s="17"/>
      <c r="BD20" s="618"/>
      <c r="BE20" s="617"/>
      <c r="BF20" s="4530"/>
      <c r="BG20" s="4531"/>
      <c r="BH20" s="4531"/>
      <c r="BI20" s="4531"/>
      <c r="BJ20" s="4531"/>
      <c r="BK20" s="4531"/>
      <c r="BL20" s="4532"/>
      <c r="BM20" s="622"/>
      <c r="BN20" s="622"/>
      <c r="BO20" s="4530"/>
      <c r="BP20" s="4531"/>
      <c r="BQ20" s="4531"/>
      <c r="BR20" s="4531"/>
      <c r="BS20" s="4531"/>
      <c r="BT20" s="4531"/>
      <c r="BU20" s="4532"/>
      <c r="BV20" s="617"/>
      <c r="BW20" s="621"/>
      <c r="BX20" s="17"/>
      <c r="BY20" s="901"/>
      <c r="BZ20" s="604"/>
      <c r="CA20" s="605"/>
      <c r="CC20" s="44" t="s">
        <v>555</v>
      </c>
      <c r="CD20" s="101"/>
      <c r="CE20" s="101"/>
      <c r="CF20" s="101"/>
      <c r="CG20" s="44" t="s">
        <v>1616</v>
      </c>
      <c r="CJ20" s="73"/>
    </row>
    <row r="21" spans="1:88" ht="17.100000000000001" customHeight="1" thickTop="1" x14ac:dyDescent="0.2">
      <c r="A21" s="17"/>
      <c r="B21" s="923"/>
      <c r="C21" s="17"/>
      <c r="D21" s="17"/>
      <c r="E21" s="618"/>
      <c r="F21" s="617"/>
      <c r="G21" s="4517"/>
      <c r="H21" s="4517"/>
      <c r="I21" s="4517"/>
      <c r="J21" s="4517"/>
      <c r="K21" s="4517"/>
      <c r="L21" s="4517"/>
      <c r="M21" s="4517"/>
      <c r="N21" s="924"/>
      <c r="O21" s="924"/>
      <c r="P21" s="4517"/>
      <c r="Q21" s="4517"/>
      <c r="R21" s="4517"/>
      <c r="S21" s="4517"/>
      <c r="T21" s="4517"/>
      <c r="U21" s="4517"/>
      <c r="V21" s="4517"/>
      <c r="W21" s="617"/>
      <c r="X21" s="621"/>
      <c r="Y21" s="17"/>
      <c r="Z21" s="17"/>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618"/>
      <c r="BE21" s="617"/>
      <c r="BF21" s="4517"/>
      <c r="BG21" s="4517"/>
      <c r="BH21" s="4517"/>
      <c r="BI21" s="4517"/>
      <c r="BJ21" s="4517"/>
      <c r="BK21" s="4517"/>
      <c r="BL21" s="4517"/>
      <c r="BM21" s="924"/>
      <c r="BN21" s="924"/>
      <c r="BO21" s="4517"/>
      <c r="BP21" s="4517"/>
      <c r="BQ21" s="4517"/>
      <c r="BR21" s="4517"/>
      <c r="BS21" s="4517"/>
      <c r="BT21" s="4517"/>
      <c r="BU21" s="4517"/>
      <c r="BV21" s="617"/>
      <c r="BW21" s="621"/>
      <c r="BX21" s="17"/>
      <c r="BY21" s="901"/>
      <c r="BZ21" s="604"/>
      <c r="CA21" s="605"/>
      <c r="CC21" s="44" t="s">
        <v>769</v>
      </c>
      <c r="CD21" s="101"/>
      <c r="CE21" s="101"/>
      <c r="CF21" s="101"/>
      <c r="CG21" s="44" t="s">
        <v>1627</v>
      </c>
      <c r="CJ21" s="73"/>
    </row>
    <row r="22" spans="1:88" ht="17.100000000000001" customHeight="1" thickBot="1" x14ac:dyDescent="0.25">
      <c r="A22" s="17"/>
      <c r="B22" s="923"/>
      <c r="C22" s="17"/>
      <c r="D22" s="17"/>
      <c r="E22" s="618"/>
      <c r="F22" s="617"/>
      <c r="G22" s="931"/>
      <c r="H22" s="931"/>
      <c r="I22" s="931"/>
      <c r="J22" s="931"/>
      <c r="K22" s="931"/>
      <c r="L22" s="931"/>
      <c r="M22" s="931"/>
      <c r="N22" s="931"/>
      <c r="O22" s="931"/>
      <c r="P22" s="931"/>
      <c r="Q22" s="931"/>
      <c r="R22" s="931"/>
      <c r="S22" s="931"/>
      <c r="T22" s="931"/>
      <c r="U22" s="931"/>
      <c r="V22" s="931"/>
      <c r="W22" s="617"/>
      <c r="X22" s="621"/>
      <c r="Y22" s="17"/>
      <c r="Z22" s="17"/>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618"/>
      <c r="BE22" s="617"/>
      <c r="BF22" s="931"/>
      <c r="BG22" s="931"/>
      <c r="BH22" s="931"/>
      <c r="BI22" s="931"/>
      <c r="BJ22" s="931"/>
      <c r="BK22" s="931"/>
      <c r="BL22" s="931"/>
      <c r="BM22" s="931"/>
      <c r="BN22" s="931"/>
      <c r="BO22" s="931"/>
      <c r="BP22" s="931"/>
      <c r="BQ22" s="931"/>
      <c r="BR22" s="931"/>
      <c r="BS22" s="931"/>
      <c r="BT22" s="931"/>
      <c r="BU22" s="931"/>
      <c r="BV22" s="617"/>
      <c r="BW22" s="621"/>
      <c r="BX22" s="17"/>
      <c r="BY22" s="901"/>
      <c r="BZ22" s="604"/>
      <c r="CA22" s="605"/>
      <c r="CC22" s="44" t="s">
        <v>937</v>
      </c>
      <c r="CG22" s="44" t="s">
        <v>1632</v>
      </c>
      <c r="CJ22" s="73"/>
    </row>
    <row r="23" spans="1:88" ht="17.100000000000001" customHeight="1" thickTop="1" x14ac:dyDescent="0.2">
      <c r="A23" s="17"/>
      <c r="B23" s="923"/>
      <c r="C23" s="17"/>
      <c r="D23" s="17"/>
      <c r="E23" s="618"/>
      <c r="F23" s="617"/>
      <c r="G23" s="4519" t="s">
        <v>72</v>
      </c>
      <c r="H23" s="4520"/>
      <c r="I23" s="4523" t="str">
        <f>IF(ISBLANK(G25),data!$JO$125,_xlfn.IFS(
ISNUMBER(SEARCH( data!$JP$87, G25 )), data!$JO$87,
ISNUMBER(SEARCH( data!$JP$88, G25 )), data!$JO$88,
ISNUMBER(SEARCH( data!$JP$89, G25 )), data!$JO$89,
ISNUMBER(SEARCH( data!$JP$90, G25 )), data!$JO$90,
ISNUMBER(SEARCH( data!$JP$91, G25 )), data!$JO$91,
ISNUMBER(SEARCH( data!$JP$92, G25 )), data!$JO$92,
ISNUMBER(SEARCH( data!$JP$93, G25 )), data!$JO$93,
ISNUMBER(SEARCH( data!$JP$94, G25 )), data!$JO$94,
ISNUMBER(SEARCH( data!$JP$95, G25 )), data!$JO$95,
ISNUMBER(SEARCH( data!$JP$96, G25 )), data!$JO$96,
ISNUMBER(SEARCH( data!$JP$97, G25 )), data!$JO$97,
ISNUMBER(SEARCH( data!$JP$98, G25 )), data!$JO$98,
ISNUMBER(SEARCH( data!$JP$99, G25 )), data!$JO$99,
ISNUMBER(SEARCH( data!$JP$100, G25 )), data!$JO$100,
ISNUMBER(SEARCH( data!$JP$101, G25 )), data!$JO$101,
ISNUMBER(SEARCH( data!$JP$102, G25 )), data!$JO$102,
ISNUMBER(SEARCH( data!$JP$103, G25 )), data!$JO$103,
ISNUMBER(SEARCH( data!$JP$104, G25 )), data!$JO$104,
ISNUMBER(SEARCH( data!$JP$105, G25 )), data!$JO$105,
ISNUMBER(SEARCH( data!$JP$106, G25 )), data!$JO$106,
ISNUMBER(SEARCH( data!$JP$107, G25 )), data!$JO$107,
ISNUMBER(SEARCH( data!$JP$108, G25 )), data!$JO$108,
ISNUMBER(SEARCH( data!$JP$109, G25 )), data!$JO$109,
ISNUMBER(SEARCH( data!$JP$110, G25 )), data!$JO$110,
ISNUMBER(SEARCH( data!$JP$111, G25 )), data!$JO$111,
ISNUMBER(SEARCH( data!$JP$112, G25 )), data!$JO$112,
ISNUMBER(SEARCH( data!$JP$113, G25 )), data!$JO$113,
ISNUMBER(SEARCH( data!$JP$114, G25 )), data!$JO$114,
ISNUMBER(SEARCH( data!$JP$115, G25 )), data!$JO$115,
ISNUMBER(SEARCH( data!$JP$116, G25 )), data!$JO$116,
ISNUMBER(SEARCH( data!$JP$117, G25 )), data!$JO$117,
ISNUMBER(SEARCH( data!$JP$118, G25 )), data!$JO$118,
ISNUMBER(SEARCH( data!$JP$119, G25 )), data!$JO$119,
ISNUMBER(SEARCH( data!$JP$120, G25 )), data!$JO$120,
TRUE,data!$JO$122))</f>
        <v>🍽</v>
      </c>
      <c r="J23" s="4523"/>
      <c r="K23" s="4523"/>
      <c r="L23" s="4520" t="s">
        <v>72</v>
      </c>
      <c r="M23" s="4525"/>
      <c r="N23" s="622"/>
      <c r="O23" s="622"/>
      <c r="P23" s="4519" t="s">
        <v>72</v>
      </c>
      <c r="Q23" s="4520"/>
      <c r="R23" s="4523" t="str">
        <f>IF(ISBLANK(P25),data!$JO$129,_xlfn.IFS(
ISNUMBER(SEARCH( data!$JP$87, P25 )), data!$JO$87,
ISNUMBER(SEARCH( data!$JP$88, P25 )), data!$JO$88,
ISNUMBER(SEARCH( data!$JP$89, P25 )), data!$JO$89,
ISNUMBER(SEARCH( data!$JP$90, P25 )), data!$JO$90,
ISNUMBER(SEARCH( data!$JP$91, P25 )), data!$JO$91,
ISNUMBER(SEARCH( data!$JP$92, P25 )), data!$JO$92,
ISNUMBER(SEARCH( data!$JP$93, P25 )), data!$JO$93,
ISNUMBER(SEARCH( data!$JP$94, P25 )), data!$JO$94,
ISNUMBER(SEARCH( data!$JP$95, P25 )), data!$JO$95,
ISNUMBER(SEARCH( data!$JP$96, P25 )), data!$JO$96,
ISNUMBER(SEARCH( data!$JP$97, P25 )), data!$JO$97,
ISNUMBER(SEARCH( data!$JP$98, P25 )), data!$JO$98,
ISNUMBER(SEARCH( data!$JP$99, P25 )), data!$JO$99,
ISNUMBER(SEARCH( data!$JP$100, P25 )), data!$JO$100,
ISNUMBER(SEARCH( data!$JP$101, P25 )), data!$JO$101,
ISNUMBER(SEARCH( data!$JP$102, P25 )), data!$JO$102,
ISNUMBER(SEARCH( data!$JP$103, P25 )), data!$JO$103,
ISNUMBER(SEARCH( data!$JP$104, P25 )), data!$JO$104,
ISNUMBER(SEARCH( data!$JP$105, P25 )), data!$JO$105,
ISNUMBER(SEARCH( data!$JP$106, P25 )), data!$JO$106,
ISNUMBER(SEARCH( data!$JP$107, P25 )), data!$JO$107,
ISNUMBER(SEARCH( data!$JP$108, P25 )), data!$JO$108,
ISNUMBER(SEARCH( data!$JP$109, P25 )), data!$JO$109,
ISNUMBER(SEARCH( data!$JP$110, P25 )), data!$JO$110,
ISNUMBER(SEARCH( data!$JP$111, P25 )), data!$JO$111,
ISNUMBER(SEARCH( data!$JP$112, P25 )), data!$JO$112,
ISNUMBER(SEARCH( data!$JP$113, P25 )), data!$JO$113,
ISNUMBER(SEARCH( data!$JP$114, P25 )), data!$JO$114,
ISNUMBER(SEARCH( data!$JP$115, P25 )), data!$JO$115,
ISNUMBER(SEARCH( data!$JP$116, P25 )), data!$JO$116,
ISNUMBER(SEARCH( data!$JP$117, P25 )), data!$JO$117,
ISNUMBER(SEARCH( data!$JP$118, P25 )), data!$JO$118,
ISNUMBER(SEARCH( data!$JP$119, P25 )), data!$JO$119,
ISNUMBER(SEARCH( data!$JP$120, P25 )), data!$JO$120,
TRUE,data!$JO$122))</f>
        <v>🎭</v>
      </c>
      <c r="S23" s="4523"/>
      <c r="T23" s="4523"/>
      <c r="U23" s="4520" t="s">
        <v>72</v>
      </c>
      <c r="V23" s="4525"/>
      <c r="W23" s="617"/>
      <c r="X23" s="621"/>
      <c r="Y23" s="17"/>
      <c r="Z23" s="17"/>
      <c r="AA23" s="627"/>
      <c r="AB23" s="628"/>
      <c r="AC23" s="628"/>
      <c r="AD23" s="628"/>
      <c r="AE23" s="628"/>
      <c r="AF23" s="628"/>
      <c r="AG23" s="628"/>
      <c r="AH23" s="628"/>
      <c r="AI23" s="628"/>
      <c r="AJ23" s="628"/>
      <c r="AK23" s="628"/>
      <c r="AL23" s="628"/>
      <c r="AM23" s="628"/>
      <c r="AN23" s="628"/>
      <c r="AO23" s="628"/>
      <c r="AP23" s="628"/>
      <c r="AQ23" s="628"/>
      <c r="AR23" s="628"/>
      <c r="AS23" s="628"/>
      <c r="AT23" s="628"/>
      <c r="AU23" s="628"/>
      <c r="AV23" s="628"/>
      <c r="AW23" s="628"/>
      <c r="AX23" s="628"/>
      <c r="AY23" s="628"/>
      <c r="AZ23" s="628"/>
      <c r="BA23" s="629"/>
      <c r="BB23" s="17"/>
      <c r="BC23" s="17"/>
      <c r="BD23" s="618"/>
      <c r="BE23" s="617"/>
      <c r="BF23" s="4519" t="s">
        <v>72</v>
      </c>
      <c r="BG23" s="4520"/>
      <c r="BH23" s="4523" t="str">
        <f>IF(ISBLANK(BF25),data!$JQ$108,_xlfn.IFS(
ISNUMBER(SEARCH( data!$JR$87, BF25 )), data!$JQ$87,
ISNUMBER(SEARCH( data!$JR$88, BF25 )), data!$JQ$88,
ISNUMBER(SEARCH( data!$JR$89, BF25 )), data!$JQ$89,
ISNUMBER(SEARCH( data!$JR$90, BF25 )), data!$JQ$90,
ISNUMBER(SEARCH( data!$JR$91, BF25 )), data!$JQ$91,
ISNUMBER(SEARCH( data!$JR$92, BF25 )), data!$JQ$92,
ISNUMBER(SEARCH( data!$JR$93, BF25 )), data!$JQ$93,
ISNUMBER(SEARCH( data!$JR$94, BF25 )), data!$JQ$94,
ISNUMBER(SEARCH( data!$JR$95, BF25 )), data!$JQ$95,
ISNUMBER(SEARCH( data!$JR$96, BF25 )), data!$JQ$96,
ISNUMBER(SEARCH( data!$JR$97, BF25 )), data!$JQ$97,
ISNUMBER(SEARCH( data!$JR$98, BF25 )), data!$JQ$98,
ISNUMBER(SEARCH( data!$JR$99, BF25 )), data!$JQ$99,
ISNUMBER(SEARCH( data!$JR$100, BF25 )), data!$JQ$100,
ISNUMBER(SEARCH( data!$JR$101, BF25 )), data!$JQ$101,
ISNUMBER(SEARCH( data!$JR$102, BF25 )), data!$JQ$102,
ISNUMBER(SEARCH( data!$JR$103, BF25 )), data!$JQ$103,
TRUE,data!$JQ$105))</f>
        <v>🗪</v>
      </c>
      <c r="BI23" s="4523"/>
      <c r="BJ23" s="4523"/>
      <c r="BK23" s="4520" t="s">
        <v>72</v>
      </c>
      <c r="BL23" s="4525"/>
      <c r="BM23" s="622"/>
      <c r="BN23" s="622"/>
      <c r="BO23" s="4519" t="s">
        <v>72</v>
      </c>
      <c r="BP23" s="4520"/>
      <c r="BQ23" s="4523" t="str">
        <f>IF(ISBLANK(BO25),data!$JQ$112,_xlfn.IFS(
ISNUMBER(SEARCH( data!$JR$87, BO25 )), data!$JQ$87,
ISNUMBER(SEARCH( data!$JR$88, BO25 )), data!$JQ$88,
ISNUMBER(SEARCH( data!$JR$89, BO25 )), data!$JQ$89,
ISNUMBER(SEARCH( data!$JR$90, BO25 )), data!$JQ$90,
ISNUMBER(SEARCH( data!$JR$91, BO25 )), data!$JQ$91,
ISNUMBER(SEARCH( data!$JR$92, BO25 )), data!$JQ$92,
ISNUMBER(SEARCH( data!$JR$93, BO25 )), data!$JQ$93,
ISNUMBER(SEARCH( data!$JR$94, BO25 )), data!$JQ$94,
ISNUMBER(SEARCH( data!$JR$95, BO25 )), data!$JQ$95,
ISNUMBER(SEARCH( data!$JR$96, BO25 )), data!$JQ$96,
ISNUMBER(SEARCH( data!$JR$97, BO25 )), data!$JQ$97,
ISNUMBER(SEARCH( data!$JR$98, BO25 )), data!$JQ$98,
ISNUMBER(SEARCH( data!$JR$99, BO25 )), data!$JQ$99,
ISNUMBER(SEARCH( data!$JR$100, BO25 )), data!$JQ$100,
ISNUMBER(SEARCH( data!$JR$101, BO25 )), data!$JQ$101,
ISNUMBER(SEARCH( data!$JR$102, BO25 )), data!$JQ$102,
ISNUMBER(SEARCH( data!$JR$103, BO25 )), data!$JQ$103,
TRUE,data!$JQ$105))</f>
        <v>🗫</v>
      </c>
      <c r="BR23" s="4523"/>
      <c r="BS23" s="4523"/>
      <c r="BT23" s="4520" t="s">
        <v>72</v>
      </c>
      <c r="BU23" s="4525"/>
      <c r="BV23" s="617"/>
      <c r="BW23" s="621"/>
      <c r="BX23" s="17"/>
      <c r="BY23" s="901"/>
      <c r="BZ23" s="604"/>
      <c r="CA23" s="605"/>
      <c r="CG23" s="44" t="s">
        <v>1612</v>
      </c>
      <c r="CJ23" s="73"/>
    </row>
    <row r="24" spans="1:88" ht="17.100000000000001" customHeight="1" x14ac:dyDescent="0.2">
      <c r="A24" s="17"/>
      <c r="B24" s="923"/>
      <c r="C24" s="17"/>
      <c r="D24" s="17"/>
      <c r="E24" s="618"/>
      <c r="F24" s="617"/>
      <c r="G24" s="4521"/>
      <c r="H24" s="4522"/>
      <c r="I24" s="4524"/>
      <c r="J24" s="4524"/>
      <c r="K24" s="4524"/>
      <c r="L24" s="4522"/>
      <c r="M24" s="4526"/>
      <c r="N24" s="622"/>
      <c r="O24" s="622"/>
      <c r="P24" s="4521"/>
      <c r="Q24" s="4522"/>
      <c r="R24" s="4524"/>
      <c r="S24" s="4524"/>
      <c r="T24" s="4524"/>
      <c r="U24" s="4522"/>
      <c r="V24" s="4526"/>
      <c r="W24" s="617"/>
      <c r="X24" s="621"/>
      <c r="Y24" s="17"/>
      <c r="Z24" s="17"/>
      <c r="AA24" s="630"/>
      <c r="AB24" s="631"/>
      <c r="AC24" s="4579" t="s">
        <v>689</v>
      </c>
      <c r="AD24" s="4579"/>
      <c r="AE24" s="4579"/>
      <c r="AF24" s="4579"/>
      <c r="AG24" s="4579"/>
      <c r="AH24" s="4579"/>
      <c r="AI24" s="4579"/>
      <c r="AJ24" s="4579"/>
      <c r="AK24" s="4579"/>
      <c r="AL24" s="4579"/>
      <c r="AM24" s="4579"/>
      <c r="AN24" s="4579"/>
      <c r="AO24" s="4579"/>
      <c r="AP24" s="4579"/>
      <c r="AQ24" s="4579"/>
      <c r="AR24" s="4579"/>
      <c r="AS24" s="4579"/>
      <c r="AT24" s="4579"/>
      <c r="AU24" s="4579"/>
      <c r="AV24" s="4579"/>
      <c r="AW24" s="4579"/>
      <c r="AX24" s="4579"/>
      <c r="AY24" s="4579"/>
      <c r="AZ24" s="631"/>
      <c r="BA24" s="632"/>
      <c r="BB24" s="17"/>
      <c r="BC24" s="17"/>
      <c r="BD24" s="618"/>
      <c r="BE24" s="617"/>
      <c r="BF24" s="4521"/>
      <c r="BG24" s="4522"/>
      <c r="BH24" s="4524"/>
      <c r="BI24" s="4524"/>
      <c r="BJ24" s="4524"/>
      <c r="BK24" s="4522"/>
      <c r="BL24" s="4526"/>
      <c r="BM24" s="622"/>
      <c r="BN24" s="622"/>
      <c r="BO24" s="4521"/>
      <c r="BP24" s="4522"/>
      <c r="BQ24" s="4524"/>
      <c r="BR24" s="4524"/>
      <c r="BS24" s="4524"/>
      <c r="BT24" s="4522"/>
      <c r="BU24" s="4526"/>
      <c r="BV24" s="617"/>
      <c r="BW24" s="621"/>
      <c r="BX24" s="17"/>
      <c r="BY24" s="901"/>
      <c r="BZ24" s="604"/>
      <c r="CA24" s="605"/>
      <c r="CG24" s="44" t="s">
        <v>1624</v>
      </c>
      <c r="CJ24" s="73"/>
    </row>
    <row r="25" spans="1:88" ht="17.100000000000001" customHeight="1" thickBot="1" x14ac:dyDescent="0.25">
      <c r="A25" s="17"/>
      <c r="B25" s="922"/>
      <c r="C25" s="17"/>
      <c r="D25" s="17"/>
      <c r="E25" s="618"/>
      <c r="F25" s="617"/>
      <c r="G25" s="4527"/>
      <c r="H25" s="4528"/>
      <c r="I25" s="4528"/>
      <c r="J25" s="4528"/>
      <c r="K25" s="4528"/>
      <c r="L25" s="4528"/>
      <c r="M25" s="4529"/>
      <c r="N25" s="622"/>
      <c r="O25" s="622"/>
      <c r="P25" s="4527"/>
      <c r="Q25" s="4528"/>
      <c r="R25" s="4528"/>
      <c r="S25" s="4528"/>
      <c r="T25" s="4528"/>
      <c r="U25" s="4528"/>
      <c r="V25" s="4529"/>
      <c r="W25" s="617"/>
      <c r="X25" s="621"/>
      <c r="Y25" s="17"/>
      <c r="Z25" s="17"/>
      <c r="AA25" s="630"/>
      <c r="AB25" s="631"/>
      <c r="AC25" s="4582" t="s">
        <v>815</v>
      </c>
      <c r="AD25" s="4582"/>
      <c r="AE25" s="4582"/>
      <c r="AF25" s="4582"/>
      <c r="AG25" s="4582"/>
      <c r="AH25" s="4582"/>
      <c r="AI25" s="4582"/>
      <c r="AJ25" s="4582"/>
      <c r="AK25" s="4582"/>
      <c r="AL25" s="4582"/>
      <c r="AM25" s="4582"/>
      <c r="AN25" s="4582"/>
      <c r="AO25" s="4582"/>
      <c r="AP25" s="4582"/>
      <c r="AQ25" s="4582"/>
      <c r="AR25" s="4582"/>
      <c r="AS25" s="4582"/>
      <c r="AT25" s="4582"/>
      <c r="AU25" s="4582"/>
      <c r="AV25" s="4582"/>
      <c r="AW25" s="4582"/>
      <c r="AX25" s="4582"/>
      <c r="AY25" s="4582"/>
      <c r="AZ25" s="631"/>
      <c r="BA25" s="632"/>
      <c r="BB25" s="17"/>
      <c r="BC25" s="17"/>
      <c r="BD25" s="618"/>
      <c r="BE25" s="617"/>
      <c r="BF25" s="4527"/>
      <c r="BG25" s="4528"/>
      <c r="BH25" s="4528"/>
      <c r="BI25" s="4528"/>
      <c r="BJ25" s="4528"/>
      <c r="BK25" s="4528"/>
      <c r="BL25" s="4529"/>
      <c r="BM25" s="622"/>
      <c r="BN25" s="622"/>
      <c r="BO25" s="4527"/>
      <c r="BP25" s="4528"/>
      <c r="BQ25" s="4528"/>
      <c r="BR25" s="4528"/>
      <c r="BS25" s="4528"/>
      <c r="BT25" s="4528"/>
      <c r="BU25" s="4529"/>
      <c r="BV25" s="617"/>
      <c r="BW25" s="621"/>
      <c r="BX25" s="17"/>
      <c r="BY25" s="17"/>
      <c r="BZ25" s="604"/>
      <c r="CA25" s="605"/>
      <c r="CC25" s="1122"/>
      <c r="CG25" s="44" t="s">
        <v>1633</v>
      </c>
      <c r="CJ25" s="73"/>
    </row>
    <row r="26" spans="1:88" ht="17.100000000000001" customHeight="1" thickTop="1" thickBot="1" x14ac:dyDescent="0.3">
      <c r="A26" s="17"/>
      <c r="B26" s="922"/>
      <c r="C26" s="17"/>
      <c r="D26" s="17"/>
      <c r="E26" s="618"/>
      <c r="F26" s="617"/>
      <c r="G26" s="4530"/>
      <c r="H26" s="4531"/>
      <c r="I26" s="4531"/>
      <c r="J26" s="4531"/>
      <c r="K26" s="4531"/>
      <c r="L26" s="4531"/>
      <c r="M26" s="4532"/>
      <c r="N26" s="622"/>
      <c r="O26" s="622"/>
      <c r="P26" s="4530"/>
      <c r="Q26" s="4531"/>
      <c r="R26" s="4531"/>
      <c r="S26" s="4531"/>
      <c r="T26" s="4531"/>
      <c r="U26" s="4531"/>
      <c r="V26" s="4532"/>
      <c r="W26" s="617"/>
      <c r="X26" s="621"/>
      <c r="Y26" s="17"/>
      <c r="Z26" s="17"/>
      <c r="AA26" s="630"/>
      <c r="AB26" s="2723" t="s">
        <v>119</v>
      </c>
      <c r="AC26" s="2724"/>
      <c r="AD26" s="2724"/>
      <c r="AE26" s="2724"/>
      <c r="AF26" s="2724"/>
      <c r="AG26" s="2724"/>
      <c r="AH26" s="2724"/>
      <c r="AI26" s="2724"/>
      <c r="AJ26" s="2724"/>
      <c r="AK26" s="2724"/>
      <c r="AL26" s="2724"/>
      <c r="AM26" s="2724"/>
      <c r="AN26" s="2725"/>
      <c r="AO26" s="2725"/>
      <c r="AP26" s="2757" t="s">
        <v>557</v>
      </c>
      <c r="AQ26" s="4533"/>
      <c r="AR26" s="4534"/>
      <c r="AS26" s="4576"/>
      <c r="AT26" s="4576"/>
      <c r="AU26" s="634"/>
      <c r="AV26" s="4518"/>
      <c r="AW26" s="4518"/>
      <c r="AX26" s="4518"/>
      <c r="AY26" s="4518"/>
      <c r="AZ26" s="4539"/>
      <c r="BA26" s="632"/>
      <c r="BB26" s="17"/>
      <c r="BC26" s="17"/>
      <c r="BD26" s="618"/>
      <c r="BE26" s="617"/>
      <c r="BF26" s="4530"/>
      <c r="BG26" s="4531"/>
      <c r="BH26" s="4531"/>
      <c r="BI26" s="4531"/>
      <c r="BJ26" s="4531"/>
      <c r="BK26" s="4531"/>
      <c r="BL26" s="4532"/>
      <c r="BM26" s="622"/>
      <c r="BN26" s="622"/>
      <c r="BO26" s="4530"/>
      <c r="BP26" s="4531"/>
      <c r="BQ26" s="4531"/>
      <c r="BR26" s="4531"/>
      <c r="BS26" s="4531"/>
      <c r="BT26" s="4531"/>
      <c r="BU26" s="4532"/>
      <c r="BV26" s="617"/>
      <c r="BW26" s="621"/>
      <c r="BX26" s="17"/>
      <c r="BY26" s="17"/>
      <c r="BZ26" s="604"/>
      <c r="CA26" s="635"/>
      <c r="CC26" s="1670" t="s">
        <v>525</v>
      </c>
      <c r="CG26" s="44" t="s">
        <v>1613</v>
      </c>
      <c r="CJ26" s="73"/>
    </row>
    <row r="27" spans="1:88" ht="17.100000000000001" customHeight="1" thickTop="1" thickBot="1" x14ac:dyDescent="0.25">
      <c r="A27" s="17"/>
      <c r="B27" s="604"/>
      <c r="C27" s="17"/>
      <c r="D27" s="17"/>
      <c r="E27" s="618"/>
      <c r="F27" s="617"/>
      <c r="G27" s="4517"/>
      <c r="H27" s="4517"/>
      <c r="I27" s="4517"/>
      <c r="J27" s="4517"/>
      <c r="K27" s="4517"/>
      <c r="L27" s="4517"/>
      <c r="M27" s="4517"/>
      <c r="N27" s="924"/>
      <c r="O27" s="924"/>
      <c r="P27" s="4517"/>
      <c r="Q27" s="4517"/>
      <c r="R27" s="4517"/>
      <c r="S27" s="4517"/>
      <c r="T27" s="4517"/>
      <c r="U27" s="4517"/>
      <c r="V27" s="4517"/>
      <c r="W27" s="617"/>
      <c r="X27" s="621"/>
      <c r="Y27" s="17"/>
      <c r="Z27" s="17"/>
      <c r="AA27" s="630"/>
      <c r="AB27" s="2730" t="s">
        <v>120</v>
      </c>
      <c r="AC27" s="2731"/>
      <c r="AD27" s="2731"/>
      <c r="AE27" s="2731"/>
      <c r="AF27" s="2731"/>
      <c r="AG27" s="2731"/>
      <c r="AH27" s="2731"/>
      <c r="AI27" s="2731"/>
      <c r="AJ27" s="2732" t="s">
        <v>121</v>
      </c>
      <c r="AK27" s="2731"/>
      <c r="AL27" s="2731"/>
      <c r="AM27" s="2732" t="s">
        <v>177</v>
      </c>
      <c r="AN27" s="2731"/>
      <c r="AO27" s="2731"/>
      <c r="AP27" s="2758" t="s">
        <v>70</v>
      </c>
      <c r="AQ27" s="2730" t="s">
        <v>521</v>
      </c>
      <c r="AR27" s="2759"/>
      <c r="AS27" s="2759"/>
      <c r="AT27" s="2759"/>
      <c r="AU27" s="636"/>
      <c r="AV27" s="636"/>
      <c r="AW27" s="636"/>
      <c r="AX27" s="636"/>
      <c r="AY27" s="636"/>
      <c r="AZ27" s="636"/>
      <c r="BA27" s="632"/>
      <c r="BB27" s="17"/>
      <c r="BC27" s="17"/>
      <c r="BD27" s="618"/>
      <c r="BE27" s="617"/>
      <c r="BF27" s="4517"/>
      <c r="BG27" s="4517"/>
      <c r="BH27" s="4517"/>
      <c r="BI27" s="4517"/>
      <c r="BJ27" s="4517"/>
      <c r="BK27" s="4517"/>
      <c r="BL27" s="4517"/>
      <c r="BM27" s="924"/>
      <c r="BN27" s="924"/>
      <c r="BO27" s="4517"/>
      <c r="BP27" s="4517"/>
      <c r="BQ27" s="4517"/>
      <c r="BR27" s="4517"/>
      <c r="BS27" s="4517"/>
      <c r="BT27" s="4517"/>
      <c r="BU27" s="4517"/>
      <c r="BV27" s="617"/>
      <c r="BW27" s="621"/>
      <c r="BX27" s="17"/>
      <c r="BY27" s="17"/>
      <c r="BZ27" s="604"/>
      <c r="CA27" s="635"/>
      <c r="CG27" s="44" t="s">
        <v>1422</v>
      </c>
      <c r="CJ27" s="73"/>
    </row>
    <row r="28" spans="1:88" ht="17.100000000000001" customHeight="1" thickTop="1" thickBot="1" x14ac:dyDescent="0.3">
      <c r="A28" s="17"/>
      <c r="B28" s="604"/>
      <c r="C28" s="17"/>
      <c r="D28" s="17"/>
      <c r="E28" s="618"/>
      <c r="F28" s="617"/>
      <c r="G28" s="617"/>
      <c r="H28" s="617"/>
      <c r="I28" s="617"/>
      <c r="J28" s="617"/>
      <c r="K28" s="617"/>
      <c r="L28" s="617"/>
      <c r="M28" s="617"/>
      <c r="N28" s="617"/>
      <c r="O28" s="617"/>
      <c r="P28" s="617"/>
      <c r="Q28" s="617"/>
      <c r="R28" s="617"/>
      <c r="S28" s="617"/>
      <c r="T28" s="617"/>
      <c r="U28" s="617"/>
      <c r="V28" s="617"/>
      <c r="W28" s="617"/>
      <c r="X28" s="621"/>
      <c r="Y28" s="17"/>
      <c r="Z28" s="17"/>
      <c r="AA28" s="630"/>
      <c r="AB28" s="4541"/>
      <c r="AC28" s="4542"/>
      <c r="AD28" s="4542"/>
      <c r="AE28" s="4542"/>
      <c r="AF28" s="4542"/>
      <c r="AG28" s="4542"/>
      <c r="AH28" s="4542"/>
      <c r="AI28" s="4542"/>
      <c r="AJ28" s="4542"/>
      <c r="AK28" s="4542"/>
      <c r="AL28" s="4542"/>
      <c r="AM28" s="4551"/>
      <c r="AN28" s="4551"/>
      <c r="AO28" s="4551"/>
      <c r="AP28" s="4552"/>
      <c r="AQ28" s="4533">
        <f>IF(AV28&gt;0,AS28/AV28,0)</f>
        <v>0</v>
      </c>
      <c r="AR28" s="4534"/>
      <c r="AS28" s="4538"/>
      <c r="AT28" s="4538"/>
      <c r="AU28" s="634" t="s">
        <v>117</v>
      </c>
      <c r="AV28" s="4543"/>
      <c r="AW28" s="4543"/>
      <c r="AX28" s="4518" t="str">
        <f>IF(OR(AM28="Audiobook",AM28="Radioplay",AM28="Audiofilm",AM28="TV Audio",AM28="Podcast"), "minutes","pages")</f>
        <v>pages</v>
      </c>
      <c r="AY28" s="4518"/>
      <c r="AZ28" s="4539"/>
      <c r="BA28" s="1501">
        <f>IF(AQ28=100%,1,0)</f>
        <v>0</v>
      </c>
      <c r="BB28" s="17"/>
      <c r="BC28" s="17"/>
      <c r="BD28" s="618"/>
      <c r="BE28" s="617"/>
      <c r="BF28" s="617"/>
      <c r="BG28" s="617"/>
      <c r="BH28" s="617"/>
      <c r="BI28" s="617"/>
      <c r="BJ28" s="617"/>
      <c r="BK28" s="617"/>
      <c r="BL28" s="617"/>
      <c r="BM28" s="617"/>
      <c r="BN28" s="617"/>
      <c r="BO28" s="617"/>
      <c r="BP28" s="617"/>
      <c r="BQ28" s="617"/>
      <c r="BR28" s="617"/>
      <c r="BS28" s="617"/>
      <c r="BT28" s="617"/>
      <c r="BU28" s="617"/>
      <c r="BV28" s="617"/>
      <c r="BW28" s="621"/>
      <c r="BX28" s="17"/>
      <c r="BY28" s="17"/>
      <c r="BZ28" s="604"/>
      <c r="CA28" s="635"/>
      <c r="CC28" s="1671" t="s">
        <v>337</v>
      </c>
      <c r="CG28" s="44" t="s">
        <v>1631</v>
      </c>
      <c r="CJ28" s="73"/>
    </row>
    <row r="29" spans="1:88" ht="17.100000000000001" customHeight="1" thickTop="1" thickBot="1" x14ac:dyDescent="0.25">
      <c r="A29" s="17"/>
      <c r="B29" s="604"/>
      <c r="C29" s="17"/>
      <c r="D29" s="17"/>
      <c r="E29" s="618"/>
      <c r="F29" s="617"/>
      <c r="G29" s="4519" t="s">
        <v>72</v>
      </c>
      <c r="H29" s="4520"/>
      <c r="I29" s="4523" t="str">
        <f>IF(ISBLANK(G31),data!$JO$126,_xlfn.IFS(
ISNUMBER(SEARCH( data!$JP$87, G31 )), data!$JO$87,
ISNUMBER(SEARCH( data!$JP$88, G31 )), data!$JO$88,
ISNUMBER(SEARCH( data!$JP$89, G31 )), data!$JO$89,
ISNUMBER(SEARCH( data!$JP$90, G31 )), data!$JO$90,
ISNUMBER(SEARCH( data!$JP$91, G31 )), data!$JO$91,
ISNUMBER(SEARCH( data!$JP$92, G31 )), data!$JO$92,
ISNUMBER(SEARCH( data!$JP$93, G31 )), data!$JO$93,
ISNUMBER(SEARCH( data!$JP$94, G31 )), data!$JO$94,
ISNUMBER(SEARCH( data!$JP$95, G31 )), data!$JO$95,
ISNUMBER(SEARCH( data!$JP$96, G31 )), data!$JO$96,
ISNUMBER(SEARCH( data!$JP$97, G31 )), data!$JO$97,
ISNUMBER(SEARCH( data!$JP$98, G31 )), data!$JO$98,
ISNUMBER(SEARCH( data!$JP$99, G31 )), data!$JO$99,
ISNUMBER(SEARCH( data!$JP$100, G31 )), data!$JO$100,
ISNUMBER(SEARCH( data!$JP$101, G31 )), data!$JO$101,
ISNUMBER(SEARCH( data!$JP$102, G31 )), data!$JO$102,
ISNUMBER(SEARCH( data!$JP$103, G31 )), data!$JO$103,
ISNUMBER(SEARCH( data!$JP$104, G31 )), data!$JO$104,
ISNUMBER(SEARCH( data!$JP$105, G31 )), data!$JO$105,
ISNUMBER(SEARCH( data!$JP$106, G31 )), data!$JO$106,
ISNUMBER(SEARCH( data!$JP$107, G31 )), data!$JO$107,
ISNUMBER(SEARCH( data!$JP$108, G31 )), data!$JO$108,
ISNUMBER(SEARCH( data!$JP$109, G31 )), data!$JO$109,
ISNUMBER(SEARCH( data!$JP$110, G31 )), data!$JO$110,
ISNUMBER(SEARCH( data!$JP$111, G31 )), data!$JO$111,
ISNUMBER(SEARCH( data!$JP$112, G31 )), data!$JO$112,
ISNUMBER(SEARCH( data!$JP$113, G31 )), data!$JO$113,
ISNUMBER(SEARCH( data!$JP$114, G31 )), data!$JO$114,
ISNUMBER(SEARCH( data!$JP$115, G31 )), data!$JO$115,
ISNUMBER(SEARCH( data!$JP$116, G31 )), data!$JO$116,
ISNUMBER(SEARCH( data!$JP$117, G31 )), data!$JO$117,
ISNUMBER(SEARCH( data!$JP$118, G31 )), data!$JO$118,
ISNUMBER(SEARCH( data!$JP$119, G31 )), data!$JO$119,
ISNUMBER(SEARCH( data!$JP$120, G31 )), data!$JO$120,
TRUE,data!$JO$122))</f>
        <v>🎦</v>
      </c>
      <c r="J29" s="4523"/>
      <c r="K29" s="4523"/>
      <c r="L29" s="4520" t="s">
        <v>72</v>
      </c>
      <c r="M29" s="4525"/>
      <c r="N29" s="622"/>
      <c r="O29" s="622"/>
      <c r="P29" s="4519" t="s">
        <v>72</v>
      </c>
      <c r="Q29" s="4520"/>
      <c r="R29" s="4523" t="str">
        <f>IF(ISBLANK(P31),data!$JO$130,_xlfn.IFS(
ISNUMBER(SEARCH( data!$JP$87, P31 )), data!$JO$87,
ISNUMBER(SEARCH( data!$JP$88, P31 )), data!$JO$88,
ISNUMBER(SEARCH( data!$JP$89, P31 )), data!$JO$89,
ISNUMBER(SEARCH( data!$JP$90, P31 )), data!$JO$90,
ISNUMBER(SEARCH( data!$JP$91, P31 )), data!$JO$91,
ISNUMBER(SEARCH( data!$JP$92, P31 )), data!$JO$92,
ISNUMBER(SEARCH( data!$JP$93, P31 )), data!$JO$93,
ISNUMBER(SEARCH( data!$JP$94, P31 )), data!$JO$94,
ISNUMBER(SEARCH( data!$JP$95, P31 )), data!$JO$95,
ISNUMBER(SEARCH( data!$JP$96, P31 )), data!$JO$96,
ISNUMBER(SEARCH( data!$JP$97, P31 )), data!$JO$97,
ISNUMBER(SEARCH( data!$JP$98, P31 )), data!$JO$98,
ISNUMBER(SEARCH( data!$JP$99, P31 )), data!$JO$99,
ISNUMBER(SEARCH( data!$JP$100, P31 )), data!$JO$100,
ISNUMBER(SEARCH( data!$JP$101, P31 )), data!$JO$101,
ISNUMBER(SEARCH( data!$JP$102, P31 )), data!$JO$102,
ISNUMBER(SEARCH( data!$JP$103, P31 )), data!$JO$103,
ISNUMBER(SEARCH( data!$JP$104, P31 )), data!$JO$104,
ISNUMBER(SEARCH( data!$JP$105, P31 )), data!$JO$105,
ISNUMBER(SEARCH( data!$JP$106, P31 )), data!$JO$106,
ISNUMBER(SEARCH( data!$JP$107, P31 )), data!$JO$107,
ISNUMBER(SEARCH( data!$JP$108, P31 )), data!$JO$108,
ISNUMBER(SEARCH( data!$JP$109, P31 )), data!$JO$109,
ISNUMBER(SEARCH( data!$JP$110, P31 )), data!$JO$110,
ISNUMBER(SEARCH( data!$JP$111, P31 )), data!$JO$111,
ISNUMBER(SEARCH( data!$JP$112, P31 )), data!$JO$112,
ISNUMBER(SEARCH( data!$JP$113, P31 )), data!$JO$113,
ISNUMBER(SEARCH( data!$JP$114, P31 )), data!$JO$114,
ISNUMBER(SEARCH( data!$JP$115, P31 )), data!$JO$115,
ISNUMBER(SEARCH( data!$JP$116, P31 )), data!$JO$116,
ISNUMBER(SEARCH( data!$JP$117, P31 )), data!$JO$117,
ISNUMBER(SEARCH( data!$JP$118, P31 )), data!$JO$118,
ISNUMBER(SEARCH( data!$JP$119, P31 )), data!$JO$119,
ISNUMBER(SEARCH( data!$JP$120, P31 )), data!$JO$120,
TRUE,data!$JO$122))</f>
        <v>🎬</v>
      </c>
      <c r="S29" s="4523"/>
      <c r="T29" s="4523"/>
      <c r="U29" s="4520" t="s">
        <v>72</v>
      </c>
      <c r="V29" s="4525"/>
      <c r="W29" s="617"/>
      <c r="X29" s="621"/>
      <c r="Y29" s="17"/>
      <c r="Z29" s="17"/>
      <c r="AA29" s="630"/>
      <c r="AB29" s="4540"/>
      <c r="AC29" s="4535"/>
      <c r="AD29" s="4535"/>
      <c r="AE29" s="4535"/>
      <c r="AF29" s="4535"/>
      <c r="AG29" s="4535"/>
      <c r="AH29" s="4535"/>
      <c r="AI29" s="4535"/>
      <c r="AJ29" s="4535"/>
      <c r="AK29" s="4535"/>
      <c r="AL29" s="4535"/>
      <c r="AM29" s="4564"/>
      <c r="AN29" s="4564"/>
      <c r="AO29" s="4565"/>
      <c r="AP29" s="4566"/>
      <c r="AQ29" s="637"/>
      <c r="AR29" s="637"/>
      <c r="AS29" s="637"/>
      <c r="AT29" s="637"/>
      <c r="AU29" s="637"/>
      <c r="AV29" s="637"/>
      <c r="AW29" s="637"/>
      <c r="AX29" s="637"/>
      <c r="AY29" s="637"/>
      <c r="AZ29" s="637"/>
      <c r="BA29" s="1501"/>
      <c r="BB29" s="17"/>
      <c r="BC29" s="17"/>
      <c r="BD29" s="618"/>
      <c r="BE29" s="617"/>
      <c r="BF29" s="4519" t="s">
        <v>72</v>
      </c>
      <c r="BG29" s="4520"/>
      <c r="BH29" s="4523" t="str">
        <f>IF(ISBLANK(BF31),data!$JQ$109,_xlfn.IFS(
ISNUMBER(SEARCH( data!$JR$87, BF31 )), data!$JQ$87,
ISNUMBER(SEARCH( data!$JR$88, BF31 )), data!$JQ$88,
ISNUMBER(SEARCH( data!$JR$89, BF31 )), data!$JQ$89,
ISNUMBER(SEARCH( data!$JR$90, BF31 )), data!$JQ$90,
ISNUMBER(SEARCH( data!$JR$91, BF31 )), data!$JQ$91,
ISNUMBER(SEARCH( data!$JR$92, BF31 )), data!$JQ$92,
ISNUMBER(SEARCH( data!$JR$93, BF31 )), data!$JQ$93,
ISNUMBER(SEARCH( data!$JR$94, BF31 )), data!$JQ$94,
ISNUMBER(SEARCH( data!$JR$95, BF31 )), data!$JQ$95,
ISNUMBER(SEARCH( data!$JR$96, BF31 )), data!$JQ$96,
ISNUMBER(SEARCH( data!$JR$97, BF31 )), data!$JQ$97,
ISNUMBER(SEARCH( data!$JR$98, BF31 )), data!$JQ$98,
ISNUMBER(SEARCH( data!$JR$99, BF31 )), data!$JQ$99,
ISNUMBER(SEARCH( data!$JR$100, BF31 )), data!$JQ$100,
ISNUMBER(SEARCH( data!$JR$101, BF31 )), data!$JQ$101,
ISNUMBER(SEARCH( data!$JR$102, BF31 )), data!$JQ$102,
ISNUMBER(SEARCH( data!$JR$103, BF31 )), data!$JQ$103,
TRUE,data!$JQ$105))</f>
        <v>🤝</v>
      </c>
      <c r="BI29" s="4523"/>
      <c r="BJ29" s="4523"/>
      <c r="BK29" s="4520" t="s">
        <v>72</v>
      </c>
      <c r="BL29" s="4525"/>
      <c r="BM29" s="622"/>
      <c r="BN29" s="622"/>
      <c r="BO29" s="4519" t="s">
        <v>72</v>
      </c>
      <c r="BP29" s="4520"/>
      <c r="BQ29" s="4523" t="str">
        <f>IF(ISBLANK(BO31),data!$JQ$113,_xlfn.IFS(
ISNUMBER(SEARCH( data!$JR$87, BO31 )), data!$JQ$87,
ISNUMBER(SEARCH( data!$JR$88, BO31 )), data!$JQ$88,
ISNUMBER(SEARCH( data!$JR$89, BO31 )), data!$JQ$89,
ISNUMBER(SEARCH( data!$JR$90, BO31 )), data!$JQ$90,
ISNUMBER(SEARCH( data!$JR$91, BO31 )), data!$JQ$91,
ISNUMBER(SEARCH( data!$JR$92, BO31 )), data!$JQ$92,
ISNUMBER(SEARCH( data!$JR$93, BO31 )), data!$JQ$93,
ISNUMBER(SEARCH( data!$JR$94, BO31 )), data!$JQ$94,
ISNUMBER(SEARCH( data!$JR$95, BO31 )), data!$JQ$95,
ISNUMBER(SEARCH( data!$JR$96, BO31 )), data!$JQ$96,
ISNUMBER(SEARCH( data!$JR$97, BO31 )), data!$JQ$97,
ISNUMBER(SEARCH( data!$JR$98, BO31 )), data!$JQ$98,
ISNUMBER(SEARCH( data!$JR$99, BO31 )), data!$JQ$99,
ISNUMBER(SEARCH( data!$JR$100, BO31 )), data!$JQ$100,
ISNUMBER(SEARCH( data!$JR$101, BO31 )), data!$JQ$101,
ISNUMBER(SEARCH( data!$JR$102, BO31 )), data!$JQ$102,
ISNUMBER(SEARCH( data!$JR$103, BO31 )), data!$JQ$103,
TRUE,data!$JQ$105))</f>
        <v>☕</v>
      </c>
      <c r="BR29" s="4523"/>
      <c r="BS29" s="4523"/>
      <c r="BT29" s="4520" t="s">
        <v>72</v>
      </c>
      <c r="BU29" s="4525"/>
      <c r="BV29" s="617"/>
      <c r="BW29" s="621"/>
      <c r="BX29" s="17"/>
      <c r="BY29" s="17"/>
      <c r="BZ29" s="604"/>
      <c r="CA29" s="635"/>
      <c r="CC29" s="638"/>
      <c r="CG29" s="44" t="s">
        <v>1629</v>
      </c>
      <c r="CJ29" s="73"/>
    </row>
    <row r="30" spans="1:88" ht="17.100000000000001" customHeight="1" thickTop="1" thickBot="1" x14ac:dyDescent="0.3">
      <c r="A30" s="17"/>
      <c r="B30" s="604"/>
      <c r="C30" s="17"/>
      <c r="D30" s="17"/>
      <c r="E30" s="618"/>
      <c r="F30" s="617"/>
      <c r="G30" s="4521"/>
      <c r="H30" s="4522"/>
      <c r="I30" s="4524"/>
      <c r="J30" s="4524"/>
      <c r="K30" s="4524"/>
      <c r="L30" s="4522"/>
      <c r="M30" s="4526"/>
      <c r="N30" s="622"/>
      <c r="O30" s="622"/>
      <c r="P30" s="4521"/>
      <c r="Q30" s="4522"/>
      <c r="R30" s="4524"/>
      <c r="S30" s="4524"/>
      <c r="T30" s="4524"/>
      <c r="U30" s="4522"/>
      <c r="V30" s="4526"/>
      <c r="W30" s="617"/>
      <c r="X30" s="616"/>
      <c r="Y30" s="3055"/>
      <c r="Z30" s="3055"/>
      <c r="AA30" s="630"/>
      <c r="AB30" s="4541"/>
      <c r="AC30" s="4542"/>
      <c r="AD30" s="4542"/>
      <c r="AE30" s="4542"/>
      <c r="AF30" s="4542"/>
      <c r="AG30" s="4542"/>
      <c r="AH30" s="4542"/>
      <c r="AI30" s="4542"/>
      <c r="AJ30" s="4542"/>
      <c r="AK30" s="4542"/>
      <c r="AL30" s="4542"/>
      <c r="AM30" s="4551"/>
      <c r="AN30" s="4551"/>
      <c r="AO30" s="4551"/>
      <c r="AP30" s="4552"/>
      <c r="AQ30" s="4533">
        <f>IF(AV30&gt;0,AS30/AV30,0)</f>
        <v>0</v>
      </c>
      <c r="AR30" s="4534"/>
      <c r="AS30" s="4538"/>
      <c r="AT30" s="4538"/>
      <c r="AU30" s="634" t="s">
        <v>117</v>
      </c>
      <c r="AV30" s="4543"/>
      <c r="AW30" s="4543"/>
      <c r="AX30" s="4518" t="str">
        <f>IF(OR(AM30="Audiobook",AM30="Radioplay",AM30="Audiofilm",AM30="TV Audio",AM30="Podcast"), "minutes","pages")</f>
        <v>pages</v>
      </c>
      <c r="AY30" s="4518"/>
      <c r="AZ30" s="4539"/>
      <c r="BA30" s="1501">
        <f>IF(AQ30=100%,1,0)</f>
        <v>0</v>
      </c>
      <c r="BB30" s="17"/>
      <c r="BC30" s="17"/>
      <c r="BD30" s="618"/>
      <c r="BE30" s="617"/>
      <c r="BF30" s="4521"/>
      <c r="BG30" s="4522"/>
      <c r="BH30" s="4524"/>
      <c r="BI30" s="4524"/>
      <c r="BJ30" s="4524"/>
      <c r="BK30" s="4522"/>
      <c r="BL30" s="4526"/>
      <c r="BM30" s="622"/>
      <c r="BN30" s="622"/>
      <c r="BO30" s="4521"/>
      <c r="BP30" s="4522"/>
      <c r="BQ30" s="4524"/>
      <c r="BR30" s="4524"/>
      <c r="BS30" s="4524"/>
      <c r="BT30" s="4522"/>
      <c r="BU30" s="4526"/>
      <c r="BV30" s="617"/>
      <c r="BW30" s="616"/>
      <c r="BX30" s="17"/>
      <c r="BY30" s="17"/>
      <c r="BZ30" s="604"/>
      <c r="CA30" s="635"/>
      <c r="CC30" s="346"/>
      <c r="CG30" s="44" t="s">
        <v>1628</v>
      </c>
      <c r="CJ30" s="73"/>
    </row>
    <row r="31" spans="1:88" ht="17.100000000000001" customHeight="1" thickTop="1" thickBot="1" x14ac:dyDescent="0.25">
      <c r="A31" s="17"/>
      <c r="B31" s="604"/>
      <c r="C31" s="17"/>
      <c r="D31" s="605"/>
      <c r="E31" s="618"/>
      <c r="F31" s="617"/>
      <c r="G31" s="4527"/>
      <c r="H31" s="4528"/>
      <c r="I31" s="4528"/>
      <c r="J31" s="4528"/>
      <c r="K31" s="4528"/>
      <c r="L31" s="4528"/>
      <c r="M31" s="4529"/>
      <c r="N31" s="622"/>
      <c r="O31" s="622"/>
      <c r="P31" s="4527"/>
      <c r="Q31" s="4528"/>
      <c r="R31" s="4528"/>
      <c r="S31" s="4528"/>
      <c r="T31" s="4528"/>
      <c r="U31" s="4528"/>
      <c r="V31" s="4529"/>
      <c r="W31" s="617"/>
      <c r="X31" s="616"/>
      <c r="Y31" s="17"/>
      <c r="Z31" s="17"/>
      <c r="AA31" s="630"/>
      <c r="AB31" s="4540"/>
      <c r="AC31" s="4535"/>
      <c r="AD31" s="4535"/>
      <c r="AE31" s="4535"/>
      <c r="AF31" s="4535"/>
      <c r="AG31" s="4535"/>
      <c r="AH31" s="4535"/>
      <c r="AI31" s="4535"/>
      <c r="AJ31" s="4535"/>
      <c r="AK31" s="4535"/>
      <c r="AL31" s="4535"/>
      <c r="AM31" s="4564"/>
      <c r="AN31" s="4564"/>
      <c r="AO31" s="4565"/>
      <c r="AP31" s="4566"/>
      <c r="AQ31" s="637"/>
      <c r="AR31" s="637"/>
      <c r="AS31" s="637"/>
      <c r="AT31" s="637"/>
      <c r="AU31" s="637"/>
      <c r="AV31" s="637"/>
      <c r="AW31" s="637"/>
      <c r="AX31" s="637"/>
      <c r="AY31" s="637"/>
      <c r="AZ31" s="637"/>
      <c r="BA31" s="1501"/>
      <c r="BB31" s="17"/>
      <c r="BC31" s="17"/>
      <c r="BD31" s="618"/>
      <c r="BE31" s="617"/>
      <c r="BF31" s="4527"/>
      <c r="BG31" s="4528"/>
      <c r="BH31" s="4528"/>
      <c r="BI31" s="4528"/>
      <c r="BJ31" s="4528"/>
      <c r="BK31" s="4528"/>
      <c r="BL31" s="4529"/>
      <c r="BM31" s="622"/>
      <c r="BN31" s="622"/>
      <c r="BO31" s="4527"/>
      <c r="BP31" s="4528"/>
      <c r="BQ31" s="4528"/>
      <c r="BR31" s="4528"/>
      <c r="BS31" s="4528"/>
      <c r="BT31" s="4528"/>
      <c r="BU31" s="4529"/>
      <c r="BV31" s="617"/>
      <c r="BW31" s="616"/>
      <c r="BX31" s="17"/>
      <c r="BY31" s="639"/>
      <c r="BZ31" s="604"/>
      <c r="CA31" s="635"/>
      <c r="CC31" s="638"/>
      <c r="CG31" s="44" t="s">
        <v>1611</v>
      </c>
      <c r="CJ31" s="73"/>
    </row>
    <row r="32" spans="1:88" ht="17.100000000000001" customHeight="1" thickTop="1" thickBot="1" x14ac:dyDescent="0.3">
      <c r="A32" s="17"/>
      <c r="B32" s="604"/>
      <c r="C32" s="17"/>
      <c r="D32" s="17"/>
      <c r="E32" s="618"/>
      <c r="F32" s="617"/>
      <c r="G32" s="4530"/>
      <c r="H32" s="4531"/>
      <c r="I32" s="4531"/>
      <c r="J32" s="4531"/>
      <c r="K32" s="4531"/>
      <c r="L32" s="4531"/>
      <c r="M32" s="4532"/>
      <c r="N32" s="622"/>
      <c r="O32" s="622"/>
      <c r="P32" s="4530"/>
      <c r="Q32" s="4531"/>
      <c r="R32" s="4531"/>
      <c r="S32" s="4531"/>
      <c r="T32" s="4531"/>
      <c r="U32" s="4531"/>
      <c r="V32" s="4532"/>
      <c r="W32" s="617"/>
      <c r="X32" s="616"/>
      <c r="Y32" s="17"/>
      <c r="Z32" s="17"/>
      <c r="AA32" s="630"/>
      <c r="AB32" s="4541"/>
      <c r="AC32" s="4542"/>
      <c r="AD32" s="4542"/>
      <c r="AE32" s="4542"/>
      <c r="AF32" s="4542"/>
      <c r="AG32" s="4542"/>
      <c r="AH32" s="4542"/>
      <c r="AI32" s="4542"/>
      <c r="AJ32" s="4542"/>
      <c r="AK32" s="4542"/>
      <c r="AL32" s="4542"/>
      <c r="AM32" s="4551"/>
      <c r="AN32" s="4551"/>
      <c r="AO32" s="4551"/>
      <c r="AP32" s="4552"/>
      <c r="AQ32" s="4533">
        <f>IF(AV32&gt;0,AS32/AV32,0)</f>
        <v>0</v>
      </c>
      <c r="AR32" s="4534"/>
      <c r="AS32" s="4538"/>
      <c r="AT32" s="4538"/>
      <c r="AU32" s="634" t="s">
        <v>117</v>
      </c>
      <c r="AV32" s="4543"/>
      <c r="AW32" s="4543"/>
      <c r="AX32" s="4518" t="str">
        <f>IF(OR(AM32="Audiobook",AM32="Radioplay",AM32="Audiofilm",AM32="TV Audio",AM32="Podcast"), "minutes","pages")</f>
        <v>pages</v>
      </c>
      <c r="AY32" s="4518"/>
      <c r="AZ32" s="4539"/>
      <c r="BA32" s="1501">
        <f>IF(AQ32=100%,1,0)</f>
        <v>0</v>
      </c>
      <c r="BB32" s="17"/>
      <c r="BC32" s="17"/>
      <c r="BD32" s="618"/>
      <c r="BE32" s="617"/>
      <c r="BF32" s="4530"/>
      <c r="BG32" s="4531"/>
      <c r="BH32" s="4531"/>
      <c r="BI32" s="4531"/>
      <c r="BJ32" s="4531"/>
      <c r="BK32" s="4531"/>
      <c r="BL32" s="4532"/>
      <c r="BM32" s="622"/>
      <c r="BN32" s="622"/>
      <c r="BO32" s="4530"/>
      <c r="BP32" s="4531"/>
      <c r="BQ32" s="4531"/>
      <c r="BR32" s="4531"/>
      <c r="BS32" s="4531"/>
      <c r="BT32" s="4531"/>
      <c r="BU32" s="4532"/>
      <c r="BV32" s="617"/>
      <c r="BW32" s="616"/>
      <c r="BX32" s="17"/>
      <c r="BY32" s="640"/>
      <c r="BZ32" s="604"/>
      <c r="CA32" s="635"/>
      <c r="CC32" s="346"/>
      <c r="CG32" s="44" t="s">
        <v>1622</v>
      </c>
      <c r="CJ32" s="73"/>
    </row>
    <row r="33" spans="1:88" ht="17.100000000000001" customHeight="1" thickTop="1" thickBot="1" x14ac:dyDescent="0.25">
      <c r="A33" s="17"/>
      <c r="B33" s="604"/>
      <c r="C33" s="17"/>
      <c r="D33" s="17"/>
      <c r="E33" s="618"/>
      <c r="F33" s="617"/>
      <c r="G33" s="4517"/>
      <c r="H33" s="4517"/>
      <c r="I33" s="4517"/>
      <c r="J33" s="4517"/>
      <c r="K33" s="4517"/>
      <c r="L33" s="4517"/>
      <c r="M33" s="4517"/>
      <c r="N33" s="924"/>
      <c r="O33" s="924"/>
      <c r="P33" s="4517"/>
      <c r="Q33" s="4517"/>
      <c r="R33" s="4517"/>
      <c r="S33" s="4517"/>
      <c r="T33" s="4517"/>
      <c r="U33" s="4517"/>
      <c r="V33" s="4517"/>
      <c r="W33" s="617"/>
      <c r="X33" s="616"/>
      <c r="Y33" s="17"/>
      <c r="Z33" s="17"/>
      <c r="AA33" s="630"/>
      <c r="AB33" s="4540"/>
      <c r="AC33" s="4535"/>
      <c r="AD33" s="4535"/>
      <c r="AE33" s="4535"/>
      <c r="AF33" s="4535"/>
      <c r="AG33" s="4535"/>
      <c r="AH33" s="4535"/>
      <c r="AI33" s="4535"/>
      <c r="AJ33" s="4535"/>
      <c r="AK33" s="4535"/>
      <c r="AL33" s="4535"/>
      <c r="AM33" s="4564"/>
      <c r="AN33" s="4564"/>
      <c r="AO33" s="4565"/>
      <c r="AP33" s="4566"/>
      <c r="AQ33" s="637"/>
      <c r="AR33" s="637"/>
      <c r="AS33" s="637"/>
      <c r="AT33" s="637"/>
      <c r="AU33" s="637"/>
      <c r="AV33" s="637"/>
      <c r="AW33" s="637"/>
      <c r="AX33" s="637"/>
      <c r="AY33" s="637"/>
      <c r="AZ33" s="637"/>
      <c r="BA33" s="1501"/>
      <c r="BB33" s="17"/>
      <c r="BC33" s="17"/>
      <c r="BD33" s="618"/>
      <c r="BE33" s="617"/>
      <c r="BF33" s="4517"/>
      <c r="BG33" s="4517"/>
      <c r="BH33" s="4517"/>
      <c r="BI33" s="4517"/>
      <c r="BJ33" s="4517"/>
      <c r="BK33" s="4517"/>
      <c r="BL33" s="4517"/>
      <c r="BM33" s="924"/>
      <c r="BN33" s="924"/>
      <c r="BO33" s="4517"/>
      <c r="BP33" s="4517"/>
      <c r="BQ33" s="4517"/>
      <c r="BR33" s="4517"/>
      <c r="BS33" s="4517"/>
      <c r="BT33" s="4517"/>
      <c r="BU33" s="4517"/>
      <c r="BV33" s="617"/>
      <c r="BW33" s="616"/>
      <c r="BX33" s="17"/>
      <c r="BY33" s="17"/>
      <c r="BZ33" s="604"/>
      <c r="CA33" s="635"/>
      <c r="CC33" s="638"/>
      <c r="CG33" s="44" t="s">
        <v>1625</v>
      </c>
      <c r="CJ33" s="73"/>
    </row>
    <row r="34" spans="1:88" ht="17.100000000000001" customHeight="1" thickTop="1" thickBot="1" x14ac:dyDescent="0.3">
      <c r="A34" s="17"/>
      <c r="B34" s="604"/>
      <c r="C34" s="17"/>
      <c r="D34" s="17"/>
      <c r="E34" s="641"/>
      <c r="F34" s="642"/>
      <c r="G34" s="642"/>
      <c r="H34" s="642"/>
      <c r="I34" s="642"/>
      <c r="J34" s="642"/>
      <c r="K34" s="642"/>
      <c r="L34" s="642"/>
      <c r="M34" s="642"/>
      <c r="N34" s="642"/>
      <c r="O34" s="642"/>
      <c r="P34" s="642"/>
      <c r="Q34" s="642"/>
      <c r="R34" s="642"/>
      <c r="S34" s="642"/>
      <c r="T34" s="642"/>
      <c r="U34" s="642"/>
      <c r="V34" s="642"/>
      <c r="W34" s="642"/>
      <c r="X34" s="643"/>
      <c r="Y34" s="17"/>
      <c r="Z34" s="17"/>
      <c r="AA34" s="630"/>
      <c r="AB34" s="4541"/>
      <c r="AC34" s="4542"/>
      <c r="AD34" s="4542"/>
      <c r="AE34" s="4542"/>
      <c r="AF34" s="4542"/>
      <c r="AG34" s="4542"/>
      <c r="AH34" s="4542"/>
      <c r="AI34" s="4542"/>
      <c r="AJ34" s="4542"/>
      <c r="AK34" s="4542"/>
      <c r="AL34" s="4542"/>
      <c r="AM34" s="4551"/>
      <c r="AN34" s="4551"/>
      <c r="AO34" s="4551"/>
      <c r="AP34" s="4552"/>
      <c r="AQ34" s="4533">
        <f>IF(AV34&gt;0,AS34/AV34,0)</f>
        <v>0</v>
      </c>
      <c r="AR34" s="4534"/>
      <c r="AS34" s="4538"/>
      <c r="AT34" s="4538"/>
      <c r="AU34" s="634" t="s">
        <v>117</v>
      </c>
      <c r="AV34" s="4543"/>
      <c r="AW34" s="4543"/>
      <c r="AX34" s="4518" t="str">
        <f>IF(OR(AM34="Audiobook",AM34="Radioplay",AM34="Audiofilm",AM34="TV Audio",AM34="Podcast"), "minutes","pages")</f>
        <v>pages</v>
      </c>
      <c r="AY34" s="4518"/>
      <c r="AZ34" s="4539"/>
      <c r="BA34" s="1501">
        <f>IF(AQ34=100%,1,0)</f>
        <v>0</v>
      </c>
      <c r="BB34" s="17"/>
      <c r="BC34" s="17"/>
      <c r="BD34" s="641"/>
      <c r="BE34" s="642"/>
      <c r="BF34" s="642"/>
      <c r="BG34" s="642"/>
      <c r="BH34" s="642"/>
      <c r="BI34" s="642"/>
      <c r="BJ34" s="642"/>
      <c r="BK34" s="642"/>
      <c r="BL34" s="642"/>
      <c r="BM34" s="642"/>
      <c r="BN34" s="642"/>
      <c r="BO34" s="642"/>
      <c r="BP34" s="642"/>
      <c r="BQ34" s="642"/>
      <c r="BR34" s="642"/>
      <c r="BS34" s="642"/>
      <c r="BT34" s="642"/>
      <c r="BU34" s="642"/>
      <c r="BV34" s="642"/>
      <c r="BW34" s="643"/>
      <c r="BX34" s="17"/>
      <c r="BY34" s="17"/>
      <c r="BZ34" s="604"/>
      <c r="CA34" s="605"/>
      <c r="CC34" s="346"/>
      <c r="CG34" s="44" t="s">
        <v>1614</v>
      </c>
      <c r="CJ34" s="73"/>
    </row>
    <row r="35" spans="1:88" ht="17.100000000000001" customHeight="1" thickTop="1" thickBot="1" x14ac:dyDescent="0.25">
      <c r="A35" s="17"/>
      <c r="B35" s="604"/>
      <c r="C35" s="17"/>
      <c r="D35" s="17"/>
      <c r="E35" s="17"/>
      <c r="F35" s="17"/>
      <c r="G35" s="17"/>
      <c r="H35" s="17"/>
      <c r="I35" s="17"/>
      <c r="J35" s="17"/>
      <c r="K35" s="17"/>
      <c r="L35" s="17"/>
      <c r="M35" s="17"/>
      <c r="N35" s="17"/>
      <c r="O35" s="17"/>
      <c r="P35" s="827"/>
      <c r="Q35" s="827"/>
      <c r="R35" s="932"/>
      <c r="S35" s="827"/>
      <c r="T35" s="827"/>
      <c r="U35" s="933"/>
      <c r="V35" s="827"/>
      <c r="W35" s="827"/>
      <c r="X35" s="934"/>
      <c r="Y35" s="17"/>
      <c r="Z35" s="17"/>
      <c r="AA35" s="630"/>
      <c r="AB35" s="4540"/>
      <c r="AC35" s="4535"/>
      <c r="AD35" s="4535"/>
      <c r="AE35" s="4535"/>
      <c r="AF35" s="4535"/>
      <c r="AG35" s="4535"/>
      <c r="AH35" s="4535"/>
      <c r="AI35" s="4535"/>
      <c r="AJ35" s="4535"/>
      <c r="AK35" s="4535"/>
      <c r="AL35" s="4535"/>
      <c r="AM35" s="4564"/>
      <c r="AN35" s="4564"/>
      <c r="AO35" s="4565"/>
      <c r="AP35" s="4566"/>
      <c r="AQ35" s="637"/>
      <c r="AR35" s="637"/>
      <c r="AS35" s="637"/>
      <c r="AT35" s="637"/>
      <c r="AU35" s="637"/>
      <c r="AV35" s="637"/>
      <c r="AW35" s="637"/>
      <c r="AX35" s="637"/>
      <c r="AY35" s="637"/>
      <c r="AZ35" s="637"/>
      <c r="BA35" s="1483"/>
      <c r="BB35" s="17"/>
      <c r="BC35" s="17"/>
      <c r="BD35" s="901"/>
      <c r="BE35" s="901"/>
      <c r="BF35" s="901"/>
      <c r="BG35" s="901"/>
      <c r="BH35" s="827"/>
      <c r="BI35" s="827"/>
      <c r="BJ35" s="935"/>
      <c r="BK35" s="827"/>
      <c r="BL35" s="827"/>
      <c r="BM35" s="17"/>
      <c r="BN35" s="17"/>
      <c r="BO35" s="17"/>
      <c r="BP35" s="17"/>
      <c r="BQ35" s="17"/>
      <c r="BR35" s="17"/>
      <c r="BS35" s="17"/>
      <c r="BT35" s="17"/>
      <c r="BU35" s="17"/>
      <c r="BV35" s="17"/>
      <c r="BW35" s="17"/>
      <c r="BX35" s="17"/>
      <c r="BY35" s="17"/>
      <c r="BZ35" s="604"/>
      <c r="CA35" s="605"/>
      <c r="CC35" s="638"/>
      <c r="CG35" s="44" t="s">
        <v>1615</v>
      </c>
      <c r="CJ35" s="73"/>
    </row>
    <row r="36" spans="1:88" ht="17.100000000000001" customHeight="1" thickTop="1" thickBot="1" x14ac:dyDescent="0.2">
      <c r="A36" s="17"/>
      <c r="B36" s="604"/>
      <c r="C36" s="17"/>
      <c r="D36" s="17"/>
      <c r="E36" s="17"/>
      <c r="F36" s="17"/>
      <c r="G36" s="17"/>
      <c r="H36" s="17"/>
      <c r="I36" s="17"/>
      <c r="J36" s="17"/>
      <c r="K36" s="17"/>
      <c r="L36" s="17"/>
      <c r="M36" s="17"/>
      <c r="N36" s="17"/>
      <c r="O36" s="17"/>
      <c r="P36" s="827"/>
      <c r="Q36" s="827"/>
      <c r="R36" s="932"/>
      <c r="S36" s="827"/>
      <c r="T36" s="827"/>
      <c r="U36" s="933"/>
      <c r="V36" s="827"/>
      <c r="W36" s="827"/>
      <c r="X36" s="934"/>
      <c r="Y36" s="17"/>
      <c r="Z36" s="17"/>
      <c r="AA36" s="644"/>
      <c r="AB36" s="645"/>
      <c r="AC36" s="645"/>
      <c r="AD36" s="645"/>
      <c r="AE36" s="645"/>
      <c r="AF36" s="645"/>
      <c r="AG36" s="645"/>
      <c r="AH36" s="645"/>
      <c r="AI36" s="645"/>
      <c r="AJ36" s="645"/>
      <c r="AK36" s="645"/>
      <c r="AL36" s="645"/>
      <c r="AM36" s="645"/>
      <c r="AN36" s="645"/>
      <c r="AO36" s="645"/>
      <c r="AP36" s="645"/>
      <c r="AQ36" s="645"/>
      <c r="AR36" s="645"/>
      <c r="AS36" s="645"/>
      <c r="AT36" s="645"/>
      <c r="AU36" s="645"/>
      <c r="AV36" s="645"/>
      <c r="AW36" s="645"/>
      <c r="AX36" s="645"/>
      <c r="AY36" s="645"/>
      <c r="AZ36" s="645"/>
      <c r="BA36" s="646"/>
      <c r="BB36" s="17"/>
      <c r="BC36" s="17"/>
      <c r="BD36" s="901"/>
      <c r="BE36" s="901"/>
      <c r="BF36" s="901"/>
      <c r="BG36" s="901"/>
      <c r="BH36" s="827"/>
      <c r="BI36" s="827"/>
      <c r="BJ36" s="935"/>
      <c r="BK36" s="827"/>
      <c r="BL36" s="827"/>
      <c r="BM36" s="17"/>
      <c r="BN36" s="17"/>
      <c r="BO36" s="17"/>
      <c r="BP36" s="17"/>
      <c r="BQ36" s="17"/>
      <c r="BR36" s="17"/>
      <c r="BS36" s="17"/>
      <c r="BT36" s="17"/>
      <c r="BU36" s="17"/>
      <c r="BV36" s="17"/>
      <c r="BW36" s="17"/>
      <c r="BX36" s="17"/>
      <c r="BY36" s="17"/>
      <c r="BZ36" s="604"/>
      <c r="CA36" s="605"/>
      <c r="CG36" s="44" t="s">
        <v>406</v>
      </c>
    </row>
    <row r="37" spans="1:88" ht="17.100000000000001" customHeight="1" thickTop="1" x14ac:dyDescent="0.15">
      <c r="A37" s="17"/>
      <c r="B37" s="604"/>
      <c r="C37" s="604"/>
      <c r="D37" s="604"/>
      <c r="E37" s="604"/>
      <c r="F37" s="604"/>
      <c r="G37" s="604"/>
      <c r="H37" s="604"/>
      <c r="I37" s="604"/>
      <c r="J37" s="604"/>
      <c r="K37" s="604"/>
      <c r="L37" s="604"/>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17"/>
      <c r="BK37" s="17"/>
      <c r="BL37" s="17"/>
      <c r="BM37" s="17"/>
      <c r="BN37" s="17"/>
      <c r="BO37" s="17"/>
      <c r="BP37" s="604"/>
      <c r="BQ37" s="604"/>
      <c r="BR37" s="604"/>
      <c r="BS37" s="604"/>
      <c r="BT37" s="604"/>
      <c r="BU37" s="604"/>
      <c r="BV37" s="604"/>
      <c r="BW37" s="604"/>
      <c r="BX37" s="604"/>
      <c r="BY37" s="604"/>
      <c r="BZ37" s="604"/>
      <c r="CA37" s="635"/>
      <c r="CG37" s="44" t="s">
        <v>681</v>
      </c>
    </row>
    <row r="38" spans="1:88" ht="17.100000000000001" customHeight="1" x14ac:dyDescent="0.15">
      <c r="A38" s="17"/>
      <c r="B38" s="17"/>
      <c r="C38" s="17"/>
      <c r="D38" s="17"/>
      <c r="E38" s="17"/>
      <c r="F38" s="17"/>
      <c r="G38" s="17"/>
      <c r="H38" s="17"/>
      <c r="I38" s="17"/>
      <c r="J38" s="17"/>
      <c r="K38" s="17"/>
      <c r="L38" s="17"/>
      <c r="M38" s="17"/>
      <c r="N38" s="3505" t="s">
        <v>1</v>
      </c>
      <c r="O38" s="3505"/>
      <c r="P38" s="32"/>
      <c r="Q38" s="17"/>
      <c r="R38" s="17"/>
      <c r="S38" s="83"/>
      <c r="T38" s="17"/>
      <c r="U38" s="17"/>
      <c r="V38" s="17"/>
      <c r="W38" s="17"/>
      <c r="X38" s="17"/>
      <c r="Y38" s="17"/>
      <c r="Z38" s="17"/>
      <c r="AA38" s="17"/>
      <c r="AB38" s="17"/>
      <c r="AC38" s="17"/>
      <c r="AD38" s="17"/>
      <c r="AE38" s="17"/>
      <c r="AF38" s="17"/>
      <c r="AG38" s="17"/>
      <c r="AH38" s="17"/>
      <c r="AI38" s="17"/>
      <c r="AJ38" s="17"/>
      <c r="AK38" s="17"/>
      <c r="AL38" s="17"/>
      <c r="AM38" s="17"/>
      <c r="AN38" s="31" t="s">
        <v>1</v>
      </c>
      <c r="AO38" s="17"/>
      <c r="AP38" s="17"/>
      <c r="AQ38" s="17"/>
      <c r="AR38" s="17"/>
      <c r="AS38" s="17"/>
      <c r="AT38" s="17"/>
      <c r="AU38" s="17"/>
      <c r="AV38" s="17"/>
      <c r="AW38" s="17"/>
      <c r="AX38" s="17"/>
      <c r="AY38" s="17"/>
      <c r="AZ38" s="17"/>
      <c r="BA38" s="17"/>
      <c r="BB38" s="17"/>
      <c r="BC38" s="17"/>
      <c r="BD38" s="17"/>
      <c r="BE38" s="17"/>
      <c r="BF38" s="17"/>
      <c r="BG38" s="17"/>
      <c r="BH38" s="17"/>
      <c r="BI38" s="17"/>
      <c r="BJ38" s="17"/>
      <c r="BK38" s="17"/>
      <c r="BL38" s="32"/>
      <c r="BM38" s="3505" t="s">
        <v>1</v>
      </c>
      <c r="BN38" s="3505"/>
      <c r="BO38" s="17"/>
      <c r="BP38" s="17"/>
      <c r="BQ38" s="17"/>
      <c r="BR38" s="17"/>
      <c r="BS38" s="17"/>
      <c r="BT38" s="17"/>
      <c r="BU38" s="17"/>
      <c r="BV38" s="17"/>
      <c r="BW38" s="17"/>
      <c r="BX38" s="17"/>
      <c r="BY38" s="17"/>
      <c r="BZ38" s="17"/>
      <c r="CA38" s="17"/>
      <c r="CG38" s="44" t="s">
        <v>1623</v>
      </c>
    </row>
    <row r="39" spans="1:88" ht="17.100000000000001" customHeight="1" x14ac:dyDescent="0.15">
      <c r="N39" s="3504" t="s">
        <v>1</v>
      </c>
      <c r="O39" s="3504"/>
      <c r="P39" s="34"/>
      <c r="AN39" s="33" t="s">
        <v>1</v>
      </c>
      <c r="BL39" s="34"/>
      <c r="BM39" s="3504" t="s">
        <v>1</v>
      </c>
      <c r="BN39" s="3504"/>
      <c r="CG39" s="44" t="s">
        <v>1630</v>
      </c>
    </row>
    <row r="40" spans="1:88" ht="17.100000000000001" customHeight="1" thickBot="1" x14ac:dyDescent="0.2">
      <c r="N40" s="4580" t="s">
        <v>1</v>
      </c>
      <c r="O40" s="4580"/>
      <c r="P40" s="34"/>
      <c r="AN40" s="33" t="s">
        <v>1</v>
      </c>
      <c r="BL40" s="34"/>
      <c r="BM40" s="4580" t="s">
        <v>1</v>
      </c>
      <c r="BN40" s="4580"/>
      <c r="CG40" s="44" t="s">
        <v>1438</v>
      </c>
    </row>
    <row r="41" spans="1:88" ht="17.100000000000001" customHeight="1" thickTop="1" thickBot="1" x14ac:dyDescent="0.3">
      <c r="E41" s="647"/>
      <c r="F41" s="648"/>
      <c r="G41" s="648"/>
      <c r="H41" s="648"/>
      <c r="I41" s="648"/>
      <c r="J41" s="648"/>
      <c r="K41" s="648"/>
      <c r="L41" s="648"/>
      <c r="M41" s="648"/>
      <c r="N41" s="648"/>
      <c r="O41" s="648"/>
      <c r="P41" s="648"/>
      <c r="Q41" s="648"/>
      <c r="R41" s="648"/>
      <c r="S41" s="648"/>
      <c r="T41" s="648"/>
      <c r="U41" s="648"/>
      <c r="V41" s="648"/>
      <c r="W41" s="648"/>
      <c r="X41" s="649"/>
      <c r="AA41" s="650"/>
      <c r="AB41" s="651"/>
      <c r="AC41" s="652"/>
      <c r="AD41" s="652"/>
      <c r="AE41" s="652"/>
      <c r="AF41" s="652"/>
      <c r="AG41" s="652"/>
      <c r="AH41" s="652"/>
      <c r="AI41" s="652"/>
      <c r="AJ41" s="652"/>
      <c r="AK41" s="652"/>
      <c r="AL41" s="653"/>
      <c r="AM41" s="654"/>
      <c r="AN41" s="655"/>
      <c r="AO41" s="656"/>
      <c r="AP41" s="656"/>
      <c r="AQ41" s="657"/>
      <c r="AR41" s="652"/>
      <c r="AS41" s="652"/>
      <c r="AT41" s="652"/>
      <c r="AU41" s="652"/>
      <c r="AV41" s="652"/>
      <c r="AW41" s="652"/>
      <c r="AX41" s="652"/>
      <c r="AY41" s="652"/>
      <c r="AZ41" s="652"/>
      <c r="BA41" s="658"/>
      <c r="BD41" s="647"/>
      <c r="BE41" s="648"/>
      <c r="BF41" s="648"/>
      <c r="BG41" s="648"/>
      <c r="BH41" s="648"/>
      <c r="BI41" s="648"/>
      <c r="BJ41" s="648"/>
      <c r="BK41" s="648"/>
      <c r="BL41" s="648"/>
      <c r="BM41" s="648"/>
      <c r="BN41" s="648"/>
      <c r="BO41" s="648"/>
      <c r="BP41" s="648"/>
      <c r="BQ41" s="648"/>
      <c r="BR41" s="648"/>
      <c r="BS41" s="648"/>
      <c r="BT41" s="648"/>
      <c r="BU41" s="648"/>
      <c r="BV41" s="648"/>
      <c r="BW41" s="649"/>
      <c r="CG41" s="44"/>
    </row>
    <row r="42" spans="1:88" ht="17.100000000000001" customHeight="1" thickTop="1" thickBot="1" x14ac:dyDescent="0.3">
      <c r="E42" s="659"/>
      <c r="F42" s="4597" t="s">
        <v>2107</v>
      </c>
      <c r="G42" s="4597"/>
      <c r="H42" s="4597"/>
      <c r="I42" s="4597"/>
      <c r="J42" s="4597"/>
      <c r="K42" s="4597"/>
      <c r="L42" s="4597"/>
      <c r="M42" s="4597"/>
      <c r="N42" s="4597"/>
      <c r="O42" s="4597"/>
      <c r="P42" s="4597"/>
      <c r="Q42" s="4597"/>
      <c r="R42" s="4597"/>
      <c r="S42" s="4597"/>
      <c r="T42" s="4597"/>
      <c r="U42" s="4597"/>
      <c r="V42" s="4597"/>
      <c r="W42" s="4597"/>
      <c r="X42" s="662"/>
      <c r="AA42" s="663"/>
      <c r="AB42" s="2723" t="s">
        <v>119</v>
      </c>
      <c r="AC42" s="2724"/>
      <c r="AD42" s="2724"/>
      <c r="AE42" s="2724"/>
      <c r="AF42" s="2724"/>
      <c r="AG42" s="2724"/>
      <c r="AH42" s="2724"/>
      <c r="AI42" s="2724"/>
      <c r="AJ42" s="2724"/>
      <c r="AK42" s="2724"/>
      <c r="AL42" s="2724"/>
      <c r="AM42" s="2724"/>
      <c r="AN42" s="2725"/>
      <c r="AO42" s="2725"/>
      <c r="AP42" s="2757" t="s">
        <v>557</v>
      </c>
      <c r="AQ42" s="4533">
        <f>IF(AV42&gt;0,AS42/AV42,0)</f>
        <v>0</v>
      </c>
      <c r="AR42" s="4534"/>
      <c r="AS42" s="4576"/>
      <c r="AT42" s="4576"/>
      <c r="AU42" s="634" t="s">
        <v>117</v>
      </c>
      <c r="AV42" s="4518"/>
      <c r="AW42" s="4518"/>
      <c r="AX42" s="4518" t="str">
        <f>IF(AN43="book", "pages","minutes")</f>
        <v>minutes</v>
      </c>
      <c r="AY42" s="4518"/>
      <c r="AZ42" s="4539"/>
      <c r="BA42" s="664"/>
      <c r="BD42" s="659"/>
      <c r="BE42" s="4584" t="s">
        <v>2092</v>
      </c>
      <c r="BF42" s="4584"/>
      <c r="BG42" s="4584"/>
      <c r="BH42" s="4584"/>
      <c r="BI42" s="4584"/>
      <c r="BJ42" s="4584"/>
      <c r="BK42" s="4584"/>
      <c r="BL42" s="4584"/>
      <c r="BM42" s="4584"/>
      <c r="BN42" s="4584"/>
      <c r="BO42" s="4584"/>
      <c r="BP42" s="4584"/>
      <c r="BQ42" s="4584"/>
      <c r="BR42" s="4584"/>
      <c r="BS42" s="4584"/>
      <c r="BT42" s="4584"/>
      <c r="BU42" s="4584"/>
      <c r="BV42" s="4584"/>
      <c r="BW42" s="662"/>
      <c r="CG42" s="44"/>
    </row>
    <row r="43" spans="1:88" ht="17.100000000000001" customHeight="1" thickTop="1" thickBot="1" x14ac:dyDescent="0.3">
      <c r="E43" s="659"/>
      <c r="F43" s="661"/>
      <c r="G43" s="661"/>
      <c r="H43" s="661"/>
      <c r="I43" s="661"/>
      <c r="J43" s="661"/>
      <c r="K43" s="661"/>
      <c r="L43" s="661"/>
      <c r="M43" s="661"/>
      <c r="N43" s="661"/>
      <c r="O43" s="661"/>
      <c r="P43" s="661"/>
      <c r="Q43" s="661"/>
      <c r="R43" s="661"/>
      <c r="S43" s="661"/>
      <c r="T43" s="661"/>
      <c r="U43" s="661"/>
      <c r="V43" s="661"/>
      <c r="W43" s="661"/>
      <c r="X43" s="662"/>
      <c r="AA43" s="663"/>
      <c r="AB43" s="2730" t="s">
        <v>120</v>
      </c>
      <c r="AC43" s="2731"/>
      <c r="AD43" s="2731"/>
      <c r="AE43" s="2731"/>
      <c r="AF43" s="2731"/>
      <c r="AG43" s="2731"/>
      <c r="AH43" s="2731"/>
      <c r="AI43" s="2731"/>
      <c r="AJ43" s="2732" t="s">
        <v>121</v>
      </c>
      <c r="AK43" s="2731"/>
      <c r="AL43" s="2731"/>
      <c r="AM43" s="2732" t="s">
        <v>177</v>
      </c>
      <c r="AN43" s="2731"/>
      <c r="AO43" s="2731"/>
      <c r="AP43" s="2758" t="s">
        <v>70</v>
      </c>
      <c r="AQ43" s="2730" t="s">
        <v>521</v>
      </c>
      <c r="AR43" s="2760"/>
      <c r="AS43" s="2760"/>
      <c r="AT43" s="2760"/>
      <c r="AU43" s="2760"/>
      <c r="AV43" s="2760"/>
      <c r="AW43" s="2760"/>
      <c r="AX43" s="2760"/>
      <c r="AY43" s="2760"/>
      <c r="AZ43" s="2760"/>
      <c r="BA43" s="664"/>
      <c r="BD43" s="659"/>
      <c r="BE43" s="661"/>
      <c r="BF43" s="661"/>
      <c r="BG43" s="661"/>
      <c r="BH43" s="661"/>
      <c r="BI43" s="661"/>
      <c r="BJ43" s="661"/>
      <c r="BK43" s="661"/>
      <c r="BL43" s="661"/>
      <c r="BM43" s="661"/>
      <c r="BN43" s="661"/>
      <c r="BO43" s="661"/>
      <c r="BP43" s="661"/>
      <c r="BQ43" s="661"/>
      <c r="BR43" s="661"/>
      <c r="BS43" s="661"/>
      <c r="BT43" s="661"/>
      <c r="BU43" s="661"/>
      <c r="BV43" s="661"/>
      <c r="BW43" s="662"/>
      <c r="CG43" s="44"/>
    </row>
    <row r="44" spans="1:88" ht="17.100000000000001" customHeight="1" thickTop="1" thickBot="1" x14ac:dyDescent="0.3">
      <c r="E44" s="659"/>
      <c r="F44" s="4591" t="s">
        <v>889</v>
      </c>
      <c r="G44" s="4592"/>
      <c r="H44" s="4592"/>
      <c r="I44" s="4593"/>
      <c r="J44" s="4585" t="s">
        <v>2085</v>
      </c>
      <c r="K44" s="4586"/>
      <c r="L44" s="4586"/>
      <c r="M44" s="4586"/>
      <c r="N44" s="4586"/>
      <c r="O44" s="4586"/>
      <c r="P44" s="4586"/>
      <c r="Q44" s="4586"/>
      <c r="R44" s="4586"/>
      <c r="S44" s="4586"/>
      <c r="T44" s="4586"/>
      <c r="U44" s="4586"/>
      <c r="V44" s="4586"/>
      <c r="W44" s="4587"/>
      <c r="X44" s="662"/>
      <c r="AA44" s="665"/>
      <c r="AB44" s="4541"/>
      <c r="AC44" s="4542"/>
      <c r="AD44" s="4542"/>
      <c r="AE44" s="4542"/>
      <c r="AF44" s="4542"/>
      <c r="AG44" s="4542"/>
      <c r="AH44" s="4542"/>
      <c r="AI44" s="4542"/>
      <c r="AJ44" s="4542"/>
      <c r="AK44" s="4542"/>
      <c r="AL44" s="4542"/>
      <c r="AM44" s="4551"/>
      <c r="AN44" s="4551"/>
      <c r="AO44" s="4551"/>
      <c r="AP44" s="4552"/>
      <c r="AQ44" s="4533">
        <f>IF(AV44&gt;0,AS44/AV44,0)</f>
        <v>0</v>
      </c>
      <c r="AR44" s="4534"/>
      <c r="AS44" s="4538"/>
      <c r="AT44" s="4538"/>
      <c r="AU44" s="634" t="s">
        <v>117</v>
      </c>
      <c r="AV44" s="4543"/>
      <c r="AW44" s="4543"/>
      <c r="AX44" s="4518" t="str">
        <f>IF(OR(AM44="Audiobook",AM44="Radioplay",AM44="Audiofilm",AM44="TV Audio",AM44="Podcast"), "minutes","pages")</f>
        <v>pages</v>
      </c>
      <c r="AY44" s="4518"/>
      <c r="AZ44" s="4539"/>
      <c r="BA44" s="1491">
        <f>IF(AQ44=100%,1,0)</f>
        <v>0</v>
      </c>
      <c r="BD44" s="659"/>
      <c r="BE44" s="4563" t="s">
        <v>935</v>
      </c>
      <c r="BF44" s="4563"/>
      <c r="BG44" s="4563"/>
      <c r="BH44" s="4563"/>
      <c r="BI44" s="4563"/>
      <c r="BJ44" s="4563"/>
      <c r="BK44" s="4563" t="s">
        <v>2471</v>
      </c>
      <c r="BL44" s="4563"/>
      <c r="BM44" s="4563"/>
      <c r="BN44" s="4563"/>
      <c r="BO44" s="4563"/>
      <c r="BP44" s="4563"/>
      <c r="BQ44" s="4563" t="s">
        <v>2472</v>
      </c>
      <c r="BR44" s="4563"/>
      <c r="BS44" s="4563"/>
      <c r="BT44" s="4563"/>
      <c r="BU44" s="4563"/>
      <c r="BV44" s="4563"/>
      <c r="BW44" s="662"/>
      <c r="CG44" s="45"/>
    </row>
    <row r="45" spans="1:88" ht="17.100000000000001" customHeight="1" thickTop="1" thickBot="1" x14ac:dyDescent="0.25">
      <c r="E45" s="659"/>
      <c r="F45" s="4594"/>
      <c r="G45" s="4595"/>
      <c r="H45" s="4595"/>
      <c r="I45" s="4596"/>
      <c r="J45" s="4588"/>
      <c r="K45" s="4589"/>
      <c r="L45" s="4589"/>
      <c r="M45" s="4589"/>
      <c r="N45" s="4589"/>
      <c r="O45" s="4589"/>
      <c r="P45" s="4589"/>
      <c r="Q45" s="4589"/>
      <c r="R45" s="4589"/>
      <c r="S45" s="4589"/>
      <c r="T45" s="4589"/>
      <c r="U45" s="4589"/>
      <c r="V45" s="4589"/>
      <c r="W45" s="4590"/>
      <c r="X45" s="662"/>
      <c r="AA45" s="665"/>
      <c r="AB45" s="4540"/>
      <c r="AC45" s="4535"/>
      <c r="AD45" s="4535"/>
      <c r="AE45" s="4535"/>
      <c r="AF45" s="4535"/>
      <c r="AG45" s="4535"/>
      <c r="AH45" s="4535"/>
      <c r="AI45" s="4535"/>
      <c r="AJ45" s="4535"/>
      <c r="AK45" s="4535"/>
      <c r="AL45" s="4535"/>
      <c r="AM45" s="4564"/>
      <c r="AN45" s="4564"/>
      <c r="AO45" s="4565"/>
      <c r="AP45" s="4566"/>
      <c r="AQ45" s="637"/>
      <c r="AR45" s="637"/>
      <c r="AS45" s="637"/>
      <c r="AT45" s="637"/>
      <c r="AU45" s="637"/>
      <c r="AV45" s="637"/>
      <c r="AW45" s="637"/>
      <c r="AX45" s="637"/>
      <c r="AY45" s="637"/>
      <c r="AZ45" s="637"/>
      <c r="BA45" s="1497"/>
      <c r="BD45" s="659"/>
      <c r="BE45" s="4563"/>
      <c r="BF45" s="4563"/>
      <c r="BG45" s="4563"/>
      <c r="BH45" s="4563"/>
      <c r="BI45" s="4563"/>
      <c r="BJ45" s="4563"/>
      <c r="BK45" s="4563"/>
      <c r="BL45" s="4563"/>
      <c r="BM45" s="4563"/>
      <c r="BN45" s="4563"/>
      <c r="BO45" s="4563"/>
      <c r="BP45" s="4563"/>
      <c r="BQ45" s="4563"/>
      <c r="BR45" s="4563"/>
      <c r="BS45" s="4563"/>
      <c r="BT45" s="4563"/>
      <c r="BU45" s="4563"/>
      <c r="BV45" s="4563"/>
      <c r="BW45" s="662"/>
      <c r="CG45" s="45"/>
    </row>
    <row r="46" spans="1:88" ht="17.100000000000001" customHeight="1" thickTop="1" thickBot="1" x14ac:dyDescent="0.3">
      <c r="E46" s="659"/>
      <c r="F46" s="4591" t="s">
        <v>696</v>
      </c>
      <c r="G46" s="4592"/>
      <c r="H46" s="4592"/>
      <c r="I46" s="4593"/>
      <c r="J46" s="4585" t="s">
        <v>2087</v>
      </c>
      <c r="K46" s="4586"/>
      <c r="L46" s="4586"/>
      <c r="M46" s="4586"/>
      <c r="N46" s="4586"/>
      <c r="O46" s="4586"/>
      <c r="P46" s="4586"/>
      <c r="Q46" s="4586"/>
      <c r="R46" s="4586"/>
      <c r="S46" s="4586"/>
      <c r="T46" s="4586"/>
      <c r="U46" s="4586"/>
      <c r="V46" s="4586"/>
      <c r="W46" s="4587"/>
      <c r="X46" s="662"/>
      <c r="AA46" s="665"/>
      <c r="AB46" s="4541"/>
      <c r="AC46" s="4542"/>
      <c r="AD46" s="4542"/>
      <c r="AE46" s="4542"/>
      <c r="AF46" s="4542"/>
      <c r="AG46" s="4542"/>
      <c r="AH46" s="4542"/>
      <c r="AI46" s="4542"/>
      <c r="AJ46" s="4542"/>
      <c r="AK46" s="4542"/>
      <c r="AL46" s="4542"/>
      <c r="AM46" s="4551"/>
      <c r="AN46" s="4551"/>
      <c r="AO46" s="4551"/>
      <c r="AP46" s="4552"/>
      <c r="AQ46" s="4533">
        <f>IF(AV46&gt;0,AS46/AV46,0)</f>
        <v>0</v>
      </c>
      <c r="AR46" s="4534"/>
      <c r="AS46" s="4538"/>
      <c r="AT46" s="4538"/>
      <c r="AU46" s="634" t="s">
        <v>117</v>
      </c>
      <c r="AV46" s="4543"/>
      <c r="AW46" s="4543"/>
      <c r="AX46" s="4518" t="str">
        <f>IF(OR(AM46="Audiobook",AM46="Radioplay",AM46="Audiofilm",AM46="TV Audio",AM46="Podcast"), "minutes","pages")</f>
        <v>pages</v>
      </c>
      <c r="AY46" s="4518"/>
      <c r="AZ46" s="4539"/>
      <c r="BA46" s="1491">
        <f>IF(AQ46=100%,1,0)</f>
        <v>0</v>
      </c>
      <c r="BD46" s="659"/>
      <c r="BE46" s="4563"/>
      <c r="BF46" s="4563"/>
      <c r="BG46" s="4563"/>
      <c r="BH46" s="4563"/>
      <c r="BI46" s="4563"/>
      <c r="BJ46" s="4563"/>
      <c r="BK46" s="4563"/>
      <c r="BL46" s="4563"/>
      <c r="BM46" s="4563"/>
      <c r="BN46" s="4563"/>
      <c r="BO46" s="4563"/>
      <c r="BP46" s="4563"/>
      <c r="BQ46" s="4563"/>
      <c r="BR46" s="4563"/>
      <c r="BS46" s="4563"/>
      <c r="BT46" s="4563"/>
      <c r="BU46" s="4563"/>
      <c r="BV46" s="4563"/>
      <c r="BW46" s="662"/>
    </row>
    <row r="47" spans="1:88" ht="17.100000000000001" customHeight="1" thickTop="1" thickBot="1" x14ac:dyDescent="0.25">
      <c r="E47" s="659"/>
      <c r="F47" s="4594"/>
      <c r="G47" s="4595"/>
      <c r="H47" s="4595"/>
      <c r="I47" s="4596"/>
      <c r="J47" s="4588"/>
      <c r="K47" s="4589"/>
      <c r="L47" s="4589"/>
      <c r="M47" s="4589"/>
      <c r="N47" s="4589"/>
      <c r="O47" s="4589"/>
      <c r="P47" s="4589"/>
      <c r="Q47" s="4589"/>
      <c r="R47" s="4589"/>
      <c r="S47" s="4589"/>
      <c r="T47" s="4589"/>
      <c r="U47" s="4589"/>
      <c r="V47" s="4589"/>
      <c r="W47" s="4590"/>
      <c r="X47" s="662"/>
      <c r="AA47" s="665"/>
      <c r="AB47" s="4540"/>
      <c r="AC47" s="4535"/>
      <c r="AD47" s="4535"/>
      <c r="AE47" s="4535"/>
      <c r="AF47" s="4535"/>
      <c r="AG47" s="4535"/>
      <c r="AH47" s="4535"/>
      <c r="AI47" s="4535"/>
      <c r="AJ47" s="4535"/>
      <c r="AK47" s="4535"/>
      <c r="AL47" s="4535"/>
      <c r="AM47" s="4564"/>
      <c r="AN47" s="4564"/>
      <c r="AO47" s="4565"/>
      <c r="AP47" s="4566"/>
      <c r="AQ47" s="637"/>
      <c r="AR47" s="637"/>
      <c r="AS47" s="637"/>
      <c r="AT47" s="637"/>
      <c r="AU47" s="637"/>
      <c r="AV47" s="637"/>
      <c r="AW47" s="637"/>
      <c r="AX47" s="637"/>
      <c r="AY47" s="637"/>
      <c r="AZ47" s="637"/>
      <c r="BA47" s="1497"/>
      <c r="BD47" s="659"/>
      <c r="BE47" s="4563"/>
      <c r="BF47" s="4563"/>
      <c r="BG47" s="4563"/>
      <c r="BH47" s="4563"/>
      <c r="BI47" s="4563"/>
      <c r="BJ47" s="4563"/>
      <c r="BK47" s="4563"/>
      <c r="BL47" s="4563"/>
      <c r="BM47" s="4563"/>
      <c r="BN47" s="4563"/>
      <c r="BO47" s="4563"/>
      <c r="BP47" s="4563"/>
      <c r="BQ47" s="4563"/>
      <c r="BR47" s="4563"/>
      <c r="BS47" s="4563"/>
      <c r="BT47" s="4563"/>
      <c r="BU47" s="4563"/>
      <c r="BV47" s="4563"/>
      <c r="BW47" s="662"/>
    </row>
    <row r="48" spans="1:88" ht="17.100000000000001" customHeight="1" thickTop="1" thickBot="1" x14ac:dyDescent="0.3">
      <c r="E48" s="659"/>
      <c r="F48" s="4591" t="s">
        <v>1629</v>
      </c>
      <c r="G48" s="4592"/>
      <c r="H48" s="4592"/>
      <c r="I48" s="4593"/>
      <c r="J48" s="4585" t="s">
        <v>2089</v>
      </c>
      <c r="K48" s="4586"/>
      <c r="L48" s="4586"/>
      <c r="M48" s="4586"/>
      <c r="N48" s="4586"/>
      <c r="O48" s="4586"/>
      <c r="P48" s="4586"/>
      <c r="Q48" s="4586"/>
      <c r="R48" s="4586"/>
      <c r="S48" s="4586"/>
      <c r="T48" s="4586"/>
      <c r="U48" s="4586"/>
      <c r="V48" s="4586"/>
      <c r="W48" s="4587"/>
      <c r="X48" s="662"/>
      <c r="AA48" s="665"/>
      <c r="AB48" s="4541"/>
      <c r="AC48" s="4542"/>
      <c r="AD48" s="4542"/>
      <c r="AE48" s="4542"/>
      <c r="AF48" s="4542"/>
      <c r="AG48" s="4542"/>
      <c r="AH48" s="4542"/>
      <c r="AI48" s="4542"/>
      <c r="AJ48" s="4542"/>
      <c r="AK48" s="4542"/>
      <c r="AL48" s="4542"/>
      <c r="AM48" s="4551"/>
      <c r="AN48" s="4551"/>
      <c r="AO48" s="4551"/>
      <c r="AP48" s="4552"/>
      <c r="AQ48" s="4533">
        <f>IF(AV48&gt;0,AS48/AV48,0)</f>
        <v>0</v>
      </c>
      <c r="AR48" s="4534"/>
      <c r="AS48" s="4538"/>
      <c r="AT48" s="4538"/>
      <c r="AU48" s="634" t="s">
        <v>117</v>
      </c>
      <c r="AV48" s="4543"/>
      <c r="AW48" s="4543"/>
      <c r="AX48" s="4518" t="str">
        <f>IF(OR(AM48="Audiobook",AM48="Radioplay",AM48="Audiofilm",AM48="TV Audio",AM48="Podcast"), "minutes","pages")</f>
        <v>pages</v>
      </c>
      <c r="AY48" s="4518"/>
      <c r="AZ48" s="4539"/>
      <c r="BA48" s="1491">
        <f>IF(AQ48=100%,1,0)</f>
        <v>0</v>
      </c>
      <c r="BD48" s="659"/>
      <c r="BE48" s="4563"/>
      <c r="BF48" s="4563"/>
      <c r="BG48" s="4563"/>
      <c r="BH48" s="4563"/>
      <c r="BI48" s="4563"/>
      <c r="BJ48" s="4563"/>
      <c r="BK48" s="4563"/>
      <c r="BL48" s="4563"/>
      <c r="BM48" s="4563"/>
      <c r="BN48" s="4563"/>
      <c r="BO48" s="4563"/>
      <c r="BP48" s="4563"/>
      <c r="BQ48" s="4563"/>
      <c r="BR48" s="4563"/>
      <c r="BS48" s="4563"/>
      <c r="BT48" s="4563"/>
      <c r="BU48" s="4563"/>
      <c r="BV48" s="4563"/>
      <c r="BW48" s="662"/>
    </row>
    <row r="49" spans="2:78" ht="17.100000000000001" customHeight="1" thickTop="1" thickBot="1" x14ac:dyDescent="0.25">
      <c r="E49" s="659"/>
      <c r="F49" s="4594"/>
      <c r="G49" s="4595"/>
      <c r="H49" s="4595"/>
      <c r="I49" s="4596"/>
      <c r="J49" s="4588"/>
      <c r="K49" s="4589"/>
      <c r="L49" s="4589"/>
      <c r="M49" s="4589"/>
      <c r="N49" s="4589"/>
      <c r="O49" s="4589"/>
      <c r="P49" s="4589"/>
      <c r="Q49" s="4589"/>
      <c r="R49" s="4589"/>
      <c r="S49" s="4589"/>
      <c r="T49" s="4589"/>
      <c r="U49" s="4589"/>
      <c r="V49" s="4589"/>
      <c r="W49" s="4590"/>
      <c r="X49" s="662"/>
      <c r="AA49" s="665"/>
      <c r="AB49" s="4540"/>
      <c r="AC49" s="4535"/>
      <c r="AD49" s="4535"/>
      <c r="AE49" s="4535"/>
      <c r="AF49" s="4535"/>
      <c r="AG49" s="4535"/>
      <c r="AH49" s="4535"/>
      <c r="AI49" s="4535"/>
      <c r="AJ49" s="4535"/>
      <c r="AK49" s="4535"/>
      <c r="AL49" s="4535"/>
      <c r="AM49" s="4564"/>
      <c r="AN49" s="4564"/>
      <c r="AO49" s="4565"/>
      <c r="AP49" s="4566"/>
      <c r="AQ49" s="637"/>
      <c r="AR49" s="637"/>
      <c r="AS49" s="637"/>
      <c r="AT49" s="637"/>
      <c r="AU49" s="637"/>
      <c r="AV49" s="637"/>
      <c r="AW49" s="637"/>
      <c r="AX49" s="637"/>
      <c r="AY49" s="637"/>
      <c r="AZ49" s="637"/>
      <c r="BA49" s="1497"/>
      <c r="BD49" s="659"/>
      <c r="BE49" s="4560"/>
      <c r="BF49" s="4561"/>
      <c r="BG49" s="4561"/>
      <c r="BH49" s="4561"/>
      <c r="BI49" s="4561"/>
      <c r="BJ49" s="4562"/>
      <c r="BK49" s="4563"/>
      <c r="BL49" s="4563"/>
      <c r="BM49" s="4563"/>
      <c r="BN49" s="4563"/>
      <c r="BO49" s="4563"/>
      <c r="BP49" s="4563"/>
      <c r="BQ49" s="4563"/>
      <c r="BR49" s="4563"/>
      <c r="BS49" s="4563"/>
      <c r="BT49" s="4563"/>
      <c r="BU49" s="4563"/>
      <c r="BV49" s="4563"/>
      <c r="BW49" s="662"/>
    </row>
    <row r="50" spans="2:78" ht="17.100000000000001" customHeight="1" thickTop="1" thickBot="1" x14ac:dyDescent="0.3">
      <c r="E50" s="659"/>
      <c r="F50" s="4591" t="s">
        <v>2086</v>
      </c>
      <c r="G50" s="4592"/>
      <c r="H50" s="4592"/>
      <c r="I50" s="4593"/>
      <c r="J50" s="4585" t="s">
        <v>2088</v>
      </c>
      <c r="K50" s="4586"/>
      <c r="L50" s="4586"/>
      <c r="M50" s="4586"/>
      <c r="N50" s="4586"/>
      <c r="O50" s="4586"/>
      <c r="P50" s="4586"/>
      <c r="Q50" s="4586"/>
      <c r="R50" s="4586"/>
      <c r="S50" s="4586"/>
      <c r="T50" s="4586"/>
      <c r="U50" s="4586"/>
      <c r="V50" s="4586"/>
      <c r="W50" s="4587"/>
      <c r="X50" s="662"/>
      <c r="AA50" s="665"/>
      <c r="AB50" s="4541"/>
      <c r="AC50" s="4542"/>
      <c r="AD50" s="4542"/>
      <c r="AE50" s="4542"/>
      <c r="AF50" s="4542"/>
      <c r="AG50" s="4542"/>
      <c r="AH50" s="4542"/>
      <c r="AI50" s="4542"/>
      <c r="AJ50" s="4542"/>
      <c r="AK50" s="4542"/>
      <c r="AL50" s="4542"/>
      <c r="AM50" s="4551"/>
      <c r="AN50" s="4551"/>
      <c r="AO50" s="4551"/>
      <c r="AP50" s="4552"/>
      <c r="AQ50" s="4533">
        <f>IF(AV50&gt;0,AS50/AV50,0)</f>
        <v>0</v>
      </c>
      <c r="AR50" s="4534"/>
      <c r="AS50" s="4538"/>
      <c r="AT50" s="4538"/>
      <c r="AU50" s="634" t="s">
        <v>117</v>
      </c>
      <c r="AV50" s="4543"/>
      <c r="AW50" s="4543"/>
      <c r="AX50" s="4518" t="str">
        <f>IF(OR(AM50="Audiobook",AM50="Radioplay",AM50="Audiofilm",AM50="TV Audio",AM50="Podcast"), "minutes","pages")</f>
        <v>pages</v>
      </c>
      <c r="AY50" s="4518"/>
      <c r="AZ50" s="4539"/>
      <c r="BA50" s="1491">
        <f>IF(AQ50=100%,1,0)</f>
        <v>0</v>
      </c>
      <c r="BD50" s="659"/>
      <c r="BE50" s="4560"/>
      <c r="BF50" s="4561"/>
      <c r="BG50" s="4561"/>
      <c r="BH50" s="4561"/>
      <c r="BI50" s="4561"/>
      <c r="BJ50" s="4562"/>
      <c r="BK50" s="4563"/>
      <c r="BL50" s="4563"/>
      <c r="BM50" s="4563"/>
      <c r="BN50" s="4563"/>
      <c r="BO50" s="4563"/>
      <c r="BP50" s="4563"/>
      <c r="BQ50" s="4563"/>
      <c r="BR50" s="4563"/>
      <c r="BS50" s="4563"/>
      <c r="BT50" s="4563"/>
      <c r="BU50" s="4563"/>
      <c r="BV50" s="4563"/>
      <c r="BW50" s="662"/>
    </row>
    <row r="51" spans="2:78" ht="17.100000000000001" customHeight="1" thickTop="1" thickBot="1" x14ac:dyDescent="0.25">
      <c r="E51" s="659"/>
      <c r="F51" s="4594"/>
      <c r="G51" s="4595"/>
      <c r="H51" s="4595"/>
      <c r="I51" s="4596"/>
      <c r="J51" s="4588"/>
      <c r="K51" s="4589"/>
      <c r="L51" s="4589"/>
      <c r="M51" s="4589"/>
      <c r="N51" s="4589"/>
      <c r="O51" s="4589"/>
      <c r="P51" s="4589"/>
      <c r="Q51" s="4589"/>
      <c r="R51" s="4589"/>
      <c r="S51" s="4589"/>
      <c r="T51" s="4589"/>
      <c r="U51" s="4589"/>
      <c r="V51" s="4589"/>
      <c r="W51" s="4590"/>
      <c r="X51" s="662"/>
      <c r="AA51" s="665"/>
      <c r="AB51" s="4540"/>
      <c r="AC51" s="4535"/>
      <c r="AD51" s="4535"/>
      <c r="AE51" s="4535"/>
      <c r="AF51" s="4535"/>
      <c r="AG51" s="4535"/>
      <c r="AH51" s="4535"/>
      <c r="AI51" s="4535"/>
      <c r="AJ51" s="4535"/>
      <c r="AK51" s="4535"/>
      <c r="AL51" s="4535"/>
      <c r="AM51" s="4564"/>
      <c r="AN51" s="4564"/>
      <c r="AO51" s="4565"/>
      <c r="AP51" s="4566"/>
      <c r="AQ51" s="637"/>
      <c r="AR51" s="637"/>
      <c r="AS51" s="637"/>
      <c r="AT51" s="637"/>
      <c r="AU51" s="637"/>
      <c r="AV51" s="637"/>
      <c r="AW51" s="637"/>
      <c r="AX51" s="637"/>
      <c r="AY51" s="637"/>
      <c r="AZ51" s="637"/>
      <c r="BA51" s="1497"/>
      <c r="BD51" s="659"/>
      <c r="BE51" s="4560"/>
      <c r="BF51" s="4561"/>
      <c r="BG51" s="4561"/>
      <c r="BH51" s="4561"/>
      <c r="BI51" s="4561"/>
      <c r="BJ51" s="4562"/>
      <c r="BK51" s="4563"/>
      <c r="BL51" s="4563"/>
      <c r="BM51" s="4563"/>
      <c r="BN51" s="4563"/>
      <c r="BO51" s="4563"/>
      <c r="BP51" s="4563"/>
      <c r="BQ51" s="4560"/>
      <c r="BR51" s="4561"/>
      <c r="BS51" s="4561"/>
      <c r="BT51" s="4561"/>
      <c r="BU51" s="4561"/>
      <c r="BV51" s="4562"/>
      <c r="BW51" s="662"/>
    </row>
    <row r="52" spans="2:78" ht="17.100000000000001" customHeight="1" thickTop="1" thickBot="1" x14ac:dyDescent="0.3">
      <c r="E52" s="659"/>
      <c r="F52" s="4591" t="s">
        <v>698</v>
      </c>
      <c r="G52" s="4592"/>
      <c r="H52" s="4592"/>
      <c r="I52" s="4593"/>
      <c r="J52" s="4585" t="s">
        <v>2090</v>
      </c>
      <c r="K52" s="4586"/>
      <c r="L52" s="4586"/>
      <c r="M52" s="4586"/>
      <c r="N52" s="4586"/>
      <c r="O52" s="4586"/>
      <c r="P52" s="4586"/>
      <c r="Q52" s="4586"/>
      <c r="R52" s="4586"/>
      <c r="S52" s="4586"/>
      <c r="T52" s="4586"/>
      <c r="U52" s="4586"/>
      <c r="V52" s="4586"/>
      <c r="W52" s="4587"/>
      <c r="X52" s="662"/>
      <c r="AA52" s="665"/>
      <c r="AB52" s="4541"/>
      <c r="AC52" s="4542"/>
      <c r="AD52" s="4542"/>
      <c r="AE52" s="4542"/>
      <c r="AF52" s="4542"/>
      <c r="AG52" s="4542"/>
      <c r="AH52" s="4542"/>
      <c r="AI52" s="4542"/>
      <c r="AJ52" s="4542"/>
      <c r="AK52" s="4542"/>
      <c r="AL52" s="4542"/>
      <c r="AM52" s="4551"/>
      <c r="AN52" s="4551"/>
      <c r="AO52" s="4551"/>
      <c r="AP52" s="4552"/>
      <c r="AQ52" s="4533">
        <f>IF(AV52&gt;0,AS52/AV52,0)</f>
        <v>0</v>
      </c>
      <c r="AR52" s="4534"/>
      <c r="AS52" s="4538"/>
      <c r="AT52" s="4538"/>
      <c r="AU52" s="634" t="s">
        <v>117</v>
      </c>
      <c r="AV52" s="4543"/>
      <c r="AW52" s="4543"/>
      <c r="AX52" s="4518" t="str">
        <f>IF(OR(AM52="Audiobook",AM52="Radioplay",AM52="Audiofilm",AM52="TV Audio",AM52="Podcast"), "minutes","pages")</f>
        <v>pages</v>
      </c>
      <c r="AY52" s="4518"/>
      <c r="AZ52" s="4539"/>
      <c r="BA52" s="1491">
        <f>IF(AQ52=100%,1,0)</f>
        <v>0</v>
      </c>
      <c r="BD52" s="659"/>
      <c r="BE52" s="4560"/>
      <c r="BF52" s="4561"/>
      <c r="BG52" s="4561"/>
      <c r="BH52" s="4561"/>
      <c r="BI52" s="4561"/>
      <c r="BJ52" s="4562"/>
      <c r="BK52" s="4563"/>
      <c r="BL52" s="4563"/>
      <c r="BM52" s="4563"/>
      <c r="BN52" s="4563"/>
      <c r="BO52" s="4563"/>
      <c r="BP52" s="4563"/>
      <c r="BQ52" s="4560"/>
      <c r="BR52" s="4561"/>
      <c r="BS52" s="4561"/>
      <c r="BT52" s="4561"/>
      <c r="BU52" s="4561"/>
      <c r="BV52" s="4562"/>
      <c r="BW52" s="662"/>
    </row>
    <row r="53" spans="2:78" ht="17.100000000000001" customHeight="1" thickTop="1" thickBot="1" x14ac:dyDescent="0.25">
      <c r="E53" s="659"/>
      <c r="F53" s="4594"/>
      <c r="G53" s="4595"/>
      <c r="H53" s="4595"/>
      <c r="I53" s="4596"/>
      <c r="J53" s="4588"/>
      <c r="K53" s="4589"/>
      <c r="L53" s="4589"/>
      <c r="M53" s="4589"/>
      <c r="N53" s="4589"/>
      <c r="O53" s="4589"/>
      <c r="P53" s="4589"/>
      <c r="Q53" s="4589"/>
      <c r="R53" s="4589"/>
      <c r="S53" s="4589"/>
      <c r="T53" s="4589"/>
      <c r="U53" s="4589"/>
      <c r="V53" s="4589"/>
      <c r="W53" s="4590"/>
      <c r="X53" s="662"/>
      <c r="AA53" s="665"/>
      <c r="AB53" s="4540"/>
      <c r="AC53" s="4535"/>
      <c r="AD53" s="4535"/>
      <c r="AE53" s="4535"/>
      <c r="AF53" s="4535"/>
      <c r="AG53" s="4535"/>
      <c r="AH53" s="4535"/>
      <c r="AI53" s="4535"/>
      <c r="AJ53" s="4535"/>
      <c r="AK53" s="4535"/>
      <c r="AL53" s="4535"/>
      <c r="AM53" s="4564"/>
      <c r="AN53" s="4564"/>
      <c r="AO53" s="4565"/>
      <c r="AP53" s="4566"/>
      <c r="AQ53" s="637"/>
      <c r="AR53" s="637"/>
      <c r="AS53" s="637"/>
      <c r="AT53" s="637"/>
      <c r="AU53" s="637"/>
      <c r="AV53" s="637"/>
      <c r="AW53" s="637"/>
      <c r="AX53" s="637"/>
      <c r="AY53" s="637"/>
      <c r="AZ53" s="637"/>
      <c r="BA53" s="1497"/>
      <c r="BD53" s="659"/>
      <c r="BE53" s="4560"/>
      <c r="BF53" s="4561"/>
      <c r="BG53" s="4561"/>
      <c r="BH53" s="4561"/>
      <c r="BI53" s="4561"/>
      <c r="BJ53" s="4562"/>
      <c r="BK53" s="4563"/>
      <c r="BL53" s="4563"/>
      <c r="BM53" s="4563"/>
      <c r="BN53" s="4563"/>
      <c r="BO53" s="4563"/>
      <c r="BP53" s="4563"/>
      <c r="BQ53" s="4560"/>
      <c r="BR53" s="4561"/>
      <c r="BS53" s="4561"/>
      <c r="BT53" s="4561"/>
      <c r="BU53" s="4561"/>
      <c r="BV53" s="4562"/>
      <c r="BW53" s="662"/>
    </row>
    <row r="54" spans="2:78" ht="17.100000000000001" customHeight="1" thickTop="1" thickBot="1" x14ac:dyDescent="0.3">
      <c r="E54" s="659"/>
      <c r="F54" s="4591" t="s">
        <v>699</v>
      </c>
      <c r="G54" s="4592"/>
      <c r="H54" s="4592"/>
      <c r="I54" s="4593"/>
      <c r="J54" s="4585" t="s">
        <v>2091</v>
      </c>
      <c r="K54" s="4586"/>
      <c r="L54" s="4586"/>
      <c r="M54" s="4586"/>
      <c r="N54" s="4586"/>
      <c r="O54" s="4586"/>
      <c r="P54" s="4586"/>
      <c r="Q54" s="4586"/>
      <c r="R54" s="4586"/>
      <c r="S54" s="4586"/>
      <c r="T54" s="4586"/>
      <c r="U54" s="4586"/>
      <c r="V54" s="4586"/>
      <c r="W54" s="4587"/>
      <c r="X54" s="662"/>
      <c r="AA54" s="667"/>
      <c r="AB54" s="4541"/>
      <c r="AC54" s="4542"/>
      <c r="AD54" s="4542"/>
      <c r="AE54" s="4542"/>
      <c r="AF54" s="4542"/>
      <c r="AG54" s="4542"/>
      <c r="AH54" s="4542"/>
      <c r="AI54" s="4542"/>
      <c r="AJ54" s="4542"/>
      <c r="AK54" s="4542"/>
      <c r="AL54" s="4542"/>
      <c r="AM54" s="4551"/>
      <c r="AN54" s="4551"/>
      <c r="AO54" s="4551"/>
      <c r="AP54" s="4552"/>
      <c r="AQ54" s="4533">
        <f>IF(AV54&gt;0,AS54/AV54,0)</f>
        <v>0</v>
      </c>
      <c r="AR54" s="4534"/>
      <c r="AS54" s="4538"/>
      <c r="AT54" s="4538"/>
      <c r="AU54" s="634" t="s">
        <v>117</v>
      </c>
      <c r="AV54" s="4543"/>
      <c r="AW54" s="4543"/>
      <c r="AX54" s="4518" t="str">
        <f>IF(OR(AM54="Audiobook",AM54="Radioplay",AM54="Audiofilm",AM54="TV Audio",AM54="Podcast"), "minutes","pages")</f>
        <v>pages</v>
      </c>
      <c r="AY54" s="4518"/>
      <c r="AZ54" s="4539"/>
      <c r="BA54" s="1491">
        <f>IF(AQ54=100%,1,0)</f>
        <v>0</v>
      </c>
      <c r="BD54" s="659"/>
      <c r="BE54" s="4560"/>
      <c r="BF54" s="4561"/>
      <c r="BG54" s="4561"/>
      <c r="BH54" s="4561"/>
      <c r="BI54" s="4561"/>
      <c r="BJ54" s="4562"/>
      <c r="BK54" s="4563"/>
      <c r="BL54" s="4563"/>
      <c r="BM54" s="4563"/>
      <c r="BN54" s="4563"/>
      <c r="BO54" s="4563"/>
      <c r="BP54" s="4563"/>
      <c r="BQ54" s="4563"/>
      <c r="BR54" s="4563"/>
      <c r="BS54" s="4563"/>
      <c r="BT54" s="4563"/>
      <c r="BU54" s="4563"/>
      <c r="BV54" s="4563"/>
      <c r="BW54" s="662"/>
    </row>
    <row r="55" spans="2:78" ht="17.100000000000001" customHeight="1" thickTop="1" thickBot="1" x14ac:dyDescent="0.25">
      <c r="E55" s="659"/>
      <c r="F55" s="4594"/>
      <c r="G55" s="4595"/>
      <c r="H55" s="4595"/>
      <c r="I55" s="4596"/>
      <c r="J55" s="4588"/>
      <c r="K55" s="4589"/>
      <c r="L55" s="4589"/>
      <c r="M55" s="4589"/>
      <c r="N55" s="4589"/>
      <c r="O55" s="4589"/>
      <c r="P55" s="4589"/>
      <c r="Q55" s="4589"/>
      <c r="R55" s="4589"/>
      <c r="S55" s="4589"/>
      <c r="T55" s="4589"/>
      <c r="U55" s="4589"/>
      <c r="V55" s="4589"/>
      <c r="W55" s="4590"/>
      <c r="X55" s="662"/>
      <c r="AA55" s="667"/>
      <c r="AB55" s="4540"/>
      <c r="AC55" s="4535"/>
      <c r="AD55" s="4535"/>
      <c r="AE55" s="4535"/>
      <c r="AF55" s="4535"/>
      <c r="AG55" s="4535"/>
      <c r="AH55" s="4535"/>
      <c r="AI55" s="4535"/>
      <c r="AJ55" s="4535"/>
      <c r="AK55" s="4535"/>
      <c r="AL55" s="4535"/>
      <c r="AM55" s="4564"/>
      <c r="AN55" s="4564"/>
      <c r="AO55" s="4565"/>
      <c r="AP55" s="4566"/>
      <c r="AQ55" s="637"/>
      <c r="AR55" s="637"/>
      <c r="AS55" s="637"/>
      <c r="AT55" s="637"/>
      <c r="AU55" s="637"/>
      <c r="AV55" s="637"/>
      <c r="AW55" s="637"/>
      <c r="AX55" s="637"/>
      <c r="AY55" s="637"/>
      <c r="AZ55" s="637"/>
      <c r="BA55" s="1498"/>
      <c r="BD55" s="659"/>
      <c r="BE55" s="4563"/>
      <c r="BF55" s="4563"/>
      <c r="BG55" s="4563"/>
      <c r="BH55" s="4563"/>
      <c r="BI55" s="4563"/>
      <c r="BJ55" s="4563"/>
      <c r="BK55" s="4563"/>
      <c r="BL55" s="4563"/>
      <c r="BM55" s="4563"/>
      <c r="BN55" s="4563"/>
      <c r="BO55" s="4563"/>
      <c r="BP55" s="4563"/>
      <c r="BQ55" s="4563"/>
      <c r="BR55" s="4563"/>
      <c r="BS55" s="4563"/>
      <c r="BT55" s="4563"/>
      <c r="BU55" s="4563"/>
      <c r="BV55" s="4563"/>
      <c r="BW55" s="662"/>
    </row>
    <row r="56" spans="2:78" ht="17.100000000000001" customHeight="1" thickTop="1" thickBot="1" x14ac:dyDescent="0.25">
      <c r="E56" s="659"/>
      <c r="F56" s="661"/>
      <c r="G56" s="661"/>
      <c r="H56" s="661"/>
      <c r="I56" s="661"/>
      <c r="J56" s="661"/>
      <c r="K56" s="661"/>
      <c r="L56" s="661"/>
      <c r="M56" s="661"/>
      <c r="N56" s="661"/>
      <c r="O56" s="661"/>
      <c r="P56" s="661"/>
      <c r="Q56" s="661"/>
      <c r="R56" s="661"/>
      <c r="S56" s="661"/>
      <c r="T56" s="661"/>
      <c r="U56" s="661"/>
      <c r="V56" s="661"/>
      <c r="W56" s="661"/>
      <c r="X56" s="662"/>
      <c r="AA56" s="667"/>
      <c r="AB56" s="1440"/>
      <c r="AC56" s="1440"/>
      <c r="AD56" s="1440"/>
      <c r="AE56" s="1440"/>
      <c r="AF56" s="1440"/>
      <c r="AG56" s="1440"/>
      <c r="AH56" s="1440"/>
      <c r="AI56" s="1440"/>
      <c r="AJ56" s="1440"/>
      <c r="AK56" s="668"/>
      <c r="AL56" s="668"/>
      <c r="AM56" s="668"/>
      <c r="AN56" s="668"/>
      <c r="AO56" s="668"/>
      <c r="AP56" s="668"/>
      <c r="AQ56" s="668"/>
      <c r="AR56" s="668"/>
      <c r="AS56" s="4577">
        <f>SUM($AS$28,$AS$30,$AS$32,$AS$34,$AS$48,$AS$50,$AS$44,$AS$52,$AS$46,$AS$54,$AS$106,$AS$108,$AS$110,$AS$112,$AS$114,$AS$116,$AS$118,$AS$120,$AS$122,$AS$124,$AS$126,$AS$128,$AS$130,$AS$132,$AS$134,$AS$136,$AS$138,$AS$140,$AS$142,$AS$144,$AS$146,$AS$148,$AS$150)</f>
        <v>0</v>
      </c>
      <c r="AT56" s="4577"/>
      <c r="AU56" s="1499"/>
      <c r="AV56" s="4559">
        <f>SUM($AV$28,$AV$30,$AV$32,$AV$34,$AV$48,$AV$50,$AV$44,$AV$46,$AV$52,$AV$54,$AV$106,$AV$108,$AV$110,$AV$112,$AV$114,$AV$116,$AV$118,$AV$120,$AV$122,$AV$124,$AV$126,$AV$128,$AV$130,$AV$132,$AV$134,$AV$136,$AV$138,$AV$140,$AV$142,$AV$144,$AV$146,$AV$148,$AV$150)</f>
        <v>0</v>
      </c>
      <c r="AW56" s="4559"/>
      <c r="AX56" s="1244"/>
      <c r="AY56" s="1244"/>
      <c r="AZ56" s="1244"/>
      <c r="BA56" s="1498"/>
      <c r="BD56" s="659"/>
      <c r="BE56" s="661"/>
      <c r="BF56" s="661"/>
      <c r="BG56" s="661"/>
      <c r="BH56" s="661"/>
      <c r="BI56" s="661"/>
      <c r="BJ56" s="661"/>
      <c r="BK56" s="661"/>
      <c r="BL56" s="661"/>
      <c r="BM56" s="661"/>
      <c r="BN56" s="661"/>
      <c r="BO56" s="661"/>
      <c r="BP56" s="661"/>
      <c r="BQ56" s="661"/>
      <c r="BR56" s="661"/>
      <c r="BS56" s="661"/>
      <c r="BT56" s="661"/>
      <c r="BU56" s="661"/>
      <c r="BV56" s="661"/>
      <c r="BW56" s="662"/>
    </row>
    <row r="57" spans="2:78" ht="17.100000000000001" customHeight="1" thickTop="1" thickBot="1" x14ac:dyDescent="0.3">
      <c r="E57" s="659"/>
      <c r="F57" s="3118" t="str">
        <f>IF($G$154=0,"",IF($G$154=1, "Plus 1 further adventure below","Plus "&amp;$G$154&amp;" further adventures below"))</f>
        <v/>
      </c>
      <c r="G57" s="661"/>
      <c r="H57" s="661"/>
      <c r="I57" s="661"/>
      <c r="J57" s="661"/>
      <c r="K57" s="661"/>
      <c r="L57" s="661"/>
      <c r="M57" s="661"/>
      <c r="N57" s="661"/>
      <c r="O57" s="661"/>
      <c r="P57" s="661"/>
      <c r="Q57" s="661"/>
      <c r="R57" s="661"/>
      <c r="S57" s="661"/>
      <c r="T57" s="661"/>
      <c r="U57" s="1493"/>
      <c r="V57" s="1494" t="s">
        <v>1065</v>
      </c>
      <c r="W57" s="1495">
        <f>COUNTA($G$15,$P$15,$G$21,$P$21,$G$27,$P$27,$G$33,$P$33,$G$110,$P$110,$G$116,$P$116,$G$122,$P$122,$G$128,$P$128,$G$134,$P$134,$G$140,$P$140,$G$146,$P$146,$G$152,$P$152)</f>
        <v>0</v>
      </c>
      <c r="X57" s="662"/>
      <c r="AA57" s="667"/>
      <c r="AB57" s="1482" t="str">
        <f>IF($AB$129=0,"",IF($AB$129=1, "Plus 1 further narrative below","Plus "&amp;$AB$129&amp;" further narratives below"))</f>
        <v/>
      </c>
      <c r="AC57" s="668"/>
      <c r="AD57" s="668"/>
      <c r="AE57" s="668"/>
      <c r="AF57" s="668"/>
      <c r="AG57" s="668"/>
      <c r="AH57" s="668"/>
      <c r="AI57" s="668"/>
      <c r="AJ57" s="668"/>
      <c r="AK57" s="668"/>
      <c r="AL57" s="668"/>
      <c r="AM57" s="668"/>
      <c r="AN57" s="668"/>
      <c r="AO57" s="668"/>
      <c r="AP57" s="668"/>
      <c r="AQ57" s="668"/>
      <c r="AR57" s="668"/>
      <c r="AS57" s="1244"/>
      <c r="AT57" s="1244"/>
      <c r="AU57" s="1244"/>
      <c r="AV57" s="1244"/>
      <c r="AW57" s="1244"/>
      <c r="AX57" s="1244"/>
      <c r="AY57" s="1500"/>
      <c r="AZ57" s="1500" t="s">
        <v>1064</v>
      </c>
      <c r="BA57" s="1498">
        <f>SUM($BA$28:$BA$35,$BA$44:$BA$55,$BA$106:$BA$127)</f>
        <v>0</v>
      </c>
      <c r="BD57" s="659"/>
      <c r="BE57" s="1495">
        <f>COUNTA($BF$15,$BO$15,$BF$21,$BO$21,$BF$27,$BO$27,$BF$33,$BO$33,$BF$110,$BO$110,$BF$116,$BO$116,$BF$122,$BO$122,$BF$128,$BO$128,$BF$134,$BO$134,$BF$140,$BO$140,$BF$146,$BO$146,$BF$152,$BO$152)</f>
        <v>0</v>
      </c>
      <c r="BF57" s="1496" t="s">
        <v>1065</v>
      </c>
      <c r="BG57" s="1493"/>
      <c r="BH57" s="661"/>
      <c r="BI57" s="661"/>
      <c r="BJ57" s="661"/>
      <c r="BK57" s="661"/>
      <c r="BL57" s="661"/>
      <c r="BM57" s="661"/>
      <c r="BN57" s="661"/>
      <c r="BO57" s="661"/>
      <c r="BP57" s="661"/>
      <c r="BQ57" s="661"/>
      <c r="BR57" s="661"/>
      <c r="BS57" s="661"/>
      <c r="BT57" s="661"/>
      <c r="BU57" s="661"/>
      <c r="BV57" s="3119" t="str">
        <f>IF($BU$154=0,"",IF($BU$154=1, "Plus 1 further connection below","Plus "&amp;$BU$154&amp;" further connections below"))</f>
        <v/>
      </c>
      <c r="BW57" s="662"/>
    </row>
    <row r="58" spans="2:78" ht="17.100000000000001" customHeight="1" thickTop="1" thickBot="1" x14ac:dyDescent="0.25">
      <c r="E58" s="669"/>
      <c r="F58" s="670"/>
      <c r="G58" s="670"/>
      <c r="H58" s="670"/>
      <c r="I58" s="670"/>
      <c r="J58" s="670"/>
      <c r="K58" s="670"/>
      <c r="L58" s="670"/>
      <c r="M58" s="670"/>
      <c r="N58" s="670"/>
      <c r="O58" s="670"/>
      <c r="P58" s="670"/>
      <c r="Q58" s="670"/>
      <c r="R58" s="670"/>
      <c r="S58" s="670"/>
      <c r="T58" s="670"/>
      <c r="U58" s="670"/>
      <c r="V58" s="670"/>
      <c r="W58" s="670"/>
      <c r="X58" s="671"/>
      <c r="AA58" s="672"/>
      <c r="AB58" s="1444"/>
      <c r="AC58" s="1444"/>
      <c r="AD58" s="1444"/>
      <c r="AE58" s="1444"/>
      <c r="AF58" s="1444"/>
      <c r="AG58" s="1444"/>
      <c r="AH58" s="1444"/>
      <c r="AI58" s="1444"/>
      <c r="AJ58" s="1444"/>
      <c r="AK58" s="1444"/>
      <c r="AL58" s="1444"/>
      <c r="AM58" s="1444"/>
      <c r="AN58" s="1444"/>
      <c r="AO58" s="1444"/>
      <c r="AP58" s="1444"/>
      <c r="AQ58" s="1445"/>
      <c r="AR58" s="1445"/>
      <c r="AS58" s="4555"/>
      <c r="AT58" s="4556"/>
      <c r="AU58" s="1445"/>
      <c r="AV58" s="4557"/>
      <c r="AW58" s="4558"/>
      <c r="AX58" s="1445"/>
      <c r="AY58" s="1445"/>
      <c r="AZ58" s="1446"/>
      <c r="BA58" s="673"/>
      <c r="BD58" s="669"/>
      <c r="BE58" s="670"/>
      <c r="BF58" s="670"/>
      <c r="BG58" s="670"/>
      <c r="BH58" s="670"/>
      <c r="BI58" s="670"/>
      <c r="BJ58" s="670"/>
      <c r="BK58" s="670"/>
      <c r="BL58" s="670"/>
      <c r="BM58" s="670"/>
      <c r="BN58" s="670"/>
      <c r="BO58" s="670"/>
      <c r="BP58" s="670"/>
      <c r="BQ58" s="670"/>
      <c r="BR58" s="670"/>
      <c r="BS58" s="670"/>
      <c r="BT58" s="670"/>
      <c r="BU58" s="670"/>
      <c r="BV58" s="670"/>
      <c r="BW58" s="671"/>
    </row>
    <row r="59" spans="2:78" ht="17.100000000000001" customHeight="1" thickTop="1" x14ac:dyDescent="0.15">
      <c r="N59" s="34"/>
      <c r="O59" s="34"/>
      <c r="P59" s="34"/>
      <c r="AN59" s="33"/>
      <c r="BL59" s="34"/>
      <c r="BM59" s="34"/>
      <c r="BN59" s="34"/>
    </row>
    <row r="60" spans="2:78" ht="17.100000000000001" customHeight="1" x14ac:dyDescent="0.15">
      <c r="N60" s="3504" t="s">
        <v>9</v>
      </c>
      <c r="O60" s="3504"/>
      <c r="P60" s="34"/>
      <c r="AN60" s="34"/>
      <c r="AO60" s="34"/>
      <c r="BL60" s="34"/>
      <c r="BM60" s="3504" t="s">
        <v>9</v>
      </c>
      <c r="BN60" s="3504"/>
    </row>
    <row r="61" spans="2:78" ht="17.100000000000001" customHeight="1" x14ac:dyDescent="0.15">
      <c r="N61" s="4554" t="s">
        <v>9</v>
      </c>
      <c r="O61" s="4554"/>
      <c r="AN61" s="34"/>
      <c r="AO61" s="34"/>
      <c r="BL61" s="34"/>
      <c r="BM61" s="4554" t="s">
        <v>9</v>
      </c>
      <c r="BN61" s="4554"/>
    </row>
    <row r="62" spans="2:78" ht="17.100000000000001" customHeight="1" x14ac:dyDescent="0.15">
      <c r="E62" s="674"/>
      <c r="F62" s="675"/>
      <c r="G62" s="675"/>
      <c r="H62" s="675"/>
      <c r="I62" s="675"/>
      <c r="J62" s="675"/>
      <c r="K62" s="675"/>
      <c r="L62" s="675"/>
      <c r="M62" s="675"/>
      <c r="N62" s="675"/>
      <c r="O62" s="676"/>
      <c r="P62" s="676"/>
      <c r="Q62" s="676"/>
      <c r="R62" s="676"/>
      <c r="S62" s="676"/>
      <c r="T62" s="676"/>
      <c r="U62" s="676"/>
      <c r="V62" s="676"/>
      <c r="W62" s="676"/>
      <c r="X62" s="676"/>
      <c r="Y62" s="676"/>
      <c r="Z62" s="676"/>
      <c r="AA62" s="676"/>
      <c r="AB62" s="676"/>
      <c r="AC62" s="676"/>
      <c r="AD62" s="676"/>
      <c r="AE62" s="676"/>
      <c r="AF62" s="676"/>
      <c r="AG62" s="676"/>
      <c r="AH62" s="676"/>
      <c r="AI62" s="676"/>
      <c r="AJ62" s="676"/>
      <c r="AK62" s="676"/>
      <c r="AL62" s="676"/>
      <c r="AM62" s="676"/>
      <c r="AN62" s="676"/>
      <c r="AO62" s="676"/>
      <c r="AP62" s="676"/>
      <c r="AQ62" s="676"/>
      <c r="AR62" s="676"/>
      <c r="AS62" s="676"/>
      <c r="AT62" s="676"/>
      <c r="AU62" s="676"/>
      <c r="AV62" s="676"/>
      <c r="AW62" s="676"/>
      <c r="AX62" s="676"/>
      <c r="AY62" s="676"/>
      <c r="AZ62" s="676"/>
      <c r="BA62" s="676"/>
      <c r="BB62" s="676"/>
      <c r="BC62" s="676"/>
      <c r="BD62" s="676"/>
      <c r="BE62" s="676"/>
      <c r="BF62" s="676"/>
      <c r="BG62" s="676"/>
      <c r="BH62" s="676"/>
      <c r="BI62" s="676"/>
      <c r="BJ62" s="676"/>
      <c r="BK62" s="676"/>
      <c r="BL62" s="676"/>
      <c r="BM62" s="676"/>
      <c r="BN62" s="676"/>
      <c r="BO62" s="675"/>
      <c r="BP62" s="675"/>
      <c r="BQ62" s="675"/>
      <c r="BR62" s="675"/>
      <c r="BS62" s="675"/>
      <c r="BT62" s="675"/>
      <c r="BU62" s="675"/>
      <c r="BV62" s="675"/>
      <c r="BW62" s="677"/>
    </row>
    <row r="63" spans="2:78" ht="17.100000000000001" customHeight="1" x14ac:dyDescent="0.55000000000000004">
      <c r="B63" s="678"/>
      <c r="C63" s="678"/>
      <c r="D63" s="23"/>
      <c r="E63" s="679"/>
      <c r="F63" s="4516" t="s">
        <v>685</v>
      </c>
      <c r="G63" s="4516"/>
      <c r="H63" s="4516"/>
      <c r="I63" s="4516"/>
      <c r="J63" s="4516"/>
      <c r="K63" s="4516"/>
      <c r="L63" s="4516"/>
      <c r="M63" s="4516"/>
      <c r="N63" s="4516"/>
      <c r="O63" s="4516"/>
      <c r="P63" s="4516"/>
      <c r="Q63" s="4516"/>
      <c r="R63" s="4516"/>
      <c r="S63" s="4516"/>
      <c r="T63" s="4544" t="s">
        <v>546</v>
      </c>
      <c r="U63" s="4544"/>
      <c r="V63" s="4544"/>
      <c r="W63" s="4544"/>
      <c r="X63" s="4544"/>
      <c r="Y63" s="4544"/>
      <c r="Z63" s="4544"/>
      <c r="AA63" s="4544"/>
      <c r="AB63" s="4544"/>
      <c r="AC63" s="4544"/>
      <c r="AD63" s="4544"/>
      <c r="AE63" s="4544"/>
      <c r="AF63" s="4544"/>
      <c r="AG63" s="4544"/>
      <c r="AH63" s="4544"/>
      <c r="AI63" s="4544"/>
      <c r="AJ63" s="4544"/>
      <c r="AK63" s="4544"/>
      <c r="AL63" s="4544"/>
      <c r="AM63" s="4544"/>
      <c r="AN63" s="4544"/>
      <c r="AO63" s="4544"/>
      <c r="AP63" s="4544"/>
      <c r="AQ63" s="4544"/>
      <c r="AR63" s="4544"/>
      <c r="AS63" s="4544"/>
      <c r="AT63" s="4544"/>
      <c r="AU63" s="4544"/>
      <c r="AV63" s="4544"/>
      <c r="AW63" s="4544"/>
      <c r="AX63" s="4544"/>
      <c r="AY63" s="4544"/>
      <c r="AZ63" s="4544"/>
      <c r="BA63" s="4544"/>
      <c r="BB63" s="4544"/>
      <c r="BC63" s="4544"/>
      <c r="BD63" s="4544"/>
      <c r="BE63" s="4544"/>
      <c r="BF63" s="4544"/>
      <c r="BG63" s="4544"/>
      <c r="BH63" s="4544"/>
      <c r="BI63" s="4537" t="s">
        <v>684</v>
      </c>
      <c r="BJ63" s="4537"/>
      <c r="BK63" s="4537"/>
      <c r="BL63" s="4537"/>
      <c r="BM63" s="4537"/>
      <c r="BN63" s="4537"/>
      <c r="BO63" s="4537"/>
      <c r="BP63" s="4537"/>
      <c r="BQ63" s="4537"/>
      <c r="BR63" s="4537"/>
      <c r="BS63" s="4537"/>
      <c r="BT63" s="4537"/>
      <c r="BU63" s="4537"/>
      <c r="BV63" s="4537"/>
      <c r="BW63" s="681"/>
      <c r="BX63" s="23"/>
      <c r="BY63" s="23"/>
      <c r="BZ63" s="678"/>
    </row>
    <row r="64" spans="2:78" ht="17.100000000000001" customHeight="1" x14ac:dyDescent="0.55000000000000004">
      <c r="B64" s="678"/>
      <c r="C64" s="678"/>
      <c r="D64" s="23"/>
      <c r="E64" s="679"/>
      <c r="F64" s="682"/>
      <c r="G64" s="682"/>
      <c r="H64" s="682"/>
      <c r="I64" s="682"/>
      <c r="J64" s="682"/>
      <c r="K64" s="682"/>
      <c r="L64" s="682"/>
      <c r="M64" s="682"/>
      <c r="N64" s="28"/>
      <c r="O64" s="28"/>
      <c r="P64" s="28"/>
      <c r="Q64" s="28"/>
      <c r="R64" s="28"/>
      <c r="S64" s="28"/>
      <c r="T64" s="28"/>
      <c r="U64" s="28"/>
      <c r="V64" s="28"/>
      <c r="W64" s="28"/>
      <c r="X64" s="28"/>
      <c r="Y64" s="28"/>
      <c r="Z64" s="28"/>
      <c r="AA64" s="28"/>
      <c r="AB64" s="28"/>
      <c r="AC64" s="28"/>
      <c r="AD64" s="28"/>
      <c r="AE64" s="28"/>
      <c r="AF64" s="28"/>
      <c r="AG64" s="28"/>
      <c r="AH64" s="28"/>
      <c r="AI64" s="28"/>
      <c r="AJ64" s="28"/>
      <c r="AK64" s="28"/>
      <c r="AL64" s="28"/>
      <c r="AM64" s="28"/>
      <c r="AO64" s="28"/>
      <c r="AP64" s="28"/>
      <c r="AQ64" s="28"/>
      <c r="AR64" s="28"/>
      <c r="AS64" s="28"/>
      <c r="AT64" s="28"/>
      <c r="AU64" s="28"/>
      <c r="AV64" s="28"/>
      <c r="AW64" s="28"/>
      <c r="AX64" s="28"/>
      <c r="AY64" s="28"/>
      <c r="AZ64" s="28"/>
      <c r="BA64" s="28"/>
      <c r="BB64" s="28"/>
      <c r="BC64" s="28"/>
      <c r="BD64" s="28"/>
      <c r="BE64" s="28"/>
      <c r="BF64" s="28"/>
      <c r="BG64" s="28"/>
      <c r="BH64" s="28"/>
      <c r="BI64" s="28"/>
      <c r="BJ64" s="28"/>
      <c r="BK64" s="28"/>
      <c r="BL64" s="28"/>
      <c r="BM64" s="28"/>
      <c r="BN64" s="28"/>
      <c r="BV64" s="680"/>
      <c r="BW64" s="681"/>
      <c r="BX64" s="23"/>
      <c r="BY64" s="23"/>
      <c r="BZ64" s="678"/>
    </row>
    <row r="65" spans="2:82" ht="17.100000000000001" customHeight="1" x14ac:dyDescent="0.55000000000000004">
      <c r="B65" s="678"/>
      <c r="C65" s="678"/>
      <c r="D65" s="23"/>
      <c r="E65" s="679"/>
      <c r="F65" s="682"/>
      <c r="G65" s="682"/>
      <c r="H65" s="682"/>
      <c r="I65" s="682"/>
      <c r="J65" s="682"/>
      <c r="K65" s="682"/>
      <c r="L65" s="682"/>
      <c r="M65" s="682"/>
      <c r="N65" s="682"/>
      <c r="O65" s="682"/>
      <c r="P65" s="682"/>
      <c r="Q65" s="682"/>
      <c r="R65" s="682"/>
      <c r="S65" s="682"/>
      <c r="T65" s="682"/>
      <c r="U65" s="682"/>
      <c r="V65" s="682"/>
      <c r="W65" s="682"/>
      <c r="X65" s="682"/>
      <c r="Y65" s="682"/>
      <c r="Z65" s="682"/>
      <c r="AA65" s="682"/>
      <c r="AB65" s="682"/>
      <c r="AC65" s="682"/>
      <c r="AD65" s="682"/>
      <c r="AE65" s="682"/>
      <c r="AF65" s="682"/>
      <c r="AG65" s="682"/>
      <c r="AH65" s="682"/>
      <c r="AI65" s="682"/>
      <c r="AJ65" s="682"/>
      <c r="AK65" s="682"/>
      <c r="AL65" s="682"/>
      <c r="AM65" s="682"/>
      <c r="AN65" s="682"/>
      <c r="AO65" s="682"/>
      <c r="AP65" s="682"/>
      <c r="AQ65" s="682"/>
      <c r="AR65" s="682"/>
      <c r="AS65" s="682"/>
      <c r="AT65" s="682"/>
      <c r="AU65" s="682"/>
      <c r="AV65" s="682"/>
      <c r="AW65" s="682"/>
      <c r="AX65" s="682"/>
      <c r="AY65" s="682"/>
      <c r="AZ65" s="682"/>
      <c r="BA65" s="682"/>
      <c r="BB65" s="682"/>
      <c r="BC65" s="682"/>
      <c r="BD65" s="682"/>
      <c r="BE65" s="682"/>
      <c r="BF65" s="682"/>
      <c r="BG65" s="682"/>
      <c r="BH65" s="682"/>
      <c r="BI65" s="682"/>
      <c r="BJ65" s="682"/>
      <c r="BK65" s="682"/>
      <c r="BL65" s="682"/>
      <c r="BM65" s="682"/>
      <c r="BN65" s="682"/>
      <c r="BW65" s="681"/>
      <c r="BX65" s="23"/>
      <c r="BY65" s="23"/>
      <c r="BZ65" s="678"/>
    </row>
    <row r="66" spans="2:82" ht="17.100000000000001" customHeight="1" x14ac:dyDescent="0.15">
      <c r="B66" s="23"/>
      <c r="C66" s="23"/>
      <c r="D66" s="23"/>
      <c r="E66" s="683"/>
      <c r="F66" s="28"/>
      <c r="G66" s="28"/>
      <c r="H66" s="28"/>
      <c r="I66" s="684"/>
      <c r="J66" s="685"/>
      <c r="K66" s="684"/>
      <c r="L66" s="28"/>
      <c r="M66" s="28"/>
      <c r="N66" s="28"/>
      <c r="O66" s="28"/>
      <c r="P66" s="28"/>
      <c r="Q66" s="28"/>
      <c r="R66" s="28"/>
      <c r="S66" s="686" t="s">
        <v>144</v>
      </c>
      <c r="T66" s="685"/>
      <c r="U66" s="684"/>
      <c r="V66" s="28"/>
      <c r="W66" s="28"/>
      <c r="X66" s="28"/>
      <c r="Y66" s="28"/>
      <c r="Z66" s="28"/>
      <c r="AA66" s="28"/>
      <c r="AB66" s="28"/>
      <c r="AC66" s="686" t="s">
        <v>144</v>
      </c>
      <c r="AD66" s="685"/>
      <c r="AE66" s="684"/>
      <c r="AF66" s="28"/>
      <c r="AG66" s="28"/>
      <c r="AH66" s="28"/>
      <c r="AI66" s="28"/>
      <c r="AJ66" s="28"/>
      <c r="AK66" s="28"/>
      <c r="AL66" s="28"/>
      <c r="AM66" s="686" t="s">
        <v>144</v>
      </c>
      <c r="AN66" s="685"/>
      <c r="AO66" s="686" t="s">
        <v>144</v>
      </c>
      <c r="AP66" s="28"/>
      <c r="AQ66" s="28"/>
      <c r="AR66" s="28"/>
      <c r="AS66" s="28"/>
      <c r="AT66" s="28"/>
      <c r="AU66" s="28"/>
      <c r="AV66" s="28"/>
      <c r="AW66" s="686" t="s">
        <v>144</v>
      </c>
      <c r="AX66" s="685"/>
      <c r="AY66" s="686" t="s">
        <v>144</v>
      </c>
      <c r="AZ66" s="28"/>
      <c r="BA66" s="28"/>
      <c r="BB66" s="28"/>
      <c r="BC66" s="28"/>
      <c r="BD66" s="28"/>
      <c r="BE66" s="28"/>
      <c r="BF66" s="28"/>
      <c r="BG66" s="686" t="s">
        <v>144</v>
      </c>
      <c r="BH66" s="685"/>
      <c r="BI66" s="686" t="s">
        <v>144</v>
      </c>
      <c r="BJ66" s="334"/>
      <c r="BK66" s="334"/>
      <c r="BL66" s="334"/>
      <c r="BM66" s="334"/>
      <c r="BN66" s="4583" t="s">
        <v>2159</v>
      </c>
      <c r="BO66" s="4583"/>
      <c r="BP66" s="4583"/>
      <c r="BQ66" s="4546"/>
      <c r="BR66" s="4546"/>
      <c r="BS66" s="4546"/>
      <c r="BT66" s="1687" t="str" cm="1">
        <f t="array" ref="BT66">_xlfn.IFS(
AND(BQ66="ROLL",BT69=0),BT67,
AND(BQ66="ROLL 2",BT69=1),BT67,
AND(BQ66="ROLL 3",BT69=2),BT67,
AND(BQ66="ROLL 4",BT69=3),BT67,
AND(BQ66="ROLL 5",BT69=4),BT67,
AND(BQ66="ROLL 6",BT69=5),BT67,
AND(BQ66="ROLL 7",BT69=6),BT67,
TRUE,"?")</f>
        <v>?</v>
      </c>
      <c r="BU66" s="334"/>
      <c r="BV66" s="687"/>
      <c r="BW66" s="688"/>
      <c r="BX66" s="23"/>
      <c r="BY66" s="23"/>
      <c r="BZ66" s="23"/>
    </row>
    <row r="67" spans="2:82" ht="17.100000000000001" customHeight="1" x14ac:dyDescent="0.15">
      <c r="B67" s="23"/>
      <c r="C67" s="23"/>
      <c r="D67" s="23"/>
      <c r="E67" s="683"/>
      <c r="F67" s="28"/>
      <c r="G67" s="28"/>
      <c r="H67" s="28"/>
      <c r="I67" s="684"/>
      <c r="J67" s="686" t="s">
        <v>144</v>
      </c>
      <c r="K67" s="684"/>
      <c r="L67" s="28"/>
      <c r="M67" s="28"/>
      <c r="N67" s="28"/>
      <c r="O67" s="28"/>
      <c r="P67" s="28"/>
      <c r="Q67" s="28"/>
      <c r="R67" s="28"/>
      <c r="S67" s="684"/>
      <c r="T67" s="686"/>
      <c r="U67" s="684"/>
      <c r="V67" s="28"/>
      <c r="W67" s="28"/>
      <c r="X67" s="28"/>
      <c r="Y67" s="28"/>
      <c r="Z67" s="28"/>
      <c r="AA67" s="28"/>
      <c r="AB67" s="28"/>
      <c r="AC67" s="684"/>
      <c r="AD67" s="686" t="s">
        <v>144</v>
      </c>
      <c r="AE67" s="684"/>
      <c r="AF67" s="28"/>
      <c r="AG67" s="28"/>
      <c r="AH67" s="28"/>
      <c r="AI67" s="28"/>
      <c r="AJ67" s="28"/>
      <c r="AK67" s="28"/>
      <c r="AL67" s="28"/>
      <c r="AM67" s="684"/>
      <c r="AN67" s="686"/>
      <c r="AO67" s="684"/>
      <c r="AP67" s="28"/>
      <c r="AQ67" s="28"/>
      <c r="AR67" s="28"/>
      <c r="AS67" s="28"/>
      <c r="AT67" s="28"/>
      <c r="AU67" s="28"/>
      <c r="AV67" s="28"/>
      <c r="AW67" s="684"/>
      <c r="AX67" s="686" t="s">
        <v>144</v>
      </c>
      <c r="AY67" s="684"/>
      <c r="AZ67" s="28"/>
      <c r="BA67" s="28"/>
      <c r="BB67" s="28"/>
      <c r="BC67" s="28"/>
      <c r="BD67" s="28"/>
      <c r="BE67" s="28"/>
      <c r="BF67" s="28"/>
      <c r="BG67" s="686" t="s">
        <v>144</v>
      </c>
      <c r="BH67" s="686"/>
      <c r="BI67" s="686" t="s">
        <v>144</v>
      </c>
      <c r="BJ67" s="334"/>
      <c r="BK67" s="334"/>
      <c r="BL67" s="334"/>
      <c r="BM67" s="334"/>
      <c r="BN67" s="4583"/>
      <c r="BO67" s="4583"/>
      <c r="BP67" s="4583"/>
      <c r="BQ67" s="4546"/>
      <c r="BR67" s="4546"/>
      <c r="BS67" s="4546"/>
      <c r="BT67" s="1688" t="str" cm="1">
        <f t="array" aca="1" ref="BT67" ca="1">_xlfn.IFS(
BT68=1,RANDBETWEEN(1,E96),
BT68=2,RANDBETWEEN(1,O96),
BT68=3,RANDBETWEEN(1,Y96),
BT68=4,RANDBETWEEN(1,AI96),
BT68=5,RANDBETWEEN(1,AS96),
BT68=6,RANDBETWEEN(1,BC96),
BT68=7,RANDBETWEEN(1,BM96),
TRUE,"?")</f>
        <v>?</v>
      </c>
      <c r="BU67" s="334"/>
      <c r="BV67" s="687"/>
      <c r="BW67" s="688"/>
      <c r="BX67" s="23"/>
      <c r="BY67" s="23"/>
      <c r="BZ67" s="23"/>
    </row>
    <row r="68" spans="2:82" ht="17.100000000000001" customHeight="1" x14ac:dyDescent="0.15">
      <c r="B68" s="23"/>
      <c r="C68" s="23"/>
      <c r="D68" s="23"/>
      <c r="E68" s="683"/>
      <c r="F68" s="28"/>
      <c r="G68" s="28"/>
      <c r="H68" s="28"/>
      <c r="I68" s="684"/>
      <c r="J68" s="685"/>
      <c r="K68" s="684"/>
      <c r="L68" s="28"/>
      <c r="M68" s="28"/>
      <c r="N68" s="28"/>
      <c r="O68" s="28"/>
      <c r="P68" s="28"/>
      <c r="Q68" s="28"/>
      <c r="R68" s="28"/>
      <c r="S68" s="684"/>
      <c r="T68" s="685"/>
      <c r="U68" s="686" t="s">
        <v>144</v>
      </c>
      <c r="V68" s="28"/>
      <c r="W68" s="28"/>
      <c r="X68" s="28"/>
      <c r="Y68" s="28"/>
      <c r="Z68" s="28"/>
      <c r="AA68" s="28"/>
      <c r="AB68" s="28"/>
      <c r="AC68" s="684"/>
      <c r="AD68" s="685"/>
      <c r="AE68" s="686" t="s">
        <v>144</v>
      </c>
      <c r="AF68" s="28"/>
      <c r="AG68" s="28"/>
      <c r="AH68" s="28"/>
      <c r="AI68" s="28"/>
      <c r="AJ68" s="28"/>
      <c r="AK68" s="28"/>
      <c r="AL68" s="28"/>
      <c r="AM68" s="686" t="s">
        <v>144</v>
      </c>
      <c r="AN68" s="685"/>
      <c r="AO68" s="686" t="s">
        <v>144</v>
      </c>
      <c r="AP68" s="28"/>
      <c r="AQ68" s="28"/>
      <c r="AR68" s="28"/>
      <c r="AS68" s="28"/>
      <c r="AT68" s="28"/>
      <c r="AU68" s="28"/>
      <c r="AV68" s="28"/>
      <c r="AW68" s="686" t="s">
        <v>144</v>
      </c>
      <c r="AX68" s="685"/>
      <c r="AY68" s="686" t="s">
        <v>144</v>
      </c>
      <c r="AZ68" s="28"/>
      <c r="BA68" s="28"/>
      <c r="BB68" s="28"/>
      <c r="BC68" s="28"/>
      <c r="BD68" s="28"/>
      <c r="BE68" s="28"/>
      <c r="BF68" s="28"/>
      <c r="BG68" s="686" t="s">
        <v>144</v>
      </c>
      <c r="BH68" s="685"/>
      <c r="BI68" s="686" t="s">
        <v>144</v>
      </c>
      <c r="BJ68" s="334"/>
      <c r="BK68" s="334"/>
      <c r="BL68" s="334"/>
      <c r="BM68" s="334"/>
      <c r="BN68" s="4583"/>
      <c r="BO68" s="4583"/>
      <c r="BP68" s="4583"/>
      <c r="BQ68" s="4546"/>
      <c r="BR68" s="4546"/>
      <c r="BS68" s="4546"/>
      <c r="BT68" s="1688" t="str">
        <f ca="1">IF(BQ66&lt;&gt;"",RANDBETWEEN(1,7),"?")</f>
        <v>?</v>
      </c>
      <c r="BU68" s="334"/>
      <c r="BV68" s="687"/>
      <c r="BW68" s="688"/>
      <c r="BX68" s="23"/>
      <c r="BY68" s="23"/>
      <c r="BZ68" s="23"/>
    </row>
    <row r="69" spans="2:82" ht="17.100000000000001" customHeight="1" x14ac:dyDescent="0.2">
      <c r="B69" s="23"/>
      <c r="C69" s="23"/>
      <c r="D69" s="23"/>
      <c r="E69" s="683"/>
      <c r="F69" s="314"/>
      <c r="G69" s="314"/>
      <c r="H69" s="314"/>
      <c r="I69" s="314"/>
      <c r="J69" s="314"/>
      <c r="K69" s="314"/>
      <c r="L69" s="314"/>
      <c r="M69" s="314"/>
      <c r="N69" s="314"/>
      <c r="O69" s="1673"/>
      <c r="P69" s="1673"/>
      <c r="Q69" s="1673"/>
      <c r="R69" s="1673"/>
      <c r="S69" s="1673"/>
      <c r="T69" s="1673"/>
      <c r="U69" s="1673"/>
      <c r="V69" s="1673"/>
      <c r="W69" s="1673"/>
      <c r="X69" s="1673"/>
      <c r="Y69" s="1673"/>
      <c r="Z69" s="1673"/>
      <c r="AA69" s="1673"/>
      <c r="AB69" s="1673"/>
      <c r="AC69" s="1673"/>
      <c r="AD69" s="1673"/>
      <c r="AE69" s="1673"/>
      <c r="AF69" s="1673"/>
      <c r="AG69" s="1673"/>
      <c r="AH69" s="1673"/>
      <c r="AI69" s="1673"/>
      <c r="AJ69" s="1673"/>
      <c r="AK69" s="1673"/>
      <c r="AL69" s="1673"/>
      <c r="AM69" s="1673"/>
      <c r="AN69" s="1674"/>
      <c r="AO69" s="155"/>
      <c r="AP69" s="1675"/>
      <c r="AQ69" s="1675"/>
      <c r="AR69" s="1675"/>
      <c r="AS69" s="1675"/>
      <c r="AT69" s="1675"/>
      <c r="AU69" s="1675"/>
      <c r="AV69" s="1675"/>
      <c r="AW69" s="1675"/>
      <c r="AX69" s="1675"/>
      <c r="AY69" s="1675"/>
      <c r="AZ69" s="1675"/>
      <c r="BA69" s="1675"/>
      <c r="BB69" s="1675"/>
      <c r="BC69" s="1675"/>
      <c r="BD69" s="1675"/>
      <c r="BE69" s="1675"/>
      <c r="BF69" s="1675"/>
      <c r="BG69" s="1675"/>
      <c r="BH69" s="1675"/>
      <c r="BI69" s="1675"/>
      <c r="BJ69" s="1675"/>
      <c r="BK69" s="1675"/>
      <c r="BL69" s="1675"/>
      <c r="BM69" s="1675"/>
      <c r="BN69" s="1674"/>
      <c r="BO69" s="1674"/>
      <c r="BP69" s="1674"/>
      <c r="BQ69" s="1674"/>
      <c r="BR69" s="1674"/>
      <c r="BS69" s="1674"/>
      <c r="BT69" s="1688">
        <f>SUM(N96,X96,AH96,AR96,BB96,BL96,BV96)</f>
        <v>0</v>
      </c>
      <c r="BU69" s="1675"/>
      <c r="BV69" s="1676"/>
      <c r="BW69" s="1677"/>
      <c r="BX69" s="23"/>
      <c r="BY69" s="23"/>
      <c r="BZ69" s="23"/>
    </row>
    <row r="70" spans="2:82" ht="17.100000000000001" customHeight="1" thickBot="1" x14ac:dyDescent="0.2">
      <c r="B70" s="23"/>
      <c r="C70" s="23"/>
      <c r="D70" s="23"/>
      <c r="E70" s="683"/>
      <c r="O70" s="155"/>
      <c r="P70" s="155"/>
      <c r="Q70" s="155"/>
      <c r="R70" s="155"/>
      <c r="S70" s="155"/>
      <c r="T70" s="155"/>
      <c r="U70" s="155"/>
      <c r="V70" s="155"/>
      <c r="W70" s="1678"/>
      <c r="X70" s="1678"/>
      <c r="Y70" s="155"/>
      <c r="Z70" s="155"/>
      <c r="AA70" s="155"/>
      <c r="AB70" s="155"/>
      <c r="AC70" s="155"/>
      <c r="AD70" s="155"/>
      <c r="AE70" s="155"/>
      <c r="AF70" s="155"/>
      <c r="AG70" s="1678"/>
      <c r="AH70" s="1678"/>
      <c r="AI70" s="155"/>
      <c r="AJ70" s="155"/>
      <c r="AK70" s="155"/>
      <c r="AL70" s="155"/>
      <c r="AM70" s="155"/>
      <c r="AN70" s="155"/>
      <c r="AO70" s="155"/>
      <c r="AP70" s="155"/>
      <c r="AQ70" s="1678"/>
      <c r="AR70" s="1678"/>
      <c r="AS70" s="155"/>
      <c r="AT70" s="155"/>
      <c r="AU70" s="155"/>
      <c r="AV70" s="155"/>
      <c r="AW70" s="155"/>
      <c r="AX70" s="155"/>
      <c r="AY70" s="155"/>
      <c r="AZ70" s="155"/>
      <c r="BA70" s="1678"/>
      <c r="BB70" s="1678"/>
      <c r="BC70" s="155"/>
      <c r="BD70" s="155"/>
      <c r="BE70" s="155"/>
      <c r="BF70" s="155"/>
      <c r="BG70" s="155"/>
      <c r="BH70" s="155"/>
      <c r="BI70" s="155"/>
      <c r="BJ70" s="155"/>
      <c r="BK70" s="1678"/>
      <c r="BL70" s="1678"/>
      <c r="BM70" s="155"/>
      <c r="BN70" s="155"/>
      <c r="BO70" s="155"/>
      <c r="BP70" s="155"/>
      <c r="BQ70" s="155"/>
      <c r="BR70" s="155"/>
      <c r="BS70" s="155"/>
      <c r="BT70" s="155"/>
      <c r="BU70" s="1678"/>
      <c r="BV70" s="1678"/>
      <c r="BW70" s="1679"/>
      <c r="BX70" s="23"/>
      <c r="BY70" s="23"/>
      <c r="BZ70" s="23"/>
    </row>
    <row r="71" spans="2:82" ht="17.100000000000001" customHeight="1" x14ac:dyDescent="0.15">
      <c r="B71" s="23"/>
      <c r="C71" s="23"/>
      <c r="D71" s="23"/>
      <c r="E71" s="683"/>
      <c r="F71" s="690"/>
      <c r="G71" s="691"/>
      <c r="H71" s="691"/>
      <c r="I71" s="691"/>
      <c r="J71" s="691"/>
      <c r="K71" s="691"/>
      <c r="L71" s="692"/>
      <c r="M71" s="692"/>
      <c r="N71" s="693"/>
      <c r="O71" s="683"/>
      <c r="P71" s="690"/>
      <c r="Q71" s="691"/>
      <c r="R71" s="691"/>
      <c r="S71" s="691"/>
      <c r="T71" s="691"/>
      <c r="U71" s="691"/>
      <c r="V71" s="692"/>
      <c r="W71" s="692"/>
      <c r="X71" s="693"/>
      <c r="Y71" s="683"/>
      <c r="Z71" s="690"/>
      <c r="AA71" s="691"/>
      <c r="AB71" s="691"/>
      <c r="AC71" s="691"/>
      <c r="AD71" s="691"/>
      <c r="AE71" s="691"/>
      <c r="AF71" s="692"/>
      <c r="AG71" s="692"/>
      <c r="AH71" s="693"/>
      <c r="AI71" s="683"/>
      <c r="AJ71" s="690"/>
      <c r="AK71" s="691"/>
      <c r="AL71" s="691"/>
      <c r="AM71" s="691"/>
      <c r="AN71" s="691"/>
      <c r="AO71" s="691"/>
      <c r="AP71" s="692"/>
      <c r="AQ71" s="692"/>
      <c r="AR71" s="693"/>
      <c r="AS71" s="683"/>
      <c r="AT71" s="690"/>
      <c r="AU71" s="691"/>
      <c r="AV71" s="691"/>
      <c r="AW71" s="691"/>
      <c r="AX71" s="691"/>
      <c r="AY71" s="691"/>
      <c r="AZ71" s="692"/>
      <c r="BA71" s="692"/>
      <c r="BB71" s="693"/>
      <c r="BC71" s="683"/>
      <c r="BD71" s="690"/>
      <c r="BE71" s="691"/>
      <c r="BF71" s="691"/>
      <c r="BG71" s="691"/>
      <c r="BH71" s="691"/>
      <c r="BI71" s="691"/>
      <c r="BJ71" s="692"/>
      <c r="BK71" s="692"/>
      <c r="BL71" s="693"/>
      <c r="BM71" s="683"/>
      <c r="BN71" s="690"/>
      <c r="BO71" s="691"/>
      <c r="BP71" s="691"/>
      <c r="BQ71" s="691"/>
      <c r="BR71" s="691"/>
      <c r="BS71" s="691"/>
      <c r="BT71" s="692"/>
      <c r="BU71" s="692"/>
      <c r="BV71" s="693"/>
      <c r="BW71" s="1680"/>
      <c r="BX71" s="23"/>
      <c r="BY71" s="23"/>
      <c r="BZ71" s="23"/>
    </row>
    <row r="72" spans="2:82" ht="17.100000000000001" customHeight="1" x14ac:dyDescent="0.15">
      <c r="B72" s="23"/>
      <c r="C72" s="23"/>
      <c r="D72" s="23"/>
      <c r="E72" s="683"/>
      <c r="F72" s="1666"/>
      <c r="G72" s="4545" t="s">
        <v>2165</v>
      </c>
      <c r="H72" s="4545"/>
      <c r="I72" s="4545"/>
      <c r="J72" s="4545"/>
      <c r="K72" s="4545"/>
      <c r="L72" s="4546"/>
      <c r="M72" s="4546"/>
      <c r="N72" s="1685" t="str">
        <f ca="1">IF(
OR(
AND(L72="ROLL",N96=0),
AND(L72="ROLL 2",N96=1),
AND(L72="ROLL 3",N96=2),
AND(L72="ROLL 4",N96=3),
AND(L72="ROLL 5",N96=4),
AND(L72="ROLL 6",N96=5),
AND(L72="ROLL 7",N96=6),
),
RANDBETWEEN(1,E96),
"?")</f>
        <v>?</v>
      </c>
      <c r="O72" s="683"/>
      <c r="P72" s="1666"/>
      <c r="Q72" s="4547" t="s">
        <v>2164</v>
      </c>
      <c r="R72" s="4547"/>
      <c r="S72" s="4547"/>
      <c r="T72" s="4547"/>
      <c r="U72" s="4547"/>
      <c r="V72" s="4546"/>
      <c r="W72" s="4546"/>
      <c r="X72" s="1685" t="str">
        <f ca="1">IF(
OR(
AND(V72="ROLL",X96=0),
AND(V72="ROLL 2",X96=1),
AND(V72="ROLL 3",X96=2),
AND(V72="ROLL 4",X96=3),
AND(V72="ROLL 5",X96=4),
AND(V72="ROLL 6",X96=5),
AND(V72="ROLL 7",X96=6),
),
RANDBETWEEN(1,O96),
"?")</f>
        <v>?</v>
      </c>
      <c r="Y72" s="683"/>
      <c r="Z72" s="1666"/>
      <c r="AA72" s="4553" t="s">
        <v>2163</v>
      </c>
      <c r="AB72" s="4553"/>
      <c r="AC72" s="4553"/>
      <c r="AD72" s="4553"/>
      <c r="AE72" s="4553"/>
      <c r="AF72" s="4546"/>
      <c r="AG72" s="4546"/>
      <c r="AH72" s="1685" t="str">
        <f ca="1">IF(
OR(
AND(AF72="ROLL",AH96=0),
AND(AF72="ROLL 2",AH96=1),
AND(AF72="ROLL 3",AH96=2),
AND(AF72="ROLL 4",AH96=3),
AND(AF72="ROLL 5",AH96=4),
AND(AF72="ROLL 6",AH96=5),
AND(AF72="ROLL 7",AH96=6),
),
RANDBETWEEN(1,Y96),
"?")</f>
        <v>?</v>
      </c>
      <c r="AI72" s="683"/>
      <c r="AJ72" s="1666"/>
      <c r="AK72" s="4549" t="s">
        <v>2162</v>
      </c>
      <c r="AL72" s="4549"/>
      <c r="AM72" s="4549"/>
      <c r="AN72" s="4549"/>
      <c r="AO72" s="4549"/>
      <c r="AP72" s="4546"/>
      <c r="AQ72" s="4546"/>
      <c r="AR72" s="1685" t="str">
        <f ca="1">IF(
OR(
AND(AP72="ROLL",AR96=0),
AND(AP72="ROLL 2",AR96=1),
AND(AP72="ROLL 3",AR96=2),
AND(AP72="ROLL 4",AR96=3),
AND(AP72="ROLL 5",AR96=4),
AND(AP72="ROLL 6",AR96=5),
AND(AP72="ROLL 7",AR96=6),
),
RANDBETWEEN(1,AI96),
"?")</f>
        <v>?</v>
      </c>
      <c r="AS72" s="683"/>
      <c r="AT72" s="1666"/>
      <c r="AU72" s="4548" t="s">
        <v>2161</v>
      </c>
      <c r="AV72" s="4548"/>
      <c r="AW72" s="4548"/>
      <c r="AX72" s="4548"/>
      <c r="AY72" s="4548"/>
      <c r="AZ72" s="4546"/>
      <c r="BA72" s="4546"/>
      <c r="BB72" s="1685" t="str">
        <f ca="1">IF(
OR(
AND(AZ72="ROLL",BB96=0),
AND(AZ72="ROLL 2",BB96=1),
AND(AZ72="ROLL 3",BB96=2),
AND(AZ72="ROLL 4",BB96=3),
AND(AZ72="ROLL 5",BB96=4),
AND(AZ72="ROLL 6",BB96=5),
AND(AZ72="ROLL 7",BB96=6),
),
RANDBETWEEN(1,AS96),
"?")</f>
        <v>?</v>
      </c>
      <c r="BC72" s="683"/>
      <c r="BD72" s="1666"/>
      <c r="BE72" s="4575" t="s">
        <v>2160</v>
      </c>
      <c r="BF72" s="4575"/>
      <c r="BG72" s="4575"/>
      <c r="BH72" s="4575"/>
      <c r="BI72" s="4575"/>
      <c r="BJ72" s="4546"/>
      <c r="BK72" s="4546"/>
      <c r="BL72" s="1685" t="str">
        <f ca="1">IF(
OR(
AND(BJ72="ROLL",BL96=0),
AND(BJ72="ROLL 2",BL96=1),
AND(BJ72="ROLL 3",BL96=2),
AND(BJ72="ROLL 4",BL96=3),
AND(BJ72="ROLL 5",BL96=4),
AND(BJ72="ROLL 6",BL96=5),
AND(BJ72="ROLL 7",BL96=6),
),
RANDBETWEEN(1,BC96),
"?")</f>
        <v>?</v>
      </c>
      <c r="BM72" s="683"/>
      <c r="BN72" s="1666"/>
      <c r="BO72" s="4550" t="s">
        <v>2158</v>
      </c>
      <c r="BP72" s="4550"/>
      <c r="BQ72" s="4550"/>
      <c r="BR72" s="4550"/>
      <c r="BS72" s="4550"/>
      <c r="BT72" s="4546"/>
      <c r="BU72" s="4546"/>
      <c r="BV72" s="1685" t="str">
        <f ca="1">IF(
OR(
AND(BT72="ROLL",BV96=0),
AND(BT72="ROLL 2",BV96=1),
AND(BT72="ROLL 3",BV96=2),
AND(BT72="ROLL 4",BV96=3),
AND(BT72="ROLL 5",BV96=4),
AND(BT72="ROLL 6",BV96=5),
AND(BT72="ROLL 7",BV96=6),
),
RANDBETWEEN(1,BM96),
"?")</f>
        <v>?</v>
      </c>
      <c r="BW72" s="1680"/>
      <c r="BX72" s="23"/>
      <c r="BY72" s="23"/>
      <c r="BZ72" s="23"/>
    </row>
    <row r="73" spans="2:82" ht="17.100000000000001" customHeight="1" x14ac:dyDescent="0.15">
      <c r="B73" s="23"/>
      <c r="C73" s="23"/>
      <c r="D73" s="23"/>
      <c r="E73" s="694"/>
      <c r="F73" s="1672"/>
      <c r="G73" s="4545"/>
      <c r="H73" s="4545"/>
      <c r="I73" s="4545"/>
      <c r="J73" s="4545"/>
      <c r="K73" s="4545"/>
      <c r="L73" s="4546"/>
      <c r="M73" s="4546"/>
      <c r="N73" s="1686">
        <v>1</v>
      </c>
      <c r="O73" s="694"/>
      <c r="P73" s="1672"/>
      <c r="Q73" s="4547"/>
      <c r="R73" s="4547"/>
      <c r="S73" s="4547"/>
      <c r="T73" s="4547"/>
      <c r="U73" s="4547"/>
      <c r="V73" s="4546"/>
      <c r="W73" s="4546"/>
      <c r="X73" s="1686">
        <v>2</v>
      </c>
      <c r="Y73" s="694"/>
      <c r="Z73" s="1672"/>
      <c r="AA73" s="4553"/>
      <c r="AB73" s="4553"/>
      <c r="AC73" s="4553"/>
      <c r="AD73" s="4553"/>
      <c r="AE73" s="4553"/>
      <c r="AF73" s="4546"/>
      <c r="AG73" s="4546"/>
      <c r="AH73" s="1686">
        <v>3</v>
      </c>
      <c r="AI73" s="694"/>
      <c r="AJ73" s="1672"/>
      <c r="AK73" s="4549"/>
      <c r="AL73" s="4549"/>
      <c r="AM73" s="4549"/>
      <c r="AN73" s="4549"/>
      <c r="AO73" s="4549"/>
      <c r="AP73" s="4546"/>
      <c r="AQ73" s="4546"/>
      <c r="AR73" s="1686">
        <v>4</v>
      </c>
      <c r="AS73" s="694"/>
      <c r="AT73" s="1672"/>
      <c r="AU73" s="4548"/>
      <c r="AV73" s="4548"/>
      <c r="AW73" s="4548"/>
      <c r="AX73" s="4548"/>
      <c r="AY73" s="4548"/>
      <c r="AZ73" s="4546"/>
      <c r="BA73" s="4546"/>
      <c r="BB73" s="1686">
        <v>5</v>
      </c>
      <c r="BC73" s="694"/>
      <c r="BD73" s="1672"/>
      <c r="BE73" s="4575"/>
      <c r="BF73" s="4575"/>
      <c r="BG73" s="4575"/>
      <c r="BH73" s="4575"/>
      <c r="BI73" s="4575"/>
      <c r="BJ73" s="4546"/>
      <c r="BK73" s="4546"/>
      <c r="BL73" s="1686">
        <v>6</v>
      </c>
      <c r="BM73" s="694"/>
      <c r="BN73" s="1672"/>
      <c r="BO73" s="4550"/>
      <c r="BP73" s="4550"/>
      <c r="BQ73" s="4550"/>
      <c r="BR73" s="4550"/>
      <c r="BS73" s="4550"/>
      <c r="BT73" s="4546"/>
      <c r="BU73" s="4546"/>
      <c r="BV73" s="1686">
        <v>7</v>
      </c>
      <c r="BW73" s="1679"/>
      <c r="BX73" s="23"/>
      <c r="BY73" s="23"/>
      <c r="BZ73" s="23"/>
    </row>
    <row r="74" spans="2:82" ht="17.100000000000001" customHeight="1" thickBot="1" x14ac:dyDescent="0.2">
      <c r="B74" s="23"/>
      <c r="C74" s="23"/>
      <c r="D74" s="23"/>
      <c r="E74" s="694"/>
      <c r="F74" s="1113"/>
      <c r="N74" s="1114"/>
      <c r="O74" s="694"/>
      <c r="P74" s="1113"/>
      <c r="X74" s="1114"/>
      <c r="Y74" s="694"/>
      <c r="Z74" s="1113"/>
      <c r="AH74" s="1114"/>
      <c r="AI74" s="694"/>
      <c r="AJ74" s="1113"/>
      <c r="AR74" s="1114"/>
      <c r="AS74" s="694"/>
      <c r="AT74" s="1113"/>
      <c r="BB74" s="1114"/>
      <c r="BC74" s="694"/>
      <c r="BD74" s="1113"/>
      <c r="BL74" s="1114"/>
      <c r="BM74" s="694"/>
      <c r="BN74" s="1113"/>
      <c r="BV74" s="1114"/>
      <c r="BW74" s="1681"/>
      <c r="BX74" s="23"/>
      <c r="BY74" s="23"/>
      <c r="BZ74" s="23"/>
    </row>
    <row r="75" spans="2:82" ht="17.100000000000001" customHeight="1" x14ac:dyDescent="0.15">
      <c r="B75" s="23"/>
      <c r="C75" s="23"/>
      <c r="D75" s="23"/>
      <c r="E75" s="694"/>
      <c r="F75" s="1117"/>
      <c r="G75" s="1118"/>
      <c r="H75" s="1118"/>
      <c r="I75" s="1118"/>
      <c r="J75" s="1118"/>
      <c r="K75" s="1118"/>
      <c r="L75" s="1118"/>
      <c r="M75" s="1118"/>
      <c r="N75" s="1119"/>
      <c r="O75" s="694"/>
      <c r="P75" s="1117"/>
      <c r="Q75" s="1118"/>
      <c r="R75" s="1118"/>
      <c r="S75" s="1118"/>
      <c r="T75" s="1118"/>
      <c r="U75" s="1118"/>
      <c r="V75" s="1118"/>
      <c r="W75" s="1118"/>
      <c r="X75" s="1119"/>
      <c r="Y75" s="694"/>
      <c r="Z75" s="1117"/>
      <c r="AA75" s="1118"/>
      <c r="AB75" s="1118"/>
      <c r="AC75" s="1118"/>
      <c r="AD75" s="1118"/>
      <c r="AE75" s="1118"/>
      <c r="AF75" s="1118"/>
      <c r="AG75" s="1118"/>
      <c r="AH75" s="1119"/>
      <c r="AI75" s="694"/>
      <c r="AJ75" s="1117"/>
      <c r="AK75" s="1118"/>
      <c r="AL75" s="1118"/>
      <c r="AM75" s="1118"/>
      <c r="AN75" s="1118"/>
      <c r="AO75" s="1118"/>
      <c r="AP75" s="1118"/>
      <c r="AQ75" s="1118"/>
      <c r="AR75" s="1119"/>
      <c r="AS75" s="694"/>
      <c r="AT75" s="1117"/>
      <c r="AU75" s="1118"/>
      <c r="AV75" s="1118"/>
      <c r="AW75" s="1118"/>
      <c r="AX75" s="1118"/>
      <c r="AY75" s="1118"/>
      <c r="AZ75" s="1118"/>
      <c r="BA75" s="1118"/>
      <c r="BB75" s="1119"/>
      <c r="BC75" s="694"/>
      <c r="BD75" s="1117"/>
      <c r="BE75" s="1118"/>
      <c r="BF75" s="1118"/>
      <c r="BG75" s="1118"/>
      <c r="BH75" s="1118"/>
      <c r="BI75" s="1118"/>
      <c r="BJ75" s="1118"/>
      <c r="BK75" s="1118"/>
      <c r="BL75" s="1119"/>
      <c r="BM75" s="694"/>
      <c r="BN75" s="1117"/>
      <c r="BO75" s="1118"/>
      <c r="BP75" s="1118"/>
      <c r="BQ75" s="1118"/>
      <c r="BR75" s="1118"/>
      <c r="BS75" s="1118"/>
      <c r="BT75" s="1118"/>
      <c r="BU75" s="1118"/>
      <c r="BV75" s="1119"/>
      <c r="BW75" s="1681"/>
      <c r="BX75" s="23"/>
      <c r="BY75" s="23"/>
      <c r="BZ75" s="23"/>
      <c r="CB75" s="28"/>
      <c r="CC75" s="28"/>
      <c r="CD75" s="28"/>
    </row>
    <row r="76" spans="2:82" ht="17.100000000000001" customHeight="1" x14ac:dyDescent="0.3">
      <c r="B76" s="23"/>
      <c r="D76" s="23"/>
      <c r="E76" s="1689">
        <f>IF(AND(F76="",G76&lt;&gt;""),1,0)</f>
        <v>1</v>
      </c>
      <c r="F76" s="1669" t="str">
        <f>IF(N76=$CC$26,$CC$28,"")</f>
        <v/>
      </c>
      <c r="G76" s="4536" t="s">
        <v>145</v>
      </c>
      <c r="H76" s="4536"/>
      <c r="I76" s="4536"/>
      <c r="J76" s="4536"/>
      <c r="K76" s="4536"/>
      <c r="L76" s="4536"/>
      <c r="M76" s="4536"/>
      <c r="N76" s="1684"/>
      <c r="O76" s="1689">
        <f>IF(AND(P76="",Q76&lt;&gt;""),1,0)</f>
        <v>1</v>
      </c>
      <c r="P76" s="1669" t="str">
        <f>IF(X76=$CC$26,$CC$28,"")</f>
        <v/>
      </c>
      <c r="Q76" s="4536" t="s">
        <v>2477</v>
      </c>
      <c r="R76" s="4536"/>
      <c r="S76" s="4536"/>
      <c r="T76" s="4536"/>
      <c r="U76" s="4536"/>
      <c r="V76" s="4536"/>
      <c r="W76" s="4536"/>
      <c r="X76" s="1684"/>
      <c r="Y76" s="1689">
        <f>IF(AND(Z76="",AA76&lt;&gt;""),1,0)</f>
        <v>1</v>
      </c>
      <c r="Z76" s="1669" t="str">
        <f>IF(AH76=$CC$26,$CC$28,"")</f>
        <v/>
      </c>
      <c r="AA76" s="4536" t="s">
        <v>560</v>
      </c>
      <c r="AB76" s="4536"/>
      <c r="AC76" s="4536"/>
      <c r="AD76" s="4536"/>
      <c r="AE76" s="4536"/>
      <c r="AF76" s="4536"/>
      <c r="AG76" s="4536"/>
      <c r="AH76" s="1684"/>
      <c r="AI76" s="1689">
        <f>IF(AND(AJ76="",AK76&lt;&gt;""),1,0)</f>
        <v>1</v>
      </c>
      <c r="AJ76" s="1669" t="str">
        <f>IF(AR76=$CC$26,$CC$28,"")</f>
        <v/>
      </c>
      <c r="AK76" s="4536" t="s">
        <v>154</v>
      </c>
      <c r="AL76" s="4536"/>
      <c r="AM76" s="4536"/>
      <c r="AN76" s="4536"/>
      <c r="AO76" s="4536"/>
      <c r="AP76" s="4536"/>
      <c r="AQ76" s="4536"/>
      <c r="AR76" s="1684"/>
      <c r="AS76" s="1689">
        <f>IF(AND(AT76="",AU76&lt;&gt;""),1,0)</f>
        <v>1</v>
      </c>
      <c r="AT76" s="1669" t="str">
        <f>IF(BB76=$CC$26,$CC$28,"")</f>
        <v/>
      </c>
      <c r="AU76" s="4536" t="s">
        <v>148</v>
      </c>
      <c r="AV76" s="4536"/>
      <c r="AW76" s="4536"/>
      <c r="AX76" s="4536"/>
      <c r="AY76" s="4536"/>
      <c r="AZ76" s="4536"/>
      <c r="BA76" s="4536"/>
      <c r="BB76" s="1684"/>
      <c r="BC76" s="1689">
        <f>IF(AND(BD76="",BE76&lt;&gt;""),1,0)</f>
        <v>1</v>
      </c>
      <c r="BD76" s="1669" t="str">
        <f>IF(BL76=$CC$26,$CC$28,"")</f>
        <v/>
      </c>
      <c r="BE76" s="4536" t="s">
        <v>2482</v>
      </c>
      <c r="BF76" s="4536"/>
      <c r="BG76" s="4536"/>
      <c r="BH76" s="4536"/>
      <c r="BI76" s="4536"/>
      <c r="BJ76" s="4536"/>
      <c r="BK76" s="4536"/>
      <c r="BL76" s="1684"/>
      <c r="BM76" s="1689">
        <f>IF(AND(BN76="",BO76&lt;&gt;""),1,0)</f>
        <v>1</v>
      </c>
      <c r="BN76" s="1669" t="str">
        <f>IF(BV76=$CC$26,$CC$28,"")</f>
        <v/>
      </c>
      <c r="BO76" s="4536" t="s">
        <v>146</v>
      </c>
      <c r="BP76" s="4536"/>
      <c r="BQ76" s="4536"/>
      <c r="BR76" s="4536"/>
      <c r="BS76" s="4536"/>
      <c r="BT76" s="4536"/>
      <c r="BU76" s="4536"/>
      <c r="BV76" s="1684"/>
      <c r="BW76" s="1681"/>
      <c r="BX76" s="23"/>
      <c r="BY76" s="23"/>
      <c r="BZ76" s="23"/>
      <c r="CB76" s="28"/>
      <c r="CC76" s="28"/>
      <c r="CD76" s="28"/>
    </row>
    <row r="77" spans="2:82" ht="17.100000000000001" customHeight="1" x14ac:dyDescent="0.3">
      <c r="B77" s="23"/>
      <c r="D77" s="23"/>
      <c r="E77" s="1689">
        <f>IF(AND(F77="",G77&lt;&gt;""),E76+1,0)</f>
        <v>2</v>
      </c>
      <c r="F77" s="1669" t="str">
        <f t="shared" ref="F77:F95" si="0">IF(N77=$CC$26,$CC$28,"")</f>
        <v/>
      </c>
      <c r="G77" s="4536" t="s">
        <v>147</v>
      </c>
      <c r="H77" s="4536"/>
      <c r="I77" s="4536"/>
      <c r="J77" s="4536"/>
      <c r="K77" s="4536"/>
      <c r="L77" s="4536"/>
      <c r="M77" s="4536"/>
      <c r="N77" s="1684"/>
      <c r="O77" s="1689">
        <f>IF(AND(P77="",Q77&lt;&gt;""),O76+1,0)</f>
        <v>2</v>
      </c>
      <c r="P77" s="1669" t="str">
        <f t="shared" ref="P77:P95" si="1">IF(X77=$CC$26,$CC$28,"")</f>
        <v/>
      </c>
      <c r="Q77" s="4536" t="s">
        <v>2475</v>
      </c>
      <c r="R77" s="4536"/>
      <c r="S77" s="4536"/>
      <c r="T77" s="4536"/>
      <c r="U77" s="4536"/>
      <c r="V77" s="4536"/>
      <c r="W77" s="4536"/>
      <c r="X77" s="1684"/>
      <c r="Y77" s="1689">
        <f>IF(AND(Z77="",AA77&lt;&gt;""),Y76+1,0)</f>
        <v>2</v>
      </c>
      <c r="Z77" s="1669" t="str">
        <f t="shared" ref="Z77:Z95" si="2">IF(AH77=$CC$26,$CC$28,"")</f>
        <v/>
      </c>
      <c r="AA77" s="4536" t="s">
        <v>559</v>
      </c>
      <c r="AB77" s="4536"/>
      <c r="AC77" s="4536"/>
      <c r="AD77" s="4536"/>
      <c r="AE77" s="4536"/>
      <c r="AF77" s="4536"/>
      <c r="AG77" s="4536"/>
      <c r="AH77" s="1684"/>
      <c r="AI77" s="1689">
        <f>IF(AND(AJ77="",AK77&lt;&gt;""),AI76+1,0)</f>
        <v>2</v>
      </c>
      <c r="AJ77" s="1669" t="str">
        <f t="shared" ref="AJ77:AJ95" si="3">IF(AR77=$CC$26,$CC$28,"")</f>
        <v/>
      </c>
      <c r="AK77" s="4536" t="s">
        <v>150</v>
      </c>
      <c r="AL77" s="4536"/>
      <c r="AM77" s="4536"/>
      <c r="AN77" s="4536"/>
      <c r="AO77" s="4536"/>
      <c r="AP77" s="4536"/>
      <c r="AQ77" s="4536"/>
      <c r="AR77" s="1684"/>
      <c r="AS77" s="1689">
        <f>IF(AND(AT77="",AU77&lt;&gt;""),AS76+1,0)</f>
        <v>2</v>
      </c>
      <c r="AT77" s="1669" t="str">
        <f t="shared" ref="AT77:AT95" si="4">IF(BB77=$CC$26,$CC$28,"")</f>
        <v/>
      </c>
      <c r="AU77" s="4536" t="s">
        <v>2480</v>
      </c>
      <c r="AV77" s="4536"/>
      <c r="AW77" s="4536"/>
      <c r="AX77" s="4536"/>
      <c r="AY77" s="4536"/>
      <c r="AZ77" s="4536"/>
      <c r="BA77" s="4536"/>
      <c r="BB77" s="1684"/>
      <c r="BC77" s="1689">
        <f>IF(AND(BD77="",BE77&lt;&gt;""),BC76+1,0)</f>
        <v>2</v>
      </c>
      <c r="BD77" s="1669" t="str">
        <f t="shared" ref="BD77:BD95" si="5">IF(BL77=$CC$26,$CC$28,"")</f>
        <v/>
      </c>
      <c r="BE77" s="4536" t="s">
        <v>149</v>
      </c>
      <c r="BF77" s="4536"/>
      <c r="BG77" s="4536"/>
      <c r="BH77" s="4536"/>
      <c r="BI77" s="4536"/>
      <c r="BJ77" s="4536"/>
      <c r="BK77" s="4536"/>
      <c r="BL77" s="1684"/>
      <c r="BM77" s="1689">
        <f>IF(AND(BN77="",BO77&lt;&gt;""),BM76+1,0)</f>
        <v>2</v>
      </c>
      <c r="BN77" s="1669" t="str">
        <f t="shared" ref="BN77:BN95" si="6">IF(BV77=$CC$26,$CC$28,"")</f>
        <v/>
      </c>
      <c r="BO77" s="4536" t="s">
        <v>307</v>
      </c>
      <c r="BP77" s="4536"/>
      <c r="BQ77" s="4536"/>
      <c r="BR77" s="4536"/>
      <c r="BS77" s="4536"/>
      <c r="BT77" s="4536"/>
      <c r="BU77" s="4536"/>
      <c r="BV77" s="1684"/>
      <c r="BW77" s="1681"/>
      <c r="BX77" s="23"/>
      <c r="CB77" s="28"/>
      <c r="CC77" s="28"/>
      <c r="CD77" s="28"/>
    </row>
    <row r="78" spans="2:82" ht="17.100000000000001" customHeight="1" x14ac:dyDescent="0.3">
      <c r="B78" s="23"/>
      <c r="D78" s="420"/>
      <c r="E78" s="1689">
        <f>IF(AND(F78="",G78&lt;&gt;""),MAX(E76:E77)+1,0)</f>
        <v>3</v>
      </c>
      <c r="F78" s="1669" t="str">
        <f t="shared" si="0"/>
        <v/>
      </c>
      <c r="G78" s="4536" t="s">
        <v>153</v>
      </c>
      <c r="H78" s="4536"/>
      <c r="I78" s="4536"/>
      <c r="J78" s="4536"/>
      <c r="K78" s="4536"/>
      <c r="L78" s="4536"/>
      <c r="M78" s="4536"/>
      <c r="N78" s="1684"/>
      <c r="O78" s="1689">
        <f>IF(AND(P78="",Q78&lt;&gt;""),MAX(O76:O77)+1,0)</f>
        <v>3</v>
      </c>
      <c r="P78" s="1669" t="str">
        <f t="shared" si="1"/>
        <v/>
      </c>
      <c r="Q78" s="4536" t="s">
        <v>2476</v>
      </c>
      <c r="R78" s="4536"/>
      <c r="S78" s="4536"/>
      <c r="T78" s="4536"/>
      <c r="U78" s="4536"/>
      <c r="V78" s="4536"/>
      <c r="W78" s="4536"/>
      <c r="X78" s="1684"/>
      <c r="Y78" s="1689">
        <f>IF(AND(Z78="",AA78&lt;&gt;""),MAX(Y76:Y77)+1,0)</f>
        <v>3</v>
      </c>
      <c r="Z78" s="1669" t="str">
        <f t="shared" si="2"/>
        <v/>
      </c>
      <c r="AA78" s="4536" t="s">
        <v>2478</v>
      </c>
      <c r="AB78" s="4536"/>
      <c r="AC78" s="4536"/>
      <c r="AD78" s="4536"/>
      <c r="AE78" s="4536"/>
      <c r="AF78" s="4536"/>
      <c r="AG78" s="4536"/>
      <c r="AH78" s="1684"/>
      <c r="AI78" s="1689">
        <f>IF(AND(AJ78="",AK78&lt;&gt;""),MAX(AI76:AI77)+1,0)</f>
        <v>3</v>
      </c>
      <c r="AJ78" s="1669" t="str">
        <f t="shared" si="3"/>
        <v/>
      </c>
      <c r="AK78" s="4536" t="s">
        <v>295</v>
      </c>
      <c r="AL78" s="4536"/>
      <c r="AM78" s="4536"/>
      <c r="AN78" s="4536"/>
      <c r="AO78" s="4536"/>
      <c r="AP78" s="4536"/>
      <c r="AQ78" s="4536"/>
      <c r="AR78" s="1684"/>
      <c r="AS78" s="1689">
        <f>IF(AND(AT78="",AU78&lt;&gt;""),MAX(AS76:AS77)+1,0)</f>
        <v>3</v>
      </c>
      <c r="AT78" s="1669" t="str">
        <f t="shared" si="4"/>
        <v/>
      </c>
      <c r="AU78" s="4536" t="s">
        <v>2481</v>
      </c>
      <c r="AV78" s="4536"/>
      <c r="AW78" s="4536"/>
      <c r="AX78" s="4536"/>
      <c r="AY78" s="4536"/>
      <c r="AZ78" s="4536"/>
      <c r="BA78" s="4536"/>
      <c r="BB78" s="1684"/>
      <c r="BC78" s="1689">
        <f>IF(AND(BD78="",BE78&lt;&gt;""),MAX(BC76:BC77)+1,0)</f>
        <v>3</v>
      </c>
      <c r="BD78" s="1669" t="str">
        <f t="shared" si="5"/>
        <v/>
      </c>
      <c r="BE78" s="4536" t="s">
        <v>152</v>
      </c>
      <c r="BF78" s="4536"/>
      <c r="BG78" s="4536"/>
      <c r="BH78" s="4536"/>
      <c r="BI78" s="4536"/>
      <c r="BJ78" s="4536"/>
      <c r="BK78" s="4536"/>
      <c r="BL78" s="1684"/>
      <c r="BM78" s="1689">
        <f>IF(AND(BN78="",BO78&lt;&gt;""),MAX(BM76:BM77)+1,0)</f>
        <v>3</v>
      </c>
      <c r="BN78" s="1669" t="str">
        <f t="shared" si="6"/>
        <v/>
      </c>
      <c r="BO78" s="4536" t="s">
        <v>151</v>
      </c>
      <c r="BP78" s="4536"/>
      <c r="BQ78" s="4536"/>
      <c r="BR78" s="4536"/>
      <c r="BS78" s="4536"/>
      <c r="BT78" s="4536"/>
      <c r="BU78" s="4536"/>
      <c r="BV78" s="1684"/>
      <c r="BW78" s="1681"/>
      <c r="BX78" s="23"/>
      <c r="CB78" s="28"/>
      <c r="CC78" s="28"/>
      <c r="CD78" s="28"/>
    </row>
    <row r="79" spans="2:82" ht="17.100000000000001" customHeight="1" x14ac:dyDescent="0.3">
      <c r="B79" s="23"/>
      <c r="D79" s="420"/>
      <c r="E79" s="1689">
        <f>IF(AND(F79="",G79&lt;&gt;""),MAX(E76:E78)+1,0)</f>
        <v>4</v>
      </c>
      <c r="F79" s="1669" t="str">
        <f t="shared" si="0"/>
        <v/>
      </c>
      <c r="G79" s="4536" t="s">
        <v>155</v>
      </c>
      <c r="H79" s="4536"/>
      <c r="I79" s="4536"/>
      <c r="J79" s="4536"/>
      <c r="K79" s="4536"/>
      <c r="L79" s="4536"/>
      <c r="M79" s="4536"/>
      <c r="N79" s="1684"/>
      <c r="O79" s="1689">
        <f>IF(AND(P79="",Q79&lt;&gt;""),MAX(O76:O78)+1,0)</f>
        <v>0</v>
      </c>
      <c r="P79" s="1669" t="str">
        <f t="shared" si="1"/>
        <v/>
      </c>
      <c r="Q79" s="4536"/>
      <c r="R79" s="4536"/>
      <c r="S79" s="4536"/>
      <c r="T79" s="4536"/>
      <c r="U79" s="4536"/>
      <c r="V79" s="4536"/>
      <c r="W79" s="4536"/>
      <c r="X79" s="1684"/>
      <c r="Y79" s="1689">
        <f>IF(AND(Z79="",AA79&lt;&gt;""),MAX(Y76:Y78)+1,0)</f>
        <v>4</v>
      </c>
      <c r="Z79" s="1669" t="str">
        <f t="shared" si="2"/>
        <v/>
      </c>
      <c r="AA79" s="4536" t="s">
        <v>907</v>
      </c>
      <c r="AB79" s="4536"/>
      <c r="AC79" s="4536"/>
      <c r="AD79" s="4536"/>
      <c r="AE79" s="4536"/>
      <c r="AF79" s="4536"/>
      <c r="AG79" s="4536"/>
      <c r="AH79" s="1684"/>
      <c r="AI79" s="1689">
        <f>IF(AND(AJ79="",AK79&lt;&gt;""),MAX(AI76:AI78)+1,0)</f>
        <v>0</v>
      </c>
      <c r="AJ79" s="1669" t="str">
        <f t="shared" si="3"/>
        <v/>
      </c>
      <c r="AK79" s="4536"/>
      <c r="AL79" s="4536"/>
      <c r="AM79" s="4536"/>
      <c r="AN79" s="4536"/>
      <c r="AO79" s="4536"/>
      <c r="AP79" s="4536"/>
      <c r="AQ79" s="4536"/>
      <c r="AR79" s="1684"/>
      <c r="AS79" s="1689">
        <f>IF(AND(AT79="",AU79&lt;&gt;""),MAX(AS76:AS78)+1,0)</f>
        <v>0</v>
      </c>
      <c r="AT79" s="1669" t="str">
        <f t="shared" si="4"/>
        <v/>
      </c>
      <c r="AU79" s="4536"/>
      <c r="AV79" s="4536"/>
      <c r="AW79" s="4536"/>
      <c r="AX79" s="4536"/>
      <c r="AY79" s="4536"/>
      <c r="AZ79" s="4536"/>
      <c r="BA79" s="4536"/>
      <c r="BB79" s="1684"/>
      <c r="BC79" s="1689">
        <f>IF(AND(BD79="",BE79&lt;&gt;""),MAX(BC76:BC78)+1,0)</f>
        <v>4</v>
      </c>
      <c r="BD79" s="1669" t="str">
        <f t="shared" si="5"/>
        <v/>
      </c>
      <c r="BE79" s="4536" t="s">
        <v>2483</v>
      </c>
      <c r="BF79" s="4536"/>
      <c r="BG79" s="4536"/>
      <c r="BH79" s="4536"/>
      <c r="BI79" s="4536"/>
      <c r="BJ79" s="4536"/>
      <c r="BK79" s="4536"/>
      <c r="BL79" s="1684"/>
      <c r="BM79" s="1689">
        <f>IF(AND(BN79="",BO79&lt;&gt;""),MAX(BM76:BM78)+1,0)</f>
        <v>4</v>
      </c>
      <c r="BN79" s="1669" t="str">
        <f t="shared" si="6"/>
        <v/>
      </c>
      <c r="BO79" s="4536" t="s">
        <v>410</v>
      </c>
      <c r="BP79" s="4536"/>
      <c r="BQ79" s="4536"/>
      <c r="BR79" s="4536"/>
      <c r="BS79" s="4536"/>
      <c r="BT79" s="4536"/>
      <c r="BU79" s="4536"/>
      <c r="BV79" s="1684"/>
      <c r="BW79" s="1681"/>
      <c r="BX79" s="23"/>
      <c r="CB79" s="28"/>
      <c r="CC79" s="28"/>
      <c r="CD79" s="28"/>
    </row>
    <row r="80" spans="2:82" ht="17.100000000000001" customHeight="1" x14ac:dyDescent="0.3">
      <c r="B80" s="23"/>
      <c r="D80" s="23"/>
      <c r="E80" s="1689">
        <f>IF(AND(F80="",G80&lt;&gt;""),MAX(E76:E79)+1,0)</f>
        <v>5</v>
      </c>
      <c r="F80" s="1669" t="str">
        <f t="shared" si="0"/>
        <v/>
      </c>
      <c r="G80" s="4536" t="s">
        <v>157</v>
      </c>
      <c r="H80" s="4536"/>
      <c r="I80" s="4536"/>
      <c r="J80" s="4536"/>
      <c r="K80" s="4536"/>
      <c r="L80" s="4536"/>
      <c r="M80" s="4536"/>
      <c r="N80" s="1684"/>
      <c r="O80" s="1689">
        <f>IF(AND(P80="",Q80&lt;&gt;""),MAX(O76:O79)+1,0)</f>
        <v>0</v>
      </c>
      <c r="P80" s="1669" t="str">
        <f t="shared" si="1"/>
        <v/>
      </c>
      <c r="Q80" s="4536"/>
      <c r="R80" s="4536"/>
      <c r="S80" s="4536"/>
      <c r="T80" s="4536"/>
      <c r="U80" s="4536"/>
      <c r="V80" s="4536"/>
      <c r="W80" s="4536"/>
      <c r="X80" s="1684"/>
      <c r="Y80" s="1689">
        <f>IF(AND(Z80="",AA80&lt;&gt;""),MAX(Y76:Y79)+1,0)</f>
        <v>5</v>
      </c>
      <c r="Z80" s="1669" t="str">
        <f t="shared" si="2"/>
        <v/>
      </c>
      <c r="AA80" s="4536" t="s">
        <v>2327</v>
      </c>
      <c r="AB80" s="4536"/>
      <c r="AC80" s="4536"/>
      <c r="AD80" s="4536"/>
      <c r="AE80" s="4536"/>
      <c r="AF80" s="4536"/>
      <c r="AG80" s="4536"/>
      <c r="AH80" s="1684"/>
      <c r="AI80" s="1689">
        <f>IF(AND(AJ80="",AK80&lt;&gt;""),MAX(AI76:AI79)+1,0)</f>
        <v>0</v>
      </c>
      <c r="AJ80" s="1669" t="str">
        <f t="shared" si="3"/>
        <v/>
      </c>
      <c r="AK80" s="4536"/>
      <c r="AL80" s="4536"/>
      <c r="AM80" s="4536"/>
      <c r="AN80" s="4536"/>
      <c r="AO80" s="4536"/>
      <c r="AP80" s="4536"/>
      <c r="AQ80" s="4536"/>
      <c r="AR80" s="1684"/>
      <c r="AS80" s="1689">
        <f>IF(AND(AT80="",AU80&lt;&gt;""),MAX(AS76:AS79)+1,0)</f>
        <v>0</v>
      </c>
      <c r="AT80" s="1669" t="str">
        <f t="shared" si="4"/>
        <v/>
      </c>
      <c r="AU80" s="4536"/>
      <c r="AV80" s="4536"/>
      <c r="AW80" s="4536"/>
      <c r="AX80" s="4536"/>
      <c r="AY80" s="4536"/>
      <c r="AZ80" s="4536"/>
      <c r="BA80" s="4536"/>
      <c r="BB80" s="1684"/>
      <c r="BC80" s="1689">
        <f>IF(AND(BD80="",BE80&lt;&gt;""),MAX(BC76:BC79)+1,0)</f>
        <v>5</v>
      </c>
      <c r="BD80" s="1669" t="str">
        <f t="shared" si="5"/>
        <v/>
      </c>
      <c r="BE80" s="4536" t="s">
        <v>156</v>
      </c>
      <c r="BF80" s="4536"/>
      <c r="BG80" s="4536"/>
      <c r="BH80" s="4536"/>
      <c r="BI80" s="4536"/>
      <c r="BJ80" s="4536"/>
      <c r="BK80" s="4536"/>
      <c r="BL80" s="1684"/>
      <c r="BM80" s="1689">
        <f>IF(AND(BN80="",BO80&lt;&gt;""),MAX(BM76:BM79)+1,0)</f>
        <v>5</v>
      </c>
      <c r="BN80" s="1669" t="str">
        <f t="shared" si="6"/>
        <v/>
      </c>
      <c r="BO80" s="4536" t="s">
        <v>2409</v>
      </c>
      <c r="BP80" s="4536"/>
      <c r="BQ80" s="4536"/>
      <c r="BR80" s="4536"/>
      <c r="BS80" s="4536"/>
      <c r="BT80" s="4536"/>
      <c r="BU80" s="4536"/>
      <c r="BV80" s="1684"/>
      <c r="BW80" s="1681"/>
      <c r="BX80" s="23"/>
      <c r="BY80" s="23"/>
      <c r="BZ80" s="23"/>
      <c r="CB80" s="28"/>
      <c r="CC80" s="28"/>
      <c r="CD80" s="28"/>
    </row>
    <row r="81" spans="2:82" ht="17.100000000000001" customHeight="1" x14ac:dyDescent="0.3">
      <c r="B81" s="23"/>
      <c r="D81" s="23"/>
      <c r="E81" s="1689">
        <f>IF(AND(F81="",G81&lt;&gt;""),MAX(E76:E80)+1,0)</f>
        <v>6</v>
      </c>
      <c r="F81" s="1669" t="str">
        <f t="shared" si="0"/>
        <v/>
      </c>
      <c r="G81" s="4536" t="s">
        <v>2474</v>
      </c>
      <c r="H81" s="4536"/>
      <c r="I81" s="4536"/>
      <c r="J81" s="4536"/>
      <c r="K81" s="4536"/>
      <c r="L81" s="4536"/>
      <c r="M81" s="4536"/>
      <c r="N81" s="1684"/>
      <c r="O81" s="1689">
        <f>IF(AND(P81="",Q81&lt;&gt;""),MAX(O76:O80)+1,0)</f>
        <v>0</v>
      </c>
      <c r="P81" s="1669" t="str">
        <f t="shared" si="1"/>
        <v/>
      </c>
      <c r="Q81" s="4536"/>
      <c r="R81" s="4536"/>
      <c r="S81" s="4536"/>
      <c r="T81" s="4536"/>
      <c r="U81" s="4536"/>
      <c r="V81" s="4536"/>
      <c r="W81" s="4536"/>
      <c r="X81" s="1684"/>
      <c r="Y81" s="1689">
        <f>IF(AND(Z81="",AA81&lt;&gt;""),MAX(Y76:Y80)+1,0)</f>
        <v>6</v>
      </c>
      <c r="Z81" s="1669" t="str">
        <f t="shared" si="2"/>
        <v/>
      </c>
      <c r="AA81" s="4536" t="s">
        <v>2479</v>
      </c>
      <c r="AB81" s="4536"/>
      <c r="AC81" s="4536"/>
      <c r="AD81" s="4536"/>
      <c r="AE81" s="4536"/>
      <c r="AF81" s="4536"/>
      <c r="AG81" s="4536"/>
      <c r="AH81" s="1684"/>
      <c r="AI81" s="1689">
        <f>IF(AND(AJ81="",AK81&lt;&gt;""),MAX(AI76:AI80)+1,0)</f>
        <v>0</v>
      </c>
      <c r="AJ81" s="1669" t="str">
        <f t="shared" si="3"/>
        <v/>
      </c>
      <c r="AK81" s="4536"/>
      <c r="AL81" s="4536"/>
      <c r="AM81" s="4536"/>
      <c r="AN81" s="4536"/>
      <c r="AO81" s="4536"/>
      <c r="AP81" s="4536"/>
      <c r="AQ81" s="4536"/>
      <c r="AR81" s="1684"/>
      <c r="AS81" s="1689">
        <f>IF(AND(AT81="",AU81&lt;&gt;""),MAX(AS76:AS80)+1,0)</f>
        <v>0</v>
      </c>
      <c r="AT81" s="1669" t="str">
        <f t="shared" si="4"/>
        <v/>
      </c>
      <c r="AU81" s="4536"/>
      <c r="AV81" s="4536"/>
      <c r="AW81" s="4536"/>
      <c r="AX81" s="4536"/>
      <c r="AY81" s="4536"/>
      <c r="AZ81" s="4536"/>
      <c r="BA81" s="4536"/>
      <c r="BB81" s="1684"/>
      <c r="BC81" s="1689">
        <f>IF(AND(BD81="",BE81&lt;&gt;""),MAX(BC76:BC80)+1,0)</f>
        <v>6</v>
      </c>
      <c r="BD81" s="1669" t="str">
        <f t="shared" si="5"/>
        <v/>
      </c>
      <c r="BE81" s="4536" t="s">
        <v>158</v>
      </c>
      <c r="BF81" s="4536"/>
      <c r="BG81" s="4536"/>
      <c r="BH81" s="4536"/>
      <c r="BI81" s="4536"/>
      <c r="BJ81" s="4536"/>
      <c r="BK81" s="4536"/>
      <c r="BL81" s="1684"/>
      <c r="BM81" s="1689">
        <f>IF(AND(BN81="",BO81&lt;&gt;""),MAX(BM76:BM80)+1,0)</f>
        <v>6</v>
      </c>
      <c r="BN81" s="1669" t="str">
        <f t="shared" si="6"/>
        <v/>
      </c>
      <c r="BO81" s="4536" t="s">
        <v>2486</v>
      </c>
      <c r="BP81" s="4536"/>
      <c r="BQ81" s="4536"/>
      <c r="BR81" s="4536"/>
      <c r="BS81" s="4536"/>
      <c r="BT81" s="4536"/>
      <c r="BU81" s="4536"/>
      <c r="BV81" s="1684"/>
      <c r="BW81" s="1681"/>
      <c r="BX81" s="23"/>
      <c r="BY81" s="23"/>
      <c r="BZ81" s="23"/>
      <c r="CB81" s="28"/>
      <c r="CC81" s="28"/>
      <c r="CD81" s="28"/>
    </row>
    <row r="82" spans="2:82" ht="17.100000000000001" customHeight="1" x14ac:dyDescent="0.3">
      <c r="B82" s="23"/>
      <c r="D82" s="23"/>
      <c r="E82" s="1689">
        <f>IF(AND(F82="",G82&lt;&gt;""),MAX(E76:E81)+1,0)</f>
        <v>0</v>
      </c>
      <c r="F82" s="1669" t="str">
        <f t="shared" si="0"/>
        <v/>
      </c>
      <c r="G82" s="4536"/>
      <c r="H82" s="4536"/>
      <c r="I82" s="4536"/>
      <c r="J82" s="4536"/>
      <c r="K82" s="4536"/>
      <c r="L82" s="4536"/>
      <c r="M82" s="4536"/>
      <c r="N82" s="1684"/>
      <c r="O82" s="1689">
        <f>IF(AND(P82="",Q82&lt;&gt;""),MAX(O76:O81)+1,0)</f>
        <v>0</v>
      </c>
      <c r="P82" s="1669" t="str">
        <f t="shared" si="1"/>
        <v/>
      </c>
      <c r="Q82" s="4536"/>
      <c r="R82" s="4536"/>
      <c r="S82" s="4536"/>
      <c r="T82" s="4536"/>
      <c r="U82" s="4536"/>
      <c r="V82" s="4536"/>
      <c r="W82" s="4536"/>
      <c r="X82" s="1684"/>
      <c r="Y82" s="1689">
        <f>IF(AND(Z82="",AA82&lt;&gt;""),MAX(Y76:Y81)+1,0)</f>
        <v>0</v>
      </c>
      <c r="Z82" s="1669" t="str">
        <f t="shared" si="2"/>
        <v/>
      </c>
      <c r="AA82" s="4536"/>
      <c r="AB82" s="4536"/>
      <c r="AC82" s="4536"/>
      <c r="AD82" s="4536"/>
      <c r="AE82" s="4536"/>
      <c r="AF82" s="4536"/>
      <c r="AG82" s="4536"/>
      <c r="AH82" s="1684"/>
      <c r="AI82" s="1689">
        <f>IF(AND(AJ82="",AK82&lt;&gt;""),MAX(AI76:AI81)+1,0)</f>
        <v>0</v>
      </c>
      <c r="AJ82" s="1669" t="str">
        <f t="shared" si="3"/>
        <v/>
      </c>
      <c r="AK82" s="4536"/>
      <c r="AL82" s="4536"/>
      <c r="AM82" s="4536"/>
      <c r="AN82" s="4536"/>
      <c r="AO82" s="4536"/>
      <c r="AP82" s="4536"/>
      <c r="AQ82" s="4536"/>
      <c r="AR82" s="1684"/>
      <c r="AS82" s="1689">
        <f>IF(AND(AT82="",AU82&lt;&gt;""),MAX(AS76:AS81)+1,0)</f>
        <v>0</v>
      </c>
      <c r="AT82" s="1669" t="str">
        <f t="shared" si="4"/>
        <v/>
      </c>
      <c r="AU82" s="4536"/>
      <c r="AV82" s="4536"/>
      <c r="AW82" s="4536"/>
      <c r="AX82" s="4536"/>
      <c r="AY82" s="4536"/>
      <c r="AZ82" s="4536"/>
      <c r="BA82" s="4536"/>
      <c r="BB82" s="1684"/>
      <c r="BC82" s="1689">
        <f>IF(AND(BD82="",BE82&lt;&gt;""),MAX(BC76:BC81)+1,0)</f>
        <v>7</v>
      </c>
      <c r="BD82" s="1669" t="str">
        <f t="shared" si="5"/>
        <v/>
      </c>
      <c r="BE82" s="4536" t="s">
        <v>2484</v>
      </c>
      <c r="BF82" s="4536"/>
      <c r="BG82" s="4536"/>
      <c r="BH82" s="4536"/>
      <c r="BI82" s="4536"/>
      <c r="BJ82" s="4536"/>
      <c r="BK82" s="4536"/>
      <c r="BL82" s="1684"/>
      <c r="BM82" s="1689">
        <f>IF(AND(BN82="",BO82&lt;&gt;""),MAX(BM76:BM81)+1,0)</f>
        <v>7</v>
      </c>
      <c r="BN82" s="1669" t="str">
        <f t="shared" si="6"/>
        <v/>
      </c>
      <c r="BO82" s="4536" t="s">
        <v>2487</v>
      </c>
      <c r="BP82" s="4536"/>
      <c r="BQ82" s="4536"/>
      <c r="BR82" s="4536"/>
      <c r="BS82" s="4536"/>
      <c r="BT82" s="4536"/>
      <c r="BU82" s="4536"/>
      <c r="BV82" s="1684"/>
      <c r="BW82" s="1681"/>
      <c r="BX82" s="23"/>
      <c r="BY82" s="23"/>
      <c r="BZ82" s="23"/>
      <c r="CB82" s="28"/>
      <c r="CC82" s="28"/>
      <c r="CD82" s="28"/>
    </row>
    <row r="83" spans="2:82" ht="17.100000000000001" customHeight="1" x14ac:dyDescent="0.3">
      <c r="B83" s="23"/>
      <c r="D83" s="23"/>
      <c r="E83" s="1689">
        <f>IF(AND(F83="",G83&lt;&gt;""),MAX(E76:E82)+1,0)</f>
        <v>0</v>
      </c>
      <c r="F83" s="1669" t="str">
        <f t="shared" si="0"/>
        <v/>
      </c>
      <c r="G83" s="4536"/>
      <c r="H83" s="4536"/>
      <c r="I83" s="4536"/>
      <c r="J83" s="4536"/>
      <c r="K83" s="4536"/>
      <c r="L83" s="4536"/>
      <c r="M83" s="4536"/>
      <c r="N83" s="1684"/>
      <c r="O83" s="1689">
        <f>IF(AND(P83="",Q83&lt;&gt;""),MAX(O76:O82)+1,0)</f>
        <v>0</v>
      </c>
      <c r="P83" s="1669" t="str">
        <f t="shared" si="1"/>
        <v/>
      </c>
      <c r="Q83" s="4536"/>
      <c r="R83" s="4536"/>
      <c r="S83" s="4536"/>
      <c r="T83" s="4536"/>
      <c r="U83" s="4536"/>
      <c r="V83" s="4536"/>
      <c r="W83" s="4536"/>
      <c r="X83" s="1684"/>
      <c r="Y83" s="1689">
        <f>IF(AND(Z83="",AA83&lt;&gt;""),MAX(Y76:Y82)+1,0)</f>
        <v>0</v>
      </c>
      <c r="Z83" s="1669" t="str">
        <f t="shared" si="2"/>
        <v/>
      </c>
      <c r="AA83" s="4536"/>
      <c r="AB83" s="4536"/>
      <c r="AC83" s="4536"/>
      <c r="AD83" s="4536"/>
      <c r="AE83" s="4536"/>
      <c r="AF83" s="4536"/>
      <c r="AG83" s="4536"/>
      <c r="AH83" s="1684"/>
      <c r="AI83" s="1689">
        <f>IF(AND(AJ83="",AK83&lt;&gt;""),MAX(AI76:AI82)+1,0)</f>
        <v>0</v>
      </c>
      <c r="AJ83" s="1669" t="str">
        <f t="shared" si="3"/>
        <v/>
      </c>
      <c r="AK83" s="4536"/>
      <c r="AL83" s="4536"/>
      <c r="AM83" s="4536"/>
      <c r="AN83" s="4536"/>
      <c r="AO83" s="4536"/>
      <c r="AP83" s="4536"/>
      <c r="AQ83" s="4536"/>
      <c r="AR83" s="1684"/>
      <c r="AS83" s="1689">
        <f>IF(AND(AT83="",AU83&lt;&gt;""),MAX(AS76:AS82)+1,0)</f>
        <v>0</v>
      </c>
      <c r="AT83" s="1669" t="str">
        <f t="shared" si="4"/>
        <v/>
      </c>
      <c r="AU83" s="4536"/>
      <c r="AV83" s="4536"/>
      <c r="AW83" s="4536"/>
      <c r="AX83" s="4536"/>
      <c r="AY83" s="4536"/>
      <c r="AZ83" s="4536"/>
      <c r="BA83" s="4536"/>
      <c r="BB83" s="1684"/>
      <c r="BC83" s="1689">
        <f>IF(AND(BD83="",BE83&lt;&gt;""),MAX(BC76:BC82)+1,0)</f>
        <v>8</v>
      </c>
      <c r="BD83" s="1669" t="str">
        <f t="shared" si="5"/>
        <v/>
      </c>
      <c r="BE83" s="4536" t="s">
        <v>2485</v>
      </c>
      <c r="BF83" s="4536"/>
      <c r="BG83" s="4536"/>
      <c r="BH83" s="4536"/>
      <c r="BI83" s="4536"/>
      <c r="BJ83" s="4536"/>
      <c r="BK83" s="4536"/>
      <c r="BL83" s="1684"/>
      <c r="BM83" s="1689">
        <f>IF(AND(BN83="",BO83&lt;&gt;""),MAX(BM76:BM82)+1,0)</f>
        <v>8</v>
      </c>
      <c r="BN83" s="1669" t="str">
        <f t="shared" si="6"/>
        <v/>
      </c>
      <c r="BO83" s="4536" t="s">
        <v>2488</v>
      </c>
      <c r="BP83" s="4536"/>
      <c r="BQ83" s="4536"/>
      <c r="BR83" s="4536"/>
      <c r="BS83" s="4536"/>
      <c r="BT83" s="4536"/>
      <c r="BU83" s="4536"/>
      <c r="BV83" s="1684"/>
      <c r="BW83" s="1681"/>
      <c r="BX83" s="23"/>
      <c r="BY83" s="23"/>
      <c r="BZ83" s="23"/>
      <c r="CB83" s="28"/>
      <c r="CC83" s="28"/>
      <c r="CD83" s="28"/>
    </row>
    <row r="84" spans="2:82" ht="17.100000000000001" customHeight="1" x14ac:dyDescent="0.3">
      <c r="B84" s="23"/>
      <c r="D84" s="23"/>
      <c r="E84" s="1689">
        <f>IF(AND(F84="",G84&lt;&gt;""),MAX(E76:E83)+1,0)</f>
        <v>0</v>
      </c>
      <c r="F84" s="1669" t="str">
        <f t="shared" si="0"/>
        <v/>
      </c>
      <c r="G84" s="4536"/>
      <c r="H84" s="4536"/>
      <c r="I84" s="4536"/>
      <c r="J84" s="4536"/>
      <c r="K84" s="4536"/>
      <c r="L84" s="4536"/>
      <c r="M84" s="4536"/>
      <c r="N84" s="1684"/>
      <c r="O84" s="1689">
        <f>IF(AND(P84="",Q84&lt;&gt;""),MAX(O76:O83)+1,0)</f>
        <v>0</v>
      </c>
      <c r="P84" s="1669" t="str">
        <f t="shared" si="1"/>
        <v/>
      </c>
      <c r="Q84" s="4536"/>
      <c r="R84" s="4536"/>
      <c r="S84" s="4536"/>
      <c r="T84" s="4536"/>
      <c r="U84" s="4536"/>
      <c r="V84" s="4536"/>
      <c r="W84" s="4536"/>
      <c r="X84" s="1684"/>
      <c r="Y84" s="1689">
        <f>IF(AND(Z84="",AA84&lt;&gt;""),MAX(Y76:Y83)+1,0)</f>
        <v>0</v>
      </c>
      <c r="Z84" s="1669" t="str">
        <f t="shared" si="2"/>
        <v/>
      </c>
      <c r="AA84" s="4536"/>
      <c r="AB84" s="4536"/>
      <c r="AC84" s="4536"/>
      <c r="AD84" s="4536"/>
      <c r="AE84" s="4536"/>
      <c r="AF84" s="4536"/>
      <c r="AG84" s="4536"/>
      <c r="AH84" s="1684"/>
      <c r="AI84" s="1689">
        <f>IF(AND(AJ84="",AK84&lt;&gt;""),MAX(AI76:AI83)+1,0)</f>
        <v>0</v>
      </c>
      <c r="AJ84" s="1669" t="str">
        <f t="shared" si="3"/>
        <v/>
      </c>
      <c r="AK84" s="4536"/>
      <c r="AL84" s="4536"/>
      <c r="AM84" s="4536"/>
      <c r="AN84" s="4536"/>
      <c r="AO84" s="4536"/>
      <c r="AP84" s="4536"/>
      <c r="AQ84" s="4536"/>
      <c r="AR84" s="1684"/>
      <c r="AS84" s="1689">
        <f>IF(AND(AT84="",AU84&lt;&gt;""),MAX(AS76:AS83)+1,0)</f>
        <v>0</v>
      </c>
      <c r="AT84" s="1669" t="str">
        <f t="shared" si="4"/>
        <v/>
      </c>
      <c r="AU84" s="4536"/>
      <c r="AV84" s="4536"/>
      <c r="AW84" s="4536"/>
      <c r="AX84" s="4536"/>
      <c r="AY84" s="4536"/>
      <c r="AZ84" s="4536"/>
      <c r="BA84" s="4536"/>
      <c r="BB84" s="1684"/>
      <c r="BC84" s="1689">
        <f>IF(AND(BD84="",BE84&lt;&gt;""),MAX(BC76:BC83)+1,0)</f>
        <v>0</v>
      </c>
      <c r="BD84" s="1669" t="str">
        <f t="shared" si="5"/>
        <v/>
      </c>
      <c r="BE84" s="4536"/>
      <c r="BF84" s="4536"/>
      <c r="BG84" s="4536"/>
      <c r="BH84" s="4536"/>
      <c r="BI84" s="4536"/>
      <c r="BJ84" s="4536"/>
      <c r="BK84" s="4536"/>
      <c r="BL84" s="1684"/>
      <c r="BM84" s="1689">
        <f>IF(AND(BN84="",BO84&lt;&gt;""),MAX(BM76:BM83)+1,0)</f>
        <v>9</v>
      </c>
      <c r="BN84" s="1669" t="str">
        <f t="shared" si="6"/>
        <v/>
      </c>
      <c r="BO84" s="4536" t="s">
        <v>2489</v>
      </c>
      <c r="BP84" s="4536"/>
      <c r="BQ84" s="4536"/>
      <c r="BR84" s="4536"/>
      <c r="BS84" s="4536"/>
      <c r="BT84" s="4536"/>
      <c r="BU84" s="4536"/>
      <c r="BV84" s="1684"/>
      <c r="BW84" s="1681"/>
      <c r="BX84" s="23"/>
      <c r="BY84" s="23"/>
      <c r="BZ84" s="23"/>
      <c r="CB84" s="28"/>
      <c r="CC84" s="28"/>
      <c r="CD84" s="28"/>
    </row>
    <row r="85" spans="2:82" ht="17.100000000000001" customHeight="1" x14ac:dyDescent="0.3">
      <c r="B85" s="23"/>
      <c r="D85" s="23"/>
      <c r="E85" s="1689">
        <f>IF(AND(F85="",G85&lt;&gt;""),MAX(E76:E84)+1,0)</f>
        <v>0</v>
      </c>
      <c r="F85" s="1669" t="str">
        <f t="shared" si="0"/>
        <v/>
      </c>
      <c r="G85" s="4536"/>
      <c r="H85" s="4536"/>
      <c r="I85" s="4536"/>
      <c r="J85" s="4536"/>
      <c r="K85" s="4536"/>
      <c r="L85" s="4536"/>
      <c r="M85" s="4536"/>
      <c r="N85" s="1684"/>
      <c r="O85" s="1689">
        <f>IF(AND(P85="",Q85&lt;&gt;""),MAX(O76:O84)+1,0)</f>
        <v>0</v>
      </c>
      <c r="P85" s="1669" t="str">
        <f t="shared" si="1"/>
        <v/>
      </c>
      <c r="Q85" s="4536"/>
      <c r="R85" s="4536"/>
      <c r="S85" s="4536"/>
      <c r="T85" s="4536"/>
      <c r="U85" s="4536"/>
      <c r="V85" s="4536"/>
      <c r="W85" s="4536"/>
      <c r="X85" s="1684"/>
      <c r="Y85" s="1689">
        <f>IF(AND(Z85="",AA85&lt;&gt;""),MAX(Y76:Y84)+1,0)</f>
        <v>0</v>
      </c>
      <c r="Z85" s="1669" t="str">
        <f t="shared" si="2"/>
        <v/>
      </c>
      <c r="AA85" s="4536"/>
      <c r="AB85" s="4536"/>
      <c r="AC85" s="4536"/>
      <c r="AD85" s="4536"/>
      <c r="AE85" s="4536"/>
      <c r="AF85" s="4536"/>
      <c r="AG85" s="4536"/>
      <c r="AH85" s="1684"/>
      <c r="AI85" s="1689">
        <f>IF(AND(AJ85="",AK85&lt;&gt;""),MAX(AI76:AI84)+1,0)</f>
        <v>0</v>
      </c>
      <c r="AJ85" s="1669" t="str">
        <f t="shared" si="3"/>
        <v/>
      </c>
      <c r="AK85" s="4536"/>
      <c r="AL85" s="4536"/>
      <c r="AM85" s="4536"/>
      <c r="AN85" s="4536"/>
      <c r="AO85" s="4536"/>
      <c r="AP85" s="4536"/>
      <c r="AQ85" s="4536"/>
      <c r="AR85" s="1684"/>
      <c r="AS85" s="1689">
        <f>IF(AND(AT85="",AU85&lt;&gt;""),MAX(AS76:AS84)+1,0)</f>
        <v>0</v>
      </c>
      <c r="AT85" s="1669" t="str">
        <f t="shared" si="4"/>
        <v/>
      </c>
      <c r="AU85" s="4536"/>
      <c r="AV85" s="4536"/>
      <c r="AW85" s="4536"/>
      <c r="AX85" s="4536"/>
      <c r="AY85" s="4536"/>
      <c r="AZ85" s="4536"/>
      <c r="BA85" s="4536"/>
      <c r="BB85" s="1684"/>
      <c r="BC85" s="1689">
        <f>IF(AND(BD85="",BE85&lt;&gt;""),MAX(BC76:BC84)+1,0)</f>
        <v>0</v>
      </c>
      <c r="BD85" s="1669" t="str">
        <f t="shared" si="5"/>
        <v/>
      </c>
      <c r="BE85" s="4536"/>
      <c r="BF85" s="4536"/>
      <c r="BG85" s="4536"/>
      <c r="BH85" s="4536"/>
      <c r="BI85" s="4536"/>
      <c r="BJ85" s="4536"/>
      <c r="BK85" s="4536"/>
      <c r="BL85" s="1684"/>
      <c r="BM85" s="1689">
        <f>IF(AND(BN85="",BO85&lt;&gt;""),MAX(BM76:BM84)+1,0)</f>
        <v>0</v>
      </c>
      <c r="BN85" s="1669" t="str">
        <f t="shared" si="6"/>
        <v/>
      </c>
      <c r="BO85" s="4536"/>
      <c r="BP85" s="4536"/>
      <c r="BQ85" s="4536"/>
      <c r="BR85" s="4536"/>
      <c r="BS85" s="4536"/>
      <c r="BT85" s="4536"/>
      <c r="BU85" s="4536"/>
      <c r="BV85" s="1684"/>
      <c r="BW85" s="1681"/>
      <c r="BX85" s="23"/>
      <c r="BY85" s="23"/>
      <c r="BZ85" s="23"/>
      <c r="CB85" s="28"/>
      <c r="CC85" s="28"/>
      <c r="CD85" s="28"/>
    </row>
    <row r="86" spans="2:82" ht="17.100000000000001" customHeight="1" x14ac:dyDescent="0.3">
      <c r="B86" s="23"/>
      <c r="D86" s="23"/>
      <c r="E86" s="1689">
        <f>IF(AND(F86="",G86&lt;&gt;""),MAX(E76:E85)+1,0)</f>
        <v>0</v>
      </c>
      <c r="F86" s="1669" t="str">
        <f t="shared" si="0"/>
        <v/>
      </c>
      <c r="G86" s="4536"/>
      <c r="H86" s="4536"/>
      <c r="I86" s="4536"/>
      <c r="J86" s="4536"/>
      <c r="K86" s="4536"/>
      <c r="L86" s="4536"/>
      <c r="M86" s="4536"/>
      <c r="N86" s="1684"/>
      <c r="O86" s="1689">
        <f>IF(AND(P86="",Q86&lt;&gt;""),MAX(O76:O85)+1,0)</f>
        <v>0</v>
      </c>
      <c r="P86" s="1669" t="str">
        <f t="shared" si="1"/>
        <v/>
      </c>
      <c r="Q86" s="4536"/>
      <c r="R86" s="4536"/>
      <c r="S86" s="4536"/>
      <c r="T86" s="4536"/>
      <c r="U86" s="4536"/>
      <c r="V86" s="4536"/>
      <c r="W86" s="4536"/>
      <c r="X86" s="1684"/>
      <c r="Y86" s="1689">
        <f>IF(AND(Z86="",AA86&lt;&gt;""),MAX(Y76:Y85)+1,0)</f>
        <v>0</v>
      </c>
      <c r="Z86" s="1669" t="str">
        <f t="shared" si="2"/>
        <v/>
      </c>
      <c r="AA86" s="4536"/>
      <c r="AB86" s="4536"/>
      <c r="AC86" s="4536"/>
      <c r="AD86" s="4536"/>
      <c r="AE86" s="4536"/>
      <c r="AF86" s="4536"/>
      <c r="AG86" s="4536"/>
      <c r="AH86" s="1684"/>
      <c r="AI86" s="1689">
        <f>IF(AND(AJ86="",AK86&lt;&gt;""),MAX(AI76:AI85)+1,0)</f>
        <v>0</v>
      </c>
      <c r="AJ86" s="1669" t="str">
        <f t="shared" si="3"/>
        <v/>
      </c>
      <c r="AK86" s="4536"/>
      <c r="AL86" s="4536"/>
      <c r="AM86" s="4536"/>
      <c r="AN86" s="4536"/>
      <c r="AO86" s="4536"/>
      <c r="AP86" s="4536"/>
      <c r="AQ86" s="4536"/>
      <c r="AR86" s="1684"/>
      <c r="AS86" s="1689">
        <f>IF(AND(AT86="",AU86&lt;&gt;""),MAX(AS76:AS85)+1,0)</f>
        <v>0</v>
      </c>
      <c r="AT86" s="1669" t="str">
        <f t="shared" si="4"/>
        <v/>
      </c>
      <c r="AU86" s="4536"/>
      <c r="AV86" s="4536"/>
      <c r="AW86" s="4536"/>
      <c r="AX86" s="4536"/>
      <c r="AY86" s="4536"/>
      <c r="AZ86" s="4536"/>
      <c r="BA86" s="4536"/>
      <c r="BB86" s="1684"/>
      <c r="BC86" s="1689">
        <f>IF(AND(BD86="",BE86&lt;&gt;""),MAX(BC76:BC85)+1,0)</f>
        <v>0</v>
      </c>
      <c r="BD86" s="1669" t="str">
        <f t="shared" si="5"/>
        <v/>
      </c>
      <c r="BE86" s="4536"/>
      <c r="BF86" s="4536"/>
      <c r="BG86" s="4536"/>
      <c r="BH86" s="4536"/>
      <c r="BI86" s="4536"/>
      <c r="BJ86" s="4536"/>
      <c r="BK86" s="4536"/>
      <c r="BL86" s="1684"/>
      <c r="BM86" s="1689">
        <f>IF(AND(BN86="",BO86&lt;&gt;""),MAX(BM76:BM85)+1,0)</f>
        <v>0</v>
      </c>
      <c r="BN86" s="1669" t="str">
        <f t="shared" si="6"/>
        <v/>
      </c>
      <c r="BO86" s="4536"/>
      <c r="BP86" s="4536"/>
      <c r="BQ86" s="4536"/>
      <c r="BR86" s="4536"/>
      <c r="BS86" s="4536"/>
      <c r="BT86" s="4536"/>
      <c r="BU86" s="4536"/>
      <c r="BV86" s="1684"/>
      <c r="BW86" s="1681"/>
      <c r="BX86" s="23"/>
      <c r="BY86" s="23"/>
      <c r="BZ86" s="23"/>
      <c r="CB86" s="28"/>
      <c r="CC86" s="28"/>
      <c r="CD86" s="28"/>
    </row>
    <row r="87" spans="2:82" ht="17.100000000000001" customHeight="1" x14ac:dyDescent="0.3">
      <c r="B87" s="23"/>
      <c r="D87" s="23"/>
      <c r="E87" s="1689">
        <f>IF(AND(F87="",G87&lt;&gt;""),MAX(E76:E86)+1,0)</f>
        <v>0</v>
      </c>
      <c r="F87" s="1669" t="str">
        <f t="shared" si="0"/>
        <v/>
      </c>
      <c r="G87" s="4536"/>
      <c r="H87" s="4536"/>
      <c r="I87" s="4536"/>
      <c r="J87" s="4536"/>
      <c r="K87" s="4536"/>
      <c r="L87" s="4536"/>
      <c r="M87" s="4536"/>
      <c r="N87" s="1684"/>
      <c r="O87" s="1689">
        <f>IF(AND(P87="",Q87&lt;&gt;""),MAX(O76:O86)+1,0)</f>
        <v>0</v>
      </c>
      <c r="P87" s="1669" t="str">
        <f t="shared" si="1"/>
        <v/>
      </c>
      <c r="Q87" s="4536"/>
      <c r="R87" s="4536"/>
      <c r="S87" s="4536"/>
      <c r="T87" s="4536"/>
      <c r="U87" s="4536"/>
      <c r="V87" s="4536"/>
      <c r="W87" s="4536"/>
      <c r="X87" s="1684"/>
      <c r="Y87" s="1689">
        <f>IF(AND(Z87="",AA87&lt;&gt;""),MAX(Y76:Y86)+1,0)</f>
        <v>0</v>
      </c>
      <c r="Z87" s="1669" t="str">
        <f t="shared" si="2"/>
        <v/>
      </c>
      <c r="AA87" s="4536"/>
      <c r="AB87" s="4536"/>
      <c r="AC87" s="4536"/>
      <c r="AD87" s="4536"/>
      <c r="AE87" s="4536"/>
      <c r="AF87" s="4536"/>
      <c r="AG87" s="4536"/>
      <c r="AH87" s="1684"/>
      <c r="AI87" s="1689">
        <f>IF(AND(AJ87="",AK87&lt;&gt;""),MAX(AI76:AI86)+1,0)</f>
        <v>0</v>
      </c>
      <c r="AJ87" s="1669" t="str">
        <f t="shared" si="3"/>
        <v/>
      </c>
      <c r="AK87" s="4536"/>
      <c r="AL87" s="4536"/>
      <c r="AM87" s="4536"/>
      <c r="AN87" s="4536"/>
      <c r="AO87" s="4536"/>
      <c r="AP87" s="4536"/>
      <c r="AQ87" s="4536"/>
      <c r="AR87" s="1684"/>
      <c r="AS87" s="1689">
        <f>IF(AND(AT87="",AU87&lt;&gt;""),MAX(AS76:AS86)+1,0)</f>
        <v>0</v>
      </c>
      <c r="AT87" s="1669" t="str">
        <f t="shared" si="4"/>
        <v/>
      </c>
      <c r="AU87" s="4536"/>
      <c r="AV87" s="4536"/>
      <c r="AW87" s="4536"/>
      <c r="AX87" s="4536"/>
      <c r="AY87" s="4536"/>
      <c r="AZ87" s="4536"/>
      <c r="BA87" s="4536"/>
      <c r="BB87" s="1684"/>
      <c r="BC87" s="1689">
        <f>IF(AND(BD87="",BE87&lt;&gt;""),MAX(BC76:BC86)+1,0)</f>
        <v>0</v>
      </c>
      <c r="BD87" s="1669" t="str">
        <f t="shared" si="5"/>
        <v/>
      </c>
      <c r="BE87" s="4536"/>
      <c r="BF87" s="4536"/>
      <c r="BG87" s="4536"/>
      <c r="BH87" s="4536"/>
      <c r="BI87" s="4536"/>
      <c r="BJ87" s="4536"/>
      <c r="BK87" s="4536"/>
      <c r="BL87" s="1684"/>
      <c r="BM87" s="1689">
        <f>IF(AND(BN87="",BO87&lt;&gt;""),MAX(BM76:BM86)+1,0)</f>
        <v>0</v>
      </c>
      <c r="BN87" s="1669" t="str">
        <f t="shared" si="6"/>
        <v/>
      </c>
      <c r="BO87" s="4536"/>
      <c r="BP87" s="4536"/>
      <c r="BQ87" s="4536"/>
      <c r="BR87" s="4536"/>
      <c r="BS87" s="4536"/>
      <c r="BT87" s="4536"/>
      <c r="BU87" s="4536"/>
      <c r="BV87" s="1684"/>
      <c r="BW87" s="1681"/>
      <c r="BX87" s="23"/>
      <c r="BY87" s="23"/>
      <c r="BZ87" s="23"/>
      <c r="CB87" s="28"/>
      <c r="CC87" s="28"/>
      <c r="CD87" s="28"/>
    </row>
    <row r="88" spans="2:82" ht="17.100000000000001" customHeight="1" x14ac:dyDescent="0.3">
      <c r="B88" s="23"/>
      <c r="D88" s="23"/>
      <c r="E88" s="1689">
        <f>IF(AND(F88="",G88&lt;&gt;""),MAX(E76:E87)+1,0)</f>
        <v>0</v>
      </c>
      <c r="F88" s="1669" t="str">
        <f t="shared" si="0"/>
        <v/>
      </c>
      <c r="G88" s="4536"/>
      <c r="H88" s="4536"/>
      <c r="I88" s="4536"/>
      <c r="J88" s="4536"/>
      <c r="K88" s="4536"/>
      <c r="L88" s="4536"/>
      <c r="M88" s="4536"/>
      <c r="N88" s="1684"/>
      <c r="O88" s="1689">
        <f>IF(AND(P88="",Q88&lt;&gt;""),MAX(O76:O87)+1,0)</f>
        <v>0</v>
      </c>
      <c r="P88" s="1669" t="str">
        <f t="shared" si="1"/>
        <v/>
      </c>
      <c r="Q88" s="4536"/>
      <c r="R88" s="4536"/>
      <c r="S88" s="4536"/>
      <c r="T88" s="4536"/>
      <c r="U88" s="4536"/>
      <c r="V88" s="4536"/>
      <c r="W88" s="4536"/>
      <c r="X88" s="1684"/>
      <c r="Y88" s="1689">
        <f>IF(AND(Z88="",AA88&lt;&gt;""),MAX(Y76:Y87)+1,0)</f>
        <v>0</v>
      </c>
      <c r="Z88" s="1669" t="str">
        <f t="shared" si="2"/>
        <v/>
      </c>
      <c r="AA88" s="4536"/>
      <c r="AB88" s="4536"/>
      <c r="AC88" s="4536"/>
      <c r="AD88" s="4536"/>
      <c r="AE88" s="4536"/>
      <c r="AF88" s="4536"/>
      <c r="AG88" s="4536"/>
      <c r="AH88" s="1684"/>
      <c r="AI88" s="1689">
        <f>IF(AND(AJ88="",AK88&lt;&gt;""),MAX(AI76:AI87)+1,0)</f>
        <v>0</v>
      </c>
      <c r="AJ88" s="1669" t="str">
        <f t="shared" si="3"/>
        <v/>
      </c>
      <c r="AK88" s="4536"/>
      <c r="AL88" s="4536"/>
      <c r="AM88" s="4536"/>
      <c r="AN88" s="4536"/>
      <c r="AO88" s="4536"/>
      <c r="AP88" s="4536"/>
      <c r="AQ88" s="4536"/>
      <c r="AR88" s="1684"/>
      <c r="AS88" s="1689">
        <f>IF(AND(AT88="",AU88&lt;&gt;""),MAX(AS76:AS87)+1,0)</f>
        <v>0</v>
      </c>
      <c r="AT88" s="1669" t="str">
        <f t="shared" si="4"/>
        <v/>
      </c>
      <c r="AU88" s="4536"/>
      <c r="AV88" s="4536"/>
      <c r="AW88" s="4536"/>
      <c r="AX88" s="4536"/>
      <c r="AY88" s="4536"/>
      <c r="AZ88" s="4536"/>
      <c r="BA88" s="4536"/>
      <c r="BB88" s="1684"/>
      <c r="BC88" s="1689">
        <f>IF(AND(BD88="",BE88&lt;&gt;""),MAX(BC76:BC87)+1,0)</f>
        <v>0</v>
      </c>
      <c r="BD88" s="1669" t="str">
        <f t="shared" si="5"/>
        <v/>
      </c>
      <c r="BE88" s="4536"/>
      <c r="BF88" s="4536"/>
      <c r="BG88" s="4536"/>
      <c r="BH88" s="4536"/>
      <c r="BI88" s="4536"/>
      <c r="BJ88" s="4536"/>
      <c r="BK88" s="4536"/>
      <c r="BL88" s="1684"/>
      <c r="BM88" s="1689">
        <f>IF(AND(BN88="",BO88&lt;&gt;""),MAX(BM76:BM87)+1,0)</f>
        <v>0</v>
      </c>
      <c r="BN88" s="1669" t="str">
        <f t="shared" si="6"/>
        <v/>
      </c>
      <c r="BO88" s="4536"/>
      <c r="BP88" s="4536"/>
      <c r="BQ88" s="4536"/>
      <c r="BR88" s="4536"/>
      <c r="BS88" s="4536"/>
      <c r="BT88" s="4536"/>
      <c r="BU88" s="4536"/>
      <c r="BV88" s="1684"/>
      <c r="BW88" s="1681"/>
      <c r="BX88" s="23"/>
      <c r="BY88" s="23"/>
      <c r="BZ88" s="23"/>
      <c r="CB88" s="28"/>
      <c r="CC88" s="28"/>
      <c r="CD88" s="28"/>
    </row>
    <row r="89" spans="2:82" ht="17.100000000000001" customHeight="1" x14ac:dyDescent="0.3">
      <c r="B89" s="23"/>
      <c r="D89" s="23"/>
      <c r="E89" s="1689">
        <f>IF(AND(F89="",G89&lt;&gt;""),MAX(E76:E88)+1,0)</f>
        <v>0</v>
      </c>
      <c r="F89" s="1669" t="str">
        <f t="shared" si="0"/>
        <v/>
      </c>
      <c r="G89" s="4536"/>
      <c r="H89" s="4536"/>
      <c r="I89" s="4536"/>
      <c r="J89" s="4536"/>
      <c r="K89" s="4536"/>
      <c r="L89" s="4536"/>
      <c r="M89" s="4536"/>
      <c r="N89" s="1684"/>
      <c r="O89" s="1689">
        <f>IF(AND(P89="",Q89&lt;&gt;""),MAX(O76:O88)+1,0)</f>
        <v>0</v>
      </c>
      <c r="P89" s="1669" t="str">
        <f t="shared" si="1"/>
        <v/>
      </c>
      <c r="Q89" s="4536"/>
      <c r="R89" s="4536"/>
      <c r="S89" s="4536"/>
      <c r="T89" s="4536"/>
      <c r="U89" s="4536"/>
      <c r="V89" s="4536"/>
      <c r="W89" s="4536"/>
      <c r="X89" s="1684"/>
      <c r="Y89" s="1689">
        <f>IF(AND(Z89="",AA89&lt;&gt;""),MAX(Y76:Y88)+1,0)</f>
        <v>0</v>
      </c>
      <c r="Z89" s="1669" t="str">
        <f t="shared" si="2"/>
        <v/>
      </c>
      <c r="AA89" s="4536"/>
      <c r="AB89" s="4536"/>
      <c r="AC89" s="4536"/>
      <c r="AD89" s="4536"/>
      <c r="AE89" s="4536"/>
      <c r="AF89" s="4536"/>
      <c r="AG89" s="4536"/>
      <c r="AH89" s="1684"/>
      <c r="AI89" s="1689">
        <f>IF(AND(AJ89="",AK89&lt;&gt;""),MAX(AI76:AI88)+1,0)</f>
        <v>0</v>
      </c>
      <c r="AJ89" s="1669" t="str">
        <f t="shared" si="3"/>
        <v/>
      </c>
      <c r="AK89" s="4536"/>
      <c r="AL89" s="4536"/>
      <c r="AM89" s="4536"/>
      <c r="AN89" s="4536"/>
      <c r="AO89" s="4536"/>
      <c r="AP89" s="4536"/>
      <c r="AQ89" s="4536"/>
      <c r="AR89" s="1684"/>
      <c r="AS89" s="1689">
        <f>IF(AND(AT89="",AU89&lt;&gt;""),MAX(AS76:AS88)+1,0)</f>
        <v>0</v>
      </c>
      <c r="AT89" s="1669" t="str">
        <f t="shared" si="4"/>
        <v/>
      </c>
      <c r="AU89" s="4536"/>
      <c r="AV89" s="4536"/>
      <c r="AW89" s="4536"/>
      <c r="AX89" s="4536"/>
      <c r="AY89" s="4536"/>
      <c r="AZ89" s="4536"/>
      <c r="BA89" s="4536"/>
      <c r="BB89" s="1684"/>
      <c r="BC89" s="1689">
        <f>IF(AND(BD89="",BE89&lt;&gt;""),MAX(BC76:BC88)+1,0)</f>
        <v>0</v>
      </c>
      <c r="BD89" s="1669" t="str">
        <f t="shared" si="5"/>
        <v/>
      </c>
      <c r="BE89" s="4536"/>
      <c r="BF89" s="4536"/>
      <c r="BG89" s="4536"/>
      <c r="BH89" s="4536"/>
      <c r="BI89" s="4536"/>
      <c r="BJ89" s="4536"/>
      <c r="BK89" s="4536"/>
      <c r="BL89" s="1684"/>
      <c r="BM89" s="1689">
        <f>IF(AND(BN89="",BO89&lt;&gt;""),MAX(BM76:BM88)+1,0)</f>
        <v>0</v>
      </c>
      <c r="BN89" s="1669" t="str">
        <f t="shared" si="6"/>
        <v/>
      </c>
      <c r="BO89" s="4536"/>
      <c r="BP89" s="4536"/>
      <c r="BQ89" s="4536"/>
      <c r="BR89" s="4536"/>
      <c r="BS89" s="4536"/>
      <c r="BT89" s="4536"/>
      <c r="BU89" s="4536"/>
      <c r="BV89" s="1684"/>
      <c r="BW89" s="1681"/>
      <c r="BX89" s="23"/>
      <c r="BY89" s="23"/>
      <c r="BZ89" s="23"/>
      <c r="CB89" s="28"/>
      <c r="CC89" s="28"/>
      <c r="CD89" s="28"/>
    </row>
    <row r="90" spans="2:82" ht="17.100000000000001" customHeight="1" x14ac:dyDescent="0.3">
      <c r="B90" s="23"/>
      <c r="D90" s="23"/>
      <c r="E90" s="1689">
        <f>IF(AND(F90="",G90&lt;&gt;""),MAX(E76:E89)+1,0)</f>
        <v>0</v>
      </c>
      <c r="F90" s="1669" t="str">
        <f t="shared" si="0"/>
        <v/>
      </c>
      <c r="G90" s="4536"/>
      <c r="H90" s="4536"/>
      <c r="I90" s="4536"/>
      <c r="J90" s="4536"/>
      <c r="K90" s="4536"/>
      <c r="L90" s="4536"/>
      <c r="M90" s="4536"/>
      <c r="N90" s="1684"/>
      <c r="O90" s="1689">
        <f>IF(AND(P90="",Q90&lt;&gt;""),MAX(O76:O89)+1,0)</f>
        <v>0</v>
      </c>
      <c r="P90" s="1669" t="str">
        <f t="shared" si="1"/>
        <v/>
      </c>
      <c r="Q90" s="4536"/>
      <c r="R90" s="4536"/>
      <c r="S90" s="4536"/>
      <c r="T90" s="4536"/>
      <c r="U90" s="4536"/>
      <c r="V90" s="4536"/>
      <c r="W90" s="4536"/>
      <c r="X90" s="1684"/>
      <c r="Y90" s="1689">
        <f>IF(AND(Z90="",AA90&lt;&gt;""),MAX(Y76:Y89)+1,0)</f>
        <v>0</v>
      </c>
      <c r="Z90" s="1669" t="str">
        <f t="shared" si="2"/>
        <v/>
      </c>
      <c r="AA90" s="4536"/>
      <c r="AB90" s="4536"/>
      <c r="AC90" s="4536"/>
      <c r="AD90" s="4536"/>
      <c r="AE90" s="4536"/>
      <c r="AF90" s="4536"/>
      <c r="AG90" s="4536"/>
      <c r="AH90" s="1684"/>
      <c r="AI90" s="1689">
        <f>IF(AND(AJ90="",AK90&lt;&gt;""),MAX(AI76:AI89)+1,0)</f>
        <v>0</v>
      </c>
      <c r="AJ90" s="1669" t="str">
        <f t="shared" si="3"/>
        <v/>
      </c>
      <c r="AK90" s="4536"/>
      <c r="AL90" s="4536"/>
      <c r="AM90" s="4536"/>
      <c r="AN90" s="4536"/>
      <c r="AO90" s="4536"/>
      <c r="AP90" s="4536"/>
      <c r="AQ90" s="4536"/>
      <c r="AR90" s="1684"/>
      <c r="AS90" s="1689">
        <f>IF(AND(AT90="",AU90&lt;&gt;""),MAX(AS76:AS89)+1,0)</f>
        <v>0</v>
      </c>
      <c r="AT90" s="1669" t="str">
        <f t="shared" si="4"/>
        <v/>
      </c>
      <c r="AU90" s="4536"/>
      <c r="AV90" s="4536"/>
      <c r="AW90" s="4536"/>
      <c r="AX90" s="4536"/>
      <c r="AY90" s="4536"/>
      <c r="AZ90" s="4536"/>
      <c r="BA90" s="4536"/>
      <c r="BB90" s="1684"/>
      <c r="BC90" s="1689">
        <f>IF(AND(BD90="",BE90&lt;&gt;""),MAX(BC76:BC89)+1,0)</f>
        <v>0</v>
      </c>
      <c r="BD90" s="1669" t="str">
        <f t="shared" si="5"/>
        <v/>
      </c>
      <c r="BE90" s="4536"/>
      <c r="BF90" s="4536"/>
      <c r="BG90" s="4536"/>
      <c r="BH90" s="4536"/>
      <c r="BI90" s="4536"/>
      <c r="BJ90" s="4536"/>
      <c r="BK90" s="4536"/>
      <c r="BL90" s="1684"/>
      <c r="BM90" s="1689">
        <f>IF(AND(BN90="",BO90&lt;&gt;""),MAX(BM76:BM89)+1,0)</f>
        <v>0</v>
      </c>
      <c r="BN90" s="1669" t="str">
        <f t="shared" si="6"/>
        <v/>
      </c>
      <c r="BO90" s="4536"/>
      <c r="BP90" s="4536"/>
      <c r="BQ90" s="4536"/>
      <c r="BR90" s="4536"/>
      <c r="BS90" s="4536"/>
      <c r="BT90" s="4536"/>
      <c r="BU90" s="4536"/>
      <c r="BV90" s="1684"/>
      <c r="BW90" s="1681"/>
      <c r="BX90" s="23"/>
      <c r="BY90" s="23"/>
      <c r="BZ90" s="23"/>
      <c r="CB90" s="28"/>
      <c r="CC90" s="28"/>
      <c r="CD90" s="28"/>
    </row>
    <row r="91" spans="2:82" ht="17.100000000000001" customHeight="1" x14ac:dyDescent="0.3">
      <c r="B91" s="23"/>
      <c r="D91" s="23"/>
      <c r="E91" s="1689">
        <f>IF(AND(F91="",G91&lt;&gt;""),MAX(E76:E90)+1,0)</f>
        <v>0</v>
      </c>
      <c r="F91" s="1669" t="str">
        <f t="shared" si="0"/>
        <v/>
      </c>
      <c r="G91" s="4536"/>
      <c r="H91" s="4536"/>
      <c r="I91" s="4536"/>
      <c r="J91" s="4536"/>
      <c r="K91" s="4536"/>
      <c r="L91" s="4536"/>
      <c r="M91" s="4536"/>
      <c r="N91" s="1684"/>
      <c r="O91" s="1689">
        <f>IF(AND(P91="",Q91&lt;&gt;""),MAX(O76:O90)+1,0)</f>
        <v>0</v>
      </c>
      <c r="P91" s="1669" t="str">
        <f t="shared" si="1"/>
        <v/>
      </c>
      <c r="Q91" s="4536"/>
      <c r="R91" s="4536"/>
      <c r="S91" s="4536"/>
      <c r="T91" s="4536"/>
      <c r="U91" s="4536"/>
      <c r="V91" s="4536"/>
      <c r="W91" s="4536"/>
      <c r="X91" s="1684"/>
      <c r="Y91" s="1689">
        <f>IF(AND(Z91="",AA91&lt;&gt;""),MAX(Y76:Y90)+1,0)</f>
        <v>0</v>
      </c>
      <c r="Z91" s="1669" t="str">
        <f t="shared" si="2"/>
        <v/>
      </c>
      <c r="AA91" s="4536"/>
      <c r="AB91" s="4536"/>
      <c r="AC91" s="4536"/>
      <c r="AD91" s="4536"/>
      <c r="AE91" s="4536"/>
      <c r="AF91" s="4536"/>
      <c r="AG91" s="4536"/>
      <c r="AH91" s="1684"/>
      <c r="AI91" s="1689">
        <f>IF(AND(AJ91="",AK91&lt;&gt;""),MAX(AI76:AI90)+1,0)</f>
        <v>0</v>
      </c>
      <c r="AJ91" s="1669" t="str">
        <f t="shared" si="3"/>
        <v/>
      </c>
      <c r="AK91" s="4536"/>
      <c r="AL91" s="4536"/>
      <c r="AM91" s="4536"/>
      <c r="AN91" s="4536"/>
      <c r="AO91" s="4536"/>
      <c r="AP91" s="4536"/>
      <c r="AQ91" s="4536"/>
      <c r="AR91" s="1684"/>
      <c r="AS91" s="1689">
        <f>IF(AND(AT91="",AU91&lt;&gt;""),MAX(AS76:AS90)+1,0)</f>
        <v>0</v>
      </c>
      <c r="AT91" s="1669" t="str">
        <f t="shared" si="4"/>
        <v/>
      </c>
      <c r="AU91" s="4536"/>
      <c r="AV91" s="4536"/>
      <c r="AW91" s="4536"/>
      <c r="AX91" s="4536"/>
      <c r="AY91" s="4536"/>
      <c r="AZ91" s="4536"/>
      <c r="BA91" s="4536"/>
      <c r="BB91" s="1684"/>
      <c r="BC91" s="1689">
        <f>IF(AND(BD91="",BE91&lt;&gt;""),MAX(BC76:BC90)+1,0)</f>
        <v>0</v>
      </c>
      <c r="BD91" s="1669" t="str">
        <f t="shared" si="5"/>
        <v/>
      </c>
      <c r="BE91" s="4536"/>
      <c r="BF91" s="4536"/>
      <c r="BG91" s="4536"/>
      <c r="BH91" s="4536"/>
      <c r="BI91" s="4536"/>
      <c r="BJ91" s="4536"/>
      <c r="BK91" s="4536"/>
      <c r="BL91" s="1684"/>
      <c r="BM91" s="1689">
        <f>IF(AND(BN91="",BO91&lt;&gt;""),MAX(BM76:BM90)+1,0)</f>
        <v>0</v>
      </c>
      <c r="BN91" s="1669" t="str">
        <f t="shared" si="6"/>
        <v/>
      </c>
      <c r="BO91" s="4536"/>
      <c r="BP91" s="4536"/>
      <c r="BQ91" s="4536"/>
      <c r="BR91" s="4536"/>
      <c r="BS91" s="4536"/>
      <c r="BT91" s="4536"/>
      <c r="BU91" s="4536"/>
      <c r="BV91" s="1684"/>
      <c r="BW91" s="1681"/>
      <c r="BX91" s="23"/>
      <c r="BY91" s="23"/>
      <c r="BZ91" s="23"/>
      <c r="CB91" s="28"/>
      <c r="CC91" s="28"/>
      <c r="CD91" s="28"/>
    </row>
    <row r="92" spans="2:82" ht="17.100000000000001" customHeight="1" x14ac:dyDescent="0.3">
      <c r="B92" s="23"/>
      <c r="D92" s="23"/>
      <c r="E92" s="1689">
        <f>IF(AND(F92="",G92&lt;&gt;""),MAX(E76:E91)+1,0)</f>
        <v>0</v>
      </c>
      <c r="F92" s="1669" t="str">
        <f t="shared" si="0"/>
        <v/>
      </c>
      <c r="G92" s="4536"/>
      <c r="H92" s="4536"/>
      <c r="I92" s="4536"/>
      <c r="J92" s="4536"/>
      <c r="K92" s="4536"/>
      <c r="L92" s="4536"/>
      <c r="M92" s="4536"/>
      <c r="N92" s="1684"/>
      <c r="O92" s="1689">
        <f>IF(AND(P92="",Q92&lt;&gt;""),MAX(O76:O91)+1,0)</f>
        <v>0</v>
      </c>
      <c r="P92" s="1669" t="str">
        <f t="shared" si="1"/>
        <v/>
      </c>
      <c r="Q92" s="4536"/>
      <c r="R92" s="4536"/>
      <c r="S92" s="4536"/>
      <c r="T92" s="4536"/>
      <c r="U92" s="4536"/>
      <c r="V92" s="4536"/>
      <c r="W92" s="4536"/>
      <c r="X92" s="1684"/>
      <c r="Y92" s="1689">
        <f>IF(AND(Z92="",AA92&lt;&gt;""),MAX(Y76:Y91)+1,0)</f>
        <v>0</v>
      </c>
      <c r="Z92" s="1669" t="str">
        <f t="shared" si="2"/>
        <v/>
      </c>
      <c r="AA92" s="4536"/>
      <c r="AB92" s="4536"/>
      <c r="AC92" s="4536"/>
      <c r="AD92" s="4536"/>
      <c r="AE92" s="4536"/>
      <c r="AF92" s="4536"/>
      <c r="AG92" s="4536"/>
      <c r="AH92" s="1684"/>
      <c r="AI92" s="1689">
        <f>IF(AND(AJ92="",AK92&lt;&gt;""),MAX(AI76:AI91)+1,0)</f>
        <v>0</v>
      </c>
      <c r="AJ92" s="1669" t="str">
        <f t="shared" si="3"/>
        <v/>
      </c>
      <c r="AK92" s="4536"/>
      <c r="AL92" s="4536"/>
      <c r="AM92" s="4536"/>
      <c r="AN92" s="4536"/>
      <c r="AO92" s="4536"/>
      <c r="AP92" s="4536"/>
      <c r="AQ92" s="4536"/>
      <c r="AR92" s="1684"/>
      <c r="AS92" s="1689">
        <f>IF(AND(AT92="",AU92&lt;&gt;""),MAX(AS76:AS91)+1,0)</f>
        <v>0</v>
      </c>
      <c r="AT92" s="1669" t="str">
        <f t="shared" si="4"/>
        <v/>
      </c>
      <c r="AU92" s="4536"/>
      <c r="AV92" s="4536"/>
      <c r="AW92" s="4536"/>
      <c r="AX92" s="4536"/>
      <c r="AY92" s="4536"/>
      <c r="AZ92" s="4536"/>
      <c r="BA92" s="4536"/>
      <c r="BB92" s="1684"/>
      <c r="BC92" s="1689">
        <f>IF(AND(BD92="",BE92&lt;&gt;""),MAX(BC76:BC91)+1,0)</f>
        <v>0</v>
      </c>
      <c r="BD92" s="1669" t="str">
        <f t="shared" si="5"/>
        <v/>
      </c>
      <c r="BE92" s="4536"/>
      <c r="BF92" s="4536"/>
      <c r="BG92" s="4536"/>
      <c r="BH92" s="4536"/>
      <c r="BI92" s="4536"/>
      <c r="BJ92" s="4536"/>
      <c r="BK92" s="4536"/>
      <c r="BL92" s="1684"/>
      <c r="BM92" s="1689">
        <f>IF(AND(BN92="",BO92&lt;&gt;""),MAX(BM76:BM91)+1,0)</f>
        <v>0</v>
      </c>
      <c r="BN92" s="1669" t="str">
        <f t="shared" si="6"/>
        <v/>
      </c>
      <c r="BO92" s="4536"/>
      <c r="BP92" s="4536"/>
      <c r="BQ92" s="4536"/>
      <c r="BR92" s="4536"/>
      <c r="BS92" s="4536"/>
      <c r="BT92" s="4536"/>
      <c r="BU92" s="4536"/>
      <c r="BV92" s="1684"/>
      <c r="BW92" s="1681"/>
      <c r="BX92" s="23"/>
      <c r="BY92" s="23"/>
      <c r="BZ92" s="23"/>
      <c r="CB92" s="28"/>
      <c r="CC92" s="28"/>
      <c r="CD92" s="28"/>
    </row>
    <row r="93" spans="2:82" ht="17.100000000000001" customHeight="1" x14ac:dyDescent="0.3">
      <c r="B93" s="23"/>
      <c r="D93" s="23"/>
      <c r="E93" s="1689">
        <f>IF(AND(F93="",G93&lt;&gt;""),MAX(E76:E92)+1,0)</f>
        <v>0</v>
      </c>
      <c r="F93" s="1669" t="str">
        <f t="shared" si="0"/>
        <v/>
      </c>
      <c r="G93" s="4536"/>
      <c r="H93" s="4536"/>
      <c r="I93" s="4536"/>
      <c r="J93" s="4536"/>
      <c r="K93" s="4536"/>
      <c r="L93" s="4536"/>
      <c r="M93" s="4536"/>
      <c r="N93" s="1684"/>
      <c r="O93" s="1689">
        <f>IF(AND(P93="",Q93&lt;&gt;""),MAX(O76:O92)+1,0)</f>
        <v>0</v>
      </c>
      <c r="P93" s="1669" t="str">
        <f t="shared" si="1"/>
        <v/>
      </c>
      <c r="Q93" s="4536"/>
      <c r="R93" s="4536"/>
      <c r="S93" s="4536"/>
      <c r="T93" s="4536"/>
      <c r="U93" s="4536"/>
      <c r="V93" s="4536"/>
      <c r="W93" s="4536"/>
      <c r="X93" s="1684"/>
      <c r="Y93" s="1689">
        <f>IF(AND(Z93="",AA93&lt;&gt;""),MAX(Y76:Y92)+1,0)</f>
        <v>0</v>
      </c>
      <c r="Z93" s="1669" t="str">
        <f t="shared" si="2"/>
        <v/>
      </c>
      <c r="AA93" s="4536"/>
      <c r="AB93" s="4536"/>
      <c r="AC93" s="4536"/>
      <c r="AD93" s="4536"/>
      <c r="AE93" s="4536"/>
      <c r="AF93" s="4536"/>
      <c r="AG93" s="4536"/>
      <c r="AH93" s="1684"/>
      <c r="AI93" s="1689">
        <f>IF(AND(AJ93="",AK93&lt;&gt;""),MAX(AI76:AI92)+1,0)</f>
        <v>0</v>
      </c>
      <c r="AJ93" s="1669" t="str">
        <f t="shared" si="3"/>
        <v/>
      </c>
      <c r="AK93" s="4536"/>
      <c r="AL93" s="4536"/>
      <c r="AM93" s="4536"/>
      <c r="AN93" s="4536"/>
      <c r="AO93" s="4536"/>
      <c r="AP93" s="4536"/>
      <c r="AQ93" s="4536"/>
      <c r="AR93" s="1684"/>
      <c r="AS93" s="1689">
        <f>IF(AND(AT93="",AU93&lt;&gt;""),MAX(AS76:AS92)+1,0)</f>
        <v>0</v>
      </c>
      <c r="AT93" s="1669" t="str">
        <f t="shared" si="4"/>
        <v/>
      </c>
      <c r="AU93" s="4536"/>
      <c r="AV93" s="4536"/>
      <c r="AW93" s="4536"/>
      <c r="AX93" s="4536"/>
      <c r="AY93" s="4536"/>
      <c r="AZ93" s="4536"/>
      <c r="BA93" s="4536"/>
      <c r="BB93" s="1684"/>
      <c r="BC93" s="1689">
        <f>IF(AND(BD93="",BE93&lt;&gt;""),MAX(BC76:BC92)+1,0)</f>
        <v>0</v>
      </c>
      <c r="BD93" s="1669" t="str">
        <f t="shared" si="5"/>
        <v/>
      </c>
      <c r="BE93" s="4536"/>
      <c r="BF93" s="4536"/>
      <c r="BG93" s="4536"/>
      <c r="BH93" s="4536"/>
      <c r="BI93" s="4536"/>
      <c r="BJ93" s="4536"/>
      <c r="BK93" s="4536"/>
      <c r="BL93" s="1684"/>
      <c r="BM93" s="1689">
        <f>IF(AND(BN93="",BO93&lt;&gt;""),MAX(BM76:BM92)+1,0)</f>
        <v>0</v>
      </c>
      <c r="BN93" s="1669" t="str">
        <f t="shared" si="6"/>
        <v/>
      </c>
      <c r="BO93" s="4536"/>
      <c r="BP93" s="4536"/>
      <c r="BQ93" s="4536"/>
      <c r="BR93" s="4536"/>
      <c r="BS93" s="4536"/>
      <c r="BT93" s="4536"/>
      <c r="BU93" s="4536"/>
      <c r="BV93" s="1684"/>
      <c r="BW93" s="1681"/>
      <c r="BX93" s="23"/>
      <c r="BY93" s="23"/>
      <c r="BZ93" s="23"/>
      <c r="CB93" s="28"/>
      <c r="CC93" s="28"/>
      <c r="CD93" s="28"/>
    </row>
    <row r="94" spans="2:82" ht="17.100000000000001" customHeight="1" x14ac:dyDescent="0.3">
      <c r="B94" s="23"/>
      <c r="D94" s="23"/>
      <c r="E94" s="1689">
        <f>IF(AND(F94="",G94&lt;&gt;""),MAX(E76:E93)+1,0)</f>
        <v>0</v>
      </c>
      <c r="F94" s="1669" t="str">
        <f t="shared" si="0"/>
        <v/>
      </c>
      <c r="G94" s="4536"/>
      <c r="H94" s="4536"/>
      <c r="I94" s="4536"/>
      <c r="J94" s="4536"/>
      <c r="K94" s="4536"/>
      <c r="L94" s="4536"/>
      <c r="M94" s="4536"/>
      <c r="N94" s="1684"/>
      <c r="O94" s="1689">
        <f>IF(AND(P94="",Q94&lt;&gt;""),MAX(O76:O93)+1,0)</f>
        <v>0</v>
      </c>
      <c r="P94" s="1669" t="str">
        <f t="shared" si="1"/>
        <v/>
      </c>
      <c r="Q94" s="4536"/>
      <c r="R94" s="4536"/>
      <c r="S94" s="4536"/>
      <c r="T94" s="4536"/>
      <c r="U94" s="4536"/>
      <c r="V94" s="4536"/>
      <c r="W94" s="4536"/>
      <c r="X94" s="1684"/>
      <c r="Y94" s="1689">
        <f>IF(AND(Z94="",AA94&lt;&gt;""),MAX(Y76:Y93)+1,0)</f>
        <v>0</v>
      </c>
      <c r="Z94" s="1669" t="str">
        <f t="shared" si="2"/>
        <v/>
      </c>
      <c r="AA94" s="4536"/>
      <c r="AB94" s="4536"/>
      <c r="AC94" s="4536"/>
      <c r="AD94" s="4536"/>
      <c r="AE94" s="4536"/>
      <c r="AF94" s="4536"/>
      <c r="AG94" s="4536"/>
      <c r="AH94" s="1684"/>
      <c r="AI94" s="1689">
        <f>IF(AND(AJ94="",AK94&lt;&gt;""),MAX(AI76:AI93)+1,0)</f>
        <v>0</v>
      </c>
      <c r="AJ94" s="1669" t="str">
        <f t="shared" si="3"/>
        <v/>
      </c>
      <c r="AK94" s="4536"/>
      <c r="AL94" s="4536"/>
      <c r="AM94" s="4536"/>
      <c r="AN94" s="4536"/>
      <c r="AO94" s="4536"/>
      <c r="AP94" s="4536"/>
      <c r="AQ94" s="4536"/>
      <c r="AR94" s="1684"/>
      <c r="AS94" s="1689">
        <f>IF(AND(AT94="",AU94&lt;&gt;""),MAX(AS76:AS93)+1,0)</f>
        <v>0</v>
      </c>
      <c r="AT94" s="1669" t="str">
        <f t="shared" si="4"/>
        <v/>
      </c>
      <c r="AU94" s="4536"/>
      <c r="AV94" s="4536"/>
      <c r="AW94" s="4536"/>
      <c r="AX94" s="4536"/>
      <c r="AY94" s="4536"/>
      <c r="AZ94" s="4536"/>
      <c r="BA94" s="4536"/>
      <c r="BB94" s="1684"/>
      <c r="BC94" s="1689">
        <f>IF(AND(BD94="",BE94&lt;&gt;""),MAX(BC76:BC93)+1,0)</f>
        <v>0</v>
      </c>
      <c r="BD94" s="1669" t="str">
        <f t="shared" si="5"/>
        <v/>
      </c>
      <c r="BE94" s="4536"/>
      <c r="BF94" s="4536"/>
      <c r="BG94" s="4536"/>
      <c r="BH94" s="4536"/>
      <c r="BI94" s="4536"/>
      <c r="BJ94" s="4536"/>
      <c r="BK94" s="4536"/>
      <c r="BL94" s="1684"/>
      <c r="BM94" s="1689">
        <f>IF(AND(BN94="",BO94&lt;&gt;""),MAX(BM76:BM93)+1,0)</f>
        <v>0</v>
      </c>
      <c r="BN94" s="1669" t="str">
        <f t="shared" si="6"/>
        <v/>
      </c>
      <c r="BO94" s="4536"/>
      <c r="BP94" s="4536"/>
      <c r="BQ94" s="4536"/>
      <c r="BR94" s="4536"/>
      <c r="BS94" s="4536"/>
      <c r="BT94" s="4536"/>
      <c r="BU94" s="4536"/>
      <c r="BV94" s="1684"/>
      <c r="BW94" s="1681"/>
      <c r="BX94" s="23"/>
      <c r="BY94" s="23"/>
      <c r="BZ94" s="23"/>
      <c r="CB94" s="28"/>
      <c r="CC94" s="28"/>
      <c r="CD94" s="28"/>
    </row>
    <row r="95" spans="2:82" ht="17.100000000000001" customHeight="1" x14ac:dyDescent="0.3">
      <c r="B95" s="23"/>
      <c r="D95" s="23"/>
      <c r="E95" s="1689">
        <f>IF(AND(F95="",G95&lt;&gt;""),MAX(E76:E94)+1,0)</f>
        <v>0</v>
      </c>
      <c r="F95" s="1669" t="str">
        <f t="shared" si="0"/>
        <v/>
      </c>
      <c r="G95" s="4536"/>
      <c r="H95" s="4536"/>
      <c r="I95" s="4536"/>
      <c r="J95" s="4536"/>
      <c r="K95" s="4536"/>
      <c r="L95" s="4536"/>
      <c r="M95" s="4536"/>
      <c r="N95" s="1684"/>
      <c r="O95" s="1689">
        <f>IF(AND(P95="",Q95&lt;&gt;""),MAX(O76:O94)+1,0)</f>
        <v>0</v>
      </c>
      <c r="P95" s="1669" t="str">
        <f t="shared" si="1"/>
        <v/>
      </c>
      <c r="Q95" s="4536"/>
      <c r="R95" s="4536"/>
      <c r="S95" s="4536"/>
      <c r="T95" s="4536"/>
      <c r="U95" s="4536"/>
      <c r="V95" s="4536"/>
      <c r="W95" s="4536"/>
      <c r="X95" s="1684"/>
      <c r="Y95" s="1689">
        <f>IF(AND(Z95="",AA95&lt;&gt;""),MAX(Y76:Y94)+1,0)</f>
        <v>0</v>
      </c>
      <c r="Z95" s="1669" t="str">
        <f t="shared" si="2"/>
        <v/>
      </c>
      <c r="AA95" s="4536"/>
      <c r="AB95" s="4536"/>
      <c r="AC95" s="4536"/>
      <c r="AD95" s="4536"/>
      <c r="AE95" s="4536"/>
      <c r="AF95" s="4536"/>
      <c r="AG95" s="4536"/>
      <c r="AH95" s="1684"/>
      <c r="AI95" s="1689">
        <f>IF(AND(AJ95="",AK95&lt;&gt;""),MAX(AI76:AI94)+1,0)</f>
        <v>0</v>
      </c>
      <c r="AJ95" s="1669" t="str">
        <f t="shared" si="3"/>
        <v/>
      </c>
      <c r="AK95" s="4536"/>
      <c r="AL95" s="4536"/>
      <c r="AM95" s="4536"/>
      <c r="AN95" s="4536"/>
      <c r="AO95" s="4536"/>
      <c r="AP95" s="4536"/>
      <c r="AQ95" s="4536"/>
      <c r="AR95" s="1684"/>
      <c r="AS95" s="1689">
        <f>IF(AND(AT95="",AU95&lt;&gt;""),MAX(AS76:AS94)+1,0)</f>
        <v>0</v>
      </c>
      <c r="AT95" s="1669" t="str">
        <f t="shared" si="4"/>
        <v/>
      </c>
      <c r="AU95" s="4536"/>
      <c r="AV95" s="4536"/>
      <c r="AW95" s="4536"/>
      <c r="AX95" s="4536"/>
      <c r="AY95" s="4536"/>
      <c r="AZ95" s="4536"/>
      <c r="BA95" s="4536"/>
      <c r="BB95" s="1684"/>
      <c r="BC95" s="1689">
        <f>IF(AND(BD95="",BE95&lt;&gt;""),MAX(BC76:BC94)+1,0)</f>
        <v>0</v>
      </c>
      <c r="BD95" s="1669" t="str">
        <f t="shared" si="5"/>
        <v/>
      </c>
      <c r="BE95" s="4536"/>
      <c r="BF95" s="4536"/>
      <c r="BG95" s="4536"/>
      <c r="BH95" s="4536"/>
      <c r="BI95" s="4536"/>
      <c r="BJ95" s="4536"/>
      <c r="BK95" s="4536"/>
      <c r="BL95" s="1684"/>
      <c r="BM95" s="1689">
        <f>IF(AND(BN95="",BO95&lt;&gt;""),MAX(BM76:BM94)+1,0)</f>
        <v>0</v>
      </c>
      <c r="BN95" s="1669" t="str">
        <f t="shared" si="6"/>
        <v/>
      </c>
      <c r="BO95" s="4536"/>
      <c r="BP95" s="4536"/>
      <c r="BQ95" s="4536"/>
      <c r="BR95" s="4536"/>
      <c r="BS95" s="4536"/>
      <c r="BT95" s="4536"/>
      <c r="BU95" s="4536"/>
      <c r="BV95" s="1684"/>
      <c r="BW95" s="1681"/>
      <c r="BX95" s="23"/>
      <c r="BY95" s="23"/>
      <c r="BZ95" s="23"/>
      <c r="CB95" s="28"/>
      <c r="CC95" s="28"/>
      <c r="CD95" s="28"/>
    </row>
    <row r="96" spans="2:82" ht="17.100000000000001" customHeight="1" thickBot="1" x14ac:dyDescent="0.2">
      <c r="B96" s="23"/>
      <c r="C96" s="23"/>
      <c r="D96" s="23"/>
      <c r="E96" s="1690">
        <f>MAX(E76:E95)</f>
        <v>6</v>
      </c>
      <c r="F96" s="1667"/>
      <c r="G96" s="1116"/>
      <c r="H96" s="1116"/>
      <c r="I96" s="1116"/>
      <c r="J96" s="1668"/>
      <c r="K96" s="1116"/>
      <c r="L96" s="1116"/>
      <c r="M96" s="1668"/>
      <c r="N96" s="1691">
        <f>COUNTA(N76:N95)</f>
        <v>0</v>
      </c>
      <c r="O96" s="1690">
        <f>MAX(O76:O95)</f>
        <v>3</v>
      </c>
      <c r="P96" s="1667"/>
      <c r="Q96" s="1116"/>
      <c r="R96" s="1116"/>
      <c r="S96" s="1116"/>
      <c r="T96" s="1668"/>
      <c r="U96" s="1116"/>
      <c r="V96" s="1116"/>
      <c r="W96" s="1668"/>
      <c r="X96" s="1691">
        <f>COUNTA(X76:X95)</f>
        <v>0</v>
      </c>
      <c r="Y96" s="1690">
        <f>MAX(Y76:Y95)</f>
        <v>6</v>
      </c>
      <c r="Z96" s="1667"/>
      <c r="AA96" s="1116"/>
      <c r="AB96" s="1116"/>
      <c r="AC96" s="1116"/>
      <c r="AD96" s="1668"/>
      <c r="AE96" s="1116"/>
      <c r="AF96" s="1116"/>
      <c r="AG96" s="1668"/>
      <c r="AH96" s="1691">
        <f>COUNTA(AH76:AH95)</f>
        <v>0</v>
      </c>
      <c r="AI96" s="1690">
        <f>MAX(AI76:AI95)</f>
        <v>3</v>
      </c>
      <c r="AJ96" s="1667"/>
      <c r="AK96" s="1116"/>
      <c r="AL96" s="1116"/>
      <c r="AM96" s="1116"/>
      <c r="AN96" s="1668"/>
      <c r="AO96" s="1116"/>
      <c r="AP96" s="1116"/>
      <c r="AQ96" s="1668"/>
      <c r="AR96" s="1691">
        <f>COUNTA(AR76:AR95)</f>
        <v>0</v>
      </c>
      <c r="AS96" s="1690">
        <f>MAX(AS76:AS95)</f>
        <v>3</v>
      </c>
      <c r="AT96" s="1667"/>
      <c r="AU96" s="1116"/>
      <c r="AV96" s="1116"/>
      <c r="AW96" s="1116"/>
      <c r="AX96" s="1668"/>
      <c r="AY96" s="1116"/>
      <c r="AZ96" s="1116"/>
      <c r="BA96" s="1668"/>
      <c r="BB96" s="1691">
        <f>COUNTA(BB76:BB95)</f>
        <v>0</v>
      </c>
      <c r="BC96" s="1690">
        <f>MAX(BC76:BC95)</f>
        <v>8</v>
      </c>
      <c r="BD96" s="1667"/>
      <c r="BE96" s="1116"/>
      <c r="BF96" s="1116"/>
      <c r="BG96" s="1116"/>
      <c r="BH96" s="1668"/>
      <c r="BI96" s="1116"/>
      <c r="BJ96" s="1116"/>
      <c r="BK96" s="1668"/>
      <c r="BL96" s="1691">
        <f>COUNTA(BL76:BL95)</f>
        <v>0</v>
      </c>
      <c r="BM96" s="1690">
        <f>MAX(BM76:BM95)</f>
        <v>9</v>
      </c>
      <c r="BN96" s="1667"/>
      <c r="BO96" s="1116"/>
      <c r="BP96" s="1116"/>
      <c r="BQ96" s="1116"/>
      <c r="BR96" s="1668"/>
      <c r="BS96" s="1116"/>
      <c r="BT96" s="1116"/>
      <c r="BU96" s="1668"/>
      <c r="BV96" s="1691">
        <f>COUNTA(BV76:BV95)</f>
        <v>0</v>
      </c>
      <c r="BW96" s="1681"/>
      <c r="BX96" s="23"/>
      <c r="BY96" s="23"/>
      <c r="BZ96" s="23"/>
      <c r="CB96" s="28"/>
      <c r="CC96" s="28"/>
      <c r="CD96" s="28"/>
    </row>
    <row r="97" spans="2:82" ht="17.100000000000001" customHeight="1" x14ac:dyDescent="0.15">
      <c r="B97" s="23"/>
      <c r="C97" s="23"/>
      <c r="D97" s="23"/>
      <c r="E97" s="696"/>
      <c r="F97" s="697"/>
      <c r="G97" s="697"/>
      <c r="H97" s="697"/>
      <c r="I97" s="697"/>
      <c r="J97" s="697"/>
      <c r="K97" s="697"/>
      <c r="L97" s="697"/>
      <c r="M97" s="697"/>
      <c r="N97" s="697"/>
      <c r="O97" s="1682"/>
      <c r="P97" s="1682"/>
      <c r="Q97" s="1682"/>
      <c r="R97" s="1682"/>
      <c r="S97" s="1682"/>
      <c r="T97" s="1682"/>
      <c r="U97" s="1682"/>
      <c r="V97" s="1682"/>
      <c r="W97" s="1682"/>
      <c r="X97" s="1682"/>
      <c r="Y97" s="1682"/>
      <c r="Z97" s="1682"/>
      <c r="AA97" s="1682"/>
      <c r="AB97" s="1682"/>
      <c r="AC97" s="1682"/>
      <c r="AD97" s="1682"/>
      <c r="AE97" s="1682"/>
      <c r="AF97" s="1682"/>
      <c r="AG97" s="1682"/>
      <c r="AH97" s="1682"/>
      <c r="AI97" s="1682"/>
      <c r="AJ97" s="1682"/>
      <c r="AK97" s="1682"/>
      <c r="AL97" s="1682"/>
      <c r="AM97" s="1682"/>
      <c r="AN97" s="1682"/>
      <c r="AO97" s="1682"/>
      <c r="AP97" s="1682"/>
      <c r="AQ97" s="1682"/>
      <c r="AR97" s="1682"/>
      <c r="AS97" s="1682"/>
      <c r="AT97" s="1682"/>
      <c r="AU97" s="1682"/>
      <c r="AV97" s="1682"/>
      <c r="AW97" s="1682"/>
      <c r="AX97" s="1682"/>
      <c r="AY97" s="1682"/>
      <c r="AZ97" s="1682"/>
      <c r="BA97" s="1682"/>
      <c r="BB97" s="1682"/>
      <c r="BC97" s="1682"/>
      <c r="BD97" s="1682"/>
      <c r="BE97" s="1682"/>
      <c r="BF97" s="1682"/>
      <c r="BG97" s="1682"/>
      <c r="BH97" s="1682"/>
      <c r="BI97" s="1682"/>
      <c r="BJ97" s="1682"/>
      <c r="BK97" s="1682"/>
      <c r="BL97" s="1682"/>
      <c r="BM97" s="1682"/>
      <c r="BN97" s="1682"/>
      <c r="BO97" s="1682"/>
      <c r="BP97" s="1682"/>
      <c r="BQ97" s="1682"/>
      <c r="BR97" s="1682"/>
      <c r="BS97" s="1682"/>
      <c r="BT97" s="1682"/>
      <c r="BU97" s="1682"/>
      <c r="BV97" s="1682"/>
      <c r="BW97" s="1683"/>
      <c r="BX97" s="23"/>
      <c r="BY97" s="23"/>
      <c r="BZ97" s="23"/>
      <c r="CB97" s="28"/>
      <c r="CC97" s="28"/>
      <c r="CD97" s="28"/>
    </row>
    <row r="98" spans="2:82" ht="17.100000000000001" customHeight="1" x14ac:dyDescent="0.15">
      <c r="B98" s="23"/>
      <c r="C98" s="23"/>
      <c r="D98" s="23"/>
      <c r="BW98" s="23"/>
      <c r="BX98" s="23"/>
      <c r="BY98" s="23"/>
      <c r="BZ98" s="23"/>
    </row>
    <row r="99" spans="2:82" ht="17.100000000000001" customHeight="1" x14ac:dyDescent="0.15">
      <c r="AN99" s="33" t="s">
        <v>9</v>
      </c>
    </row>
    <row r="100" spans="2:82" ht="17.100000000000001" customHeight="1" thickBot="1" x14ac:dyDescent="0.2">
      <c r="AN100" s="33" t="s">
        <v>9</v>
      </c>
    </row>
    <row r="101" spans="2:82" ht="17.100000000000001" customHeight="1" thickTop="1" thickBot="1" x14ac:dyDescent="0.3">
      <c r="E101" s="647"/>
      <c r="F101" s="648"/>
      <c r="G101" s="648"/>
      <c r="H101" s="648"/>
      <c r="I101" s="648"/>
      <c r="J101" s="648"/>
      <c r="K101" s="648"/>
      <c r="L101" s="648"/>
      <c r="M101" s="648"/>
      <c r="N101" s="648"/>
      <c r="O101" s="648"/>
      <c r="P101" s="648"/>
      <c r="Q101" s="648"/>
      <c r="R101" s="648"/>
      <c r="S101" s="648"/>
      <c r="T101" s="648"/>
      <c r="U101" s="648"/>
      <c r="V101" s="648"/>
      <c r="W101" s="648"/>
      <c r="X101" s="649"/>
      <c r="AA101" s="650"/>
      <c r="AB101" s="651"/>
      <c r="AC101" s="652"/>
      <c r="AD101" s="652"/>
      <c r="AE101" s="652"/>
      <c r="AF101" s="652"/>
      <c r="AG101" s="652"/>
      <c r="AH101" s="652"/>
      <c r="AI101" s="652"/>
      <c r="AJ101" s="652"/>
      <c r="AK101" s="652"/>
      <c r="AL101" s="653"/>
      <c r="AM101" s="654"/>
      <c r="AN101" s="655"/>
      <c r="AO101" s="656"/>
      <c r="AP101" s="656"/>
      <c r="AQ101" s="657"/>
      <c r="AR101" s="652"/>
      <c r="AS101" s="652"/>
      <c r="AT101" s="652"/>
      <c r="AU101" s="652"/>
      <c r="AV101" s="652"/>
      <c r="AW101" s="652"/>
      <c r="AX101" s="652"/>
      <c r="AY101" s="652"/>
      <c r="AZ101" s="652"/>
      <c r="BA101" s="658"/>
      <c r="BD101" s="647"/>
      <c r="BE101" s="648"/>
      <c r="BF101" s="648"/>
      <c r="BG101" s="648"/>
      <c r="BH101" s="648"/>
      <c r="BI101" s="648"/>
      <c r="BJ101" s="648"/>
      <c r="BK101" s="648"/>
      <c r="BL101" s="648"/>
      <c r="BM101" s="648"/>
      <c r="BN101" s="648"/>
      <c r="BO101" s="648"/>
      <c r="BP101" s="648"/>
      <c r="BQ101" s="648"/>
      <c r="BR101" s="648"/>
      <c r="BS101" s="648"/>
      <c r="BT101" s="648"/>
      <c r="BU101" s="648"/>
      <c r="BV101" s="648"/>
      <c r="BW101" s="649"/>
    </row>
    <row r="102" spans="2:82" ht="17.100000000000001" customHeight="1" thickTop="1" thickBot="1" x14ac:dyDescent="0.3">
      <c r="E102" s="659"/>
      <c r="F102" s="660"/>
      <c r="G102" s="4568" t="s">
        <v>974</v>
      </c>
      <c r="H102" s="4568"/>
      <c r="I102" s="4568"/>
      <c r="J102" s="4568"/>
      <c r="K102" s="4568"/>
      <c r="L102" s="4568"/>
      <c r="M102" s="4568"/>
      <c r="N102" s="4568"/>
      <c r="O102" s="4568"/>
      <c r="P102" s="4568"/>
      <c r="Q102" s="4568"/>
      <c r="R102" s="4568"/>
      <c r="S102" s="4568"/>
      <c r="T102" s="4568"/>
      <c r="U102" s="4568"/>
      <c r="V102" s="4568"/>
      <c r="W102" s="661"/>
      <c r="X102" s="662"/>
      <c r="AA102" s="663"/>
      <c r="AB102" s="631"/>
      <c r="AC102" s="4579" t="s">
        <v>972</v>
      </c>
      <c r="AD102" s="4579"/>
      <c r="AE102" s="4579"/>
      <c r="AF102" s="4579"/>
      <c r="AG102" s="4579"/>
      <c r="AH102" s="4579"/>
      <c r="AI102" s="4579"/>
      <c r="AJ102" s="4579"/>
      <c r="AK102" s="4579"/>
      <c r="AL102" s="4579"/>
      <c r="AM102" s="4579"/>
      <c r="AN102" s="4579"/>
      <c r="AO102" s="4579"/>
      <c r="AP102" s="4579"/>
      <c r="AQ102" s="4579"/>
      <c r="AR102" s="4579"/>
      <c r="AS102" s="4579"/>
      <c r="AT102" s="4579"/>
      <c r="AU102" s="4579"/>
      <c r="AV102" s="4579"/>
      <c r="AW102" s="4579"/>
      <c r="AX102" s="4579"/>
      <c r="AY102" s="4579"/>
      <c r="AZ102" s="631"/>
      <c r="BA102" s="664"/>
      <c r="BD102" s="659"/>
      <c r="BE102" s="660"/>
      <c r="BF102" s="4568" t="s">
        <v>973</v>
      </c>
      <c r="BG102" s="4568"/>
      <c r="BH102" s="4568"/>
      <c r="BI102" s="4568"/>
      <c r="BJ102" s="4568"/>
      <c r="BK102" s="4568"/>
      <c r="BL102" s="4568"/>
      <c r="BM102" s="4568"/>
      <c r="BN102" s="4568"/>
      <c r="BO102" s="4568"/>
      <c r="BP102" s="4568"/>
      <c r="BQ102" s="4568"/>
      <c r="BR102" s="4568"/>
      <c r="BS102" s="4568"/>
      <c r="BT102" s="4568"/>
      <c r="BU102" s="4568"/>
      <c r="BV102" s="661"/>
      <c r="BW102" s="662"/>
    </row>
    <row r="103" spans="2:82" ht="17.100000000000001" customHeight="1" thickTop="1" thickBot="1" x14ac:dyDescent="0.3">
      <c r="E103" s="659"/>
      <c r="F103" s="660"/>
      <c r="G103" s="661"/>
      <c r="H103" s="661"/>
      <c r="I103" s="661"/>
      <c r="J103" s="661"/>
      <c r="K103" s="661"/>
      <c r="L103" s="661"/>
      <c r="M103" s="661"/>
      <c r="N103" s="661"/>
      <c r="O103" s="661"/>
      <c r="P103" s="661"/>
      <c r="Q103" s="661"/>
      <c r="R103" s="661"/>
      <c r="S103" s="661"/>
      <c r="T103" s="661"/>
      <c r="U103" s="661"/>
      <c r="V103" s="661"/>
      <c r="W103" s="661"/>
      <c r="X103" s="662"/>
      <c r="AA103" s="663"/>
      <c r="AB103" s="631"/>
      <c r="AC103" s="631"/>
      <c r="AD103" s="631"/>
      <c r="AE103" s="631"/>
      <c r="AF103" s="631"/>
      <c r="AG103" s="631"/>
      <c r="AH103" s="631"/>
      <c r="AI103" s="631"/>
      <c r="AJ103" s="631"/>
      <c r="AK103" s="631"/>
      <c r="AL103" s="631"/>
      <c r="AM103" s="631"/>
      <c r="AN103" s="631"/>
      <c r="AO103" s="631"/>
      <c r="AP103" s="631"/>
      <c r="AQ103" s="631"/>
      <c r="AR103" s="631"/>
      <c r="AS103" s="631"/>
      <c r="AT103" s="631"/>
      <c r="AU103" s="631"/>
      <c r="AV103" s="631"/>
      <c r="AW103" s="631"/>
      <c r="AX103" s="631"/>
      <c r="AY103" s="631"/>
      <c r="AZ103" s="631"/>
      <c r="BA103" s="664"/>
      <c r="BD103" s="659"/>
      <c r="BE103" s="660"/>
      <c r="BF103" s="661"/>
      <c r="BG103" s="661"/>
      <c r="BH103" s="661"/>
      <c r="BI103" s="661"/>
      <c r="BJ103" s="661"/>
      <c r="BK103" s="661"/>
      <c r="BL103" s="661"/>
      <c r="BM103" s="661"/>
      <c r="BN103" s="661"/>
      <c r="BO103" s="661"/>
      <c r="BP103" s="661"/>
      <c r="BQ103" s="661"/>
      <c r="BR103" s="661"/>
      <c r="BS103" s="661"/>
      <c r="BT103" s="661"/>
      <c r="BU103" s="661"/>
      <c r="BV103" s="661"/>
      <c r="BW103" s="662"/>
    </row>
    <row r="104" spans="2:82" ht="17.100000000000001" customHeight="1" thickTop="1" thickBot="1" x14ac:dyDescent="0.3">
      <c r="E104" s="659"/>
      <c r="F104" s="660"/>
      <c r="G104" s="661"/>
      <c r="H104" s="661"/>
      <c r="I104" s="661"/>
      <c r="J104" s="661"/>
      <c r="K104" s="661"/>
      <c r="L104" s="661"/>
      <c r="M104" s="661"/>
      <c r="N104" s="661"/>
      <c r="O104" s="661"/>
      <c r="P104" s="661"/>
      <c r="Q104" s="661"/>
      <c r="R104" s="661"/>
      <c r="S104" s="661"/>
      <c r="T104" s="661"/>
      <c r="U104" s="661"/>
      <c r="V104" s="661"/>
      <c r="W104" s="661"/>
      <c r="X104" s="662"/>
      <c r="AA104" s="663"/>
      <c r="AB104" s="2723" t="s">
        <v>119</v>
      </c>
      <c r="AC104" s="2724"/>
      <c r="AD104" s="2724"/>
      <c r="AE104" s="2724"/>
      <c r="AF104" s="2724"/>
      <c r="AG104" s="2724"/>
      <c r="AH104" s="2724"/>
      <c r="AI104" s="2724"/>
      <c r="AJ104" s="2724"/>
      <c r="AK104" s="2724"/>
      <c r="AL104" s="2724"/>
      <c r="AM104" s="2724"/>
      <c r="AN104" s="2725"/>
      <c r="AO104" s="2725"/>
      <c r="AP104" s="2757" t="s">
        <v>557</v>
      </c>
      <c r="AQ104" s="4533">
        <f>IF(AV104&gt;0,AS104/AV104,0)</f>
        <v>0</v>
      </c>
      <c r="AR104" s="4534"/>
      <c r="AS104" s="4576"/>
      <c r="AT104" s="4576"/>
      <c r="AU104" s="634" t="s">
        <v>117</v>
      </c>
      <c r="AV104" s="4518"/>
      <c r="AW104" s="4518"/>
      <c r="AX104" s="4518" t="str">
        <f>IF(AN105="book", "pages","minutes")</f>
        <v>minutes</v>
      </c>
      <c r="AY104" s="4518"/>
      <c r="AZ104" s="4539"/>
      <c r="BA104" s="664"/>
      <c r="BD104" s="659"/>
      <c r="BE104" s="660"/>
      <c r="BF104" s="661"/>
      <c r="BG104" s="661"/>
      <c r="BH104" s="661"/>
      <c r="BI104" s="661"/>
      <c r="BJ104" s="661"/>
      <c r="BK104" s="661"/>
      <c r="BL104" s="661"/>
      <c r="BM104" s="661"/>
      <c r="BN104" s="661"/>
      <c r="BO104" s="661"/>
      <c r="BP104" s="661"/>
      <c r="BQ104" s="661"/>
      <c r="BR104" s="661"/>
      <c r="BS104" s="661"/>
      <c r="BT104" s="661"/>
      <c r="BU104" s="661"/>
      <c r="BV104" s="661"/>
      <c r="BW104" s="662"/>
    </row>
    <row r="105" spans="2:82" ht="17.100000000000001" customHeight="1" thickTop="1" thickBot="1" x14ac:dyDescent="0.3">
      <c r="E105" s="659"/>
      <c r="F105" s="661"/>
      <c r="G105" s="661"/>
      <c r="H105" s="661"/>
      <c r="I105" s="661"/>
      <c r="J105" s="661"/>
      <c r="K105" s="661"/>
      <c r="L105" s="661"/>
      <c r="M105" s="661"/>
      <c r="N105" s="661"/>
      <c r="O105" s="661"/>
      <c r="P105" s="661"/>
      <c r="Q105" s="661"/>
      <c r="R105" s="661"/>
      <c r="S105" s="661"/>
      <c r="T105" s="661"/>
      <c r="U105" s="661"/>
      <c r="V105" s="661"/>
      <c r="W105" s="661"/>
      <c r="X105" s="662"/>
      <c r="AA105" s="663"/>
      <c r="AB105" s="2730" t="s">
        <v>120</v>
      </c>
      <c r="AC105" s="2731"/>
      <c r="AD105" s="2731"/>
      <c r="AE105" s="2731"/>
      <c r="AF105" s="2731"/>
      <c r="AG105" s="2731"/>
      <c r="AH105" s="2731"/>
      <c r="AI105" s="2731"/>
      <c r="AJ105" s="2732" t="s">
        <v>121</v>
      </c>
      <c r="AK105" s="2731"/>
      <c r="AL105" s="2731"/>
      <c r="AM105" s="2732" t="s">
        <v>177</v>
      </c>
      <c r="AN105" s="2731"/>
      <c r="AO105" s="2731"/>
      <c r="AP105" s="2758" t="s">
        <v>70</v>
      </c>
      <c r="AQ105" s="2730" t="s">
        <v>521</v>
      </c>
      <c r="AR105" s="2760"/>
      <c r="AS105" s="2760"/>
      <c r="AT105" s="2760"/>
      <c r="AU105" s="2760"/>
      <c r="AV105" s="637"/>
      <c r="AW105" s="637"/>
      <c r="AX105" s="637"/>
      <c r="AY105" s="637"/>
      <c r="AZ105" s="637"/>
      <c r="BA105" s="664"/>
      <c r="BD105" s="659"/>
      <c r="BE105" s="661"/>
      <c r="BF105" s="661"/>
      <c r="BG105" s="661"/>
      <c r="BH105" s="661"/>
      <c r="BI105" s="661"/>
      <c r="BJ105" s="661"/>
      <c r="BK105" s="661"/>
      <c r="BL105" s="661"/>
      <c r="BM105" s="661"/>
      <c r="BN105" s="661"/>
      <c r="BO105" s="661"/>
      <c r="BP105" s="661"/>
      <c r="BQ105" s="661"/>
      <c r="BR105" s="661"/>
      <c r="BS105" s="661"/>
      <c r="BT105" s="661"/>
      <c r="BU105" s="661"/>
      <c r="BV105" s="661"/>
      <c r="BW105" s="662"/>
    </row>
    <row r="106" spans="2:82" ht="17.100000000000001" customHeight="1" thickTop="1" thickBot="1" x14ac:dyDescent="0.3">
      <c r="E106" s="659"/>
      <c r="F106" s="661"/>
      <c r="G106" s="4519" t="s">
        <v>72</v>
      </c>
      <c r="H106" s="4520"/>
      <c r="I106" s="4523" t="str">
        <f>IF(ISBLANK(G108),data!$JO$121,_xlfn.IFS(
ISNUMBER(SEARCH( data!$JP$87, G108 )), data!$JO$87,
ISNUMBER(SEARCH( data!$JP$88, G108 )), data!$JO$88,
ISNUMBER(SEARCH( data!$JP$89, G108 )), data!$JO$89,
ISNUMBER(SEARCH( data!$JP$90, G108 )), data!$JO$90,
ISNUMBER(SEARCH( data!$JP$91, G108 )), data!$JO$91,
ISNUMBER(SEARCH( data!$JP$92, G108 )), data!$JO$92,
ISNUMBER(SEARCH( data!$JP$93, G108 )), data!$JO$93,
ISNUMBER(SEARCH( data!$JP$94, G108 )), data!$JO$94,
ISNUMBER(SEARCH( data!$JP$95, G108 )), data!$JO$95,
ISNUMBER(SEARCH( data!$JP$96, G108 )), data!$JO$96,
ISNUMBER(SEARCH( data!$JP$97, G108 )), data!$JO$97,
ISNUMBER(SEARCH( data!$JP$98, G108 )), data!$JO$98,
ISNUMBER(SEARCH( data!$JP$99, G108 )), data!$JO$99,
ISNUMBER(SEARCH( data!$JP$100, G108 )), data!$JO$100,
ISNUMBER(SEARCH( data!$JP$101, G108 )), data!$JO$101,
ISNUMBER(SEARCH( data!$JP$102, G108 )), data!$JO$102,
ISNUMBER(SEARCH( data!$JP$103, G108 )), data!$JO$103,
ISNUMBER(SEARCH( data!$JP$104, G108 )), data!$JO$104,
ISNUMBER(SEARCH( data!$JP$105, G108 )), data!$JO$105,
ISNUMBER(SEARCH( data!$JP$106, G108 )), data!$JO$106,
ISNUMBER(SEARCH( data!$JP$107, G108 )), data!$JO$107,
ISNUMBER(SEARCH( data!$JP$108, G108 )), data!$JO$108,
ISNUMBER(SEARCH( data!$JP$109, G108 )), data!$JO$109,
ISNUMBER(SEARCH( data!$JP$110, G108 )), data!$JO$110,
ISNUMBER(SEARCH( data!$JP$111, G108 )), data!$JO$111,
ISNUMBER(SEARCH( data!$JP$112, G108 )), data!$JO$112,
ISNUMBER(SEARCH( data!$JP$113, G108 )), data!$JO$113,
ISNUMBER(SEARCH( data!$JP$114, G108 )), data!$JO$114,
ISNUMBER(SEARCH( data!$JP$115, G108 )), data!$JO$115,
ISNUMBER(SEARCH( data!$JP$116, G108 )), data!$JO$116,
ISNUMBER(SEARCH( data!$JP$117, G108 )), data!$JO$117,
ISNUMBER(SEARCH( data!$JP$118, G108 )), data!$JO$118,
ISNUMBER(SEARCH( data!$JP$119, G108 )), data!$JO$119,
ISNUMBER(SEARCH( data!$JP$120, G108 )), data!$JO$120,
TRUE,data!$JO$122))</f>
        <v>◇</v>
      </c>
      <c r="J106" s="4523"/>
      <c r="K106" s="4523"/>
      <c r="L106" s="4520" t="s">
        <v>72</v>
      </c>
      <c r="M106" s="4525"/>
      <c r="N106" s="622"/>
      <c r="O106" s="622"/>
      <c r="P106" s="4519" t="s">
        <v>72</v>
      </c>
      <c r="Q106" s="4520"/>
      <c r="R106" s="4523" t="str">
        <f>IF(ISBLANK(P108),data!$JO$121,_xlfn.IFS(
ISNUMBER(SEARCH( data!$JP$87, P108 )), data!$JO$87,
ISNUMBER(SEARCH( data!$JP$88, P108 )), data!$JO$88,
ISNUMBER(SEARCH( data!$JP$89, P108 )), data!$JO$89,
ISNUMBER(SEARCH( data!$JP$90, P108 )), data!$JO$90,
ISNUMBER(SEARCH( data!$JP$91, P108 )), data!$JO$91,
ISNUMBER(SEARCH( data!$JP$92, P108 )), data!$JO$92,
ISNUMBER(SEARCH( data!$JP$93, P108 )), data!$JO$93,
ISNUMBER(SEARCH( data!$JP$94, P108 )), data!$JO$94,
ISNUMBER(SEARCH( data!$JP$95, P108 )), data!$JO$95,
ISNUMBER(SEARCH( data!$JP$96, P108 )), data!$JO$96,
ISNUMBER(SEARCH( data!$JP$97, P108 )), data!$JO$97,
ISNUMBER(SEARCH( data!$JP$98, P108 )), data!$JO$98,
ISNUMBER(SEARCH( data!$JP$99, P108 )), data!$JO$99,
ISNUMBER(SEARCH( data!$JP$100, P108 )), data!$JO$100,
ISNUMBER(SEARCH( data!$JP$101, P108 )), data!$JO$101,
ISNUMBER(SEARCH( data!$JP$102, P108 )), data!$JO$102,
ISNUMBER(SEARCH( data!$JP$103, P108 )), data!$JO$103,
ISNUMBER(SEARCH( data!$JP$104, P108 )), data!$JO$104,
ISNUMBER(SEARCH( data!$JP$105, P108 )), data!$JO$105,
ISNUMBER(SEARCH( data!$JP$106, P108 )), data!$JO$106,
ISNUMBER(SEARCH( data!$JP$107, P108 )), data!$JO$107,
ISNUMBER(SEARCH( data!$JP$108, P108 )), data!$JO$108,
ISNUMBER(SEARCH( data!$JP$109, P108 )), data!$JO$109,
ISNUMBER(SEARCH( data!$JP$110, P108 )), data!$JO$110,
ISNUMBER(SEARCH( data!$JP$111, P108 )), data!$JO$111,
ISNUMBER(SEARCH( data!$JP$112, P108 )), data!$JO$112,
ISNUMBER(SEARCH( data!$JP$113, P108 )), data!$JO$113,
ISNUMBER(SEARCH( data!$JP$114, P108 )), data!$JO$114,
ISNUMBER(SEARCH( data!$JP$115, P108 )), data!$JO$115,
ISNUMBER(SEARCH( data!$JP$116, P108 )), data!$JO$116,
ISNUMBER(SEARCH( data!$JP$117, P108 )), data!$JO$117,
ISNUMBER(SEARCH( data!$JP$118, P108 )), data!$JO$118,
ISNUMBER(SEARCH( data!$JP$119, P108 )), data!$JO$119,
ISNUMBER(SEARCH( data!$JP$120, P108 )), data!$JO$120,
TRUE,data!$JO$122))</f>
        <v>◇</v>
      </c>
      <c r="S106" s="4523"/>
      <c r="T106" s="4523"/>
      <c r="U106" s="4520" t="s">
        <v>72</v>
      </c>
      <c r="V106" s="4525"/>
      <c r="W106" s="661"/>
      <c r="X106" s="662"/>
      <c r="AA106" s="665"/>
      <c r="AB106" s="4541"/>
      <c r="AC106" s="4542"/>
      <c r="AD106" s="4542"/>
      <c r="AE106" s="4542"/>
      <c r="AF106" s="4542"/>
      <c r="AG106" s="4542"/>
      <c r="AH106" s="4542"/>
      <c r="AI106" s="4542"/>
      <c r="AJ106" s="4542"/>
      <c r="AK106" s="4542"/>
      <c r="AL106" s="4542"/>
      <c r="AM106" s="4551"/>
      <c r="AN106" s="4551"/>
      <c r="AO106" s="4551"/>
      <c r="AP106" s="4552"/>
      <c r="AQ106" s="4533">
        <f>IF(AV106&gt;0,AS106/AV106,0)</f>
        <v>0</v>
      </c>
      <c r="AR106" s="4534"/>
      <c r="AS106" s="4538"/>
      <c r="AT106" s="4538"/>
      <c r="AU106" s="634" t="s">
        <v>117</v>
      </c>
      <c r="AV106" s="4543"/>
      <c r="AW106" s="4543"/>
      <c r="AX106" s="4518" t="str">
        <f>IF(OR(AM106="Audiobook",AM106="Radioplay",AM106="Audiofilm",AM106="TV Audio",AM106="Podcast"), "minutes","pages")</f>
        <v>pages</v>
      </c>
      <c r="AY106" s="4518"/>
      <c r="AZ106" s="4539"/>
      <c r="BA106" s="1491">
        <f>IF(AQ106=100%,1,0)</f>
        <v>0</v>
      </c>
      <c r="BD106" s="659"/>
      <c r="BE106" s="661"/>
      <c r="BF106" s="4519" t="s">
        <v>72</v>
      </c>
      <c r="BG106" s="4520"/>
      <c r="BH106" s="4523" t="str">
        <f>IF(ISBLANK(BF108),data!$JQ$104,_xlfn.IFS(
ISNUMBER(SEARCH( data!$JR$87, BF108 )), data!$JQ$87,
ISNUMBER(SEARCH( data!$JR$88, BF108 )), data!$JQ$88,
ISNUMBER(SEARCH( data!$JR$89, BF108 )), data!$JQ$89,
ISNUMBER(SEARCH( data!$JR$90, BF108 )), data!$JQ$90,
ISNUMBER(SEARCH( data!$JR$91, BF108 )), data!$JQ$91,
ISNUMBER(SEARCH( data!$JR$92, BF108 )), data!$JQ$92,
ISNUMBER(SEARCH( data!$JR$93, BF108 )), data!$JQ$93,
ISNUMBER(SEARCH( data!$JR$94, BF108 )), data!$JQ$94,
ISNUMBER(SEARCH( data!$JR$95, BF108 )), data!$JQ$95,
ISNUMBER(SEARCH( data!$JR$96, BF108 )), data!$JQ$96,
ISNUMBER(SEARCH( data!$JR$97, BF108 )), data!$JQ$97,
ISNUMBER(SEARCH( data!$JR$98, BF108 )), data!$JQ$98,
ISNUMBER(SEARCH( data!$JR$99, BF108 )), data!$JQ$99,
ISNUMBER(SEARCH( data!$JR$100, BF108 )), data!$JQ$100,
ISNUMBER(SEARCH( data!$JR$101, BF108 )), data!$JQ$101,
ISNUMBER(SEARCH( data!$JR$102, BF108 )), data!$JQ$102,
ISNUMBER(SEARCH( data!$JR$103, BF108 )), data!$JQ$103,
TRUE,data!$JQ$105))</f>
        <v>◇</v>
      </c>
      <c r="BI106" s="4523"/>
      <c r="BJ106" s="4523"/>
      <c r="BK106" s="4520" t="s">
        <v>72</v>
      </c>
      <c r="BL106" s="4525"/>
      <c r="BM106" s="622"/>
      <c r="BN106" s="622"/>
      <c r="BO106" s="4519" t="s">
        <v>72</v>
      </c>
      <c r="BP106" s="4520"/>
      <c r="BQ106" s="4523" t="str">
        <f>IF(ISBLANK(BO108),data!$JQ$104,_xlfn.IFS(
ISNUMBER(SEARCH( data!$JR$87, BO108 )), data!$JQ$87,
ISNUMBER(SEARCH( data!$JR$88, BO108 )), data!$JQ$88,
ISNUMBER(SEARCH( data!$JR$89, BO108 )), data!$JQ$89,
ISNUMBER(SEARCH( data!$JR$90, BO108 )), data!$JQ$90,
ISNUMBER(SEARCH( data!$JR$91, BO108 )), data!$JQ$91,
ISNUMBER(SEARCH( data!$JR$92, BO108 )), data!$JQ$92,
ISNUMBER(SEARCH( data!$JR$93, BO108 )), data!$JQ$93,
ISNUMBER(SEARCH( data!$JR$94, BO108 )), data!$JQ$94,
ISNUMBER(SEARCH( data!$JR$95, BO108 )), data!$JQ$95,
ISNUMBER(SEARCH( data!$JR$96, BO108 )), data!$JQ$96,
ISNUMBER(SEARCH( data!$JR$97, BO108 )), data!$JQ$97,
ISNUMBER(SEARCH( data!$JR$98, BO108 )), data!$JQ$98,
ISNUMBER(SEARCH( data!$JR$99, BO108 )), data!$JQ$99,
ISNUMBER(SEARCH( data!$JR$100, BO108 )), data!$JQ$100,
ISNUMBER(SEARCH( data!$JR$101, BO108 )), data!$JQ$101,
ISNUMBER(SEARCH( data!$JR$102, BO108 )), data!$JQ$102,
ISNUMBER(SEARCH( data!$JR$103, BO108 )), data!$JQ$103,
TRUE,data!$JQ$105))</f>
        <v>◇</v>
      </c>
      <c r="BR106" s="4523"/>
      <c r="BS106" s="4523"/>
      <c r="BT106" s="4520" t="s">
        <v>72</v>
      </c>
      <c r="BU106" s="4525"/>
      <c r="BV106" s="661"/>
      <c r="BW106" s="662"/>
    </row>
    <row r="107" spans="2:82" ht="17.100000000000001" customHeight="1" thickTop="1" thickBot="1" x14ac:dyDescent="0.2">
      <c r="E107" s="659"/>
      <c r="F107" s="661"/>
      <c r="G107" s="4521"/>
      <c r="H107" s="4522"/>
      <c r="I107" s="4524"/>
      <c r="J107" s="4524"/>
      <c r="K107" s="4524"/>
      <c r="L107" s="4522"/>
      <c r="M107" s="4526"/>
      <c r="N107" s="622"/>
      <c r="O107" s="622"/>
      <c r="P107" s="4521"/>
      <c r="Q107" s="4522"/>
      <c r="R107" s="4524"/>
      <c r="S107" s="4524"/>
      <c r="T107" s="4524"/>
      <c r="U107" s="4522"/>
      <c r="V107" s="4526"/>
      <c r="W107" s="661"/>
      <c r="X107" s="662"/>
      <c r="AA107" s="665"/>
      <c r="AB107" s="4540"/>
      <c r="AC107" s="4535"/>
      <c r="AD107" s="4535"/>
      <c r="AE107" s="4535"/>
      <c r="AF107" s="4535"/>
      <c r="AG107" s="4535"/>
      <c r="AH107" s="4535"/>
      <c r="AI107" s="4535"/>
      <c r="AJ107" s="4535"/>
      <c r="AK107" s="4535"/>
      <c r="AL107" s="4535"/>
      <c r="AM107" s="4564"/>
      <c r="AN107" s="4564"/>
      <c r="AO107" s="4565"/>
      <c r="AP107" s="4566"/>
      <c r="AQ107" s="637"/>
      <c r="AR107" s="637"/>
      <c r="AS107" s="637"/>
      <c r="AT107" s="637"/>
      <c r="AU107" s="637"/>
      <c r="AV107" s="637"/>
      <c r="AW107" s="637"/>
      <c r="AX107" s="637"/>
      <c r="AY107" s="637"/>
      <c r="AZ107" s="637"/>
      <c r="BA107" s="1492"/>
      <c r="BD107" s="659"/>
      <c r="BE107" s="661"/>
      <c r="BF107" s="4521"/>
      <c r="BG107" s="4522"/>
      <c r="BH107" s="4524"/>
      <c r="BI107" s="4524"/>
      <c r="BJ107" s="4524"/>
      <c r="BK107" s="4522"/>
      <c r="BL107" s="4526"/>
      <c r="BM107" s="622"/>
      <c r="BN107" s="622"/>
      <c r="BO107" s="4521"/>
      <c r="BP107" s="4522"/>
      <c r="BQ107" s="4524"/>
      <c r="BR107" s="4524"/>
      <c r="BS107" s="4524"/>
      <c r="BT107" s="4522"/>
      <c r="BU107" s="4526"/>
      <c r="BV107" s="661"/>
      <c r="BW107" s="662"/>
    </row>
    <row r="108" spans="2:82" ht="17.100000000000001" customHeight="1" thickTop="1" thickBot="1" x14ac:dyDescent="0.3">
      <c r="E108" s="659"/>
      <c r="F108" s="661"/>
      <c r="G108" s="4527"/>
      <c r="H108" s="4528"/>
      <c r="I108" s="4528"/>
      <c r="J108" s="4528"/>
      <c r="K108" s="4528"/>
      <c r="L108" s="4528"/>
      <c r="M108" s="4529"/>
      <c r="N108" s="622"/>
      <c r="O108" s="622"/>
      <c r="P108" s="4527"/>
      <c r="Q108" s="4528"/>
      <c r="R108" s="4528"/>
      <c r="S108" s="4528"/>
      <c r="T108" s="4528"/>
      <c r="U108" s="4528"/>
      <c r="V108" s="4529"/>
      <c r="W108" s="661"/>
      <c r="X108" s="662"/>
      <c r="AA108" s="665"/>
      <c r="AB108" s="4541"/>
      <c r="AC108" s="4542"/>
      <c r="AD108" s="4542"/>
      <c r="AE108" s="4542"/>
      <c r="AF108" s="4542"/>
      <c r="AG108" s="4542"/>
      <c r="AH108" s="4542"/>
      <c r="AI108" s="4542"/>
      <c r="AJ108" s="4542"/>
      <c r="AK108" s="4542"/>
      <c r="AL108" s="4542"/>
      <c r="AM108" s="4551"/>
      <c r="AN108" s="4551"/>
      <c r="AO108" s="4551"/>
      <c r="AP108" s="4552"/>
      <c r="AQ108" s="4533">
        <f>IF(AV108&gt;0,AS108/AV108,0)</f>
        <v>0</v>
      </c>
      <c r="AR108" s="4534"/>
      <c r="AS108" s="4538"/>
      <c r="AT108" s="4538"/>
      <c r="AU108" s="634" t="s">
        <v>117</v>
      </c>
      <c r="AV108" s="4543"/>
      <c r="AW108" s="4543"/>
      <c r="AX108" s="4518" t="str">
        <f>IF(OR(AM108="Audiobook",AM108="Radioplay",AM108="Audiofilm",AM108="TV Audio",AM108="Podcast"), "minutes","pages")</f>
        <v>pages</v>
      </c>
      <c r="AY108" s="4518"/>
      <c r="AZ108" s="4539"/>
      <c r="BA108" s="1491">
        <f t="shared" ref="BA108" si="7">IF(AQ108=100%,1,0)</f>
        <v>0</v>
      </c>
      <c r="BD108" s="659"/>
      <c r="BE108" s="661"/>
      <c r="BF108" s="4527"/>
      <c r="BG108" s="4528"/>
      <c r="BH108" s="4528"/>
      <c r="BI108" s="4528"/>
      <c r="BJ108" s="4528"/>
      <c r="BK108" s="4528"/>
      <c r="BL108" s="4529"/>
      <c r="BM108" s="622"/>
      <c r="BN108" s="622"/>
      <c r="BO108" s="4527"/>
      <c r="BP108" s="4528"/>
      <c r="BQ108" s="4528"/>
      <c r="BR108" s="4528"/>
      <c r="BS108" s="4528"/>
      <c r="BT108" s="4528"/>
      <c r="BU108" s="4529"/>
      <c r="BV108" s="661"/>
      <c r="BW108" s="662"/>
    </row>
    <row r="109" spans="2:82" ht="17.100000000000001" customHeight="1" thickTop="1" thickBot="1" x14ac:dyDescent="0.2">
      <c r="E109" s="659"/>
      <c r="F109" s="661"/>
      <c r="G109" s="4530"/>
      <c r="H109" s="4531"/>
      <c r="I109" s="4531"/>
      <c r="J109" s="4531"/>
      <c r="K109" s="4531"/>
      <c r="L109" s="4531"/>
      <c r="M109" s="4532"/>
      <c r="N109" s="622"/>
      <c r="O109" s="622"/>
      <c r="P109" s="4530"/>
      <c r="Q109" s="4531"/>
      <c r="R109" s="4531"/>
      <c r="S109" s="4531"/>
      <c r="T109" s="4531"/>
      <c r="U109" s="4531"/>
      <c r="V109" s="4532"/>
      <c r="W109" s="661"/>
      <c r="X109" s="662"/>
      <c r="AA109" s="665"/>
      <c r="AB109" s="4540"/>
      <c r="AC109" s="4535"/>
      <c r="AD109" s="4535"/>
      <c r="AE109" s="4535"/>
      <c r="AF109" s="4535"/>
      <c r="AG109" s="4535"/>
      <c r="AH109" s="4535"/>
      <c r="AI109" s="4535"/>
      <c r="AJ109" s="4535"/>
      <c r="AK109" s="4535"/>
      <c r="AL109" s="4535"/>
      <c r="AM109" s="4564"/>
      <c r="AN109" s="4564"/>
      <c r="AO109" s="4565"/>
      <c r="AP109" s="4566"/>
      <c r="AQ109" s="637"/>
      <c r="AR109" s="637"/>
      <c r="AS109" s="637"/>
      <c r="AT109" s="637"/>
      <c r="AU109" s="637"/>
      <c r="AV109" s="637"/>
      <c r="AW109" s="637"/>
      <c r="AX109" s="637"/>
      <c r="AY109" s="637"/>
      <c r="AZ109" s="637"/>
      <c r="BA109" s="1492"/>
      <c r="BD109" s="659"/>
      <c r="BE109" s="661"/>
      <c r="BF109" s="4530"/>
      <c r="BG109" s="4531"/>
      <c r="BH109" s="4531"/>
      <c r="BI109" s="4531"/>
      <c r="BJ109" s="4531"/>
      <c r="BK109" s="4531"/>
      <c r="BL109" s="4532"/>
      <c r="BM109" s="622"/>
      <c r="BN109" s="622"/>
      <c r="BO109" s="4530"/>
      <c r="BP109" s="4531"/>
      <c r="BQ109" s="4531"/>
      <c r="BR109" s="4531"/>
      <c r="BS109" s="4531"/>
      <c r="BT109" s="4531"/>
      <c r="BU109" s="4532"/>
      <c r="BV109" s="661"/>
      <c r="BW109" s="662"/>
    </row>
    <row r="110" spans="2:82" ht="17.100000000000001" customHeight="1" thickTop="1" thickBot="1" x14ac:dyDescent="0.3">
      <c r="E110" s="659"/>
      <c r="F110" s="661"/>
      <c r="G110" s="4517"/>
      <c r="H110" s="4517"/>
      <c r="I110" s="4517"/>
      <c r="J110" s="4517"/>
      <c r="K110" s="4517"/>
      <c r="L110" s="4517"/>
      <c r="M110" s="4517"/>
      <c r="N110" s="924"/>
      <c r="O110" s="924"/>
      <c r="P110" s="4517"/>
      <c r="Q110" s="4517"/>
      <c r="R110" s="4517"/>
      <c r="S110" s="4517"/>
      <c r="T110" s="4517"/>
      <c r="U110" s="4517"/>
      <c r="V110" s="4517"/>
      <c r="W110" s="661"/>
      <c r="X110" s="662"/>
      <c r="AA110" s="665"/>
      <c r="AB110" s="4541"/>
      <c r="AC110" s="4542"/>
      <c r="AD110" s="4542"/>
      <c r="AE110" s="4542"/>
      <c r="AF110" s="4542"/>
      <c r="AG110" s="4542"/>
      <c r="AH110" s="4542"/>
      <c r="AI110" s="4542"/>
      <c r="AJ110" s="4542"/>
      <c r="AK110" s="4542"/>
      <c r="AL110" s="4542"/>
      <c r="AM110" s="4551"/>
      <c r="AN110" s="4551"/>
      <c r="AO110" s="4551"/>
      <c r="AP110" s="4552"/>
      <c r="AQ110" s="4533">
        <f>IF(AV110&gt;0,AS110/AV110,0)</f>
        <v>0</v>
      </c>
      <c r="AR110" s="4534"/>
      <c r="AS110" s="4538"/>
      <c r="AT110" s="4538"/>
      <c r="AU110" s="634" t="s">
        <v>117</v>
      </c>
      <c r="AV110" s="4543"/>
      <c r="AW110" s="4543"/>
      <c r="AX110" s="4518" t="str">
        <f>IF(OR(AM110="Audiobook",AM110="Radioplay",AM110="Audiofilm",AM110="TV Audio",AM110="Podcast"), "minutes","pages")</f>
        <v>pages</v>
      </c>
      <c r="AY110" s="4518"/>
      <c r="AZ110" s="4539"/>
      <c r="BA110" s="1491">
        <f t="shared" ref="BA110" si="8">IF(AQ110=100%,1,0)</f>
        <v>0</v>
      </c>
      <c r="BD110" s="659"/>
      <c r="BE110" s="661"/>
      <c r="BF110" s="4517"/>
      <c r="BG110" s="4517"/>
      <c r="BH110" s="4517"/>
      <c r="BI110" s="4517"/>
      <c r="BJ110" s="4517"/>
      <c r="BK110" s="4517"/>
      <c r="BL110" s="4517"/>
      <c r="BM110" s="924"/>
      <c r="BN110" s="924"/>
      <c r="BO110" s="4517"/>
      <c r="BP110" s="4517"/>
      <c r="BQ110" s="4517"/>
      <c r="BR110" s="4517"/>
      <c r="BS110" s="4517"/>
      <c r="BT110" s="4517"/>
      <c r="BU110" s="4517"/>
      <c r="BV110" s="661"/>
      <c r="BW110" s="662"/>
    </row>
    <row r="111" spans="2:82" ht="17.100000000000001" customHeight="1" thickTop="1" thickBot="1" x14ac:dyDescent="0.2">
      <c r="E111" s="659"/>
      <c r="F111" s="661"/>
      <c r="G111" s="617"/>
      <c r="H111" s="617"/>
      <c r="I111" s="617"/>
      <c r="J111" s="617"/>
      <c r="K111" s="617"/>
      <c r="L111" s="617"/>
      <c r="M111" s="617"/>
      <c r="N111" s="617"/>
      <c r="O111" s="617"/>
      <c r="P111" s="617"/>
      <c r="Q111" s="617"/>
      <c r="R111" s="617"/>
      <c r="S111" s="617"/>
      <c r="T111" s="617"/>
      <c r="U111" s="617"/>
      <c r="V111" s="617"/>
      <c r="W111" s="661"/>
      <c r="X111" s="662"/>
      <c r="AA111" s="665"/>
      <c r="AB111" s="4540"/>
      <c r="AC111" s="4535"/>
      <c r="AD111" s="4535"/>
      <c r="AE111" s="4535"/>
      <c r="AF111" s="4535"/>
      <c r="AG111" s="4535"/>
      <c r="AH111" s="4535"/>
      <c r="AI111" s="4535"/>
      <c r="AJ111" s="4535"/>
      <c r="AK111" s="4535"/>
      <c r="AL111" s="4535"/>
      <c r="AM111" s="4564"/>
      <c r="AN111" s="4564"/>
      <c r="AO111" s="4565"/>
      <c r="AP111" s="4566"/>
      <c r="AQ111" s="637"/>
      <c r="AR111" s="637"/>
      <c r="AS111" s="637"/>
      <c r="AT111" s="637"/>
      <c r="AU111" s="637"/>
      <c r="AV111" s="637"/>
      <c r="AW111" s="637"/>
      <c r="AX111" s="637"/>
      <c r="AY111" s="637"/>
      <c r="AZ111" s="637"/>
      <c r="BA111" s="1492"/>
      <c r="BD111" s="659"/>
      <c r="BE111" s="661"/>
      <c r="BF111" s="617"/>
      <c r="BG111" s="617"/>
      <c r="BH111" s="617"/>
      <c r="BI111" s="617"/>
      <c r="BJ111" s="617"/>
      <c r="BK111" s="617"/>
      <c r="BL111" s="617"/>
      <c r="BM111" s="617"/>
      <c r="BN111" s="617"/>
      <c r="BO111" s="617"/>
      <c r="BP111" s="617"/>
      <c r="BQ111" s="617"/>
      <c r="BR111" s="617"/>
      <c r="BS111" s="617"/>
      <c r="BT111" s="617"/>
      <c r="BU111" s="617"/>
      <c r="BV111" s="661"/>
      <c r="BW111" s="662"/>
    </row>
    <row r="112" spans="2:82" ht="17.100000000000001" customHeight="1" thickTop="1" thickBot="1" x14ac:dyDescent="0.3">
      <c r="E112" s="659"/>
      <c r="F112" s="661"/>
      <c r="G112" s="4519" t="s">
        <v>72</v>
      </c>
      <c r="H112" s="4520"/>
      <c r="I112" s="4523" t="str">
        <f>IF(ISBLANK(G114),data!$JO$121,_xlfn.IFS(
ISNUMBER(SEARCH( data!$JP$87, G114 )), data!$JO$87,
ISNUMBER(SEARCH( data!$JP$88, G114 )), data!$JO$88,
ISNUMBER(SEARCH( data!$JP$89, G114 )), data!$JO$89,
ISNUMBER(SEARCH( data!$JP$90, G114 )), data!$JO$90,
ISNUMBER(SEARCH( data!$JP$91, G114 )), data!$JO$91,
ISNUMBER(SEARCH( data!$JP$92, G114 )), data!$JO$92,
ISNUMBER(SEARCH( data!$JP$93, G114 )), data!$JO$93,
ISNUMBER(SEARCH( data!$JP$94, G114 )), data!$JO$94,
ISNUMBER(SEARCH( data!$JP$95, G114 )), data!$JO$95,
ISNUMBER(SEARCH( data!$JP$96, G114 )), data!$JO$96,
ISNUMBER(SEARCH( data!$JP$97, G114 )), data!$JO$97,
ISNUMBER(SEARCH( data!$JP$98, G114 )), data!$JO$98,
ISNUMBER(SEARCH( data!$JP$99, G114 )), data!$JO$99,
ISNUMBER(SEARCH( data!$JP$100, G114 )), data!$JO$100,
ISNUMBER(SEARCH( data!$JP$101, G114 )), data!$JO$101,
ISNUMBER(SEARCH( data!$JP$102, G114 )), data!$JO$102,
ISNUMBER(SEARCH( data!$JP$103, G114 )), data!$JO$103,
ISNUMBER(SEARCH( data!$JP$104, G114 )), data!$JO$104,
ISNUMBER(SEARCH( data!$JP$105, G114 )), data!$JO$105,
ISNUMBER(SEARCH( data!$JP$106, G114 )), data!$JO$106,
ISNUMBER(SEARCH( data!$JP$107, G114 )), data!$JO$107,
ISNUMBER(SEARCH( data!$JP$108, G114 )), data!$JO$108,
ISNUMBER(SEARCH( data!$JP$109, G114 )), data!$JO$109,
ISNUMBER(SEARCH( data!$JP$110, G114 )), data!$JO$110,
ISNUMBER(SEARCH( data!$JP$111, G114 )), data!$JO$111,
ISNUMBER(SEARCH( data!$JP$112, G114 )), data!$JO$112,
ISNUMBER(SEARCH( data!$JP$113, G114 )), data!$JO$113,
ISNUMBER(SEARCH( data!$JP$114, G114 )), data!$JO$114,
ISNUMBER(SEARCH( data!$JP$115, G114 )), data!$JO$115,
ISNUMBER(SEARCH( data!$JP$116, G114 )), data!$JO$116,
ISNUMBER(SEARCH( data!$JP$117, G114 )), data!$JO$117,
ISNUMBER(SEARCH( data!$JP$118, G114 )), data!$JO$118,
ISNUMBER(SEARCH( data!$JP$119, G114 )), data!$JO$119,
ISNUMBER(SEARCH( data!$JP$120, G114 )), data!$JO$120,
TRUE,data!$JO$122))</f>
        <v>◇</v>
      </c>
      <c r="J112" s="4523"/>
      <c r="K112" s="4523"/>
      <c r="L112" s="4520" t="s">
        <v>72</v>
      </c>
      <c r="M112" s="4525"/>
      <c r="N112" s="622"/>
      <c r="O112" s="622"/>
      <c r="P112" s="4519" t="s">
        <v>72</v>
      </c>
      <c r="Q112" s="4520"/>
      <c r="R112" s="4523" t="str">
        <f>IF(ISBLANK(P114),data!$JO$121,_xlfn.IFS(
ISNUMBER(SEARCH( data!$JP$87, P114 )), data!$JO$87,
ISNUMBER(SEARCH( data!$JP$88, P114 )), data!$JO$88,
ISNUMBER(SEARCH( data!$JP$89, P114 )), data!$JO$89,
ISNUMBER(SEARCH( data!$JP$90, P114 )), data!$JO$90,
ISNUMBER(SEARCH( data!$JP$91, P114 )), data!$JO$91,
ISNUMBER(SEARCH( data!$JP$92, P114 )), data!$JO$92,
ISNUMBER(SEARCH( data!$JP$93, P114 )), data!$JO$93,
ISNUMBER(SEARCH( data!$JP$94, P114 )), data!$JO$94,
ISNUMBER(SEARCH( data!$JP$95, P114 )), data!$JO$95,
ISNUMBER(SEARCH( data!$JP$96, P114 )), data!$JO$96,
ISNUMBER(SEARCH( data!$JP$97, P114 )), data!$JO$97,
ISNUMBER(SEARCH( data!$JP$98, P114 )), data!$JO$98,
ISNUMBER(SEARCH( data!$JP$99, P114 )), data!$JO$99,
ISNUMBER(SEARCH( data!$JP$100, P114 )), data!$JO$100,
ISNUMBER(SEARCH( data!$JP$101, P114 )), data!$JO$101,
ISNUMBER(SEARCH( data!$JP$102, P114 )), data!$JO$102,
ISNUMBER(SEARCH( data!$JP$103, P114 )), data!$JO$103,
ISNUMBER(SEARCH( data!$JP$104, P114 )), data!$JO$104,
ISNUMBER(SEARCH( data!$JP$105, P114 )), data!$JO$105,
ISNUMBER(SEARCH( data!$JP$106, P114 )), data!$JO$106,
ISNUMBER(SEARCH( data!$JP$107, P114 )), data!$JO$107,
ISNUMBER(SEARCH( data!$JP$108, P114 )), data!$JO$108,
ISNUMBER(SEARCH( data!$JP$109, P114 )), data!$JO$109,
ISNUMBER(SEARCH( data!$JP$110, P114 )), data!$JO$110,
ISNUMBER(SEARCH( data!$JP$111, P114 )), data!$JO$111,
ISNUMBER(SEARCH( data!$JP$112, P114 )), data!$JO$112,
ISNUMBER(SEARCH( data!$JP$113, P114 )), data!$JO$113,
ISNUMBER(SEARCH( data!$JP$114, P114 )), data!$JO$114,
ISNUMBER(SEARCH( data!$JP$115, P114 )), data!$JO$115,
ISNUMBER(SEARCH( data!$JP$116, P114 )), data!$JO$116,
ISNUMBER(SEARCH( data!$JP$117, P114 )), data!$JO$117,
ISNUMBER(SEARCH( data!$JP$118, P114 )), data!$JO$118,
ISNUMBER(SEARCH( data!$JP$119, P114 )), data!$JO$119,
ISNUMBER(SEARCH( data!$JP$120, P114 )), data!$JO$120,
TRUE,data!$JO$122))</f>
        <v>◇</v>
      </c>
      <c r="S112" s="4523"/>
      <c r="T112" s="4523"/>
      <c r="U112" s="4520" t="s">
        <v>72</v>
      </c>
      <c r="V112" s="4525"/>
      <c r="W112" s="661"/>
      <c r="X112" s="662"/>
      <c r="AA112" s="665"/>
      <c r="AB112" s="4541"/>
      <c r="AC112" s="4542"/>
      <c r="AD112" s="4542"/>
      <c r="AE112" s="4542"/>
      <c r="AF112" s="4542"/>
      <c r="AG112" s="4542"/>
      <c r="AH112" s="4542"/>
      <c r="AI112" s="4542"/>
      <c r="AJ112" s="4542"/>
      <c r="AK112" s="4542"/>
      <c r="AL112" s="4542"/>
      <c r="AM112" s="4551"/>
      <c r="AN112" s="4551"/>
      <c r="AO112" s="4551"/>
      <c r="AP112" s="4552"/>
      <c r="AQ112" s="4533">
        <f>IF(AV112&gt;0,AS112/AV112,0)</f>
        <v>0</v>
      </c>
      <c r="AR112" s="4534"/>
      <c r="AS112" s="4538"/>
      <c r="AT112" s="4538"/>
      <c r="AU112" s="634" t="s">
        <v>117</v>
      </c>
      <c r="AV112" s="4543"/>
      <c r="AW112" s="4543"/>
      <c r="AX112" s="4518" t="str">
        <f>IF(OR(AM112="Audiobook",AM112="Radioplay",AM112="Audiofilm",AM112="TV Audio",AM112="Podcast"), "minutes","pages")</f>
        <v>pages</v>
      </c>
      <c r="AY112" s="4518"/>
      <c r="AZ112" s="4539"/>
      <c r="BA112" s="1491">
        <f t="shared" ref="BA112" si="9">IF(AQ112=100%,1,0)</f>
        <v>0</v>
      </c>
      <c r="BD112" s="659"/>
      <c r="BE112" s="661"/>
      <c r="BF112" s="4519" t="s">
        <v>72</v>
      </c>
      <c r="BG112" s="4520"/>
      <c r="BH112" s="4523" t="str">
        <f>IF(ISBLANK(BF114),data!$JQ$104,_xlfn.IFS(
ISNUMBER(SEARCH( data!$JR$87, BF114 )), data!$JQ$87,
ISNUMBER(SEARCH( data!$JR$88, BF114 )), data!$JQ$88,
ISNUMBER(SEARCH( data!$JR$89, BF114 )), data!$JQ$89,
ISNUMBER(SEARCH( data!$JR$90, BF114 )), data!$JQ$90,
ISNUMBER(SEARCH( data!$JR$91, BF114 )), data!$JQ$91,
ISNUMBER(SEARCH( data!$JR$92, BF114 )), data!$JQ$92,
ISNUMBER(SEARCH( data!$JR$93, BF114 )), data!$JQ$93,
ISNUMBER(SEARCH( data!$JR$94, BF114 )), data!$JQ$94,
ISNUMBER(SEARCH( data!$JR$95, BF114 )), data!$JQ$95,
ISNUMBER(SEARCH( data!$JR$96, BF114 )), data!$JQ$96,
ISNUMBER(SEARCH( data!$JR$97, BF114 )), data!$JQ$97,
ISNUMBER(SEARCH( data!$JR$98, BF114 )), data!$JQ$98,
ISNUMBER(SEARCH( data!$JR$99, BF114 )), data!$JQ$99,
ISNUMBER(SEARCH( data!$JR$100, BF114 )), data!$JQ$100,
ISNUMBER(SEARCH( data!$JR$101, BF114 )), data!$JQ$101,
ISNUMBER(SEARCH( data!$JR$102, BF114 )), data!$JQ$102,
ISNUMBER(SEARCH( data!$JR$103, BF114 )), data!$JQ$103,
TRUE,data!$JQ$105))</f>
        <v>◇</v>
      </c>
      <c r="BI112" s="4523"/>
      <c r="BJ112" s="4523"/>
      <c r="BK112" s="4520" t="s">
        <v>72</v>
      </c>
      <c r="BL112" s="4525"/>
      <c r="BM112" s="622"/>
      <c r="BN112" s="622"/>
      <c r="BO112" s="4519" t="s">
        <v>72</v>
      </c>
      <c r="BP112" s="4520"/>
      <c r="BQ112" s="4523" t="str">
        <f>IF(ISBLANK(BO114),data!$JQ$104,_xlfn.IFS(
ISNUMBER(SEARCH( data!$JR$87, BO114 )), data!$JQ$87,
ISNUMBER(SEARCH( data!$JR$88, BO114 )), data!$JQ$88,
ISNUMBER(SEARCH( data!$JR$89, BO114 )), data!$JQ$89,
ISNUMBER(SEARCH( data!$JR$90, BO114 )), data!$JQ$90,
ISNUMBER(SEARCH( data!$JR$91, BO114 )), data!$JQ$91,
ISNUMBER(SEARCH( data!$JR$92, BO114 )), data!$JQ$92,
ISNUMBER(SEARCH( data!$JR$93, BO114 )), data!$JQ$93,
ISNUMBER(SEARCH( data!$JR$94, BO114 )), data!$JQ$94,
ISNUMBER(SEARCH( data!$JR$95, BO114 )), data!$JQ$95,
ISNUMBER(SEARCH( data!$JR$96, BO114 )), data!$JQ$96,
ISNUMBER(SEARCH( data!$JR$97, BO114 )), data!$JQ$97,
ISNUMBER(SEARCH( data!$JR$98, BO114 )), data!$JQ$98,
ISNUMBER(SEARCH( data!$JR$99, BO114 )), data!$JQ$99,
ISNUMBER(SEARCH( data!$JR$100, BO114 )), data!$JQ$100,
ISNUMBER(SEARCH( data!$JR$101, BO114 )), data!$JQ$101,
ISNUMBER(SEARCH( data!$JR$102, BO114 )), data!$JQ$102,
ISNUMBER(SEARCH( data!$JR$103, BO114 )), data!$JQ$103,
TRUE,data!$JQ$105))</f>
        <v>◇</v>
      </c>
      <c r="BR112" s="4523"/>
      <c r="BS112" s="4523"/>
      <c r="BT112" s="4520" t="s">
        <v>72</v>
      </c>
      <c r="BU112" s="4525"/>
      <c r="BV112" s="661"/>
      <c r="BW112" s="662"/>
    </row>
    <row r="113" spans="5:75" ht="17.100000000000001" customHeight="1" thickTop="1" thickBot="1" x14ac:dyDescent="0.2">
      <c r="E113" s="659"/>
      <c r="F113" s="661"/>
      <c r="G113" s="4521"/>
      <c r="H113" s="4522"/>
      <c r="I113" s="4524"/>
      <c r="J113" s="4524"/>
      <c r="K113" s="4524"/>
      <c r="L113" s="4522"/>
      <c r="M113" s="4526"/>
      <c r="N113" s="622"/>
      <c r="O113" s="622"/>
      <c r="P113" s="4521"/>
      <c r="Q113" s="4522"/>
      <c r="R113" s="4524"/>
      <c r="S113" s="4524"/>
      <c r="T113" s="4524"/>
      <c r="U113" s="4522"/>
      <c r="V113" s="4526"/>
      <c r="W113" s="661"/>
      <c r="X113" s="662"/>
      <c r="AA113" s="665"/>
      <c r="AB113" s="4540"/>
      <c r="AC113" s="4535"/>
      <c r="AD113" s="4535"/>
      <c r="AE113" s="4535"/>
      <c r="AF113" s="4535"/>
      <c r="AG113" s="4535"/>
      <c r="AH113" s="4535"/>
      <c r="AI113" s="4535"/>
      <c r="AJ113" s="4535"/>
      <c r="AK113" s="4535"/>
      <c r="AL113" s="4535"/>
      <c r="AM113" s="4564"/>
      <c r="AN113" s="4564"/>
      <c r="AO113" s="4565"/>
      <c r="AP113" s="4566"/>
      <c r="AQ113" s="637"/>
      <c r="AR113" s="637"/>
      <c r="AS113" s="637"/>
      <c r="AT113" s="637"/>
      <c r="AU113" s="637"/>
      <c r="AV113" s="637"/>
      <c r="AW113" s="637"/>
      <c r="AX113" s="637"/>
      <c r="AY113" s="637"/>
      <c r="AZ113" s="637"/>
      <c r="BA113" s="1492"/>
      <c r="BD113" s="659"/>
      <c r="BE113" s="661"/>
      <c r="BF113" s="4521"/>
      <c r="BG113" s="4522"/>
      <c r="BH113" s="4524"/>
      <c r="BI113" s="4524"/>
      <c r="BJ113" s="4524"/>
      <c r="BK113" s="4522"/>
      <c r="BL113" s="4526"/>
      <c r="BM113" s="622"/>
      <c r="BN113" s="622"/>
      <c r="BO113" s="4521"/>
      <c r="BP113" s="4522"/>
      <c r="BQ113" s="4524"/>
      <c r="BR113" s="4524"/>
      <c r="BS113" s="4524"/>
      <c r="BT113" s="4522"/>
      <c r="BU113" s="4526"/>
      <c r="BV113" s="661"/>
      <c r="BW113" s="662"/>
    </row>
    <row r="114" spans="5:75" ht="17.100000000000001" customHeight="1" thickTop="1" thickBot="1" x14ac:dyDescent="0.3">
      <c r="E114" s="659"/>
      <c r="F114" s="661"/>
      <c r="G114" s="4527"/>
      <c r="H114" s="4528"/>
      <c r="I114" s="4528"/>
      <c r="J114" s="4528"/>
      <c r="K114" s="4528"/>
      <c r="L114" s="4528"/>
      <c r="M114" s="4529"/>
      <c r="N114" s="622"/>
      <c r="O114" s="622"/>
      <c r="P114" s="4527"/>
      <c r="Q114" s="4528"/>
      <c r="R114" s="4528"/>
      <c r="S114" s="4528"/>
      <c r="T114" s="4528"/>
      <c r="U114" s="4528"/>
      <c r="V114" s="4529"/>
      <c r="W114" s="661"/>
      <c r="X114" s="662"/>
      <c r="AA114" s="665"/>
      <c r="AB114" s="4541"/>
      <c r="AC114" s="4542"/>
      <c r="AD114" s="4542"/>
      <c r="AE114" s="4542"/>
      <c r="AF114" s="4542"/>
      <c r="AG114" s="4542"/>
      <c r="AH114" s="4542"/>
      <c r="AI114" s="4542"/>
      <c r="AJ114" s="4542"/>
      <c r="AK114" s="4542"/>
      <c r="AL114" s="4542"/>
      <c r="AM114" s="4551"/>
      <c r="AN114" s="4551"/>
      <c r="AO114" s="4551"/>
      <c r="AP114" s="4552"/>
      <c r="AQ114" s="4533">
        <f>IF(AV114&gt;0,AS114/AV114,0)</f>
        <v>0</v>
      </c>
      <c r="AR114" s="4534"/>
      <c r="AS114" s="4538"/>
      <c r="AT114" s="4538"/>
      <c r="AU114" s="634" t="s">
        <v>117</v>
      </c>
      <c r="AV114" s="4543"/>
      <c r="AW114" s="4543"/>
      <c r="AX114" s="4518" t="str">
        <f>IF(OR(AM114="Audiobook",AM114="Radioplay",AM114="Audiofilm",AM114="TV Audio",AM114="Podcast"), "minutes","pages")</f>
        <v>pages</v>
      </c>
      <c r="AY114" s="4518"/>
      <c r="AZ114" s="4539"/>
      <c r="BA114" s="1491">
        <f t="shared" ref="BA114" si="10">IF(AQ114=100%,1,0)</f>
        <v>0</v>
      </c>
      <c r="BD114" s="659"/>
      <c r="BE114" s="661"/>
      <c r="BF114" s="4527"/>
      <c r="BG114" s="4528"/>
      <c r="BH114" s="4528"/>
      <c r="BI114" s="4528"/>
      <c r="BJ114" s="4528"/>
      <c r="BK114" s="4528"/>
      <c r="BL114" s="4529"/>
      <c r="BM114" s="622"/>
      <c r="BN114" s="622"/>
      <c r="BO114" s="4527"/>
      <c r="BP114" s="4528"/>
      <c r="BQ114" s="4528"/>
      <c r="BR114" s="4528"/>
      <c r="BS114" s="4528"/>
      <c r="BT114" s="4528"/>
      <c r="BU114" s="4529"/>
      <c r="BV114" s="661"/>
      <c r="BW114" s="662"/>
    </row>
    <row r="115" spans="5:75" ht="17.100000000000001" customHeight="1" thickTop="1" thickBot="1" x14ac:dyDescent="0.2">
      <c r="E115" s="659"/>
      <c r="F115" s="661"/>
      <c r="G115" s="4530"/>
      <c r="H115" s="4531"/>
      <c r="I115" s="4531"/>
      <c r="J115" s="4531"/>
      <c r="K115" s="4531"/>
      <c r="L115" s="4531"/>
      <c r="M115" s="4532"/>
      <c r="N115" s="622"/>
      <c r="O115" s="622"/>
      <c r="P115" s="4530"/>
      <c r="Q115" s="4531"/>
      <c r="R115" s="4531"/>
      <c r="S115" s="4531"/>
      <c r="T115" s="4531"/>
      <c r="U115" s="4531"/>
      <c r="V115" s="4532"/>
      <c r="W115" s="661"/>
      <c r="X115" s="662"/>
      <c r="AA115" s="665"/>
      <c r="AB115" s="4540"/>
      <c r="AC115" s="4535"/>
      <c r="AD115" s="4535"/>
      <c r="AE115" s="4535"/>
      <c r="AF115" s="4535"/>
      <c r="AG115" s="4535"/>
      <c r="AH115" s="4535"/>
      <c r="AI115" s="4535"/>
      <c r="AJ115" s="4535"/>
      <c r="AK115" s="4535"/>
      <c r="AL115" s="4535"/>
      <c r="AM115" s="4564"/>
      <c r="AN115" s="4564"/>
      <c r="AO115" s="4565"/>
      <c r="AP115" s="4566"/>
      <c r="AQ115" s="637"/>
      <c r="AR115" s="637"/>
      <c r="AS115" s="637"/>
      <c r="AT115" s="637"/>
      <c r="AU115" s="637"/>
      <c r="AV115" s="637"/>
      <c r="AW115" s="637"/>
      <c r="AX115" s="637"/>
      <c r="AY115" s="637"/>
      <c r="AZ115" s="637"/>
      <c r="BA115" s="1492"/>
      <c r="BD115" s="659"/>
      <c r="BE115" s="661"/>
      <c r="BF115" s="4530"/>
      <c r="BG115" s="4531"/>
      <c r="BH115" s="4531"/>
      <c r="BI115" s="4531"/>
      <c r="BJ115" s="4531"/>
      <c r="BK115" s="4531"/>
      <c r="BL115" s="4532"/>
      <c r="BM115" s="622"/>
      <c r="BN115" s="622"/>
      <c r="BO115" s="4530"/>
      <c r="BP115" s="4531"/>
      <c r="BQ115" s="4531"/>
      <c r="BR115" s="4531"/>
      <c r="BS115" s="4531"/>
      <c r="BT115" s="4531"/>
      <c r="BU115" s="4532"/>
      <c r="BV115" s="661"/>
      <c r="BW115" s="662"/>
    </row>
    <row r="116" spans="5:75" ht="17.100000000000001" customHeight="1" thickTop="1" thickBot="1" x14ac:dyDescent="0.3">
      <c r="E116" s="659"/>
      <c r="F116" s="661"/>
      <c r="G116" s="4517"/>
      <c r="H116" s="4517"/>
      <c r="I116" s="4517"/>
      <c r="J116" s="4517"/>
      <c r="K116" s="4517"/>
      <c r="L116" s="4517"/>
      <c r="M116" s="4517"/>
      <c r="N116" s="924"/>
      <c r="O116" s="924"/>
      <c r="P116" s="4517"/>
      <c r="Q116" s="4517"/>
      <c r="R116" s="4517"/>
      <c r="S116" s="4517"/>
      <c r="T116" s="4517"/>
      <c r="U116" s="4517"/>
      <c r="V116" s="4517"/>
      <c r="W116" s="661"/>
      <c r="X116" s="662"/>
      <c r="AA116" s="667"/>
      <c r="AB116" s="4541"/>
      <c r="AC116" s="4542"/>
      <c r="AD116" s="4542"/>
      <c r="AE116" s="4542"/>
      <c r="AF116" s="4542"/>
      <c r="AG116" s="4542"/>
      <c r="AH116" s="4542"/>
      <c r="AI116" s="4542"/>
      <c r="AJ116" s="4542"/>
      <c r="AK116" s="4542"/>
      <c r="AL116" s="4542"/>
      <c r="AM116" s="4551"/>
      <c r="AN116" s="4551"/>
      <c r="AO116" s="4551"/>
      <c r="AP116" s="4552"/>
      <c r="AQ116" s="4533">
        <f>IF(AV116&gt;0,AS116/AV116,0)</f>
        <v>0</v>
      </c>
      <c r="AR116" s="4534"/>
      <c r="AS116" s="4538"/>
      <c r="AT116" s="4538"/>
      <c r="AU116" s="634" t="s">
        <v>117</v>
      </c>
      <c r="AV116" s="4543"/>
      <c r="AW116" s="4543"/>
      <c r="AX116" s="4518" t="str">
        <f>IF(OR(AM116="Audiobook",AM116="Radioplay",AM116="Audiofilm",AM116="TV Audio",AM116="Podcast"), "minutes","pages")</f>
        <v>pages</v>
      </c>
      <c r="AY116" s="4518"/>
      <c r="AZ116" s="4539"/>
      <c r="BA116" s="1491">
        <f t="shared" ref="BA116" si="11">IF(AQ116=100%,1,0)</f>
        <v>0</v>
      </c>
      <c r="BD116" s="659"/>
      <c r="BE116" s="661"/>
      <c r="BF116" s="4517"/>
      <c r="BG116" s="4517"/>
      <c r="BH116" s="4517"/>
      <c r="BI116" s="4517"/>
      <c r="BJ116" s="4517"/>
      <c r="BK116" s="4517"/>
      <c r="BL116" s="4517"/>
      <c r="BM116" s="924"/>
      <c r="BN116" s="924"/>
      <c r="BO116" s="4517"/>
      <c r="BP116" s="4517"/>
      <c r="BQ116" s="4517"/>
      <c r="BR116" s="4517"/>
      <c r="BS116" s="4517"/>
      <c r="BT116" s="4517"/>
      <c r="BU116" s="4517"/>
      <c r="BV116" s="661"/>
      <c r="BW116" s="662"/>
    </row>
    <row r="117" spans="5:75" ht="17.100000000000001" customHeight="1" thickTop="1" thickBot="1" x14ac:dyDescent="0.25">
      <c r="E117" s="659"/>
      <c r="F117" s="661"/>
      <c r="G117" s="931"/>
      <c r="H117" s="931"/>
      <c r="I117" s="931"/>
      <c r="J117" s="931"/>
      <c r="K117" s="931"/>
      <c r="L117" s="931"/>
      <c r="M117" s="931"/>
      <c r="N117" s="931"/>
      <c r="O117" s="931"/>
      <c r="P117" s="931"/>
      <c r="Q117" s="931"/>
      <c r="R117" s="931"/>
      <c r="S117" s="931"/>
      <c r="T117" s="931"/>
      <c r="U117" s="931"/>
      <c r="V117" s="931"/>
      <c r="W117" s="661"/>
      <c r="X117" s="662"/>
      <c r="AA117" s="667"/>
      <c r="AB117" s="4540"/>
      <c r="AC117" s="4535"/>
      <c r="AD117" s="4535"/>
      <c r="AE117" s="4535"/>
      <c r="AF117" s="4535"/>
      <c r="AG117" s="4535"/>
      <c r="AH117" s="4535"/>
      <c r="AI117" s="4535"/>
      <c r="AJ117" s="4535"/>
      <c r="AK117" s="4535"/>
      <c r="AL117" s="4535"/>
      <c r="AM117" s="4564"/>
      <c r="AN117" s="4564"/>
      <c r="AO117" s="4565"/>
      <c r="AP117" s="4566"/>
      <c r="AQ117" s="637"/>
      <c r="AR117" s="637"/>
      <c r="AS117" s="637"/>
      <c r="AT117" s="637"/>
      <c r="AU117" s="637"/>
      <c r="AV117" s="637"/>
      <c r="AW117" s="637"/>
      <c r="AX117" s="637"/>
      <c r="AY117" s="637"/>
      <c r="AZ117" s="637"/>
      <c r="BA117" s="1492"/>
      <c r="BD117" s="659"/>
      <c r="BE117" s="661"/>
      <c r="BF117" s="931"/>
      <c r="BG117" s="931"/>
      <c r="BH117" s="931"/>
      <c r="BI117" s="931"/>
      <c r="BJ117" s="931"/>
      <c r="BK117" s="931"/>
      <c r="BL117" s="931"/>
      <c r="BM117" s="931"/>
      <c r="BN117" s="931"/>
      <c r="BO117" s="931"/>
      <c r="BP117" s="931"/>
      <c r="BQ117" s="931"/>
      <c r="BR117" s="931"/>
      <c r="BS117" s="931"/>
      <c r="BT117" s="931"/>
      <c r="BU117" s="931"/>
      <c r="BV117" s="661"/>
      <c r="BW117" s="662"/>
    </row>
    <row r="118" spans="5:75" ht="17.100000000000001" customHeight="1" thickTop="1" thickBot="1" x14ac:dyDescent="0.3">
      <c r="E118" s="659"/>
      <c r="F118" s="661"/>
      <c r="G118" s="4519" t="s">
        <v>72</v>
      </c>
      <c r="H118" s="4520"/>
      <c r="I118" s="4523" t="str">
        <f>IF(ISBLANK(G120),data!$JO$121,_xlfn.IFS(
ISNUMBER(SEARCH( data!$JP$87, G120 )), data!$JO$87,
ISNUMBER(SEARCH( data!$JP$88, G120 )), data!$JO$88,
ISNUMBER(SEARCH( data!$JP$89, G120 )), data!$JO$89,
ISNUMBER(SEARCH( data!$JP$90, G120 )), data!$JO$90,
ISNUMBER(SEARCH( data!$JP$91, G120 )), data!$JO$91,
ISNUMBER(SEARCH( data!$JP$92, G120 )), data!$JO$92,
ISNUMBER(SEARCH( data!$JP$93, G120 )), data!$JO$93,
ISNUMBER(SEARCH( data!$JP$94, G120 )), data!$JO$94,
ISNUMBER(SEARCH( data!$JP$95, G120 )), data!$JO$95,
ISNUMBER(SEARCH( data!$JP$96, G120 )), data!$JO$96,
ISNUMBER(SEARCH( data!$JP$97, G120 )), data!$JO$97,
ISNUMBER(SEARCH( data!$JP$98, G120 )), data!$JO$98,
ISNUMBER(SEARCH( data!$JP$99, G120 )), data!$JO$99,
ISNUMBER(SEARCH( data!$JP$100, G120 )), data!$JO$100,
ISNUMBER(SEARCH( data!$JP$101, G120 )), data!$JO$101,
ISNUMBER(SEARCH( data!$JP$102, G120 )), data!$JO$102,
ISNUMBER(SEARCH( data!$JP$103, G120 )), data!$JO$103,
ISNUMBER(SEARCH( data!$JP$104, G120 )), data!$JO$104,
ISNUMBER(SEARCH( data!$JP$105, G120 )), data!$JO$105,
ISNUMBER(SEARCH( data!$JP$106, G120 )), data!$JO$106,
ISNUMBER(SEARCH( data!$JP$107, G120 )), data!$JO$107,
ISNUMBER(SEARCH( data!$JP$108, G120 )), data!$JO$108,
ISNUMBER(SEARCH( data!$JP$109, G120 )), data!$JO$109,
ISNUMBER(SEARCH( data!$JP$110, G120 )), data!$JO$110,
ISNUMBER(SEARCH( data!$JP$111, G120 )), data!$JO$111,
ISNUMBER(SEARCH( data!$JP$112, G120 )), data!$JO$112,
ISNUMBER(SEARCH( data!$JP$113, G120 )), data!$JO$113,
ISNUMBER(SEARCH( data!$JP$114, G120 )), data!$JO$114,
ISNUMBER(SEARCH( data!$JP$115, G120 )), data!$JO$115,
ISNUMBER(SEARCH( data!$JP$116, G120 )), data!$JO$116,
ISNUMBER(SEARCH( data!$JP$117, G120 )), data!$JO$117,
ISNUMBER(SEARCH( data!$JP$118, G120 )), data!$JO$118,
ISNUMBER(SEARCH( data!$JP$119, G120 )), data!$JO$119,
ISNUMBER(SEARCH( data!$JP$120, G120 )), data!$JO$120,
TRUE,data!$JO$122))</f>
        <v>◇</v>
      </c>
      <c r="J118" s="4523"/>
      <c r="K118" s="4523"/>
      <c r="L118" s="4520" t="s">
        <v>72</v>
      </c>
      <c r="M118" s="4525"/>
      <c r="N118" s="622"/>
      <c r="O118" s="622"/>
      <c r="P118" s="4519" t="s">
        <v>72</v>
      </c>
      <c r="Q118" s="4520"/>
      <c r="R118" s="4523" t="str">
        <f>IF(ISBLANK(P120),data!$JO$121,_xlfn.IFS(
ISNUMBER(SEARCH( data!$JP$87, P120 )), data!$JO$87,
ISNUMBER(SEARCH( data!$JP$88, P120 )), data!$JO$88,
ISNUMBER(SEARCH( data!$JP$89, P120 )), data!$JO$89,
ISNUMBER(SEARCH( data!$JP$90, P120 )), data!$JO$90,
ISNUMBER(SEARCH( data!$JP$91, P120 )), data!$JO$91,
ISNUMBER(SEARCH( data!$JP$92, P120 )), data!$JO$92,
ISNUMBER(SEARCH( data!$JP$93, P120 )), data!$JO$93,
ISNUMBER(SEARCH( data!$JP$94, P120 )), data!$JO$94,
ISNUMBER(SEARCH( data!$JP$95, P120 )), data!$JO$95,
ISNUMBER(SEARCH( data!$JP$96, P120 )), data!$JO$96,
ISNUMBER(SEARCH( data!$JP$97, P120 )), data!$JO$97,
ISNUMBER(SEARCH( data!$JP$98, P120 )), data!$JO$98,
ISNUMBER(SEARCH( data!$JP$99, P120 )), data!$JO$99,
ISNUMBER(SEARCH( data!$JP$100, P120 )), data!$JO$100,
ISNUMBER(SEARCH( data!$JP$101, P120 )), data!$JO$101,
ISNUMBER(SEARCH( data!$JP$102, P120 )), data!$JO$102,
ISNUMBER(SEARCH( data!$JP$103, P120 )), data!$JO$103,
ISNUMBER(SEARCH( data!$JP$104, P120 )), data!$JO$104,
ISNUMBER(SEARCH( data!$JP$105, P120 )), data!$JO$105,
ISNUMBER(SEARCH( data!$JP$106, P120 )), data!$JO$106,
ISNUMBER(SEARCH( data!$JP$107, P120 )), data!$JO$107,
ISNUMBER(SEARCH( data!$JP$108, P120 )), data!$JO$108,
ISNUMBER(SEARCH( data!$JP$109, P120 )), data!$JO$109,
ISNUMBER(SEARCH( data!$JP$110, P120 )), data!$JO$110,
ISNUMBER(SEARCH( data!$JP$111, P120 )), data!$JO$111,
ISNUMBER(SEARCH( data!$JP$112, P120 )), data!$JO$112,
ISNUMBER(SEARCH( data!$JP$113, P120 )), data!$JO$113,
ISNUMBER(SEARCH( data!$JP$114, P120 )), data!$JO$114,
ISNUMBER(SEARCH( data!$JP$115, P120 )), data!$JO$115,
ISNUMBER(SEARCH( data!$JP$116, P120 )), data!$JO$116,
ISNUMBER(SEARCH( data!$JP$117, P120 )), data!$JO$117,
ISNUMBER(SEARCH( data!$JP$118, P120 )), data!$JO$118,
ISNUMBER(SEARCH( data!$JP$119, P120 )), data!$JO$119,
ISNUMBER(SEARCH( data!$JP$120, P120 )), data!$JO$120,
TRUE,data!$JO$122))</f>
        <v>◇</v>
      </c>
      <c r="S118" s="4523"/>
      <c r="T118" s="4523"/>
      <c r="U118" s="4520" t="s">
        <v>72</v>
      </c>
      <c r="V118" s="4525"/>
      <c r="W118" s="661"/>
      <c r="X118" s="662"/>
      <c r="AA118" s="1439"/>
      <c r="AB118" s="4541"/>
      <c r="AC118" s="4542"/>
      <c r="AD118" s="4542"/>
      <c r="AE118" s="4542"/>
      <c r="AF118" s="4542"/>
      <c r="AG118" s="4542"/>
      <c r="AH118" s="4542"/>
      <c r="AI118" s="4542"/>
      <c r="AJ118" s="4542"/>
      <c r="AK118" s="4542"/>
      <c r="AL118" s="4542"/>
      <c r="AM118" s="4551"/>
      <c r="AN118" s="4551"/>
      <c r="AO118" s="4551"/>
      <c r="AP118" s="4552"/>
      <c r="AQ118" s="4533">
        <f>IF(AV118&gt;0,AS118/AV118,0)</f>
        <v>0</v>
      </c>
      <c r="AR118" s="4534"/>
      <c r="AS118" s="4538"/>
      <c r="AT118" s="4538"/>
      <c r="AU118" s="634" t="s">
        <v>117</v>
      </c>
      <c r="AV118" s="4543"/>
      <c r="AW118" s="4543"/>
      <c r="AX118" s="4518" t="str">
        <f>IF(OR(AM118="Audiobook",AM118="Radioplay",AM118="Audiofilm",AM118="TV Audio",AM118="Podcast"), "minutes","pages")</f>
        <v>pages</v>
      </c>
      <c r="AY118" s="4518"/>
      <c r="AZ118" s="4539"/>
      <c r="BA118" s="1491">
        <f t="shared" ref="BA118" si="12">IF(AQ118=100%,1,0)</f>
        <v>0</v>
      </c>
      <c r="BD118" s="659"/>
      <c r="BE118" s="661"/>
      <c r="BF118" s="4519" t="s">
        <v>72</v>
      </c>
      <c r="BG118" s="4520"/>
      <c r="BH118" s="4523" t="str">
        <f>IF(ISBLANK(BF120),data!$JQ$104,_xlfn.IFS(
ISNUMBER(SEARCH( data!$JR$87, BF120 )), data!$JQ$87,
ISNUMBER(SEARCH( data!$JR$88, BF120 )), data!$JQ$88,
ISNUMBER(SEARCH( data!$JR$89, BF120 )), data!$JQ$89,
ISNUMBER(SEARCH( data!$JR$90, BF120 )), data!$JQ$90,
ISNUMBER(SEARCH( data!$JR$91, BF120 )), data!$JQ$91,
ISNUMBER(SEARCH( data!$JR$92, BF120 )), data!$JQ$92,
ISNUMBER(SEARCH( data!$JR$93, BF120 )), data!$JQ$93,
ISNUMBER(SEARCH( data!$JR$94, BF120 )), data!$JQ$94,
ISNUMBER(SEARCH( data!$JR$95, BF120 )), data!$JQ$95,
ISNUMBER(SEARCH( data!$JR$96, BF120 )), data!$JQ$96,
ISNUMBER(SEARCH( data!$JR$97, BF120 )), data!$JQ$97,
ISNUMBER(SEARCH( data!$JR$98, BF120 )), data!$JQ$98,
ISNUMBER(SEARCH( data!$JR$99, BF120 )), data!$JQ$99,
ISNUMBER(SEARCH( data!$JR$100, BF120 )), data!$JQ$100,
ISNUMBER(SEARCH( data!$JR$101, BF120 )), data!$JQ$101,
ISNUMBER(SEARCH( data!$JR$102, BF120 )), data!$JQ$102,
ISNUMBER(SEARCH( data!$JR$103, BF120 )), data!$JQ$103,
TRUE,data!$JQ$105))</f>
        <v>◇</v>
      </c>
      <c r="BI118" s="4523"/>
      <c r="BJ118" s="4523"/>
      <c r="BK118" s="4520" t="s">
        <v>72</v>
      </c>
      <c r="BL118" s="4525"/>
      <c r="BM118" s="622"/>
      <c r="BN118" s="622"/>
      <c r="BO118" s="4519" t="s">
        <v>72</v>
      </c>
      <c r="BP118" s="4520"/>
      <c r="BQ118" s="4523" t="str">
        <f>IF(ISBLANK(BO120),data!$JQ$104,_xlfn.IFS(
ISNUMBER(SEARCH( data!$JR$87, BO120 )), data!$JQ$87,
ISNUMBER(SEARCH( data!$JR$88, BO120 )), data!$JQ$88,
ISNUMBER(SEARCH( data!$JR$89, BO120 )), data!$JQ$89,
ISNUMBER(SEARCH( data!$JR$90, BO120 )), data!$JQ$90,
ISNUMBER(SEARCH( data!$JR$91, BO120 )), data!$JQ$91,
ISNUMBER(SEARCH( data!$JR$92, BO120 )), data!$JQ$92,
ISNUMBER(SEARCH( data!$JR$93, BO120 )), data!$JQ$93,
ISNUMBER(SEARCH( data!$JR$94, BO120 )), data!$JQ$94,
ISNUMBER(SEARCH( data!$JR$95, BO120 )), data!$JQ$95,
ISNUMBER(SEARCH( data!$JR$96, BO120 )), data!$JQ$96,
ISNUMBER(SEARCH( data!$JR$97, BO120 )), data!$JQ$97,
ISNUMBER(SEARCH( data!$JR$98, BO120 )), data!$JQ$98,
ISNUMBER(SEARCH( data!$JR$99, BO120 )), data!$JQ$99,
ISNUMBER(SEARCH( data!$JR$100, BO120 )), data!$JQ$100,
ISNUMBER(SEARCH( data!$JR$101, BO120 )), data!$JQ$101,
ISNUMBER(SEARCH( data!$JR$102, BO120 )), data!$JQ$102,
ISNUMBER(SEARCH( data!$JR$103, BO120 )), data!$JQ$103,
TRUE,data!$JQ$105))</f>
        <v>◇</v>
      </c>
      <c r="BR118" s="4523"/>
      <c r="BS118" s="4523"/>
      <c r="BT118" s="4520" t="s">
        <v>72</v>
      </c>
      <c r="BU118" s="4525"/>
      <c r="BV118" s="661"/>
      <c r="BW118" s="662"/>
    </row>
    <row r="119" spans="5:75" ht="17.100000000000001" customHeight="1" thickTop="1" thickBot="1" x14ac:dyDescent="0.2">
      <c r="E119" s="659"/>
      <c r="F119" s="661"/>
      <c r="G119" s="4521"/>
      <c r="H119" s="4522"/>
      <c r="I119" s="4524"/>
      <c r="J119" s="4524"/>
      <c r="K119" s="4524"/>
      <c r="L119" s="4522"/>
      <c r="M119" s="4526"/>
      <c r="N119" s="622"/>
      <c r="O119" s="622"/>
      <c r="P119" s="4521"/>
      <c r="Q119" s="4522"/>
      <c r="R119" s="4524"/>
      <c r="S119" s="4524"/>
      <c r="T119" s="4524"/>
      <c r="U119" s="4522"/>
      <c r="V119" s="4526"/>
      <c r="W119" s="661"/>
      <c r="X119" s="662"/>
      <c r="AA119" s="1439"/>
      <c r="AB119" s="4540"/>
      <c r="AC119" s="4535"/>
      <c r="AD119" s="4535"/>
      <c r="AE119" s="4535"/>
      <c r="AF119" s="4535"/>
      <c r="AG119" s="4535"/>
      <c r="AH119" s="4535"/>
      <c r="AI119" s="4535"/>
      <c r="AJ119" s="4535"/>
      <c r="AK119" s="4535"/>
      <c r="AL119" s="4535"/>
      <c r="AM119" s="4564"/>
      <c r="AN119" s="4564"/>
      <c r="AO119" s="4565"/>
      <c r="AP119" s="4566"/>
      <c r="AQ119" s="637"/>
      <c r="AR119" s="637"/>
      <c r="AS119" s="637"/>
      <c r="AT119" s="637"/>
      <c r="AU119" s="637"/>
      <c r="AV119" s="637"/>
      <c r="AW119" s="637"/>
      <c r="AX119" s="637"/>
      <c r="AY119" s="637"/>
      <c r="AZ119" s="637"/>
      <c r="BA119" s="1492"/>
      <c r="BD119" s="659"/>
      <c r="BE119" s="661"/>
      <c r="BF119" s="4521"/>
      <c r="BG119" s="4522"/>
      <c r="BH119" s="4524"/>
      <c r="BI119" s="4524"/>
      <c r="BJ119" s="4524"/>
      <c r="BK119" s="4522"/>
      <c r="BL119" s="4526"/>
      <c r="BM119" s="622"/>
      <c r="BN119" s="622"/>
      <c r="BO119" s="4521"/>
      <c r="BP119" s="4522"/>
      <c r="BQ119" s="4524"/>
      <c r="BR119" s="4524"/>
      <c r="BS119" s="4524"/>
      <c r="BT119" s="4522"/>
      <c r="BU119" s="4526"/>
      <c r="BV119" s="661"/>
      <c r="BW119" s="662"/>
    </row>
    <row r="120" spans="5:75" ht="17.100000000000001" customHeight="1" thickTop="1" thickBot="1" x14ac:dyDescent="0.3">
      <c r="E120" s="659"/>
      <c r="F120" s="661"/>
      <c r="G120" s="4527"/>
      <c r="H120" s="4528"/>
      <c r="I120" s="4528"/>
      <c r="J120" s="4528"/>
      <c r="K120" s="4528"/>
      <c r="L120" s="4528"/>
      <c r="M120" s="4529"/>
      <c r="N120" s="622"/>
      <c r="O120" s="622"/>
      <c r="P120" s="4527"/>
      <c r="Q120" s="4528"/>
      <c r="R120" s="4528"/>
      <c r="S120" s="4528"/>
      <c r="T120" s="4528"/>
      <c r="U120" s="4528"/>
      <c r="V120" s="4529"/>
      <c r="W120" s="661"/>
      <c r="X120" s="662"/>
      <c r="AA120" s="1439"/>
      <c r="AB120" s="4541"/>
      <c r="AC120" s="4542"/>
      <c r="AD120" s="4542"/>
      <c r="AE120" s="4542"/>
      <c r="AF120" s="4542"/>
      <c r="AG120" s="4542"/>
      <c r="AH120" s="4542"/>
      <c r="AI120" s="4542"/>
      <c r="AJ120" s="4542"/>
      <c r="AK120" s="4542"/>
      <c r="AL120" s="4542"/>
      <c r="AM120" s="4551"/>
      <c r="AN120" s="4551"/>
      <c r="AO120" s="4551"/>
      <c r="AP120" s="4552"/>
      <c r="AQ120" s="4533">
        <f>IF(AV120&gt;0,AS120/AV120,0)</f>
        <v>0</v>
      </c>
      <c r="AR120" s="4534"/>
      <c r="AS120" s="4538"/>
      <c r="AT120" s="4538"/>
      <c r="AU120" s="634" t="s">
        <v>117</v>
      </c>
      <c r="AV120" s="4543"/>
      <c r="AW120" s="4543"/>
      <c r="AX120" s="4518" t="str">
        <f>IF(OR(AM120="Audiobook",AM120="Radioplay",AM120="Audiofilm",AM120="TV Audio",AM120="Podcast"), "minutes","pages")</f>
        <v>pages</v>
      </c>
      <c r="AY120" s="4518"/>
      <c r="AZ120" s="4539"/>
      <c r="BA120" s="1491">
        <f t="shared" ref="BA120" si="13">IF(AQ120=100%,1,0)</f>
        <v>0</v>
      </c>
      <c r="BD120" s="659"/>
      <c r="BE120" s="661"/>
      <c r="BF120" s="4527"/>
      <c r="BG120" s="4528"/>
      <c r="BH120" s="4528"/>
      <c r="BI120" s="4528"/>
      <c r="BJ120" s="4528"/>
      <c r="BK120" s="4528"/>
      <c r="BL120" s="4529"/>
      <c r="BM120" s="622"/>
      <c r="BN120" s="622"/>
      <c r="BO120" s="4527"/>
      <c r="BP120" s="4528"/>
      <c r="BQ120" s="4528"/>
      <c r="BR120" s="4528"/>
      <c r="BS120" s="4528"/>
      <c r="BT120" s="4528"/>
      <c r="BU120" s="4529"/>
      <c r="BV120" s="661"/>
      <c r="BW120" s="662"/>
    </row>
    <row r="121" spans="5:75" ht="17.100000000000001" customHeight="1" thickTop="1" thickBot="1" x14ac:dyDescent="0.2">
      <c r="E121" s="659"/>
      <c r="F121" s="661"/>
      <c r="G121" s="4530"/>
      <c r="H121" s="4531"/>
      <c r="I121" s="4531"/>
      <c r="J121" s="4531"/>
      <c r="K121" s="4531"/>
      <c r="L121" s="4531"/>
      <c r="M121" s="4532"/>
      <c r="N121" s="622"/>
      <c r="O121" s="622"/>
      <c r="P121" s="4530"/>
      <c r="Q121" s="4531"/>
      <c r="R121" s="4531"/>
      <c r="S121" s="4531"/>
      <c r="T121" s="4531"/>
      <c r="U121" s="4531"/>
      <c r="V121" s="4532"/>
      <c r="W121" s="661"/>
      <c r="X121" s="662"/>
      <c r="AA121" s="1439"/>
      <c r="AB121" s="4540"/>
      <c r="AC121" s="4535"/>
      <c r="AD121" s="4535"/>
      <c r="AE121" s="4535"/>
      <c r="AF121" s="4535"/>
      <c r="AG121" s="4535"/>
      <c r="AH121" s="4535"/>
      <c r="AI121" s="4535"/>
      <c r="AJ121" s="4535"/>
      <c r="AK121" s="4535"/>
      <c r="AL121" s="4535"/>
      <c r="AM121" s="4564"/>
      <c r="AN121" s="4564"/>
      <c r="AO121" s="4565"/>
      <c r="AP121" s="4566"/>
      <c r="AQ121" s="637"/>
      <c r="AR121" s="637"/>
      <c r="AS121" s="637"/>
      <c r="AT121" s="637"/>
      <c r="AU121" s="637"/>
      <c r="AV121" s="637"/>
      <c r="AW121" s="637"/>
      <c r="AX121" s="637"/>
      <c r="AY121" s="637"/>
      <c r="AZ121" s="637"/>
      <c r="BA121" s="1492"/>
      <c r="BD121" s="659"/>
      <c r="BE121" s="661"/>
      <c r="BF121" s="4530"/>
      <c r="BG121" s="4531"/>
      <c r="BH121" s="4531"/>
      <c r="BI121" s="4531"/>
      <c r="BJ121" s="4531"/>
      <c r="BK121" s="4531"/>
      <c r="BL121" s="4532"/>
      <c r="BM121" s="622"/>
      <c r="BN121" s="622"/>
      <c r="BO121" s="4530"/>
      <c r="BP121" s="4531"/>
      <c r="BQ121" s="4531"/>
      <c r="BR121" s="4531"/>
      <c r="BS121" s="4531"/>
      <c r="BT121" s="4531"/>
      <c r="BU121" s="4532"/>
      <c r="BV121" s="661"/>
      <c r="BW121" s="662"/>
    </row>
    <row r="122" spans="5:75" ht="17.100000000000001" customHeight="1" thickTop="1" thickBot="1" x14ac:dyDescent="0.3">
      <c r="E122" s="659"/>
      <c r="F122" s="661"/>
      <c r="G122" s="4517"/>
      <c r="H122" s="4517"/>
      <c r="I122" s="4517"/>
      <c r="J122" s="4517"/>
      <c r="K122" s="4517"/>
      <c r="L122" s="4517"/>
      <c r="M122" s="4517"/>
      <c r="N122" s="924"/>
      <c r="O122" s="924"/>
      <c r="P122" s="4517"/>
      <c r="Q122" s="4517"/>
      <c r="R122" s="4517"/>
      <c r="S122" s="4517"/>
      <c r="T122" s="4517"/>
      <c r="U122" s="4517"/>
      <c r="V122" s="4517"/>
      <c r="W122" s="661"/>
      <c r="X122" s="662"/>
      <c r="AA122" s="1439"/>
      <c r="AB122" s="4541"/>
      <c r="AC122" s="4542"/>
      <c r="AD122" s="4542"/>
      <c r="AE122" s="4542"/>
      <c r="AF122" s="4542"/>
      <c r="AG122" s="4542"/>
      <c r="AH122" s="4542"/>
      <c r="AI122" s="4542"/>
      <c r="AJ122" s="4542"/>
      <c r="AK122" s="4542"/>
      <c r="AL122" s="4542"/>
      <c r="AM122" s="4551"/>
      <c r="AN122" s="4551"/>
      <c r="AO122" s="4551"/>
      <c r="AP122" s="4552"/>
      <c r="AQ122" s="4533">
        <f>IF(AV122&gt;0,AS122/AV122,0)</f>
        <v>0</v>
      </c>
      <c r="AR122" s="4534"/>
      <c r="AS122" s="4538"/>
      <c r="AT122" s="4538"/>
      <c r="AU122" s="634" t="s">
        <v>117</v>
      </c>
      <c r="AV122" s="4543"/>
      <c r="AW122" s="4543"/>
      <c r="AX122" s="4518" t="str">
        <f>IF(OR(AM122="Audiobook",AM122="Radioplay",AM122="Audiofilm",AM122="TV Audio",AM122="Podcast"), "minutes","pages")</f>
        <v>pages</v>
      </c>
      <c r="AY122" s="4518"/>
      <c r="AZ122" s="4539"/>
      <c r="BA122" s="1491">
        <f t="shared" ref="BA122" si="14">IF(AQ122=100%,1,0)</f>
        <v>0</v>
      </c>
      <c r="BD122" s="659"/>
      <c r="BE122" s="661"/>
      <c r="BF122" s="4517"/>
      <c r="BG122" s="4517"/>
      <c r="BH122" s="4517"/>
      <c r="BI122" s="4517"/>
      <c r="BJ122" s="4517"/>
      <c r="BK122" s="4517"/>
      <c r="BL122" s="4517"/>
      <c r="BM122" s="924"/>
      <c r="BN122" s="924"/>
      <c r="BO122" s="4517"/>
      <c r="BP122" s="4517"/>
      <c r="BQ122" s="4517"/>
      <c r="BR122" s="4517"/>
      <c r="BS122" s="4517"/>
      <c r="BT122" s="4517"/>
      <c r="BU122" s="4517"/>
      <c r="BV122" s="661"/>
      <c r="BW122" s="662"/>
    </row>
    <row r="123" spans="5:75" ht="17.100000000000001" customHeight="1" thickTop="1" thickBot="1" x14ac:dyDescent="0.2">
      <c r="E123" s="659"/>
      <c r="F123" s="661"/>
      <c r="G123" s="617"/>
      <c r="H123" s="617"/>
      <c r="I123" s="617"/>
      <c r="J123" s="617"/>
      <c r="K123" s="617"/>
      <c r="L123" s="617"/>
      <c r="M123" s="617"/>
      <c r="N123" s="617"/>
      <c r="O123" s="617"/>
      <c r="P123" s="617"/>
      <c r="Q123" s="617"/>
      <c r="R123" s="617"/>
      <c r="S123" s="617"/>
      <c r="T123" s="617"/>
      <c r="U123" s="617"/>
      <c r="V123" s="617"/>
      <c r="W123" s="661"/>
      <c r="X123" s="662"/>
      <c r="AA123" s="1439"/>
      <c r="AB123" s="4540"/>
      <c r="AC123" s="4535"/>
      <c r="AD123" s="4535"/>
      <c r="AE123" s="4535"/>
      <c r="AF123" s="4535"/>
      <c r="AG123" s="4535"/>
      <c r="AH123" s="4535"/>
      <c r="AI123" s="4535"/>
      <c r="AJ123" s="4535"/>
      <c r="AK123" s="4535"/>
      <c r="AL123" s="4535"/>
      <c r="AM123" s="4564"/>
      <c r="AN123" s="4564"/>
      <c r="AO123" s="4565"/>
      <c r="AP123" s="4566"/>
      <c r="AQ123" s="637"/>
      <c r="AR123" s="637"/>
      <c r="AS123" s="637"/>
      <c r="AT123" s="637"/>
      <c r="AU123" s="637"/>
      <c r="AV123" s="637"/>
      <c r="AW123" s="637"/>
      <c r="AX123" s="637"/>
      <c r="AY123" s="637"/>
      <c r="AZ123" s="637"/>
      <c r="BA123" s="1492"/>
      <c r="BD123" s="659"/>
      <c r="BE123" s="661"/>
      <c r="BF123" s="617"/>
      <c r="BG123" s="617"/>
      <c r="BH123" s="617"/>
      <c r="BI123" s="617"/>
      <c r="BJ123" s="617"/>
      <c r="BK123" s="617"/>
      <c r="BL123" s="617"/>
      <c r="BM123" s="617"/>
      <c r="BN123" s="617"/>
      <c r="BO123" s="617"/>
      <c r="BP123" s="617"/>
      <c r="BQ123" s="617"/>
      <c r="BR123" s="617"/>
      <c r="BS123" s="617"/>
      <c r="BT123" s="617"/>
      <c r="BU123" s="617"/>
      <c r="BV123" s="661"/>
      <c r="BW123" s="662"/>
    </row>
    <row r="124" spans="5:75" ht="17.100000000000001" customHeight="1" thickTop="1" thickBot="1" x14ac:dyDescent="0.3">
      <c r="E124" s="659"/>
      <c r="F124" s="661"/>
      <c r="G124" s="4519" t="s">
        <v>72</v>
      </c>
      <c r="H124" s="4520"/>
      <c r="I124" s="4523" t="str">
        <f>IF(ISBLANK(G126),data!$JO$121,_xlfn.IFS(
ISNUMBER(SEARCH( data!$JP$87, G126 )), data!$JO$87,
ISNUMBER(SEARCH( data!$JP$88, G126 )), data!$JO$88,
ISNUMBER(SEARCH( data!$JP$89, G126 )), data!$JO$89,
ISNUMBER(SEARCH( data!$JP$90, G126 )), data!$JO$90,
ISNUMBER(SEARCH( data!$JP$91, G126 )), data!$JO$91,
ISNUMBER(SEARCH( data!$JP$92, G126 )), data!$JO$92,
ISNUMBER(SEARCH( data!$JP$93, G126 )), data!$JO$93,
ISNUMBER(SEARCH( data!$JP$94, G126 )), data!$JO$94,
ISNUMBER(SEARCH( data!$JP$95, G126 )), data!$JO$95,
ISNUMBER(SEARCH( data!$JP$96, G126 )), data!$JO$96,
ISNUMBER(SEARCH( data!$JP$97, G126 )), data!$JO$97,
ISNUMBER(SEARCH( data!$JP$98, G126 )), data!$JO$98,
ISNUMBER(SEARCH( data!$JP$99, G126 )), data!$JO$99,
ISNUMBER(SEARCH( data!$JP$100, G126 )), data!$JO$100,
ISNUMBER(SEARCH( data!$JP$101, G126 )), data!$JO$101,
ISNUMBER(SEARCH( data!$JP$102, G126 )), data!$JO$102,
ISNUMBER(SEARCH( data!$JP$103, G126 )), data!$JO$103,
ISNUMBER(SEARCH( data!$JP$104, G126 )), data!$JO$104,
ISNUMBER(SEARCH( data!$JP$105, G126 )), data!$JO$105,
ISNUMBER(SEARCH( data!$JP$106, G126 )), data!$JO$106,
ISNUMBER(SEARCH( data!$JP$107, G126 )), data!$JO$107,
ISNUMBER(SEARCH( data!$JP$108, G126 )), data!$JO$108,
ISNUMBER(SEARCH( data!$JP$109, G126 )), data!$JO$109,
ISNUMBER(SEARCH( data!$JP$110, G126 )), data!$JO$110,
ISNUMBER(SEARCH( data!$JP$111, G126 )), data!$JO$111,
ISNUMBER(SEARCH( data!$JP$112, G126 )), data!$JO$112,
ISNUMBER(SEARCH( data!$JP$113, G126 )), data!$JO$113,
ISNUMBER(SEARCH( data!$JP$114, G126 )), data!$JO$114,
ISNUMBER(SEARCH( data!$JP$115, G126 )), data!$JO$115,
ISNUMBER(SEARCH( data!$JP$116, G126 )), data!$JO$116,
ISNUMBER(SEARCH( data!$JP$117, G126 )), data!$JO$117,
ISNUMBER(SEARCH( data!$JP$118, G126 )), data!$JO$118,
ISNUMBER(SEARCH( data!$JP$119, G126 )), data!$JO$119,
ISNUMBER(SEARCH( data!$JP$120, G126 )), data!$JO$120,
TRUE,data!$JO$122))</f>
        <v>◇</v>
      </c>
      <c r="J124" s="4523"/>
      <c r="K124" s="4523"/>
      <c r="L124" s="4520" t="s">
        <v>72</v>
      </c>
      <c r="M124" s="4525"/>
      <c r="N124" s="622"/>
      <c r="O124" s="622"/>
      <c r="P124" s="4519" t="s">
        <v>72</v>
      </c>
      <c r="Q124" s="4520"/>
      <c r="R124" s="4523" t="str">
        <f>IF(ISBLANK(P126),data!$JO$121,_xlfn.IFS(
ISNUMBER(SEARCH( data!$JP$87, P126 )), data!$JO$87,
ISNUMBER(SEARCH( data!$JP$88, P126 )), data!$JO$88,
ISNUMBER(SEARCH( data!$JP$89, P126 )), data!$JO$89,
ISNUMBER(SEARCH( data!$JP$90, P126 )), data!$JO$90,
ISNUMBER(SEARCH( data!$JP$91, P126 )), data!$JO$91,
ISNUMBER(SEARCH( data!$JP$92, P126 )), data!$JO$92,
ISNUMBER(SEARCH( data!$JP$93, P126 )), data!$JO$93,
ISNUMBER(SEARCH( data!$JP$94, P126 )), data!$JO$94,
ISNUMBER(SEARCH( data!$JP$95, P126 )), data!$JO$95,
ISNUMBER(SEARCH( data!$JP$96, P126 )), data!$JO$96,
ISNUMBER(SEARCH( data!$JP$97, P126 )), data!$JO$97,
ISNUMBER(SEARCH( data!$JP$98, P126 )), data!$JO$98,
ISNUMBER(SEARCH( data!$JP$99, P126 )), data!$JO$99,
ISNUMBER(SEARCH( data!$JP$100, P126 )), data!$JO$100,
ISNUMBER(SEARCH( data!$JP$101, P126 )), data!$JO$101,
ISNUMBER(SEARCH( data!$JP$102, P126 )), data!$JO$102,
ISNUMBER(SEARCH( data!$JP$103, P126 )), data!$JO$103,
ISNUMBER(SEARCH( data!$JP$104, P126 )), data!$JO$104,
ISNUMBER(SEARCH( data!$JP$105, P126 )), data!$JO$105,
ISNUMBER(SEARCH( data!$JP$106, P126 )), data!$JO$106,
ISNUMBER(SEARCH( data!$JP$107, P126 )), data!$JO$107,
ISNUMBER(SEARCH( data!$JP$108, P126 )), data!$JO$108,
ISNUMBER(SEARCH( data!$JP$109, P126 )), data!$JO$109,
ISNUMBER(SEARCH( data!$JP$110, P126 )), data!$JO$110,
ISNUMBER(SEARCH( data!$JP$111, P126 )), data!$JO$111,
ISNUMBER(SEARCH( data!$JP$112, P126 )), data!$JO$112,
ISNUMBER(SEARCH( data!$JP$113, P126 )), data!$JO$113,
ISNUMBER(SEARCH( data!$JP$114, P126 )), data!$JO$114,
ISNUMBER(SEARCH( data!$JP$115, P126 )), data!$JO$115,
ISNUMBER(SEARCH( data!$JP$116, P126 )), data!$JO$116,
ISNUMBER(SEARCH( data!$JP$117, P126 )), data!$JO$117,
ISNUMBER(SEARCH( data!$JP$118, P126 )), data!$JO$118,
ISNUMBER(SEARCH( data!$JP$119, P126 )), data!$JO$119,
ISNUMBER(SEARCH( data!$JP$120, P126 )), data!$JO$120,
TRUE,data!$JO$122))</f>
        <v>◇</v>
      </c>
      <c r="S124" s="4523"/>
      <c r="T124" s="4523"/>
      <c r="U124" s="4520" t="s">
        <v>72</v>
      </c>
      <c r="V124" s="4525"/>
      <c r="W124" s="661"/>
      <c r="X124" s="662"/>
      <c r="AA124" s="1439"/>
      <c r="AB124" s="4541"/>
      <c r="AC124" s="4542"/>
      <c r="AD124" s="4542"/>
      <c r="AE124" s="4542"/>
      <c r="AF124" s="4542"/>
      <c r="AG124" s="4542"/>
      <c r="AH124" s="4542"/>
      <c r="AI124" s="4542"/>
      <c r="AJ124" s="4542"/>
      <c r="AK124" s="4542"/>
      <c r="AL124" s="4542"/>
      <c r="AM124" s="4551"/>
      <c r="AN124" s="4551"/>
      <c r="AO124" s="4551"/>
      <c r="AP124" s="4552"/>
      <c r="AQ124" s="4533">
        <f>IF(AV124&gt;0,AS124/AV124,0)</f>
        <v>0</v>
      </c>
      <c r="AR124" s="4534"/>
      <c r="AS124" s="4538"/>
      <c r="AT124" s="4538"/>
      <c r="AU124" s="634" t="s">
        <v>117</v>
      </c>
      <c r="AV124" s="4543"/>
      <c r="AW124" s="4543"/>
      <c r="AX124" s="4518" t="str">
        <f>IF(OR(AM124="Audiobook",AM124="Radioplay",AM124="Audiofilm",AM124="TV Audio",AM124="Podcast"), "minutes","pages")</f>
        <v>pages</v>
      </c>
      <c r="AY124" s="4518"/>
      <c r="AZ124" s="4539"/>
      <c r="BA124" s="1491">
        <f t="shared" ref="BA124" si="15">IF(AQ124=100%,1,0)</f>
        <v>0</v>
      </c>
      <c r="BD124" s="659"/>
      <c r="BE124" s="661"/>
      <c r="BF124" s="4519" t="s">
        <v>72</v>
      </c>
      <c r="BG124" s="4520"/>
      <c r="BH124" s="4523" t="str">
        <f>IF(ISBLANK(BF126),data!$JQ$104,_xlfn.IFS(
ISNUMBER(SEARCH( data!$JR$87, BF126 )), data!$JQ$87,
ISNUMBER(SEARCH( data!$JR$88, BF126 )), data!$JQ$88,
ISNUMBER(SEARCH( data!$JR$89, BF126 )), data!$JQ$89,
ISNUMBER(SEARCH( data!$JR$90, BF126 )), data!$JQ$90,
ISNUMBER(SEARCH( data!$JR$91, BF126 )), data!$JQ$91,
ISNUMBER(SEARCH( data!$JR$92, BF126 )), data!$JQ$92,
ISNUMBER(SEARCH( data!$JR$93, BF126 )), data!$JQ$93,
ISNUMBER(SEARCH( data!$JR$94, BF126 )), data!$JQ$94,
ISNUMBER(SEARCH( data!$JR$95, BF126 )), data!$JQ$95,
ISNUMBER(SEARCH( data!$JR$96, BF126 )), data!$JQ$96,
ISNUMBER(SEARCH( data!$JR$97, BF126 )), data!$JQ$97,
ISNUMBER(SEARCH( data!$JR$98, BF126 )), data!$JQ$98,
ISNUMBER(SEARCH( data!$JR$99, BF126 )), data!$JQ$99,
ISNUMBER(SEARCH( data!$JR$100, BF126 )), data!$JQ$100,
ISNUMBER(SEARCH( data!$JR$101, BF126 )), data!$JQ$101,
ISNUMBER(SEARCH( data!$JR$102, BF126 )), data!$JQ$102,
ISNUMBER(SEARCH( data!$JR$103, BF126 )), data!$JQ$103,
TRUE,data!$JQ$105))</f>
        <v>◇</v>
      </c>
      <c r="BI124" s="4523"/>
      <c r="BJ124" s="4523"/>
      <c r="BK124" s="4520" t="s">
        <v>72</v>
      </c>
      <c r="BL124" s="4525"/>
      <c r="BM124" s="622"/>
      <c r="BN124" s="622"/>
      <c r="BO124" s="4519" t="s">
        <v>72</v>
      </c>
      <c r="BP124" s="4520"/>
      <c r="BQ124" s="4523" t="str">
        <f>IF(ISBLANK(BO126),data!$JQ$104,_xlfn.IFS(
ISNUMBER(SEARCH( data!$JR$87, BO126 )), data!$JQ$87,
ISNUMBER(SEARCH( data!$JR$88, BO126 )), data!$JQ$88,
ISNUMBER(SEARCH( data!$JR$89, BO126 )), data!$JQ$89,
ISNUMBER(SEARCH( data!$JR$90, BO126 )), data!$JQ$90,
ISNUMBER(SEARCH( data!$JR$91, BO126 )), data!$JQ$91,
ISNUMBER(SEARCH( data!$JR$92, BO126 )), data!$JQ$92,
ISNUMBER(SEARCH( data!$JR$93, BO126 )), data!$JQ$93,
ISNUMBER(SEARCH( data!$JR$94, BO126 )), data!$JQ$94,
ISNUMBER(SEARCH( data!$JR$95, BO126 )), data!$JQ$95,
ISNUMBER(SEARCH( data!$JR$96, BO126 )), data!$JQ$96,
ISNUMBER(SEARCH( data!$JR$97, BO126 )), data!$JQ$97,
ISNUMBER(SEARCH( data!$JR$98, BO126 )), data!$JQ$98,
ISNUMBER(SEARCH( data!$JR$99, BO126 )), data!$JQ$99,
ISNUMBER(SEARCH( data!$JR$100, BO126 )), data!$JQ$100,
ISNUMBER(SEARCH( data!$JR$101, BO126 )), data!$JQ$101,
ISNUMBER(SEARCH( data!$JR$102, BO126 )), data!$JQ$102,
ISNUMBER(SEARCH( data!$JR$103, BO126 )), data!$JQ$103,
TRUE,data!$JQ$105))</f>
        <v>◇</v>
      </c>
      <c r="BR124" s="4523"/>
      <c r="BS124" s="4523"/>
      <c r="BT124" s="4520" t="s">
        <v>72</v>
      </c>
      <c r="BU124" s="4525"/>
      <c r="BV124" s="661"/>
      <c r="BW124" s="662"/>
    </row>
    <row r="125" spans="5:75" ht="17.100000000000001" customHeight="1" thickTop="1" thickBot="1" x14ac:dyDescent="0.2">
      <c r="E125" s="659"/>
      <c r="F125" s="661"/>
      <c r="G125" s="4521"/>
      <c r="H125" s="4522"/>
      <c r="I125" s="4524"/>
      <c r="J125" s="4524"/>
      <c r="K125" s="4524"/>
      <c r="L125" s="4522"/>
      <c r="M125" s="4526"/>
      <c r="N125" s="622"/>
      <c r="O125" s="622"/>
      <c r="P125" s="4521"/>
      <c r="Q125" s="4522"/>
      <c r="R125" s="4524"/>
      <c r="S125" s="4524"/>
      <c r="T125" s="4524"/>
      <c r="U125" s="4522"/>
      <c r="V125" s="4526"/>
      <c r="W125" s="661"/>
      <c r="X125" s="662"/>
      <c r="AA125" s="1439"/>
      <c r="AB125" s="4540"/>
      <c r="AC125" s="4535"/>
      <c r="AD125" s="4535"/>
      <c r="AE125" s="4535"/>
      <c r="AF125" s="4535"/>
      <c r="AG125" s="4535"/>
      <c r="AH125" s="4535"/>
      <c r="AI125" s="4535"/>
      <c r="AJ125" s="4535"/>
      <c r="AK125" s="4535"/>
      <c r="AL125" s="4535"/>
      <c r="AM125" s="4564"/>
      <c r="AN125" s="4564"/>
      <c r="AO125" s="4565"/>
      <c r="AP125" s="4566"/>
      <c r="AQ125" s="637"/>
      <c r="AR125" s="637"/>
      <c r="AS125" s="637"/>
      <c r="AT125" s="637"/>
      <c r="AU125" s="637"/>
      <c r="AV125" s="637"/>
      <c r="AW125" s="637"/>
      <c r="AX125" s="637"/>
      <c r="AY125" s="637"/>
      <c r="AZ125" s="637"/>
      <c r="BA125" s="1492"/>
      <c r="BD125" s="659"/>
      <c r="BE125" s="661"/>
      <c r="BF125" s="4521"/>
      <c r="BG125" s="4522"/>
      <c r="BH125" s="4524"/>
      <c r="BI125" s="4524"/>
      <c r="BJ125" s="4524"/>
      <c r="BK125" s="4522"/>
      <c r="BL125" s="4526"/>
      <c r="BM125" s="622"/>
      <c r="BN125" s="622"/>
      <c r="BO125" s="4521"/>
      <c r="BP125" s="4522"/>
      <c r="BQ125" s="4524"/>
      <c r="BR125" s="4524"/>
      <c r="BS125" s="4524"/>
      <c r="BT125" s="4522"/>
      <c r="BU125" s="4526"/>
      <c r="BV125" s="661"/>
      <c r="BW125" s="662"/>
    </row>
    <row r="126" spans="5:75" ht="17.100000000000001" customHeight="1" thickTop="1" thickBot="1" x14ac:dyDescent="0.3">
      <c r="E126" s="659"/>
      <c r="F126" s="661"/>
      <c r="G126" s="4527"/>
      <c r="H126" s="4528"/>
      <c r="I126" s="4528"/>
      <c r="J126" s="4528"/>
      <c r="K126" s="4528"/>
      <c r="L126" s="4528"/>
      <c r="M126" s="4529"/>
      <c r="N126" s="622"/>
      <c r="O126" s="622"/>
      <c r="P126" s="4527"/>
      <c r="Q126" s="4528"/>
      <c r="R126" s="4528"/>
      <c r="S126" s="4528"/>
      <c r="T126" s="4528"/>
      <c r="U126" s="4528"/>
      <c r="V126" s="4529"/>
      <c r="W126" s="661"/>
      <c r="X126" s="662"/>
      <c r="AA126" s="1439"/>
      <c r="AB126" s="4541"/>
      <c r="AC126" s="4542"/>
      <c r="AD126" s="4542"/>
      <c r="AE126" s="4542"/>
      <c r="AF126" s="4542"/>
      <c r="AG126" s="4542"/>
      <c r="AH126" s="4542"/>
      <c r="AI126" s="4542"/>
      <c r="AJ126" s="4542"/>
      <c r="AK126" s="4542"/>
      <c r="AL126" s="4542"/>
      <c r="AM126" s="4551"/>
      <c r="AN126" s="4551"/>
      <c r="AO126" s="4551"/>
      <c r="AP126" s="4552"/>
      <c r="AQ126" s="4533">
        <f>IF(AV126&gt;0,AS126/AV126,0)</f>
        <v>0</v>
      </c>
      <c r="AR126" s="4534"/>
      <c r="AS126" s="4538"/>
      <c r="AT126" s="4538"/>
      <c r="AU126" s="634" t="s">
        <v>117</v>
      </c>
      <c r="AV126" s="4543"/>
      <c r="AW126" s="4543"/>
      <c r="AX126" s="4518" t="str">
        <f>IF(OR(AM126="Audiobook",AM126="Radioplay",AM126="Audiofilm",AM126="TV Audio",AM126="Podcast"), "minutes","pages")</f>
        <v>pages</v>
      </c>
      <c r="AY126" s="4518"/>
      <c r="AZ126" s="4539"/>
      <c r="BA126" s="1491">
        <f t="shared" ref="BA126" si="16">IF(AQ126=100%,1,0)</f>
        <v>0</v>
      </c>
      <c r="BD126" s="659"/>
      <c r="BE126" s="661"/>
      <c r="BF126" s="4527"/>
      <c r="BG126" s="4528"/>
      <c r="BH126" s="4528"/>
      <c r="BI126" s="4528"/>
      <c r="BJ126" s="4528"/>
      <c r="BK126" s="4528"/>
      <c r="BL126" s="4529"/>
      <c r="BM126" s="622"/>
      <c r="BN126" s="622"/>
      <c r="BO126" s="4527"/>
      <c r="BP126" s="4528"/>
      <c r="BQ126" s="4528"/>
      <c r="BR126" s="4528"/>
      <c r="BS126" s="4528"/>
      <c r="BT126" s="4528"/>
      <c r="BU126" s="4529"/>
      <c r="BV126" s="661"/>
      <c r="BW126" s="662"/>
    </row>
    <row r="127" spans="5:75" ht="17.100000000000001" customHeight="1" thickTop="1" thickBot="1" x14ac:dyDescent="0.2">
      <c r="E127" s="659"/>
      <c r="F127" s="661"/>
      <c r="G127" s="4530"/>
      <c r="H127" s="4531"/>
      <c r="I127" s="4531"/>
      <c r="J127" s="4531"/>
      <c r="K127" s="4531"/>
      <c r="L127" s="4531"/>
      <c r="M127" s="4532"/>
      <c r="N127" s="622"/>
      <c r="O127" s="622"/>
      <c r="P127" s="4530"/>
      <c r="Q127" s="4531"/>
      <c r="R127" s="4531"/>
      <c r="S127" s="4531"/>
      <c r="T127" s="4531"/>
      <c r="U127" s="4531"/>
      <c r="V127" s="4532"/>
      <c r="W127" s="661"/>
      <c r="X127" s="662"/>
      <c r="AA127" s="1439"/>
      <c r="AB127" s="4540"/>
      <c r="AC127" s="4535"/>
      <c r="AD127" s="4535"/>
      <c r="AE127" s="4535"/>
      <c r="AF127" s="4535"/>
      <c r="AG127" s="4535"/>
      <c r="AH127" s="4535"/>
      <c r="AI127" s="4535"/>
      <c r="AJ127" s="4535"/>
      <c r="AK127" s="4535"/>
      <c r="AL127" s="4535"/>
      <c r="AM127" s="4564"/>
      <c r="AN127" s="4564"/>
      <c r="AO127" s="4565"/>
      <c r="AP127" s="4566"/>
      <c r="AQ127" s="637"/>
      <c r="AR127" s="637"/>
      <c r="AS127" s="637"/>
      <c r="AT127" s="637"/>
      <c r="AU127" s="637"/>
      <c r="AV127" s="637"/>
      <c r="AW127" s="637"/>
      <c r="AX127" s="637"/>
      <c r="AY127" s="637"/>
      <c r="AZ127" s="637"/>
      <c r="BA127" s="666"/>
      <c r="BD127" s="659"/>
      <c r="BE127" s="661"/>
      <c r="BF127" s="4530"/>
      <c r="BG127" s="4531"/>
      <c r="BH127" s="4531"/>
      <c r="BI127" s="4531"/>
      <c r="BJ127" s="4531"/>
      <c r="BK127" s="4531"/>
      <c r="BL127" s="4532"/>
      <c r="BM127" s="622"/>
      <c r="BN127" s="622"/>
      <c r="BO127" s="4530"/>
      <c r="BP127" s="4531"/>
      <c r="BQ127" s="4531"/>
      <c r="BR127" s="4531"/>
      <c r="BS127" s="4531"/>
      <c r="BT127" s="4531"/>
      <c r="BU127" s="4532"/>
      <c r="BV127" s="661"/>
      <c r="BW127" s="662"/>
    </row>
    <row r="128" spans="5:75" ht="17.100000000000001" customHeight="1" thickTop="1" thickBot="1" x14ac:dyDescent="0.3">
      <c r="E128" s="1484"/>
      <c r="F128" s="1485"/>
      <c r="G128" s="4517"/>
      <c r="H128" s="4517"/>
      <c r="I128" s="4517"/>
      <c r="J128" s="4517"/>
      <c r="K128" s="4517"/>
      <c r="L128" s="4517"/>
      <c r="M128" s="4517"/>
      <c r="N128" s="1300"/>
      <c r="O128" s="1300"/>
      <c r="P128" s="4517"/>
      <c r="Q128" s="4517"/>
      <c r="R128" s="4517"/>
      <c r="S128" s="4517"/>
      <c r="T128" s="4517"/>
      <c r="U128" s="4517"/>
      <c r="V128" s="4517"/>
      <c r="W128" s="1485"/>
      <c r="X128" s="1486"/>
      <c r="AA128" s="1439"/>
      <c r="AB128" s="4541"/>
      <c r="AC128" s="4542"/>
      <c r="AD128" s="4542"/>
      <c r="AE128" s="4542"/>
      <c r="AF128" s="4542"/>
      <c r="AG128" s="4542"/>
      <c r="AH128" s="4542"/>
      <c r="AI128" s="4542"/>
      <c r="AJ128" s="4542"/>
      <c r="AK128" s="4542"/>
      <c r="AL128" s="4542"/>
      <c r="AM128" s="4551"/>
      <c r="AN128" s="4551"/>
      <c r="AO128" s="4551"/>
      <c r="AP128" s="4552"/>
      <c r="AQ128" s="4533">
        <f>IF(AV128&gt;0,AS128/AV128,0)</f>
        <v>0</v>
      </c>
      <c r="AR128" s="4534"/>
      <c r="AS128" s="4538"/>
      <c r="AT128" s="4538"/>
      <c r="AU128" s="634" t="s">
        <v>117</v>
      </c>
      <c r="AV128" s="4543"/>
      <c r="AW128" s="4543"/>
      <c r="AX128" s="4518" t="str">
        <f>IF(OR(AM128="Audiobook",AM128="Radioplay",AM128="Audiofilm",AM128="TV Audio",AM128="Podcast"), "minutes","pages")</f>
        <v>pages</v>
      </c>
      <c r="AY128" s="4518"/>
      <c r="AZ128" s="4539"/>
      <c r="BA128" s="1442"/>
      <c r="BD128" s="1484"/>
      <c r="BE128" s="1485"/>
      <c r="BF128" s="4517"/>
      <c r="BG128" s="4517"/>
      <c r="BH128" s="4517"/>
      <c r="BI128" s="4517"/>
      <c r="BJ128" s="4517"/>
      <c r="BK128" s="4517"/>
      <c r="BL128" s="4517"/>
      <c r="BM128" s="1300"/>
      <c r="BN128" s="1300"/>
      <c r="BO128" s="4517"/>
      <c r="BP128" s="4517"/>
      <c r="BQ128" s="4517"/>
      <c r="BR128" s="4517"/>
      <c r="BS128" s="4517"/>
      <c r="BT128" s="4517"/>
      <c r="BU128" s="4517"/>
      <c r="BV128" s="1485"/>
      <c r="BW128" s="1486"/>
    </row>
    <row r="129" spans="3:77" ht="17.100000000000001" customHeight="1" thickTop="1" thickBot="1" x14ac:dyDescent="0.2">
      <c r="E129" s="1484"/>
      <c r="F129" s="1485"/>
      <c r="G129" s="617"/>
      <c r="H129" s="1485"/>
      <c r="I129" s="1485"/>
      <c r="J129" s="1485"/>
      <c r="K129" s="1485"/>
      <c r="L129" s="1485"/>
      <c r="M129" s="1485"/>
      <c r="N129" s="1485"/>
      <c r="O129" s="1485"/>
      <c r="P129" s="1485"/>
      <c r="Q129" s="1485"/>
      <c r="R129" s="1485"/>
      <c r="S129" s="1485"/>
      <c r="T129" s="1485"/>
      <c r="U129" s="1485"/>
      <c r="V129" s="1485"/>
      <c r="W129" s="1485"/>
      <c r="X129" s="1486"/>
      <c r="AA129" s="1439"/>
      <c r="AB129" s="4540"/>
      <c r="AC129" s="4535"/>
      <c r="AD129" s="4535"/>
      <c r="AE129" s="4535"/>
      <c r="AF129" s="4535"/>
      <c r="AG129" s="4535"/>
      <c r="AH129" s="4535"/>
      <c r="AI129" s="4535"/>
      <c r="AJ129" s="4535"/>
      <c r="AK129" s="4535"/>
      <c r="AL129" s="4535"/>
      <c r="AM129" s="4564"/>
      <c r="AN129" s="4564"/>
      <c r="AO129" s="4565"/>
      <c r="AP129" s="4566"/>
      <c r="AQ129" s="637"/>
      <c r="AR129" s="637"/>
      <c r="AS129" s="637"/>
      <c r="AT129" s="637"/>
      <c r="AU129" s="637"/>
      <c r="AV129" s="637"/>
      <c r="AW129" s="637"/>
      <c r="AX129" s="637"/>
      <c r="AY129" s="637"/>
      <c r="AZ129" s="637"/>
      <c r="BA129" s="1442"/>
      <c r="BD129" s="1484"/>
      <c r="BE129" s="1485"/>
      <c r="BF129" s="1457"/>
      <c r="BG129" s="1485"/>
      <c r="BH129" s="1485"/>
      <c r="BI129" s="1485"/>
      <c r="BJ129" s="1485"/>
      <c r="BK129" s="1485"/>
      <c r="BL129" s="1485"/>
      <c r="BM129" s="1485"/>
      <c r="BN129" s="1485"/>
      <c r="BO129" s="1485"/>
      <c r="BP129" s="1485"/>
      <c r="BQ129" s="1485"/>
      <c r="BR129" s="1485"/>
      <c r="BS129" s="1485"/>
      <c r="BT129" s="1485"/>
      <c r="BU129" s="617"/>
      <c r="BV129" s="1485"/>
      <c r="BW129" s="1486"/>
    </row>
    <row r="130" spans="3:77" ht="17.100000000000001" customHeight="1" thickTop="1" thickBot="1" x14ac:dyDescent="0.3">
      <c r="E130" s="659"/>
      <c r="F130" s="661"/>
      <c r="G130" s="4519" t="s">
        <v>72</v>
      </c>
      <c r="H130" s="4520"/>
      <c r="I130" s="4523" t="str">
        <f>IF(ISBLANK(G132),data!$JO$121,_xlfn.IFS(
ISNUMBER(SEARCH( data!$JP$87, G132 )), data!$JO$87,
ISNUMBER(SEARCH( data!$JP$88, G132 )), data!$JO$88,
ISNUMBER(SEARCH( data!$JP$89, G132 )), data!$JO$89,
ISNUMBER(SEARCH( data!$JP$90, G132 )), data!$JO$90,
ISNUMBER(SEARCH( data!$JP$91, G132 )), data!$JO$91,
ISNUMBER(SEARCH( data!$JP$92, G132 )), data!$JO$92,
ISNUMBER(SEARCH( data!$JP$93, G132 )), data!$JO$93,
ISNUMBER(SEARCH( data!$JP$94, G132 )), data!$JO$94,
ISNUMBER(SEARCH( data!$JP$95, G132 )), data!$JO$95,
ISNUMBER(SEARCH( data!$JP$96, G132 )), data!$JO$96,
ISNUMBER(SEARCH( data!$JP$97, G132 )), data!$JO$97,
ISNUMBER(SEARCH( data!$JP$98, G132 )), data!$JO$98,
ISNUMBER(SEARCH( data!$JP$99, G132 )), data!$JO$99,
ISNUMBER(SEARCH( data!$JP$100, G132 )), data!$JO$100,
ISNUMBER(SEARCH( data!$JP$101, G132 )), data!$JO$101,
ISNUMBER(SEARCH( data!$JP$102, G132 )), data!$JO$102,
ISNUMBER(SEARCH( data!$JP$103, G132 )), data!$JO$103,
ISNUMBER(SEARCH( data!$JP$104, G132 )), data!$JO$104,
ISNUMBER(SEARCH( data!$JP$105, G132 )), data!$JO$105,
ISNUMBER(SEARCH( data!$JP$106, G132 )), data!$JO$106,
ISNUMBER(SEARCH( data!$JP$107, G132 )), data!$JO$107,
ISNUMBER(SEARCH( data!$JP$108, G132 )), data!$JO$108,
ISNUMBER(SEARCH( data!$JP$109, G132 )), data!$JO$109,
ISNUMBER(SEARCH( data!$JP$110, G132 )), data!$JO$110,
ISNUMBER(SEARCH( data!$JP$111, G132 )), data!$JO$111,
ISNUMBER(SEARCH( data!$JP$112, G132 )), data!$JO$112,
ISNUMBER(SEARCH( data!$JP$113, G132 )), data!$JO$113,
ISNUMBER(SEARCH( data!$JP$114, G132 )), data!$JO$114,
ISNUMBER(SEARCH( data!$JP$115, G132 )), data!$JO$115,
ISNUMBER(SEARCH( data!$JP$116, G132 )), data!$JO$116,
ISNUMBER(SEARCH( data!$JP$117, G132 )), data!$JO$117,
ISNUMBER(SEARCH( data!$JP$118, G132 )), data!$JO$118,
ISNUMBER(SEARCH( data!$JP$119, G132 )), data!$JO$119,
ISNUMBER(SEARCH( data!$JP$120, G132 )), data!$JO$120,
TRUE,data!$JO$122))</f>
        <v>◇</v>
      </c>
      <c r="J130" s="4523"/>
      <c r="K130" s="4523"/>
      <c r="L130" s="4520" t="s">
        <v>72</v>
      </c>
      <c r="M130" s="4525"/>
      <c r="N130" s="622"/>
      <c r="O130" s="622"/>
      <c r="P130" s="4519" t="s">
        <v>72</v>
      </c>
      <c r="Q130" s="4520"/>
      <c r="R130" s="4523" t="str">
        <f>IF(ISBLANK(P132),data!$JO$121,_xlfn.IFS(
ISNUMBER(SEARCH( data!$JP$87, P132 )), data!$JO$87,
ISNUMBER(SEARCH( data!$JP$88, P132 )), data!$JO$88,
ISNUMBER(SEARCH( data!$JP$89, P132 )), data!$JO$89,
ISNUMBER(SEARCH( data!$JP$90, P132 )), data!$JO$90,
ISNUMBER(SEARCH( data!$JP$91, P132 )), data!$JO$91,
ISNUMBER(SEARCH( data!$JP$92, P132 )), data!$JO$92,
ISNUMBER(SEARCH( data!$JP$93, P132 )), data!$JO$93,
ISNUMBER(SEARCH( data!$JP$94, P132 )), data!$JO$94,
ISNUMBER(SEARCH( data!$JP$95, P132 )), data!$JO$95,
ISNUMBER(SEARCH( data!$JP$96, P132 )), data!$JO$96,
ISNUMBER(SEARCH( data!$JP$97, P132 )), data!$JO$97,
ISNUMBER(SEARCH( data!$JP$98, P132 )), data!$JO$98,
ISNUMBER(SEARCH( data!$JP$99, P132 )), data!$JO$99,
ISNUMBER(SEARCH( data!$JP$100, P132 )), data!$JO$100,
ISNUMBER(SEARCH( data!$JP$101, P132 )), data!$JO$101,
ISNUMBER(SEARCH( data!$JP$102, P132 )), data!$JO$102,
ISNUMBER(SEARCH( data!$JP$103, P132 )), data!$JO$103,
ISNUMBER(SEARCH( data!$JP$104, P132 )), data!$JO$104,
ISNUMBER(SEARCH( data!$JP$105, P132 )), data!$JO$105,
ISNUMBER(SEARCH( data!$JP$106, P132 )), data!$JO$106,
ISNUMBER(SEARCH( data!$JP$107, P132 )), data!$JO$107,
ISNUMBER(SEARCH( data!$JP$108, P132 )), data!$JO$108,
ISNUMBER(SEARCH( data!$JP$109, P132 )), data!$JO$109,
ISNUMBER(SEARCH( data!$JP$110, P132 )), data!$JO$110,
ISNUMBER(SEARCH( data!$JP$111, P132 )), data!$JO$111,
ISNUMBER(SEARCH( data!$JP$112, P132 )), data!$JO$112,
ISNUMBER(SEARCH( data!$JP$113, P132 )), data!$JO$113,
ISNUMBER(SEARCH( data!$JP$114, P132 )), data!$JO$114,
ISNUMBER(SEARCH( data!$JP$115, P132 )), data!$JO$115,
ISNUMBER(SEARCH( data!$JP$116, P132 )), data!$JO$116,
ISNUMBER(SEARCH( data!$JP$117, P132 )), data!$JO$117,
ISNUMBER(SEARCH( data!$JP$118, P132 )), data!$JO$118,
ISNUMBER(SEARCH( data!$JP$119, P132 )), data!$JO$119,
ISNUMBER(SEARCH( data!$JP$120, P132 )), data!$JO$120,
TRUE,data!$JO$122))</f>
        <v>◇</v>
      </c>
      <c r="S130" s="4523"/>
      <c r="T130" s="4523"/>
      <c r="U130" s="4520" t="s">
        <v>72</v>
      </c>
      <c r="V130" s="4525"/>
      <c r="W130" s="661"/>
      <c r="X130" s="662"/>
      <c r="AA130" s="1439"/>
      <c r="AB130" s="4541"/>
      <c r="AC130" s="4542"/>
      <c r="AD130" s="4542"/>
      <c r="AE130" s="4542"/>
      <c r="AF130" s="4542"/>
      <c r="AG130" s="4542"/>
      <c r="AH130" s="4542"/>
      <c r="AI130" s="4542"/>
      <c r="AJ130" s="4542"/>
      <c r="AK130" s="4542"/>
      <c r="AL130" s="4542"/>
      <c r="AM130" s="4551"/>
      <c r="AN130" s="4551"/>
      <c r="AO130" s="4551"/>
      <c r="AP130" s="4552"/>
      <c r="AQ130" s="4533">
        <f>IF(AV130&gt;0,AS130/AV130,0)</f>
        <v>0</v>
      </c>
      <c r="AR130" s="4534"/>
      <c r="AS130" s="4538"/>
      <c r="AT130" s="4538"/>
      <c r="AU130" s="634" t="s">
        <v>117</v>
      </c>
      <c r="AV130" s="4543"/>
      <c r="AW130" s="4543"/>
      <c r="AX130" s="4518" t="str">
        <f>IF(OR(AM130="Audiobook",AM130="Radioplay",AM130="Audiofilm",AM130="TV Audio",AM130="Podcast"), "minutes","pages")</f>
        <v>pages</v>
      </c>
      <c r="AY130" s="4518"/>
      <c r="AZ130" s="4539"/>
      <c r="BA130" s="1442"/>
      <c r="BD130" s="659"/>
      <c r="BE130" s="661"/>
      <c r="BF130" s="4519" t="s">
        <v>72</v>
      </c>
      <c r="BG130" s="4520"/>
      <c r="BH130" s="4523" t="str">
        <f>IF(ISBLANK(BF132),data!$JQ$104,_xlfn.IFS(
ISNUMBER(SEARCH( data!$JR$87, BF132 )), data!$JQ$87,
ISNUMBER(SEARCH( data!$JR$88, BF132 )), data!$JQ$88,
ISNUMBER(SEARCH( data!$JR$89, BF132 )), data!$JQ$89,
ISNUMBER(SEARCH( data!$JR$90, BF132 )), data!$JQ$90,
ISNUMBER(SEARCH( data!$JR$91, BF132 )), data!$JQ$91,
ISNUMBER(SEARCH( data!$JR$92, BF132 )), data!$JQ$92,
ISNUMBER(SEARCH( data!$JR$93, BF132 )), data!$JQ$93,
ISNUMBER(SEARCH( data!$JR$94, BF132 )), data!$JQ$94,
ISNUMBER(SEARCH( data!$JR$95, BF132 )), data!$JQ$95,
ISNUMBER(SEARCH( data!$JR$96, BF132 )), data!$JQ$96,
ISNUMBER(SEARCH( data!$JR$97, BF132 )), data!$JQ$97,
ISNUMBER(SEARCH( data!$JR$98, BF132 )), data!$JQ$98,
ISNUMBER(SEARCH( data!$JR$99, BF132 )), data!$JQ$99,
ISNUMBER(SEARCH( data!$JR$100, BF132 )), data!$JQ$100,
ISNUMBER(SEARCH( data!$JR$101, BF132 )), data!$JQ$101,
ISNUMBER(SEARCH( data!$JR$102, BF132 )), data!$JQ$102,
ISNUMBER(SEARCH( data!$JR$103, BF132 )), data!$JQ$103,
TRUE,data!$JQ$105))</f>
        <v>◇</v>
      </c>
      <c r="BI130" s="4523"/>
      <c r="BJ130" s="4523"/>
      <c r="BK130" s="4520" t="s">
        <v>72</v>
      </c>
      <c r="BL130" s="4525"/>
      <c r="BM130" s="622"/>
      <c r="BN130" s="622"/>
      <c r="BO130" s="4519" t="s">
        <v>72</v>
      </c>
      <c r="BP130" s="4520"/>
      <c r="BQ130" s="4523" t="str">
        <f>IF(ISBLANK(BO132),data!$JQ$104,_xlfn.IFS(
ISNUMBER(SEARCH( data!$JR$87, BO132 )), data!$JQ$87,
ISNUMBER(SEARCH( data!$JR$88, BO132 )), data!$JQ$88,
ISNUMBER(SEARCH( data!$JR$89, BO132 )), data!$JQ$89,
ISNUMBER(SEARCH( data!$JR$90, BO132 )), data!$JQ$90,
ISNUMBER(SEARCH( data!$JR$91, BO132 )), data!$JQ$91,
ISNUMBER(SEARCH( data!$JR$92, BO132 )), data!$JQ$92,
ISNUMBER(SEARCH( data!$JR$93, BO132 )), data!$JQ$93,
ISNUMBER(SEARCH( data!$JR$94, BO132 )), data!$JQ$94,
ISNUMBER(SEARCH( data!$JR$95, BO132 )), data!$JQ$95,
ISNUMBER(SEARCH( data!$JR$96, BO132 )), data!$JQ$96,
ISNUMBER(SEARCH( data!$JR$97, BO132 )), data!$JQ$97,
ISNUMBER(SEARCH( data!$JR$98, BO132 )), data!$JQ$98,
ISNUMBER(SEARCH( data!$JR$99, BO132 )), data!$JQ$99,
ISNUMBER(SEARCH( data!$JR$100, BO132 )), data!$JQ$100,
ISNUMBER(SEARCH( data!$JR$101, BO132 )), data!$JQ$101,
ISNUMBER(SEARCH( data!$JR$102, BO132 )), data!$JQ$102,
ISNUMBER(SEARCH( data!$JR$103, BO132 )), data!$JQ$103,
TRUE,data!$JQ$105))</f>
        <v>◇</v>
      </c>
      <c r="BR130" s="4523"/>
      <c r="BS130" s="4523"/>
      <c r="BT130" s="4520" t="s">
        <v>72</v>
      </c>
      <c r="BU130" s="4525"/>
      <c r="BV130" s="661"/>
      <c r="BW130" s="662"/>
    </row>
    <row r="131" spans="3:77" ht="17.100000000000001" customHeight="1" thickTop="1" thickBot="1" x14ac:dyDescent="0.2">
      <c r="E131" s="659"/>
      <c r="F131" s="661"/>
      <c r="G131" s="4521"/>
      <c r="H131" s="4522"/>
      <c r="I131" s="4524"/>
      <c r="J131" s="4524"/>
      <c r="K131" s="4524"/>
      <c r="L131" s="4522"/>
      <c r="M131" s="4526"/>
      <c r="N131" s="622"/>
      <c r="O131" s="622"/>
      <c r="P131" s="4521"/>
      <c r="Q131" s="4522"/>
      <c r="R131" s="4524"/>
      <c r="S131" s="4524"/>
      <c r="T131" s="4524"/>
      <c r="U131" s="4522"/>
      <c r="V131" s="4526"/>
      <c r="W131" s="661"/>
      <c r="X131" s="662"/>
      <c r="AA131" s="1439"/>
      <c r="AB131" s="4540"/>
      <c r="AC131" s="4535"/>
      <c r="AD131" s="4535"/>
      <c r="AE131" s="4535"/>
      <c r="AF131" s="4535"/>
      <c r="AG131" s="4535"/>
      <c r="AH131" s="4535"/>
      <c r="AI131" s="4535"/>
      <c r="AJ131" s="4535"/>
      <c r="AK131" s="4535"/>
      <c r="AL131" s="4535"/>
      <c r="AM131" s="4564"/>
      <c r="AN131" s="4564"/>
      <c r="AO131" s="4565"/>
      <c r="AP131" s="4566"/>
      <c r="AQ131" s="637"/>
      <c r="AR131" s="637"/>
      <c r="AS131" s="637"/>
      <c r="AT131" s="637"/>
      <c r="AU131" s="637"/>
      <c r="AV131" s="637"/>
      <c r="AW131" s="637"/>
      <c r="AX131" s="637"/>
      <c r="AY131" s="637"/>
      <c r="AZ131" s="637"/>
      <c r="BA131" s="1442"/>
      <c r="BD131" s="659"/>
      <c r="BE131" s="661"/>
      <c r="BF131" s="4521"/>
      <c r="BG131" s="4522"/>
      <c r="BH131" s="4524"/>
      <c r="BI131" s="4524"/>
      <c r="BJ131" s="4524"/>
      <c r="BK131" s="4522"/>
      <c r="BL131" s="4526"/>
      <c r="BM131" s="622"/>
      <c r="BN131" s="622"/>
      <c r="BO131" s="4521"/>
      <c r="BP131" s="4522"/>
      <c r="BQ131" s="4524"/>
      <c r="BR131" s="4524"/>
      <c r="BS131" s="4524"/>
      <c r="BT131" s="4522"/>
      <c r="BU131" s="4526"/>
      <c r="BV131" s="661"/>
      <c r="BW131" s="662"/>
    </row>
    <row r="132" spans="3:77" ht="17.100000000000001" customHeight="1" thickTop="1" thickBot="1" x14ac:dyDescent="0.35">
      <c r="E132" s="659"/>
      <c r="F132" s="661"/>
      <c r="G132" s="4527"/>
      <c r="H132" s="4528"/>
      <c r="I132" s="4528"/>
      <c r="J132" s="4528"/>
      <c r="K132" s="4528"/>
      <c r="L132" s="4528"/>
      <c r="M132" s="4529"/>
      <c r="N132" s="622"/>
      <c r="O132" s="622"/>
      <c r="P132" s="4527"/>
      <c r="Q132" s="4528"/>
      <c r="R132" s="4528"/>
      <c r="S132" s="4528"/>
      <c r="T132" s="4528"/>
      <c r="U132" s="4528"/>
      <c r="V132" s="4529"/>
      <c r="W132" s="661"/>
      <c r="X132" s="662"/>
      <c r="Y132" s="1286"/>
      <c r="Z132" s="1286"/>
      <c r="AA132" s="1439"/>
      <c r="AB132" s="4541"/>
      <c r="AC132" s="4542"/>
      <c r="AD132" s="4542"/>
      <c r="AE132" s="4542"/>
      <c r="AF132" s="4542"/>
      <c r="AG132" s="4542"/>
      <c r="AH132" s="4542"/>
      <c r="AI132" s="4542"/>
      <c r="AJ132" s="4542"/>
      <c r="AK132" s="4542"/>
      <c r="AL132" s="4542"/>
      <c r="AM132" s="4551"/>
      <c r="AN132" s="4551"/>
      <c r="AO132" s="4551"/>
      <c r="AP132" s="4552"/>
      <c r="AQ132" s="4533">
        <f>IF(AV132&gt;0,AS132/AV132,0)</f>
        <v>0</v>
      </c>
      <c r="AR132" s="4534"/>
      <c r="AS132" s="4538"/>
      <c r="AT132" s="4538"/>
      <c r="AU132" s="634" t="s">
        <v>117</v>
      </c>
      <c r="AV132" s="4543"/>
      <c r="AW132" s="4543"/>
      <c r="AX132" s="4518" t="str">
        <f>IF(OR(AM132="Audiobook",AM132="Radioplay",AM132="Audiofilm",AM132="TV Audio",AM132="Podcast"), "minutes","pages")</f>
        <v>pages</v>
      </c>
      <c r="AY132" s="4518"/>
      <c r="AZ132" s="4539"/>
      <c r="BA132" s="1442"/>
      <c r="BB132" s="1286"/>
      <c r="BC132" s="1286"/>
      <c r="BD132" s="659"/>
      <c r="BE132" s="661"/>
      <c r="BF132" s="4527"/>
      <c r="BG132" s="4528"/>
      <c r="BH132" s="4528"/>
      <c r="BI132" s="4528"/>
      <c r="BJ132" s="4528"/>
      <c r="BK132" s="4528"/>
      <c r="BL132" s="4529"/>
      <c r="BM132" s="622"/>
      <c r="BN132" s="622"/>
      <c r="BO132" s="4527"/>
      <c r="BP132" s="4528"/>
      <c r="BQ132" s="4528"/>
      <c r="BR132" s="4528"/>
      <c r="BS132" s="4528"/>
      <c r="BT132" s="4528"/>
      <c r="BU132" s="4529"/>
      <c r="BV132" s="661"/>
      <c r="BW132" s="662"/>
    </row>
    <row r="133" spans="3:77" ht="17.100000000000001" customHeight="1" thickTop="1" thickBot="1" x14ac:dyDescent="0.35">
      <c r="E133" s="659"/>
      <c r="F133" s="661"/>
      <c r="G133" s="4530"/>
      <c r="H133" s="4531"/>
      <c r="I133" s="4531"/>
      <c r="J133" s="4531"/>
      <c r="K133" s="4531"/>
      <c r="L133" s="4531"/>
      <c r="M133" s="4532"/>
      <c r="N133" s="622"/>
      <c r="O133" s="622"/>
      <c r="P133" s="4530"/>
      <c r="Q133" s="4531"/>
      <c r="R133" s="4531"/>
      <c r="S133" s="4531"/>
      <c r="T133" s="4531"/>
      <c r="U133" s="4531"/>
      <c r="V133" s="4532"/>
      <c r="W133" s="661"/>
      <c r="X133" s="662"/>
      <c r="Y133" s="1286"/>
      <c r="Z133" s="1286"/>
      <c r="AA133" s="1439"/>
      <c r="AB133" s="4540"/>
      <c r="AC133" s="4535"/>
      <c r="AD133" s="4535"/>
      <c r="AE133" s="4535"/>
      <c r="AF133" s="4535"/>
      <c r="AG133" s="4535"/>
      <c r="AH133" s="4535"/>
      <c r="AI133" s="4535"/>
      <c r="AJ133" s="4535"/>
      <c r="AK133" s="4535"/>
      <c r="AL133" s="4535"/>
      <c r="AM133" s="4564"/>
      <c r="AN133" s="4564"/>
      <c r="AO133" s="4565"/>
      <c r="AP133" s="4566"/>
      <c r="AQ133" s="637"/>
      <c r="AR133" s="637"/>
      <c r="AS133" s="637"/>
      <c r="AT133" s="637"/>
      <c r="AU133" s="637"/>
      <c r="AV133" s="637"/>
      <c r="AW133" s="637"/>
      <c r="AX133" s="637"/>
      <c r="AY133" s="637"/>
      <c r="AZ133" s="637"/>
      <c r="BA133" s="1442"/>
      <c r="BB133" s="1286"/>
      <c r="BC133" s="1286"/>
      <c r="BD133" s="659"/>
      <c r="BE133" s="661"/>
      <c r="BF133" s="4530"/>
      <c r="BG133" s="4531"/>
      <c r="BH133" s="4531"/>
      <c r="BI133" s="4531"/>
      <c r="BJ133" s="4531"/>
      <c r="BK133" s="4531"/>
      <c r="BL133" s="4532"/>
      <c r="BM133" s="622"/>
      <c r="BN133" s="622"/>
      <c r="BO133" s="4530"/>
      <c r="BP133" s="4531"/>
      <c r="BQ133" s="4531"/>
      <c r="BR133" s="4531"/>
      <c r="BS133" s="4531"/>
      <c r="BT133" s="4531"/>
      <c r="BU133" s="4532"/>
      <c r="BV133" s="661"/>
      <c r="BW133" s="662"/>
    </row>
    <row r="134" spans="3:77" ht="17.100000000000001" customHeight="1" thickTop="1" thickBot="1" x14ac:dyDescent="0.3">
      <c r="E134" s="659"/>
      <c r="F134" s="661"/>
      <c r="G134" s="4517"/>
      <c r="H134" s="4517"/>
      <c r="I134" s="4517"/>
      <c r="J134" s="4517"/>
      <c r="K134" s="4517"/>
      <c r="L134" s="4517"/>
      <c r="M134" s="4517"/>
      <c r="N134" s="924"/>
      <c r="O134" s="924"/>
      <c r="P134" s="4517"/>
      <c r="Q134" s="4517"/>
      <c r="R134" s="4517"/>
      <c r="S134" s="4517"/>
      <c r="T134" s="4517"/>
      <c r="U134" s="4517"/>
      <c r="V134" s="4517"/>
      <c r="W134" s="661"/>
      <c r="X134" s="662"/>
      <c r="AA134" s="1439"/>
      <c r="AB134" s="4541"/>
      <c r="AC134" s="4542"/>
      <c r="AD134" s="4542"/>
      <c r="AE134" s="4542"/>
      <c r="AF134" s="4542"/>
      <c r="AG134" s="4542"/>
      <c r="AH134" s="4542"/>
      <c r="AI134" s="4542"/>
      <c r="AJ134" s="4542"/>
      <c r="AK134" s="4542"/>
      <c r="AL134" s="4542"/>
      <c r="AM134" s="4551"/>
      <c r="AN134" s="4551"/>
      <c r="AO134" s="4551"/>
      <c r="AP134" s="4552"/>
      <c r="AQ134" s="4533">
        <f>IF(AV134&gt;0,AS134/AV134,0)</f>
        <v>0</v>
      </c>
      <c r="AR134" s="4534"/>
      <c r="AS134" s="4538"/>
      <c r="AT134" s="4538"/>
      <c r="AU134" s="634" t="s">
        <v>117</v>
      </c>
      <c r="AV134" s="4543"/>
      <c r="AW134" s="4543"/>
      <c r="AX134" s="4518" t="str">
        <f>IF(OR(AM134="Audiobook",AM134="Radioplay",AM134="Audiofilm",AM134="TV Audio",AM134="Podcast"), "minutes","pages")</f>
        <v>pages</v>
      </c>
      <c r="AY134" s="4518"/>
      <c r="AZ134" s="4539"/>
      <c r="BA134" s="1442"/>
      <c r="BD134" s="659"/>
      <c r="BE134" s="661"/>
      <c r="BF134" s="4517"/>
      <c r="BG134" s="4517"/>
      <c r="BH134" s="4517"/>
      <c r="BI134" s="4517"/>
      <c r="BJ134" s="4517"/>
      <c r="BK134" s="4517"/>
      <c r="BL134" s="4517"/>
      <c r="BM134" s="924"/>
      <c r="BN134" s="924"/>
      <c r="BO134" s="4517"/>
      <c r="BP134" s="4517"/>
      <c r="BQ134" s="4517"/>
      <c r="BR134" s="4517"/>
      <c r="BS134" s="4517"/>
      <c r="BT134" s="4517"/>
      <c r="BU134" s="4517"/>
      <c r="BV134" s="661"/>
      <c r="BW134" s="662"/>
    </row>
    <row r="135" spans="3:77" ht="17.100000000000001" customHeight="1" thickTop="1" thickBot="1" x14ac:dyDescent="0.2">
      <c r="E135" s="659"/>
      <c r="F135" s="661"/>
      <c r="G135" s="617"/>
      <c r="H135" s="617"/>
      <c r="I135" s="617"/>
      <c r="J135" s="617"/>
      <c r="K135" s="617"/>
      <c r="L135" s="617"/>
      <c r="M135" s="617"/>
      <c r="N135" s="617"/>
      <c r="O135" s="617"/>
      <c r="P135" s="617"/>
      <c r="Q135" s="617"/>
      <c r="R135" s="617"/>
      <c r="S135" s="617"/>
      <c r="T135" s="617"/>
      <c r="U135" s="617"/>
      <c r="V135" s="617"/>
      <c r="W135" s="661"/>
      <c r="X135" s="662"/>
      <c r="AA135" s="1439"/>
      <c r="AB135" s="4540"/>
      <c r="AC135" s="4535"/>
      <c r="AD135" s="4535"/>
      <c r="AE135" s="4535"/>
      <c r="AF135" s="4535"/>
      <c r="AG135" s="4535"/>
      <c r="AH135" s="4535"/>
      <c r="AI135" s="4535"/>
      <c r="AJ135" s="4535"/>
      <c r="AK135" s="4535"/>
      <c r="AL135" s="4535"/>
      <c r="AM135" s="4564"/>
      <c r="AN135" s="4564"/>
      <c r="AO135" s="4565"/>
      <c r="AP135" s="4566"/>
      <c r="AQ135" s="637"/>
      <c r="AR135" s="637"/>
      <c r="AS135" s="637"/>
      <c r="AT135" s="637"/>
      <c r="AU135" s="637"/>
      <c r="AV135" s="637"/>
      <c r="AW135" s="637"/>
      <c r="AX135" s="637"/>
      <c r="AY135" s="637"/>
      <c r="AZ135" s="637"/>
      <c r="BA135" s="1442"/>
      <c r="BD135" s="659"/>
      <c r="BE135" s="661"/>
      <c r="BF135" s="617"/>
      <c r="BG135" s="617"/>
      <c r="BH135" s="617"/>
      <c r="BI135" s="617"/>
      <c r="BJ135" s="617"/>
      <c r="BK135" s="617"/>
      <c r="BL135" s="617"/>
      <c r="BM135" s="617"/>
      <c r="BN135" s="617"/>
      <c r="BO135" s="617"/>
      <c r="BP135" s="617"/>
      <c r="BQ135" s="617"/>
      <c r="BR135" s="617"/>
      <c r="BS135" s="617"/>
      <c r="BT135" s="617"/>
      <c r="BU135" s="617"/>
      <c r="BV135" s="661"/>
      <c r="BW135" s="662"/>
    </row>
    <row r="136" spans="3:77" ht="17.100000000000001" customHeight="1" thickTop="1" thickBot="1" x14ac:dyDescent="0.3">
      <c r="E136" s="659"/>
      <c r="F136" s="661"/>
      <c r="G136" s="4519" t="s">
        <v>72</v>
      </c>
      <c r="H136" s="4520"/>
      <c r="I136" s="4523" t="str">
        <f>IF(ISBLANK(G138),data!$JO$121,_xlfn.IFS(
ISNUMBER(SEARCH( data!$JP$87, G138 )), data!$JO$87,
ISNUMBER(SEARCH( data!$JP$88, G138 )), data!$JO$88,
ISNUMBER(SEARCH( data!$JP$89, G138 )), data!$JO$89,
ISNUMBER(SEARCH( data!$JP$90, G138 )), data!$JO$90,
ISNUMBER(SEARCH( data!$JP$91, G138 )), data!$JO$91,
ISNUMBER(SEARCH( data!$JP$92, G138 )), data!$JO$92,
ISNUMBER(SEARCH( data!$JP$93, G138 )), data!$JO$93,
ISNUMBER(SEARCH( data!$JP$94, G138 )), data!$JO$94,
ISNUMBER(SEARCH( data!$JP$95, G138 )), data!$JO$95,
ISNUMBER(SEARCH( data!$JP$96, G138 )), data!$JO$96,
ISNUMBER(SEARCH( data!$JP$97, G138 )), data!$JO$97,
ISNUMBER(SEARCH( data!$JP$98, G138 )), data!$JO$98,
ISNUMBER(SEARCH( data!$JP$99, G138 )), data!$JO$99,
ISNUMBER(SEARCH( data!$JP$100, G138 )), data!$JO$100,
ISNUMBER(SEARCH( data!$JP$101, G138 )), data!$JO$101,
ISNUMBER(SEARCH( data!$JP$102, G138 )), data!$JO$102,
ISNUMBER(SEARCH( data!$JP$103, G138 )), data!$JO$103,
ISNUMBER(SEARCH( data!$JP$104, G138 )), data!$JO$104,
ISNUMBER(SEARCH( data!$JP$105, G138 )), data!$JO$105,
ISNUMBER(SEARCH( data!$JP$106, G138 )), data!$JO$106,
ISNUMBER(SEARCH( data!$JP$107, G138 )), data!$JO$107,
ISNUMBER(SEARCH( data!$JP$108, G138 )), data!$JO$108,
ISNUMBER(SEARCH( data!$JP$109, G138 )), data!$JO$109,
ISNUMBER(SEARCH( data!$JP$110, G138 )), data!$JO$110,
ISNUMBER(SEARCH( data!$JP$111, G138 )), data!$JO$111,
ISNUMBER(SEARCH( data!$JP$112, G138 )), data!$JO$112,
ISNUMBER(SEARCH( data!$JP$113, G138 )), data!$JO$113,
ISNUMBER(SEARCH( data!$JP$114, G138 )), data!$JO$114,
ISNUMBER(SEARCH( data!$JP$115, G138 )), data!$JO$115,
ISNUMBER(SEARCH( data!$JP$116, G138 )), data!$JO$116,
ISNUMBER(SEARCH( data!$JP$117, G138 )), data!$JO$117,
ISNUMBER(SEARCH( data!$JP$118, G138 )), data!$JO$118,
ISNUMBER(SEARCH( data!$JP$119, G138 )), data!$JO$119,
ISNUMBER(SEARCH( data!$JP$120, G138 )), data!$JO$120,
TRUE,data!$JO$122))</f>
        <v>◇</v>
      </c>
      <c r="J136" s="4523"/>
      <c r="K136" s="4523"/>
      <c r="L136" s="4520" t="s">
        <v>72</v>
      </c>
      <c r="M136" s="4525"/>
      <c r="N136" s="622"/>
      <c r="O136" s="622"/>
      <c r="P136" s="4519" t="s">
        <v>72</v>
      </c>
      <c r="Q136" s="4520"/>
      <c r="R136" s="4523" t="str">
        <f>IF(ISBLANK(P138),data!$JO$121,_xlfn.IFS(
ISNUMBER(SEARCH( data!$JP$87, P138 )), data!$JO$87,
ISNUMBER(SEARCH( data!$JP$88, P138 )), data!$JO$88,
ISNUMBER(SEARCH( data!$JP$89, P138 )), data!$JO$89,
ISNUMBER(SEARCH( data!$JP$90, P138 )), data!$JO$90,
ISNUMBER(SEARCH( data!$JP$91, P138 )), data!$JO$91,
ISNUMBER(SEARCH( data!$JP$92, P138 )), data!$JO$92,
ISNUMBER(SEARCH( data!$JP$93, P138 )), data!$JO$93,
ISNUMBER(SEARCH( data!$JP$94, P138 )), data!$JO$94,
ISNUMBER(SEARCH( data!$JP$95, P138 )), data!$JO$95,
ISNUMBER(SEARCH( data!$JP$96, P138 )), data!$JO$96,
ISNUMBER(SEARCH( data!$JP$97, P138 )), data!$JO$97,
ISNUMBER(SEARCH( data!$JP$98, P138 )), data!$JO$98,
ISNUMBER(SEARCH( data!$JP$99, P138 )), data!$JO$99,
ISNUMBER(SEARCH( data!$JP$100, P138 )), data!$JO$100,
ISNUMBER(SEARCH( data!$JP$101, P138 )), data!$JO$101,
ISNUMBER(SEARCH( data!$JP$102, P138 )), data!$JO$102,
ISNUMBER(SEARCH( data!$JP$103, P138 )), data!$JO$103,
ISNUMBER(SEARCH( data!$JP$104, P138 )), data!$JO$104,
ISNUMBER(SEARCH( data!$JP$105, P138 )), data!$JO$105,
ISNUMBER(SEARCH( data!$JP$106, P138 )), data!$JO$106,
ISNUMBER(SEARCH( data!$JP$107, P138 )), data!$JO$107,
ISNUMBER(SEARCH( data!$JP$108, P138 )), data!$JO$108,
ISNUMBER(SEARCH( data!$JP$109, P138 )), data!$JO$109,
ISNUMBER(SEARCH( data!$JP$110, P138 )), data!$JO$110,
ISNUMBER(SEARCH( data!$JP$111, P138 )), data!$JO$111,
ISNUMBER(SEARCH( data!$JP$112, P138 )), data!$JO$112,
ISNUMBER(SEARCH( data!$JP$113, P138 )), data!$JO$113,
ISNUMBER(SEARCH( data!$JP$114, P138 )), data!$JO$114,
ISNUMBER(SEARCH( data!$JP$115, P138 )), data!$JO$115,
ISNUMBER(SEARCH( data!$JP$116, P138 )), data!$JO$116,
ISNUMBER(SEARCH( data!$JP$117, P138 )), data!$JO$117,
ISNUMBER(SEARCH( data!$JP$118, P138 )), data!$JO$118,
ISNUMBER(SEARCH( data!$JP$119, P138 )), data!$JO$119,
ISNUMBER(SEARCH( data!$JP$120, P138 )), data!$JO$120,
TRUE,data!$JO$122))</f>
        <v>◇</v>
      </c>
      <c r="S136" s="4523"/>
      <c r="T136" s="4523"/>
      <c r="U136" s="4520" t="s">
        <v>72</v>
      </c>
      <c r="V136" s="4525"/>
      <c r="W136" s="661"/>
      <c r="X136" s="662"/>
      <c r="AA136" s="1439"/>
      <c r="AB136" s="4541"/>
      <c r="AC136" s="4542"/>
      <c r="AD136" s="4542"/>
      <c r="AE136" s="4542"/>
      <c r="AF136" s="4542"/>
      <c r="AG136" s="4542"/>
      <c r="AH136" s="4542"/>
      <c r="AI136" s="4542"/>
      <c r="AJ136" s="4542"/>
      <c r="AK136" s="4542"/>
      <c r="AL136" s="4542"/>
      <c r="AM136" s="4551"/>
      <c r="AN136" s="4551"/>
      <c r="AO136" s="4551"/>
      <c r="AP136" s="4552"/>
      <c r="AQ136" s="4533">
        <f>IF(AV136&gt;0,AS136/AV136,0)</f>
        <v>0</v>
      </c>
      <c r="AR136" s="4534"/>
      <c r="AS136" s="4538"/>
      <c r="AT136" s="4538"/>
      <c r="AU136" s="634" t="s">
        <v>117</v>
      </c>
      <c r="AV136" s="4543"/>
      <c r="AW136" s="4543"/>
      <c r="AX136" s="4518" t="str">
        <f>IF(OR(AM136="Audiobook",AM136="Radioplay",AM136="Audiofilm",AM136="TV Audio",AM136="Podcast"), "minutes","pages")</f>
        <v>pages</v>
      </c>
      <c r="AY136" s="4518"/>
      <c r="AZ136" s="4539"/>
      <c r="BA136" s="1442"/>
      <c r="BD136" s="659"/>
      <c r="BE136" s="661"/>
      <c r="BF136" s="4519" t="s">
        <v>72</v>
      </c>
      <c r="BG136" s="4520"/>
      <c r="BH136" s="4523" t="str">
        <f>IF(ISBLANK(BF138),data!$JQ$104,_xlfn.IFS(
ISNUMBER(SEARCH( data!$JR$87, BF138 )), data!$JQ$87,
ISNUMBER(SEARCH( data!$JR$88, BF138 )), data!$JQ$88,
ISNUMBER(SEARCH( data!$JR$89, BF138 )), data!$JQ$89,
ISNUMBER(SEARCH( data!$JR$90, BF138 )), data!$JQ$90,
ISNUMBER(SEARCH( data!$JR$91, BF138 )), data!$JQ$91,
ISNUMBER(SEARCH( data!$JR$92, BF138 )), data!$JQ$92,
ISNUMBER(SEARCH( data!$JR$93, BF138 )), data!$JQ$93,
ISNUMBER(SEARCH( data!$JR$94, BF138 )), data!$JQ$94,
ISNUMBER(SEARCH( data!$JR$95, BF138 )), data!$JQ$95,
ISNUMBER(SEARCH( data!$JR$96, BF138 )), data!$JQ$96,
ISNUMBER(SEARCH( data!$JR$97, BF138 )), data!$JQ$97,
ISNUMBER(SEARCH( data!$JR$98, BF138 )), data!$JQ$98,
ISNUMBER(SEARCH( data!$JR$99, BF138 )), data!$JQ$99,
ISNUMBER(SEARCH( data!$JR$100, BF138 )), data!$JQ$100,
ISNUMBER(SEARCH( data!$JR$101, BF138 )), data!$JQ$101,
ISNUMBER(SEARCH( data!$JR$102, BF138 )), data!$JQ$102,
ISNUMBER(SEARCH( data!$JR$103, BF138 )), data!$JQ$103,
TRUE,data!$JQ$105))</f>
        <v>◇</v>
      </c>
      <c r="BI136" s="4523"/>
      <c r="BJ136" s="4523"/>
      <c r="BK136" s="4520" t="s">
        <v>72</v>
      </c>
      <c r="BL136" s="4525"/>
      <c r="BM136" s="622"/>
      <c r="BN136" s="622"/>
      <c r="BO136" s="4519" t="s">
        <v>72</v>
      </c>
      <c r="BP136" s="4520"/>
      <c r="BQ136" s="4523" t="str">
        <f>IF(ISBLANK(BO138),data!$JQ$104,_xlfn.IFS(
ISNUMBER(SEARCH( data!$JR$87, BO138 )), data!$JQ$87,
ISNUMBER(SEARCH( data!$JR$88, BO138 )), data!$JQ$88,
ISNUMBER(SEARCH( data!$JR$89, BO138 )), data!$JQ$89,
ISNUMBER(SEARCH( data!$JR$90, BO138 )), data!$JQ$90,
ISNUMBER(SEARCH( data!$JR$91, BO138 )), data!$JQ$91,
ISNUMBER(SEARCH( data!$JR$92, BO138 )), data!$JQ$92,
ISNUMBER(SEARCH( data!$JR$93, BO138 )), data!$JQ$93,
ISNUMBER(SEARCH( data!$JR$94, BO138 )), data!$JQ$94,
ISNUMBER(SEARCH( data!$JR$95, BO138 )), data!$JQ$95,
ISNUMBER(SEARCH( data!$JR$96, BO138 )), data!$JQ$96,
ISNUMBER(SEARCH( data!$JR$97, BO138 )), data!$JQ$97,
ISNUMBER(SEARCH( data!$JR$98, BO138 )), data!$JQ$98,
ISNUMBER(SEARCH( data!$JR$99, BO138 )), data!$JQ$99,
ISNUMBER(SEARCH( data!$JR$100, BO138 )), data!$JQ$100,
ISNUMBER(SEARCH( data!$JR$101, BO138 )), data!$JQ$101,
ISNUMBER(SEARCH( data!$JR$102, BO138 )), data!$JQ$102,
ISNUMBER(SEARCH( data!$JR$103, BO138 )), data!$JQ$103,
TRUE,data!$JQ$105))</f>
        <v>◇</v>
      </c>
      <c r="BR136" s="4523"/>
      <c r="BS136" s="4523"/>
      <c r="BT136" s="4520" t="s">
        <v>72</v>
      </c>
      <c r="BU136" s="4525"/>
      <c r="BV136" s="661"/>
      <c r="BW136" s="662"/>
    </row>
    <row r="137" spans="3:77" ht="17.100000000000001" customHeight="1" thickTop="1" thickBot="1" x14ac:dyDescent="0.2">
      <c r="E137" s="659"/>
      <c r="F137" s="661"/>
      <c r="G137" s="4521"/>
      <c r="H137" s="4522"/>
      <c r="I137" s="4524"/>
      <c r="J137" s="4524"/>
      <c r="K137" s="4524"/>
      <c r="L137" s="4522"/>
      <c r="M137" s="4526"/>
      <c r="N137" s="622"/>
      <c r="O137" s="622"/>
      <c r="P137" s="4521"/>
      <c r="Q137" s="4522"/>
      <c r="R137" s="4524"/>
      <c r="S137" s="4524"/>
      <c r="T137" s="4524"/>
      <c r="U137" s="4522"/>
      <c r="V137" s="4526"/>
      <c r="W137" s="661"/>
      <c r="X137" s="662"/>
      <c r="AA137" s="1439"/>
      <c r="AB137" s="4540"/>
      <c r="AC137" s="4535"/>
      <c r="AD137" s="4535"/>
      <c r="AE137" s="4535"/>
      <c r="AF137" s="4535"/>
      <c r="AG137" s="4535"/>
      <c r="AH137" s="4535"/>
      <c r="AI137" s="4535"/>
      <c r="AJ137" s="4535"/>
      <c r="AK137" s="4535"/>
      <c r="AL137" s="4535"/>
      <c r="AM137" s="4564"/>
      <c r="AN137" s="4564"/>
      <c r="AO137" s="4565"/>
      <c r="AP137" s="4566"/>
      <c r="AQ137" s="637"/>
      <c r="AR137" s="637"/>
      <c r="AS137" s="637"/>
      <c r="AT137" s="637"/>
      <c r="AU137" s="637"/>
      <c r="AV137" s="637"/>
      <c r="AW137" s="637"/>
      <c r="AX137" s="637"/>
      <c r="AY137" s="637"/>
      <c r="AZ137" s="637"/>
      <c r="BA137" s="1442"/>
      <c r="BD137" s="659"/>
      <c r="BE137" s="661"/>
      <c r="BF137" s="4521"/>
      <c r="BG137" s="4522"/>
      <c r="BH137" s="4524"/>
      <c r="BI137" s="4524"/>
      <c r="BJ137" s="4524"/>
      <c r="BK137" s="4522"/>
      <c r="BL137" s="4526"/>
      <c r="BM137" s="622"/>
      <c r="BN137" s="622"/>
      <c r="BO137" s="4521"/>
      <c r="BP137" s="4522"/>
      <c r="BQ137" s="4524"/>
      <c r="BR137" s="4524"/>
      <c r="BS137" s="4524"/>
      <c r="BT137" s="4522"/>
      <c r="BU137" s="4526"/>
      <c r="BV137" s="661"/>
      <c r="BW137" s="662"/>
    </row>
    <row r="138" spans="3:77" ht="17.100000000000001" customHeight="1" thickTop="1" thickBot="1" x14ac:dyDescent="0.3">
      <c r="E138" s="659"/>
      <c r="F138" s="661"/>
      <c r="G138" s="4527"/>
      <c r="H138" s="4528"/>
      <c r="I138" s="4528"/>
      <c r="J138" s="4528"/>
      <c r="K138" s="4528"/>
      <c r="L138" s="4528"/>
      <c r="M138" s="4529"/>
      <c r="N138" s="622"/>
      <c r="O138" s="622"/>
      <c r="P138" s="4527"/>
      <c r="Q138" s="4528"/>
      <c r="R138" s="4528"/>
      <c r="S138" s="4528"/>
      <c r="T138" s="4528"/>
      <c r="U138" s="4528"/>
      <c r="V138" s="4529"/>
      <c r="W138" s="661"/>
      <c r="X138" s="662"/>
      <c r="AA138" s="1439"/>
      <c r="AB138" s="4541"/>
      <c r="AC138" s="4542"/>
      <c r="AD138" s="4542"/>
      <c r="AE138" s="4542"/>
      <c r="AF138" s="4542"/>
      <c r="AG138" s="4542"/>
      <c r="AH138" s="4542"/>
      <c r="AI138" s="4542"/>
      <c r="AJ138" s="4542"/>
      <c r="AK138" s="4542"/>
      <c r="AL138" s="4542"/>
      <c r="AM138" s="4551"/>
      <c r="AN138" s="4551"/>
      <c r="AO138" s="4551"/>
      <c r="AP138" s="4552"/>
      <c r="AQ138" s="4533">
        <f>IF(AV138&gt;0,AS138/AV138,0)</f>
        <v>0</v>
      </c>
      <c r="AR138" s="4534"/>
      <c r="AS138" s="4538"/>
      <c r="AT138" s="4538"/>
      <c r="AU138" s="634" t="s">
        <v>117</v>
      </c>
      <c r="AV138" s="4543"/>
      <c r="AW138" s="4543"/>
      <c r="AX138" s="4518" t="str">
        <f>IF(OR(AM138="Audiobook",AM138="Radioplay",AM138="Audiofilm",AM138="TV Audio",AM138="Podcast"), "minutes","pages")</f>
        <v>pages</v>
      </c>
      <c r="AY138" s="4518"/>
      <c r="AZ138" s="4539"/>
      <c r="BA138" s="1442"/>
      <c r="BD138" s="659"/>
      <c r="BE138" s="661"/>
      <c r="BF138" s="4527"/>
      <c r="BG138" s="4528"/>
      <c r="BH138" s="4528"/>
      <c r="BI138" s="4528"/>
      <c r="BJ138" s="4528"/>
      <c r="BK138" s="4528"/>
      <c r="BL138" s="4529"/>
      <c r="BM138" s="622"/>
      <c r="BN138" s="622"/>
      <c r="BO138" s="4527"/>
      <c r="BP138" s="4528"/>
      <c r="BQ138" s="4528"/>
      <c r="BR138" s="4528"/>
      <c r="BS138" s="4528"/>
      <c r="BT138" s="4528"/>
      <c r="BU138" s="4529"/>
      <c r="BV138" s="661"/>
      <c r="BW138" s="662"/>
    </row>
    <row r="139" spans="3:77" ht="17.100000000000001" customHeight="1" thickTop="1" thickBot="1" x14ac:dyDescent="0.2">
      <c r="E139" s="659"/>
      <c r="F139" s="661"/>
      <c r="G139" s="4530"/>
      <c r="H139" s="4531"/>
      <c r="I139" s="4531"/>
      <c r="J139" s="4531"/>
      <c r="K139" s="4531"/>
      <c r="L139" s="4531"/>
      <c r="M139" s="4532"/>
      <c r="N139" s="622"/>
      <c r="O139" s="622"/>
      <c r="P139" s="4530"/>
      <c r="Q139" s="4531"/>
      <c r="R139" s="4531"/>
      <c r="S139" s="4531"/>
      <c r="T139" s="4531"/>
      <c r="U139" s="4531"/>
      <c r="V139" s="4532"/>
      <c r="W139" s="661"/>
      <c r="X139" s="662"/>
      <c r="AA139" s="1439"/>
      <c r="AB139" s="4540"/>
      <c r="AC139" s="4535"/>
      <c r="AD139" s="4535"/>
      <c r="AE139" s="4535"/>
      <c r="AF139" s="4535"/>
      <c r="AG139" s="4535"/>
      <c r="AH139" s="4535"/>
      <c r="AI139" s="4535"/>
      <c r="AJ139" s="4535"/>
      <c r="AK139" s="4535"/>
      <c r="AL139" s="4535"/>
      <c r="AM139" s="4564"/>
      <c r="AN139" s="4564"/>
      <c r="AO139" s="4565"/>
      <c r="AP139" s="4566"/>
      <c r="AQ139" s="637"/>
      <c r="AR139" s="637"/>
      <c r="AS139" s="637"/>
      <c r="AT139" s="637"/>
      <c r="AU139" s="637"/>
      <c r="AV139" s="637"/>
      <c r="AW139" s="637"/>
      <c r="AX139" s="637"/>
      <c r="AY139" s="637"/>
      <c r="AZ139" s="637"/>
      <c r="BA139" s="1442"/>
      <c r="BD139" s="659"/>
      <c r="BE139" s="661"/>
      <c r="BF139" s="4530"/>
      <c r="BG139" s="4531"/>
      <c r="BH139" s="4531"/>
      <c r="BI139" s="4531"/>
      <c r="BJ139" s="4531"/>
      <c r="BK139" s="4531"/>
      <c r="BL139" s="4532"/>
      <c r="BM139" s="622"/>
      <c r="BN139" s="622"/>
      <c r="BO139" s="4530"/>
      <c r="BP139" s="4531"/>
      <c r="BQ139" s="4531"/>
      <c r="BR139" s="4531"/>
      <c r="BS139" s="4531"/>
      <c r="BT139" s="4531"/>
      <c r="BU139" s="4532"/>
      <c r="BV139" s="661"/>
      <c r="BW139" s="662"/>
    </row>
    <row r="140" spans="3:77" ht="17.100000000000001" customHeight="1" thickTop="1" thickBot="1" x14ac:dyDescent="0.3">
      <c r="C140" s="28"/>
      <c r="D140" s="28"/>
      <c r="E140" s="659"/>
      <c r="F140" s="661"/>
      <c r="G140" s="4517"/>
      <c r="H140" s="4517"/>
      <c r="I140" s="4517"/>
      <c r="J140" s="4517"/>
      <c r="K140" s="4517"/>
      <c r="L140" s="4517"/>
      <c r="M140" s="4517"/>
      <c r="N140" s="924"/>
      <c r="O140" s="924"/>
      <c r="P140" s="4517"/>
      <c r="Q140" s="4517"/>
      <c r="R140" s="4517"/>
      <c r="S140" s="4517"/>
      <c r="T140" s="4517"/>
      <c r="U140" s="4517"/>
      <c r="V140" s="4517"/>
      <c r="W140" s="661"/>
      <c r="X140" s="662"/>
      <c r="AA140" s="1439"/>
      <c r="AB140" s="4541"/>
      <c r="AC140" s="4542"/>
      <c r="AD140" s="4542"/>
      <c r="AE140" s="4542"/>
      <c r="AF140" s="4542"/>
      <c r="AG140" s="4542"/>
      <c r="AH140" s="4542"/>
      <c r="AI140" s="4542"/>
      <c r="AJ140" s="4542"/>
      <c r="AK140" s="4542"/>
      <c r="AL140" s="4542"/>
      <c r="AM140" s="4551"/>
      <c r="AN140" s="4551"/>
      <c r="AO140" s="4551"/>
      <c r="AP140" s="4552"/>
      <c r="AQ140" s="4533">
        <f>IF(AV140&gt;0,AS140/AV140,0)</f>
        <v>0</v>
      </c>
      <c r="AR140" s="4534"/>
      <c r="AS140" s="4538"/>
      <c r="AT140" s="4538"/>
      <c r="AU140" s="634" t="s">
        <v>117</v>
      </c>
      <c r="AV140" s="4543"/>
      <c r="AW140" s="4543"/>
      <c r="AX140" s="4518" t="str">
        <f>IF(OR(AM140="Audiobook",AM140="Radioplay",AM140="Audiofilm",AM140="TV Audio",AM140="Podcast"), "minutes","pages")</f>
        <v>pages</v>
      </c>
      <c r="AY140" s="4518"/>
      <c r="AZ140" s="4539"/>
      <c r="BA140" s="1442"/>
      <c r="BD140" s="659"/>
      <c r="BE140" s="661"/>
      <c r="BF140" s="4517"/>
      <c r="BG140" s="4517"/>
      <c r="BH140" s="4517"/>
      <c r="BI140" s="4517"/>
      <c r="BJ140" s="4517"/>
      <c r="BK140" s="4517"/>
      <c r="BL140" s="4517"/>
      <c r="BM140" s="924"/>
      <c r="BN140" s="924"/>
      <c r="BO140" s="4517"/>
      <c r="BP140" s="4517"/>
      <c r="BQ140" s="4517"/>
      <c r="BR140" s="4517"/>
      <c r="BS140" s="4517"/>
      <c r="BT140" s="4517"/>
      <c r="BU140" s="4517"/>
      <c r="BV140" s="661"/>
      <c r="BW140" s="662"/>
      <c r="BX140" s="28"/>
      <c r="BY140" s="28"/>
    </row>
    <row r="141" spans="3:77" ht="17.100000000000001" customHeight="1" thickTop="1" thickBot="1" x14ac:dyDescent="0.25">
      <c r="C141" s="28"/>
      <c r="D141" s="28"/>
      <c r="E141" s="659"/>
      <c r="F141" s="661"/>
      <c r="G141" s="931"/>
      <c r="H141" s="931"/>
      <c r="I141" s="931"/>
      <c r="J141" s="931"/>
      <c r="K141" s="931"/>
      <c r="L141" s="931"/>
      <c r="M141" s="931"/>
      <c r="N141" s="931"/>
      <c r="O141" s="931"/>
      <c r="P141" s="931"/>
      <c r="Q141" s="931"/>
      <c r="R141" s="931"/>
      <c r="S141" s="931"/>
      <c r="T141" s="931"/>
      <c r="U141" s="931"/>
      <c r="V141" s="931"/>
      <c r="W141" s="661"/>
      <c r="X141" s="662"/>
      <c r="AA141" s="1439"/>
      <c r="AB141" s="4540"/>
      <c r="AC141" s="4535"/>
      <c r="AD141" s="4535"/>
      <c r="AE141" s="4535"/>
      <c r="AF141" s="4535"/>
      <c r="AG141" s="4535"/>
      <c r="AH141" s="4535"/>
      <c r="AI141" s="4535"/>
      <c r="AJ141" s="4535"/>
      <c r="AK141" s="4535"/>
      <c r="AL141" s="4535"/>
      <c r="AM141" s="4564"/>
      <c r="AN141" s="4564"/>
      <c r="AO141" s="4565"/>
      <c r="AP141" s="4566"/>
      <c r="AQ141" s="637"/>
      <c r="AR141" s="637"/>
      <c r="AS141" s="637"/>
      <c r="AT141" s="637"/>
      <c r="AU141" s="637"/>
      <c r="AV141" s="637"/>
      <c r="AW141" s="637"/>
      <c r="AX141" s="637"/>
      <c r="AY141" s="637"/>
      <c r="AZ141" s="637"/>
      <c r="BA141" s="1442"/>
      <c r="BD141" s="659"/>
      <c r="BE141" s="661"/>
      <c r="BF141" s="931"/>
      <c r="BG141" s="931"/>
      <c r="BH141" s="931"/>
      <c r="BI141" s="931"/>
      <c r="BJ141" s="931"/>
      <c r="BK141" s="931"/>
      <c r="BL141" s="931"/>
      <c r="BM141" s="931"/>
      <c r="BN141" s="931"/>
      <c r="BO141" s="931"/>
      <c r="BP141" s="931"/>
      <c r="BQ141" s="931"/>
      <c r="BR141" s="931"/>
      <c r="BS141" s="931"/>
      <c r="BT141" s="931"/>
      <c r="BU141" s="931"/>
      <c r="BV141" s="661"/>
      <c r="BW141" s="662"/>
      <c r="BX141" s="28"/>
      <c r="BY141" s="28"/>
    </row>
    <row r="142" spans="3:77" ht="17.100000000000001" customHeight="1" thickTop="1" thickBot="1" x14ac:dyDescent="0.3">
      <c r="C142" s="28"/>
      <c r="D142" s="28"/>
      <c r="E142" s="659"/>
      <c r="F142" s="661"/>
      <c r="G142" s="4519" t="s">
        <v>72</v>
      </c>
      <c r="H142" s="4520"/>
      <c r="I142" s="4523" t="str">
        <f>IF(ISBLANK(G144),data!$JO$121,_xlfn.IFS(
ISNUMBER(SEARCH( data!$JP$87, G144 )), data!$JO$87,
ISNUMBER(SEARCH( data!$JP$88, G144 )), data!$JO$88,
ISNUMBER(SEARCH( data!$JP$89, G144 )), data!$JO$89,
ISNUMBER(SEARCH( data!$JP$90, G144 )), data!$JO$90,
ISNUMBER(SEARCH( data!$JP$91, G144 )), data!$JO$91,
ISNUMBER(SEARCH( data!$JP$92, G144 )), data!$JO$92,
ISNUMBER(SEARCH( data!$JP$93, G144 )), data!$JO$93,
ISNUMBER(SEARCH( data!$JP$94, G144 )), data!$JO$94,
ISNUMBER(SEARCH( data!$JP$95, G144 )), data!$JO$95,
ISNUMBER(SEARCH( data!$JP$96, G144 )), data!$JO$96,
ISNUMBER(SEARCH( data!$JP$97, G144 )), data!$JO$97,
ISNUMBER(SEARCH( data!$JP$98, G144 )), data!$JO$98,
ISNUMBER(SEARCH( data!$JP$99, G144 )), data!$JO$99,
ISNUMBER(SEARCH( data!$JP$100, G144 )), data!$JO$100,
ISNUMBER(SEARCH( data!$JP$101, G144 )), data!$JO$101,
ISNUMBER(SEARCH( data!$JP$102, G144 )), data!$JO$102,
ISNUMBER(SEARCH( data!$JP$103, G144 )), data!$JO$103,
ISNUMBER(SEARCH( data!$JP$104, G144 )), data!$JO$104,
ISNUMBER(SEARCH( data!$JP$105, G144 )), data!$JO$105,
ISNUMBER(SEARCH( data!$JP$106, G144 )), data!$JO$106,
ISNUMBER(SEARCH( data!$JP$107, G144 )), data!$JO$107,
ISNUMBER(SEARCH( data!$JP$108, G144 )), data!$JO$108,
ISNUMBER(SEARCH( data!$JP$109, G144 )), data!$JO$109,
ISNUMBER(SEARCH( data!$JP$110, G144 )), data!$JO$110,
ISNUMBER(SEARCH( data!$JP$111, G144 )), data!$JO$111,
ISNUMBER(SEARCH( data!$JP$112, G144 )), data!$JO$112,
ISNUMBER(SEARCH( data!$JP$113, G144 )), data!$JO$113,
ISNUMBER(SEARCH( data!$JP$114, G144 )), data!$JO$114,
ISNUMBER(SEARCH( data!$JP$115, G144 )), data!$JO$115,
ISNUMBER(SEARCH( data!$JP$116, G144 )), data!$JO$116,
ISNUMBER(SEARCH( data!$JP$117, G144 )), data!$JO$117,
ISNUMBER(SEARCH( data!$JP$118, G144 )), data!$JO$118,
ISNUMBER(SEARCH( data!$JP$119, G144 )), data!$JO$119,
ISNUMBER(SEARCH( data!$JP$120, G144 )), data!$JO$120,
TRUE,data!$JO$122))</f>
        <v>◇</v>
      </c>
      <c r="J142" s="4523"/>
      <c r="K142" s="4523"/>
      <c r="L142" s="4520" t="s">
        <v>72</v>
      </c>
      <c r="M142" s="4525"/>
      <c r="N142" s="622"/>
      <c r="O142" s="622"/>
      <c r="P142" s="4519" t="s">
        <v>72</v>
      </c>
      <c r="Q142" s="4520"/>
      <c r="R142" s="4523" t="str">
        <f>IF(ISBLANK(P144),data!$JO$121,_xlfn.IFS(
ISNUMBER(SEARCH( data!$JP$87, P144 )), data!$JO$87,
ISNUMBER(SEARCH( data!$JP$88, P144 )), data!$JO$88,
ISNUMBER(SEARCH( data!$JP$89, P144 )), data!$JO$89,
ISNUMBER(SEARCH( data!$JP$90, P144 )), data!$JO$90,
ISNUMBER(SEARCH( data!$JP$91, P144 )), data!$JO$91,
ISNUMBER(SEARCH( data!$JP$92, P144 )), data!$JO$92,
ISNUMBER(SEARCH( data!$JP$93, P144 )), data!$JO$93,
ISNUMBER(SEARCH( data!$JP$94, P144 )), data!$JO$94,
ISNUMBER(SEARCH( data!$JP$95, P144 )), data!$JO$95,
ISNUMBER(SEARCH( data!$JP$96, P144 )), data!$JO$96,
ISNUMBER(SEARCH( data!$JP$97, P144 )), data!$JO$97,
ISNUMBER(SEARCH( data!$JP$98, P144 )), data!$JO$98,
ISNUMBER(SEARCH( data!$JP$99, P144 )), data!$JO$99,
ISNUMBER(SEARCH( data!$JP$100, P144 )), data!$JO$100,
ISNUMBER(SEARCH( data!$JP$101, P144 )), data!$JO$101,
ISNUMBER(SEARCH( data!$JP$102, P144 )), data!$JO$102,
ISNUMBER(SEARCH( data!$JP$103, P144 )), data!$JO$103,
ISNUMBER(SEARCH( data!$JP$104, P144 )), data!$JO$104,
ISNUMBER(SEARCH( data!$JP$105, P144 )), data!$JO$105,
ISNUMBER(SEARCH( data!$JP$106, P144 )), data!$JO$106,
ISNUMBER(SEARCH( data!$JP$107, P144 )), data!$JO$107,
ISNUMBER(SEARCH( data!$JP$108, P144 )), data!$JO$108,
ISNUMBER(SEARCH( data!$JP$109, P144 )), data!$JO$109,
ISNUMBER(SEARCH( data!$JP$110, P144 )), data!$JO$110,
ISNUMBER(SEARCH( data!$JP$111, P144 )), data!$JO$111,
ISNUMBER(SEARCH( data!$JP$112, P144 )), data!$JO$112,
ISNUMBER(SEARCH( data!$JP$113, P144 )), data!$JO$113,
ISNUMBER(SEARCH( data!$JP$114, P144 )), data!$JO$114,
ISNUMBER(SEARCH( data!$JP$115, P144 )), data!$JO$115,
ISNUMBER(SEARCH( data!$JP$116, P144 )), data!$JO$116,
ISNUMBER(SEARCH( data!$JP$117, P144 )), data!$JO$117,
ISNUMBER(SEARCH( data!$JP$118, P144 )), data!$JO$118,
ISNUMBER(SEARCH( data!$JP$119, P144 )), data!$JO$119,
ISNUMBER(SEARCH( data!$JP$120, P144 )), data!$JO$120,
TRUE,data!$JO$122))</f>
        <v>◇</v>
      </c>
      <c r="S142" s="4523"/>
      <c r="T142" s="4523"/>
      <c r="U142" s="4520" t="s">
        <v>72</v>
      </c>
      <c r="V142" s="4525"/>
      <c r="W142" s="661"/>
      <c r="X142" s="662"/>
      <c r="AA142" s="1439"/>
      <c r="AB142" s="4541"/>
      <c r="AC142" s="4542"/>
      <c r="AD142" s="4542"/>
      <c r="AE142" s="4542"/>
      <c r="AF142" s="4542"/>
      <c r="AG142" s="4542"/>
      <c r="AH142" s="4542"/>
      <c r="AI142" s="4542"/>
      <c r="AJ142" s="4542"/>
      <c r="AK142" s="4542"/>
      <c r="AL142" s="4542"/>
      <c r="AM142" s="4551"/>
      <c r="AN142" s="4551"/>
      <c r="AO142" s="4551"/>
      <c r="AP142" s="4552"/>
      <c r="AQ142" s="4533">
        <f>IF(AV142&gt;0,AS142/AV142,0)</f>
        <v>0</v>
      </c>
      <c r="AR142" s="4534"/>
      <c r="AS142" s="4538"/>
      <c r="AT142" s="4538"/>
      <c r="AU142" s="634" t="s">
        <v>117</v>
      </c>
      <c r="AV142" s="4543"/>
      <c r="AW142" s="4543"/>
      <c r="AX142" s="4518" t="str">
        <f>IF(OR(AM142="Audiobook",AM142="Radioplay",AM142="Audiofilm",AM142="TV Audio",AM142="Podcast"), "minutes","pages")</f>
        <v>pages</v>
      </c>
      <c r="AY142" s="4518"/>
      <c r="AZ142" s="4539"/>
      <c r="BA142" s="1442"/>
      <c r="BD142" s="659"/>
      <c r="BE142" s="661"/>
      <c r="BF142" s="4519" t="s">
        <v>72</v>
      </c>
      <c r="BG142" s="4520"/>
      <c r="BH142" s="4523" t="str">
        <f>IF(ISBLANK(BF144),data!$JQ$104,_xlfn.IFS(
ISNUMBER(SEARCH( data!$JR$87, BF144 )), data!$JQ$87,
ISNUMBER(SEARCH( data!$JR$88, BF144 )), data!$JQ$88,
ISNUMBER(SEARCH( data!$JR$89, BF144 )), data!$JQ$89,
ISNUMBER(SEARCH( data!$JR$90, BF144 )), data!$JQ$90,
ISNUMBER(SEARCH( data!$JR$91, BF144 )), data!$JQ$91,
ISNUMBER(SEARCH( data!$JR$92, BF144 )), data!$JQ$92,
ISNUMBER(SEARCH( data!$JR$93, BF144 )), data!$JQ$93,
ISNUMBER(SEARCH( data!$JR$94, BF144 )), data!$JQ$94,
ISNUMBER(SEARCH( data!$JR$95, BF144 )), data!$JQ$95,
ISNUMBER(SEARCH( data!$JR$96, BF144 )), data!$JQ$96,
ISNUMBER(SEARCH( data!$JR$97, BF144 )), data!$JQ$97,
ISNUMBER(SEARCH( data!$JR$98, BF144 )), data!$JQ$98,
ISNUMBER(SEARCH( data!$JR$99, BF144 )), data!$JQ$99,
ISNUMBER(SEARCH( data!$JR$100, BF144 )), data!$JQ$100,
ISNUMBER(SEARCH( data!$JR$101, BF144 )), data!$JQ$101,
ISNUMBER(SEARCH( data!$JR$102, BF144 )), data!$JQ$102,
ISNUMBER(SEARCH( data!$JR$103, BF144 )), data!$JQ$103,
TRUE,data!$JQ$105))</f>
        <v>◇</v>
      </c>
      <c r="BI142" s="4523"/>
      <c r="BJ142" s="4523"/>
      <c r="BK142" s="4520" t="s">
        <v>72</v>
      </c>
      <c r="BL142" s="4525"/>
      <c r="BM142" s="622"/>
      <c r="BN142" s="622"/>
      <c r="BO142" s="4519" t="s">
        <v>72</v>
      </c>
      <c r="BP142" s="4520"/>
      <c r="BQ142" s="4523" t="str">
        <f>IF(ISBLANK(BO144),data!$JQ$104,_xlfn.IFS(
ISNUMBER(SEARCH( data!$JR$87, BO144 )), data!$JQ$87,
ISNUMBER(SEARCH( data!$JR$88, BO144 )), data!$JQ$88,
ISNUMBER(SEARCH( data!$JR$89, BO144 )), data!$JQ$89,
ISNUMBER(SEARCH( data!$JR$90, BO144 )), data!$JQ$90,
ISNUMBER(SEARCH( data!$JR$91, BO144 )), data!$JQ$91,
ISNUMBER(SEARCH( data!$JR$92, BO144 )), data!$JQ$92,
ISNUMBER(SEARCH( data!$JR$93, BO144 )), data!$JQ$93,
ISNUMBER(SEARCH( data!$JR$94, BO144 )), data!$JQ$94,
ISNUMBER(SEARCH( data!$JR$95, BO144 )), data!$JQ$95,
ISNUMBER(SEARCH( data!$JR$96, BO144 )), data!$JQ$96,
ISNUMBER(SEARCH( data!$JR$97, BO144 )), data!$JQ$97,
ISNUMBER(SEARCH( data!$JR$98, BO144 )), data!$JQ$98,
ISNUMBER(SEARCH( data!$JR$99, BO144 )), data!$JQ$99,
ISNUMBER(SEARCH( data!$JR$100, BO144 )), data!$JQ$100,
ISNUMBER(SEARCH( data!$JR$101, BO144 )), data!$JQ$101,
ISNUMBER(SEARCH( data!$JR$102, BO144 )), data!$JQ$102,
ISNUMBER(SEARCH( data!$JR$103, BO144 )), data!$JQ$103,
TRUE,data!$JQ$105))</f>
        <v>◇</v>
      </c>
      <c r="BR142" s="4523"/>
      <c r="BS142" s="4523"/>
      <c r="BT142" s="4520" t="s">
        <v>72</v>
      </c>
      <c r="BU142" s="4525"/>
      <c r="BV142" s="661"/>
      <c r="BW142" s="662"/>
      <c r="BX142" s="28"/>
      <c r="BY142" s="28"/>
    </row>
    <row r="143" spans="3:77" ht="17.100000000000001" customHeight="1" thickTop="1" thickBot="1" x14ac:dyDescent="0.2">
      <c r="C143" s="28"/>
      <c r="D143" s="28"/>
      <c r="E143" s="659"/>
      <c r="F143" s="661"/>
      <c r="G143" s="4521"/>
      <c r="H143" s="4522"/>
      <c r="I143" s="4524"/>
      <c r="J143" s="4524"/>
      <c r="K143" s="4524"/>
      <c r="L143" s="4522"/>
      <c r="M143" s="4526"/>
      <c r="N143" s="622"/>
      <c r="O143" s="622"/>
      <c r="P143" s="4521"/>
      <c r="Q143" s="4522"/>
      <c r="R143" s="4524"/>
      <c r="S143" s="4524"/>
      <c r="T143" s="4524"/>
      <c r="U143" s="4522"/>
      <c r="V143" s="4526"/>
      <c r="W143" s="661"/>
      <c r="X143" s="662"/>
      <c r="AA143" s="1439"/>
      <c r="AB143" s="4540"/>
      <c r="AC143" s="4535"/>
      <c r="AD143" s="4535"/>
      <c r="AE143" s="4535"/>
      <c r="AF143" s="4535"/>
      <c r="AG143" s="4535"/>
      <c r="AH143" s="4535"/>
      <c r="AI143" s="4535"/>
      <c r="AJ143" s="4535"/>
      <c r="AK143" s="4535"/>
      <c r="AL143" s="4535"/>
      <c r="AM143" s="4564"/>
      <c r="AN143" s="4564"/>
      <c r="AO143" s="4565"/>
      <c r="AP143" s="4566"/>
      <c r="AQ143" s="637"/>
      <c r="AR143" s="637"/>
      <c r="AS143" s="637"/>
      <c r="AT143" s="637"/>
      <c r="AU143" s="637"/>
      <c r="AV143" s="637"/>
      <c r="AW143" s="637"/>
      <c r="AX143" s="637"/>
      <c r="AY143" s="637"/>
      <c r="AZ143" s="637"/>
      <c r="BA143" s="1442"/>
      <c r="BD143" s="659"/>
      <c r="BE143" s="661"/>
      <c r="BF143" s="4521"/>
      <c r="BG143" s="4522"/>
      <c r="BH143" s="4524"/>
      <c r="BI143" s="4524"/>
      <c r="BJ143" s="4524"/>
      <c r="BK143" s="4522"/>
      <c r="BL143" s="4526"/>
      <c r="BM143" s="622"/>
      <c r="BN143" s="622"/>
      <c r="BO143" s="4521"/>
      <c r="BP143" s="4522"/>
      <c r="BQ143" s="4524"/>
      <c r="BR143" s="4524"/>
      <c r="BS143" s="4524"/>
      <c r="BT143" s="4522"/>
      <c r="BU143" s="4526"/>
      <c r="BV143" s="661"/>
      <c r="BW143" s="662"/>
      <c r="BX143" s="28"/>
      <c r="BY143" s="28"/>
    </row>
    <row r="144" spans="3:77" ht="17.100000000000001" customHeight="1" thickTop="1" thickBot="1" x14ac:dyDescent="0.3">
      <c r="E144" s="659"/>
      <c r="F144" s="661"/>
      <c r="G144" s="4527"/>
      <c r="H144" s="4528"/>
      <c r="I144" s="4528"/>
      <c r="J144" s="4528"/>
      <c r="K144" s="4528"/>
      <c r="L144" s="4528"/>
      <c r="M144" s="4529"/>
      <c r="N144" s="622"/>
      <c r="O144" s="622"/>
      <c r="P144" s="4527"/>
      <c r="Q144" s="4528"/>
      <c r="R144" s="4528"/>
      <c r="S144" s="4528"/>
      <c r="T144" s="4528"/>
      <c r="U144" s="4528"/>
      <c r="V144" s="4529"/>
      <c r="W144" s="661"/>
      <c r="X144" s="662"/>
      <c r="AA144" s="1439"/>
      <c r="AB144" s="4541"/>
      <c r="AC144" s="4542"/>
      <c r="AD144" s="4542"/>
      <c r="AE144" s="4542"/>
      <c r="AF144" s="4542"/>
      <c r="AG144" s="4542"/>
      <c r="AH144" s="4542"/>
      <c r="AI144" s="4542"/>
      <c r="AJ144" s="4542"/>
      <c r="AK144" s="4542"/>
      <c r="AL144" s="4542"/>
      <c r="AM144" s="4551"/>
      <c r="AN144" s="4551"/>
      <c r="AO144" s="4551"/>
      <c r="AP144" s="4552"/>
      <c r="AQ144" s="4533">
        <f>IF(AV144&gt;0,AS144/AV144,0)</f>
        <v>0</v>
      </c>
      <c r="AR144" s="4534"/>
      <c r="AS144" s="4538"/>
      <c r="AT144" s="4538"/>
      <c r="AU144" s="634" t="s">
        <v>117</v>
      </c>
      <c r="AV144" s="4543"/>
      <c r="AW144" s="4543"/>
      <c r="AX144" s="4518" t="str">
        <f>IF(OR(AM144="Audiobook",AM144="Radioplay",AM144="Audiofilm",AM144="TV Audio",AM144="Podcast"), "minutes","pages")</f>
        <v>pages</v>
      </c>
      <c r="AY144" s="4518"/>
      <c r="AZ144" s="4539"/>
      <c r="BA144" s="1442"/>
      <c r="BD144" s="659"/>
      <c r="BE144" s="661"/>
      <c r="BF144" s="4527"/>
      <c r="BG144" s="4528"/>
      <c r="BH144" s="4528"/>
      <c r="BI144" s="4528"/>
      <c r="BJ144" s="4528"/>
      <c r="BK144" s="4528"/>
      <c r="BL144" s="4529"/>
      <c r="BM144" s="622"/>
      <c r="BN144" s="622"/>
      <c r="BO144" s="4527"/>
      <c r="BP144" s="4528"/>
      <c r="BQ144" s="4528"/>
      <c r="BR144" s="4528"/>
      <c r="BS144" s="4528"/>
      <c r="BT144" s="4528"/>
      <c r="BU144" s="4529"/>
      <c r="BV144" s="661"/>
      <c r="BW144" s="662"/>
    </row>
    <row r="145" spans="5:75" ht="17.100000000000001" customHeight="1" thickTop="1" thickBot="1" x14ac:dyDescent="0.2">
      <c r="E145" s="659"/>
      <c r="F145" s="661"/>
      <c r="G145" s="4530"/>
      <c r="H145" s="4531"/>
      <c r="I145" s="4531"/>
      <c r="J145" s="4531"/>
      <c r="K145" s="4531"/>
      <c r="L145" s="4531"/>
      <c r="M145" s="4532"/>
      <c r="N145" s="622"/>
      <c r="O145" s="622"/>
      <c r="P145" s="4530"/>
      <c r="Q145" s="4531"/>
      <c r="R145" s="4531"/>
      <c r="S145" s="4531"/>
      <c r="T145" s="4531"/>
      <c r="U145" s="4531"/>
      <c r="V145" s="4532"/>
      <c r="W145" s="661"/>
      <c r="X145" s="662"/>
      <c r="AA145" s="1439"/>
      <c r="AB145" s="4540"/>
      <c r="AC145" s="4535"/>
      <c r="AD145" s="4535"/>
      <c r="AE145" s="4535"/>
      <c r="AF145" s="4535"/>
      <c r="AG145" s="4535"/>
      <c r="AH145" s="4535"/>
      <c r="AI145" s="4535"/>
      <c r="AJ145" s="4535"/>
      <c r="AK145" s="4535"/>
      <c r="AL145" s="4535"/>
      <c r="AM145" s="4564"/>
      <c r="AN145" s="4564"/>
      <c r="AO145" s="4565"/>
      <c r="AP145" s="4566"/>
      <c r="AQ145" s="637"/>
      <c r="AR145" s="637"/>
      <c r="AS145" s="637"/>
      <c r="AT145" s="637"/>
      <c r="AU145" s="637"/>
      <c r="AV145" s="637"/>
      <c r="AW145" s="637"/>
      <c r="AX145" s="637"/>
      <c r="AY145" s="637"/>
      <c r="AZ145" s="637"/>
      <c r="BA145" s="1442"/>
      <c r="BD145" s="659"/>
      <c r="BE145" s="661"/>
      <c r="BF145" s="4530"/>
      <c r="BG145" s="4531"/>
      <c r="BH145" s="4531"/>
      <c r="BI145" s="4531"/>
      <c r="BJ145" s="4531"/>
      <c r="BK145" s="4531"/>
      <c r="BL145" s="4532"/>
      <c r="BM145" s="622"/>
      <c r="BN145" s="622"/>
      <c r="BO145" s="4530"/>
      <c r="BP145" s="4531"/>
      <c r="BQ145" s="4531"/>
      <c r="BR145" s="4531"/>
      <c r="BS145" s="4531"/>
      <c r="BT145" s="4531"/>
      <c r="BU145" s="4532"/>
      <c r="BV145" s="661"/>
      <c r="BW145" s="662"/>
    </row>
    <row r="146" spans="5:75" ht="17.100000000000001" customHeight="1" thickTop="1" thickBot="1" x14ac:dyDescent="0.3">
      <c r="E146" s="659"/>
      <c r="F146" s="661"/>
      <c r="G146" s="4517"/>
      <c r="H146" s="4517"/>
      <c r="I146" s="4517"/>
      <c r="J146" s="4517"/>
      <c r="K146" s="4517"/>
      <c r="L146" s="4517"/>
      <c r="M146" s="4517"/>
      <c r="N146" s="924"/>
      <c r="O146" s="924"/>
      <c r="P146" s="4517"/>
      <c r="Q146" s="4517"/>
      <c r="R146" s="4517"/>
      <c r="S146" s="4517"/>
      <c r="T146" s="4517"/>
      <c r="U146" s="4517"/>
      <c r="V146" s="4517"/>
      <c r="W146" s="661"/>
      <c r="X146" s="662"/>
      <c r="AA146" s="1439"/>
      <c r="AB146" s="4541"/>
      <c r="AC146" s="4542"/>
      <c r="AD146" s="4542"/>
      <c r="AE146" s="4542"/>
      <c r="AF146" s="4542"/>
      <c r="AG146" s="4542"/>
      <c r="AH146" s="4542"/>
      <c r="AI146" s="4542"/>
      <c r="AJ146" s="4542"/>
      <c r="AK146" s="4542"/>
      <c r="AL146" s="4542"/>
      <c r="AM146" s="4551"/>
      <c r="AN146" s="4551"/>
      <c r="AO146" s="4551"/>
      <c r="AP146" s="4552"/>
      <c r="AQ146" s="4533">
        <f>IF(AV146&gt;0,AS146/AV146,0)</f>
        <v>0</v>
      </c>
      <c r="AR146" s="4534"/>
      <c r="AS146" s="4538"/>
      <c r="AT146" s="4538"/>
      <c r="AU146" s="634" t="s">
        <v>117</v>
      </c>
      <c r="AV146" s="4543"/>
      <c r="AW146" s="4543"/>
      <c r="AX146" s="4518" t="str">
        <f>IF(OR(AM146="Audiobook",AM146="Radioplay",AM146="Audiofilm",AM146="TV Audio",AM146="Podcast"), "minutes","pages")</f>
        <v>pages</v>
      </c>
      <c r="AY146" s="4518"/>
      <c r="AZ146" s="4539"/>
      <c r="BA146" s="1442"/>
      <c r="BD146" s="659"/>
      <c r="BE146" s="661"/>
      <c r="BF146" s="4517"/>
      <c r="BG146" s="4517"/>
      <c r="BH146" s="4517"/>
      <c r="BI146" s="4517"/>
      <c r="BJ146" s="4517"/>
      <c r="BK146" s="4517"/>
      <c r="BL146" s="4517"/>
      <c r="BM146" s="924"/>
      <c r="BN146" s="924"/>
      <c r="BO146" s="4517"/>
      <c r="BP146" s="4517"/>
      <c r="BQ146" s="4517"/>
      <c r="BR146" s="4517"/>
      <c r="BS146" s="4517"/>
      <c r="BT146" s="4517"/>
      <c r="BU146" s="4517"/>
      <c r="BV146" s="661"/>
      <c r="BW146" s="662"/>
    </row>
    <row r="147" spans="5:75" ht="17.100000000000001" customHeight="1" thickTop="1" thickBot="1" x14ac:dyDescent="0.2">
      <c r="E147" s="659"/>
      <c r="F147" s="661"/>
      <c r="G147" s="617"/>
      <c r="H147" s="617"/>
      <c r="I147" s="617"/>
      <c r="J147" s="617"/>
      <c r="K147" s="617"/>
      <c r="L147" s="617"/>
      <c r="M147" s="617"/>
      <c r="N147" s="617"/>
      <c r="O147" s="617"/>
      <c r="P147" s="617"/>
      <c r="Q147" s="617"/>
      <c r="R147" s="617"/>
      <c r="S147" s="617"/>
      <c r="T147" s="617"/>
      <c r="U147" s="617"/>
      <c r="V147" s="617"/>
      <c r="W147" s="661"/>
      <c r="X147" s="662"/>
      <c r="AA147" s="1439"/>
      <c r="AB147" s="4540"/>
      <c r="AC147" s="4535"/>
      <c r="AD147" s="4535"/>
      <c r="AE147" s="4535"/>
      <c r="AF147" s="4535"/>
      <c r="AG147" s="4535"/>
      <c r="AH147" s="4535"/>
      <c r="AI147" s="4535"/>
      <c r="AJ147" s="4535"/>
      <c r="AK147" s="4535"/>
      <c r="AL147" s="4535"/>
      <c r="AM147" s="4564"/>
      <c r="AN147" s="4564"/>
      <c r="AO147" s="4565"/>
      <c r="AP147" s="4566"/>
      <c r="AQ147" s="637"/>
      <c r="AR147" s="637"/>
      <c r="AS147" s="637"/>
      <c r="AT147" s="637"/>
      <c r="AU147" s="637"/>
      <c r="AV147" s="637"/>
      <c r="AW147" s="637"/>
      <c r="AX147" s="637"/>
      <c r="AY147" s="637"/>
      <c r="AZ147" s="637"/>
      <c r="BA147" s="1442"/>
      <c r="BD147" s="659"/>
      <c r="BE147" s="661"/>
      <c r="BF147" s="617"/>
      <c r="BG147" s="617"/>
      <c r="BH147" s="617"/>
      <c r="BI147" s="617"/>
      <c r="BJ147" s="617"/>
      <c r="BK147" s="617"/>
      <c r="BL147" s="617"/>
      <c r="BM147" s="617"/>
      <c r="BN147" s="617"/>
      <c r="BO147" s="617"/>
      <c r="BP147" s="617"/>
      <c r="BQ147" s="617"/>
      <c r="BR147" s="617"/>
      <c r="BS147" s="617"/>
      <c r="BT147" s="617"/>
      <c r="BU147" s="617"/>
      <c r="BV147" s="661"/>
      <c r="BW147" s="662"/>
    </row>
    <row r="148" spans="5:75" ht="17.100000000000001" customHeight="1" thickTop="1" thickBot="1" x14ac:dyDescent="0.3">
      <c r="E148" s="659"/>
      <c r="F148" s="661"/>
      <c r="G148" s="4519" t="s">
        <v>72</v>
      </c>
      <c r="H148" s="4520"/>
      <c r="I148" s="4523" t="str">
        <f>IF(ISBLANK(G150),data!$JO$121,_xlfn.IFS(
ISNUMBER(SEARCH( data!$JP$87, G150 )), data!$JO$87,
ISNUMBER(SEARCH( data!$JP$88, G150 )), data!$JO$88,
ISNUMBER(SEARCH( data!$JP$89, G150 )), data!$JO$89,
ISNUMBER(SEARCH( data!$JP$90, G150 )), data!$JO$90,
ISNUMBER(SEARCH( data!$JP$91, G150 )), data!$JO$91,
ISNUMBER(SEARCH( data!$JP$92, G150 )), data!$JO$92,
ISNUMBER(SEARCH( data!$JP$93, G150 )), data!$JO$93,
ISNUMBER(SEARCH( data!$JP$94, G150 )), data!$JO$94,
ISNUMBER(SEARCH( data!$JP$95, G150 )), data!$JO$95,
ISNUMBER(SEARCH( data!$JP$96, G150 )), data!$JO$96,
ISNUMBER(SEARCH( data!$JP$97, G150 )), data!$JO$97,
ISNUMBER(SEARCH( data!$JP$98, G150 )), data!$JO$98,
ISNUMBER(SEARCH( data!$JP$99, G150 )), data!$JO$99,
ISNUMBER(SEARCH( data!$JP$100, G150 )), data!$JO$100,
ISNUMBER(SEARCH( data!$JP$101, G150 )), data!$JO$101,
ISNUMBER(SEARCH( data!$JP$102, G150 )), data!$JO$102,
ISNUMBER(SEARCH( data!$JP$103, G150 )), data!$JO$103,
ISNUMBER(SEARCH( data!$JP$104, G150 )), data!$JO$104,
ISNUMBER(SEARCH( data!$JP$105, G150 )), data!$JO$105,
ISNUMBER(SEARCH( data!$JP$106, G150 )), data!$JO$106,
ISNUMBER(SEARCH( data!$JP$107, G150 )), data!$JO$107,
ISNUMBER(SEARCH( data!$JP$108, G150 )), data!$JO$108,
ISNUMBER(SEARCH( data!$JP$109, G150 )), data!$JO$109,
ISNUMBER(SEARCH( data!$JP$110, G150 )), data!$JO$110,
ISNUMBER(SEARCH( data!$JP$111, G150 )), data!$JO$111,
ISNUMBER(SEARCH( data!$JP$112, G150 )), data!$JO$112,
ISNUMBER(SEARCH( data!$JP$113, G150 )), data!$JO$113,
ISNUMBER(SEARCH( data!$JP$114, G150 )), data!$JO$114,
ISNUMBER(SEARCH( data!$JP$115, G150 )), data!$JO$115,
ISNUMBER(SEARCH( data!$JP$116, G150 )), data!$JO$116,
ISNUMBER(SEARCH( data!$JP$117, G150 )), data!$JO$117,
ISNUMBER(SEARCH( data!$JP$118, G150 )), data!$JO$118,
ISNUMBER(SEARCH( data!$JP$119, G150 )), data!$JO$119,
ISNUMBER(SEARCH( data!$JP$120, G150 )), data!$JO$120,
TRUE,data!$JO$122))</f>
        <v>◇</v>
      </c>
      <c r="J148" s="4523"/>
      <c r="K148" s="4523"/>
      <c r="L148" s="4520" t="s">
        <v>72</v>
      </c>
      <c r="M148" s="4525"/>
      <c r="N148" s="622"/>
      <c r="O148" s="622"/>
      <c r="P148" s="4519" t="s">
        <v>72</v>
      </c>
      <c r="Q148" s="4520"/>
      <c r="R148" s="4523" t="str">
        <f>IF(ISBLANK(P150),data!$JO$121,_xlfn.IFS(
ISNUMBER(SEARCH( data!$JP$87, P150 )), data!$JO$87,
ISNUMBER(SEARCH( data!$JP$88, P150 )), data!$JO$88,
ISNUMBER(SEARCH( data!$JP$89, P150 )), data!$JO$89,
ISNUMBER(SEARCH( data!$JP$90, P150 )), data!$JO$90,
ISNUMBER(SEARCH( data!$JP$91, P150 )), data!$JO$91,
ISNUMBER(SEARCH( data!$JP$92, P150 )), data!$JO$92,
ISNUMBER(SEARCH( data!$JP$93, P150 )), data!$JO$93,
ISNUMBER(SEARCH( data!$JP$94, P150 )), data!$JO$94,
ISNUMBER(SEARCH( data!$JP$95, P150 )), data!$JO$95,
ISNUMBER(SEARCH( data!$JP$96, P150 )), data!$JO$96,
ISNUMBER(SEARCH( data!$JP$97, P150 )), data!$JO$97,
ISNUMBER(SEARCH( data!$JP$98, P150 )), data!$JO$98,
ISNUMBER(SEARCH( data!$JP$99, P150 )), data!$JO$99,
ISNUMBER(SEARCH( data!$JP$100, P150 )), data!$JO$100,
ISNUMBER(SEARCH( data!$JP$101, P150 )), data!$JO$101,
ISNUMBER(SEARCH( data!$JP$102, P150 )), data!$JO$102,
ISNUMBER(SEARCH( data!$JP$103, P150 )), data!$JO$103,
ISNUMBER(SEARCH( data!$JP$104, P150 )), data!$JO$104,
ISNUMBER(SEARCH( data!$JP$105, P150 )), data!$JO$105,
ISNUMBER(SEARCH( data!$JP$106, P150 )), data!$JO$106,
ISNUMBER(SEARCH( data!$JP$107, P150 )), data!$JO$107,
ISNUMBER(SEARCH( data!$JP$108, P150 )), data!$JO$108,
ISNUMBER(SEARCH( data!$JP$109, P150 )), data!$JO$109,
ISNUMBER(SEARCH( data!$JP$110, P150 )), data!$JO$110,
ISNUMBER(SEARCH( data!$JP$111, P150 )), data!$JO$111,
ISNUMBER(SEARCH( data!$JP$112, P150 )), data!$JO$112,
ISNUMBER(SEARCH( data!$JP$113, P150 )), data!$JO$113,
ISNUMBER(SEARCH( data!$JP$114, P150 )), data!$JO$114,
ISNUMBER(SEARCH( data!$JP$115, P150 )), data!$JO$115,
ISNUMBER(SEARCH( data!$JP$116, P150 )), data!$JO$116,
ISNUMBER(SEARCH( data!$JP$117, P150 )), data!$JO$117,
ISNUMBER(SEARCH( data!$JP$118, P150 )), data!$JO$118,
ISNUMBER(SEARCH( data!$JP$119, P150 )), data!$JO$119,
ISNUMBER(SEARCH( data!$JP$120, P150 )), data!$JO$120,
TRUE,data!$JO$122))</f>
        <v>◇</v>
      </c>
      <c r="S148" s="4523"/>
      <c r="T148" s="4523"/>
      <c r="U148" s="4520" t="s">
        <v>72</v>
      </c>
      <c r="V148" s="4525"/>
      <c r="W148" s="661"/>
      <c r="X148" s="662"/>
      <c r="AA148" s="1439"/>
      <c r="AB148" s="4541"/>
      <c r="AC148" s="4542"/>
      <c r="AD148" s="4542"/>
      <c r="AE148" s="4542"/>
      <c r="AF148" s="4542"/>
      <c r="AG148" s="4542"/>
      <c r="AH148" s="4542"/>
      <c r="AI148" s="4542"/>
      <c r="AJ148" s="4542"/>
      <c r="AK148" s="4542"/>
      <c r="AL148" s="4542"/>
      <c r="AM148" s="4551"/>
      <c r="AN148" s="4551"/>
      <c r="AO148" s="4551"/>
      <c r="AP148" s="4552"/>
      <c r="AQ148" s="4533">
        <f>IF(AV148&gt;0,AS148/AV148,0)</f>
        <v>0</v>
      </c>
      <c r="AR148" s="4534"/>
      <c r="AS148" s="4538"/>
      <c r="AT148" s="4538"/>
      <c r="AU148" s="634" t="s">
        <v>117</v>
      </c>
      <c r="AV148" s="4543"/>
      <c r="AW148" s="4543"/>
      <c r="AX148" s="4518" t="str">
        <f>IF(OR(AM148="Audiobook",AM148="Radioplay",AM148="Audiofilm",AM148="TV Audio",AM148="Podcast"), "minutes","pages")</f>
        <v>pages</v>
      </c>
      <c r="AY148" s="4518"/>
      <c r="AZ148" s="4539"/>
      <c r="BA148" s="1442"/>
      <c r="BD148" s="659"/>
      <c r="BE148" s="661"/>
      <c r="BF148" s="4519" t="s">
        <v>72</v>
      </c>
      <c r="BG148" s="4520"/>
      <c r="BH148" s="4523" t="str">
        <f>IF(ISBLANK(BF150),data!$JQ$104,_xlfn.IFS(
ISNUMBER(SEARCH( data!$JR$87, BF150 )), data!$JQ$87,
ISNUMBER(SEARCH( data!$JR$88, BF150 )), data!$JQ$88,
ISNUMBER(SEARCH( data!$JR$89, BF150 )), data!$JQ$89,
ISNUMBER(SEARCH( data!$JR$90, BF150 )), data!$JQ$90,
ISNUMBER(SEARCH( data!$JR$91, BF150 )), data!$JQ$91,
ISNUMBER(SEARCH( data!$JR$92, BF150 )), data!$JQ$92,
ISNUMBER(SEARCH( data!$JR$93, BF150 )), data!$JQ$93,
ISNUMBER(SEARCH( data!$JR$94, BF150 )), data!$JQ$94,
ISNUMBER(SEARCH( data!$JR$95, BF150 )), data!$JQ$95,
ISNUMBER(SEARCH( data!$JR$96, BF150 )), data!$JQ$96,
ISNUMBER(SEARCH( data!$JR$97, BF150 )), data!$JQ$97,
ISNUMBER(SEARCH( data!$JR$98, BF150 )), data!$JQ$98,
ISNUMBER(SEARCH( data!$JR$99, BF150 )), data!$JQ$99,
ISNUMBER(SEARCH( data!$JR$100, BF150 )), data!$JQ$100,
ISNUMBER(SEARCH( data!$JR$101, BF150 )), data!$JQ$101,
ISNUMBER(SEARCH( data!$JR$102, BF150 )), data!$JQ$102,
ISNUMBER(SEARCH( data!$JR$103, BF150 )), data!$JQ$103,
TRUE,data!$JQ$105))</f>
        <v>◇</v>
      </c>
      <c r="BI148" s="4523"/>
      <c r="BJ148" s="4523"/>
      <c r="BK148" s="4520" t="s">
        <v>72</v>
      </c>
      <c r="BL148" s="4525"/>
      <c r="BM148" s="622"/>
      <c r="BN148" s="622"/>
      <c r="BO148" s="4519" t="s">
        <v>72</v>
      </c>
      <c r="BP148" s="4520"/>
      <c r="BQ148" s="4523" t="str">
        <f>IF(ISBLANK(BO150),data!$JQ$104,_xlfn.IFS(
ISNUMBER(SEARCH( data!$JR$87, BO150 )), data!$JQ$87,
ISNUMBER(SEARCH( data!$JR$88, BO150 )), data!$JQ$88,
ISNUMBER(SEARCH( data!$JR$89, BO150 )), data!$JQ$89,
ISNUMBER(SEARCH( data!$JR$90, BO150 )), data!$JQ$90,
ISNUMBER(SEARCH( data!$JR$91, BO150 )), data!$JQ$91,
ISNUMBER(SEARCH( data!$JR$92, BO150 )), data!$JQ$92,
ISNUMBER(SEARCH( data!$JR$93, BO150 )), data!$JQ$93,
ISNUMBER(SEARCH( data!$JR$94, BO150 )), data!$JQ$94,
ISNUMBER(SEARCH( data!$JR$95, BO150 )), data!$JQ$95,
ISNUMBER(SEARCH( data!$JR$96, BO150 )), data!$JQ$96,
ISNUMBER(SEARCH( data!$JR$97, BO150 )), data!$JQ$97,
ISNUMBER(SEARCH( data!$JR$98, BO150 )), data!$JQ$98,
ISNUMBER(SEARCH( data!$JR$99, BO150 )), data!$JQ$99,
ISNUMBER(SEARCH( data!$JR$100, BO150 )), data!$JQ$100,
ISNUMBER(SEARCH( data!$JR$101, BO150 )), data!$JQ$101,
ISNUMBER(SEARCH( data!$JR$102, BO150 )), data!$JQ$102,
ISNUMBER(SEARCH( data!$JR$103, BO150 )), data!$JQ$103,
TRUE,data!$JQ$105))</f>
        <v>◇</v>
      </c>
      <c r="BR148" s="4523"/>
      <c r="BS148" s="4523"/>
      <c r="BT148" s="4520" t="s">
        <v>72</v>
      </c>
      <c r="BU148" s="4525"/>
      <c r="BV148" s="661"/>
      <c r="BW148" s="662"/>
    </row>
    <row r="149" spans="5:75" ht="17.100000000000001" customHeight="1" thickTop="1" thickBot="1" x14ac:dyDescent="0.2">
      <c r="E149" s="659"/>
      <c r="F149" s="661"/>
      <c r="G149" s="4521"/>
      <c r="H149" s="4522"/>
      <c r="I149" s="4524"/>
      <c r="J149" s="4524"/>
      <c r="K149" s="4524"/>
      <c r="L149" s="4522"/>
      <c r="M149" s="4526"/>
      <c r="N149" s="622"/>
      <c r="O149" s="622"/>
      <c r="P149" s="4521"/>
      <c r="Q149" s="4522"/>
      <c r="R149" s="4524"/>
      <c r="S149" s="4524"/>
      <c r="T149" s="4524"/>
      <c r="U149" s="4522"/>
      <c r="V149" s="4526"/>
      <c r="W149" s="661"/>
      <c r="X149" s="662"/>
      <c r="AA149" s="1439"/>
      <c r="AB149" s="4540"/>
      <c r="AC149" s="4535"/>
      <c r="AD149" s="4535"/>
      <c r="AE149" s="4535"/>
      <c r="AF149" s="4535"/>
      <c r="AG149" s="4535"/>
      <c r="AH149" s="4535"/>
      <c r="AI149" s="4535"/>
      <c r="AJ149" s="4535"/>
      <c r="AK149" s="4535"/>
      <c r="AL149" s="4535"/>
      <c r="AM149" s="4564"/>
      <c r="AN149" s="4564"/>
      <c r="AO149" s="4565"/>
      <c r="AP149" s="4566"/>
      <c r="AQ149" s="637"/>
      <c r="AR149" s="637"/>
      <c r="AS149" s="637"/>
      <c r="AT149" s="637"/>
      <c r="AU149" s="637"/>
      <c r="AV149" s="637"/>
      <c r="AW149" s="637"/>
      <c r="AX149" s="637"/>
      <c r="AY149" s="637"/>
      <c r="AZ149" s="637"/>
      <c r="BA149" s="1442"/>
      <c r="BD149" s="659"/>
      <c r="BE149" s="661"/>
      <c r="BF149" s="4521"/>
      <c r="BG149" s="4522"/>
      <c r="BH149" s="4524"/>
      <c r="BI149" s="4524"/>
      <c r="BJ149" s="4524"/>
      <c r="BK149" s="4522"/>
      <c r="BL149" s="4526"/>
      <c r="BM149" s="622"/>
      <c r="BN149" s="622"/>
      <c r="BO149" s="4521"/>
      <c r="BP149" s="4522"/>
      <c r="BQ149" s="4524"/>
      <c r="BR149" s="4524"/>
      <c r="BS149" s="4524"/>
      <c r="BT149" s="4522"/>
      <c r="BU149" s="4526"/>
      <c r="BV149" s="661"/>
      <c r="BW149" s="662"/>
    </row>
    <row r="150" spans="5:75" ht="17.100000000000001" customHeight="1" thickTop="1" thickBot="1" x14ac:dyDescent="0.3">
      <c r="E150" s="659"/>
      <c r="F150" s="661"/>
      <c r="G150" s="4527"/>
      <c r="H150" s="4528"/>
      <c r="I150" s="4528"/>
      <c r="J150" s="4528"/>
      <c r="K150" s="4528"/>
      <c r="L150" s="4528"/>
      <c r="M150" s="4529"/>
      <c r="N150" s="622"/>
      <c r="O150" s="622"/>
      <c r="P150" s="4527"/>
      <c r="Q150" s="4528"/>
      <c r="R150" s="4528"/>
      <c r="S150" s="4528"/>
      <c r="T150" s="4528"/>
      <c r="U150" s="4528"/>
      <c r="V150" s="4529"/>
      <c r="W150" s="661"/>
      <c r="X150" s="662"/>
      <c r="AA150" s="1439"/>
      <c r="AB150" s="4541"/>
      <c r="AC150" s="4542"/>
      <c r="AD150" s="4542"/>
      <c r="AE150" s="4542"/>
      <c r="AF150" s="4542"/>
      <c r="AG150" s="4542"/>
      <c r="AH150" s="4542"/>
      <c r="AI150" s="4542"/>
      <c r="AJ150" s="4542"/>
      <c r="AK150" s="4542"/>
      <c r="AL150" s="4542"/>
      <c r="AM150" s="4551"/>
      <c r="AN150" s="4551"/>
      <c r="AO150" s="4551"/>
      <c r="AP150" s="4552"/>
      <c r="AQ150" s="4533">
        <f>IF(AV150&gt;0,AS150/AV150,0)</f>
        <v>0</v>
      </c>
      <c r="AR150" s="4534"/>
      <c r="AS150" s="4538"/>
      <c r="AT150" s="4538"/>
      <c r="AU150" s="634" t="s">
        <v>117</v>
      </c>
      <c r="AV150" s="4543"/>
      <c r="AW150" s="4543"/>
      <c r="AX150" s="4518" t="str">
        <f>IF(OR(AM150="Audiobook",AM150="Radioplay",AM150="Audiofilm",AM150="TV Audio",AM150="Podcast"), "minutes","pages")</f>
        <v>pages</v>
      </c>
      <c r="AY150" s="4518"/>
      <c r="AZ150" s="4539"/>
      <c r="BA150" s="1442"/>
      <c r="BD150" s="659"/>
      <c r="BE150" s="661"/>
      <c r="BF150" s="4527"/>
      <c r="BG150" s="4528"/>
      <c r="BH150" s="4528"/>
      <c r="BI150" s="4528"/>
      <c r="BJ150" s="4528"/>
      <c r="BK150" s="4528"/>
      <c r="BL150" s="4529"/>
      <c r="BM150" s="622"/>
      <c r="BN150" s="622"/>
      <c r="BO150" s="4527"/>
      <c r="BP150" s="4528"/>
      <c r="BQ150" s="4528"/>
      <c r="BR150" s="4528"/>
      <c r="BS150" s="4528"/>
      <c r="BT150" s="4528"/>
      <c r="BU150" s="4529"/>
      <c r="BV150" s="661"/>
      <c r="BW150" s="662"/>
    </row>
    <row r="151" spans="5:75" ht="17.100000000000001" customHeight="1" thickTop="1" thickBot="1" x14ac:dyDescent="0.2">
      <c r="E151" s="659"/>
      <c r="F151" s="661"/>
      <c r="G151" s="4530"/>
      <c r="H151" s="4531"/>
      <c r="I151" s="4531"/>
      <c r="J151" s="4531"/>
      <c r="K151" s="4531"/>
      <c r="L151" s="4531"/>
      <c r="M151" s="4532"/>
      <c r="N151" s="622"/>
      <c r="O151" s="622"/>
      <c r="P151" s="4530"/>
      <c r="Q151" s="4531"/>
      <c r="R151" s="4531"/>
      <c r="S151" s="4531"/>
      <c r="T151" s="4531"/>
      <c r="U151" s="4531"/>
      <c r="V151" s="4532"/>
      <c r="W151" s="661"/>
      <c r="X151" s="662"/>
      <c r="AA151" s="1439"/>
      <c r="AB151" s="4540"/>
      <c r="AC151" s="4535"/>
      <c r="AD151" s="4535"/>
      <c r="AE151" s="4535"/>
      <c r="AF151" s="4535"/>
      <c r="AG151" s="4535"/>
      <c r="AH151" s="4535"/>
      <c r="AI151" s="4535"/>
      <c r="AJ151" s="4535"/>
      <c r="AK151" s="4535"/>
      <c r="AL151" s="4535"/>
      <c r="AM151" s="4564"/>
      <c r="AN151" s="4564"/>
      <c r="AO151" s="4565"/>
      <c r="AP151" s="4566"/>
      <c r="AQ151" s="637"/>
      <c r="AR151" s="637"/>
      <c r="AS151" s="637"/>
      <c r="AT151" s="637"/>
      <c r="AU151" s="637"/>
      <c r="AV151" s="637"/>
      <c r="AW151" s="637"/>
      <c r="AX151" s="637"/>
      <c r="AY151" s="637"/>
      <c r="AZ151" s="637"/>
      <c r="BA151" s="1442"/>
      <c r="BD151" s="659"/>
      <c r="BE151" s="661"/>
      <c r="BF151" s="4530"/>
      <c r="BG151" s="4531"/>
      <c r="BH151" s="4531"/>
      <c r="BI151" s="4531"/>
      <c r="BJ151" s="4531"/>
      <c r="BK151" s="4531"/>
      <c r="BL151" s="4532"/>
      <c r="BM151" s="622"/>
      <c r="BN151" s="622"/>
      <c r="BO151" s="4530"/>
      <c r="BP151" s="4531"/>
      <c r="BQ151" s="4531"/>
      <c r="BR151" s="4531"/>
      <c r="BS151" s="4531"/>
      <c r="BT151" s="4531"/>
      <c r="BU151" s="4532"/>
      <c r="BV151" s="661"/>
      <c r="BW151" s="662"/>
    </row>
    <row r="152" spans="5:75" ht="17.100000000000001" customHeight="1" thickTop="1" thickBot="1" x14ac:dyDescent="0.25">
      <c r="E152" s="659"/>
      <c r="F152" s="661"/>
      <c r="G152" s="4517"/>
      <c r="H152" s="4517"/>
      <c r="I152" s="4517"/>
      <c r="J152" s="4517"/>
      <c r="K152" s="4517"/>
      <c r="L152" s="4517"/>
      <c r="M152" s="4517"/>
      <c r="N152" s="617"/>
      <c r="O152" s="617"/>
      <c r="P152" s="4517"/>
      <c r="Q152" s="4517"/>
      <c r="R152" s="4517"/>
      <c r="S152" s="4517"/>
      <c r="T152" s="4517"/>
      <c r="U152" s="4517"/>
      <c r="V152" s="4517"/>
      <c r="W152" s="661"/>
      <c r="X152" s="662"/>
      <c r="AA152" s="1439"/>
      <c r="AB152" s="1490"/>
      <c r="AC152" s="1440"/>
      <c r="AD152" s="1440"/>
      <c r="AE152" s="1440"/>
      <c r="AF152" s="1440"/>
      <c r="AG152" s="1440"/>
      <c r="AH152" s="1440"/>
      <c r="AI152" s="1440"/>
      <c r="AJ152" s="1440"/>
      <c r="AK152" s="668"/>
      <c r="AL152" s="668"/>
      <c r="AM152" s="668"/>
      <c r="AN152" s="668"/>
      <c r="AO152" s="668"/>
      <c r="AP152" s="668"/>
      <c r="AQ152" s="668"/>
      <c r="AR152" s="668"/>
      <c r="AS152" s="1448"/>
      <c r="AT152" s="1448"/>
      <c r="AU152" s="1441"/>
      <c r="AV152" s="1449"/>
      <c r="AW152" s="1449"/>
      <c r="AX152" s="668"/>
      <c r="AY152" s="668"/>
      <c r="AZ152" s="668"/>
      <c r="BA152" s="1442"/>
      <c r="BD152" s="659"/>
      <c r="BE152" s="661"/>
      <c r="BF152" s="4517"/>
      <c r="BG152" s="4517"/>
      <c r="BH152" s="4517"/>
      <c r="BI152" s="4517"/>
      <c r="BJ152" s="4517"/>
      <c r="BK152" s="4517"/>
      <c r="BL152" s="4517"/>
      <c r="BM152" s="617"/>
      <c r="BN152" s="617"/>
      <c r="BO152" s="4517"/>
      <c r="BP152" s="4517"/>
      <c r="BQ152" s="4517"/>
      <c r="BR152" s="4517"/>
      <c r="BS152" s="4517"/>
      <c r="BT152" s="4517"/>
      <c r="BU152" s="4517"/>
      <c r="BV152" s="661"/>
      <c r="BW152" s="662"/>
    </row>
    <row r="153" spans="5:75" ht="17.100000000000001" customHeight="1" thickTop="1" thickBot="1" x14ac:dyDescent="0.25">
      <c r="E153" s="659"/>
      <c r="F153" s="661"/>
      <c r="G153" s="617"/>
      <c r="H153" s="617"/>
      <c r="I153" s="617"/>
      <c r="J153" s="617"/>
      <c r="K153" s="617"/>
      <c r="L153" s="617"/>
      <c r="M153" s="617"/>
      <c r="N153" s="617"/>
      <c r="O153" s="617"/>
      <c r="P153" s="617"/>
      <c r="Q153" s="617"/>
      <c r="R153" s="617"/>
      <c r="S153" s="617"/>
      <c r="T153" s="617"/>
      <c r="U153" s="617"/>
      <c r="V153" s="617"/>
      <c r="W153" s="661"/>
      <c r="X153" s="662"/>
      <c r="AA153" s="1439"/>
      <c r="AB153" s="1490"/>
      <c r="AC153" s="1440"/>
      <c r="AD153" s="1440"/>
      <c r="AE153" s="1440"/>
      <c r="AF153" s="1440"/>
      <c r="AG153" s="1440"/>
      <c r="AH153" s="1440"/>
      <c r="AI153" s="1440"/>
      <c r="AJ153" s="1440"/>
      <c r="AK153" s="668"/>
      <c r="AL153" s="668"/>
      <c r="AM153" s="668"/>
      <c r="AN153" s="668"/>
      <c r="AO153" s="668"/>
      <c r="AP153" s="668"/>
      <c r="AQ153" s="668"/>
      <c r="AR153" s="668"/>
      <c r="AS153" s="1448"/>
      <c r="AT153" s="1448"/>
      <c r="AU153" s="1441"/>
      <c r="AV153" s="1449"/>
      <c r="AW153" s="1449"/>
      <c r="AX153" s="668"/>
      <c r="AY153" s="668"/>
      <c r="AZ153" s="668"/>
      <c r="BA153" s="1442"/>
      <c r="BD153" s="659"/>
      <c r="BE153" s="661"/>
      <c r="BF153" s="617"/>
      <c r="BG153" s="617"/>
      <c r="BH153" s="617"/>
      <c r="BI153" s="617"/>
      <c r="BJ153" s="617"/>
      <c r="BK153" s="617"/>
      <c r="BL153" s="617"/>
      <c r="BM153" s="617"/>
      <c r="BN153" s="617"/>
      <c r="BO153" s="617"/>
      <c r="BP153" s="617"/>
      <c r="BQ153" s="617"/>
      <c r="BR153" s="617"/>
      <c r="BS153" s="617"/>
      <c r="BT153" s="617"/>
      <c r="BU153" s="617"/>
      <c r="BV153" s="661"/>
      <c r="BW153" s="662"/>
    </row>
    <row r="154" spans="5:75" ht="17.100000000000001" customHeight="1" thickTop="1" thickBot="1" x14ac:dyDescent="0.25">
      <c r="E154" s="659"/>
      <c r="F154" s="661"/>
      <c r="G154" s="1272">
        <f>COUNTA($G$110,$P$110,$G$116,$P$116,$G$122,$P$122,$G$128,$P$128,$G$134,$P$134,$G$140,$P$140,$G$146,$P$146,$G$152,$P$152)</f>
        <v>0</v>
      </c>
      <c r="H154" s="617"/>
      <c r="I154" s="617"/>
      <c r="J154" s="617"/>
      <c r="K154" s="617"/>
      <c r="L154" s="617"/>
      <c r="M154" s="617"/>
      <c r="N154" s="617"/>
      <c r="O154" s="617"/>
      <c r="P154" s="617"/>
      <c r="Q154" s="617"/>
      <c r="R154" s="617"/>
      <c r="S154" s="617"/>
      <c r="T154" s="617"/>
      <c r="U154" s="617"/>
      <c r="V154" s="617"/>
      <c r="W154" s="661"/>
      <c r="X154" s="662"/>
      <c r="AA154" s="1439"/>
      <c r="AB154" s="1490"/>
      <c r="AC154" s="1440"/>
      <c r="AD154" s="1440"/>
      <c r="AE154" s="1440"/>
      <c r="AF154" s="1440"/>
      <c r="AG154" s="1440"/>
      <c r="AH154" s="1440"/>
      <c r="AI154" s="1440"/>
      <c r="AJ154" s="1440"/>
      <c r="AK154" s="668"/>
      <c r="AL154" s="668"/>
      <c r="AM154" s="668"/>
      <c r="AN154" s="668"/>
      <c r="AO154" s="668"/>
      <c r="AP154" s="668"/>
      <c r="AQ154" s="668"/>
      <c r="AR154" s="668"/>
      <c r="AS154" s="1448"/>
      <c r="AT154" s="1448"/>
      <c r="AU154" s="1441"/>
      <c r="AV154" s="1449"/>
      <c r="AW154" s="1449"/>
      <c r="AX154" s="668"/>
      <c r="AY154" s="668"/>
      <c r="AZ154" s="668"/>
      <c r="BA154" s="1442"/>
      <c r="BD154" s="659"/>
      <c r="BE154" s="661"/>
      <c r="BF154" s="617"/>
      <c r="BG154" s="617"/>
      <c r="BH154" s="617"/>
      <c r="BI154" s="617"/>
      <c r="BJ154" s="617"/>
      <c r="BK154" s="617"/>
      <c r="BL154" s="617"/>
      <c r="BM154" s="617"/>
      <c r="BN154" s="617"/>
      <c r="BO154" s="617"/>
      <c r="BP154" s="617"/>
      <c r="BQ154" s="617"/>
      <c r="BR154" s="617"/>
      <c r="BS154" s="617"/>
      <c r="BT154" s="617"/>
      <c r="BU154" s="1272">
        <f>COUNTA($BF$110,$BO$110,$BF$116,$BO$116,$BF$122,$BO$122,$BF$128,$BO$128,$BF$134,$BO$134,$BF$140,$BO$140,$BF$146,$BO$146,$BF$152,$BO$152)</f>
        <v>0</v>
      </c>
      <c r="BV154" s="661"/>
      <c r="BW154" s="662"/>
    </row>
    <row r="155" spans="5:75" ht="17.100000000000001" customHeight="1" thickTop="1" thickBot="1" x14ac:dyDescent="0.25">
      <c r="E155" s="659"/>
      <c r="F155" s="661"/>
      <c r="G155" s="617"/>
      <c r="H155" s="617"/>
      <c r="I155" s="617"/>
      <c r="J155" s="617"/>
      <c r="K155" s="617"/>
      <c r="L155" s="617"/>
      <c r="M155" s="617"/>
      <c r="N155" s="617"/>
      <c r="O155" s="617"/>
      <c r="P155" s="617"/>
      <c r="Q155" s="617"/>
      <c r="R155" s="617"/>
      <c r="S155" s="617"/>
      <c r="T155" s="617"/>
      <c r="U155" s="617"/>
      <c r="V155" s="617"/>
      <c r="W155" s="661"/>
      <c r="X155" s="662"/>
      <c r="AA155" s="1439"/>
      <c r="AB155" s="1490"/>
      <c r="AC155" s="1440"/>
      <c r="AD155" s="1440"/>
      <c r="AE155" s="1440"/>
      <c r="AF155" s="1440"/>
      <c r="AG155" s="1440"/>
      <c r="AH155" s="1440"/>
      <c r="AI155" s="1440"/>
      <c r="AJ155" s="1440"/>
      <c r="AK155" s="668"/>
      <c r="AL155" s="668"/>
      <c r="AM155" s="668"/>
      <c r="AN155" s="668"/>
      <c r="AO155" s="668"/>
      <c r="AP155" s="668"/>
      <c r="AQ155" s="668"/>
      <c r="AR155" s="668"/>
      <c r="AS155" s="1448"/>
      <c r="AT155" s="1448"/>
      <c r="AU155" s="1441"/>
      <c r="AV155" s="1449"/>
      <c r="AW155" s="1449"/>
      <c r="AX155" s="668"/>
      <c r="AY155" s="668"/>
      <c r="AZ155" s="668"/>
      <c r="BA155" s="1442"/>
      <c r="BD155" s="659"/>
      <c r="BE155" s="661"/>
      <c r="BF155" s="617"/>
      <c r="BG155" s="617"/>
      <c r="BH155" s="617"/>
      <c r="BI155" s="617"/>
      <c r="BJ155" s="617"/>
      <c r="BK155" s="617"/>
      <c r="BL155" s="617"/>
      <c r="BM155" s="617"/>
      <c r="BN155" s="617"/>
      <c r="BO155" s="617"/>
      <c r="BP155" s="617"/>
      <c r="BQ155" s="617"/>
      <c r="BR155" s="617"/>
      <c r="BS155" s="617"/>
      <c r="BT155" s="617"/>
      <c r="BU155" s="617"/>
      <c r="BV155" s="661"/>
      <c r="BW155" s="662"/>
    </row>
    <row r="156" spans="5:75" ht="17.100000000000001" customHeight="1" thickTop="1" thickBot="1" x14ac:dyDescent="0.25">
      <c r="E156" s="1487"/>
      <c r="F156" s="1488"/>
      <c r="G156" s="1488"/>
      <c r="H156" s="1488"/>
      <c r="I156" s="1488"/>
      <c r="J156" s="1488"/>
      <c r="K156" s="1488"/>
      <c r="L156" s="1488"/>
      <c r="M156" s="1488"/>
      <c r="N156" s="1488"/>
      <c r="O156" s="1488"/>
      <c r="P156" s="1488"/>
      <c r="Q156" s="1488"/>
      <c r="R156" s="1488"/>
      <c r="S156" s="1488"/>
      <c r="T156" s="1488"/>
      <c r="U156" s="1488"/>
      <c r="V156" s="1488"/>
      <c r="W156" s="1488"/>
      <c r="X156" s="1489"/>
      <c r="AA156" s="1443"/>
      <c r="AB156" s="1444"/>
      <c r="AC156" s="1444"/>
      <c r="AD156" s="1444"/>
      <c r="AE156" s="1444"/>
      <c r="AF156" s="1444"/>
      <c r="AG156" s="1444"/>
      <c r="AH156" s="1444"/>
      <c r="AI156" s="1444"/>
      <c r="AJ156" s="1444"/>
      <c r="AK156" s="1444"/>
      <c r="AL156" s="1444"/>
      <c r="AM156" s="1444"/>
      <c r="AN156" s="1444"/>
      <c r="AO156" s="1444"/>
      <c r="AP156" s="1444"/>
      <c r="AQ156" s="1445"/>
      <c r="AR156" s="1445"/>
      <c r="AS156" s="4555"/>
      <c r="AT156" s="4556"/>
      <c r="AU156" s="1445"/>
      <c r="AV156" s="4557"/>
      <c r="AW156" s="4558"/>
      <c r="AX156" s="1445"/>
      <c r="AY156" s="1445"/>
      <c r="AZ156" s="1446"/>
      <c r="BA156" s="1447"/>
      <c r="BD156" s="1487"/>
      <c r="BE156" s="1488"/>
      <c r="BF156" s="1488"/>
      <c r="BG156" s="1488"/>
      <c r="BH156" s="1488"/>
      <c r="BI156" s="1488"/>
      <c r="BJ156" s="1488"/>
      <c r="BK156" s="1488"/>
      <c r="BL156" s="1488"/>
      <c r="BM156" s="1488"/>
      <c r="BN156" s="1488"/>
      <c r="BO156" s="1488"/>
      <c r="BP156" s="1488"/>
      <c r="BQ156" s="1488"/>
      <c r="BR156" s="1488"/>
      <c r="BS156" s="1488"/>
      <c r="BT156" s="1488"/>
      <c r="BU156" s="1488"/>
      <c r="BV156" s="1488"/>
      <c r="BW156" s="1489"/>
    </row>
    <row r="157" spans="5:75" ht="17.100000000000001" customHeight="1" thickTop="1" x14ac:dyDescent="0.3">
      <c r="E157" s="1437"/>
      <c r="F157" s="1286"/>
      <c r="G157" s="1286"/>
      <c r="H157" s="1286"/>
      <c r="I157" s="1286"/>
      <c r="J157" s="1286"/>
      <c r="K157" s="1286"/>
      <c r="L157" s="1286"/>
      <c r="M157" s="1286"/>
      <c r="N157" s="1286"/>
      <c r="O157" s="1286"/>
      <c r="P157" s="1286"/>
      <c r="Q157" s="1286"/>
      <c r="R157" s="1286"/>
      <c r="S157" s="1286"/>
      <c r="T157" s="1286"/>
      <c r="U157" s="1286"/>
      <c r="V157" s="1286"/>
      <c r="W157" s="1286"/>
      <c r="X157" s="1286"/>
      <c r="Y157" s="1286"/>
      <c r="Z157" s="1286"/>
      <c r="AA157" s="1286"/>
      <c r="AB157" s="1286"/>
      <c r="AC157" s="1286"/>
      <c r="AD157" s="1286"/>
      <c r="AE157" s="1286"/>
      <c r="AF157" s="1286"/>
      <c r="AG157" s="1286"/>
      <c r="AH157" s="1286"/>
      <c r="AI157" s="1286"/>
      <c r="AJ157" s="1286"/>
      <c r="AK157" s="1286"/>
      <c r="AL157" s="1286"/>
      <c r="AM157" s="1286"/>
      <c r="AN157" s="1286"/>
      <c r="AO157" s="1286"/>
      <c r="AP157" s="1286"/>
      <c r="AQ157" s="1286"/>
      <c r="AR157" s="1286"/>
      <c r="AS157" s="1286"/>
      <c r="AT157" s="1286"/>
      <c r="AU157" s="1286"/>
      <c r="AV157" s="1286"/>
      <c r="AW157" s="1286"/>
      <c r="AX157" s="1286"/>
      <c r="AY157" s="1286"/>
      <c r="AZ157" s="1286"/>
      <c r="BA157" s="1286"/>
      <c r="BB157" s="1286"/>
      <c r="BC157" s="1286"/>
      <c r="BD157" s="1286"/>
      <c r="BE157" s="1286"/>
      <c r="BF157" s="1286"/>
      <c r="BG157" s="1286"/>
      <c r="BH157" s="1286"/>
      <c r="BI157" s="1286"/>
      <c r="BJ157" s="1286"/>
      <c r="BK157" s="1286"/>
      <c r="BL157" s="1286"/>
      <c r="BM157" s="1286"/>
      <c r="BN157" s="1286"/>
      <c r="BO157" s="1286"/>
      <c r="BP157" s="1286"/>
      <c r="BQ157" s="1286"/>
      <c r="BR157" s="1286"/>
      <c r="BS157" s="1286"/>
      <c r="BT157" s="1286"/>
      <c r="BU157" s="1286"/>
      <c r="BV157" s="1286"/>
      <c r="BW157" s="1438"/>
    </row>
  </sheetData>
  <sheetProtection sheet="1" objects="1" scenarios="1"/>
  <sortState xmlns:xlrd2="http://schemas.microsoft.com/office/spreadsheetml/2017/richdata2" ref="CG14:CG43">
    <sortCondition ref="CG43"/>
  </sortState>
  <mergeCells count="837">
    <mergeCell ref="BN66:BP68"/>
    <mergeCell ref="BE42:BV42"/>
    <mergeCell ref="J44:W45"/>
    <mergeCell ref="F44:I45"/>
    <mergeCell ref="J54:W55"/>
    <mergeCell ref="J52:W53"/>
    <mergeCell ref="J50:W51"/>
    <mergeCell ref="J48:W49"/>
    <mergeCell ref="F54:I55"/>
    <mergeCell ref="F52:I53"/>
    <mergeCell ref="F50:I51"/>
    <mergeCell ref="F48:I49"/>
    <mergeCell ref="J46:W47"/>
    <mergeCell ref="F46:I47"/>
    <mergeCell ref="BQ53:BV53"/>
    <mergeCell ref="BQ54:BV54"/>
    <mergeCell ref="BQ55:BV55"/>
    <mergeCell ref="F42:W42"/>
    <mergeCell ref="BQ44:BV44"/>
    <mergeCell ref="BQ45:BV45"/>
    <mergeCell ref="BQ46:BV46"/>
    <mergeCell ref="BQ47:BV47"/>
    <mergeCell ref="BQ48:BV48"/>
    <mergeCell ref="BQ49:BV49"/>
    <mergeCell ref="BQ50:BV50"/>
    <mergeCell ref="BQ51:BV51"/>
    <mergeCell ref="BQ52:BV52"/>
    <mergeCell ref="BK44:BP44"/>
    <mergeCell ref="BK45:BP45"/>
    <mergeCell ref="BK46:BP46"/>
    <mergeCell ref="BK47:BP47"/>
    <mergeCell ref="BK48:BP48"/>
    <mergeCell ref="BK49:BP49"/>
    <mergeCell ref="BK50:BP50"/>
    <mergeCell ref="BK51:BP51"/>
    <mergeCell ref="BK52:BP52"/>
    <mergeCell ref="BE44:BJ44"/>
    <mergeCell ref="BE45:BJ45"/>
    <mergeCell ref="BE46:BJ46"/>
    <mergeCell ref="BE47:BJ47"/>
    <mergeCell ref="BE48:BJ48"/>
    <mergeCell ref="BE49:BJ49"/>
    <mergeCell ref="BE50:BJ50"/>
    <mergeCell ref="BE51:BJ51"/>
    <mergeCell ref="BE52:BJ52"/>
    <mergeCell ref="AB151:AI151"/>
    <mergeCell ref="AJ151:AL151"/>
    <mergeCell ref="AM151:AN151"/>
    <mergeCell ref="AO151:AP151"/>
    <mergeCell ref="AV148:AW148"/>
    <mergeCell ref="AX148:AZ148"/>
    <mergeCell ref="AB149:AI149"/>
    <mergeCell ref="AJ149:AL149"/>
    <mergeCell ref="AM149:AN149"/>
    <mergeCell ref="AO149:AP149"/>
    <mergeCell ref="AB150:AL150"/>
    <mergeCell ref="AM150:AP150"/>
    <mergeCell ref="AQ150:AR150"/>
    <mergeCell ref="AS150:AT150"/>
    <mergeCell ref="AV150:AW150"/>
    <mergeCell ref="AX150:AZ150"/>
    <mergeCell ref="AB146:AL146"/>
    <mergeCell ref="AM146:AP146"/>
    <mergeCell ref="AQ146:AR146"/>
    <mergeCell ref="AS146:AT146"/>
    <mergeCell ref="AV146:AW146"/>
    <mergeCell ref="AX146:AZ146"/>
    <mergeCell ref="AB147:AI147"/>
    <mergeCell ref="AJ147:AL147"/>
    <mergeCell ref="AM147:AN147"/>
    <mergeCell ref="AO147:AP147"/>
    <mergeCell ref="AB144:AL144"/>
    <mergeCell ref="AM144:AP144"/>
    <mergeCell ref="AQ144:AR144"/>
    <mergeCell ref="AS144:AT144"/>
    <mergeCell ref="AV144:AW144"/>
    <mergeCell ref="AX144:AZ144"/>
    <mergeCell ref="AB145:AI145"/>
    <mergeCell ref="AJ145:AL145"/>
    <mergeCell ref="AM145:AN145"/>
    <mergeCell ref="AO145:AP145"/>
    <mergeCell ref="AB142:AL142"/>
    <mergeCell ref="AM142:AP142"/>
    <mergeCell ref="AQ142:AR142"/>
    <mergeCell ref="AS142:AT142"/>
    <mergeCell ref="AV142:AW142"/>
    <mergeCell ref="AX142:AZ142"/>
    <mergeCell ref="AB143:AI143"/>
    <mergeCell ref="AJ143:AL143"/>
    <mergeCell ref="AM143:AN143"/>
    <mergeCell ref="AO143:AP143"/>
    <mergeCell ref="AB140:AL140"/>
    <mergeCell ref="AM140:AP140"/>
    <mergeCell ref="AQ140:AR140"/>
    <mergeCell ref="AS140:AT140"/>
    <mergeCell ref="AV140:AW140"/>
    <mergeCell ref="AX140:AZ140"/>
    <mergeCell ref="AB141:AI141"/>
    <mergeCell ref="AJ141:AL141"/>
    <mergeCell ref="AM141:AN141"/>
    <mergeCell ref="AO141:AP141"/>
    <mergeCell ref="AB138:AL138"/>
    <mergeCell ref="AM138:AP138"/>
    <mergeCell ref="AQ138:AR138"/>
    <mergeCell ref="AS138:AT138"/>
    <mergeCell ref="AV138:AW138"/>
    <mergeCell ref="AX138:AZ138"/>
    <mergeCell ref="AB139:AI139"/>
    <mergeCell ref="AJ139:AL139"/>
    <mergeCell ref="AM139:AN139"/>
    <mergeCell ref="AO139:AP139"/>
    <mergeCell ref="AB136:AL136"/>
    <mergeCell ref="AM136:AP136"/>
    <mergeCell ref="AQ136:AR136"/>
    <mergeCell ref="AS136:AT136"/>
    <mergeCell ref="AV136:AW136"/>
    <mergeCell ref="AX136:AZ136"/>
    <mergeCell ref="AB137:AI137"/>
    <mergeCell ref="AJ137:AL137"/>
    <mergeCell ref="AM137:AN137"/>
    <mergeCell ref="AO137:AP137"/>
    <mergeCell ref="AB134:AL134"/>
    <mergeCell ref="AM134:AP134"/>
    <mergeCell ref="AQ134:AR134"/>
    <mergeCell ref="AS134:AT134"/>
    <mergeCell ref="AV134:AW134"/>
    <mergeCell ref="AX134:AZ134"/>
    <mergeCell ref="AB135:AI135"/>
    <mergeCell ref="AJ135:AL135"/>
    <mergeCell ref="AM135:AN135"/>
    <mergeCell ref="AO135:AP135"/>
    <mergeCell ref="AB132:AL132"/>
    <mergeCell ref="AM132:AP132"/>
    <mergeCell ref="AQ132:AR132"/>
    <mergeCell ref="AS132:AT132"/>
    <mergeCell ref="AV132:AW132"/>
    <mergeCell ref="AX132:AZ132"/>
    <mergeCell ref="AB133:AI133"/>
    <mergeCell ref="AJ133:AL133"/>
    <mergeCell ref="AM133:AN133"/>
    <mergeCell ref="AO133:AP133"/>
    <mergeCell ref="AB130:AL130"/>
    <mergeCell ref="AM130:AP130"/>
    <mergeCell ref="AQ130:AR130"/>
    <mergeCell ref="AS130:AT130"/>
    <mergeCell ref="AV130:AW130"/>
    <mergeCell ref="AX130:AZ130"/>
    <mergeCell ref="AB131:AI131"/>
    <mergeCell ref="AJ131:AL131"/>
    <mergeCell ref="AM131:AN131"/>
    <mergeCell ref="AO131:AP131"/>
    <mergeCell ref="AB128:AL128"/>
    <mergeCell ref="AM128:AP128"/>
    <mergeCell ref="AQ128:AR128"/>
    <mergeCell ref="AS128:AT128"/>
    <mergeCell ref="AV128:AW128"/>
    <mergeCell ref="AX128:AZ128"/>
    <mergeCell ref="AB129:AI129"/>
    <mergeCell ref="AJ129:AL129"/>
    <mergeCell ref="AM129:AN129"/>
    <mergeCell ref="AO129:AP129"/>
    <mergeCell ref="BH148:BJ149"/>
    <mergeCell ref="BK148:BL149"/>
    <mergeCell ref="BO148:BP149"/>
    <mergeCell ref="BQ148:BS149"/>
    <mergeCell ref="BT148:BU149"/>
    <mergeCell ref="BF150:BL151"/>
    <mergeCell ref="BO150:BU151"/>
    <mergeCell ref="G152:M152"/>
    <mergeCell ref="P152:V152"/>
    <mergeCell ref="BF152:BL152"/>
    <mergeCell ref="BO152:BU152"/>
    <mergeCell ref="G148:H149"/>
    <mergeCell ref="I148:K149"/>
    <mergeCell ref="L148:M149"/>
    <mergeCell ref="P148:Q149"/>
    <mergeCell ref="R148:T149"/>
    <mergeCell ref="U148:V149"/>
    <mergeCell ref="G150:M151"/>
    <mergeCell ref="P150:V151"/>
    <mergeCell ref="BF148:BG149"/>
    <mergeCell ref="AB148:AL148"/>
    <mergeCell ref="AM148:AP148"/>
    <mergeCell ref="AQ148:AR148"/>
    <mergeCell ref="AS148:AT148"/>
    <mergeCell ref="BH142:BJ143"/>
    <mergeCell ref="BK142:BL143"/>
    <mergeCell ref="BO142:BP143"/>
    <mergeCell ref="BQ142:BS143"/>
    <mergeCell ref="BT142:BU143"/>
    <mergeCell ref="BF144:BL145"/>
    <mergeCell ref="BO144:BU145"/>
    <mergeCell ref="BF146:BL146"/>
    <mergeCell ref="BO146:BU146"/>
    <mergeCell ref="BF142:BG143"/>
    <mergeCell ref="BH136:BJ137"/>
    <mergeCell ref="BK136:BL137"/>
    <mergeCell ref="BO136:BP137"/>
    <mergeCell ref="BQ136:BS137"/>
    <mergeCell ref="BT136:BU137"/>
    <mergeCell ref="BF138:BL139"/>
    <mergeCell ref="BO138:BU139"/>
    <mergeCell ref="BF140:BL140"/>
    <mergeCell ref="BO140:BU140"/>
    <mergeCell ref="BF136:BG137"/>
    <mergeCell ref="BH130:BJ131"/>
    <mergeCell ref="BK130:BL131"/>
    <mergeCell ref="BO130:BP131"/>
    <mergeCell ref="BQ130:BS131"/>
    <mergeCell ref="BT130:BU131"/>
    <mergeCell ref="BF132:BL133"/>
    <mergeCell ref="BO132:BU133"/>
    <mergeCell ref="BF134:BL134"/>
    <mergeCell ref="BO134:BU134"/>
    <mergeCell ref="BF130:BG131"/>
    <mergeCell ref="G142:H143"/>
    <mergeCell ref="I142:K143"/>
    <mergeCell ref="L142:M143"/>
    <mergeCell ref="P142:Q143"/>
    <mergeCell ref="R142:T143"/>
    <mergeCell ref="U142:V143"/>
    <mergeCell ref="G144:M145"/>
    <mergeCell ref="P144:V145"/>
    <mergeCell ref="G146:M146"/>
    <mergeCell ref="P146:V146"/>
    <mergeCell ref="G136:H137"/>
    <mergeCell ref="I136:K137"/>
    <mergeCell ref="L136:M137"/>
    <mergeCell ref="P136:Q137"/>
    <mergeCell ref="R136:T137"/>
    <mergeCell ref="U136:V137"/>
    <mergeCell ref="G138:M139"/>
    <mergeCell ref="P138:V139"/>
    <mergeCell ref="G140:M140"/>
    <mergeCell ref="P140:V140"/>
    <mergeCell ref="G130:H131"/>
    <mergeCell ref="I130:K131"/>
    <mergeCell ref="L130:M131"/>
    <mergeCell ref="P130:Q131"/>
    <mergeCell ref="R130:T131"/>
    <mergeCell ref="U130:V131"/>
    <mergeCell ref="G132:M133"/>
    <mergeCell ref="P132:V133"/>
    <mergeCell ref="G134:M134"/>
    <mergeCell ref="P134:V134"/>
    <mergeCell ref="AC102:AY102"/>
    <mergeCell ref="G102:V102"/>
    <mergeCell ref="BF102:BU102"/>
    <mergeCell ref="AB125:AI125"/>
    <mergeCell ref="AJ125:AL125"/>
    <mergeCell ref="AM125:AN125"/>
    <mergeCell ref="AO125:AP125"/>
    <mergeCell ref="AB126:AL126"/>
    <mergeCell ref="AM126:AP126"/>
    <mergeCell ref="AQ126:AR126"/>
    <mergeCell ref="AS126:AT126"/>
    <mergeCell ref="AV126:AW126"/>
    <mergeCell ref="AX122:AZ122"/>
    <mergeCell ref="AB123:AI123"/>
    <mergeCell ref="AJ123:AL123"/>
    <mergeCell ref="AM123:AN123"/>
    <mergeCell ref="AO123:AP123"/>
    <mergeCell ref="AB124:AL124"/>
    <mergeCell ref="AM124:AP124"/>
    <mergeCell ref="AB121:AI121"/>
    <mergeCell ref="AJ121:AL121"/>
    <mergeCell ref="AM121:AN121"/>
    <mergeCell ref="AO121:AP121"/>
    <mergeCell ref="AB122:AL122"/>
    <mergeCell ref="AB118:AL118"/>
    <mergeCell ref="AM118:AP118"/>
    <mergeCell ref="AQ118:AR118"/>
    <mergeCell ref="AX118:AZ118"/>
    <mergeCell ref="AB119:AI119"/>
    <mergeCell ref="AJ119:AL119"/>
    <mergeCell ref="AM119:AN119"/>
    <mergeCell ref="AO119:AP119"/>
    <mergeCell ref="AB120:AL120"/>
    <mergeCell ref="AM120:AP120"/>
    <mergeCell ref="AQ120:AR120"/>
    <mergeCell ref="AS120:AT120"/>
    <mergeCell ref="AV120:AW120"/>
    <mergeCell ref="AX120:AZ120"/>
    <mergeCell ref="AS118:AT118"/>
    <mergeCell ref="AV118:AW118"/>
    <mergeCell ref="AQ124:AR124"/>
    <mergeCell ref="AS124:AT124"/>
    <mergeCell ref="AV124:AW124"/>
    <mergeCell ref="AX124:AZ124"/>
    <mergeCell ref="AM122:AP122"/>
    <mergeCell ref="AX126:AZ126"/>
    <mergeCell ref="AB127:AI127"/>
    <mergeCell ref="AJ127:AL127"/>
    <mergeCell ref="AM127:AN127"/>
    <mergeCell ref="AO127:AP127"/>
    <mergeCell ref="AQ122:AR122"/>
    <mergeCell ref="AS122:AT122"/>
    <mergeCell ref="AV122:AW122"/>
    <mergeCell ref="BF126:BL127"/>
    <mergeCell ref="BO126:BU127"/>
    <mergeCell ref="BF128:BL128"/>
    <mergeCell ref="BO128:BU128"/>
    <mergeCell ref="BF118:BG119"/>
    <mergeCell ref="BH118:BJ119"/>
    <mergeCell ref="BK118:BL119"/>
    <mergeCell ref="BO118:BP119"/>
    <mergeCell ref="BQ118:BS119"/>
    <mergeCell ref="BT118:BU119"/>
    <mergeCell ref="BF120:BL121"/>
    <mergeCell ref="BO120:BU121"/>
    <mergeCell ref="BF122:BL122"/>
    <mergeCell ref="BO122:BU122"/>
    <mergeCell ref="BF124:BG125"/>
    <mergeCell ref="BH124:BJ125"/>
    <mergeCell ref="BK124:BL125"/>
    <mergeCell ref="BO124:BP125"/>
    <mergeCell ref="BQ124:BS125"/>
    <mergeCell ref="BT124:BU125"/>
    <mergeCell ref="BF112:BG113"/>
    <mergeCell ref="BH112:BJ113"/>
    <mergeCell ref="BK112:BL113"/>
    <mergeCell ref="BO112:BP113"/>
    <mergeCell ref="BQ112:BS113"/>
    <mergeCell ref="BT112:BU113"/>
    <mergeCell ref="BF114:BL115"/>
    <mergeCell ref="BO114:BU115"/>
    <mergeCell ref="BF116:BL116"/>
    <mergeCell ref="BO116:BU116"/>
    <mergeCell ref="BF106:BG107"/>
    <mergeCell ref="BH106:BJ107"/>
    <mergeCell ref="BK106:BL107"/>
    <mergeCell ref="BO106:BP107"/>
    <mergeCell ref="BQ106:BS107"/>
    <mergeCell ref="BT106:BU107"/>
    <mergeCell ref="BF108:BL109"/>
    <mergeCell ref="BO108:BU109"/>
    <mergeCell ref="BF110:BL110"/>
    <mergeCell ref="BO110:BU110"/>
    <mergeCell ref="G124:H125"/>
    <mergeCell ref="I124:K125"/>
    <mergeCell ref="L124:M125"/>
    <mergeCell ref="P124:Q125"/>
    <mergeCell ref="R124:T125"/>
    <mergeCell ref="U124:V125"/>
    <mergeCell ref="G126:M127"/>
    <mergeCell ref="P126:V127"/>
    <mergeCell ref="G128:M128"/>
    <mergeCell ref="P128:V128"/>
    <mergeCell ref="G118:H119"/>
    <mergeCell ref="I118:K119"/>
    <mergeCell ref="L118:M119"/>
    <mergeCell ref="P118:Q119"/>
    <mergeCell ref="R118:T119"/>
    <mergeCell ref="U118:V119"/>
    <mergeCell ref="G120:M121"/>
    <mergeCell ref="P120:V121"/>
    <mergeCell ref="G122:M122"/>
    <mergeCell ref="P122:V122"/>
    <mergeCell ref="AS156:AT156"/>
    <mergeCell ref="AV156:AW156"/>
    <mergeCell ref="G106:H107"/>
    <mergeCell ref="I106:K107"/>
    <mergeCell ref="L106:M107"/>
    <mergeCell ref="P106:Q107"/>
    <mergeCell ref="R106:T107"/>
    <mergeCell ref="U106:V107"/>
    <mergeCell ref="G108:M109"/>
    <mergeCell ref="P108:V109"/>
    <mergeCell ref="G110:M110"/>
    <mergeCell ref="P110:V110"/>
    <mergeCell ref="G112:H113"/>
    <mergeCell ref="I112:K113"/>
    <mergeCell ref="L112:M113"/>
    <mergeCell ref="P112:Q113"/>
    <mergeCell ref="R112:T113"/>
    <mergeCell ref="U112:V113"/>
    <mergeCell ref="G114:M115"/>
    <mergeCell ref="P114:V115"/>
    <mergeCell ref="G116:M116"/>
    <mergeCell ref="P116:V116"/>
    <mergeCell ref="AB116:AL116"/>
    <mergeCell ref="AM116:AP116"/>
    <mergeCell ref="AQ116:AR116"/>
    <mergeCell ref="AS116:AT116"/>
    <mergeCell ref="AV116:AW116"/>
    <mergeCell ref="AX116:AZ116"/>
    <mergeCell ref="AB117:AI117"/>
    <mergeCell ref="AJ117:AL117"/>
    <mergeCell ref="AM117:AN117"/>
    <mergeCell ref="AO117:AP117"/>
    <mergeCell ref="AB114:AL114"/>
    <mergeCell ref="AM114:AP114"/>
    <mergeCell ref="AQ114:AR114"/>
    <mergeCell ref="AS114:AT114"/>
    <mergeCell ref="AV114:AW114"/>
    <mergeCell ref="AX114:AZ114"/>
    <mergeCell ref="AB115:AI115"/>
    <mergeCell ref="AJ115:AL115"/>
    <mergeCell ref="AM115:AN115"/>
    <mergeCell ref="AO115:AP115"/>
    <mergeCell ref="AB112:AL112"/>
    <mergeCell ref="AM112:AP112"/>
    <mergeCell ref="AQ112:AR112"/>
    <mergeCell ref="AS112:AT112"/>
    <mergeCell ref="AV112:AW112"/>
    <mergeCell ref="AX112:AZ112"/>
    <mergeCell ref="AB113:AI113"/>
    <mergeCell ref="AJ113:AL113"/>
    <mergeCell ref="AM113:AN113"/>
    <mergeCell ref="AO113:AP113"/>
    <mergeCell ref="AO109:AP109"/>
    <mergeCell ref="AB110:AL110"/>
    <mergeCell ref="AM110:AP110"/>
    <mergeCell ref="AQ110:AR110"/>
    <mergeCell ref="AS110:AT110"/>
    <mergeCell ref="AV110:AW110"/>
    <mergeCell ref="AX110:AZ110"/>
    <mergeCell ref="AB111:AI111"/>
    <mergeCell ref="AJ111:AL111"/>
    <mergeCell ref="AM111:AN111"/>
    <mergeCell ref="AO111:AP111"/>
    <mergeCell ref="AQ104:AR104"/>
    <mergeCell ref="AS104:AT104"/>
    <mergeCell ref="AV104:AW104"/>
    <mergeCell ref="AX104:AZ104"/>
    <mergeCell ref="AB106:AL106"/>
    <mergeCell ref="AM106:AP106"/>
    <mergeCell ref="AQ106:AR106"/>
    <mergeCell ref="AS106:AT106"/>
    <mergeCell ref="AV106:AW106"/>
    <mergeCell ref="AX106:AZ106"/>
    <mergeCell ref="AB107:AI107"/>
    <mergeCell ref="AJ107:AL107"/>
    <mergeCell ref="AM107:AN107"/>
    <mergeCell ref="AO107:AP107"/>
    <mergeCell ref="AB108:AL108"/>
    <mergeCell ref="AM108:AP108"/>
    <mergeCell ref="AQ108:AR108"/>
    <mergeCell ref="AS108:AT108"/>
    <mergeCell ref="AV108:AW108"/>
    <mergeCell ref="BK23:BL24"/>
    <mergeCell ref="BT23:BU24"/>
    <mergeCell ref="AX108:AZ108"/>
    <mergeCell ref="AB109:AI109"/>
    <mergeCell ref="AJ109:AL109"/>
    <mergeCell ref="AM109:AN109"/>
    <mergeCell ref="AB28:AL28"/>
    <mergeCell ref="AM28:AP28"/>
    <mergeCell ref="AB31:AI31"/>
    <mergeCell ref="AJ31:AL31"/>
    <mergeCell ref="BH23:BJ24"/>
    <mergeCell ref="AS34:AT34"/>
    <mergeCell ref="AV34:AW34"/>
    <mergeCell ref="AX34:AZ34"/>
    <mergeCell ref="AX30:AZ30"/>
    <mergeCell ref="BE80:BK80"/>
    <mergeCell ref="BE81:BK81"/>
    <mergeCell ref="BJ72:BK73"/>
    <mergeCell ref="AU81:BA81"/>
    <mergeCell ref="AU84:BA84"/>
    <mergeCell ref="AU83:BA83"/>
    <mergeCell ref="AU82:BA82"/>
    <mergeCell ref="AA78:AG78"/>
    <mergeCell ref="AA81:AG81"/>
    <mergeCell ref="BQ29:BS30"/>
    <mergeCell ref="BT29:BU30"/>
    <mergeCell ref="BQ17:BS18"/>
    <mergeCell ref="BT17:BU18"/>
    <mergeCell ref="BF13:BL14"/>
    <mergeCell ref="BF23:BG24"/>
    <mergeCell ref="BF19:BL20"/>
    <mergeCell ref="BO19:BU20"/>
    <mergeCell ref="AS28:AT28"/>
    <mergeCell ref="AV28:AW28"/>
    <mergeCell ref="AX28:AZ28"/>
    <mergeCell ref="BO13:BU14"/>
    <mergeCell ref="AS26:AT26"/>
    <mergeCell ref="AX26:AZ26"/>
    <mergeCell ref="AC25:AY25"/>
    <mergeCell ref="AC15:AF15"/>
    <mergeCell ref="AV15:AY15"/>
    <mergeCell ref="AC17:AF17"/>
    <mergeCell ref="AV17:AY17"/>
    <mergeCell ref="AC18:AF18"/>
    <mergeCell ref="AV18:AY18"/>
    <mergeCell ref="BF17:BG18"/>
    <mergeCell ref="BH17:BJ18"/>
    <mergeCell ref="BK17:BL18"/>
    <mergeCell ref="AM31:AN31"/>
    <mergeCell ref="AO31:AP31"/>
    <mergeCell ref="AM32:AP32"/>
    <mergeCell ref="AB33:AI33"/>
    <mergeCell ref="AB34:AL34"/>
    <mergeCell ref="AM33:AN33"/>
    <mergeCell ref="AO33:AP33"/>
    <mergeCell ref="AB30:AL30"/>
    <mergeCell ref="AM30:AP30"/>
    <mergeCell ref="AB32:AL32"/>
    <mergeCell ref="N40:O40"/>
    <mergeCell ref="N39:O39"/>
    <mergeCell ref="N38:O38"/>
    <mergeCell ref="BM38:BN38"/>
    <mergeCell ref="BM39:BN39"/>
    <mergeCell ref="BM40:BN40"/>
    <mergeCell ref="BO29:BP30"/>
    <mergeCell ref="AV12:AY12"/>
    <mergeCell ref="AH13:AT18"/>
    <mergeCell ref="AC14:AF14"/>
    <mergeCell ref="AV14:AY14"/>
    <mergeCell ref="AQ34:AR34"/>
    <mergeCell ref="BO23:BP24"/>
    <mergeCell ref="AQ28:AR28"/>
    <mergeCell ref="AQ26:AR26"/>
    <mergeCell ref="BO17:BP18"/>
    <mergeCell ref="BF25:BL26"/>
    <mergeCell ref="BO25:BU26"/>
    <mergeCell ref="AB35:AI35"/>
    <mergeCell ref="AM35:AN35"/>
    <mergeCell ref="AO35:AP35"/>
    <mergeCell ref="BF29:BG30"/>
    <mergeCell ref="BH29:BJ30"/>
    <mergeCell ref="BK29:BL30"/>
    <mergeCell ref="I23:K24"/>
    <mergeCell ref="L23:M24"/>
    <mergeCell ref="P23:Q24"/>
    <mergeCell ref="R23:T24"/>
    <mergeCell ref="U23:V24"/>
    <mergeCell ref="P15:V15"/>
    <mergeCell ref="G15:M15"/>
    <mergeCell ref="AH6:AT12"/>
    <mergeCell ref="AC8:AF8"/>
    <mergeCell ref="P17:Q18"/>
    <mergeCell ref="R17:T18"/>
    <mergeCell ref="U17:V18"/>
    <mergeCell ref="G19:M20"/>
    <mergeCell ref="P19:V20"/>
    <mergeCell ref="G23:H24"/>
    <mergeCell ref="G21:M21"/>
    <mergeCell ref="P21:V21"/>
    <mergeCell ref="G13:M14"/>
    <mergeCell ref="P13:V14"/>
    <mergeCell ref="AC24:AY24"/>
    <mergeCell ref="G25:M26"/>
    <mergeCell ref="P25:V26"/>
    <mergeCell ref="G17:H18"/>
    <mergeCell ref="I17:K18"/>
    <mergeCell ref="L17:M18"/>
    <mergeCell ref="AX48:AZ48"/>
    <mergeCell ref="AV50:AW50"/>
    <mergeCell ref="AS50:AT50"/>
    <mergeCell ref="BE72:BI73"/>
    <mergeCell ref="AM29:AN29"/>
    <mergeCell ref="AO29:AP29"/>
    <mergeCell ref="G27:M27"/>
    <mergeCell ref="P27:V27"/>
    <mergeCell ref="N61:O61"/>
    <mergeCell ref="N60:O60"/>
    <mergeCell ref="AM47:AN47"/>
    <mergeCell ref="AO47:AP47"/>
    <mergeCell ref="AM49:AN49"/>
    <mergeCell ref="AO49:AP49"/>
    <mergeCell ref="AV54:AW54"/>
    <mergeCell ref="AV32:AW32"/>
    <mergeCell ref="AX32:AZ32"/>
    <mergeCell ref="AS42:AT42"/>
    <mergeCell ref="AS56:AT56"/>
    <mergeCell ref="BF6:BU6"/>
    <mergeCell ref="BF8:BU8"/>
    <mergeCell ref="BF9:BU9"/>
    <mergeCell ref="G6:V6"/>
    <mergeCell ref="G8:V8"/>
    <mergeCell ref="G9:V9"/>
    <mergeCell ref="BH11:BJ12"/>
    <mergeCell ref="BK11:BL12"/>
    <mergeCell ref="BO11:BP12"/>
    <mergeCell ref="BQ11:BS12"/>
    <mergeCell ref="BT11:BU12"/>
    <mergeCell ref="G11:H12"/>
    <mergeCell ref="I11:K12"/>
    <mergeCell ref="L11:M12"/>
    <mergeCell ref="P11:Q12"/>
    <mergeCell ref="R11:T12"/>
    <mergeCell ref="U11:V12"/>
    <mergeCell ref="BF11:BG12"/>
    <mergeCell ref="AV8:AY8"/>
    <mergeCell ref="AC9:AF9"/>
    <mergeCell ref="AV9:AY9"/>
    <mergeCell ref="AC11:AF11"/>
    <mergeCell ref="AV11:AY11"/>
    <mergeCell ref="AC12:AF12"/>
    <mergeCell ref="AH4:AT4"/>
    <mergeCell ref="BO95:BU95"/>
    <mergeCell ref="BO83:BU83"/>
    <mergeCell ref="BE95:BK95"/>
    <mergeCell ref="BE90:BK90"/>
    <mergeCell ref="BE84:BK84"/>
    <mergeCell ref="BO85:BU85"/>
    <mergeCell ref="BE87:BK87"/>
    <mergeCell ref="BE76:BK76"/>
    <mergeCell ref="BO76:BU76"/>
    <mergeCell ref="BE77:BK77"/>
    <mergeCell ref="BO77:BU77"/>
    <mergeCell ref="BE78:BK78"/>
    <mergeCell ref="BO78:BU78"/>
    <mergeCell ref="BO93:BU93"/>
    <mergeCell ref="BO94:BU94"/>
    <mergeCell ref="BO92:BU92"/>
    <mergeCell ref="BO90:BU90"/>
    <mergeCell ref="BE82:BK82"/>
    <mergeCell ref="BO82:BU82"/>
    <mergeCell ref="BO81:BU81"/>
    <mergeCell ref="AV30:AW30"/>
    <mergeCell ref="AB29:AI29"/>
    <mergeCell ref="AA84:AG84"/>
    <mergeCell ref="G94:M94"/>
    <mergeCell ref="AK76:AQ76"/>
    <mergeCell ref="AB45:AI45"/>
    <mergeCell ref="AJ51:AL51"/>
    <mergeCell ref="AS32:AT32"/>
    <mergeCell ref="AQ30:AR30"/>
    <mergeCell ref="AS30:AT30"/>
    <mergeCell ref="G85:M85"/>
    <mergeCell ref="Q85:W85"/>
    <mergeCell ref="Q89:W89"/>
    <mergeCell ref="G87:M87"/>
    <mergeCell ref="AK89:AQ89"/>
    <mergeCell ref="AA89:AG89"/>
    <mergeCell ref="G86:M86"/>
    <mergeCell ref="G88:M88"/>
    <mergeCell ref="Q88:W88"/>
    <mergeCell ref="AA88:AG88"/>
    <mergeCell ref="AK88:AQ88"/>
    <mergeCell ref="G89:M89"/>
    <mergeCell ref="Q82:W82"/>
    <mergeCell ref="AA82:AG82"/>
    <mergeCell ref="AK82:AQ82"/>
    <mergeCell ref="AJ35:AL35"/>
    <mergeCell ref="AM34:AP34"/>
    <mergeCell ref="Q90:W90"/>
    <mergeCell ref="AQ44:AR44"/>
    <mergeCell ref="Q76:W76"/>
    <mergeCell ref="AA76:AG76"/>
    <mergeCell ref="AM45:AN45"/>
    <mergeCell ref="AO45:AP45"/>
    <mergeCell ref="AQ42:AR42"/>
    <mergeCell ref="AK79:AQ79"/>
    <mergeCell ref="AB55:AI55"/>
    <mergeCell ref="AM51:AN51"/>
    <mergeCell ref="AO51:AP51"/>
    <mergeCell ref="AM53:AN53"/>
    <mergeCell ref="AO53:AP53"/>
    <mergeCell ref="AM55:AN55"/>
    <mergeCell ref="AO55:AP55"/>
    <mergeCell ref="AQ48:AR48"/>
    <mergeCell ref="AA77:AG77"/>
    <mergeCell ref="AK87:AQ87"/>
    <mergeCell ref="AK80:AQ80"/>
    <mergeCell ref="AK83:AQ83"/>
    <mergeCell ref="AB51:AI51"/>
    <mergeCell ref="AQ46:AR46"/>
    <mergeCell ref="AK81:AQ81"/>
    <mergeCell ref="AA79:AG79"/>
    <mergeCell ref="AS46:AT46"/>
    <mergeCell ref="AV46:AW46"/>
    <mergeCell ref="AX46:AZ46"/>
    <mergeCell ref="AX50:AZ50"/>
    <mergeCell ref="AV48:AW48"/>
    <mergeCell ref="AS48:AT48"/>
    <mergeCell ref="AX44:AZ44"/>
    <mergeCell ref="AB46:AL46"/>
    <mergeCell ref="AM46:AP46"/>
    <mergeCell ref="AB44:AL44"/>
    <mergeCell ref="AM44:AP44"/>
    <mergeCell ref="AJ45:AL45"/>
    <mergeCell ref="AM48:AP48"/>
    <mergeCell ref="AB49:AI49"/>
    <mergeCell ref="AJ49:AL49"/>
    <mergeCell ref="AQ50:AR50"/>
    <mergeCell ref="AM50:AP50"/>
    <mergeCell ref="AB50:AL50"/>
    <mergeCell ref="BQ66:BS68"/>
    <mergeCell ref="AB52:AL52"/>
    <mergeCell ref="AM52:AP52"/>
    <mergeCell ref="AB54:AL54"/>
    <mergeCell ref="AM54:AP54"/>
    <mergeCell ref="AA72:AE73"/>
    <mergeCell ref="AF72:AG73"/>
    <mergeCell ref="BM60:BN60"/>
    <mergeCell ref="BM61:BN61"/>
    <mergeCell ref="AS58:AT58"/>
    <mergeCell ref="AV58:AW58"/>
    <mergeCell ref="AX52:AZ52"/>
    <mergeCell ref="AV56:AW56"/>
    <mergeCell ref="AQ52:AR52"/>
    <mergeCell ref="AS52:AT52"/>
    <mergeCell ref="AV52:AW52"/>
    <mergeCell ref="AB53:AI53"/>
    <mergeCell ref="AJ53:AL53"/>
    <mergeCell ref="BE53:BJ53"/>
    <mergeCell ref="BE54:BJ54"/>
    <mergeCell ref="BE55:BJ55"/>
    <mergeCell ref="BK53:BP53"/>
    <mergeCell ref="BK54:BP54"/>
    <mergeCell ref="BK55:BP55"/>
    <mergeCell ref="BE79:BK79"/>
    <mergeCell ref="AU76:BA76"/>
    <mergeCell ref="BO79:BU79"/>
    <mergeCell ref="AK78:AQ78"/>
    <mergeCell ref="AU78:BA78"/>
    <mergeCell ref="AU72:AY73"/>
    <mergeCell ref="AZ72:BA73"/>
    <mergeCell ref="AK72:AO73"/>
    <mergeCell ref="AP72:AQ73"/>
    <mergeCell ref="AU79:BA79"/>
    <mergeCell ref="AK77:AQ77"/>
    <mergeCell ref="BO72:BS73"/>
    <mergeCell ref="BT72:BU73"/>
    <mergeCell ref="Q91:W91"/>
    <mergeCell ref="G72:K73"/>
    <mergeCell ref="L72:M73"/>
    <mergeCell ref="Q72:U73"/>
    <mergeCell ref="V72:W73"/>
    <mergeCell ref="G76:M76"/>
    <mergeCell ref="G90:M90"/>
    <mergeCell ref="Q87:W87"/>
    <mergeCell ref="G77:M77"/>
    <mergeCell ref="Q77:W77"/>
    <mergeCell ref="Q78:W78"/>
    <mergeCell ref="G79:M79"/>
    <mergeCell ref="Q79:W79"/>
    <mergeCell ref="G78:M78"/>
    <mergeCell ref="G81:M81"/>
    <mergeCell ref="Q81:W81"/>
    <mergeCell ref="G80:M80"/>
    <mergeCell ref="Q84:W84"/>
    <mergeCell ref="G82:M82"/>
    <mergeCell ref="G83:M83"/>
    <mergeCell ref="Q83:W83"/>
    <mergeCell ref="G84:M84"/>
    <mergeCell ref="Q80:W80"/>
    <mergeCell ref="Q86:W86"/>
    <mergeCell ref="G95:M95"/>
    <mergeCell ref="Q95:W95"/>
    <mergeCell ref="Q93:W93"/>
    <mergeCell ref="Q94:W94"/>
    <mergeCell ref="BE91:BK91"/>
    <mergeCell ref="G92:M92"/>
    <mergeCell ref="Q92:W92"/>
    <mergeCell ref="AA92:AG92"/>
    <mergeCell ref="AK92:AQ92"/>
    <mergeCell ref="AU92:BA92"/>
    <mergeCell ref="AU93:BA93"/>
    <mergeCell ref="AU94:BA94"/>
    <mergeCell ref="AK93:AQ93"/>
    <mergeCell ref="AK94:AQ94"/>
    <mergeCell ref="BE93:BK93"/>
    <mergeCell ref="BE94:BK94"/>
    <mergeCell ref="AA91:AG91"/>
    <mergeCell ref="AA95:AG95"/>
    <mergeCell ref="AK95:AQ95"/>
    <mergeCell ref="AA94:AG94"/>
    <mergeCell ref="AU95:BA95"/>
    <mergeCell ref="BE92:BK92"/>
    <mergeCell ref="G93:M93"/>
    <mergeCell ref="G91:M91"/>
    <mergeCell ref="BI63:BV63"/>
    <mergeCell ref="AU87:BA87"/>
    <mergeCell ref="AU80:BA80"/>
    <mergeCell ref="AV42:AW42"/>
    <mergeCell ref="AJ33:AL33"/>
    <mergeCell ref="P31:V32"/>
    <mergeCell ref="AQ54:AR54"/>
    <mergeCell ref="AS54:AT54"/>
    <mergeCell ref="AX54:AZ54"/>
    <mergeCell ref="AU85:BA85"/>
    <mergeCell ref="AU77:BA77"/>
    <mergeCell ref="AK84:AQ84"/>
    <mergeCell ref="AK85:AQ85"/>
    <mergeCell ref="AS44:AT44"/>
    <mergeCell ref="AJ55:AL55"/>
    <mergeCell ref="AB47:AI47"/>
    <mergeCell ref="AJ47:AL47"/>
    <mergeCell ref="AA86:AG86"/>
    <mergeCell ref="AK86:AQ86"/>
    <mergeCell ref="AU86:BA86"/>
    <mergeCell ref="AB48:AL48"/>
    <mergeCell ref="AV44:AW44"/>
    <mergeCell ref="T63:BH63"/>
    <mergeCell ref="AX42:AZ42"/>
    <mergeCell ref="BO88:BU88"/>
    <mergeCell ref="BE89:BK89"/>
    <mergeCell ref="BO89:BU89"/>
    <mergeCell ref="AA93:AG93"/>
    <mergeCell ref="AA80:AG80"/>
    <mergeCell ref="AA90:AG90"/>
    <mergeCell ref="AK90:AQ90"/>
    <mergeCell ref="AU90:BA90"/>
    <mergeCell ref="BE85:BK85"/>
    <mergeCell ref="AA87:AG87"/>
    <mergeCell ref="AA85:AG85"/>
    <mergeCell ref="AU91:BA91"/>
    <mergeCell ref="AU88:BA88"/>
    <mergeCell ref="BO91:BU91"/>
    <mergeCell ref="BE83:BK83"/>
    <mergeCell ref="BE88:BK88"/>
    <mergeCell ref="AK91:AQ91"/>
    <mergeCell ref="AA83:AG83"/>
    <mergeCell ref="BO80:BU80"/>
    <mergeCell ref="BO87:BU87"/>
    <mergeCell ref="BO84:BU84"/>
    <mergeCell ref="AU89:BA89"/>
    <mergeCell ref="BE86:BK86"/>
    <mergeCell ref="BO86:BU86"/>
    <mergeCell ref="F63:S63"/>
    <mergeCell ref="G33:M33"/>
    <mergeCell ref="P33:V33"/>
    <mergeCell ref="BF15:BL15"/>
    <mergeCell ref="BO15:BU15"/>
    <mergeCell ref="BF21:BL21"/>
    <mergeCell ref="BO21:BU21"/>
    <mergeCell ref="BF27:BL27"/>
    <mergeCell ref="BO27:BU27"/>
    <mergeCell ref="BF33:BL33"/>
    <mergeCell ref="BO33:BU33"/>
    <mergeCell ref="AV26:AW26"/>
    <mergeCell ref="G29:H30"/>
    <mergeCell ref="I29:K30"/>
    <mergeCell ref="L29:M30"/>
    <mergeCell ref="P29:Q30"/>
    <mergeCell ref="R29:T30"/>
    <mergeCell ref="U29:V30"/>
    <mergeCell ref="G31:M32"/>
    <mergeCell ref="AQ32:AR32"/>
    <mergeCell ref="BF31:BL32"/>
    <mergeCell ref="BO31:BU32"/>
    <mergeCell ref="AJ29:AL29"/>
    <mergeCell ref="BQ23:BS24"/>
  </mergeCells>
  <phoneticPr fontId="39" type="noConversion"/>
  <conditionalFormatting sqref="AQ42">
    <cfRule type="cellIs" dxfId="2929" priority="2820" operator="greaterThan">
      <formula>0</formula>
    </cfRule>
  </conditionalFormatting>
  <conditionalFormatting sqref="AQ42:AR42">
    <cfRule type="expression" dxfId="2928" priority="2819">
      <formula>OR(ISBLANK(AB42),AB42="Title",AB42="&gt;",AB42="Enter Title",AB42="&gt; Enter Title")</formula>
    </cfRule>
  </conditionalFormatting>
  <conditionalFormatting sqref="AS42:AT42">
    <cfRule type="expression" dxfId="2927" priority="2818">
      <formula>OR(ISBLANK(AB42),AB42="Title",AB42="&gt;",AB42="Enter Title",AB42="&gt; Enter Title")</formula>
    </cfRule>
  </conditionalFormatting>
  <conditionalFormatting sqref="AU42">
    <cfRule type="expression" dxfId="2926" priority="2817">
      <formula>OR(ISBLANK(AB42),AB42="Title",AB42="&gt;",AB42="Enter Title",AB42="&gt; Enter Title")</formula>
    </cfRule>
  </conditionalFormatting>
  <conditionalFormatting sqref="AV42:AW42">
    <cfRule type="expression" dxfId="2925" priority="2816">
      <formula>OR(ISBLANK(AB42),AB42="Title",AB42="&gt;",AB42="Enter Title",AB42="&gt; Enter Title")</formula>
    </cfRule>
  </conditionalFormatting>
  <conditionalFormatting sqref="AX42:AZ42">
    <cfRule type="expression" dxfId="2924" priority="2815">
      <formula>OR(ISBLANK(AB42),AB42="Title",AB42="&gt;",AB42="Enter Title",AB42="&gt; Enter Title")</formula>
    </cfRule>
  </conditionalFormatting>
  <conditionalFormatting sqref="AQ35">
    <cfRule type="expression" dxfId="2923" priority="2814">
      <formula>AQ34&gt;=10%</formula>
    </cfRule>
  </conditionalFormatting>
  <conditionalFormatting sqref="AR35 AR43">
    <cfRule type="expression" dxfId="2922" priority="2813">
      <formula>AQ34&gt;=20%</formula>
    </cfRule>
  </conditionalFormatting>
  <conditionalFormatting sqref="AS35 AS43">
    <cfRule type="expression" dxfId="2921" priority="2812">
      <formula>AQ34&gt;=30%</formula>
    </cfRule>
  </conditionalFormatting>
  <conditionalFormatting sqref="AT35 AT43">
    <cfRule type="expression" dxfId="2920" priority="2811">
      <formula>AQ34&gt;=40%</formula>
    </cfRule>
  </conditionalFormatting>
  <conditionalFormatting sqref="AU35 AU43">
    <cfRule type="expression" dxfId="2919" priority="2810">
      <formula>AQ34&gt;=50%</formula>
    </cfRule>
  </conditionalFormatting>
  <conditionalFormatting sqref="AV35 AV43">
    <cfRule type="expression" dxfId="2918" priority="2809">
      <formula>AQ34&gt;=60%</formula>
    </cfRule>
  </conditionalFormatting>
  <conditionalFormatting sqref="AW35 AW43">
    <cfRule type="expression" dxfId="2917" priority="2808">
      <formula>AQ34&gt;=70%</formula>
    </cfRule>
  </conditionalFormatting>
  <conditionalFormatting sqref="AX35 AX43">
    <cfRule type="expression" dxfId="2916" priority="2807">
      <formula>AQ34&gt;=80%</formula>
    </cfRule>
  </conditionalFormatting>
  <conditionalFormatting sqref="AY35 AY43">
    <cfRule type="expression" dxfId="2915" priority="2806">
      <formula>AQ34&gt;=90%</formula>
    </cfRule>
  </conditionalFormatting>
  <conditionalFormatting sqref="AZ35 AZ43">
    <cfRule type="expression" dxfId="2914" priority="2805">
      <formula>AQ34&gt;=100%</formula>
    </cfRule>
  </conditionalFormatting>
  <conditionalFormatting sqref="AZ35 AZ43">
    <cfRule type="expression" dxfId="2913" priority="2804">
      <formula>OR(ISBLANK(AB34),AB34="Title",AB34="&gt;",AB34="Enter Title",AB34="&gt; Enter Title")</formula>
    </cfRule>
  </conditionalFormatting>
  <conditionalFormatting sqref="AY35 AY43">
    <cfRule type="expression" dxfId="2912" priority="2803">
      <formula>OR(ISBLANK(AB34),AB34="Title",AB34="&gt;",AB34="Enter Title",AB34="&gt; Enter Title")</formula>
    </cfRule>
  </conditionalFormatting>
  <conditionalFormatting sqref="AX35 AX43">
    <cfRule type="expression" dxfId="2911" priority="2802">
      <formula>OR(ISBLANK(AB34),AB34="Title",AB34="&gt;",AB34="Enter Title",AB34="&gt; Enter Title")</formula>
    </cfRule>
  </conditionalFormatting>
  <conditionalFormatting sqref="AW35 AW43">
    <cfRule type="expression" dxfId="2910" priority="2801">
      <formula>OR(ISBLANK(AB34),AB34="Title",AB34="&gt;",AB34="Enter Title",AB34="&gt; Enter Title")</formula>
    </cfRule>
  </conditionalFormatting>
  <conditionalFormatting sqref="AV35 AV43">
    <cfRule type="expression" dxfId="2909" priority="2800">
      <formula>OR(ISBLANK(AB34),AB34="Title",AB34="&gt;",AB34="Enter Title",AB34="&gt; Enter Title")</formula>
    </cfRule>
  </conditionalFormatting>
  <conditionalFormatting sqref="AU35 AU43">
    <cfRule type="expression" dxfId="2908" priority="2799">
      <formula>OR(ISBLANK(AB34),AB34="Title",AB34="&gt;",AB34="Enter Title",AB34="&gt; Enter Title")</formula>
    </cfRule>
  </conditionalFormatting>
  <conditionalFormatting sqref="AT35 AT43">
    <cfRule type="expression" dxfId="2907" priority="2798">
      <formula>OR(ISBLANK(AB34),AB34="Title",AB34="&gt;",AB34="Enter Title",AB34="&gt; Enter Title")</formula>
    </cfRule>
  </conditionalFormatting>
  <conditionalFormatting sqref="AS35 AS43">
    <cfRule type="expression" dxfId="2906" priority="2797">
      <formula>OR(ISBLANK(AB34),AB34="Title",AB34="&gt;",AB34="Enter Title",AB34="&gt; Enter Title")</formula>
    </cfRule>
  </conditionalFormatting>
  <conditionalFormatting sqref="AR35 AR43">
    <cfRule type="expression" dxfId="2905" priority="2796">
      <formula>OR(ISBLANK(AB34),AB34="Title",AB34="&gt;",AB34="Enter Title",AB34="&gt; Enter Title")</formula>
    </cfRule>
  </conditionalFormatting>
  <conditionalFormatting sqref="AQ35">
    <cfRule type="expression" dxfId="2904" priority="2795">
      <formula>OR(ISBLANK(AB34),AB34="Title",AB34="&gt;",AB34="Enter Title",AB34="&gt; Enter Title")</formula>
    </cfRule>
  </conditionalFormatting>
  <conditionalFormatting sqref="AQ34">
    <cfRule type="cellIs" dxfId="2903" priority="2794" operator="greaterThan">
      <formula>0</formula>
    </cfRule>
  </conditionalFormatting>
  <conditionalFormatting sqref="AQ34:AR34">
    <cfRule type="expression" dxfId="2902" priority="2793">
      <formula>OR(ISBLANK(AB34),AB34="Title",AB34="&gt;",AB34="Enter Title",AB34="&gt; Enter Title")</formula>
    </cfRule>
  </conditionalFormatting>
  <conditionalFormatting sqref="AQ49">
    <cfRule type="expression" dxfId="2901" priority="2788">
      <formula>AQ48&gt;=10%</formula>
    </cfRule>
  </conditionalFormatting>
  <conditionalFormatting sqref="AR49">
    <cfRule type="expression" dxfId="2900" priority="2787">
      <formula>AQ48&gt;=20%</formula>
    </cfRule>
  </conditionalFormatting>
  <conditionalFormatting sqref="AS49">
    <cfRule type="expression" dxfId="2899" priority="2786">
      <formula>AQ48&gt;=30%</formula>
    </cfRule>
  </conditionalFormatting>
  <conditionalFormatting sqref="AT49">
    <cfRule type="expression" dxfId="2898" priority="2785">
      <formula>AQ48&gt;=40%</formula>
    </cfRule>
  </conditionalFormatting>
  <conditionalFormatting sqref="AU49">
    <cfRule type="expression" dxfId="2897" priority="2784">
      <formula>AQ48&gt;=50%</formula>
    </cfRule>
  </conditionalFormatting>
  <conditionalFormatting sqref="AV49">
    <cfRule type="expression" dxfId="2896" priority="2783">
      <formula>AQ48&gt;=60%</formula>
    </cfRule>
  </conditionalFormatting>
  <conditionalFormatting sqref="AW49">
    <cfRule type="expression" dxfId="2895" priority="2782">
      <formula>AQ48&gt;=70%</formula>
    </cfRule>
  </conditionalFormatting>
  <conditionalFormatting sqref="AX49">
    <cfRule type="expression" dxfId="2894" priority="2781">
      <formula>AQ48&gt;=80%</formula>
    </cfRule>
  </conditionalFormatting>
  <conditionalFormatting sqref="AY49">
    <cfRule type="expression" dxfId="2893" priority="2780">
      <formula>AQ48&gt;=90%</formula>
    </cfRule>
  </conditionalFormatting>
  <conditionalFormatting sqref="AZ49">
    <cfRule type="expression" dxfId="2892" priority="2779">
      <formula>AQ48&gt;=100%</formula>
    </cfRule>
  </conditionalFormatting>
  <conditionalFormatting sqref="AZ49">
    <cfRule type="expression" dxfId="2891" priority="2778">
      <formula>OR(ISBLANK(AB48),AB48="Title",AB48="&gt;",AB48="Enter Title",AB48="&gt; Enter Title")</formula>
    </cfRule>
  </conditionalFormatting>
  <conditionalFormatting sqref="AY49">
    <cfRule type="expression" dxfId="2890" priority="2777">
      <formula>OR(ISBLANK(AB48),AB48="Title",AB48="&gt;",AB48="Enter Title",AB48="&gt; Enter Title")</formula>
    </cfRule>
  </conditionalFormatting>
  <conditionalFormatting sqref="AX49">
    <cfRule type="expression" dxfId="2889" priority="2776">
      <formula>OR(ISBLANK(AB48),AB48="Title",AB48="&gt;",AB48="Enter Title",AB48="&gt; Enter Title")</formula>
    </cfRule>
  </conditionalFormatting>
  <conditionalFormatting sqref="AW49">
    <cfRule type="expression" dxfId="2888" priority="2775">
      <formula>OR(ISBLANK(AB48),AB48="Title",AB48="&gt;",AB48="Enter Title",AB48="&gt; Enter Title")</formula>
    </cfRule>
  </conditionalFormatting>
  <conditionalFormatting sqref="AV49">
    <cfRule type="expression" dxfId="2887" priority="2774">
      <formula>OR(ISBLANK(AB48),AB48="Title",AB48="&gt;",AB48="Enter Title",AB48="&gt; Enter Title")</formula>
    </cfRule>
  </conditionalFormatting>
  <conditionalFormatting sqref="AU49">
    <cfRule type="expression" dxfId="2886" priority="2773">
      <formula>OR(ISBLANK(AB48),AB48="Title",AB48="&gt;",AB48="Enter Title",AB48="&gt; Enter Title")</formula>
    </cfRule>
  </conditionalFormatting>
  <conditionalFormatting sqref="AT49">
    <cfRule type="expression" dxfId="2885" priority="2772">
      <formula>OR(ISBLANK(AB48),AB48="Title",AB48="&gt;",AB48="Enter Title",AB48="&gt; Enter Title")</formula>
    </cfRule>
  </conditionalFormatting>
  <conditionalFormatting sqref="AS49">
    <cfRule type="expression" dxfId="2884" priority="2771">
      <formula>OR(ISBLANK(AB48),AB48="Title",AB48="&gt;",AB48="Enter Title",AB48="&gt; Enter Title")</formula>
    </cfRule>
  </conditionalFormatting>
  <conditionalFormatting sqref="AR49">
    <cfRule type="expression" dxfId="2883" priority="2770">
      <formula>OR(ISBLANK(AB48),AB48="Title",AB48="&gt;",AB48="Enter Title",AB48="&gt; Enter Title")</formula>
    </cfRule>
  </conditionalFormatting>
  <conditionalFormatting sqref="AQ49">
    <cfRule type="expression" dxfId="2882" priority="2769">
      <formula>OR(ISBLANK(AB48),AB48="Title",AB48="&gt;",AB48="Enter Title",AB48="&gt; Enter Title")</formula>
    </cfRule>
  </conditionalFormatting>
  <conditionalFormatting sqref="AQ48">
    <cfRule type="cellIs" dxfId="2881" priority="2768" operator="greaterThan">
      <formula>0</formula>
    </cfRule>
  </conditionalFormatting>
  <conditionalFormatting sqref="AQ48:AR48">
    <cfRule type="expression" dxfId="2880" priority="2767">
      <formula>OR(ISBLANK(AB48),AB48="Title",AB48="&gt;",AB48="Enter Title",AB48="&gt; Enter Title")</formula>
    </cfRule>
  </conditionalFormatting>
  <conditionalFormatting sqref="AS48:AT48">
    <cfRule type="expression" dxfId="2879" priority="2766">
      <formula>OR(ISBLANK(AB48),AB48="Title",AB48="&gt;",AB48="Enter Title",AB48="&gt; Enter Title")</formula>
    </cfRule>
  </conditionalFormatting>
  <conditionalFormatting sqref="AU48">
    <cfRule type="expression" dxfId="2878" priority="2765">
      <formula>OR(ISBLANK(AB48),AB48="Title",AB48="&gt;",AB48="Enter Title",AB48="&gt; Enter Title")</formula>
    </cfRule>
  </conditionalFormatting>
  <conditionalFormatting sqref="AV48:AW48">
    <cfRule type="expression" dxfId="2877" priority="2764">
      <formula>OR(ISBLANK(AB48),AB48="Title",AB48="&gt;",AB48="Enter Title",AB48="&gt; Enter Title")</formula>
    </cfRule>
  </conditionalFormatting>
  <conditionalFormatting sqref="AQ51">
    <cfRule type="expression" dxfId="2876" priority="2762">
      <formula>AQ50&gt;=10%</formula>
    </cfRule>
  </conditionalFormatting>
  <conditionalFormatting sqref="AR51">
    <cfRule type="expression" dxfId="2875" priority="2761">
      <formula>AQ50&gt;=20%</formula>
    </cfRule>
  </conditionalFormatting>
  <conditionalFormatting sqref="AS51">
    <cfRule type="expression" dxfId="2874" priority="2760">
      <formula>AQ50&gt;=30%</formula>
    </cfRule>
  </conditionalFormatting>
  <conditionalFormatting sqref="AT51">
    <cfRule type="expression" dxfId="2873" priority="2759">
      <formula>AQ50&gt;=40%</formula>
    </cfRule>
  </conditionalFormatting>
  <conditionalFormatting sqref="AU51">
    <cfRule type="expression" dxfId="2872" priority="2758">
      <formula>AQ50&gt;=50%</formula>
    </cfRule>
  </conditionalFormatting>
  <conditionalFormatting sqref="AV51">
    <cfRule type="expression" dxfId="2871" priority="2757">
      <formula>AQ50&gt;=60%</formula>
    </cfRule>
  </conditionalFormatting>
  <conditionalFormatting sqref="AW51">
    <cfRule type="expression" dxfId="2870" priority="2756">
      <formula>AQ50&gt;=70%</formula>
    </cfRule>
  </conditionalFormatting>
  <conditionalFormatting sqref="AX51">
    <cfRule type="expression" dxfId="2869" priority="2755">
      <formula>AQ50&gt;=80%</formula>
    </cfRule>
  </conditionalFormatting>
  <conditionalFormatting sqref="AY51">
    <cfRule type="expression" dxfId="2868" priority="2754">
      <formula>AQ50&gt;=90%</formula>
    </cfRule>
  </conditionalFormatting>
  <conditionalFormatting sqref="AZ51">
    <cfRule type="expression" dxfId="2867" priority="2753">
      <formula>AQ50&gt;=100%</formula>
    </cfRule>
  </conditionalFormatting>
  <conditionalFormatting sqref="AZ51">
    <cfRule type="expression" dxfId="2866" priority="2752">
      <formula>OR(ISBLANK(AB50),AB50="Title",AB50="&gt;",AB50="Enter Title",AB50="&gt; Enter Title")</formula>
    </cfRule>
  </conditionalFormatting>
  <conditionalFormatting sqref="AY51">
    <cfRule type="expression" dxfId="2865" priority="2751">
      <formula>OR(ISBLANK(AB50),AB50="Title",AB50="&gt;",AB50="Enter Title",AB50="&gt; Enter Title")</formula>
    </cfRule>
  </conditionalFormatting>
  <conditionalFormatting sqref="AX51">
    <cfRule type="expression" dxfId="2864" priority="2750">
      <formula>OR(ISBLANK(AB50),AB50="Title",AB50="&gt;",AB50="Enter Title",AB50="&gt; Enter Title")</formula>
    </cfRule>
  </conditionalFormatting>
  <conditionalFormatting sqref="AW51">
    <cfRule type="expression" dxfId="2863" priority="2749">
      <formula>OR(ISBLANK(AB50),AB50="Title",AB50="&gt;",AB50="Enter Title",AB50="&gt; Enter Title")</formula>
    </cfRule>
  </conditionalFormatting>
  <conditionalFormatting sqref="AV51">
    <cfRule type="expression" dxfId="2862" priority="2748">
      <formula>OR(ISBLANK(AB50),AB50="Title",AB50="&gt;",AB50="Enter Title",AB50="&gt; Enter Title")</formula>
    </cfRule>
  </conditionalFormatting>
  <conditionalFormatting sqref="AU51">
    <cfRule type="expression" dxfId="2861" priority="2747">
      <formula>OR(ISBLANK(AB50),AB50="Title",AB50="&gt;",AB50="Enter Title",AB50="&gt; Enter Title")</formula>
    </cfRule>
  </conditionalFormatting>
  <conditionalFormatting sqref="AT51">
    <cfRule type="expression" dxfId="2860" priority="2746">
      <formula>OR(ISBLANK(AB50),AB50="Title",AB50="&gt;",AB50="Enter Title",AB50="&gt; Enter Title")</formula>
    </cfRule>
  </conditionalFormatting>
  <conditionalFormatting sqref="AS51">
    <cfRule type="expression" dxfId="2859" priority="2745">
      <formula>OR(ISBLANK(AB50),AB50="Title",AB50="&gt;",AB50="Enter Title",AB50="&gt; Enter Title")</formula>
    </cfRule>
  </conditionalFormatting>
  <conditionalFormatting sqref="AR51">
    <cfRule type="expression" dxfId="2858" priority="2744">
      <formula>OR(ISBLANK(AB50),AB50="Title",AB50="&gt;",AB50="Enter Title",AB50="&gt; Enter Title")</formula>
    </cfRule>
  </conditionalFormatting>
  <conditionalFormatting sqref="AQ51">
    <cfRule type="expression" dxfId="2857" priority="2743">
      <formula>OR(ISBLANK(AB50),AB50="Title",AB50="&gt;",AB50="Enter Title",AB50="&gt; Enter Title")</formula>
    </cfRule>
  </conditionalFormatting>
  <conditionalFormatting sqref="AQ50">
    <cfRule type="cellIs" dxfId="2856" priority="2742" operator="greaterThan">
      <formula>0</formula>
    </cfRule>
  </conditionalFormatting>
  <conditionalFormatting sqref="AQ50:AR50">
    <cfRule type="expression" dxfId="2855" priority="2741">
      <formula>OR(ISBLANK(AB50),AB50="Title",AB50="&gt;",AB50="Enter Title",AB50="&gt; Enter Title")</formula>
    </cfRule>
  </conditionalFormatting>
  <conditionalFormatting sqref="AS50:AT50">
    <cfRule type="expression" dxfId="2854" priority="2740">
      <formula>OR(ISBLANK(AB50),AB50="Title",AB50="&gt;",AB50="Enter Title",AB50="&gt; Enter Title")</formula>
    </cfRule>
  </conditionalFormatting>
  <conditionalFormatting sqref="AU50">
    <cfRule type="expression" dxfId="2853" priority="2739">
      <formula>OR(ISBLANK(AB50),AB50="Title",AB50="&gt;",AB50="Enter Title",AB50="&gt; Enter Title")</formula>
    </cfRule>
  </conditionalFormatting>
  <conditionalFormatting sqref="AV50:AW50">
    <cfRule type="expression" dxfId="2852" priority="2738">
      <formula>OR(ISBLANK(AB50),AB50="Title",AB50="&gt;",AB50="Enter Title",AB50="&gt; Enter Title")</formula>
    </cfRule>
  </conditionalFormatting>
  <conditionalFormatting sqref="AQ45">
    <cfRule type="expression" dxfId="2851" priority="2500">
      <formula>AQ44&gt;=10%</formula>
    </cfRule>
  </conditionalFormatting>
  <conditionalFormatting sqref="AR45">
    <cfRule type="expression" dxfId="2850" priority="2499">
      <formula>AQ44&gt;=20%</formula>
    </cfRule>
  </conditionalFormatting>
  <conditionalFormatting sqref="AS45">
    <cfRule type="expression" dxfId="2849" priority="2498">
      <formula>AQ44&gt;=30%</formula>
    </cfRule>
  </conditionalFormatting>
  <conditionalFormatting sqref="AT45">
    <cfRule type="expression" dxfId="2848" priority="2497">
      <formula>AQ44&gt;=40%</formula>
    </cfRule>
  </conditionalFormatting>
  <conditionalFormatting sqref="AU45">
    <cfRule type="expression" dxfId="2847" priority="2496">
      <formula>AQ44&gt;=50%</formula>
    </cfRule>
  </conditionalFormatting>
  <conditionalFormatting sqref="AV45">
    <cfRule type="expression" dxfId="2846" priority="2495">
      <formula>AQ44&gt;=60%</formula>
    </cfRule>
  </conditionalFormatting>
  <conditionalFormatting sqref="AW45">
    <cfRule type="expression" dxfId="2845" priority="2494">
      <formula>AQ44&gt;=70%</formula>
    </cfRule>
  </conditionalFormatting>
  <conditionalFormatting sqref="AX45">
    <cfRule type="expression" dxfId="2844" priority="2493">
      <formula>AQ44&gt;=80%</formula>
    </cfRule>
  </conditionalFormatting>
  <conditionalFormatting sqref="AY45">
    <cfRule type="expression" dxfId="2843" priority="2492">
      <formula>AQ44&gt;=90%</formula>
    </cfRule>
  </conditionalFormatting>
  <conditionalFormatting sqref="AZ45">
    <cfRule type="expression" dxfId="2842" priority="2491">
      <formula>AQ44&gt;=100%</formula>
    </cfRule>
  </conditionalFormatting>
  <conditionalFormatting sqref="AZ45">
    <cfRule type="expression" dxfId="2841" priority="2490">
      <formula>OR(ISBLANK(AB44),AB44="Title",AB44="&gt;",AB44="Enter Title",AB44="&gt; Enter Title")</formula>
    </cfRule>
  </conditionalFormatting>
  <conditionalFormatting sqref="AY45">
    <cfRule type="expression" dxfId="2840" priority="2489">
      <formula>OR(ISBLANK(AB44),AB44="Title",AB44="&gt;",AB44="Enter Title",AB44="&gt; Enter Title")</formula>
    </cfRule>
  </conditionalFormatting>
  <conditionalFormatting sqref="AX45">
    <cfRule type="expression" dxfId="2839" priority="2488">
      <formula>OR(ISBLANK(AB44),AB44="Title",AB44="&gt;",AB44="Enter Title",AB44="&gt; Enter Title")</formula>
    </cfRule>
  </conditionalFormatting>
  <conditionalFormatting sqref="AW45">
    <cfRule type="expression" dxfId="2838" priority="2487">
      <formula>OR(ISBLANK(AB44),AB44="Title",AB44="&gt;",AB44="Enter Title",AB44="&gt; Enter Title")</formula>
    </cfRule>
  </conditionalFormatting>
  <conditionalFormatting sqref="AV45">
    <cfRule type="expression" dxfId="2837" priority="2486">
      <formula>OR(ISBLANK(AB44),AB44="Title",AB44="&gt;",AB44="Enter Title",AB44="&gt; Enter Title")</formula>
    </cfRule>
  </conditionalFormatting>
  <conditionalFormatting sqref="AU45">
    <cfRule type="expression" dxfId="2836" priority="2485">
      <formula>OR(ISBLANK(AB44),AB44="Title",AB44="&gt;",AB44="Enter Title",AB44="&gt; Enter Title")</formula>
    </cfRule>
  </conditionalFormatting>
  <conditionalFormatting sqref="AT45">
    <cfRule type="expression" dxfId="2835" priority="2484">
      <formula>OR(ISBLANK(AB44),AB44="Title",AB44="&gt;",AB44="Enter Title",AB44="&gt; Enter Title")</formula>
    </cfRule>
  </conditionalFormatting>
  <conditionalFormatting sqref="AS45">
    <cfRule type="expression" dxfId="2834" priority="2483">
      <formula>OR(ISBLANK(AB44),AB44="Title",AB44="&gt;",AB44="Enter Title",AB44="&gt; Enter Title")</formula>
    </cfRule>
  </conditionalFormatting>
  <conditionalFormatting sqref="AR45">
    <cfRule type="expression" dxfId="2833" priority="2482">
      <formula>OR(ISBLANK(AB44),AB44="Title",AB44="&gt;",AB44="Enter Title",AB44="&gt; Enter Title")</formula>
    </cfRule>
  </conditionalFormatting>
  <conditionalFormatting sqref="AQ45">
    <cfRule type="expression" dxfId="2832" priority="2481">
      <formula>OR(ISBLANK(AB44),AB44="Title",AB44="&gt;",AB44="Enter Title",AB44="&gt; Enter Title")</formula>
    </cfRule>
  </conditionalFormatting>
  <conditionalFormatting sqref="AQ44">
    <cfRule type="cellIs" dxfId="2831" priority="2480" operator="greaterThan">
      <formula>0</formula>
    </cfRule>
  </conditionalFormatting>
  <conditionalFormatting sqref="AQ44:AR44">
    <cfRule type="expression" dxfId="2830" priority="2479">
      <formula>OR(ISBLANK(AB44),AB44="Title",AB44="&gt;",AB44="Enter Title",AB44="&gt; Enter Title")</formula>
    </cfRule>
  </conditionalFormatting>
  <conditionalFormatting sqref="AS44:AT44">
    <cfRule type="expression" dxfId="2829" priority="2478">
      <formula>OR(ISBLANK(AB44),AB44="Title",AB44="&gt;",AB44="Enter Title",AB44="&gt; Enter Title")</formula>
    </cfRule>
  </conditionalFormatting>
  <conditionalFormatting sqref="AU44">
    <cfRule type="expression" dxfId="2828" priority="2477">
      <formula>OR(ISBLANK(AB44),AB44="Title",AB44="&gt;",AB44="Enter Title",AB44="&gt; Enter Title")</formula>
    </cfRule>
  </conditionalFormatting>
  <conditionalFormatting sqref="AV44:AW44">
    <cfRule type="expression" dxfId="2827" priority="2476">
      <formula>OR(ISBLANK(AB44),AB44="Title",AB44="&gt;",AB44="Enter Title",AB44="&gt; Enter Title")</formula>
    </cfRule>
  </conditionalFormatting>
  <conditionalFormatting sqref="AQ33">
    <cfRule type="expression" dxfId="2826" priority="2340">
      <formula>AQ32&gt;=10%</formula>
    </cfRule>
  </conditionalFormatting>
  <conditionalFormatting sqref="AR33">
    <cfRule type="expression" dxfId="2825" priority="2339">
      <formula>AQ32&gt;=20%</formula>
    </cfRule>
  </conditionalFormatting>
  <conditionalFormatting sqref="AS33">
    <cfRule type="expression" dxfId="2824" priority="2338">
      <formula>AQ32&gt;=30%</formula>
    </cfRule>
  </conditionalFormatting>
  <conditionalFormatting sqref="AT33">
    <cfRule type="expression" dxfId="2823" priority="2337">
      <formula>AQ32&gt;=40%</formula>
    </cfRule>
  </conditionalFormatting>
  <conditionalFormatting sqref="AU33">
    <cfRule type="expression" dxfId="2822" priority="2336">
      <formula>AQ32&gt;=50%</formula>
    </cfRule>
  </conditionalFormatting>
  <conditionalFormatting sqref="AV33">
    <cfRule type="expression" dxfId="2821" priority="2335">
      <formula>AQ32&gt;=60%</formula>
    </cfRule>
  </conditionalFormatting>
  <conditionalFormatting sqref="AW33">
    <cfRule type="expression" dxfId="2820" priority="2334">
      <formula>AQ32&gt;=70%</formula>
    </cfRule>
  </conditionalFormatting>
  <conditionalFormatting sqref="AX33">
    <cfRule type="expression" dxfId="2819" priority="2333">
      <formula>AQ32&gt;=80%</formula>
    </cfRule>
  </conditionalFormatting>
  <conditionalFormatting sqref="AY33">
    <cfRule type="expression" dxfId="2818" priority="2332">
      <formula>AQ32&gt;=90%</formula>
    </cfRule>
  </conditionalFormatting>
  <conditionalFormatting sqref="AZ33">
    <cfRule type="expression" dxfId="2817" priority="2331">
      <formula>AQ32&gt;=100%</formula>
    </cfRule>
  </conditionalFormatting>
  <conditionalFormatting sqref="AZ33">
    <cfRule type="expression" dxfId="2816" priority="2330">
      <formula>OR(ISBLANK(AB32),AB32="Title",AB32="&gt;",AB32="Enter Title",AB32="&gt; Enter Title")</formula>
    </cfRule>
  </conditionalFormatting>
  <conditionalFormatting sqref="AY33">
    <cfRule type="expression" dxfId="2815" priority="2329">
      <formula>OR(ISBLANK(AB32),AB32="Title",AB32="&gt;",AB32="Enter Title",AB32="&gt; Enter Title")</formula>
    </cfRule>
  </conditionalFormatting>
  <conditionalFormatting sqref="AX33">
    <cfRule type="expression" dxfId="2814" priority="2328">
      <formula>OR(ISBLANK(AB32),AB32="Title",AB32="&gt;",AB32="Enter Title",AB32="&gt; Enter Title")</formula>
    </cfRule>
  </conditionalFormatting>
  <conditionalFormatting sqref="AW33">
    <cfRule type="expression" dxfId="2813" priority="2327">
      <formula>OR(ISBLANK(AB32),AB32="Title",AB32="&gt;",AB32="Enter Title",AB32="&gt; Enter Title")</formula>
    </cfRule>
  </conditionalFormatting>
  <conditionalFormatting sqref="AV33">
    <cfRule type="expression" dxfId="2812" priority="2326">
      <formula>OR(ISBLANK(AB32),AB32="Title",AB32="&gt;",AB32="Enter Title",AB32="&gt; Enter Title")</formula>
    </cfRule>
  </conditionalFormatting>
  <conditionalFormatting sqref="AU33">
    <cfRule type="expression" dxfId="2811" priority="2325">
      <formula>OR(ISBLANK(AB32),AB32="Title",AB32="&gt;",AB32="Enter Title",AB32="&gt; Enter Title")</formula>
    </cfRule>
  </conditionalFormatting>
  <conditionalFormatting sqref="AT33">
    <cfRule type="expression" dxfId="2810" priority="2324">
      <formula>OR(ISBLANK(AB32),AB32="Title",AB32="&gt;",AB32="Enter Title",AB32="&gt; Enter Title")</formula>
    </cfRule>
  </conditionalFormatting>
  <conditionalFormatting sqref="AS33">
    <cfRule type="expression" dxfId="2809" priority="2323">
      <formula>OR(ISBLANK(AB32),AB32="Title",AB32="&gt;",AB32="Enter Title",AB32="&gt; Enter Title")</formula>
    </cfRule>
  </conditionalFormatting>
  <conditionalFormatting sqref="AR33">
    <cfRule type="expression" dxfId="2808" priority="2322">
      <formula>OR(ISBLANK(AB32),AB32="Title",AB32="&gt;",AB32="Enter Title",AB32="&gt; Enter Title")</formula>
    </cfRule>
  </conditionalFormatting>
  <conditionalFormatting sqref="AQ33">
    <cfRule type="expression" dxfId="2807" priority="2321">
      <formula>OR(ISBLANK(AB32),AB32="Title",AB32="&gt;",AB32="Enter Title",AB32="&gt; Enter Title")</formula>
    </cfRule>
  </conditionalFormatting>
  <conditionalFormatting sqref="AQ32">
    <cfRule type="cellIs" dxfId="2806" priority="2320" operator="greaterThan">
      <formula>0</formula>
    </cfRule>
  </conditionalFormatting>
  <conditionalFormatting sqref="AQ32:AR32">
    <cfRule type="expression" dxfId="2805" priority="2319">
      <formula>OR(ISBLANK(AB32),AB32="Title",AB32="&gt;",AB32="Enter Title",AB32="&gt; Enter Title")</formula>
    </cfRule>
  </conditionalFormatting>
  <conditionalFormatting sqref="AS32:AT32">
    <cfRule type="expression" dxfId="2804" priority="2318">
      <formula>OR(ISBLANK(AB32),AB32="Title",AB32="&gt;",AB32="Enter Title",AB32="&gt; Enter Title")</formula>
    </cfRule>
  </conditionalFormatting>
  <conditionalFormatting sqref="AU32">
    <cfRule type="expression" dxfId="2803" priority="2317">
      <formula>OR(ISBLANK(AB32),AB32="Title",AB32="&gt;",AB32="Enter Title",AB32="&gt; Enter Title")</formula>
    </cfRule>
  </conditionalFormatting>
  <conditionalFormatting sqref="AV32:AW32">
    <cfRule type="expression" dxfId="2802" priority="2316">
      <formula>OR(ISBLANK(AB32),AB32="Title",AB32="&gt;",AB32="Enter Title",AB32="&gt; Enter Title")</formula>
    </cfRule>
  </conditionalFormatting>
  <conditionalFormatting sqref="AQ31">
    <cfRule type="expression" dxfId="2801" priority="2314">
      <formula>AQ30&gt;=10%</formula>
    </cfRule>
  </conditionalFormatting>
  <conditionalFormatting sqref="AR31">
    <cfRule type="expression" dxfId="2800" priority="2313">
      <formula>AQ30&gt;=20%</formula>
    </cfRule>
  </conditionalFormatting>
  <conditionalFormatting sqref="AS31">
    <cfRule type="expression" dxfId="2799" priority="2312">
      <formula>AQ30&gt;=30%</formula>
    </cfRule>
  </conditionalFormatting>
  <conditionalFormatting sqref="AT31">
    <cfRule type="expression" dxfId="2798" priority="2311">
      <formula>AQ30&gt;=40%</formula>
    </cfRule>
  </conditionalFormatting>
  <conditionalFormatting sqref="AU31">
    <cfRule type="expression" dxfId="2797" priority="2310">
      <formula>AQ30&gt;=50%</formula>
    </cfRule>
  </conditionalFormatting>
  <conditionalFormatting sqref="AV31">
    <cfRule type="expression" dxfId="2796" priority="2309">
      <formula>AQ30&gt;=60%</formula>
    </cfRule>
  </conditionalFormatting>
  <conditionalFormatting sqref="AW31">
    <cfRule type="expression" dxfId="2795" priority="2308">
      <formula>AQ30&gt;=70%</formula>
    </cfRule>
  </conditionalFormatting>
  <conditionalFormatting sqref="AX31">
    <cfRule type="expression" dxfId="2794" priority="2307">
      <formula>AQ30&gt;=80%</formula>
    </cfRule>
  </conditionalFormatting>
  <conditionalFormatting sqref="AY31">
    <cfRule type="expression" dxfId="2793" priority="2306">
      <formula>AQ30&gt;=90%</formula>
    </cfRule>
  </conditionalFormatting>
  <conditionalFormatting sqref="AZ31">
    <cfRule type="expression" dxfId="2792" priority="2305">
      <formula>AQ30&gt;=100%</formula>
    </cfRule>
  </conditionalFormatting>
  <conditionalFormatting sqref="AZ31">
    <cfRule type="expression" dxfId="2791" priority="2304">
      <formula>OR(ISBLANK(AB30),AB30="Title",AB30="&gt;",AB30="Enter Title",AB30="&gt; Enter Title")</formula>
    </cfRule>
  </conditionalFormatting>
  <conditionalFormatting sqref="AY31">
    <cfRule type="expression" dxfId="2790" priority="2303">
      <formula>OR(ISBLANK(AB30),AB30="Title",AB30="&gt;",AB30="Enter Title",AB30="&gt; Enter Title")</formula>
    </cfRule>
  </conditionalFormatting>
  <conditionalFormatting sqref="AX31">
    <cfRule type="expression" dxfId="2789" priority="2302">
      <formula>OR(ISBLANK(AB30),AB30="Title",AB30="&gt;",AB30="Enter Title",AB30="&gt; Enter Title")</formula>
    </cfRule>
  </conditionalFormatting>
  <conditionalFormatting sqref="AW31">
    <cfRule type="expression" dxfId="2788" priority="2301">
      <formula>OR(ISBLANK(AB30),AB30="Title",AB30="&gt;",AB30="Enter Title",AB30="&gt; Enter Title")</formula>
    </cfRule>
  </conditionalFormatting>
  <conditionalFormatting sqref="AV31">
    <cfRule type="expression" dxfId="2787" priority="2300">
      <formula>OR(ISBLANK(AB30),AB30="Title",AB30="&gt;",AB30="Enter Title",AB30="&gt; Enter Title")</formula>
    </cfRule>
  </conditionalFormatting>
  <conditionalFormatting sqref="AU31">
    <cfRule type="expression" dxfId="2786" priority="2299">
      <formula>OR(ISBLANK(AB30),AB30="Title",AB30="&gt;",AB30="Enter Title",AB30="&gt; Enter Title")</formula>
    </cfRule>
  </conditionalFormatting>
  <conditionalFormatting sqref="AT31">
    <cfRule type="expression" dxfId="2785" priority="2298">
      <formula>OR(ISBLANK(AB30),AB30="Title",AB30="&gt;",AB30="Enter Title",AB30="&gt; Enter Title")</formula>
    </cfRule>
  </conditionalFormatting>
  <conditionalFormatting sqref="AS31">
    <cfRule type="expression" dxfId="2784" priority="2297">
      <formula>OR(ISBLANK(AB30),AB30="Title",AB30="&gt;",AB30="Enter Title",AB30="&gt; Enter Title")</formula>
    </cfRule>
  </conditionalFormatting>
  <conditionalFormatting sqref="AR31">
    <cfRule type="expression" dxfId="2783" priority="2296">
      <formula>OR(ISBLANK(AB30),AB30="Title",AB30="&gt;",AB30="Enter Title",AB30="&gt; Enter Title")</formula>
    </cfRule>
  </conditionalFormatting>
  <conditionalFormatting sqref="AQ31">
    <cfRule type="expression" dxfId="2782" priority="2295">
      <formula>OR(ISBLANK(AB30),AB30="Title",AB30="&gt;",AB30="Enter Title",AB30="&gt; Enter Title")</formula>
    </cfRule>
  </conditionalFormatting>
  <conditionalFormatting sqref="AQ30">
    <cfRule type="cellIs" dxfId="2781" priority="2294" operator="greaterThan">
      <formula>0</formula>
    </cfRule>
  </conditionalFormatting>
  <conditionalFormatting sqref="AQ30:AR30">
    <cfRule type="expression" dxfId="2780" priority="2293">
      <formula>OR(ISBLANK(AB30),AB30="Title",AB30="&gt;",AB30="Enter Title",AB30="&gt; Enter Title")</formula>
    </cfRule>
  </conditionalFormatting>
  <conditionalFormatting sqref="AS30:AT30">
    <cfRule type="expression" dxfId="2779" priority="2292">
      <formula>OR(ISBLANK(AB30),AB30="Title",AB30="&gt;",AB30="Enter Title",AB30="&gt; Enter Title")</formula>
    </cfRule>
  </conditionalFormatting>
  <conditionalFormatting sqref="AU30">
    <cfRule type="expression" dxfId="2778" priority="2291">
      <formula>OR(ISBLANK(AB30),AB30="Title",AB30="&gt;",AB30="Enter Title",AB30="&gt; Enter Title")</formula>
    </cfRule>
  </conditionalFormatting>
  <conditionalFormatting sqref="AV30:AW30">
    <cfRule type="expression" dxfId="2777" priority="2290">
      <formula>OR(ISBLANK(AB30),AB30="Title",AB30="&gt;",AB30="Enter Title",AB30="&gt; Enter Title")</formula>
    </cfRule>
  </conditionalFormatting>
  <conditionalFormatting sqref="AQ29">
    <cfRule type="expression" dxfId="2776" priority="2288">
      <formula>AQ28&gt;=10%</formula>
    </cfRule>
  </conditionalFormatting>
  <conditionalFormatting sqref="AR29">
    <cfRule type="expression" dxfId="2775" priority="2287">
      <formula>AQ28&gt;=20%</formula>
    </cfRule>
  </conditionalFormatting>
  <conditionalFormatting sqref="AS29">
    <cfRule type="expression" dxfId="2774" priority="2286">
      <formula>AQ28&gt;=30%</formula>
    </cfRule>
  </conditionalFormatting>
  <conditionalFormatting sqref="AT29">
    <cfRule type="expression" dxfId="2773" priority="2285">
      <formula>AQ28&gt;=40%</formula>
    </cfRule>
  </conditionalFormatting>
  <conditionalFormatting sqref="AU29">
    <cfRule type="expression" dxfId="2772" priority="2284">
      <formula>AQ28&gt;=50%</formula>
    </cfRule>
  </conditionalFormatting>
  <conditionalFormatting sqref="AV29">
    <cfRule type="expression" dxfId="2771" priority="2283">
      <formula>AQ28&gt;=60%</formula>
    </cfRule>
  </conditionalFormatting>
  <conditionalFormatting sqref="AW29">
    <cfRule type="expression" dxfId="2770" priority="2282">
      <formula>AQ28&gt;=70%</formula>
    </cfRule>
  </conditionalFormatting>
  <conditionalFormatting sqref="AX29">
    <cfRule type="expression" dxfId="2769" priority="2281">
      <formula>AQ28&gt;=80%</formula>
    </cfRule>
  </conditionalFormatting>
  <conditionalFormatting sqref="AY29">
    <cfRule type="expression" dxfId="2768" priority="2280">
      <formula>AQ28&gt;=90%</formula>
    </cfRule>
  </conditionalFormatting>
  <conditionalFormatting sqref="AZ29">
    <cfRule type="expression" dxfId="2767" priority="2279">
      <formula>AQ28&gt;=100%</formula>
    </cfRule>
  </conditionalFormatting>
  <conditionalFormatting sqref="AZ29">
    <cfRule type="expression" dxfId="2766" priority="2278">
      <formula>OR(ISBLANK(AB28),AB28="Title",AB28="&gt;",AB28="Enter Title",AB28="&gt; Enter Title")</formula>
    </cfRule>
  </conditionalFormatting>
  <conditionalFormatting sqref="AY29">
    <cfRule type="expression" dxfId="2765" priority="2277">
      <formula>OR(ISBLANK(AB28),AB28="Title",AB28="&gt;",AB28="Enter Title",AB28="&gt; Enter Title")</formula>
    </cfRule>
  </conditionalFormatting>
  <conditionalFormatting sqref="AX29">
    <cfRule type="expression" dxfId="2764" priority="2276">
      <formula>OR(ISBLANK(AB28),AB28="Title",AB28="&gt;",AB28="Enter Title",AB28="&gt; Enter Title")</formula>
    </cfRule>
  </conditionalFormatting>
  <conditionalFormatting sqref="AW29">
    <cfRule type="expression" dxfId="2763" priority="2275">
      <formula>OR(ISBLANK(AB28),AB28="Title",AB28="&gt;",AB28="Enter Title",AB28="&gt; Enter Title")</formula>
    </cfRule>
  </conditionalFormatting>
  <conditionalFormatting sqref="AV29">
    <cfRule type="expression" dxfId="2762" priority="2274">
      <formula>OR(ISBLANK(AB28),AB28="Title",AB28="&gt;",AB28="Enter Title",AB28="&gt; Enter Title")</formula>
    </cfRule>
  </conditionalFormatting>
  <conditionalFormatting sqref="AU29">
    <cfRule type="expression" dxfId="2761" priority="2273">
      <formula>OR(ISBLANK(AB28),AB28="Title",AB28="&gt;",AB28="Enter Title",AB28="&gt; Enter Title")</formula>
    </cfRule>
  </conditionalFormatting>
  <conditionalFormatting sqref="AT29">
    <cfRule type="expression" dxfId="2760" priority="2272">
      <formula>OR(ISBLANK(AB28),AB28="Title",AB28="&gt;",AB28="Enter Title",AB28="&gt; Enter Title")</formula>
    </cfRule>
  </conditionalFormatting>
  <conditionalFormatting sqref="AS29">
    <cfRule type="expression" dxfId="2759" priority="2271">
      <formula>OR(ISBLANK(AB28),AB28="Title",AB28="&gt;",AB28="Enter Title",AB28="&gt; Enter Title")</formula>
    </cfRule>
  </conditionalFormatting>
  <conditionalFormatting sqref="AR29">
    <cfRule type="expression" dxfId="2758" priority="2270">
      <formula>OR(ISBLANK(AB28),AB28="Title",AB28="&gt;",AB28="Enter Title",AB28="&gt; Enter Title")</formula>
    </cfRule>
  </conditionalFormatting>
  <conditionalFormatting sqref="AQ29">
    <cfRule type="expression" dxfId="2757" priority="2269">
      <formula>OR(ISBLANK(AB28),AB28="Title",AB28="&gt;",AB28="Enter Title",AB28="&gt; Enter Title")</formula>
    </cfRule>
  </conditionalFormatting>
  <conditionalFormatting sqref="AQ28">
    <cfRule type="cellIs" dxfId="2756" priority="2268" operator="greaterThan">
      <formula>0</formula>
    </cfRule>
  </conditionalFormatting>
  <conditionalFormatting sqref="AQ28:AR28">
    <cfRule type="expression" dxfId="2755" priority="2267">
      <formula>OR(ISBLANK(AB28),AB28="Title",AB28="&gt;",AB28="Enter Title",AB28="&gt; Enter Title")</formula>
    </cfRule>
  </conditionalFormatting>
  <conditionalFormatting sqref="AS28:AT28">
    <cfRule type="expression" dxfId="2754" priority="2266">
      <formula>OR(ISBLANK(AB28),AB28="Title",AB28="&gt;",AB28="Enter Title",AB28="&gt; Enter Title")</formula>
    </cfRule>
  </conditionalFormatting>
  <conditionalFormatting sqref="AU28">
    <cfRule type="expression" dxfId="2753" priority="2265">
      <formula>OR(ISBLANK(AB28),AB28="Title",AB28="&gt;",AB28="Enter Title",AB28="&gt; Enter Title")</formula>
    </cfRule>
  </conditionalFormatting>
  <conditionalFormatting sqref="AV28:AW28">
    <cfRule type="expression" dxfId="2752" priority="2264">
      <formula>OR(ISBLANK(AB28),AB28="Title",AB28="&gt;",AB28="Enter Title",AB28="&gt; Enter Title")</formula>
    </cfRule>
  </conditionalFormatting>
  <conditionalFormatting sqref="AB48 AB50 AB52 AB54 AB46 AB44 AB34 AB32 AB30 AB28">
    <cfRule type="expression" dxfId="2751" priority="2262">
      <formula>AS28=0</formula>
    </cfRule>
  </conditionalFormatting>
  <conditionalFormatting sqref="AM29">
    <cfRule type="expression" dxfId="2750" priority="2259">
      <formula>AS28=0</formula>
    </cfRule>
  </conditionalFormatting>
  <conditionalFormatting sqref="AJ29:AL29">
    <cfRule type="expression" dxfId="2749" priority="2258">
      <formula>AS28=0</formula>
    </cfRule>
  </conditionalFormatting>
  <conditionalFormatting sqref="AB29:AI29">
    <cfRule type="expression" dxfId="2748" priority="2257">
      <formula>AS28=0</formula>
    </cfRule>
  </conditionalFormatting>
  <conditionalFormatting sqref="AJ45:AL45 AJ31:AL31">
    <cfRule type="expression" dxfId="2747" priority="2162">
      <formula>AS30=0</formula>
    </cfRule>
  </conditionalFormatting>
  <conditionalFormatting sqref="AB45:AI45 AB31:AI31">
    <cfRule type="expression" dxfId="2746" priority="2161">
      <formula>AS30=0</formula>
    </cfRule>
  </conditionalFormatting>
  <conditionalFormatting sqref="AJ49:AL49 AJ51:AL51">
    <cfRule type="expression" dxfId="2745" priority="2150">
      <formula>AS48=0</formula>
    </cfRule>
  </conditionalFormatting>
  <conditionalFormatting sqref="AB49:AI49 AB51:AI51">
    <cfRule type="expression" dxfId="2744" priority="2149">
      <formula>AS48=0</formula>
    </cfRule>
  </conditionalFormatting>
  <conditionalFormatting sqref="AQ47">
    <cfRule type="expression" dxfId="2743" priority="2114">
      <formula>AQ46&gt;=10%</formula>
    </cfRule>
  </conditionalFormatting>
  <conditionalFormatting sqref="AR47">
    <cfRule type="expression" dxfId="2742" priority="2113">
      <formula>AQ46&gt;=20%</formula>
    </cfRule>
  </conditionalFormatting>
  <conditionalFormatting sqref="AS47">
    <cfRule type="expression" dxfId="2741" priority="2112">
      <formula>AQ46&gt;=30%</formula>
    </cfRule>
  </conditionalFormatting>
  <conditionalFormatting sqref="AT47">
    <cfRule type="expression" dxfId="2740" priority="2111">
      <formula>AQ46&gt;=40%</formula>
    </cfRule>
  </conditionalFormatting>
  <conditionalFormatting sqref="AU47">
    <cfRule type="expression" dxfId="2739" priority="2110">
      <formula>AQ46&gt;=50%</formula>
    </cfRule>
  </conditionalFormatting>
  <conditionalFormatting sqref="AV47">
    <cfRule type="expression" dxfId="2738" priority="2109">
      <formula>AQ46&gt;=60%</formula>
    </cfRule>
  </conditionalFormatting>
  <conditionalFormatting sqref="AW47">
    <cfRule type="expression" dxfId="2737" priority="2108">
      <formula>AQ46&gt;=70%</formula>
    </cfRule>
  </conditionalFormatting>
  <conditionalFormatting sqref="AX47">
    <cfRule type="expression" dxfId="2736" priority="2107">
      <formula>AQ46&gt;=80%</formula>
    </cfRule>
  </conditionalFormatting>
  <conditionalFormatting sqref="AY47">
    <cfRule type="expression" dxfId="2735" priority="2106">
      <formula>AQ46&gt;=90%</formula>
    </cfRule>
  </conditionalFormatting>
  <conditionalFormatting sqref="AZ47">
    <cfRule type="expression" dxfId="2734" priority="2105">
      <formula>AQ46&gt;=100%</formula>
    </cfRule>
  </conditionalFormatting>
  <conditionalFormatting sqref="AZ47">
    <cfRule type="expression" dxfId="2733" priority="2104">
      <formula>OR(ISBLANK(AB46),AB46="Title",AB46="&gt;",AB46="Enter Title",AB46="&gt; Enter Title")</formula>
    </cfRule>
  </conditionalFormatting>
  <conditionalFormatting sqref="AY47">
    <cfRule type="expression" dxfId="2732" priority="2103">
      <formula>OR(ISBLANK(AB46),AB46="Title",AB46="&gt;",AB46="Enter Title",AB46="&gt; Enter Title")</formula>
    </cfRule>
  </conditionalFormatting>
  <conditionalFormatting sqref="AX47">
    <cfRule type="expression" dxfId="2731" priority="2102">
      <formula>OR(ISBLANK(AB46),AB46="Title",AB46="&gt;",AB46="Enter Title",AB46="&gt; Enter Title")</formula>
    </cfRule>
  </conditionalFormatting>
  <conditionalFormatting sqref="AW47">
    <cfRule type="expression" dxfId="2730" priority="2101">
      <formula>OR(ISBLANK(AB46),AB46="Title",AB46="&gt;",AB46="Enter Title",AB46="&gt; Enter Title")</formula>
    </cfRule>
  </conditionalFormatting>
  <conditionalFormatting sqref="AV47">
    <cfRule type="expression" dxfId="2729" priority="2100">
      <formula>OR(ISBLANK(AB46),AB46="Title",AB46="&gt;",AB46="Enter Title",AB46="&gt; Enter Title")</formula>
    </cfRule>
  </conditionalFormatting>
  <conditionalFormatting sqref="AU47">
    <cfRule type="expression" dxfId="2728" priority="2099">
      <formula>OR(ISBLANK(AB46),AB46="Title",AB46="&gt;",AB46="Enter Title",AB46="&gt; Enter Title")</formula>
    </cfRule>
  </conditionalFormatting>
  <conditionalFormatting sqref="AT47">
    <cfRule type="expression" dxfId="2727" priority="2098">
      <formula>OR(ISBLANK(AB46),AB46="Title",AB46="&gt;",AB46="Enter Title",AB46="&gt; Enter Title")</formula>
    </cfRule>
  </conditionalFormatting>
  <conditionalFormatting sqref="AS47">
    <cfRule type="expression" dxfId="2726" priority="2097">
      <formula>OR(ISBLANK(AB46),AB46="Title",AB46="&gt;",AB46="Enter Title",AB46="&gt; Enter Title")</formula>
    </cfRule>
  </conditionalFormatting>
  <conditionalFormatting sqref="AR47">
    <cfRule type="expression" dxfId="2725" priority="2096">
      <formula>OR(ISBLANK(AB46),AB46="Title",AB46="&gt;",AB46="Enter Title",AB46="&gt; Enter Title")</formula>
    </cfRule>
  </conditionalFormatting>
  <conditionalFormatting sqref="AQ47">
    <cfRule type="expression" dxfId="2724" priority="2095">
      <formula>OR(ISBLANK(AB46),AB46="Title",AB46="&gt;",AB46="Enter Title",AB46="&gt; Enter Title")</formula>
    </cfRule>
  </conditionalFormatting>
  <conditionalFormatting sqref="AQ46">
    <cfRule type="cellIs" dxfId="2723" priority="2094" operator="greaterThan">
      <formula>0</formula>
    </cfRule>
  </conditionalFormatting>
  <conditionalFormatting sqref="AQ46:AR46">
    <cfRule type="expression" dxfId="2722" priority="2093">
      <formula>OR(ISBLANK(AB46),AB46="Title",AB46="&gt;",AB46="Enter Title",AB46="&gt; Enter Title")</formula>
    </cfRule>
  </conditionalFormatting>
  <conditionalFormatting sqref="AS46:AT46">
    <cfRule type="expression" dxfId="2721" priority="2092">
      <formula>OR(ISBLANK(AB46),AB46="Title",AB46="&gt;",AB46="Enter Title",AB46="&gt; Enter Title")</formula>
    </cfRule>
  </conditionalFormatting>
  <conditionalFormatting sqref="AU46">
    <cfRule type="expression" dxfId="2720" priority="2091">
      <formula>OR(ISBLANK(AB46),AB46="Title",AB46="&gt;",AB46="Enter Title",AB46="&gt; Enter Title")</formula>
    </cfRule>
  </conditionalFormatting>
  <conditionalFormatting sqref="AV46:AW46">
    <cfRule type="expression" dxfId="2719" priority="2090">
      <formula>OR(ISBLANK(AB46),AB46="Title",AB46="&gt;",AB46="Enter Title",AB46="&gt; Enter Title")</formula>
    </cfRule>
  </conditionalFormatting>
  <conditionalFormatting sqref="AJ47:AL47">
    <cfRule type="expression" dxfId="2718" priority="2082">
      <formula>AS46=0</formula>
    </cfRule>
  </conditionalFormatting>
  <conditionalFormatting sqref="AB47:AI47">
    <cfRule type="expression" dxfId="2717" priority="2081">
      <formula>AS46=0</formula>
    </cfRule>
  </conditionalFormatting>
  <conditionalFormatting sqref="AQ53">
    <cfRule type="expression" dxfId="2716" priority="2069">
      <formula>AQ52&gt;=10%</formula>
    </cfRule>
  </conditionalFormatting>
  <conditionalFormatting sqref="AR53">
    <cfRule type="expression" dxfId="2715" priority="2068">
      <formula>AQ52&gt;=20%</formula>
    </cfRule>
  </conditionalFormatting>
  <conditionalFormatting sqref="AS53">
    <cfRule type="expression" dxfId="2714" priority="2067">
      <formula>AQ52&gt;=30%</formula>
    </cfRule>
  </conditionalFormatting>
  <conditionalFormatting sqref="AT53">
    <cfRule type="expression" dxfId="2713" priority="2066">
      <formula>AQ52&gt;=40%</formula>
    </cfRule>
  </conditionalFormatting>
  <conditionalFormatting sqref="AU53">
    <cfRule type="expression" dxfId="2712" priority="2065">
      <formula>AQ52&gt;=50%</formula>
    </cfRule>
  </conditionalFormatting>
  <conditionalFormatting sqref="AV53">
    <cfRule type="expression" dxfId="2711" priority="2064">
      <formula>AQ52&gt;=60%</formula>
    </cfRule>
  </conditionalFormatting>
  <conditionalFormatting sqref="AW53">
    <cfRule type="expression" dxfId="2710" priority="2063">
      <formula>AQ52&gt;=70%</formula>
    </cfRule>
  </conditionalFormatting>
  <conditionalFormatting sqref="AX53">
    <cfRule type="expression" dxfId="2709" priority="2062">
      <formula>AQ52&gt;=80%</formula>
    </cfRule>
  </conditionalFormatting>
  <conditionalFormatting sqref="AY53">
    <cfRule type="expression" dxfId="2708" priority="2061">
      <formula>AQ52&gt;=90%</formula>
    </cfRule>
  </conditionalFormatting>
  <conditionalFormatting sqref="AZ53">
    <cfRule type="expression" dxfId="2707" priority="2060">
      <formula>AQ52&gt;=100%</formula>
    </cfRule>
  </conditionalFormatting>
  <conditionalFormatting sqref="AZ53">
    <cfRule type="expression" dxfId="2706" priority="2059">
      <formula>OR(ISBLANK(AB52),AB52="Title",AB52="&gt;",AB52="Enter Title",AB52="&gt; Enter Title")</formula>
    </cfRule>
  </conditionalFormatting>
  <conditionalFormatting sqref="AY53">
    <cfRule type="expression" dxfId="2705" priority="2058">
      <formula>OR(ISBLANK(AB52),AB52="Title",AB52="&gt;",AB52="Enter Title",AB52="&gt; Enter Title")</formula>
    </cfRule>
  </conditionalFormatting>
  <conditionalFormatting sqref="AX53">
    <cfRule type="expression" dxfId="2704" priority="2057">
      <formula>OR(ISBLANK(AB52),AB52="Title",AB52="&gt;",AB52="Enter Title",AB52="&gt; Enter Title")</formula>
    </cfRule>
  </conditionalFormatting>
  <conditionalFormatting sqref="AW53">
    <cfRule type="expression" dxfId="2703" priority="2056">
      <formula>OR(ISBLANK(AB52),AB52="Title",AB52="&gt;",AB52="Enter Title",AB52="&gt; Enter Title")</formula>
    </cfRule>
  </conditionalFormatting>
  <conditionalFormatting sqref="AV53">
    <cfRule type="expression" dxfId="2702" priority="2055">
      <formula>OR(ISBLANK(AB52),AB52="Title",AB52="&gt;",AB52="Enter Title",AB52="&gt; Enter Title")</formula>
    </cfRule>
  </conditionalFormatting>
  <conditionalFormatting sqref="AU53">
    <cfRule type="expression" dxfId="2701" priority="2054">
      <formula>OR(ISBLANK(AB52),AB52="Title",AB52="&gt;",AB52="Enter Title",AB52="&gt; Enter Title")</formula>
    </cfRule>
  </conditionalFormatting>
  <conditionalFormatting sqref="AT53">
    <cfRule type="expression" dxfId="2700" priority="2053">
      <formula>OR(ISBLANK(AB52),AB52="Title",AB52="&gt;",AB52="Enter Title",AB52="&gt; Enter Title")</formula>
    </cfRule>
  </conditionalFormatting>
  <conditionalFormatting sqref="AS53">
    <cfRule type="expression" dxfId="2699" priority="2052">
      <formula>OR(ISBLANK(AB52),AB52="Title",AB52="&gt;",AB52="Enter Title",AB52="&gt; Enter Title")</formula>
    </cfRule>
  </conditionalFormatting>
  <conditionalFormatting sqref="AR53">
    <cfRule type="expression" dxfId="2698" priority="2051">
      <formula>OR(ISBLANK(AB52),AB52="Title",AB52="&gt;",AB52="Enter Title",AB52="&gt; Enter Title")</formula>
    </cfRule>
  </conditionalFormatting>
  <conditionalFormatting sqref="AQ53">
    <cfRule type="expression" dxfId="2697" priority="2050">
      <formula>OR(ISBLANK(AB52),AB52="Title",AB52="&gt;",AB52="Enter Title",AB52="&gt; Enter Title")</formula>
    </cfRule>
  </conditionalFormatting>
  <conditionalFormatting sqref="AQ52">
    <cfRule type="cellIs" dxfId="2696" priority="2049" operator="greaterThan">
      <formula>0</formula>
    </cfRule>
  </conditionalFormatting>
  <conditionalFormatting sqref="AQ52:AR52">
    <cfRule type="expression" dxfId="2695" priority="2048">
      <formula>OR(ISBLANK(AB52),AB52="Title",AB52="&gt;",AB52="Enter Title",AB52="&gt; Enter Title")</formula>
    </cfRule>
  </conditionalFormatting>
  <conditionalFormatting sqref="AS52:AT52">
    <cfRule type="expression" dxfId="2694" priority="2047">
      <formula>OR(ISBLANK(AB52),AB52="Title",AB52="&gt;",AB52="Enter Title",AB52="&gt; Enter Title")</formula>
    </cfRule>
  </conditionalFormatting>
  <conditionalFormatting sqref="AU52">
    <cfRule type="expression" dxfId="2693" priority="2046">
      <formula>OR(ISBLANK(AB52),AB52="Title",AB52="&gt;",AB52="Enter Title",AB52="&gt; Enter Title")</formula>
    </cfRule>
  </conditionalFormatting>
  <conditionalFormatting sqref="AV52:AW52">
    <cfRule type="expression" dxfId="2692" priority="2045">
      <formula>OR(ISBLANK(AB52),AB52="Title",AB52="&gt;",AB52="Enter Title",AB52="&gt; Enter Title")</formula>
    </cfRule>
  </conditionalFormatting>
  <conditionalFormatting sqref="AJ53:AL53">
    <cfRule type="expression" dxfId="2691" priority="2040">
      <formula>AS52=0</formula>
    </cfRule>
  </conditionalFormatting>
  <conditionalFormatting sqref="AB53:AI53">
    <cfRule type="expression" dxfId="2690" priority="2039">
      <formula>AS52=0</formula>
    </cfRule>
  </conditionalFormatting>
  <conditionalFormatting sqref="AQ55">
    <cfRule type="expression" dxfId="2689" priority="1866">
      <formula>AQ54&gt;=10%</formula>
    </cfRule>
  </conditionalFormatting>
  <conditionalFormatting sqref="AR55">
    <cfRule type="expression" dxfId="2688" priority="1865">
      <formula>AQ54&gt;=20%</formula>
    </cfRule>
  </conditionalFormatting>
  <conditionalFormatting sqref="AS55">
    <cfRule type="expression" dxfId="2687" priority="1864">
      <formula>AQ54&gt;=30%</formula>
    </cfRule>
  </conditionalFormatting>
  <conditionalFormatting sqref="AT55">
    <cfRule type="expression" dxfId="2686" priority="1863">
      <formula>AQ54&gt;=40%</formula>
    </cfRule>
  </conditionalFormatting>
  <conditionalFormatting sqref="AU55">
    <cfRule type="expression" dxfId="2685" priority="1862">
      <formula>AQ54&gt;=50%</formula>
    </cfRule>
  </conditionalFormatting>
  <conditionalFormatting sqref="AV55">
    <cfRule type="expression" dxfId="2684" priority="1861">
      <formula>AQ54&gt;=60%</formula>
    </cfRule>
  </conditionalFormatting>
  <conditionalFormatting sqref="AW55">
    <cfRule type="expression" dxfId="2683" priority="1860">
      <formula>AQ54&gt;=70%</formula>
    </cfRule>
  </conditionalFormatting>
  <conditionalFormatting sqref="AX55">
    <cfRule type="expression" dxfId="2682" priority="1859">
      <formula>AQ54&gt;=80%</formula>
    </cfRule>
  </conditionalFormatting>
  <conditionalFormatting sqref="AY55">
    <cfRule type="expression" dxfId="2681" priority="1858">
      <formula>AQ54&gt;=90%</formula>
    </cfRule>
  </conditionalFormatting>
  <conditionalFormatting sqref="AZ55">
    <cfRule type="expression" dxfId="2680" priority="1857">
      <formula>AQ54&gt;=100%</formula>
    </cfRule>
  </conditionalFormatting>
  <conditionalFormatting sqref="AZ55">
    <cfRule type="expression" dxfId="2679" priority="1856">
      <formula>OR(ISBLANK(AB54),AB54="Title",AB54="&gt;",AB54="Enter Title",AB54="&gt; Enter Title")</formula>
    </cfRule>
  </conditionalFormatting>
  <conditionalFormatting sqref="AY55">
    <cfRule type="expression" dxfId="2678" priority="1855">
      <formula>OR(ISBLANK(AB54),AB54="Title",AB54="&gt;",AB54="Enter Title",AB54="&gt; Enter Title")</formula>
    </cfRule>
  </conditionalFormatting>
  <conditionalFormatting sqref="AX55">
    <cfRule type="expression" dxfId="2677" priority="1854">
      <formula>OR(ISBLANK(AB54),AB54="Title",AB54="&gt;",AB54="Enter Title",AB54="&gt; Enter Title")</formula>
    </cfRule>
  </conditionalFormatting>
  <conditionalFormatting sqref="AW55">
    <cfRule type="expression" dxfId="2676" priority="1853">
      <formula>OR(ISBLANK(AB54),AB54="Title",AB54="&gt;",AB54="Enter Title",AB54="&gt; Enter Title")</formula>
    </cfRule>
  </conditionalFormatting>
  <conditionalFormatting sqref="AV55">
    <cfRule type="expression" dxfId="2675" priority="1852">
      <formula>OR(ISBLANK(AB54),AB54="Title",AB54="&gt;",AB54="Enter Title",AB54="&gt; Enter Title")</formula>
    </cfRule>
  </conditionalFormatting>
  <conditionalFormatting sqref="AU55">
    <cfRule type="expression" dxfId="2674" priority="1851">
      <formula>OR(ISBLANK(AB54),AB54="Title",AB54="&gt;",AB54="Enter Title",AB54="&gt; Enter Title")</formula>
    </cfRule>
  </conditionalFormatting>
  <conditionalFormatting sqref="AT55">
    <cfRule type="expression" dxfId="2673" priority="1850">
      <formula>OR(ISBLANK(AB54),AB54="Title",AB54="&gt;",AB54="Enter Title",AB54="&gt; Enter Title")</formula>
    </cfRule>
  </conditionalFormatting>
  <conditionalFormatting sqref="AS55">
    <cfRule type="expression" dxfId="2672" priority="1849">
      <formula>OR(ISBLANK(AB54),AB54="Title",AB54="&gt;",AB54="Enter Title",AB54="&gt; Enter Title")</formula>
    </cfRule>
  </conditionalFormatting>
  <conditionalFormatting sqref="AR55">
    <cfRule type="expression" dxfId="2671" priority="1848">
      <formula>OR(ISBLANK(AB54),AB54="Title",AB54="&gt;",AB54="Enter Title",AB54="&gt; Enter Title")</formula>
    </cfRule>
  </conditionalFormatting>
  <conditionalFormatting sqref="AQ55">
    <cfRule type="expression" dxfId="2670" priority="1847">
      <formula>OR(ISBLANK(AB54),AB54="Title",AB54="&gt;",AB54="Enter Title",AB54="&gt; Enter Title")</formula>
    </cfRule>
  </conditionalFormatting>
  <conditionalFormatting sqref="AQ54">
    <cfRule type="cellIs" dxfId="2669" priority="1846" operator="greaterThan">
      <formula>0</formula>
    </cfRule>
  </conditionalFormatting>
  <conditionalFormatting sqref="AQ54:AR54">
    <cfRule type="expression" dxfId="2668" priority="1845">
      <formula>OR(ISBLANK(AB54),AB54="Title",AB54="&gt;",AB54="Enter Title",AB54="&gt; Enter Title")</formula>
    </cfRule>
  </conditionalFormatting>
  <conditionalFormatting sqref="AS54:AT54">
    <cfRule type="expression" dxfId="2667" priority="1844">
      <formula>OR(ISBLANK(AB54),AB54="Title",AB54="&gt;",AB54="Enter Title",AB54="&gt; Enter Title")</formula>
    </cfRule>
  </conditionalFormatting>
  <conditionalFormatting sqref="AU54">
    <cfRule type="expression" dxfId="2666" priority="1843">
      <formula>OR(ISBLANK(AB54),AB54="Title",AB54="&gt;",AB54="Enter Title",AB54="&gt; Enter Title")</formula>
    </cfRule>
  </conditionalFormatting>
  <conditionalFormatting sqref="AV54:AW54">
    <cfRule type="expression" dxfId="2665" priority="1842">
      <formula>OR(ISBLANK(AB54),AB54="Title",AB54="&gt;",AB54="Enter Title",AB54="&gt; Enter Title")</formula>
    </cfRule>
  </conditionalFormatting>
  <conditionalFormatting sqref="AJ55:AL55">
    <cfRule type="expression" dxfId="2664" priority="1838">
      <formula>AS54=0</formula>
    </cfRule>
  </conditionalFormatting>
  <conditionalFormatting sqref="AB55:AI55">
    <cfRule type="expression" dxfId="2663" priority="1837">
      <formula>AS54=0</formula>
    </cfRule>
  </conditionalFormatting>
  <conditionalFormatting sqref="AU34">
    <cfRule type="expression" dxfId="2662" priority="1811">
      <formula>OR(ISBLANK(AB34),AB34="Title",AB34="&gt;",AB34="Enter Title",AB34="&gt; Enter Title")</formula>
    </cfRule>
  </conditionalFormatting>
  <conditionalFormatting sqref="BT23:BU24">
    <cfRule type="expression" dxfId="2661" priority="1283">
      <formula>ISBLANK(BO27)</formula>
    </cfRule>
  </conditionalFormatting>
  <conditionalFormatting sqref="BO23:BP24">
    <cfRule type="expression" dxfId="2660" priority="1282">
      <formula>ISBLANK(BO27)</formula>
    </cfRule>
  </conditionalFormatting>
  <conditionalFormatting sqref="BO25:BU26 BO126:BT127 BU126">
    <cfRule type="expression" dxfId="2659" priority="1281">
      <formula>ISBLANK(BO27)</formula>
    </cfRule>
  </conditionalFormatting>
  <conditionalFormatting sqref="BQ23:BS24">
    <cfRule type="expression" dxfId="2658" priority="1279">
      <formula>AND(ISBLANK(BO25),ISBLANK(BO27))</formula>
    </cfRule>
    <cfRule type="expression" dxfId="2657" priority="1280">
      <formula>ISBLANK(BO27)</formula>
    </cfRule>
  </conditionalFormatting>
  <conditionalFormatting sqref="AJ33:AL33">
    <cfRule type="expression" dxfId="2656" priority="1225">
      <formula>AS32=0</formula>
    </cfRule>
  </conditionalFormatting>
  <conditionalFormatting sqref="AB33:AI33">
    <cfRule type="expression" dxfId="2655" priority="1224">
      <formula>AS32=0</formula>
    </cfRule>
  </conditionalFormatting>
  <conditionalFormatting sqref="AJ35:AL35">
    <cfRule type="expression" dxfId="2654" priority="1220">
      <formula>AS34=0</formula>
    </cfRule>
  </conditionalFormatting>
  <conditionalFormatting sqref="AB35:AI35">
    <cfRule type="expression" dxfId="2653" priority="1219">
      <formula>AS34=0</formula>
    </cfRule>
  </conditionalFormatting>
  <conditionalFormatting sqref="AS34:AT34">
    <cfRule type="expression" dxfId="2652" priority="1218">
      <formula>OR(ISBLANK(AB34),AB34="Title",AB34="&gt;",AB34="Enter Title",AB34="&gt; Enter Title")</formula>
    </cfRule>
  </conditionalFormatting>
  <conditionalFormatting sqref="AV34:AW34">
    <cfRule type="expression" dxfId="2651" priority="1217">
      <formula>OR(ISBLANK(AB34),AB34="Title",AB34="&gt;",AB34="Enter Title",AB34="&gt; Enter Title")</formula>
    </cfRule>
  </conditionalFormatting>
  <conditionalFormatting sqref="AO29:AP29">
    <cfRule type="expression" dxfId="2650" priority="1091">
      <formula>AS28=0</formula>
    </cfRule>
  </conditionalFormatting>
  <conditionalFormatting sqref="AM31">
    <cfRule type="expression" dxfId="2649" priority="1090">
      <formula>AS30=0</formula>
    </cfRule>
  </conditionalFormatting>
  <conditionalFormatting sqref="AO31:AP31">
    <cfRule type="expression" dxfId="2648" priority="1089">
      <formula>AS30=0</formula>
    </cfRule>
  </conditionalFormatting>
  <conditionalFormatting sqref="AM33">
    <cfRule type="expression" dxfId="2647" priority="1088">
      <formula>AS32=0</formula>
    </cfRule>
  </conditionalFormatting>
  <conditionalFormatting sqref="AO33:AP33">
    <cfRule type="expression" dxfId="2646" priority="1087">
      <formula>AS32=0</formula>
    </cfRule>
  </conditionalFormatting>
  <conditionalFormatting sqref="AM35">
    <cfRule type="expression" dxfId="2645" priority="1086">
      <formula>AS34=0</formula>
    </cfRule>
  </conditionalFormatting>
  <conditionalFormatting sqref="AO35:AP35">
    <cfRule type="expression" dxfId="2644" priority="1085">
      <formula>AS34=0</formula>
    </cfRule>
  </conditionalFormatting>
  <conditionalFormatting sqref="AM45">
    <cfRule type="expression" dxfId="2643" priority="1084">
      <formula>AS44=0</formula>
    </cfRule>
  </conditionalFormatting>
  <conditionalFormatting sqref="AO45:AP45">
    <cfRule type="expression" dxfId="2642" priority="1083">
      <formula>AS44=0</formula>
    </cfRule>
  </conditionalFormatting>
  <conditionalFormatting sqref="AM47">
    <cfRule type="expression" dxfId="2641" priority="1082">
      <formula>AS46=0</formula>
    </cfRule>
  </conditionalFormatting>
  <conditionalFormatting sqref="AO47:AP47">
    <cfRule type="expression" dxfId="2640" priority="1081">
      <formula>AS46=0</formula>
    </cfRule>
  </conditionalFormatting>
  <conditionalFormatting sqref="AM49">
    <cfRule type="expression" dxfId="2639" priority="1080">
      <formula>AS48=0</formula>
    </cfRule>
  </conditionalFormatting>
  <conditionalFormatting sqref="AO49:AP49">
    <cfRule type="expression" dxfId="2638" priority="1079">
      <formula>AS48=0</formula>
    </cfRule>
  </conditionalFormatting>
  <conditionalFormatting sqref="AM51">
    <cfRule type="expression" dxfId="2637" priority="1078">
      <formula>AS50=0</formula>
    </cfRule>
  </conditionalFormatting>
  <conditionalFormatting sqref="AO51:AP51">
    <cfRule type="expression" dxfId="2636" priority="1077">
      <formula>AS50=0</formula>
    </cfRule>
  </conditionalFormatting>
  <conditionalFormatting sqref="AM53">
    <cfRule type="expression" dxfId="2635" priority="1076">
      <formula>AS52=0</formula>
    </cfRule>
  </conditionalFormatting>
  <conditionalFormatting sqref="AO53:AP53">
    <cfRule type="expression" dxfId="2634" priority="1075">
      <formula>AS52=0</formula>
    </cfRule>
  </conditionalFormatting>
  <conditionalFormatting sqref="AM55">
    <cfRule type="expression" dxfId="2633" priority="1074">
      <formula>AS54=0</formula>
    </cfRule>
  </conditionalFormatting>
  <conditionalFormatting sqref="AO55:AP55">
    <cfRule type="expression" dxfId="2632" priority="1073">
      <formula>AS54=0</formula>
    </cfRule>
  </conditionalFormatting>
  <conditionalFormatting sqref="AX48:AZ48">
    <cfRule type="expression" dxfId="2631" priority="1058">
      <formula>OR(ISBLANK(AB48),AB48="Title",AB48="&gt;",AB48="Enter Title",AB48="&gt; Enter Title")</formula>
    </cfRule>
  </conditionalFormatting>
  <conditionalFormatting sqref="BK11:BL12">
    <cfRule type="expression" dxfId="2630" priority="1054">
      <formula>ISBLANK(BF15)</formula>
    </cfRule>
  </conditionalFormatting>
  <conditionalFormatting sqref="BF11:BG12">
    <cfRule type="expression" dxfId="2629" priority="1053">
      <formula>ISBLANK(BF15)</formula>
    </cfRule>
  </conditionalFormatting>
  <conditionalFormatting sqref="BF13:BL14">
    <cfRule type="expression" dxfId="2628" priority="1052">
      <formula>ISBLANK(BF15)</formula>
    </cfRule>
  </conditionalFormatting>
  <conditionalFormatting sqref="BH11:BJ12">
    <cfRule type="expression" dxfId="2627" priority="1050">
      <formula>AND(ISBLANK(BF13),ISBLANK(BF15))</formula>
    </cfRule>
    <cfRule type="expression" dxfId="2626" priority="1051">
      <formula>ISBLANK(BF15)</formula>
    </cfRule>
  </conditionalFormatting>
  <conditionalFormatting sqref="BT11:BU12">
    <cfRule type="expression" dxfId="2625" priority="1049">
      <formula>ISBLANK(BO15)</formula>
    </cfRule>
  </conditionalFormatting>
  <conditionalFormatting sqref="BO11:BP12">
    <cfRule type="expression" dxfId="2624" priority="1048">
      <formula>ISBLANK(BO15)</formula>
    </cfRule>
  </conditionalFormatting>
  <conditionalFormatting sqref="BO13:BU14">
    <cfRule type="expression" dxfId="2623" priority="1047">
      <formula>ISBLANK(BO15)</formula>
    </cfRule>
  </conditionalFormatting>
  <conditionalFormatting sqref="BQ11:BS12">
    <cfRule type="expression" dxfId="2622" priority="1045">
      <formula>AND(ISBLANK(BO13),ISBLANK(BO15))</formula>
    </cfRule>
    <cfRule type="expression" dxfId="2621" priority="1046">
      <formula>ISBLANK(BO15)</formula>
    </cfRule>
  </conditionalFormatting>
  <conditionalFormatting sqref="BK17:BL18">
    <cfRule type="expression" dxfId="2620" priority="1044">
      <formula>ISBLANK(BF21)</formula>
    </cfRule>
  </conditionalFormatting>
  <conditionalFormatting sqref="BF17:BG18">
    <cfRule type="expression" dxfId="2619" priority="1043">
      <formula>ISBLANK(BF21)</formula>
    </cfRule>
  </conditionalFormatting>
  <conditionalFormatting sqref="BF19:BL20">
    <cfRule type="expression" dxfId="2618" priority="1042">
      <formula>ISBLANK(BF21)</formula>
    </cfRule>
  </conditionalFormatting>
  <conditionalFormatting sqref="BH17:BJ18">
    <cfRule type="expression" dxfId="2617" priority="1040">
      <formula>AND(ISBLANK(BF19),ISBLANK(BF21))</formula>
    </cfRule>
    <cfRule type="expression" dxfId="2616" priority="1041">
      <formula>ISBLANK(BF21)</formula>
    </cfRule>
  </conditionalFormatting>
  <conditionalFormatting sqref="BT17:BU18">
    <cfRule type="expression" dxfId="2615" priority="1039">
      <formula>ISBLANK(BO21)</formula>
    </cfRule>
  </conditionalFormatting>
  <conditionalFormatting sqref="BO17:BP18">
    <cfRule type="expression" dxfId="2614" priority="1038">
      <formula>ISBLANK(BO21)</formula>
    </cfRule>
  </conditionalFormatting>
  <conditionalFormatting sqref="BO19:BU20">
    <cfRule type="expression" dxfId="2613" priority="1037">
      <formula>ISBLANK(BO21)</formula>
    </cfRule>
  </conditionalFormatting>
  <conditionalFormatting sqref="BQ17:BS18">
    <cfRule type="expression" dxfId="2612" priority="1035">
      <formula>AND(ISBLANK(BO19),ISBLANK(BO21))</formula>
    </cfRule>
    <cfRule type="expression" dxfId="2611" priority="1036">
      <formula>ISBLANK(BO21)</formula>
    </cfRule>
  </conditionalFormatting>
  <conditionalFormatting sqref="BK23:BL24">
    <cfRule type="expression" dxfId="2610" priority="1034">
      <formula>ISBLANK(BF27)</formula>
    </cfRule>
  </conditionalFormatting>
  <conditionalFormatting sqref="BF23:BG24">
    <cfRule type="expression" dxfId="2609" priority="1033">
      <formula>ISBLANK(BF27)</formula>
    </cfRule>
  </conditionalFormatting>
  <conditionalFormatting sqref="BF25:BL26">
    <cfRule type="expression" dxfId="2608" priority="1032">
      <formula>ISBLANK(BF27)</formula>
    </cfRule>
  </conditionalFormatting>
  <conditionalFormatting sqref="BH23:BJ24">
    <cfRule type="expression" dxfId="2607" priority="1030">
      <formula>AND(ISBLANK(BF25),ISBLANK(BF27))</formula>
    </cfRule>
    <cfRule type="expression" dxfId="2606" priority="1031">
      <formula>ISBLANK(BF27)</formula>
    </cfRule>
  </conditionalFormatting>
  <conditionalFormatting sqref="BK29:BL30">
    <cfRule type="expression" dxfId="2605" priority="1029">
      <formula>ISBLANK(BF33)</formula>
    </cfRule>
  </conditionalFormatting>
  <conditionalFormatting sqref="BF29:BG30">
    <cfRule type="expression" dxfId="2604" priority="1028">
      <formula>ISBLANK(BF33)</formula>
    </cfRule>
  </conditionalFormatting>
  <conditionalFormatting sqref="BF31:BL32">
    <cfRule type="expression" dxfId="2603" priority="1027">
      <formula>ISBLANK(BF33)</formula>
    </cfRule>
  </conditionalFormatting>
  <conditionalFormatting sqref="BH29:BJ30">
    <cfRule type="expression" dxfId="2602" priority="1025">
      <formula>AND(ISBLANK(BF31),ISBLANK(BF33))</formula>
    </cfRule>
    <cfRule type="expression" dxfId="2601" priority="1026">
      <formula>ISBLANK(BF33)</formula>
    </cfRule>
  </conditionalFormatting>
  <conditionalFormatting sqref="BT29:BU30">
    <cfRule type="expression" dxfId="2600" priority="1024">
      <formula>ISBLANK(BO33)</formula>
    </cfRule>
  </conditionalFormatting>
  <conditionalFormatting sqref="BO29:BP30">
    <cfRule type="expression" dxfId="2599" priority="1023">
      <formula>ISBLANK(BO33)</formula>
    </cfRule>
  </conditionalFormatting>
  <conditionalFormatting sqref="BO31:BU32">
    <cfRule type="expression" dxfId="2598" priority="1022">
      <formula>ISBLANK(BO33)</formula>
    </cfRule>
  </conditionalFormatting>
  <conditionalFormatting sqref="BQ29:BS30">
    <cfRule type="expression" dxfId="2597" priority="1020">
      <formula>AND(ISBLANK(BO31),ISBLANK(BO33))</formula>
    </cfRule>
    <cfRule type="expression" dxfId="2596" priority="1021">
      <formula>ISBLANK(BO33)</formula>
    </cfRule>
  </conditionalFormatting>
  <conditionalFormatting sqref="U23:V24">
    <cfRule type="expression" dxfId="2595" priority="1019">
      <formula>ISBLANK(P27)</formula>
    </cfRule>
  </conditionalFormatting>
  <conditionalFormatting sqref="P23:Q24">
    <cfRule type="expression" dxfId="2594" priority="1018">
      <formula>ISBLANK(P27)</formula>
    </cfRule>
  </conditionalFormatting>
  <conditionalFormatting sqref="P25:V26">
    <cfRule type="expression" dxfId="2593" priority="1017">
      <formula>ISBLANK(P27)</formula>
    </cfRule>
  </conditionalFormatting>
  <conditionalFormatting sqref="R23:T24">
    <cfRule type="expression" dxfId="2592" priority="1015">
      <formula>AND(ISBLANK(P25),ISBLANK(P27))</formula>
    </cfRule>
    <cfRule type="expression" dxfId="2591" priority="1016">
      <formula>ISBLANK(P27)</formula>
    </cfRule>
  </conditionalFormatting>
  <conditionalFormatting sqref="L11:M12">
    <cfRule type="expression" dxfId="2590" priority="1014">
      <formula>ISBLANK(G15)</formula>
    </cfRule>
  </conditionalFormatting>
  <conditionalFormatting sqref="G11:H12">
    <cfRule type="expression" dxfId="2589" priority="1013">
      <formula>ISBLANK(G15)</formula>
    </cfRule>
  </conditionalFormatting>
  <conditionalFormatting sqref="G13:M14">
    <cfRule type="expression" dxfId="2588" priority="1012">
      <formula>ISBLANK(G15)</formula>
    </cfRule>
  </conditionalFormatting>
  <conditionalFormatting sqref="I11:K12">
    <cfRule type="expression" dxfId="2587" priority="1010">
      <formula>AND(ISBLANK(G13),ISBLANK(G15))</formula>
    </cfRule>
    <cfRule type="expression" dxfId="2586" priority="1011">
      <formula>ISBLANK(G15)</formula>
    </cfRule>
  </conditionalFormatting>
  <conditionalFormatting sqref="U11:V12">
    <cfRule type="expression" dxfId="2585" priority="1009">
      <formula>ISBLANK(P15)</formula>
    </cfRule>
  </conditionalFormatting>
  <conditionalFormatting sqref="P11:Q12">
    <cfRule type="expression" dxfId="2584" priority="1008">
      <formula>ISBLANK(P15)</formula>
    </cfRule>
  </conditionalFormatting>
  <conditionalFormatting sqref="P13:V14">
    <cfRule type="expression" dxfId="2583" priority="1007">
      <formula>ISBLANK(P15)</formula>
    </cfRule>
  </conditionalFormatting>
  <conditionalFormatting sqref="R11:T12">
    <cfRule type="expression" dxfId="2582" priority="1005">
      <formula>AND(ISBLANK(P13),ISBLANK(P15))</formula>
    </cfRule>
    <cfRule type="expression" dxfId="2581" priority="1006">
      <formula>ISBLANK(P15)</formula>
    </cfRule>
  </conditionalFormatting>
  <conditionalFormatting sqref="L17:M18">
    <cfRule type="expression" dxfId="2580" priority="1004">
      <formula>ISBLANK(G21)</formula>
    </cfRule>
  </conditionalFormatting>
  <conditionalFormatting sqref="G17:H18">
    <cfRule type="expression" dxfId="2579" priority="1003">
      <formula>ISBLANK(G21)</formula>
    </cfRule>
  </conditionalFormatting>
  <conditionalFormatting sqref="G19:M20">
    <cfRule type="expression" dxfId="2578" priority="1002">
      <formula>ISBLANK(G21)</formula>
    </cfRule>
  </conditionalFormatting>
  <conditionalFormatting sqref="I17:K18">
    <cfRule type="expression" dxfId="2577" priority="1000">
      <formula>AND(ISBLANK(G19),ISBLANK(G21))</formula>
    </cfRule>
    <cfRule type="expression" dxfId="2576" priority="1001">
      <formula>ISBLANK(G21)</formula>
    </cfRule>
  </conditionalFormatting>
  <conditionalFormatting sqref="U17:V18">
    <cfRule type="expression" dxfId="2575" priority="999">
      <formula>ISBLANK(P21)</formula>
    </cfRule>
  </conditionalFormatting>
  <conditionalFormatting sqref="P17:Q18">
    <cfRule type="expression" dxfId="2574" priority="998">
      <formula>ISBLANK(P21)</formula>
    </cfRule>
  </conditionalFormatting>
  <conditionalFormatting sqref="P19:V20">
    <cfRule type="expression" dxfId="2573" priority="997">
      <formula>ISBLANK(P21)</formula>
    </cfRule>
  </conditionalFormatting>
  <conditionalFormatting sqref="R17:T18">
    <cfRule type="expression" dxfId="2572" priority="995">
      <formula>AND(ISBLANK(P19),ISBLANK(P21))</formula>
    </cfRule>
    <cfRule type="expression" dxfId="2571" priority="996">
      <formula>ISBLANK(P21)</formula>
    </cfRule>
  </conditionalFormatting>
  <conditionalFormatting sqref="L23:M24">
    <cfRule type="expression" dxfId="2570" priority="994">
      <formula>ISBLANK(G27)</formula>
    </cfRule>
  </conditionalFormatting>
  <conditionalFormatting sqref="G23:H24">
    <cfRule type="expression" dxfId="2569" priority="993">
      <formula>ISBLANK(G27)</formula>
    </cfRule>
  </conditionalFormatting>
  <conditionalFormatting sqref="G25:M26">
    <cfRule type="expression" dxfId="2568" priority="992">
      <formula>ISBLANK(G27)</formula>
    </cfRule>
  </conditionalFormatting>
  <conditionalFormatting sqref="I23:K24">
    <cfRule type="expression" dxfId="2567" priority="990">
      <formula>AND(ISBLANK(G25),ISBLANK(G27))</formula>
    </cfRule>
    <cfRule type="expression" dxfId="2566" priority="991">
      <formula>ISBLANK(G27)</formula>
    </cfRule>
  </conditionalFormatting>
  <conditionalFormatting sqref="L29:M30">
    <cfRule type="expression" dxfId="2565" priority="989">
      <formula>ISBLANK(G33)</formula>
    </cfRule>
  </conditionalFormatting>
  <conditionalFormatting sqref="G29:H30">
    <cfRule type="expression" dxfId="2564" priority="988">
      <formula>ISBLANK(G33)</formula>
    </cfRule>
  </conditionalFormatting>
  <conditionalFormatting sqref="G31:M32">
    <cfRule type="expression" dxfId="2563" priority="987">
      <formula>ISBLANK(G33)</formula>
    </cfRule>
  </conditionalFormatting>
  <conditionalFormatting sqref="I29:K30">
    <cfRule type="expression" dxfId="2562" priority="985">
      <formula>AND(ISBLANK(G31),ISBLANK(G33))</formula>
    </cfRule>
    <cfRule type="expression" dxfId="2561" priority="986">
      <formula>ISBLANK(G33)</formula>
    </cfRule>
  </conditionalFormatting>
  <conditionalFormatting sqref="U29:V30">
    <cfRule type="expression" dxfId="2560" priority="984">
      <formula>ISBLANK(P33)</formula>
    </cfRule>
  </conditionalFormatting>
  <conditionalFormatting sqref="P29:Q30">
    <cfRule type="expression" dxfId="2559" priority="983">
      <formula>ISBLANK(P33)</formula>
    </cfRule>
  </conditionalFormatting>
  <conditionalFormatting sqref="P31:V32">
    <cfRule type="expression" dxfId="2558" priority="982">
      <formula>ISBLANK(P33)</formula>
    </cfRule>
  </conditionalFormatting>
  <conditionalFormatting sqref="R29:T30">
    <cfRule type="expression" dxfId="2557" priority="980">
      <formula>AND(ISBLANK(P31),ISBLANK(P33))</formula>
    </cfRule>
    <cfRule type="expression" dxfId="2556" priority="981">
      <formula>ISBLANK(P33)</formula>
    </cfRule>
  </conditionalFormatting>
  <conditionalFormatting sqref="AM48">
    <cfRule type="expression" dxfId="2555" priority="32875">
      <formula>AS48=0</formula>
    </cfRule>
  </conditionalFormatting>
  <conditionalFormatting sqref="AM50">
    <cfRule type="expression" dxfId="2554" priority="979">
      <formula>AS50=0</formula>
    </cfRule>
  </conditionalFormatting>
  <conditionalFormatting sqref="AM52">
    <cfRule type="expression" dxfId="2553" priority="978">
      <formula>AS52=0</formula>
    </cfRule>
  </conditionalFormatting>
  <conditionalFormatting sqref="AM54">
    <cfRule type="expression" dxfId="2552" priority="977">
      <formula>AS54=0</formula>
    </cfRule>
  </conditionalFormatting>
  <conditionalFormatting sqref="AM46">
    <cfRule type="expression" dxfId="2551" priority="976">
      <formula>AS46=0</formula>
    </cfRule>
  </conditionalFormatting>
  <conditionalFormatting sqref="AM44">
    <cfRule type="expression" dxfId="2550" priority="975">
      <formula>AS44=0</formula>
    </cfRule>
  </conditionalFormatting>
  <conditionalFormatting sqref="AM34">
    <cfRule type="expression" dxfId="2549" priority="974">
      <formula>AS34=0</formula>
    </cfRule>
  </conditionalFormatting>
  <conditionalFormatting sqref="AM32">
    <cfRule type="expression" dxfId="2548" priority="973">
      <formula>AS32=0</formula>
    </cfRule>
  </conditionalFormatting>
  <conditionalFormatting sqref="AM30">
    <cfRule type="expression" dxfId="2547" priority="972">
      <formula>AS30=0</formula>
    </cfRule>
  </conditionalFormatting>
  <conditionalFormatting sqref="AM28">
    <cfRule type="expression" dxfId="2546" priority="971">
      <formula>AS28=0</formula>
    </cfRule>
  </conditionalFormatting>
  <conditionalFormatting sqref="AX50:AZ50">
    <cfRule type="expression" dxfId="2545" priority="970">
      <formula>OR(ISBLANK(AB50),AB50="Title",AB50="&gt;",AB50="Enter Title",AB50="&gt; Enter Title")</formula>
    </cfRule>
  </conditionalFormatting>
  <conditionalFormatting sqref="AX52:AZ52">
    <cfRule type="expression" dxfId="2544" priority="969">
      <formula>OR(ISBLANK(AB52),AB52="Title",AB52="&gt;",AB52="Enter Title",AB52="&gt; Enter Title")</formula>
    </cfRule>
  </conditionalFormatting>
  <conditionalFormatting sqref="AX54:AZ54">
    <cfRule type="expression" dxfId="2543" priority="968">
      <formula>OR(ISBLANK(AB54),AB54="Title",AB54="&gt;",AB54="Enter Title",AB54="&gt; Enter Title")</formula>
    </cfRule>
  </conditionalFormatting>
  <conditionalFormatting sqref="AX46:AZ46">
    <cfRule type="expression" dxfId="2542" priority="967">
      <formula>OR(ISBLANK(AB46),AB46="Title",AB46="&gt;",AB46="Enter Title",AB46="&gt; Enter Title")</formula>
    </cfRule>
  </conditionalFormatting>
  <conditionalFormatting sqref="AX44:AZ44">
    <cfRule type="expression" dxfId="2541" priority="966">
      <formula>OR(ISBLANK(AB44),AB44="Title",AB44="&gt;",AB44="Enter Title",AB44="&gt; Enter Title")</formula>
    </cfRule>
  </conditionalFormatting>
  <conditionalFormatting sqref="AX34:AZ34">
    <cfRule type="expression" dxfId="2540" priority="965">
      <formula>OR(ISBLANK(AB34),AB34="Title",AB34="&gt;",AB34="Enter Title",AB34="&gt; Enter Title")</formula>
    </cfRule>
  </conditionalFormatting>
  <conditionalFormatting sqref="AX32:AZ32">
    <cfRule type="expression" dxfId="2539" priority="964">
      <formula>OR(ISBLANK(AB32),AB32="Title",AB32="&gt;",AB32="Enter Title",AB32="&gt; Enter Title")</formula>
    </cfRule>
  </conditionalFormatting>
  <conditionalFormatting sqref="AX30:AZ30">
    <cfRule type="expression" dxfId="2538" priority="963">
      <formula>OR(ISBLANK(AB30),AB30="Title",AB30="&gt;",AB30="Enter Title",AB30="&gt; Enter Title")</formula>
    </cfRule>
  </conditionalFormatting>
  <conditionalFormatting sqref="AX28:AZ28">
    <cfRule type="expression" dxfId="2537" priority="962">
      <formula>OR(ISBLANK(AB28),AB28="Title",AB28="&gt;",AB28="Enter Title",AB28="&gt; Enter Title")</formula>
    </cfRule>
  </conditionalFormatting>
  <conditionalFormatting sqref="AQ104">
    <cfRule type="cellIs" dxfId="2536" priority="960" operator="greaterThan">
      <formula>0</formula>
    </cfRule>
  </conditionalFormatting>
  <conditionalFormatting sqref="AQ104:AR104">
    <cfRule type="expression" dxfId="2535" priority="959">
      <formula>OR(ISBLANK(AB104),AB104="Title",AB104="&gt;",AB104="Enter Title",AB104="&gt; Enter Title")</formula>
    </cfRule>
  </conditionalFormatting>
  <conditionalFormatting sqref="AS104:AT104">
    <cfRule type="expression" dxfId="2534" priority="958">
      <formula>OR(ISBLANK(AB104),AB104="Title",AB104="&gt;",AB104="Enter Title",AB104="&gt; Enter Title")</formula>
    </cfRule>
  </conditionalFormatting>
  <conditionalFormatting sqref="AU104">
    <cfRule type="expression" dxfId="2533" priority="957">
      <formula>OR(ISBLANK(AB104),AB104="Title",AB104="&gt;",AB104="Enter Title",AB104="&gt; Enter Title")</formula>
    </cfRule>
  </conditionalFormatting>
  <conditionalFormatting sqref="AV104:AW104">
    <cfRule type="expression" dxfId="2532" priority="956">
      <formula>OR(ISBLANK(AB104),AB104="Title",AB104="&gt;",AB104="Enter Title",AB104="&gt; Enter Title")</formula>
    </cfRule>
  </conditionalFormatting>
  <conditionalFormatting sqref="AX104:AZ104">
    <cfRule type="expression" dxfId="2531" priority="955">
      <formula>OR(ISBLANK(AB104),AB104="Title",AB104="&gt;",AB104="Enter Title",AB104="&gt; Enter Title")</formula>
    </cfRule>
  </conditionalFormatting>
  <conditionalFormatting sqref="AR105">
    <cfRule type="expression" dxfId="2530" priority="954">
      <formula>AQ104&gt;=20%</formula>
    </cfRule>
  </conditionalFormatting>
  <conditionalFormatting sqref="AS105">
    <cfRule type="expression" dxfId="2529" priority="953">
      <formula>AQ104&gt;=30%</formula>
    </cfRule>
  </conditionalFormatting>
  <conditionalFormatting sqref="AT105">
    <cfRule type="expression" dxfId="2528" priority="952">
      <formula>AQ104&gt;=40%</formula>
    </cfRule>
  </conditionalFormatting>
  <conditionalFormatting sqref="AU105">
    <cfRule type="expression" dxfId="2527" priority="951">
      <formula>AQ104&gt;=50%</formula>
    </cfRule>
  </conditionalFormatting>
  <conditionalFormatting sqref="AV105">
    <cfRule type="expression" dxfId="2526" priority="950">
      <formula>AQ104&gt;=60%</formula>
    </cfRule>
  </conditionalFormatting>
  <conditionalFormatting sqref="AW105">
    <cfRule type="expression" dxfId="2525" priority="949">
      <formula>AQ104&gt;=70%</formula>
    </cfRule>
  </conditionalFormatting>
  <conditionalFormatting sqref="AX105">
    <cfRule type="expression" dxfId="2524" priority="948">
      <formula>AQ104&gt;=80%</formula>
    </cfRule>
  </conditionalFormatting>
  <conditionalFormatting sqref="AY105">
    <cfRule type="expression" dxfId="2523" priority="947">
      <formula>AQ104&gt;=90%</formula>
    </cfRule>
  </conditionalFormatting>
  <conditionalFormatting sqref="AZ105">
    <cfRule type="expression" dxfId="2522" priority="946">
      <formula>AQ104&gt;=100%</formula>
    </cfRule>
  </conditionalFormatting>
  <conditionalFormatting sqref="AZ105">
    <cfRule type="expression" dxfId="2521" priority="945">
      <formula>OR(ISBLANK(AB104),AB104="Title",AB104="&gt;",AB104="Enter Title",AB104="&gt; Enter Title")</formula>
    </cfRule>
  </conditionalFormatting>
  <conditionalFormatting sqref="AY105">
    <cfRule type="expression" dxfId="2520" priority="944">
      <formula>OR(ISBLANK(AB104),AB104="Title",AB104="&gt;",AB104="Enter Title",AB104="&gt; Enter Title")</formula>
    </cfRule>
  </conditionalFormatting>
  <conditionalFormatting sqref="AX105">
    <cfRule type="expression" dxfId="2519" priority="943">
      <formula>OR(ISBLANK(AB104),AB104="Title",AB104="&gt;",AB104="Enter Title",AB104="&gt; Enter Title")</formula>
    </cfRule>
  </conditionalFormatting>
  <conditionalFormatting sqref="AW105">
    <cfRule type="expression" dxfId="2518" priority="942">
      <formula>OR(ISBLANK(AB104),AB104="Title",AB104="&gt;",AB104="Enter Title",AB104="&gt; Enter Title")</formula>
    </cfRule>
  </conditionalFormatting>
  <conditionalFormatting sqref="AV105">
    <cfRule type="expression" dxfId="2517" priority="941">
      <formula>OR(ISBLANK(AB104),AB104="Title",AB104="&gt;",AB104="Enter Title",AB104="&gt; Enter Title")</formula>
    </cfRule>
  </conditionalFormatting>
  <conditionalFormatting sqref="AU105">
    <cfRule type="expression" dxfId="2516" priority="940">
      <formula>OR(ISBLANK(AB104),AB104="Title",AB104="&gt;",AB104="Enter Title",AB104="&gt; Enter Title")</formula>
    </cfRule>
  </conditionalFormatting>
  <conditionalFormatting sqref="AT105">
    <cfRule type="expression" dxfId="2515" priority="939">
      <formula>OR(ISBLANK(AB104),AB104="Title",AB104="&gt;",AB104="Enter Title",AB104="&gt; Enter Title")</formula>
    </cfRule>
  </conditionalFormatting>
  <conditionalFormatting sqref="AS105">
    <cfRule type="expression" dxfId="2514" priority="938">
      <formula>OR(ISBLANK(AB104),AB104="Title",AB104="&gt;",AB104="Enter Title",AB104="&gt; Enter Title")</formula>
    </cfRule>
  </conditionalFormatting>
  <conditionalFormatting sqref="AR105">
    <cfRule type="expression" dxfId="2513" priority="937">
      <formula>OR(ISBLANK(AB104),AB104="Title",AB104="&gt;",AB104="Enter Title",AB104="&gt; Enter Title")</formula>
    </cfRule>
  </conditionalFormatting>
  <conditionalFormatting sqref="AQ111">
    <cfRule type="expression" dxfId="2512" priority="936">
      <formula>AQ110&gt;=10%</formula>
    </cfRule>
  </conditionalFormatting>
  <conditionalFormatting sqref="AR111">
    <cfRule type="expression" dxfId="2511" priority="935">
      <formula>AQ110&gt;=20%</formula>
    </cfRule>
  </conditionalFormatting>
  <conditionalFormatting sqref="AS111">
    <cfRule type="expression" dxfId="2510" priority="934">
      <formula>AQ110&gt;=30%</formula>
    </cfRule>
  </conditionalFormatting>
  <conditionalFormatting sqref="AT111">
    <cfRule type="expression" dxfId="2509" priority="933">
      <formula>AQ110&gt;=40%</formula>
    </cfRule>
  </conditionalFormatting>
  <conditionalFormatting sqref="AU111">
    <cfRule type="expression" dxfId="2508" priority="932">
      <formula>AQ110&gt;=50%</formula>
    </cfRule>
  </conditionalFormatting>
  <conditionalFormatting sqref="AV111">
    <cfRule type="expression" dxfId="2507" priority="931">
      <formula>AQ110&gt;=60%</formula>
    </cfRule>
  </conditionalFormatting>
  <conditionalFormatting sqref="AW111">
    <cfRule type="expression" dxfId="2506" priority="930">
      <formula>AQ110&gt;=70%</formula>
    </cfRule>
  </conditionalFormatting>
  <conditionalFormatting sqref="AX111">
    <cfRule type="expression" dxfId="2505" priority="929">
      <formula>AQ110&gt;=80%</formula>
    </cfRule>
  </conditionalFormatting>
  <conditionalFormatting sqref="AY111">
    <cfRule type="expression" dxfId="2504" priority="928">
      <formula>AQ110&gt;=90%</formula>
    </cfRule>
  </conditionalFormatting>
  <conditionalFormatting sqref="AZ111">
    <cfRule type="expression" dxfId="2503" priority="927">
      <formula>AQ110&gt;=100%</formula>
    </cfRule>
  </conditionalFormatting>
  <conditionalFormatting sqref="AZ111">
    <cfRule type="expression" dxfId="2502" priority="926">
      <formula>OR(ISBLANK(AB110),AB110="Title",AB110="&gt;",AB110="Enter Title",AB110="&gt; Enter Title")</formula>
    </cfRule>
  </conditionalFormatting>
  <conditionalFormatting sqref="AY111">
    <cfRule type="expression" dxfId="2501" priority="925">
      <formula>OR(ISBLANK(AB110),AB110="Title",AB110="&gt;",AB110="Enter Title",AB110="&gt; Enter Title")</formula>
    </cfRule>
  </conditionalFormatting>
  <conditionalFormatting sqref="AX111">
    <cfRule type="expression" dxfId="2500" priority="924">
      <formula>OR(ISBLANK(AB110),AB110="Title",AB110="&gt;",AB110="Enter Title",AB110="&gt; Enter Title")</formula>
    </cfRule>
  </conditionalFormatting>
  <conditionalFormatting sqref="AW111">
    <cfRule type="expression" dxfId="2499" priority="923">
      <formula>OR(ISBLANK(AB110),AB110="Title",AB110="&gt;",AB110="Enter Title",AB110="&gt; Enter Title")</formula>
    </cfRule>
  </conditionalFormatting>
  <conditionalFormatting sqref="AV111">
    <cfRule type="expression" dxfId="2498" priority="922">
      <formula>OR(ISBLANK(AB110),AB110="Title",AB110="&gt;",AB110="Enter Title",AB110="&gt; Enter Title")</formula>
    </cfRule>
  </conditionalFormatting>
  <conditionalFormatting sqref="AU111">
    <cfRule type="expression" dxfId="2497" priority="921">
      <formula>OR(ISBLANK(AB110),AB110="Title",AB110="&gt;",AB110="Enter Title",AB110="&gt; Enter Title")</formula>
    </cfRule>
  </conditionalFormatting>
  <conditionalFormatting sqref="AT111">
    <cfRule type="expression" dxfId="2496" priority="920">
      <formula>OR(ISBLANK(AB110),AB110="Title",AB110="&gt;",AB110="Enter Title",AB110="&gt; Enter Title")</formula>
    </cfRule>
  </conditionalFormatting>
  <conditionalFormatting sqref="AS111">
    <cfRule type="expression" dxfId="2495" priority="919">
      <formula>OR(ISBLANK(AB110),AB110="Title",AB110="&gt;",AB110="Enter Title",AB110="&gt; Enter Title")</formula>
    </cfRule>
  </conditionalFormatting>
  <conditionalFormatting sqref="AR111">
    <cfRule type="expression" dxfId="2494" priority="918">
      <formula>OR(ISBLANK(AB110),AB110="Title",AB110="&gt;",AB110="Enter Title",AB110="&gt; Enter Title")</formula>
    </cfRule>
  </conditionalFormatting>
  <conditionalFormatting sqref="AQ111">
    <cfRule type="expression" dxfId="2493" priority="917">
      <formula>OR(ISBLANK(AB110),AB110="Title",AB110="&gt;",AB110="Enter Title",AB110="&gt; Enter Title")</formula>
    </cfRule>
  </conditionalFormatting>
  <conditionalFormatting sqref="AQ110">
    <cfRule type="cellIs" dxfId="2492" priority="916" operator="greaterThan">
      <formula>0</formula>
    </cfRule>
  </conditionalFormatting>
  <conditionalFormatting sqref="AQ110:AR110">
    <cfRule type="expression" dxfId="2491" priority="915">
      <formula>OR(ISBLANK(AB110),AB110="Title",AB110="&gt;",AB110="Enter Title",AB110="&gt; Enter Title")</formula>
    </cfRule>
  </conditionalFormatting>
  <conditionalFormatting sqref="AS110:AT110">
    <cfRule type="expression" dxfId="2490" priority="914">
      <formula>OR(ISBLANK(AB110),AB110="Title",AB110="&gt;",AB110="Enter Title",AB110="&gt; Enter Title")</formula>
    </cfRule>
  </conditionalFormatting>
  <conditionalFormatting sqref="AU110">
    <cfRule type="expression" dxfId="2489" priority="913">
      <formula>OR(ISBLANK(AB110),AB110="Title",AB110="&gt;",AB110="Enter Title",AB110="&gt; Enter Title")</formula>
    </cfRule>
  </conditionalFormatting>
  <conditionalFormatting sqref="AV110:AW110">
    <cfRule type="expression" dxfId="2488" priority="912">
      <formula>OR(ISBLANK(AB110),AB110="Title",AB110="&gt;",AB110="Enter Title",AB110="&gt; Enter Title")</formula>
    </cfRule>
  </conditionalFormatting>
  <conditionalFormatting sqref="AQ113">
    <cfRule type="expression" dxfId="2487" priority="911">
      <formula>AQ112&gt;=10%</formula>
    </cfRule>
  </conditionalFormatting>
  <conditionalFormatting sqref="AR113">
    <cfRule type="expression" dxfId="2486" priority="910">
      <formula>AQ112&gt;=20%</formula>
    </cfRule>
  </conditionalFormatting>
  <conditionalFormatting sqref="AS113">
    <cfRule type="expression" dxfId="2485" priority="909">
      <formula>AQ112&gt;=30%</formula>
    </cfRule>
  </conditionalFormatting>
  <conditionalFormatting sqref="AT113">
    <cfRule type="expression" dxfId="2484" priority="908">
      <formula>AQ112&gt;=40%</formula>
    </cfRule>
  </conditionalFormatting>
  <conditionalFormatting sqref="AU113">
    <cfRule type="expression" dxfId="2483" priority="907">
      <formula>AQ112&gt;=50%</formula>
    </cfRule>
  </conditionalFormatting>
  <conditionalFormatting sqref="AV113">
    <cfRule type="expression" dxfId="2482" priority="906">
      <formula>AQ112&gt;=60%</formula>
    </cfRule>
  </conditionalFormatting>
  <conditionalFormatting sqref="AW113">
    <cfRule type="expression" dxfId="2481" priority="905">
      <formula>AQ112&gt;=70%</formula>
    </cfRule>
  </conditionalFormatting>
  <conditionalFormatting sqref="AX113">
    <cfRule type="expression" dxfId="2480" priority="904">
      <formula>AQ112&gt;=80%</formula>
    </cfRule>
  </conditionalFormatting>
  <conditionalFormatting sqref="AY113">
    <cfRule type="expression" dxfId="2479" priority="903">
      <formula>AQ112&gt;=90%</formula>
    </cfRule>
  </conditionalFormatting>
  <conditionalFormatting sqref="AZ113">
    <cfRule type="expression" dxfId="2478" priority="902">
      <formula>AQ112&gt;=100%</formula>
    </cfRule>
  </conditionalFormatting>
  <conditionalFormatting sqref="AZ113">
    <cfRule type="expression" dxfId="2477" priority="901">
      <formula>OR(ISBLANK(AB112),AB112="Title",AB112="&gt;",AB112="Enter Title",AB112="&gt; Enter Title")</formula>
    </cfRule>
  </conditionalFormatting>
  <conditionalFormatting sqref="AY113">
    <cfRule type="expression" dxfId="2476" priority="900">
      <formula>OR(ISBLANK(AB112),AB112="Title",AB112="&gt;",AB112="Enter Title",AB112="&gt; Enter Title")</formula>
    </cfRule>
  </conditionalFormatting>
  <conditionalFormatting sqref="AX113">
    <cfRule type="expression" dxfId="2475" priority="899">
      <formula>OR(ISBLANK(AB112),AB112="Title",AB112="&gt;",AB112="Enter Title",AB112="&gt; Enter Title")</formula>
    </cfRule>
  </conditionalFormatting>
  <conditionalFormatting sqref="AW113">
    <cfRule type="expression" dxfId="2474" priority="898">
      <formula>OR(ISBLANK(AB112),AB112="Title",AB112="&gt;",AB112="Enter Title",AB112="&gt; Enter Title")</formula>
    </cfRule>
  </conditionalFormatting>
  <conditionalFormatting sqref="AV113">
    <cfRule type="expression" dxfId="2473" priority="897">
      <formula>OR(ISBLANK(AB112),AB112="Title",AB112="&gt;",AB112="Enter Title",AB112="&gt; Enter Title")</formula>
    </cfRule>
  </conditionalFormatting>
  <conditionalFormatting sqref="AU113">
    <cfRule type="expression" dxfId="2472" priority="896">
      <formula>OR(ISBLANK(AB112),AB112="Title",AB112="&gt;",AB112="Enter Title",AB112="&gt; Enter Title")</formula>
    </cfRule>
  </conditionalFormatting>
  <conditionalFormatting sqref="AT113">
    <cfRule type="expression" dxfId="2471" priority="895">
      <formula>OR(ISBLANK(AB112),AB112="Title",AB112="&gt;",AB112="Enter Title",AB112="&gt; Enter Title")</formula>
    </cfRule>
  </conditionalFormatting>
  <conditionalFormatting sqref="AS113">
    <cfRule type="expression" dxfId="2470" priority="894">
      <formula>OR(ISBLANK(AB112),AB112="Title",AB112="&gt;",AB112="Enter Title",AB112="&gt; Enter Title")</formula>
    </cfRule>
  </conditionalFormatting>
  <conditionalFormatting sqref="AR113">
    <cfRule type="expression" dxfId="2469" priority="893">
      <formula>OR(ISBLANK(AB112),AB112="Title",AB112="&gt;",AB112="Enter Title",AB112="&gt; Enter Title")</formula>
    </cfRule>
  </conditionalFormatting>
  <conditionalFormatting sqref="AQ113">
    <cfRule type="expression" dxfId="2468" priority="892">
      <formula>OR(ISBLANK(AB112),AB112="Title",AB112="&gt;",AB112="Enter Title",AB112="&gt; Enter Title")</formula>
    </cfRule>
  </conditionalFormatting>
  <conditionalFormatting sqref="AQ112">
    <cfRule type="cellIs" dxfId="2467" priority="891" operator="greaterThan">
      <formula>0</formula>
    </cfRule>
  </conditionalFormatting>
  <conditionalFormatting sqref="AQ112:AR112">
    <cfRule type="expression" dxfId="2466" priority="890">
      <formula>OR(ISBLANK(AB112),AB112="Title",AB112="&gt;",AB112="Enter Title",AB112="&gt; Enter Title")</formula>
    </cfRule>
  </conditionalFormatting>
  <conditionalFormatting sqref="AS112:AT112">
    <cfRule type="expression" dxfId="2465" priority="889">
      <formula>OR(ISBLANK(AB112),AB112="Title",AB112="&gt;",AB112="Enter Title",AB112="&gt; Enter Title")</formula>
    </cfRule>
  </conditionalFormatting>
  <conditionalFormatting sqref="AU112">
    <cfRule type="expression" dxfId="2464" priority="888">
      <formula>OR(ISBLANK(AB112),AB112="Title",AB112="&gt;",AB112="Enter Title",AB112="&gt; Enter Title")</formula>
    </cfRule>
  </conditionalFormatting>
  <conditionalFormatting sqref="AV112:AW112">
    <cfRule type="expression" dxfId="2463" priority="887">
      <formula>OR(ISBLANK(AB112),AB112="Title",AB112="&gt;",AB112="Enter Title",AB112="&gt; Enter Title")</formula>
    </cfRule>
  </conditionalFormatting>
  <conditionalFormatting sqref="AQ107">
    <cfRule type="expression" dxfId="2462" priority="886">
      <formula>AQ106&gt;=10%</formula>
    </cfRule>
  </conditionalFormatting>
  <conditionalFormatting sqref="AR107">
    <cfRule type="expression" dxfId="2461" priority="885">
      <formula>AQ106&gt;=20%</formula>
    </cfRule>
  </conditionalFormatting>
  <conditionalFormatting sqref="AS107">
    <cfRule type="expression" dxfId="2460" priority="884">
      <formula>AQ106&gt;=30%</formula>
    </cfRule>
  </conditionalFormatting>
  <conditionalFormatting sqref="AT107">
    <cfRule type="expression" dxfId="2459" priority="883">
      <formula>AQ106&gt;=40%</formula>
    </cfRule>
  </conditionalFormatting>
  <conditionalFormatting sqref="AU107">
    <cfRule type="expression" dxfId="2458" priority="882">
      <formula>AQ106&gt;=50%</formula>
    </cfRule>
  </conditionalFormatting>
  <conditionalFormatting sqref="AV107">
    <cfRule type="expression" dxfId="2457" priority="881">
      <formula>AQ106&gt;=60%</formula>
    </cfRule>
  </conditionalFormatting>
  <conditionalFormatting sqref="AW107">
    <cfRule type="expression" dxfId="2456" priority="880">
      <formula>AQ106&gt;=70%</formula>
    </cfRule>
  </conditionalFormatting>
  <conditionalFormatting sqref="AX107">
    <cfRule type="expression" dxfId="2455" priority="879">
      <formula>AQ106&gt;=80%</formula>
    </cfRule>
  </conditionalFormatting>
  <conditionalFormatting sqref="AY107">
    <cfRule type="expression" dxfId="2454" priority="878">
      <formula>AQ106&gt;=90%</formula>
    </cfRule>
  </conditionalFormatting>
  <conditionalFormatting sqref="AZ107">
    <cfRule type="expression" dxfId="2453" priority="877">
      <formula>AQ106&gt;=100%</formula>
    </cfRule>
  </conditionalFormatting>
  <conditionalFormatting sqref="AZ107">
    <cfRule type="expression" dxfId="2452" priority="876">
      <formula>OR(ISBLANK(AB106),AB106="Title",AB106="&gt;",AB106="Enter Title",AB106="&gt; Enter Title")</formula>
    </cfRule>
  </conditionalFormatting>
  <conditionalFormatting sqref="AY107">
    <cfRule type="expression" dxfId="2451" priority="875">
      <formula>OR(ISBLANK(AB106),AB106="Title",AB106="&gt;",AB106="Enter Title",AB106="&gt; Enter Title")</formula>
    </cfRule>
  </conditionalFormatting>
  <conditionalFormatting sqref="AX107">
    <cfRule type="expression" dxfId="2450" priority="874">
      <formula>OR(ISBLANK(AB106),AB106="Title",AB106="&gt;",AB106="Enter Title",AB106="&gt; Enter Title")</formula>
    </cfRule>
  </conditionalFormatting>
  <conditionalFormatting sqref="AW107">
    <cfRule type="expression" dxfId="2449" priority="873">
      <formula>OR(ISBLANK(AB106),AB106="Title",AB106="&gt;",AB106="Enter Title",AB106="&gt; Enter Title")</formula>
    </cfRule>
  </conditionalFormatting>
  <conditionalFormatting sqref="AV107">
    <cfRule type="expression" dxfId="2448" priority="872">
      <formula>OR(ISBLANK(AB106),AB106="Title",AB106="&gt;",AB106="Enter Title",AB106="&gt; Enter Title")</formula>
    </cfRule>
  </conditionalFormatting>
  <conditionalFormatting sqref="AU107">
    <cfRule type="expression" dxfId="2447" priority="871">
      <formula>OR(ISBLANK(AB106),AB106="Title",AB106="&gt;",AB106="Enter Title",AB106="&gt; Enter Title")</formula>
    </cfRule>
  </conditionalFormatting>
  <conditionalFormatting sqref="AT107">
    <cfRule type="expression" dxfId="2446" priority="870">
      <formula>OR(ISBLANK(AB106),AB106="Title",AB106="&gt;",AB106="Enter Title",AB106="&gt; Enter Title")</formula>
    </cfRule>
  </conditionalFormatting>
  <conditionalFormatting sqref="AS107">
    <cfRule type="expression" dxfId="2445" priority="869">
      <formula>OR(ISBLANK(AB106),AB106="Title",AB106="&gt;",AB106="Enter Title",AB106="&gt; Enter Title")</formula>
    </cfRule>
  </conditionalFormatting>
  <conditionalFormatting sqref="AR107">
    <cfRule type="expression" dxfId="2444" priority="868">
      <formula>OR(ISBLANK(AB106),AB106="Title",AB106="&gt;",AB106="Enter Title",AB106="&gt; Enter Title")</formula>
    </cfRule>
  </conditionalFormatting>
  <conditionalFormatting sqref="AQ107">
    <cfRule type="expression" dxfId="2443" priority="867">
      <formula>OR(ISBLANK(AB106),AB106="Title",AB106="&gt;",AB106="Enter Title",AB106="&gt; Enter Title")</formula>
    </cfRule>
  </conditionalFormatting>
  <conditionalFormatting sqref="AQ106">
    <cfRule type="cellIs" dxfId="2442" priority="866" operator="greaterThan">
      <formula>0</formula>
    </cfRule>
  </conditionalFormatting>
  <conditionalFormatting sqref="AQ106:AR106">
    <cfRule type="expression" dxfId="2441" priority="865">
      <formula>OR(ISBLANK(AB106),AB106="Title",AB106="&gt;",AB106="Enter Title",AB106="&gt; Enter Title")</formula>
    </cfRule>
  </conditionalFormatting>
  <conditionalFormatting sqref="AS106:AT106">
    <cfRule type="expression" dxfId="2440" priority="864">
      <formula>OR(ISBLANK(AB106),AB106="Title",AB106="&gt;",AB106="Enter Title",AB106="&gt; Enter Title")</formula>
    </cfRule>
  </conditionalFormatting>
  <conditionalFormatting sqref="AU106">
    <cfRule type="expression" dxfId="2439" priority="863">
      <formula>OR(ISBLANK(AB106),AB106="Title",AB106="&gt;",AB106="Enter Title",AB106="&gt; Enter Title")</formula>
    </cfRule>
  </conditionalFormatting>
  <conditionalFormatting sqref="AV106:AW106">
    <cfRule type="expression" dxfId="2438" priority="862">
      <formula>OR(ISBLANK(AB106),AB106="Title",AB106="&gt;",AB106="Enter Title",AB106="&gt; Enter Title")</formula>
    </cfRule>
  </conditionalFormatting>
  <conditionalFormatting sqref="AB110 AB112 AB114 AB116 AB108 AB106">
    <cfRule type="expression" dxfId="2437" priority="861">
      <formula>AS106=0</formula>
    </cfRule>
  </conditionalFormatting>
  <conditionalFormatting sqref="AJ107:AL107">
    <cfRule type="expression" dxfId="2436" priority="860">
      <formula>AS106=0</formula>
    </cfRule>
  </conditionalFormatting>
  <conditionalFormatting sqref="AB107:AI107">
    <cfRule type="expression" dxfId="2435" priority="859">
      <formula>AS106=0</formula>
    </cfRule>
  </conditionalFormatting>
  <conditionalFormatting sqref="AJ111:AL111 AJ113:AL113">
    <cfRule type="expression" dxfId="2434" priority="858">
      <formula>AS110=0</formula>
    </cfRule>
  </conditionalFormatting>
  <conditionalFormatting sqref="AB111:AI111 AB113:AI113">
    <cfRule type="expression" dxfId="2433" priority="857">
      <formula>AS110=0</formula>
    </cfRule>
  </conditionalFormatting>
  <conditionalFormatting sqref="AQ109">
    <cfRule type="expression" dxfId="2432" priority="856">
      <formula>AQ108&gt;=10%</formula>
    </cfRule>
  </conditionalFormatting>
  <conditionalFormatting sqref="AR109">
    <cfRule type="expression" dxfId="2431" priority="855">
      <formula>AQ108&gt;=20%</formula>
    </cfRule>
  </conditionalFormatting>
  <conditionalFormatting sqref="AS109">
    <cfRule type="expression" dxfId="2430" priority="854">
      <formula>AQ108&gt;=30%</formula>
    </cfRule>
  </conditionalFormatting>
  <conditionalFormatting sqref="AT109">
    <cfRule type="expression" dxfId="2429" priority="853">
      <formula>AQ108&gt;=40%</formula>
    </cfRule>
  </conditionalFormatting>
  <conditionalFormatting sqref="AU109">
    <cfRule type="expression" dxfId="2428" priority="852">
      <formula>AQ108&gt;=50%</formula>
    </cfRule>
  </conditionalFormatting>
  <conditionalFormatting sqref="AV109">
    <cfRule type="expression" dxfId="2427" priority="851">
      <formula>AQ108&gt;=60%</formula>
    </cfRule>
  </conditionalFormatting>
  <conditionalFormatting sqref="AW109">
    <cfRule type="expression" dxfId="2426" priority="850">
      <formula>AQ108&gt;=70%</formula>
    </cfRule>
  </conditionalFormatting>
  <conditionalFormatting sqref="AX109">
    <cfRule type="expression" dxfId="2425" priority="849">
      <formula>AQ108&gt;=80%</formula>
    </cfRule>
  </conditionalFormatting>
  <conditionalFormatting sqref="AY109">
    <cfRule type="expression" dxfId="2424" priority="848">
      <formula>AQ108&gt;=90%</formula>
    </cfRule>
  </conditionalFormatting>
  <conditionalFormatting sqref="AZ109">
    <cfRule type="expression" dxfId="2423" priority="847">
      <formula>AQ108&gt;=100%</formula>
    </cfRule>
  </conditionalFormatting>
  <conditionalFormatting sqref="AZ109">
    <cfRule type="expression" dxfId="2422" priority="846">
      <formula>OR(ISBLANK(AB108),AB108="Title",AB108="&gt;",AB108="Enter Title",AB108="&gt; Enter Title")</formula>
    </cfRule>
  </conditionalFormatting>
  <conditionalFormatting sqref="AY109">
    <cfRule type="expression" dxfId="2421" priority="845">
      <formula>OR(ISBLANK(AB108),AB108="Title",AB108="&gt;",AB108="Enter Title",AB108="&gt; Enter Title")</formula>
    </cfRule>
  </conditionalFormatting>
  <conditionalFormatting sqref="AX109">
    <cfRule type="expression" dxfId="2420" priority="844">
      <formula>OR(ISBLANK(AB108),AB108="Title",AB108="&gt;",AB108="Enter Title",AB108="&gt; Enter Title")</formula>
    </cfRule>
  </conditionalFormatting>
  <conditionalFormatting sqref="AW109">
    <cfRule type="expression" dxfId="2419" priority="843">
      <formula>OR(ISBLANK(AB108),AB108="Title",AB108="&gt;",AB108="Enter Title",AB108="&gt; Enter Title")</formula>
    </cfRule>
  </conditionalFormatting>
  <conditionalFormatting sqref="AV109">
    <cfRule type="expression" dxfId="2418" priority="842">
      <formula>OR(ISBLANK(AB108),AB108="Title",AB108="&gt;",AB108="Enter Title",AB108="&gt; Enter Title")</formula>
    </cfRule>
  </conditionalFormatting>
  <conditionalFormatting sqref="AU109">
    <cfRule type="expression" dxfId="2417" priority="841">
      <formula>OR(ISBLANK(AB108),AB108="Title",AB108="&gt;",AB108="Enter Title",AB108="&gt; Enter Title")</formula>
    </cfRule>
  </conditionalFormatting>
  <conditionalFormatting sqref="AT109">
    <cfRule type="expression" dxfId="2416" priority="840">
      <formula>OR(ISBLANK(AB108),AB108="Title",AB108="&gt;",AB108="Enter Title",AB108="&gt; Enter Title")</formula>
    </cfRule>
  </conditionalFormatting>
  <conditionalFormatting sqref="AS109">
    <cfRule type="expression" dxfId="2415" priority="839">
      <formula>OR(ISBLANK(AB108),AB108="Title",AB108="&gt;",AB108="Enter Title",AB108="&gt; Enter Title")</formula>
    </cfRule>
  </conditionalFormatting>
  <conditionalFormatting sqref="AR109">
    <cfRule type="expression" dxfId="2414" priority="838">
      <formula>OR(ISBLANK(AB108),AB108="Title",AB108="&gt;",AB108="Enter Title",AB108="&gt; Enter Title")</formula>
    </cfRule>
  </conditionalFormatting>
  <conditionalFormatting sqref="AQ109">
    <cfRule type="expression" dxfId="2413" priority="837">
      <formula>OR(ISBLANK(AB108),AB108="Title",AB108="&gt;",AB108="Enter Title",AB108="&gt; Enter Title")</formula>
    </cfRule>
  </conditionalFormatting>
  <conditionalFormatting sqref="AQ108">
    <cfRule type="cellIs" dxfId="2412" priority="836" operator="greaterThan">
      <formula>0</formula>
    </cfRule>
  </conditionalFormatting>
  <conditionalFormatting sqref="AQ108:AR108">
    <cfRule type="expression" dxfId="2411" priority="835">
      <formula>OR(ISBLANK(AB108),AB108="Title",AB108="&gt;",AB108="Enter Title",AB108="&gt; Enter Title")</formula>
    </cfRule>
  </conditionalFormatting>
  <conditionalFormatting sqref="AS108:AT108">
    <cfRule type="expression" dxfId="2410" priority="834">
      <formula>OR(ISBLANK(AB108),AB108="Title",AB108="&gt;",AB108="Enter Title",AB108="&gt; Enter Title")</formula>
    </cfRule>
  </conditionalFormatting>
  <conditionalFormatting sqref="AU108">
    <cfRule type="expression" dxfId="2409" priority="833">
      <formula>OR(ISBLANK(AB108),AB108="Title",AB108="&gt;",AB108="Enter Title",AB108="&gt; Enter Title")</formula>
    </cfRule>
  </conditionalFormatting>
  <conditionalFormatting sqref="AV108:AW108">
    <cfRule type="expression" dxfId="2408" priority="832">
      <formula>OR(ISBLANK(AB108),AB108="Title",AB108="&gt;",AB108="Enter Title",AB108="&gt; Enter Title")</formula>
    </cfRule>
  </conditionalFormatting>
  <conditionalFormatting sqref="AJ109:AL109">
    <cfRule type="expression" dxfId="2407" priority="831">
      <formula>AS108=0</formula>
    </cfRule>
  </conditionalFormatting>
  <conditionalFormatting sqref="AB109:AI109">
    <cfRule type="expression" dxfId="2406" priority="830">
      <formula>AS108=0</formula>
    </cfRule>
  </conditionalFormatting>
  <conditionalFormatting sqref="AQ115">
    <cfRule type="expression" dxfId="2405" priority="829">
      <formula>AQ114&gt;=10%</formula>
    </cfRule>
  </conditionalFormatting>
  <conditionalFormatting sqref="AR115">
    <cfRule type="expression" dxfId="2404" priority="828">
      <formula>AQ114&gt;=20%</formula>
    </cfRule>
  </conditionalFormatting>
  <conditionalFormatting sqref="AS115">
    <cfRule type="expression" dxfId="2403" priority="827">
      <formula>AQ114&gt;=30%</formula>
    </cfRule>
  </conditionalFormatting>
  <conditionalFormatting sqref="AT115">
    <cfRule type="expression" dxfId="2402" priority="826">
      <formula>AQ114&gt;=40%</formula>
    </cfRule>
  </conditionalFormatting>
  <conditionalFormatting sqref="AU115">
    <cfRule type="expression" dxfId="2401" priority="825">
      <formula>AQ114&gt;=50%</formula>
    </cfRule>
  </conditionalFormatting>
  <conditionalFormatting sqref="AV115">
    <cfRule type="expression" dxfId="2400" priority="824">
      <formula>AQ114&gt;=60%</formula>
    </cfRule>
  </conditionalFormatting>
  <conditionalFormatting sqref="AW115">
    <cfRule type="expression" dxfId="2399" priority="823">
      <formula>AQ114&gt;=70%</formula>
    </cfRule>
  </conditionalFormatting>
  <conditionalFormatting sqref="AX115">
    <cfRule type="expression" dxfId="2398" priority="822">
      <formula>AQ114&gt;=80%</formula>
    </cfRule>
  </conditionalFormatting>
  <conditionalFormatting sqref="AY115">
    <cfRule type="expression" dxfId="2397" priority="821">
      <formula>AQ114&gt;=90%</formula>
    </cfRule>
  </conditionalFormatting>
  <conditionalFormatting sqref="AZ115">
    <cfRule type="expression" dxfId="2396" priority="820">
      <formula>AQ114&gt;=100%</formula>
    </cfRule>
  </conditionalFormatting>
  <conditionalFormatting sqref="AZ115">
    <cfRule type="expression" dxfId="2395" priority="819">
      <formula>OR(ISBLANK(AB114),AB114="Title",AB114="&gt;",AB114="Enter Title",AB114="&gt; Enter Title")</formula>
    </cfRule>
  </conditionalFormatting>
  <conditionalFormatting sqref="AY115">
    <cfRule type="expression" dxfId="2394" priority="818">
      <formula>OR(ISBLANK(AB114),AB114="Title",AB114="&gt;",AB114="Enter Title",AB114="&gt; Enter Title")</formula>
    </cfRule>
  </conditionalFormatting>
  <conditionalFormatting sqref="AX115">
    <cfRule type="expression" dxfId="2393" priority="817">
      <formula>OR(ISBLANK(AB114),AB114="Title",AB114="&gt;",AB114="Enter Title",AB114="&gt; Enter Title")</formula>
    </cfRule>
  </conditionalFormatting>
  <conditionalFormatting sqref="AW115">
    <cfRule type="expression" dxfId="2392" priority="816">
      <formula>OR(ISBLANK(AB114),AB114="Title",AB114="&gt;",AB114="Enter Title",AB114="&gt; Enter Title")</formula>
    </cfRule>
  </conditionalFormatting>
  <conditionalFormatting sqref="AV115">
    <cfRule type="expression" dxfId="2391" priority="815">
      <formula>OR(ISBLANK(AB114),AB114="Title",AB114="&gt;",AB114="Enter Title",AB114="&gt; Enter Title")</formula>
    </cfRule>
  </conditionalFormatting>
  <conditionalFormatting sqref="AU115">
    <cfRule type="expression" dxfId="2390" priority="814">
      <formula>OR(ISBLANK(AB114),AB114="Title",AB114="&gt;",AB114="Enter Title",AB114="&gt; Enter Title")</formula>
    </cfRule>
  </conditionalFormatting>
  <conditionalFormatting sqref="AT115">
    <cfRule type="expression" dxfId="2389" priority="813">
      <formula>OR(ISBLANK(AB114),AB114="Title",AB114="&gt;",AB114="Enter Title",AB114="&gt; Enter Title")</formula>
    </cfRule>
  </conditionalFormatting>
  <conditionalFormatting sqref="AS115">
    <cfRule type="expression" dxfId="2388" priority="812">
      <formula>OR(ISBLANK(AB114),AB114="Title",AB114="&gt;",AB114="Enter Title",AB114="&gt; Enter Title")</formula>
    </cfRule>
  </conditionalFormatting>
  <conditionalFormatting sqref="AR115">
    <cfRule type="expression" dxfId="2387" priority="811">
      <formula>OR(ISBLANK(AB114),AB114="Title",AB114="&gt;",AB114="Enter Title",AB114="&gt; Enter Title")</formula>
    </cfRule>
  </conditionalFormatting>
  <conditionalFormatting sqref="AQ115">
    <cfRule type="expression" dxfId="2386" priority="810">
      <formula>OR(ISBLANK(AB114),AB114="Title",AB114="&gt;",AB114="Enter Title",AB114="&gt; Enter Title")</formula>
    </cfRule>
  </conditionalFormatting>
  <conditionalFormatting sqref="AQ114">
    <cfRule type="cellIs" dxfId="2385" priority="809" operator="greaterThan">
      <formula>0</formula>
    </cfRule>
  </conditionalFormatting>
  <conditionalFormatting sqref="AQ114:AR114">
    <cfRule type="expression" dxfId="2384" priority="808">
      <formula>OR(ISBLANK(AB114),AB114="Title",AB114="&gt;",AB114="Enter Title",AB114="&gt; Enter Title")</formula>
    </cfRule>
  </conditionalFormatting>
  <conditionalFormatting sqref="AS114:AT114">
    <cfRule type="expression" dxfId="2383" priority="807">
      <formula>OR(ISBLANK(AB114),AB114="Title",AB114="&gt;",AB114="Enter Title",AB114="&gt; Enter Title")</formula>
    </cfRule>
  </conditionalFormatting>
  <conditionalFormatting sqref="AU114">
    <cfRule type="expression" dxfId="2382" priority="806">
      <formula>OR(ISBLANK(AB114),AB114="Title",AB114="&gt;",AB114="Enter Title",AB114="&gt; Enter Title")</formula>
    </cfRule>
  </conditionalFormatting>
  <conditionalFormatting sqref="AV114:AW114">
    <cfRule type="expression" dxfId="2381" priority="805">
      <formula>OR(ISBLANK(AB114),AB114="Title",AB114="&gt;",AB114="Enter Title",AB114="&gt; Enter Title")</formula>
    </cfRule>
  </conditionalFormatting>
  <conditionalFormatting sqref="AJ115:AL115">
    <cfRule type="expression" dxfId="2380" priority="804">
      <formula>AS114=0</formula>
    </cfRule>
  </conditionalFormatting>
  <conditionalFormatting sqref="AB115:AI115">
    <cfRule type="expression" dxfId="2379" priority="803">
      <formula>AS114=0</formula>
    </cfRule>
  </conditionalFormatting>
  <conditionalFormatting sqref="AQ117">
    <cfRule type="expression" dxfId="2378" priority="802">
      <formula>AQ116&gt;=10%</formula>
    </cfRule>
  </conditionalFormatting>
  <conditionalFormatting sqref="AR117">
    <cfRule type="expression" dxfId="2377" priority="801">
      <formula>AQ116&gt;=20%</formula>
    </cfRule>
  </conditionalFormatting>
  <conditionalFormatting sqref="AS117">
    <cfRule type="expression" dxfId="2376" priority="800">
      <formula>AQ116&gt;=30%</formula>
    </cfRule>
  </conditionalFormatting>
  <conditionalFormatting sqref="AT117">
    <cfRule type="expression" dxfId="2375" priority="799">
      <formula>AQ116&gt;=40%</formula>
    </cfRule>
  </conditionalFormatting>
  <conditionalFormatting sqref="AU117">
    <cfRule type="expression" dxfId="2374" priority="798">
      <formula>AQ116&gt;=50%</formula>
    </cfRule>
  </conditionalFormatting>
  <conditionalFormatting sqref="AV117">
    <cfRule type="expression" dxfId="2373" priority="797">
      <formula>AQ116&gt;=60%</formula>
    </cfRule>
  </conditionalFormatting>
  <conditionalFormatting sqref="AW117">
    <cfRule type="expression" dxfId="2372" priority="796">
      <formula>AQ116&gt;=70%</formula>
    </cfRule>
  </conditionalFormatting>
  <conditionalFormatting sqref="AX117">
    <cfRule type="expression" dxfId="2371" priority="795">
      <formula>AQ116&gt;=80%</formula>
    </cfRule>
  </conditionalFormatting>
  <conditionalFormatting sqref="AY117">
    <cfRule type="expression" dxfId="2370" priority="794">
      <formula>AQ116&gt;=90%</formula>
    </cfRule>
  </conditionalFormatting>
  <conditionalFormatting sqref="AZ117">
    <cfRule type="expression" dxfId="2369" priority="793">
      <formula>AQ116&gt;=100%</formula>
    </cfRule>
  </conditionalFormatting>
  <conditionalFormatting sqref="AZ117">
    <cfRule type="expression" dxfId="2368" priority="792">
      <formula>OR(ISBLANK(AB116),AB116="Title",AB116="&gt;",AB116="Enter Title",AB116="&gt; Enter Title")</formula>
    </cfRule>
  </conditionalFormatting>
  <conditionalFormatting sqref="AY117">
    <cfRule type="expression" dxfId="2367" priority="791">
      <formula>OR(ISBLANK(AB116),AB116="Title",AB116="&gt;",AB116="Enter Title",AB116="&gt; Enter Title")</formula>
    </cfRule>
  </conditionalFormatting>
  <conditionalFormatting sqref="AX117">
    <cfRule type="expression" dxfId="2366" priority="790">
      <formula>OR(ISBLANK(AB116),AB116="Title",AB116="&gt;",AB116="Enter Title",AB116="&gt; Enter Title")</formula>
    </cfRule>
  </conditionalFormatting>
  <conditionalFormatting sqref="AW117">
    <cfRule type="expression" dxfId="2365" priority="789">
      <formula>OR(ISBLANK(AB116),AB116="Title",AB116="&gt;",AB116="Enter Title",AB116="&gt; Enter Title")</formula>
    </cfRule>
  </conditionalFormatting>
  <conditionalFormatting sqref="AV117">
    <cfRule type="expression" dxfId="2364" priority="788">
      <formula>OR(ISBLANK(AB116),AB116="Title",AB116="&gt;",AB116="Enter Title",AB116="&gt; Enter Title")</formula>
    </cfRule>
  </conditionalFormatting>
  <conditionalFormatting sqref="AU117">
    <cfRule type="expression" dxfId="2363" priority="787">
      <formula>OR(ISBLANK(AB116),AB116="Title",AB116="&gt;",AB116="Enter Title",AB116="&gt; Enter Title")</formula>
    </cfRule>
  </conditionalFormatting>
  <conditionalFormatting sqref="AT117">
    <cfRule type="expression" dxfId="2362" priority="786">
      <formula>OR(ISBLANK(AB116),AB116="Title",AB116="&gt;",AB116="Enter Title",AB116="&gt; Enter Title")</formula>
    </cfRule>
  </conditionalFormatting>
  <conditionalFormatting sqref="AS117">
    <cfRule type="expression" dxfId="2361" priority="785">
      <formula>OR(ISBLANK(AB116),AB116="Title",AB116="&gt;",AB116="Enter Title",AB116="&gt; Enter Title")</formula>
    </cfRule>
  </conditionalFormatting>
  <conditionalFormatting sqref="AR117">
    <cfRule type="expression" dxfId="2360" priority="784">
      <formula>OR(ISBLANK(AB116),AB116="Title",AB116="&gt;",AB116="Enter Title",AB116="&gt; Enter Title")</formula>
    </cfRule>
  </conditionalFormatting>
  <conditionalFormatting sqref="AQ117">
    <cfRule type="expression" dxfId="2359" priority="783">
      <formula>OR(ISBLANK(AB116),AB116="Title",AB116="&gt;",AB116="Enter Title",AB116="&gt; Enter Title")</formula>
    </cfRule>
  </conditionalFormatting>
  <conditionalFormatting sqref="AQ116">
    <cfRule type="cellIs" dxfId="2358" priority="782" operator="greaterThan">
      <formula>0</formula>
    </cfRule>
  </conditionalFormatting>
  <conditionalFormatting sqref="AQ116:AR116">
    <cfRule type="expression" dxfId="2357" priority="781">
      <formula>OR(ISBLANK(AB116),AB116="Title",AB116="&gt;",AB116="Enter Title",AB116="&gt; Enter Title")</formula>
    </cfRule>
  </conditionalFormatting>
  <conditionalFormatting sqref="AS116:AT116">
    <cfRule type="expression" dxfId="2356" priority="780">
      <formula>OR(ISBLANK(AB116),AB116="Title",AB116="&gt;",AB116="Enter Title",AB116="&gt; Enter Title")</formula>
    </cfRule>
  </conditionalFormatting>
  <conditionalFormatting sqref="AU116">
    <cfRule type="expression" dxfId="2355" priority="779">
      <formula>OR(ISBLANK(AB116),AB116="Title",AB116="&gt;",AB116="Enter Title",AB116="&gt; Enter Title")</formula>
    </cfRule>
  </conditionalFormatting>
  <conditionalFormatting sqref="AV116:AW116">
    <cfRule type="expression" dxfId="2354" priority="778">
      <formula>OR(ISBLANK(AB116),AB116="Title",AB116="&gt;",AB116="Enter Title",AB116="&gt; Enter Title")</formula>
    </cfRule>
  </conditionalFormatting>
  <conditionalFormatting sqref="AJ117:AL117">
    <cfRule type="expression" dxfId="2353" priority="777">
      <formula>AS116=0</formula>
    </cfRule>
  </conditionalFormatting>
  <conditionalFormatting sqref="AB117:AI117">
    <cfRule type="expression" dxfId="2352" priority="776">
      <formula>AS116=0</formula>
    </cfRule>
  </conditionalFormatting>
  <conditionalFormatting sqref="AM107">
    <cfRule type="expression" dxfId="2351" priority="775">
      <formula>AS106=0</formula>
    </cfRule>
  </conditionalFormatting>
  <conditionalFormatting sqref="AO107:AP107">
    <cfRule type="expression" dxfId="2350" priority="774">
      <formula>AS106=0</formula>
    </cfRule>
  </conditionalFormatting>
  <conditionalFormatting sqref="AM109">
    <cfRule type="expression" dxfId="2349" priority="773">
      <formula>AS108=0</formula>
    </cfRule>
  </conditionalFormatting>
  <conditionalFormatting sqref="AO109:AP109">
    <cfRule type="expression" dxfId="2348" priority="772">
      <formula>AS108=0</formula>
    </cfRule>
  </conditionalFormatting>
  <conditionalFormatting sqref="AM111">
    <cfRule type="expression" dxfId="2347" priority="771">
      <formula>AS110=0</formula>
    </cfRule>
  </conditionalFormatting>
  <conditionalFormatting sqref="AO111:AP111">
    <cfRule type="expression" dxfId="2346" priority="770">
      <formula>AS110=0</formula>
    </cfRule>
  </conditionalFormatting>
  <conditionalFormatting sqref="AM113">
    <cfRule type="expression" dxfId="2345" priority="769">
      <formula>AS112=0</formula>
    </cfRule>
  </conditionalFormatting>
  <conditionalFormatting sqref="AO113:AP113">
    <cfRule type="expression" dxfId="2344" priority="768">
      <formula>AS112=0</formula>
    </cfRule>
  </conditionalFormatting>
  <conditionalFormatting sqref="AM115">
    <cfRule type="expression" dxfId="2343" priority="767">
      <formula>AS114=0</formula>
    </cfRule>
  </conditionalFormatting>
  <conditionalFormatting sqref="AO115:AP115">
    <cfRule type="expression" dxfId="2342" priority="766">
      <formula>AS114=0</formula>
    </cfRule>
  </conditionalFormatting>
  <conditionalFormatting sqref="AM117">
    <cfRule type="expression" dxfId="2341" priority="765">
      <formula>AS116=0</formula>
    </cfRule>
  </conditionalFormatting>
  <conditionalFormatting sqref="AO117:AP117">
    <cfRule type="expression" dxfId="2340" priority="764">
      <formula>AS116=0</formula>
    </cfRule>
  </conditionalFormatting>
  <conditionalFormatting sqref="AX110:AZ110">
    <cfRule type="expression" dxfId="2339" priority="763">
      <formula>OR(ISBLANK(AB110),AB110="Title",AB110="&gt;",AB110="Enter Title",AB110="&gt; Enter Title")</formula>
    </cfRule>
  </conditionalFormatting>
  <conditionalFormatting sqref="AM110">
    <cfRule type="expression" dxfId="2338" priority="961">
      <formula>AS110=0</formula>
    </cfRule>
  </conditionalFormatting>
  <conditionalFormatting sqref="AM112">
    <cfRule type="expression" dxfId="2337" priority="762">
      <formula>AS112=0</formula>
    </cfRule>
  </conditionalFormatting>
  <conditionalFormatting sqref="AM114">
    <cfRule type="expression" dxfId="2336" priority="761">
      <formula>AS114=0</formula>
    </cfRule>
  </conditionalFormatting>
  <conditionalFormatting sqref="AM116">
    <cfRule type="expression" dxfId="2335" priority="760">
      <formula>AS116=0</formula>
    </cfRule>
  </conditionalFormatting>
  <conditionalFormatting sqref="AM108">
    <cfRule type="expression" dxfId="2334" priority="759">
      <formula>AS108=0</formula>
    </cfRule>
  </conditionalFormatting>
  <conditionalFormatting sqref="AM106">
    <cfRule type="expression" dxfId="2333" priority="758">
      <formula>AS106=0</formula>
    </cfRule>
  </conditionalFormatting>
  <conditionalFormatting sqref="AX112:AZ112">
    <cfRule type="expression" dxfId="2332" priority="757">
      <formula>OR(ISBLANK(AB112),AB112="Title",AB112="&gt;",AB112="Enter Title",AB112="&gt; Enter Title")</formula>
    </cfRule>
  </conditionalFormatting>
  <conditionalFormatting sqref="AX114:AZ114">
    <cfRule type="expression" dxfId="2331" priority="756">
      <formula>OR(ISBLANK(AB114),AB114="Title",AB114="&gt;",AB114="Enter Title",AB114="&gt; Enter Title")</formula>
    </cfRule>
  </conditionalFormatting>
  <conditionalFormatting sqref="AX116:AZ116">
    <cfRule type="expression" dxfId="2330" priority="755">
      <formula>OR(ISBLANK(AB116),AB116="Title",AB116="&gt;",AB116="Enter Title",AB116="&gt; Enter Title")</formula>
    </cfRule>
  </conditionalFormatting>
  <conditionalFormatting sqref="AX108:AZ108">
    <cfRule type="expression" dxfId="2329" priority="754">
      <formula>OR(ISBLANK(AB108),AB108="Title",AB108="&gt;",AB108="Enter Title",AB108="&gt; Enter Title")</formula>
    </cfRule>
  </conditionalFormatting>
  <conditionalFormatting sqref="AX106:AZ106">
    <cfRule type="expression" dxfId="2328" priority="753">
      <formula>OR(ISBLANK(AB106),AB106="Title",AB106="&gt;",AB106="Enter Title",AB106="&gt; Enter Title")</formula>
    </cfRule>
  </conditionalFormatting>
  <conditionalFormatting sqref="U118:V119">
    <cfRule type="expression" dxfId="2327" priority="752">
      <formula>ISBLANK(P122)</formula>
    </cfRule>
  </conditionalFormatting>
  <conditionalFormatting sqref="P118:Q119">
    <cfRule type="expression" dxfId="2326" priority="751">
      <formula>ISBLANK(P122)</formula>
    </cfRule>
  </conditionalFormatting>
  <conditionalFormatting sqref="P120:V121">
    <cfRule type="expression" dxfId="2325" priority="750">
      <formula>ISBLANK(P122)</formula>
    </cfRule>
  </conditionalFormatting>
  <conditionalFormatting sqref="R118:T119">
    <cfRule type="expression" dxfId="2324" priority="748">
      <formula>AND(ISBLANK(P120),ISBLANK(P122))</formula>
    </cfRule>
    <cfRule type="expression" dxfId="2323" priority="749">
      <formula>ISBLANK(P122)</formula>
    </cfRule>
  </conditionalFormatting>
  <conditionalFormatting sqref="L106:M107">
    <cfRule type="expression" dxfId="2322" priority="747">
      <formula>ISBLANK(G110)</formula>
    </cfRule>
  </conditionalFormatting>
  <conditionalFormatting sqref="G106:H107">
    <cfRule type="expression" dxfId="2321" priority="746">
      <formula>ISBLANK(G110)</formula>
    </cfRule>
  </conditionalFormatting>
  <conditionalFormatting sqref="G108:M109">
    <cfRule type="expression" dxfId="2320" priority="745">
      <formula>ISBLANK(G110)</formula>
    </cfRule>
  </conditionalFormatting>
  <conditionalFormatting sqref="I106:K107">
    <cfRule type="expression" dxfId="2319" priority="743">
      <formula>AND(ISBLANK(G108),ISBLANK(G110))</formula>
    </cfRule>
    <cfRule type="expression" dxfId="2318" priority="744">
      <formula>ISBLANK(G110)</formula>
    </cfRule>
  </conditionalFormatting>
  <conditionalFormatting sqref="U106:V107">
    <cfRule type="expression" dxfId="2317" priority="742">
      <formula>ISBLANK(P110)</formula>
    </cfRule>
  </conditionalFormatting>
  <conditionalFormatting sqref="P106:Q107">
    <cfRule type="expression" dxfId="2316" priority="741">
      <formula>ISBLANK(P110)</formula>
    </cfRule>
  </conditionalFormatting>
  <conditionalFormatting sqref="P108:V109">
    <cfRule type="expression" dxfId="2315" priority="740">
      <formula>ISBLANK(P110)</formula>
    </cfRule>
  </conditionalFormatting>
  <conditionalFormatting sqref="R106:T107">
    <cfRule type="expression" dxfId="2314" priority="738">
      <formula>AND(ISBLANK(P108),ISBLANK(P110))</formula>
    </cfRule>
    <cfRule type="expression" dxfId="2313" priority="739">
      <formula>ISBLANK(P110)</formula>
    </cfRule>
  </conditionalFormatting>
  <conditionalFormatting sqref="L112:M113">
    <cfRule type="expression" dxfId="2312" priority="737">
      <formula>ISBLANK(G116)</formula>
    </cfRule>
  </conditionalFormatting>
  <conditionalFormatting sqref="G112:H113">
    <cfRule type="expression" dxfId="2311" priority="736">
      <formula>ISBLANK(G116)</formula>
    </cfRule>
  </conditionalFormatting>
  <conditionalFormatting sqref="G114:M115">
    <cfRule type="expression" dxfId="2310" priority="735">
      <formula>ISBLANK(G116)</formula>
    </cfRule>
  </conditionalFormatting>
  <conditionalFormatting sqref="I112:K113">
    <cfRule type="expression" dxfId="2309" priority="733">
      <formula>AND(ISBLANK(G114),ISBLANK(G116))</formula>
    </cfRule>
    <cfRule type="expression" dxfId="2308" priority="734">
      <formula>ISBLANK(G116)</formula>
    </cfRule>
  </conditionalFormatting>
  <conditionalFormatting sqref="U112:V113">
    <cfRule type="expression" dxfId="2307" priority="732">
      <formula>ISBLANK(P116)</formula>
    </cfRule>
  </conditionalFormatting>
  <conditionalFormatting sqref="P112:Q113">
    <cfRule type="expression" dxfId="2306" priority="731">
      <formula>ISBLANK(P116)</formula>
    </cfRule>
  </conditionalFormatting>
  <conditionalFormatting sqref="P114:V115">
    <cfRule type="expression" dxfId="2305" priority="730">
      <formula>ISBLANK(P116)</formula>
    </cfRule>
  </conditionalFormatting>
  <conditionalFormatting sqref="R112:T113">
    <cfRule type="expression" dxfId="2304" priority="728">
      <formula>AND(ISBLANK(P114),ISBLANK(P116))</formula>
    </cfRule>
    <cfRule type="expression" dxfId="2303" priority="729">
      <formula>ISBLANK(P116)</formula>
    </cfRule>
  </conditionalFormatting>
  <conditionalFormatting sqref="L118:M119">
    <cfRule type="expression" dxfId="2302" priority="727">
      <formula>ISBLANK(G122)</formula>
    </cfRule>
  </conditionalFormatting>
  <conditionalFormatting sqref="G118:H119">
    <cfRule type="expression" dxfId="2301" priority="726">
      <formula>ISBLANK(G122)</formula>
    </cfRule>
  </conditionalFormatting>
  <conditionalFormatting sqref="G120:M121">
    <cfRule type="expression" dxfId="2300" priority="725">
      <formula>ISBLANK(G122)</formula>
    </cfRule>
  </conditionalFormatting>
  <conditionalFormatting sqref="I118:K119">
    <cfRule type="expression" dxfId="2299" priority="723">
      <formula>AND(ISBLANK(G120),ISBLANK(G122))</formula>
    </cfRule>
    <cfRule type="expression" dxfId="2298" priority="724">
      <formula>ISBLANK(G122)</formula>
    </cfRule>
  </conditionalFormatting>
  <conditionalFormatting sqref="U124:V125">
    <cfRule type="expression" dxfId="2297" priority="717">
      <formula>ISBLANK(P128)</formula>
    </cfRule>
  </conditionalFormatting>
  <conditionalFormatting sqref="P124:Q125">
    <cfRule type="expression" dxfId="2296" priority="716">
      <formula>ISBLANK(P128)</formula>
    </cfRule>
  </conditionalFormatting>
  <conditionalFormatting sqref="P126:V127">
    <cfRule type="expression" dxfId="2295" priority="715">
      <formula>ISBLANK(P128)</formula>
    </cfRule>
  </conditionalFormatting>
  <conditionalFormatting sqref="R124:T125">
    <cfRule type="expression" dxfId="2294" priority="713">
      <formula>AND(ISBLANK(P126),ISBLANK(P128))</formula>
    </cfRule>
    <cfRule type="expression" dxfId="2293" priority="714">
      <formula>ISBLANK(P128)</formula>
    </cfRule>
  </conditionalFormatting>
  <conditionalFormatting sqref="BT118:BU119">
    <cfRule type="expression" dxfId="2292" priority="712">
      <formula>ISBLANK(BO122)</formula>
    </cfRule>
  </conditionalFormatting>
  <conditionalFormatting sqref="BO118:BP119">
    <cfRule type="expression" dxfId="2291" priority="711">
      <formula>ISBLANK(BO122)</formula>
    </cfRule>
  </conditionalFormatting>
  <conditionalFormatting sqref="BO120:BU121">
    <cfRule type="expression" dxfId="2290" priority="710">
      <formula>ISBLANK(BO122)</formula>
    </cfRule>
  </conditionalFormatting>
  <conditionalFormatting sqref="BQ118:BS119">
    <cfRule type="expression" dxfId="2289" priority="708">
      <formula>AND(ISBLANK(BO120),ISBLANK(BO122))</formula>
    </cfRule>
    <cfRule type="expression" dxfId="2288" priority="709">
      <formula>ISBLANK(BO122)</formula>
    </cfRule>
  </conditionalFormatting>
  <conditionalFormatting sqref="BK106:BL107">
    <cfRule type="expression" dxfId="2287" priority="707">
      <formula>ISBLANK(BF110)</formula>
    </cfRule>
  </conditionalFormatting>
  <conditionalFormatting sqref="BF106:BG107">
    <cfRule type="expression" dxfId="2286" priority="706">
      <formula>ISBLANK(BF110)</formula>
    </cfRule>
  </conditionalFormatting>
  <conditionalFormatting sqref="BF108:BL109">
    <cfRule type="expression" dxfId="2285" priority="705">
      <formula>ISBLANK(BF110)</formula>
    </cfRule>
  </conditionalFormatting>
  <conditionalFormatting sqref="BH106:BJ107">
    <cfRule type="expression" dxfId="2284" priority="703">
      <formula>AND(ISBLANK(BF108),ISBLANK(BF110))</formula>
    </cfRule>
    <cfRule type="expression" dxfId="2283" priority="704">
      <formula>ISBLANK(BF110)</formula>
    </cfRule>
  </conditionalFormatting>
  <conditionalFormatting sqref="BT106:BU107">
    <cfRule type="expression" dxfId="2282" priority="702">
      <formula>ISBLANK(BO110)</formula>
    </cfRule>
  </conditionalFormatting>
  <conditionalFormatting sqref="BO106:BP107">
    <cfRule type="expression" dxfId="2281" priority="701">
      <formula>ISBLANK(BO110)</formula>
    </cfRule>
  </conditionalFormatting>
  <conditionalFormatting sqref="BO108:BU109">
    <cfRule type="expression" dxfId="2280" priority="700">
      <formula>ISBLANK(BO110)</formula>
    </cfRule>
  </conditionalFormatting>
  <conditionalFormatting sqref="BQ106:BS107">
    <cfRule type="expression" dxfId="2279" priority="698">
      <formula>AND(ISBLANK(BO108),ISBLANK(BO110))</formula>
    </cfRule>
    <cfRule type="expression" dxfId="2278" priority="699">
      <formula>ISBLANK(BO110)</formula>
    </cfRule>
  </conditionalFormatting>
  <conditionalFormatting sqref="BK112:BL113">
    <cfRule type="expression" dxfId="2277" priority="697">
      <formula>ISBLANK(BF116)</formula>
    </cfRule>
  </conditionalFormatting>
  <conditionalFormatting sqref="BF112:BG113">
    <cfRule type="expression" dxfId="2276" priority="696">
      <formula>ISBLANK(BF116)</formula>
    </cfRule>
  </conditionalFormatting>
  <conditionalFormatting sqref="BF114:BL115">
    <cfRule type="expression" dxfId="2275" priority="695">
      <formula>ISBLANK(BF116)</formula>
    </cfRule>
  </conditionalFormatting>
  <conditionalFormatting sqref="BH112:BJ113">
    <cfRule type="expression" dxfId="2274" priority="693">
      <formula>AND(ISBLANK(BF114),ISBLANK(BF116))</formula>
    </cfRule>
    <cfRule type="expression" dxfId="2273" priority="694">
      <formula>ISBLANK(BF116)</formula>
    </cfRule>
  </conditionalFormatting>
  <conditionalFormatting sqref="BT112:BU113">
    <cfRule type="expression" dxfId="2272" priority="692">
      <formula>ISBLANK(BO116)</formula>
    </cfRule>
  </conditionalFormatting>
  <conditionalFormatting sqref="BO112:BP113">
    <cfRule type="expression" dxfId="2271" priority="691">
      <formula>ISBLANK(BO116)</formula>
    </cfRule>
  </conditionalFormatting>
  <conditionalFormatting sqref="BO114:BU115">
    <cfRule type="expression" dxfId="2270" priority="690">
      <formula>ISBLANK(BO116)</formula>
    </cfRule>
  </conditionalFormatting>
  <conditionalFormatting sqref="BQ112:BS113">
    <cfRule type="expression" dxfId="2269" priority="688">
      <formula>AND(ISBLANK(BO114),ISBLANK(BO116))</formula>
    </cfRule>
    <cfRule type="expression" dxfId="2268" priority="689">
      <formula>ISBLANK(BO116)</formula>
    </cfRule>
  </conditionalFormatting>
  <conditionalFormatting sqref="BK118:BL119">
    <cfRule type="expression" dxfId="2267" priority="687">
      <formula>ISBLANK(BF122)</formula>
    </cfRule>
  </conditionalFormatting>
  <conditionalFormatting sqref="BF118:BG119">
    <cfRule type="expression" dxfId="2266" priority="686">
      <formula>ISBLANK(BF122)</formula>
    </cfRule>
  </conditionalFormatting>
  <conditionalFormatting sqref="BF120:BL121">
    <cfRule type="expression" dxfId="2265" priority="685">
      <formula>ISBLANK(BF122)</formula>
    </cfRule>
  </conditionalFormatting>
  <conditionalFormatting sqref="BH118:BJ119">
    <cfRule type="expression" dxfId="2264" priority="683">
      <formula>AND(ISBLANK(BF120),ISBLANK(BF122))</formula>
    </cfRule>
    <cfRule type="expression" dxfId="2263" priority="684">
      <formula>ISBLANK(BF122)</formula>
    </cfRule>
  </conditionalFormatting>
  <conditionalFormatting sqref="BK124:BL125">
    <cfRule type="expression" dxfId="2262" priority="682">
      <formula>ISBLANK(BF128)</formula>
    </cfRule>
  </conditionalFormatting>
  <conditionalFormatting sqref="BF124:BG125">
    <cfRule type="expression" dxfId="2261" priority="681">
      <formula>ISBLANK(BF128)</formula>
    </cfRule>
  </conditionalFormatting>
  <conditionalFormatting sqref="BF126:BL127">
    <cfRule type="expression" dxfId="2260" priority="680">
      <formula>ISBLANK(BF128)</formula>
    </cfRule>
  </conditionalFormatting>
  <conditionalFormatting sqref="BH124:BJ125">
    <cfRule type="expression" dxfId="2259" priority="678">
      <formula>AND(ISBLANK(BF126),ISBLANK(BF128))</formula>
    </cfRule>
    <cfRule type="expression" dxfId="2258" priority="679">
      <formula>ISBLANK(BF128)</formula>
    </cfRule>
  </conditionalFormatting>
  <conditionalFormatting sqref="BT124:BU125">
    <cfRule type="expression" dxfId="2257" priority="677">
      <formula>ISBLANK(BO128)</formula>
    </cfRule>
  </conditionalFormatting>
  <conditionalFormatting sqref="BO124:BP125">
    <cfRule type="expression" dxfId="2256" priority="676">
      <formula>ISBLANK(BO128)</formula>
    </cfRule>
  </conditionalFormatting>
  <conditionalFormatting sqref="BQ124:BS125">
    <cfRule type="expression" dxfId="2255" priority="673">
      <formula>AND(ISBLANK(BO126),ISBLANK(BO128))</formula>
    </cfRule>
    <cfRule type="expression" dxfId="2254" priority="674">
      <formula>ISBLANK(BO128)</formula>
    </cfRule>
  </conditionalFormatting>
  <conditionalFormatting sqref="AB118">
    <cfRule type="expression" dxfId="2253" priority="672">
      <formula>AS118=0</formula>
    </cfRule>
  </conditionalFormatting>
  <conditionalFormatting sqref="AQ119">
    <cfRule type="expression" dxfId="2252" priority="671">
      <formula>AQ118&gt;=10%</formula>
    </cfRule>
  </conditionalFormatting>
  <conditionalFormatting sqref="AR119">
    <cfRule type="expression" dxfId="2251" priority="670">
      <formula>AQ118&gt;=20%</formula>
    </cfRule>
  </conditionalFormatting>
  <conditionalFormatting sqref="AS119">
    <cfRule type="expression" dxfId="2250" priority="669">
      <formula>AQ118&gt;=30%</formula>
    </cfRule>
  </conditionalFormatting>
  <conditionalFormatting sqref="AT119">
    <cfRule type="expression" dxfId="2249" priority="668">
      <formula>AQ118&gt;=40%</formula>
    </cfRule>
  </conditionalFormatting>
  <conditionalFormatting sqref="AU119">
    <cfRule type="expression" dxfId="2248" priority="667">
      <formula>AQ118&gt;=50%</formula>
    </cfRule>
  </conditionalFormatting>
  <conditionalFormatting sqref="AV119">
    <cfRule type="expression" dxfId="2247" priority="666">
      <formula>AQ118&gt;=60%</formula>
    </cfRule>
  </conditionalFormatting>
  <conditionalFormatting sqref="AW119">
    <cfRule type="expression" dxfId="2246" priority="665">
      <formula>AQ118&gt;=70%</formula>
    </cfRule>
  </conditionalFormatting>
  <conditionalFormatting sqref="AX119">
    <cfRule type="expression" dxfId="2245" priority="664">
      <formula>AQ118&gt;=80%</formula>
    </cfRule>
  </conditionalFormatting>
  <conditionalFormatting sqref="AY119">
    <cfRule type="expression" dxfId="2244" priority="663">
      <formula>AQ118&gt;=90%</formula>
    </cfRule>
  </conditionalFormatting>
  <conditionalFormatting sqref="AZ119">
    <cfRule type="expression" dxfId="2243" priority="662">
      <formula>AQ118&gt;=100%</formula>
    </cfRule>
  </conditionalFormatting>
  <conditionalFormatting sqref="AZ119">
    <cfRule type="expression" dxfId="2242" priority="661">
      <formula>OR(ISBLANK(AB118),AB118="Title",AB118="&gt;",AB118="Enter Title",AB118="&gt; Enter Title")</formula>
    </cfRule>
  </conditionalFormatting>
  <conditionalFormatting sqref="AY119">
    <cfRule type="expression" dxfId="2241" priority="660">
      <formula>OR(ISBLANK(AB118),AB118="Title",AB118="&gt;",AB118="Enter Title",AB118="&gt; Enter Title")</formula>
    </cfRule>
  </conditionalFormatting>
  <conditionalFormatting sqref="AX119">
    <cfRule type="expression" dxfId="2240" priority="659">
      <formula>OR(ISBLANK(AB118),AB118="Title",AB118="&gt;",AB118="Enter Title",AB118="&gt; Enter Title")</formula>
    </cfRule>
  </conditionalFormatting>
  <conditionalFormatting sqref="AW119">
    <cfRule type="expression" dxfId="2239" priority="658">
      <formula>OR(ISBLANK(AB118),AB118="Title",AB118="&gt;",AB118="Enter Title",AB118="&gt; Enter Title")</formula>
    </cfRule>
  </conditionalFormatting>
  <conditionalFormatting sqref="AV119">
    <cfRule type="expression" dxfId="2238" priority="657">
      <formula>OR(ISBLANK(AB118),AB118="Title",AB118="&gt;",AB118="Enter Title",AB118="&gt; Enter Title")</formula>
    </cfRule>
  </conditionalFormatting>
  <conditionalFormatting sqref="AU119">
    <cfRule type="expression" dxfId="2237" priority="656">
      <formula>OR(ISBLANK(AB118),AB118="Title",AB118="&gt;",AB118="Enter Title",AB118="&gt; Enter Title")</formula>
    </cfRule>
  </conditionalFormatting>
  <conditionalFormatting sqref="AT119">
    <cfRule type="expression" dxfId="2236" priority="655">
      <formula>OR(ISBLANK(AB118),AB118="Title",AB118="&gt;",AB118="Enter Title",AB118="&gt; Enter Title")</formula>
    </cfRule>
  </conditionalFormatting>
  <conditionalFormatting sqref="AS119">
    <cfRule type="expression" dxfId="2235" priority="654">
      <formula>OR(ISBLANK(AB118),AB118="Title",AB118="&gt;",AB118="Enter Title",AB118="&gt; Enter Title")</formula>
    </cfRule>
  </conditionalFormatting>
  <conditionalFormatting sqref="AR119">
    <cfRule type="expression" dxfId="2234" priority="653">
      <formula>OR(ISBLANK(AB118),AB118="Title",AB118="&gt;",AB118="Enter Title",AB118="&gt; Enter Title")</formula>
    </cfRule>
  </conditionalFormatting>
  <conditionalFormatting sqref="AQ119">
    <cfRule type="expression" dxfId="2233" priority="652">
      <formula>OR(ISBLANK(AB118),AB118="Title",AB118="&gt;",AB118="Enter Title",AB118="&gt; Enter Title")</formula>
    </cfRule>
  </conditionalFormatting>
  <conditionalFormatting sqref="AQ118">
    <cfRule type="cellIs" dxfId="2232" priority="651" operator="greaterThan">
      <formula>0</formula>
    </cfRule>
  </conditionalFormatting>
  <conditionalFormatting sqref="AQ118:AR118">
    <cfRule type="expression" dxfId="2231" priority="650">
      <formula>OR(ISBLANK(AB118),AB118="Title",AB118="&gt;",AB118="Enter Title",AB118="&gt; Enter Title")</formula>
    </cfRule>
  </conditionalFormatting>
  <conditionalFormatting sqref="AS118:AT118">
    <cfRule type="expression" dxfId="2230" priority="649">
      <formula>OR(ISBLANK(AB118),AB118="Title",AB118="&gt;",AB118="Enter Title",AB118="&gt; Enter Title")</formula>
    </cfRule>
  </conditionalFormatting>
  <conditionalFormatting sqref="AU118">
    <cfRule type="expression" dxfId="2229" priority="648">
      <formula>OR(ISBLANK(AB118),AB118="Title",AB118="&gt;",AB118="Enter Title",AB118="&gt; Enter Title")</formula>
    </cfRule>
  </conditionalFormatting>
  <conditionalFormatting sqref="AV118:AW118">
    <cfRule type="expression" dxfId="2228" priority="647">
      <formula>OR(ISBLANK(AB118),AB118="Title",AB118="&gt;",AB118="Enter Title",AB118="&gt; Enter Title")</formula>
    </cfRule>
  </conditionalFormatting>
  <conditionalFormatting sqref="AJ119:AL119">
    <cfRule type="expression" dxfId="2227" priority="646">
      <formula>AS118=0</formula>
    </cfRule>
  </conditionalFormatting>
  <conditionalFormatting sqref="AB119:AI119">
    <cfRule type="expression" dxfId="2226" priority="645">
      <formula>AS118=0</formula>
    </cfRule>
  </conditionalFormatting>
  <conditionalFormatting sqref="AM119">
    <cfRule type="expression" dxfId="2225" priority="644">
      <formula>AS118=0</formula>
    </cfRule>
  </conditionalFormatting>
  <conditionalFormatting sqref="AO119:AP119">
    <cfRule type="expression" dxfId="2224" priority="643">
      <formula>AS118=0</formula>
    </cfRule>
  </conditionalFormatting>
  <conditionalFormatting sqref="AM118">
    <cfRule type="expression" dxfId="2223" priority="642">
      <formula>AS118=0</formula>
    </cfRule>
  </conditionalFormatting>
  <conditionalFormatting sqref="AX118:AZ118">
    <cfRule type="expression" dxfId="2222" priority="641">
      <formula>OR(ISBLANK(AB118),AB118="Title",AB118="&gt;",AB118="Enter Title",AB118="&gt; Enter Title")</formula>
    </cfRule>
  </conditionalFormatting>
  <conditionalFormatting sqref="AB120">
    <cfRule type="expression" dxfId="2221" priority="640">
      <formula>AS120=0</formula>
    </cfRule>
  </conditionalFormatting>
  <conditionalFormatting sqref="AQ121">
    <cfRule type="expression" dxfId="2220" priority="639">
      <formula>AQ120&gt;=10%</formula>
    </cfRule>
  </conditionalFormatting>
  <conditionalFormatting sqref="AR121">
    <cfRule type="expression" dxfId="2219" priority="638">
      <formula>AQ120&gt;=20%</formula>
    </cfRule>
  </conditionalFormatting>
  <conditionalFormatting sqref="AS121">
    <cfRule type="expression" dxfId="2218" priority="637">
      <formula>AQ120&gt;=30%</formula>
    </cfRule>
  </conditionalFormatting>
  <conditionalFormatting sqref="AT121">
    <cfRule type="expression" dxfId="2217" priority="636">
      <formula>AQ120&gt;=40%</formula>
    </cfRule>
  </conditionalFormatting>
  <conditionalFormatting sqref="AU121">
    <cfRule type="expression" dxfId="2216" priority="635">
      <formula>AQ120&gt;=50%</formula>
    </cfRule>
  </conditionalFormatting>
  <conditionalFormatting sqref="AV121">
    <cfRule type="expression" dxfId="2215" priority="634">
      <formula>AQ120&gt;=60%</formula>
    </cfRule>
  </conditionalFormatting>
  <conditionalFormatting sqref="AW121">
    <cfRule type="expression" dxfId="2214" priority="633">
      <formula>AQ120&gt;=70%</formula>
    </cfRule>
  </conditionalFormatting>
  <conditionalFormatting sqref="AX121">
    <cfRule type="expression" dxfId="2213" priority="632">
      <formula>AQ120&gt;=80%</formula>
    </cfRule>
  </conditionalFormatting>
  <conditionalFormatting sqref="AY121">
    <cfRule type="expression" dxfId="2212" priority="631">
      <formula>AQ120&gt;=90%</formula>
    </cfRule>
  </conditionalFormatting>
  <conditionalFormatting sqref="AZ121">
    <cfRule type="expression" dxfId="2211" priority="630">
      <formula>AQ120&gt;=100%</formula>
    </cfRule>
  </conditionalFormatting>
  <conditionalFormatting sqref="AZ121">
    <cfRule type="expression" dxfId="2210" priority="629">
      <formula>OR(ISBLANK(AB120),AB120="Title",AB120="&gt;",AB120="Enter Title",AB120="&gt; Enter Title")</formula>
    </cfRule>
  </conditionalFormatting>
  <conditionalFormatting sqref="AY121">
    <cfRule type="expression" dxfId="2209" priority="628">
      <formula>OR(ISBLANK(AB120),AB120="Title",AB120="&gt;",AB120="Enter Title",AB120="&gt; Enter Title")</formula>
    </cfRule>
  </conditionalFormatting>
  <conditionalFormatting sqref="AX121">
    <cfRule type="expression" dxfId="2208" priority="627">
      <formula>OR(ISBLANK(AB120),AB120="Title",AB120="&gt;",AB120="Enter Title",AB120="&gt; Enter Title")</formula>
    </cfRule>
  </conditionalFormatting>
  <conditionalFormatting sqref="AW121">
    <cfRule type="expression" dxfId="2207" priority="626">
      <formula>OR(ISBLANK(AB120),AB120="Title",AB120="&gt;",AB120="Enter Title",AB120="&gt; Enter Title")</formula>
    </cfRule>
  </conditionalFormatting>
  <conditionalFormatting sqref="AV121">
    <cfRule type="expression" dxfId="2206" priority="625">
      <formula>OR(ISBLANK(AB120),AB120="Title",AB120="&gt;",AB120="Enter Title",AB120="&gt; Enter Title")</formula>
    </cfRule>
  </conditionalFormatting>
  <conditionalFormatting sqref="AU121">
    <cfRule type="expression" dxfId="2205" priority="624">
      <formula>OR(ISBLANK(AB120),AB120="Title",AB120="&gt;",AB120="Enter Title",AB120="&gt; Enter Title")</formula>
    </cfRule>
  </conditionalFormatting>
  <conditionalFormatting sqref="AT121">
    <cfRule type="expression" dxfId="2204" priority="623">
      <formula>OR(ISBLANK(AB120),AB120="Title",AB120="&gt;",AB120="Enter Title",AB120="&gt; Enter Title")</formula>
    </cfRule>
  </conditionalFormatting>
  <conditionalFormatting sqref="AS121">
    <cfRule type="expression" dxfId="2203" priority="622">
      <formula>OR(ISBLANK(AB120),AB120="Title",AB120="&gt;",AB120="Enter Title",AB120="&gt; Enter Title")</formula>
    </cfRule>
  </conditionalFormatting>
  <conditionalFormatting sqref="AR121">
    <cfRule type="expression" dxfId="2202" priority="621">
      <formula>OR(ISBLANK(AB120),AB120="Title",AB120="&gt;",AB120="Enter Title",AB120="&gt; Enter Title")</formula>
    </cfRule>
  </conditionalFormatting>
  <conditionalFormatting sqref="AQ121">
    <cfRule type="expression" dxfId="2201" priority="620">
      <formula>OR(ISBLANK(AB120),AB120="Title",AB120="&gt;",AB120="Enter Title",AB120="&gt; Enter Title")</formula>
    </cfRule>
  </conditionalFormatting>
  <conditionalFormatting sqref="AQ120">
    <cfRule type="cellIs" dxfId="2200" priority="619" operator="greaterThan">
      <formula>0</formula>
    </cfRule>
  </conditionalFormatting>
  <conditionalFormatting sqref="AQ120:AR120">
    <cfRule type="expression" dxfId="2199" priority="618">
      <formula>OR(ISBLANK(AB120),AB120="Title",AB120="&gt;",AB120="Enter Title",AB120="&gt; Enter Title")</formula>
    </cfRule>
  </conditionalFormatting>
  <conditionalFormatting sqref="AS120:AT120">
    <cfRule type="expression" dxfId="2198" priority="617">
      <formula>OR(ISBLANK(AB120),AB120="Title",AB120="&gt;",AB120="Enter Title",AB120="&gt; Enter Title")</formula>
    </cfRule>
  </conditionalFormatting>
  <conditionalFormatting sqref="AU120">
    <cfRule type="expression" dxfId="2197" priority="616">
      <formula>OR(ISBLANK(AB120),AB120="Title",AB120="&gt;",AB120="Enter Title",AB120="&gt; Enter Title")</formula>
    </cfRule>
  </conditionalFormatting>
  <conditionalFormatting sqref="AV120:AW120">
    <cfRule type="expression" dxfId="2196" priority="615">
      <formula>OR(ISBLANK(AB120),AB120="Title",AB120="&gt;",AB120="Enter Title",AB120="&gt; Enter Title")</formula>
    </cfRule>
  </conditionalFormatting>
  <conditionalFormatting sqref="AJ121:AL121">
    <cfRule type="expression" dxfId="2195" priority="614">
      <formula>AS120=0</formula>
    </cfRule>
  </conditionalFormatting>
  <conditionalFormatting sqref="AB121:AI121">
    <cfRule type="expression" dxfId="2194" priority="613">
      <formula>AS120=0</formula>
    </cfRule>
  </conditionalFormatting>
  <conditionalFormatting sqref="AM121">
    <cfRule type="expression" dxfId="2193" priority="612">
      <formula>AS120=0</formula>
    </cfRule>
  </conditionalFormatting>
  <conditionalFormatting sqref="AO121:AP121">
    <cfRule type="expression" dxfId="2192" priority="611">
      <formula>AS120=0</formula>
    </cfRule>
  </conditionalFormatting>
  <conditionalFormatting sqref="AM120">
    <cfRule type="expression" dxfId="2191" priority="610">
      <formula>AS120=0</formula>
    </cfRule>
  </conditionalFormatting>
  <conditionalFormatting sqref="AX120:AZ120">
    <cfRule type="expression" dxfId="2190" priority="609">
      <formula>OR(ISBLANK(AB120),AB120="Title",AB120="&gt;",AB120="Enter Title",AB120="&gt; Enter Title")</formula>
    </cfRule>
  </conditionalFormatting>
  <conditionalFormatting sqref="AB122">
    <cfRule type="expression" dxfId="2189" priority="608">
      <formula>AS122=0</formula>
    </cfRule>
  </conditionalFormatting>
  <conditionalFormatting sqref="AQ123">
    <cfRule type="expression" dxfId="2188" priority="607">
      <formula>AQ122&gt;=10%</formula>
    </cfRule>
  </conditionalFormatting>
  <conditionalFormatting sqref="AR123">
    <cfRule type="expression" dxfId="2187" priority="606">
      <formula>AQ122&gt;=20%</formula>
    </cfRule>
  </conditionalFormatting>
  <conditionalFormatting sqref="AS123">
    <cfRule type="expression" dxfId="2186" priority="605">
      <formula>AQ122&gt;=30%</formula>
    </cfRule>
  </conditionalFormatting>
  <conditionalFormatting sqref="AT123">
    <cfRule type="expression" dxfId="2185" priority="604">
      <formula>AQ122&gt;=40%</formula>
    </cfRule>
  </conditionalFormatting>
  <conditionalFormatting sqref="AU123">
    <cfRule type="expression" dxfId="2184" priority="603">
      <formula>AQ122&gt;=50%</formula>
    </cfRule>
  </conditionalFormatting>
  <conditionalFormatting sqref="AV123">
    <cfRule type="expression" dxfId="2183" priority="602">
      <formula>AQ122&gt;=60%</formula>
    </cfRule>
  </conditionalFormatting>
  <conditionalFormatting sqref="AW123">
    <cfRule type="expression" dxfId="2182" priority="601">
      <formula>AQ122&gt;=70%</formula>
    </cfRule>
  </conditionalFormatting>
  <conditionalFormatting sqref="AX123">
    <cfRule type="expression" dxfId="2181" priority="600">
      <formula>AQ122&gt;=80%</formula>
    </cfRule>
  </conditionalFormatting>
  <conditionalFormatting sqref="AY123">
    <cfRule type="expression" dxfId="2180" priority="599">
      <formula>AQ122&gt;=90%</formula>
    </cfRule>
  </conditionalFormatting>
  <conditionalFormatting sqref="AZ123">
    <cfRule type="expression" dxfId="2179" priority="598">
      <formula>AQ122&gt;=100%</formula>
    </cfRule>
  </conditionalFormatting>
  <conditionalFormatting sqref="AZ123">
    <cfRule type="expression" dxfId="2178" priority="597">
      <formula>OR(ISBLANK(AB122),AB122="Title",AB122="&gt;",AB122="Enter Title",AB122="&gt; Enter Title")</formula>
    </cfRule>
  </conditionalFormatting>
  <conditionalFormatting sqref="AY123">
    <cfRule type="expression" dxfId="2177" priority="596">
      <formula>OR(ISBLANK(AB122),AB122="Title",AB122="&gt;",AB122="Enter Title",AB122="&gt; Enter Title")</formula>
    </cfRule>
  </conditionalFormatting>
  <conditionalFormatting sqref="AX123">
    <cfRule type="expression" dxfId="2176" priority="595">
      <formula>OR(ISBLANK(AB122),AB122="Title",AB122="&gt;",AB122="Enter Title",AB122="&gt; Enter Title")</formula>
    </cfRule>
  </conditionalFormatting>
  <conditionalFormatting sqref="AW123">
    <cfRule type="expression" dxfId="2175" priority="594">
      <formula>OR(ISBLANK(AB122),AB122="Title",AB122="&gt;",AB122="Enter Title",AB122="&gt; Enter Title")</formula>
    </cfRule>
  </conditionalFormatting>
  <conditionalFormatting sqref="AV123">
    <cfRule type="expression" dxfId="2174" priority="593">
      <formula>OR(ISBLANK(AB122),AB122="Title",AB122="&gt;",AB122="Enter Title",AB122="&gt; Enter Title")</formula>
    </cfRule>
  </conditionalFormatting>
  <conditionalFormatting sqref="AU123">
    <cfRule type="expression" dxfId="2173" priority="592">
      <formula>OR(ISBLANK(AB122),AB122="Title",AB122="&gt;",AB122="Enter Title",AB122="&gt; Enter Title")</formula>
    </cfRule>
  </conditionalFormatting>
  <conditionalFormatting sqref="AT123">
    <cfRule type="expression" dxfId="2172" priority="591">
      <formula>OR(ISBLANK(AB122),AB122="Title",AB122="&gt;",AB122="Enter Title",AB122="&gt; Enter Title")</formula>
    </cfRule>
  </conditionalFormatting>
  <conditionalFormatting sqref="AS123">
    <cfRule type="expression" dxfId="2171" priority="590">
      <formula>OR(ISBLANK(AB122),AB122="Title",AB122="&gt;",AB122="Enter Title",AB122="&gt; Enter Title")</formula>
    </cfRule>
  </conditionalFormatting>
  <conditionalFormatting sqref="AR123">
    <cfRule type="expression" dxfId="2170" priority="589">
      <formula>OR(ISBLANK(AB122),AB122="Title",AB122="&gt;",AB122="Enter Title",AB122="&gt; Enter Title")</formula>
    </cfRule>
  </conditionalFormatting>
  <conditionalFormatting sqref="AQ123">
    <cfRule type="expression" dxfId="2169" priority="588">
      <formula>OR(ISBLANK(AB122),AB122="Title",AB122="&gt;",AB122="Enter Title",AB122="&gt; Enter Title")</formula>
    </cfRule>
  </conditionalFormatting>
  <conditionalFormatting sqref="AQ122">
    <cfRule type="cellIs" dxfId="2168" priority="587" operator="greaterThan">
      <formula>0</formula>
    </cfRule>
  </conditionalFormatting>
  <conditionalFormatting sqref="AQ122:AR122">
    <cfRule type="expression" dxfId="2167" priority="586">
      <formula>OR(ISBLANK(AB122),AB122="Title",AB122="&gt;",AB122="Enter Title",AB122="&gt; Enter Title")</formula>
    </cfRule>
  </conditionalFormatting>
  <conditionalFormatting sqref="AS122:AT122">
    <cfRule type="expression" dxfId="2166" priority="585">
      <formula>OR(ISBLANK(AB122),AB122="Title",AB122="&gt;",AB122="Enter Title",AB122="&gt; Enter Title")</formula>
    </cfRule>
  </conditionalFormatting>
  <conditionalFormatting sqref="AU122">
    <cfRule type="expression" dxfId="2165" priority="584">
      <formula>OR(ISBLANK(AB122),AB122="Title",AB122="&gt;",AB122="Enter Title",AB122="&gt; Enter Title")</formula>
    </cfRule>
  </conditionalFormatting>
  <conditionalFormatting sqref="AV122:AW122">
    <cfRule type="expression" dxfId="2164" priority="583">
      <formula>OR(ISBLANK(AB122),AB122="Title",AB122="&gt;",AB122="Enter Title",AB122="&gt; Enter Title")</formula>
    </cfRule>
  </conditionalFormatting>
  <conditionalFormatting sqref="AJ123:AL123">
    <cfRule type="expression" dxfId="2163" priority="582">
      <formula>AS122=0</formula>
    </cfRule>
  </conditionalFormatting>
  <conditionalFormatting sqref="AB123:AI123">
    <cfRule type="expression" dxfId="2162" priority="581">
      <formula>AS122=0</formula>
    </cfRule>
  </conditionalFormatting>
  <conditionalFormatting sqref="AM123">
    <cfRule type="expression" dxfId="2161" priority="580">
      <formula>AS122=0</formula>
    </cfRule>
  </conditionalFormatting>
  <conditionalFormatting sqref="AO123:AP123">
    <cfRule type="expression" dxfId="2160" priority="579">
      <formula>AS122=0</formula>
    </cfRule>
  </conditionalFormatting>
  <conditionalFormatting sqref="AM122">
    <cfRule type="expression" dxfId="2159" priority="578">
      <formula>AS122=0</formula>
    </cfRule>
  </conditionalFormatting>
  <conditionalFormatting sqref="AX122:AZ122">
    <cfRule type="expression" dxfId="2158" priority="577">
      <formula>OR(ISBLANK(AB122),AB122="Title",AB122="&gt;",AB122="Enter Title",AB122="&gt; Enter Title")</formula>
    </cfRule>
  </conditionalFormatting>
  <conditionalFormatting sqref="AB124">
    <cfRule type="expression" dxfId="2157" priority="576">
      <formula>AS124=0</formula>
    </cfRule>
  </conditionalFormatting>
  <conditionalFormatting sqref="AQ125">
    <cfRule type="expression" dxfId="2156" priority="575">
      <formula>AQ124&gt;=10%</formula>
    </cfRule>
  </conditionalFormatting>
  <conditionalFormatting sqref="AR125">
    <cfRule type="expression" dxfId="2155" priority="574">
      <formula>AQ124&gt;=20%</formula>
    </cfRule>
  </conditionalFormatting>
  <conditionalFormatting sqref="AS125">
    <cfRule type="expression" dxfId="2154" priority="573">
      <formula>AQ124&gt;=30%</formula>
    </cfRule>
  </conditionalFormatting>
  <conditionalFormatting sqref="AT125">
    <cfRule type="expression" dxfId="2153" priority="572">
      <formula>AQ124&gt;=40%</formula>
    </cfRule>
  </conditionalFormatting>
  <conditionalFormatting sqref="AU125">
    <cfRule type="expression" dxfId="2152" priority="571">
      <formula>AQ124&gt;=50%</formula>
    </cfRule>
  </conditionalFormatting>
  <conditionalFormatting sqref="AV125">
    <cfRule type="expression" dxfId="2151" priority="570">
      <formula>AQ124&gt;=60%</formula>
    </cfRule>
  </conditionalFormatting>
  <conditionalFormatting sqref="AW125">
    <cfRule type="expression" dxfId="2150" priority="569">
      <formula>AQ124&gt;=70%</formula>
    </cfRule>
  </conditionalFormatting>
  <conditionalFormatting sqref="AX125">
    <cfRule type="expression" dxfId="2149" priority="568">
      <formula>AQ124&gt;=80%</formula>
    </cfRule>
  </conditionalFormatting>
  <conditionalFormatting sqref="AY125">
    <cfRule type="expression" dxfId="2148" priority="567">
      <formula>AQ124&gt;=90%</formula>
    </cfRule>
  </conditionalFormatting>
  <conditionalFormatting sqref="AZ125">
    <cfRule type="expression" dxfId="2147" priority="566">
      <formula>AQ124&gt;=100%</formula>
    </cfRule>
  </conditionalFormatting>
  <conditionalFormatting sqref="AZ125">
    <cfRule type="expression" dxfId="2146" priority="565">
      <formula>OR(ISBLANK(AB124),AB124="Title",AB124="&gt;",AB124="Enter Title",AB124="&gt; Enter Title")</formula>
    </cfRule>
  </conditionalFormatting>
  <conditionalFormatting sqref="AY125">
    <cfRule type="expression" dxfId="2145" priority="564">
      <formula>OR(ISBLANK(AB124),AB124="Title",AB124="&gt;",AB124="Enter Title",AB124="&gt; Enter Title")</formula>
    </cfRule>
  </conditionalFormatting>
  <conditionalFormatting sqref="AX125">
    <cfRule type="expression" dxfId="2144" priority="563">
      <formula>OR(ISBLANK(AB124),AB124="Title",AB124="&gt;",AB124="Enter Title",AB124="&gt; Enter Title")</formula>
    </cfRule>
  </conditionalFormatting>
  <conditionalFormatting sqref="AW125">
    <cfRule type="expression" dxfId="2143" priority="562">
      <formula>OR(ISBLANK(AB124),AB124="Title",AB124="&gt;",AB124="Enter Title",AB124="&gt; Enter Title")</formula>
    </cfRule>
  </conditionalFormatting>
  <conditionalFormatting sqref="AV125">
    <cfRule type="expression" dxfId="2142" priority="561">
      <formula>OR(ISBLANK(AB124),AB124="Title",AB124="&gt;",AB124="Enter Title",AB124="&gt; Enter Title")</formula>
    </cfRule>
  </conditionalFormatting>
  <conditionalFormatting sqref="AU125">
    <cfRule type="expression" dxfId="2141" priority="560">
      <formula>OR(ISBLANK(AB124),AB124="Title",AB124="&gt;",AB124="Enter Title",AB124="&gt; Enter Title")</formula>
    </cfRule>
  </conditionalFormatting>
  <conditionalFormatting sqref="AT125">
    <cfRule type="expression" dxfId="2140" priority="559">
      <formula>OR(ISBLANK(AB124),AB124="Title",AB124="&gt;",AB124="Enter Title",AB124="&gt; Enter Title")</formula>
    </cfRule>
  </conditionalFormatting>
  <conditionalFormatting sqref="AS125">
    <cfRule type="expression" dxfId="2139" priority="558">
      <formula>OR(ISBLANK(AB124),AB124="Title",AB124="&gt;",AB124="Enter Title",AB124="&gt; Enter Title")</formula>
    </cfRule>
  </conditionalFormatting>
  <conditionalFormatting sqref="AR125">
    <cfRule type="expression" dxfId="2138" priority="557">
      <formula>OR(ISBLANK(AB124),AB124="Title",AB124="&gt;",AB124="Enter Title",AB124="&gt; Enter Title")</formula>
    </cfRule>
  </conditionalFormatting>
  <conditionalFormatting sqref="AQ125">
    <cfRule type="expression" dxfId="2137" priority="556">
      <formula>OR(ISBLANK(AB124),AB124="Title",AB124="&gt;",AB124="Enter Title",AB124="&gt; Enter Title")</formula>
    </cfRule>
  </conditionalFormatting>
  <conditionalFormatting sqref="AQ124">
    <cfRule type="cellIs" dxfId="2136" priority="555" operator="greaterThan">
      <formula>0</formula>
    </cfRule>
  </conditionalFormatting>
  <conditionalFormatting sqref="AQ124:AR124">
    <cfRule type="expression" dxfId="2135" priority="554">
      <formula>OR(ISBLANK(AB124),AB124="Title",AB124="&gt;",AB124="Enter Title",AB124="&gt; Enter Title")</formula>
    </cfRule>
  </conditionalFormatting>
  <conditionalFormatting sqref="AS124:AT124">
    <cfRule type="expression" dxfId="2134" priority="553">
      <formula>OR(ISBLANK(AB124),AB124="Title",AB124="&gt;",AB124="Enter Title",AB124="&gt; Enter Title")</formula>
    </cfRule>
  </conditionalFormatting>
  <conditionalFormatting sqref="AU124">
    <cfRule type="expression" dxfId="2133" priority="552">
      <formula>OR(ISBLANK(AB124),AB124="Title",AB124="&gt;",AB124="Enter Title",AB124="&gt; Enter Title")</formula>
    </cfRule>
  </conditionalFormatting>
  <conditionalFormatting sqref="AV124:AW124">
    <cfRule type="expression" dxfId="2132" priority="551">
      <formula>OR(ISBLANK(AB124),AB124="Title",AB124="&gt;",AB124="Enter Title",AB124="&gt; Enter Title")</formula>
    </cfRule>
  </conditionalFormatting>
  <conditionalFormatting sqref="AJ125:AL125">
    <cfRule type="expression" dxfId="2131" priority="550">
      <formula>AS124=0</formula>
    </cfRule>
  </conditionalFormatting>
  <conditionalFormatting sqref="AB125:AI125">
    <cfRule type="expression" dxfId="2130" priority="549">
      <formula>AS124=0</formula>
    </cfRule>
  </conditionalFormatting>
  <conditionalFormatting sqref="AM125">
    <cfRule type="expression" dxfId="2129" priority="548">
      <formula>AS124=0</formula>
    </cfRule>
  </conditionalFormatting>
  <conditionalFormatting sqref="AO125:AP125">
    <cfRule type="expression" dxfId="2128" priority="547">
      <formula>AS124=0</formula>
    </cfRule>
  </conditionalFormatting>
  <conditionalFormatting sqref="AM124">
    <cfRule type="expression" dxfId="2127" priority="546">
      <formula>AS124=0</formula>
    </cfRule>
  </conditionalFormatting>
  <conditionalFormatting sqref="AX124:AZ124">
    <cfRule type="expression" dxfId="2126" priority="545">
      <formula>OR(ISBLANK(AB124),AB124="Title",AB124="&gt;",AB124="Enter Title",AB124="&gt; Enter Title")</formula>
    </cfRule>
  </conditionalFormatting>
  <conditionalFormatting sqref="AB126">
    <cfRule type="expression" dxfId="2125" priority="544">
      <formula>AS126=0</formula>
    </cfRule>
  </conditionalFormatting>
  <conditionalFormatting sqref="AQ127">
    <cfRule type="expression" dxfId="2124" priority="543">
      <formula>AQ126&gt;=10%</formula>
    </cfRule>
  </conditionalFormatting>
  <conditionalFormatting sqref="AR127">
    <cfRule type="expression" dxfId="2123" priority="542">
      <formula>AQ126&gt;=20%</formula>
    </cfRule>
  </conditionalFormatting>
  <conditionalFormatting sqref="AS127">
    <cfRule type="expression" dxfId="2122" priority="541">
      <formula>AQ126&gt;=30%</formula>
    </cfRule>
  </conditionalFormatting>
  <conditionalFormatting sqref="AT127">
    <cfRule type="expression" dxfId="2121" priority="540">
      <formula>AQ126&gt;=40%</formula>
    </cfRule>
  </conditionalFormatting>
  <conditionalFormatting sqref="AU127">
    <cfRule type="expression" dxfId="2120" priority="539">
      <formula>AQ126&gt;=50%</formula>
    </cfRule>
  </conditionalFormatting>
  <conditionalFormatting sqref="AV127">
    <cfRule type="expression" dxfId="2119" priority="538">
      <formula>AQ126&gt;=60%</formula>
    </cfRule>
  </conditionalFormatting>
  <conditionalFormatting sqref="AW127">
    <cfRule type="expression" dxfId="2118" priority="537">
      <formula>AQ126&gt;=70%</formula>
    </cfRule>
  </conditionalFormatting>
  <conditionalFormatting sqref="AX127">
    <cfRule type="expression" dxfId="2117" priority="536">
      <formula>AQ126&gt;=80%</formula>
    </cfRule>
  </conditionalFormatting>
  <conditionalFormatting sqref="AY127">
    <cfRule type="expression" dxfId="2116" priority="535">
      <formula>AQ126&gt;=90%</formula>
    </cfRule>
  </conditionalFormatting>
  <conditionalFormatting sqref="AZ127">
    <cfRule type="expression" dxfId="2115" priority="534">
      <formula>AQ126&gt;=100%</formula>
    </cfRule>
  </conditionalFormatting>
  <conditionalFormatting sqref="AZ127">
    <cfRule type="expression" dxfId="2114" priority="533">
      <formula>OR(ISBLANK(AB126),AB126="Title",AB126="&gt;",AB126="Enter Title",AB126="&gt; Enter Title")</formula>
    </cfRule>
  </conditionalFormatting>
  <conditionalFormatting sqref="AY127">
    <cfRule type="expression" dxfId="2113" priority="532">
      <formula>OR(ISBLANK(AB126),AB126="Title",AB126="&gt;",AB126="Enter Title",AB126="&gt; Enter Title")</formula>
    </cfRule>
  </conditionalFormatting>
  <conditionalFormatting sqref="AX127">
    <cfRule type="expression" dxfId="2112" priority="531">
      <formula>OR(ISBLANK(AB126),AB126="Title",AB126="&gt;",AB126="Enter Title",AB126="&gt; Enter Title")</formula>
    </cfRule>
  </conditionalFormatting>
  <conditionalFormatting sqref="AW127">
    <cfRule type="expression" dxfId="2111" priority="530">
      <formula>OR(ISBLANK(AB126),AB126="Title",AB126="&gt;",AB126="Enter Title",AB126="&gt; Enter Title")</formula>
    </cfRule>
  </conditionalFormatting>
  <conditionalFormatting sqref="AV127">
    <cfRule type="expression" dxfId="2110" priority="529">
      <formula>OR(ISBLANK(AB126),AB126="Title",AB126="&gt;",AB126="Enter Title",AB126="&gt; Enter Title")</formula>
    </cfRule>
  </conditionalFormatting>
  <conditionalFormatting sqref="AU127">
    <cfRule type="expression" dxfId="2109" priority="528">
      <formula>OR(ISBLANK(AB126),AB126="Title",AB126="&gt;",AB126="Enter Title",AB126="&gt; Enter Title")</formula>
    </cfRule>
  </conditionalFormatting>
  <conditionalFormatting sqref="AT127">
    <cfRule type="expression" dxfId="2108" priority="527">
      <formula>OR(ISBLANK(AB126),AB126="Title",AB126="&gt;",AB126="Enter Title",AB126="&gt; Enter Title")</formula>
    </cfRule>
  </conditionalFormatting>
  <conditionalFormatting sqref="AS127">
    <cfRule type="expression" dxfId="2107" priority="526">
      <formula>OR(ISBLANK(AB126),AB126="Title",AB126="&gt;",AB126="Enter Title",AB126="&gt; Enter Title")</formula>
    </cfRule>
  </conditionalFormatting>
  <conditionalFormatting sqref="AR127">
    <cfRule type="expression" dxfId="2106" priority="525">
      <formula>OR(ISBLANK(AB126),AB126="Title",AB126="&gt;",AB126="Enter Title",AB126="&gt; Enter Title")</formula>
    </cfRule>
  </conditionalFormatting>
  <conditionalFormatting sqref="AQ127">
    <cfRule type="expression" dxfId="2105" priority="524">
      <formula>OR(ISBLANK(AB126),AB126="Title",AB126="&gt;",AB126="Enter Title",AB126="&gt; Enter Title")</formula>
    </cfRule>
  </conditionalFormatting>
  <conditionalFormatting sqref="AQ126">
    <cfRule type="cellIs" dxfId="2104" priority="523" operator="greaterThan">
      <formula>0</formula>
    </cfRule>
  </conditionalFormatting>
  <conditionalFormatting sqref="AQ126:AR126">
    <cfRule type="expression" dxfId="2103" priority="522">
      <formula>OR(ISBLANK(AB126),AB126="Title",AB126="&gt;",AB126="Enter Title",AB126="&gt; Enter Title")</formula>
    </cfRule>
  </conditionalFormatting>
  <conditionalFormatting sqref="AS126:AT126">
    <cfRule type="expression" dxfId="2102" priority="521">
      <formula>OR(ISBLANK(AB126),AB126="Title",AB126="&gt;",AB126="Enter Title",AB126="&gt; Enter Title")</formula>
    </cfRule>
  </conditionalFormatting>
  <conditionalFormatting sqref="AU126">
    <cfRule type="expression" dxfId="2101" priority="520">
      <formula>OR(ISBLANK(AB126),AB126="Title",AB126="&gt;",AB126="Enter Title",AB126="&gt; Enter Title")</formula>
    </cfRule>
  </conditionalFormatting>
  <conditionalFormatting sqref="AV126:AW126">
    <cfRule type="expression" dxfId="2100" priority="519">
      <formula>OR(ISBLANK(AB126),AB126="Title",AB126="&gt;",AB126="Enter Title",AB126="&gt; Enter Title")</formula>
    </cfRule>
  </conditionalFormatting>
  <conditionalFormatting sqref="AJ127:AL127">
    <cfRule type="expression" dxfId="2099" priority="518">
      <formula>AS126=0</formula>
    </cfRule>
  </conditionalFormatting>
  <conditionalFormatting sqref="AB127:AI127">
    <cfRule type="expression" dxfId="2098" priority="517">
      <formula>AS126=0</formula>
    </cfRule>
  </conditionalFormatting>
  <conditionalFormatting sqref="AM127">
    <cfRule type="expression" dxfId="2097" priority="516">
      <formula>AS126=0</formula>
    </cfRule>
  </conditionalFormatting>
  <conditionalFormatting sqref="AO127:AP127">
    <cfRule type="expression" dxfId="2096" priority="515">
      <formula>AS126=0</formula>
    </cfRule>
  </conditionalFormatting>
  <conditionalFormatting sqref="AM126">
    <cfRule type="expression" dxfId="2095" priority="514">
      <formula>AS126=0</formula>
    </cfRule>
  </conditionalFormatting>
  <conditionalFormatting sqref="AX126:AZ126">
    <cfRule type="expression" dxfId="2094" priority="513">
      <formula>OR(ISBLANK(AB126),AB126="Title",AB126="&gt;",AB126="Enter Title",AB126="&gt; Enter Title")</formula>
    </cfRule>
  </conditionalFormatting>
  <conditionalFormatting sqref="U142:V143">
    <cfRule type="expression" dxfId="2093" priority="512">
      <formula>ISBLANK(P146)</formula>
    </cfRule>
  </conditionalFormatting>
  <conditionalFormatting sqref="P142:Q143">
    <cfRule type="expression" dxfId="2092" priority="511">
      <formula>ISBLANK(P146)</formula>
    </cfRule>
  </conditionalFormatting>
  <conditionalFormatting sqref="P144:V145">
    <cfRule type="expression" dxfId="2091" priority="510">
      <formula>ISBLANK(P146)</formula>
    </cfRule>
  </conditionalFormatting>
  <conditionalFormatting sqref="R142:T143">
    <cfRule type="expression" dxfId="2090" priority="508">
      <formula>AND(ISBLANK(P144),ISBLANK(P146))</formula>
    </cfRule>
    <cfRule type="expression" dxfId="2089" priority="509">
      <formula>ISBLANK(P146)</formula>
    </cfRule>
  </conditionalFormatting>
  <conditionalFormatting sqref="L130:M131">
    <cfRule type="expression" dxfId="2088" priority="507">
      <formula>ISBLANK(G134)</formula>
    </cfRule>
  </conditionalFormatting>
  <conditionalFormatting sqref="G130:H131">
    <cfRule type="expression" dxfId="2087" priority="506">
      <formula>ISBLANK(G134)</formula>
    </cfRule>
  </conditionalFormatting>
  <conditionalFormatting sqref="G132:M133">
    <cfRule type="expression" dxfId="2086" priority="505">
      <formula>ISBLANK(G134)</formula>
    </cfRule>
  </conditionalFormatting>
  <conditionalFormatting sqref="I130:K131">
    <cfRule type="expression" dxfId="2085" priority="503">
      <formula>AND(ISBLANK(G132),ISBLANK(G134))</formula>
    </cfRule>
    <cfRule type="expression" dxfId="2084" priority="504">
      <formula>ISBLANK(G134)</formula>
    </cfRule>
  </conditionalFormatting>
  <conditionalFormatting sqref="U130:V131">
    <cfRule type="expression" dxfId="2083" priority="502">
      <formula>ISBLANK(P134)</formula>
    </cfRule>
  </conditionalFormatting>
  <conditionalFormatting sqref="P130:Q131">
    <cfRule type="expression" dxfId="2082" priority="501">
      <formula>ISBLANK(P134)</formula>
    </cfRule>
  </conditionalFormatting>
  <conditionalFormatting sqref="P132:V133">
    <cfRule type="expression" dxfId="2081" priority="500">
      <formula>ISBLANK(P134)</formula>
    </cfRule>
  </conditionalFormatting>
  <conditionalFormatting sqref="R130:T131">
    <cfRule type="expression" dxfId="2080" priority="498">
      <formula>AND(ISBLANK(P132),ISBLANK(P134))</formula>
    </cfRule>
    <cfRule type="expression" dxfId="2079" priority="499">
      <formula>ISBLANK(P134)</formula>
    </cfRule>
  </conditionalFormatting>
  <conditionalFormatting sqref="L136:M137">
    <cfRule type="expression" dxfId="2078" priority="497">
      <formula>ISBLANK(G140)</formula>
    </cfRule>
  </conditionalFormatting>
  <conditionalFormatting sqref="G136:H137">
    <cfRule type="expression" dxfId="2077" priority="496">
      <formula>ISBLANK(G140)</formula>
    </cfRule>
  </conditionalFormatting>
  <conditionalFormatting sqref="G138:M139">
    <cfRule type="expression" dxfId="2076" priority="495">
      <formula>ISBLANK(G140)</formula>
    </cfRule>
  </conditionalFormatting>
  <conditionalFormatting sqref="I136:K137">
    <cfRule type="expression" dxfId="2075" priority="493">
      <formula>AND(ISBLANK(G138),ISBLANK(G140))</formula>
    </cfRule>
    <cfRule type="expression" dxfId="2074" priority="494">
      <formula>ISBLANK(G140)</formula>
    </cfRule>
  </conditionalFormatting>
  <conditionalFormatting sqref="U136:V137">
    <cfRule type="expression" dxfId="2073" priority="492">
      <formula>ISBLANK(P140)</formula>
    </cfRule>
  </conditionalFormatting>
  <conditionalFormatting sqref="P136:Q137">
    <cfRule type="expression" dxfId="2072" priority="491">
      <formula>ISBLANK(P140)</formula>
    </cfRule>
  </conditionalFormatting>
  <conditionalFormatting sqref="P138:V139">
    <cfRule type="expression" dxfId="2071" priority="490">
      <formula>ISBLANK(P140)</formula>
    </cfRule>
  </conditionalFormatting>
  <conditionalFormatting sqref="R136:T137">
    <cfRule type="expression" dxfId="2070" priority="488">
      <formula>AND(ISBLANK(P138),ISBLANK(P140))</formula>
    </cfRule>
    <cfRule type="expression" dxfId="2069" priority="489">
      <formula>ISBLANK(P140)</formula>
    </cfRule>
  </conditionalFormatting>
  <conditionalFormatting sqref="L142:M143">
    <cfRule type="expression" dxfId="2068" priority="487">
      <formula>ISBLANK(G146)</formula>
    </cfRule>
  </conditionalFormatting>
  <conditionalFormatting sqref="G142:H143">
    <cfRule type="expression" dxfId="2067" priority="486">
      <formula>ISBLANK(G146)</formula>
    </cfRule>
  </conditionalFormatting>
  <conditionalFormatting sqref="G144:M145">
    <cfRule type="expression" dxfId="2066" priority="485">
      <formula>ISBLANK(G146)</formula>
    </cfRule>
  </conditionalFormatting>
  <conditionalFormatting sqref="I142:K143">
    <cfRule type="expression" dxfId="2065" priority="483">
      <formula>AND(ISBLANK(G144),ISBLANK(G146))</formula>
    </cfRule>
    <cfRule type="expression" dxfId="2064" priority="484">
      <formula>ISBLANK(G146)</formula>
    </cfRule>
  </conditionalFormatting>
  <conditionalFormatting sqref="L148:M149">
    <cfRule type="expression" dxfId="2063" priority="482">
      <formula>ISBLANK(G152)</formula>
    </cfRule>
  </conditionalFormatting>
  <conditionalFormatting sqref="G148:H149">
    <cfRule type="expression" dxfId="2062" priority="481">
      <formula>ISBLANK(G152)</formula>
    </cfRule>
  </conditionalFormatting>
  <conditionalFormatting sqref="G150:M151">
    <cfRule type="expression" dxfId="2061" priority="480">
      <formula>ISBLANK(G152)</formula>
    </cfRule>
  </conditionalFormatting>
  <conditionalFormatting sqref="I148:K149">
    <cfRule type="expression" dxfId="2060" priority="478">
      <formula>AND(ISBLANK(G150),ISBLANK(G152))</formula>
    </cfRule>
    <cfRule type="expression" dxfId="2059" priority="479">
      <formula>ISBLANK(G152)</formula>
    </cfRule>
  </conditionalFormatting>
  <conditionalFormatting sqref="U148:V149">
    <cfRule type="expression" dxfId="2058" priority="477">
      <formula>ISBLANK(P152)</formula>
    </cfRule>
  </conditionalFormatting>
  <conditionalFormatting sqref="P148:Q149">
    <cfRule type="expression" dxfId="2057" priority="476">
      <formula>ISBLANK(P152)</formula>
    </cfRule>
  </conditionalFormatting>
  <conditionalFormatting sqref="P150:V151">
    <cfRule type="expression" dxfId="2056" priority="475">
      <formula>ISBLANK(P152)</formula>
    </cfRule>
  </conditionalFormatting>
  <conditionalFormatting sqref="R148:T149">
    <cfRule type="expression" dxfId="2055" priority="473">
      <formula>AND(ISBLANK(P150),ISBLANK(P152))</formula>
    </cfRule>
    <cfRule type="expression" dxfId="2054" priority="474">
      <formula>ISBLANK(P152)</formula>
    </cfRule>
  </conditionalFormatting>
  <conditionalFormatting sqref="BT142:BU143">
    <cfRule type="expression" dxfId="2053" priority="472">
      <formula>ISBLANK(BO146)</formula>
    </cfRule>
  </conditionalFormatting>
  <conditionalFormatting sqref="BO142:BP143">
    <cfRule type="expression" dxfId="2052" priority="471">
      <formula>ISBLANK(BO146)</formula>
    </cfRule>
  </conditionalFormatting>
  <conditionalFormatting sqref="BO144:BU145">
    <cfRule type="expression" dxfId="2051" priority="470">
      <formula>ISBLANK(BO146)</formula>
    </cfRule>
  </conditionalFormatting>
  <conditionalFormatting sqref="BQ142:BS143">
    <cfRule type="expression" dxfId="2050" priority="468">
      <formula>AND(ISBLANK(BO144),ISBLANK(BO146))</formula>
    </cfRule>
    <cfRule type="expression" dxfId="2049" priority="469">
      <formula>ISBLANK(BO146)</formula>
    </cfRule>
  </conditionalFormatting>
  <conditionalFormatting sqref="BK130:BL131">
    <cfRule type="expression" dxfId="2048" priority="467">
      <formula>ISBLANK(BF134)</formula>
    </cfRule>
  </conditionalFormatting>
  <conditionalFormatting sqref="BF130:BG131">
    <cfRule type="expression" dxfId="2047" priority="466">
      <formula>ISBLANK(BF134)</formula>
    </cfRule>
  </conditionalFormatting>
  <conditionalFormatting sqref="BF132:BL133">
    <cfRule type="expression" dxfId="2046" priority="465">
      <formula>ISBLANK(BF134)</formula>
    </cfRule>
  </conditionalFormatting>
  <conditionalFormatting sqref="BH130:BJ131">
    <cfRule type="expression" dxfId="2045" priority="463">
      <formula>AND(ISBLANK(BF132),ISBLANK(BF134))</formula>
    </cfRule>
    <cfRule type="expression" dxfId="2044" priority="464">
      <formula>ISBLANK(BF134)</formula>
    </cfRule>
  </conditionalFormatting>
  <conditionalFormatting sqref="BT130:BU131">
    <cfRule type="expression" dxfId="2043" priority="462">
      <formula>ISBLANK(BO134)</formula>
    </cfRule>
  </conditionalFormatting>
  <conditionalFormatting sqref="BO130:BP131">
    <cfRule type="expression" dxfId="2042" priority="461">
      <formula>ISBLANK(BO134)</formula>
    </cfRule>
  </conditionalFormatting>
  <conditionalFormatting sqref="BO132:BU133">
    <cfRule type="expression" dxfId="2041" priority="460">
      <formula>ISBLANK(BO134)</formula>
    </cfRule>
  </conditionalFormatting>
  <conditionalFormatting sqref="BQ130:BS131">
    <cfRule type="expression" dxfId="2040" priority="458">
      <formula>AND(ISBLANK(BO132),ISBLANK(BO134))</formula>
    </cfRule>
    <cfRule type="expression" dxfId="2039" priority="459">
      <formula>ISBLANK(BO134)</formula>
    </cfRule>
  </conditionalFormatting>
  <conditionalFormatting sqref="BK136:BL137">
    <cfRule type="expression" dxfId="2038" priority="457">
      <formula>ISBLANK(BF140)</formula>
    </cfRule>
  </conditionalFormatting>
  <conditionalFormatting sqref="BF136:BG137">
    <cfRule type="expression" dxfId="2037" priority="456">
      <formula>ISBLANK(BF140)</formula>
    </cfRule>
  </conditionalFormatting>
  <conditionalFormatting sqref="BF138:BL139">
    <cfRule type="expression" dxfId="2036" priority="455">
      <formula>ISBLANK(BF140)</formula>
    </cfRule>
  </conditionalFormatting>
  <conditionalFormatting sqref="BH136:BJ137">
    <cfRule type="expression" dxfId="2035" priority="453">
      <formula>AND(ISBLANK(BF138),ISBLANK(BF140))</formula>
    </cfRule>
    <cfRule type="expression" dxfId="2034" priority="454">
      <formula>ISBLANK(BF140)</formula>
    </cfRule>
  </conditionalFormatting>
  <conditionalFormatting sqref="BT136:BU137">
    <cfRule type="expression" dxfId="2033" priority="452">
      <formula>ISBLANK(BO140)</formula>
    </cfRule>
  </conditionalFormatting>
  <conditionalFormatting sqref="BO136:BP137">
    <cfRule type="expression" dxfId="2032" priority="451">
      <formula>ISBLANK(BO140)</formula>
    </cfRule>
  </conditionalFormatting>
  <conditionalFormatting sqref="BO138:BU139">
    <cfRule type="expression" dxfId="2031" priority="450">
      <formula>ISBLANK(BO140)</formula>
    </cfRule>
  </conditionalFormatting>
  <conditionalFormatting sqref="BQ136:BS137">
    <cfRule type="expression" dxfId="2030" priority="448">
      <formula>AND(ISBLANK(BO138),ISBLANK(BO140))</formula>
    </cfRule>
    <cfRule type="expression" dxfId="2029" priority="449">
      <formula>ISBLANK(BO140)</formula>
    </cfRule>
  </conditionalFormatting>
  <conditionalFormatting sqref="BK142:BL143">
    <cfRule type="expression" dxfId="2028" priority="447">
      <formula>ISBLANK(BF146)</formula>
    </cfRule>
  </conditionalFormatting>
  <conditionalFormatting sqref="BF142:BG143">
    <cfRule type="expression" dxfId="2027" priority="446">
      <formula>ISBLANK(BF146)</formula>
    </cfRule>
  </conditionalFormatting>
  <conditionalFormatting sqref="BF144:BL145">
    <cfRule type="expression" dxfId="2026" priority="445">
      <formula>ISBLANK(BF146)</formula>
    </cfRule>
  </conditionalFormatting>
  <conditionalFormatting sqref="BH142:BJ143">
    <cfRule type="expression" dxfId="2025" priority="443">
      <formula>AND(ISBLANK(BF144),ISBLANK(BF146))</formula>
    </cfRule>
    <cfRule type="expression" dxfId="2024" priority="444">
      <formula>ISBLANK(BF146)</formula>
    </cfRule>
  </conditionalFormatting>
  <conditionalFormatting sqref="BK148:BL149">
    <cfRule type="expression" dxfId="2023" priority="442">
      <formula>ISBLANK(BF152)</formula>
    </cfRule>
  </conditionalFormatting>
  <conditionalFormatting sqref="BF148:BG149">
    <cfRule type="expression" dxfId="2022" priority="441">
      <formula>ISBLANK(BF152)</formula>
    </cfRule>
  </conditionalFormatting>
  <conditionalFormatting sqref="BF150:BL151">
    <cfRule type="expression" dxfId="2021" priority="440">
      <formula>ISBLANK(BF152)</formula>
    </cfRule>
  </conditionalFormatting>
  <conditionalFormatting sqref="BH148:BJ149">
    <cfRule type="expression" dxfId="2020" priority="438">
      <formula>AND(ISBLANK(BF150),ISBLANK(BF152))</formula>
    </cfRule>
    <cfRule type="expression" dxfId="2019" priority="439">
      <formula>ISBLANK(BF152)</formula>
    </cfRule>
  </conditionalFormatting>
  <conditionalFormatting sqref="BT148:BU149">
    <cfRule type="expression" dxfId="2018" priority="437">
      <formula>ISBLANK(BO152)</formula>
    </cfRule>
  </conditionalFormatting>
  <conditionalFormatting sqref="BO148:BP149">
    <cfRule type="expression" dxfId="2017" priority="436">
      <formula>ISBLANK(BO152)</formula>
    </cfRule>
  </conditionalFormatting>
  <conditionalFormatting sqref="BO150:BU151">
    <cfRule type="expression" dxfId="2016" priority="435">
      <formula>ISBLANK(BO152)</formula>
    </cfRule>
  </conditionalFormatting>
  <conditionalFormatting sqref="BQ148:BS149">
    <cfRule type="expression" dxfId="2015" priority="433">
      <formula>AND(ISBLANK(BO150),ISBLANK(BO152))</formula>
    </cfRule>
    <cfRule type="expression" dxfId="2014" priority="434">
      <formula>ISBLANK(BO152)</formula>
    </cfRule>
  </conditionalFormatting>
  <conditionalFormatting sqref="BU127">
    <cfRule type="expression" dxfId="2013" priority="35338">
      <formula>ISBLANK(BU154)</formula>
    </cfRule>
  </conditionalFormatting>
  <conditionalFormatting sqref="G76:H95">
    <cfRule type="expression" dxfId="2012" priority="430">
      <formula>N76=$CC$26</formula>
    </cfRule>
    <cfRule type="expression" dxfId="2011" priority="431">
      <formula>E76=N$72</formula>
    </cfRule>
  </conditionalFormatting>
  <conditionalFormatting sqref="G76:M95 Q76:W95 AA76:AG95 AK76:AQ95 AU76:BA95 BE76:BK95">
    <cfRule type="expression" dxfId="2010" priority="432">
      <formula>AND(N$73=$BT$68,E76=$BT$66)</formula>
    </cfRule>
  </conditionalFormatting>
  <conditionalFormatting sqref="Q76:R95">
    <cfRule type="expression" dxfId="2009" priority="409">
      <formula>X76=$CC$26</formula>
    </cfRule>
    <cfRule type="expression" dxfId="2008" priority="410">
      <formula>O76=X$72</formula>
    </cfRule>
  </conditionalFormatting>
  <conditionalFormatting sqref="AA76:AB95">
    <cfRule type="expression" dxfId="2007" priority="406">
      <formula>AH76=$CC$26</formula>
    </cfRule>
    <cfRule type="expression" dxfId="2006" priority="407">
      <formula>Y76=AH$72</formula>
    </cfRule>
  </conditionalFormatting>
  <conditionalFormatting sqref="AK76:AL95">
    <cfRule type="expression" dxfId="2005" priority="403">
      <formula>AR76=$CC$26</formula>
    </cfRule>
    <cfRule type="expression" dxfId="2004" priority="404">
      <formula>AI76=AR$72</formula>
    </cfRule>
  </conditionalFormatting>
  <conditionalFormatting sqref="AU76:AV95">
    <cfRule type="expression" dxfId="2003" priority="400">
      <formula>BB76=$CC$26</formula>
    </cfRule>
    <cfRule type="expression" dxfId="2002" priority="401">
      <formula>AS76=BB$72</formula>
    </cfRule>
  </conditionalFormatting>
  <conditionalFormatting sqref="BE76:BF95">
    <cfRule type="expression" dxfId="2001" priority="397">
      <formula>BL76=$CC$26</formula>
    </cfRule>
    <cfRule type="expression" dxfId="2000" priority="398">
      <formula>BC76=BL$72</formula>
    </cfRule>
  </conditionalFormatting>
  <conditionalFormatting sqref="BO76:BP95">
    <cfRule type="expression" dxfId="1999" priority="394">
      <formula>BV76=$CC$26</formula>
    </cfRule>
    <cfRule type="expression" dxfId="1998" priority="395">
      <formula>BM76=BV$72</formula>
    </cfRule>
  </conditionalFormatting>
  <conditionalFormatting sqref="BO76:BU95">
    <cfRule type="expression" dxfId="1997" priority="396">
      <formula>AND(BV$73=$BT$68,BM76=$BT$66)</formula>
    </cfRule>
  </conditionalFormatting>
  <conditionalFormatting sqref="L124:M125">
    <cfRule type="expression" dxfId="1996" priority="393">
      <formula>ISBLANK(G128)</formula>
    </cfRule>
  </conditionalFormatting>
  <conditionalFormatting sqref="G124:H125">
    <cfRule type="expression" dxfId="1995" priority="392">
      <formula>ISBLANK(G128)</formula>
    </cfRule>
  </conditionalFormatting>
  <conditionalFormatting sqref="G126:M127">
    <cfRule type="expression" dxfId="1994" priority="391">
      <formula>ISBLANK(G128)</formula>
    </cfRule>
  </conditionalFormatting>
  <conditionalFormatting sqref="I124:K125">
    <cfRule type="expression" dxfId="1993" priority="389">
      <formula>AND(ISBLANK(G126),ISBLANK(G128))</formula>
    </cfRule>
    <cfRule type="expression" dxfId="1992" priority="390">
      <formula>ISBLANK(G128)</formula>
    </cfRule>
  </conditionalFormatting>
  <conditionalFormatting sqref="AQ133">
    <cfRule type="expression" dxfId="1991" priority="387">
      <formula>AQ132&gt;=10%</formula>
    </cfRule>
  </conditionalFormatting>
  <conditionalFormatting sqref="AR133">
    <cfRule type="expression" dxfId="1990" priority="386">
      <formula>AQ132&gt;=20%</formula>
    </cfRule>
  </conditionalFormatting>
  <conditionalFormatting sqref="AS133">
    <cfRule type="expression" dxfId="1989" priority="385">
      <formula>AQ132&gt;=30%</formula>
    </cfRule>
  </conditionalFormatting>
  <conditionalFormatting sqref="AT133">
    <cfRule type="expression" dxfId="1988" priority="384">
      <formula>AQ132&gt;=40%</formula>
    </cfRule>
  </conditionalFormatting>
  <conditionalFormatting sqref="AU133">
    <cfRule type="expression" dxfId="1987" priority="383">
      <formula>AQ132&gt;=50%</formula>
    </cfRule>
  </conditionalFormatting>
  <conditionalFormatting sqref="AV133">
    <cfRule type="expression" dxfId="1986" priority="382">
      <formula>AQ132&gt;=60%</formula>
    </cfRule>
  </conditionalFormatting>
  <conditionalFormatting sqref="AW133">
    <cfRule type="expression" dxfId="1985" priority="381">
      <formula>AQ132&gt;=70%</formula>
    </cfRule>
  </conditionalFormatting>
  <conditionalFormatting sqref="AX133">
    <cfRule type="expression" dxfId="1984" priority="380">
      <formula>AQ132&gt;=80%</formula>
    </cfRule>
  </conditionalFormatting>
  <conditionalFormatting sqref="AY133">
    <cfRule type="expression" dxfId="1983" priority="379">
      <formula>AQ132&gt;=90%</formula>
    </cfRule>
  </conditionalFormatting>
  <conditionalFormatting sqref="AZ133">
    <cfRule type="expression" dxfId="1982" priority="378">
      <formula>AQ132&gt;=100%</formula>
    </cfRule>
  </conditionalFormatting>
  <conditionalFormatting sqref="AZ133">
    <cfRule type="expression" dxfId="1981" priority="377">
      <formula>OR(ISBLANK(AB132),AB132="Title",AB132="&gt;",AB132="Enter Title",AB132="&gt; Enter Title")</formula>
    </cfRule>
  </conditionalFormatting>
  <conditionalFormatting sqref="AY133">
    <cfRule type="expression" dxfId="1980" priority="376">
      <formula>OR(ISBLANK(AB132),AB132="Title",AB132="&gt;",AB132="Enter Title",AB132="&gt; Enter Title")</formula>
    </cfRule>
  </conditionalFormatting>
  <conditionalFormatting sqref="AX133">
    <cfRule type="expression" dxfId="1979" priority="375">
      <formula>OR(ISBLANK(AB132),AB132="Title",AB132="&gt;",AB132="Enter Title",AB132="&gt; Enter Title")</formula>
    </cfRule>
  </conditionalFormatting>
  <conditionalFormatting sqref="AW133">
    <cfRule type="expression" dxfId="1978" priority="374">
      <formula>OR(ISBLANK(AB132),AB132="Title",AB132="&gt;",AB132="Enter Title",AB132="&gt; Enter Title")</formula>
    </cfRule>
  </conditionalFormatting>
  <conditionalFormatting sqref="AV133">
    <cfRule type="expression" dxfId="1977" priority="373">
      <formula>OR(ISBLANK(AB132),AB132="Title",AB132="&gt;",AB132="Enter Title",AB132="&gt; Enter Title")</formula>
    </cfRule>
  </conditionalFormatting>
  <conditionalFormatting sqref="AU133">
    <cfRule type="expression" dxfId="1976" priority="372">
      <formula>OR(ISBLANK(AB132),AB132="Title",AB132="&gt;",AB132="Enter Title",AB132="&gt; Enter Title")</formula>
    </cfRule>
  </conditionalFormatting>
  <conditionalFormatting sqref="AT133">
    <cfRule type="expression" dxfId="1975" priority="371">
      <formula>OR(ISBLANK(AB132),AB132="Title",AB132="&gt;",AB132="Enter Title",AB132="&gt; Enter Title")</formula>
    </cfRule>
  </conditionalFormatting>
  <conditionalFormatting sqref="AS133">
    <cfRule type="expression" dxfId="1974" priority="370">
      <formula>OR(ISBLANK(AB132),AB132="Title",AB132="&gt;",AB132="Enter Title",AB132="&gt; Enter Title")</formula>
    </cfRule>
  </conditionalFormatting>
  <conditionalFormatting sqref="AR133">
    <cfRule type="expression" dxfId="1973" priority="369">
      <formula>OR(ISBLANK(AB132),AB132="Title",AB132="&gt;",AB132="Enter Title",AB132="&gt; Enter Title")</formula>
    </cfRule>
  </conditionalFormatting>
  <conditionalFormatting sqref="AQ133">
    <cfRule type="expression" dxfId="1972" priority="368">
      <formula>OR(ISBLANK(AB132),AB132="Title",AB132="&gt;",AB132="Enter Title",AB132="&gt; Enter Title")</formula>
    </cfRule>
  </conditionalFormatting>
  <conditionalFormatting sqref="AQ132">
    <cfRule type="cellIs" dxfId="1971" priority="367" operator="greaterThan">
      <formula>0</formula>
    </cfRule>
  </conditionalFormatting>
  <conditionalFormatting sqref="AQ132:AR132">
    <cfRule type="expression" dxfId="1970" priority="366">
      <formula>OR(ISBLANK(AB132),AB132="Title",AB132="&gt;",AB132="Enter Title",AB132="&gt; Enter Title")</formula>
    </cfRule>
  </conditionalFormatting>
  <conditionalFormatting sqref="AS132:AT132">
    <cfRule type="expression" dxfId="1969" priority="365">
      <formula>OR(ISBLANK(AB132),AB132="Title",AB132="&gt;",AB132="Enter Title",AB132="&gt; Enter Title")</formula>
    </cfRule>
  </conditionalFormatting>
  <conditionalFormatting sqref="AU132">
    <cfRule type="expression" dxfId="1968" priority="364">
      <formula>OR(ISBLANK(AB132),AB132="Title",AB132="&gt;",AB132="Enter Title",AB132="&gt; Enter Title")</formula>
    </cfRule>
  </conditionalFormatting>
  <conditionalFormatting sqref="AV132:AW132">
    <cfRule type="expression" dxfId="1967" priority="363">
      <formula>OR(ISBLANK(AB132),AB132="Title",AB132="&gt;",AB132="Enter Title",AB132="&gt; Enter Title")</formula>
    </cfRule>
  </conditionalFormatting>
  <conditionalFormatting sqref="AQ135">
    <cfRule type="expression" dxfId="1966" priority="362">
      <formula>AQ134&gt;=10%</formula>
    </cfRule>
  </conditionalFormatting>
  <conditionalFormatting sqref="AR135">
    <cfRule type="expression" dxfId="1965" priority="361">
      <formula>AQ134&gt;=20%</formula>
    </cfRule>
  </conditionalFormatting>
  <conditionalFormatting sqref="AS135">
    <cfRule type="expression" dxfId="1964" priority="360">
      <formula>AQ134&gt;=30%</formula>
    </cfRule>
  </conditionalFormatting>
  <conditionalFormatting sqref="AT135">
    <cfRule type="expression" dxfId="1963" priority="359">
      <formula>AQ134&gt;=40%</formula>
    </cfRule>
  </conditionalFormatting>
  <conditionalFormatting sqref="AU135">
    <cfRule type="expression" dxfId="1962" priority="358">
      <formula>AQ134&gt;=50%</formula>
    </cfRule>
  </conditionalFormatting>
  <conditionalFormatting sqref="AV135">
    <cfRule type="expression" dxfId="1961" priority="357">
      <formula>AQ134&gt;=60%</formula>
    </cfRule>
  </conditionalFormatting>
  <conditionalFormatting sqref="AW135">
    <cfRule type="expression" dxfId="1960" priority="356">
      <formula>AQ134&gt;=70%</formula>
    </cfRule>
  </conditionalFormatting>
  <conditionalFormatting sqref="AX135">
    <cfRule type="expression" dxfId="1959" priority="355">
      <formula>AQ134&gt;=80%</formula>
    </cfRule>
  </conditionalFormatting>
  <conditionalFormatting sqref="AY135">
    <cfRule type="expression" dxfId="1958" priority="354">
      <formula>AQ134&gt;=90%</formula>
    </cfRule>
  </conditionalFormatting>
  <conditionalFormatting sqref="AZ135">
    <cfRule type="expression" dxfId="1957" priority="353">
      <formula>AQ134&gt;=100%</formula>
    </cfRule>
  </conditionalFormatting>
  <conditionalFormatting sqref="AZ135">
    <cfRule type="expression" dxfId="1956" priority="352">
      <formula>OR(ISBLANK(AB134),AB134="Title",AB134="&gt;",AB134="Enter Title",AB134="&gt; Enter Title")</formula>
    </cfRule>
  </conditionalFormatting>
  <conditionalFormatting sqref="AY135">
    <cfRule type="expression" dxfId="1955" priority="351">
      <formula>OR(ISBLANK(AB134),AB134="Title",AB134="&gt;",AB134="Enter Title",AB134="&gt; Enter Title")</formula>
    </cfRule>
  </conditionalFormatting>
  <conditionalFormatting sqref="AX135">
    <cfRule type="expression" dxfId="1954" priority="350">
      <formula>OR(ISBLANK(AB134),AB134="Title",AB134="&gt;",AB134="Enter Title",AB134="&gt; Enter Title")</formula>
    </cfRule>
  </conditionalFormatting>
  <conditionalFormatting sqref="AW135">
    <cfRule type="expression" dxfId="1953" priority="349">
      <formula>OR(ISBLANK(AB134),AB134="Title",AB134="&gt;",AB134="Enter Title",AB134="&gt; Enter Title")</formula>
    </cfRule>
  </conditionalFormatting>
  <conditionalFormatting sqref="AV135">
    <cfRule type="expression" dxfId="1952" priority="348">
      <formula>OR(ISBLANK(AB134),AB134="Title",AB134="&gt;",AB134="Enter Title",AB134="&gt; Enter Title")</formula>
    </cfRule>
  </conditionalFormatting>
  <conditionalFormatting sqref="AU135">
    <cfRule type="expression" dxfId="1951" priority="347">
      <formula>OR(ISBLANK(AB134),AB134="Title",AB134="&gt;",AB134="Enter Title",AB134="&gt; Enter Title")</formula>
    </cfRule>
  </conditionalFormatting>
  <conditionalFormatting sqref="AT135">
    <cfRule type="expression" dxfId="1950" priority="346">
      <formula>OR(ISBLANK(AB134),AB134="Title",AB134="&gt;",AB134="Enter Title",AB134="&gt; Enter Title")</formula>
    </cfRule>
  </conditionalFormatting>
  <conditionalFormatting sqref="AS135">
    <cfRule type="expression" dxfId="1949" priority="345">
      <formula>OR(ISBLANK(AB134),AB134="Title",AB134="&gt;",AB134="Enter Title",AB134="&gt; Enter Title")</formula>
    </cfRule>
  </conditionalFormatting>
  <conditionalFormatting sqref="AR135">
    <cfRule type="expression" dxfId="1948" priority="344">
      <formula>OR(ISBLANK(AB134),AB134="Title",AB134="&gt;",AB134="Enter Title",AB134="&gt; Enter Title")</formula>
    </cfRule>
  </conditionalFormatting>
  <conditionalFormatting sqref="AQ135">
    <cfRule type="expression" dxfId="1947" priority="343">
      <formula>OR(ISBLANK(AB134),AB134="Title",AB134="&gt;",AB134="Enter Title",AB134="&gt; Enter Title")</formula>
    </cfRule>
  </conditionalFormatting>
  <conditionalFormatting sqref="AQ134">
    <cfRule type="cellIs" dxfId="1946" priority="342" operator="greaterThan">
      <formula>0</formula>
    </cfRule>
  </conditionalFormatting>
  <conditionalFormatting sqref="AQ134:AR134">
    <cfRule type="expression" dxfId="1945" priority="341">
      <formula>OR(ISBLANK(AB134),AB134="Title",AB134="&gt;",AB134="Enter Title",AB134="&gt; Enter Title")</formula>
    </cfRule>
  </conditionalFormatting>
  <conditionalFormatting sqref="AS134:AT134">
    <cfRule type="expression" dxfId="1944" priority="340">
      <formula>OR(ISBLANK(AB134),AB134="Title",AB134="&gt;",AB134="Enter Title",AB134="&gt; Enter Title")</formula>
    </cfRule>
  </conditionalFormatting>
  <conditionalFormatting sqref="AU134">
    <cfRule type="expression" dxfId="1943" priority="339">
      <formula>OR(ISBLANK(AB134),AB134="Title",AB134="&gt;",AB134="Enter Title",AB134="&gt; Enter Title")</formula>
    </cfRule>
  </conditionalFormatting>
  <conditionalFormatting sqref="AV134:AW134">
    <cfRule type="expression" dxfId="1942" priority="338">
      <formula>OR(ISBLANK(AB134),AB134="Title",AB134="&gt;",AB134="Enter Title",AB134="&gt; Enter Title")</formula>
    </cfRule>
  </conditionalFormatting>
  <conditionalFormatting sqref="AQ129">
    <cfRule type="expression" dxfId="1941" priority="337">
      <formula>AQ128&gt;=10%</formula>
    </cfRule>
  </conditionalFormatting>
  <conditionalFormatting sqref="AR129">
    <cfRule type="expression" dxfId="1940" priority="336">
      <formula>AQ128&gt;=20%</formula>
    </cfRule>
  </conditionalFormatting>
  <conditionalFormatting sqref="AS129">
    <cfRule type="expression" dxfId="1939" priority="335">
      <formula>AQ128&gt;=30%</formula>
    </cfRule>
  </conditionalFormatting>
  <conditionalFormatting sqref="AT129">
    <cfRule type="expression" dxfId="1938" priority="334">
      <formula>AQ128&gt;=40%</formula>
    </cfRule>
  </conditionalFormatting>
  <conditionalFormatting sqref="AU129">
    <cfRule type="expression" dxfId="1937" priority="333">
      <formula>AQ128&gt;=50%</formula>
    </cfRule>
  </conditionalFormatting>
  <conditionalFormatting sqref="AV129">
    <cfRule type="expression" dxfId="1936" priority="332">
      <formula>AQ128&gt;=60%</formula>
    </cfRule>
  </conditionalFormatting>
  <conditionalFormatting sqref="AW129">
    <cfRule type="expression" dxfId="1935" priority="331">
      <formula>AQ128&gt;=70%</formula>
    </cfRule>
  </conditionalFormatting>
  <conditionalFormatting sqref="AX129">
    <cfRule type="expression" dxfId="1934" priority="330">
      <formula>AQ128&gt;=80%</formula>
    </cfRule>
  </conditionalFormatting>
  <conditionalFormatting sqref="AY129">
    <cfRule type="expression" dxfId="1933" priority="329">
      <formula>AQ128&gt;=90%</formula>
    </cfRule>
  </conditionalFormatting>
  <conditionalFormatting sqref="AZ129">
    <cfRule type="expression" dxfId="1932" priority="328">
      <formula>AQ128&gt;=100%</formula>
    </cfRule>
  </conditionalFormatting>
  <conditionalFormatting sqref="AZ129">
    <cfRule type="expression" dxfId="1931" priority="327">
      <formula>OR(ISBLANK(AB128),AB128="Title",AB128="&gt;",AB128="Enter Title",AB128="&gt; Enter Title")</formula>
    </cfRule>
  </conditionalFormatting>
  <conditionalFormatting sqref="AY129">
    <cfRule type="expression" dxfId="1930" priority="326">
      <formula>OR(ISBLANK(AB128),AB128="Title",AB128="&gt;",AB128="Enter Title",AB128="&gt; Enter Title")</formula>
    </cfRule>
  </conditionalFormatting>
  <conditionalFormatting sqref="AX129">
    <cfRule type="expression" dxfId="1929" priority="325">
      <formula>OR(ISBLANK(AB128),AB128="Title",AB128="&gt;",AB128="Enter Title",AB128="&gt; Enter Title")</formula>
    </cfRule>
  </conditionalFormatting>
  <conditionalFormatting sqref="AW129">
    <cfRule type="expression" dxfId="1928" priority="324">
      <formula>OR(ISBLANK(AB128),AB128="Title",AB128="&gt;",AB128="Enter Title",AB128="&gt; Enter Title")</formula>
    </cfRule>
  </conditionalFormatting>
  <conditionalFormatting sqref="AV129">
    <cfRule type="expression" dxfId="1927" priority="323">
      <formula>OR(ISBLANK(AB128),AB128="Title",AB128="&gt;",AB128="Enter Title",AB128="&gt; Enter Title")</formula>
    </cfRule>
  </conditionalFormatting>
  <conditionalFormatting sqref="AU129">
    <cfRule type="expression" dxfId="1926" priority="322">
      <formula>OR(ISBLANK(AB128),AB128="Title",AB128="&gt;",AB128="Enter Title",AB128="&gt; Enter Title")</formula>
    </cfRule>
  </conditionalFormatting>
  <conditionalFormatting sqref="AT129">
    <cfRule type="expression" dxfId="1925" priority="321">
      <formula>OR(ISBLANK(AB128),AB128="Title",AB128="&gt;",AB128="Enter Title",AB128="&gt; Enter Title")</formula>
    </cfRule>
  </conditionalFormatting>
  <conditionalFormatting sqref="AS129">
    <cfRule type="expression" dxfId="1924" priority="320">
      <formula>OR(ISBLANK(AB128),AB128="Title",AB128="&gt;",AB128="Enter Title",AB128="&gt; Enter Title")</formula>
    </cfRule>
  </conditionalFormatting>
  <conditionalFormatting sqref="AR129">
    <cfRule type="expression" dxfId="1923" priority="319">
      <formula>OR(ISBLANK(AB128),AB128="Title",AB128="&gt;",AB128="Enter Title",AB128="&gt; Enter Title")</formula>
    </cfRule>
  </conditionalFormatting>
  <conditionalFormatting sqref="AQ129">
    <cfRule type="expression" dxfId="1922" priority="318">
      <formula>OR(ISBLANK(AB128),AB128="Title",AB128="&gt;",AB128="Enter Title",AB128="&gt; Enter Title")</formula>
    </cfRule>
  </conditionalFormatting>
  <conditionalFormatting sqref="AQ128">
    <cfRule type="cellIs" dxfId="1921" priority="317" operator="greaterThan">
      <formula>0</formula>
    </cfRule>
  </conditionalFormatting>
  <conditionalFormatting sqref="AQ128:AR128">
    <cfRule type="expression" dxfId="1920" priority="316">
      <formula>OR(ISBLANK(AB128),AB128="Title",AB128="&gt;",AB128="Enter Title",AB128="&gt; Enter Title")</formula>
    </cfRule>
  </conditionalFormatting>
  <conditionalFormatting sqref="AS128:AT128">
    <cfRule type="expression" dxfId="1919" priority="315">
      <formula>OR(ISBLANK(AB128),AB128="Title",AB128="&gt;",AB128="Enter Title",AB128="&gt; Enter Title")</formula>
    </cfRule>
  </conditionalFormatting>
  <conditionalFormatting sqref="AU128">
    <cfRule type="expression" dxfId="1918" priority="314">
      <formula>OR(ISBLANK(AB128),AB128="Title",AB128="&gt;",AB128="Enter Title",AB128="&gt; Enter Title")</formula>
    </cfRule>
  </conditionalFormatting>
  <conditionalFormatting sqref="AV128:AW128">
    <cfRule type="expression" dxfId="1917" priority="313">
      <formula>OR(ISBLANK(AB128),AB128="Title",AB128="&gt;",AB128="Enter Title",AB128="&gt; Enter Title")</formula>
    </cfRule>
  </conditionalFormatting>
  <conditionalFormatting sqref="AB132 AB134 AB136 AB138 AB130 AB128">
    <cfRule type="expression" dxfId="1916" priority="312">
      <formula>AS128=0</formula>
    </cfRule>
  </conditionalFormatting>
  <conditionalFormatting sqref="AJ129:AL129">
    <cfRule type="expression" dxfId="1915" priority="311">
      <formula>AS128=0</formula>
    </cfRule>
  </conditionalFormatting>
  <conditionalFormatting sqref="AB129:AI129">
    <cfRule type="expression" dxfId="1914" priority="310">
      <formula>AS128=0</formula>
    </cfRule>
  </conditionalFormatting>
  <conditionalFormatting sqref="AJ133:AL133 AJ135:AL135">
    <cfRule type="expression" dxfId="1913" priority="309">
      <formula>AS132=0</formula>
    </cfRule>
  </conditionalFormatting>
  <conditionalFormatting sqref="AB133:AI133 AB135:AI135">
    <cfRule type="expression" dxfId="1912" priority="308">
      <formula>AS132=0</formula>
    </cfRule>
  </conditionalFormatting>
  <conditionalFormatting sqref="AQ131">
    <cfRule type="expression" dxfId="1911" priority="307">
      <formula>AQ130&gt;=10%</formula>
    </cfRule>
  </conditionalFormatting>
  <conditionalFormatting sqref="AR131">
    <cfRule type="expression" dxfId="1910" priority="306">
      <formula>AQ130&gt;=20%</formula>
    </cfRule>
  </conditionalFormatting>
  <conditionalFormatting sqref="AS131">
    <cfRule type="expression" dxfId="1909" priority="305">
      <formula>AQ130&gt;=30%</formula>
    </cfRule>
  </conditionalFormatting>
  <conditionalFormatting sqref="AT131">
    <cfRule type="expression" dxfId="1908" priority="304">
      <formula>AQ130&gt;=40%</formula>
    </cfRule>
  </conditionalFormatting>
  <conditionalFormatting sqref="AU131">
    <cfRule type="expression" dxfId="1907" priority="303">
      <formula>AQ130&gt;=50%</formula>
    </cfRule>
  </conditionalFormatting>
  <conditionalFormatting sqref="AV131">
    <cfRule type="expression" dxfId="1906" priority="302">
      <formula>AQ130&gt;=60%</formula>
    </cfRule>
  </conditionalFormatting>
  <conditionalFormatting sqref="AW131">
    <cfRule type="expression" dxfId="1905" priority="301">
      <formula>AQ130&gt;=70%</formula>
    </cfRule>
  </conditionalFormatting>
  <conditionalFormatting sqref="AX131">
    <cfRule type="expression" dxfId="1904" priority="300">
      <formula>AQ130&gt;=80%</formula>
    </cfRule>
  </conditionalFormatting>
  <conditionalFormatting sqref="AY131">
    <cfRule type="expression" dxfId="1903" priority="299">
      <formula>AQ130&gt;=90%</formula>
    </cfRule>
  </conditionalFormatting>
  <conditionalFormatting sqref="AZ131">
    <cfRule type="expression" dxfId="1902" priority="298">
      <formula>AQ130&gt;=100%</formula>
    </cfRule>
  </conditionalFormatting>
  <conditionalFormatting sqref="AZ131">
    <cfRule type="expression" dxfId="1901" priority="297">
      <formula>OR(ISBLANK(AB130),AB130="Title",AB130="&gt;",AB130="Enter Title",AB130="&gt; Enter Title")</formula>
    </cfRule>
  </conditionalFormatting>
  <conditionalFormatting sqref="AY131">
    <cfRule type="expression" dxfId="1900" priority="296">
      <formula>OR(ISBLANK(AB130),AB130="Title",AB130="&gt;",AB130="Enter Title",AB130="&gt; Enter Title")</formula>
    </cfRule>
  </conditionalFormatting>
  <conditionalFormatting sqref="AX131">
    <cfRule type="expression" dxfId="1899" priority="295">
      <formula>OR(ISBLANK(AB130),AB130="Title",AB130="&gt;",AB130="Enter Title",AB130="&gt; Enter Title")</formula>
    </cfRule>
  </conditionalFormatting>
  <conditionalFormatting sqref="AW131">
    <cfRule type="expression" dxfId="1898" priority="294">
      <formula>OR(ISBLANK(AB130),AB130="Title",AB130="&gt;",AB130="Enter Title",AB130="&gt; Enter Title")</formula>
    </cfRule>
  </conditionalFormatting>
  <conditionalFormatting sqref="AV131">
    <cfRule type="expression" dxfId="1897" priority="293">
      <formula>OR(ISBLANK(AB130),AB130="Title",AB130="&gt;",AB130="Enter Title",AB130="&gt; Enter Title")</formula>
    </cfRule>
  </conditionalFormatting>
  <conditionalFormatting sqref="AU131">
    <cfRule type="expression" dxfId="1896" priority="292">
      <formula>OR(ISBLANK(AB130),AB130="Title",AB130="&gt;",AB130="Enter Title",AB130="&gt; Enter Title")</formula>
    </cfRule>
  </conditionalFormatting>
  <conditionalFormatting sqref="AT131">
    <cfRule type="expression" dxfId="1895" priority="291">
      <formula>OR(ISBLANK(AB130),AB130="Title",AB130="&gt;",AB130="Enter Title",AB130="&gt; Enter Title")</formula>
    </cfRule>
  </conditionalFormatting>
  <conditionalFormatting sqref="AS131">
    <cfRule type="expression" dxfId="1894" priority="290">
      <formula>OR(ISBLANK(AB130),AB130="Title",AB130="&gt;",AB130="Enter Title",AB130="&gt; Enter Title")</formula>
    </cfRule>
  </conditionalFormatting>
  <conditionalFormatting sqref="AR131">
    <cfRule type="expression" dxfId="1893" priority="289">
      <formula>OR(ISBLANK(AB130),AB130="Title",AB130="&gt;",AB130="Enter Title",AB130="&gt; Enter Title")</formula>
    </cfRule>
  </conditionalFormatting>
  <conditionalFormatting sqref="AQ131">
    <cfRule type="expression" dxfId="1892" priority="288">
      <formula>OR(ISBLANK(AB130),AB130="Title",AB130="&gt;",AB130="Enter Title",AB130="&gt; Enter Title")</formula>
    </cfRule>
  </conditionalFormatting>
  <conditionalFormatting sqref="AQ130">
    <cfRule type="cellIs" dxfId="1891" priority="287" operator="greaterThan">
      <formula>0</formula>
    </cfRule>
  </conditionalFormatting>
  <conditionalFormatting sqref="AQ130:AR130">
    <cfRule type="expression" dxfId="1890" priority="286">
      <formula>OR(ISBLANK(AB130),AB130="Title",AB130="&gt;",AB130="Enter Title",AB130="&gt; Enter Title")</formula>
    </cfRule>
  </conditionalFormatting>
  <conditionalFormatting sqref="AS130:AT130">
    <cfRule type="expression" dxfId="1889" priority="285">
      <formula>OR(ISBLANK(AB130),AB130="Title",AB130="&gt;",AB130="Enter Title",AB130="&gt; Enter Title")</formula>
    </cfRule>
  </conditionalFormatting>
  <conditionalFormatting sqref="AU130">
    <cfRule type="expression" dxfId="1888" priority="284">
      <formula>OR(ISBLANK(AB130),AB130="Title",AB130="&gt;",AB130="Enter Title",AB130="&gt; Enter Title")</formula>
    </cfRule>
  </conditionalFormatting>
  <conditionalFormatting sqref="AV130:AW130">
    <cfRule type="expression" dxfId="1887" priority="283">
      <formula>OR(ISBLANK(AB130),AB130="Title",AB130="&gt;",AB130="Enter Title",AB130="&gt; Enter Title")</formula>
    </cfRule>
  </conditionalFormatting>
  <conditionalFormatting sqref="AJ131:AL131">
    <cfRule type="expression" dxfId="1886" priority="282">
      <formula>AS130=0</formula>
    </cfRule>
  </conditionalFormatting>
  <conditionalFormatting sqref="AB131:AI131">
    <cfRule type="expression" dxfId="1885" priority="281">
      <formula>AS130=0</formula>
    </cfRule>
  </conditionalFormatting>
  <conditionalFormatting sqref="AQ137">
    <cfRule type="expression" dxfId="1884" priority="280">
      <formula>AQ136&gt;=10%</formula>
    </cfRule>
  </conditionalFormatting>
  <conditionalFormatting sqref="AR137">
    <cfRule type="expression" dxfId="1883" priority="279">
      <formula>AQ136&gt;=20%</formula>
    </cfRule>
  </conditionalFormatting>
  <conditionalFormatting sqref="AS137">
    <cfRule type="expression" dxfId="1882" priority="278">
      <formula>AQ136&gt;=30%</formula>
    </cfRule>
  </conditionalFormatting>
  <conditionalFormatting sqref="AT137">
    <cfRule type="expression" dxfId="1881" priority="277">
      <formula>AQ136&gt;=40%</formula>
    </cfRule>
  </conditionalFormatting>
  <conditionalFormatting sqref="AU137">
    <cfRule type="expression" dxfId="1880" priority="276">
      <formula>AQ136&gt;=50%</formula>
    </cfRule>
  </conditionalFormatting>
  <conditionalFormatting sqref="AV137">
    <cfRule type="expression" dxfId="1879" priority="275">
      <formula>AQ136&gt;=60%</formula>
    </cfRule>
  </conditionalFormatting>
  <conditionalFormatting sqref="AW137">
    <cfRule type="expression" dxfId="1878" priority="274">
      <formula>AQ136&gt;=70%</formula>
    </cfRule>
  </conditionalFormatting>
  <conditionalFormatting sqref="AX137">
    <cfRule type="expression" dxfId="1877" priority="273">
      <formula>AQ136&gt;=80%</formula>
    </cfRule>
  </conditionalFormatting>
  <conditionalFormatting sqref="AY137">
    <cfRule type="expression" dxfId="1876" priority="272">
      <formula>AQ136&gt;=90%</formula>
    </cfRule>
  </conditionalFormatting>
  <conditionalFormatting sqref="AZ137">
    <cfRule type="expression" dxfId="1875" priority="271">
      <formula>AQ136&gt;=100%</formula>
    </cfRule>
  </conditionalFormatting>
  <conditionalFormatting sqref="AZ137">
    <cfRule type="expression" dxfId="1874" priority="270">
      <formula>OR(ISBLANK(AB136),AB136="Title",AB136="&gt;",AB136="Enter Title",AB136="&gt; Enter Title")</formula>
    </cfRule>
  </conditionalFormatting>
  <conditionalFormatting sqref="AY137">
    <cfRule type="expression" dxfId="1873" priority="269">
      <formula>OR(ISBLANK(AB136),AB136="Title",AB136="&gt;",AB136="Enter Title",AB136="&gt; Enter Title")</formula>
    </cfRule>
  </conditionalFormatting>
  <conditionalFormatting sqref="AX137">
    <cfRule type="expression" dxfId="1872" priority="268">
      <formula>OR(ISBLANK(AB136),AB136="Title",AB136="&gt;",AB136="Enter Title",AB136="&gt; Enter Title")</formula>
    </cfRule>
  </conditionalFormatting>
  <conditionalFormatting sqref="AW137">
    <cfRule type="expression" dxfId="1871" priority="267">
      <formula>OR(ISBLANK(AB136),AB136="Title",AB136="&gt;",AB136="Enter Title",AB136="&gt; Enter Title")</formula>
    </cfRule>
  </conditionalFormatting>
  <conditionalFormatting sqref="AV137">
    <cfRule type="expression" dxfId="1870" priority="266">
      <formula>OR(ISBLANK(AB136),AB136="Title",AB136="&gt;",AB136="Enter Title",AB136="&gt; Enter Title")</formula>
    </cfRule>
  </conditionalFormatting>
  <conditionalFormatting sqref="AU137">
    <cfRule type="expression" dxfId="1869" priority="265">
      <formula>OR(ISBLANK(AB136),AB136="Title",AB136="&gt;",AB136="Enter Title",AB136="&gt; Enter Title")</formula>
    </cfRule>
  </conditionalFormatting>
  <conditionalFormatting sqref="AT137">
    <cfRule type="expression" dxfId="1868" priority="264">
      <formula>OR(ISBLANK(AB136),AB136="Title",AB136="&gt;",AB136="Enter Title",AB136="&gt; Enter Title")</formula>
    </cfRule>
  </conditionalFormatting>
  <conditionalFormatting sqref="AS137">
    <cfRule type="expression" dxfId="1867" priority="263">
      <formula>OR(ISBLANK(AB136),AB136="Title",AB136="&gt;",AB136="Enter Title",AB136="&gt; Enter Title")</formula>
    </cfRule>
  </conditionalFormatting>
  <conditionalFormatting sqref="AR137">
    <cfRule type="expression" dxfId="1866" priority="262">
      <formula>OR(ISBLANK(AB136),AB136="Title",AB136="&gt;",AB136="Enter Title",AB136="&gt; Enter Title")</formula>
    </cfRule>
  </conditionalFormatting>
  <conditionalFormatting sqref="AQ137">
    <cfRule type="expression" dxfId="1865" priority="261">
      <formula>OR(ISBLANK(AB136),AB136="Title",AB136="&gt;",AB136="Enter Title",AB136="&gt; Enter Title")</formula>
    </cfRule>
  </conditionalFormatting>
  <conditionalFormatting sqref="AQ136">
    <cfRule type="cellIs" dxfId="1864" priority="260" operator="greaterThan">
      <formula>0</formula>
    </cfRule>
  </conditionalFormatting>
  <conditionalFormatting sqref="AQ136:AR136">
    <cfRule type="expression" dxfId="1863" priority="259">
      <formula>OR(ISBLANK(AB136),AB136="Title",AB136="&gt;",AB136="Enter Title",AB136="&gt; Enter Title")</formula>
    </cfRule>
  </conditionalFormatting>
  <conditionalFormatting sqref="AS136:AT136">
    <cfRule type="expression" dxfId="1862" priority="258">
      <formula>OR(ISBLANK(AB136),AB136="Title",AB136="&gt;",AB136="Enter Title",AB136="&gt; Enter Title")</formula>
    </cfRule>
  </conditionalFormatting>
  <conditionalFormatting sqref="AU136">
    <cfRule type="expression" dxfId="1861" priority="257">
      <formula>OR(ISBLANK(AB136),AB136="Title",AB136="&gt;",AB136="Enter Title",AB136="&gt; Enter Title")</formula>
    </cfRule>
  </conditionalFormatting>
  <conditionalFormatting sqref="AV136:AW136">
    <cfRule type="expression" dxfId="1860" priority="256">
      <formula>OR(ISBLANK(AB136),AB136="Title",AB136="&gt;",AB136="Enter Title",AB136="&gt; Enter Title")</formula>
    </cfRule>
  </conditionalFormatting>
  <conditionalFormatting sqref="AJ137:AL137">
    <cfRule type="expression" dxfId="1859" priority="255">
      <formula>AS136=0</formula>
    </cfRule>
  </conditionalFormatting>
  <conditionalFormatting sqref="AB137:AI137">
    <cfRule type="expression" dxfId="1858" priority="254">
      <formula>AS136=0</formula>
    </cfRule>
  </conditionalFormatting>
  <conditionalFormatting sqref="AQ139">
    <cfRule type="expression" dxfId="1857" priority="253">
      <formula>AQ138&gt;=10%</formula>
    </cfRule>
  </conditionalFormatting>
  <conditionalFormatting sqref="AR139">
    <cfRule type="expression" dxfId="1856" priority="252">
      <formula>AQ138&gt;=20%</formula>
    </cfRule>
  </conditionalFormatting>
  <conditionalFormatting sqref="AS139">
    <cfRule type="expression" dxfId="1855" priority="251">
      <formula>AQ138&gt;=30%</formula>
    </cfRule>
  </conditionalFormatting>
  <conditionalFormatting sqref="AT139">
    <cfRule type="expression" dxfId="1854" priority="250">
      <formula>AQ138&gt;=40%</formula>
    </cfRule>
  </conditionalFormatting>
  <conditionalFormatting sqref="AU139">
    <cfRule type="expression" dxfId="1853" priority="249">
      <formula>AQ138&gt;=50%</formula>
    </cfRule>
  </conditionalFormatting>
  <conditionalFormatting sqref="AV139">
    <cfRule type="expression" dxfId="1852" priority="248">
      <formula>AQ138&gt;=60%</formula>
    </cfRule>
  </conditionalFormatting>
  <conditionalFormatting sqref="AW139">
    <cfRule type="expression" dxfId="1851" priority="247">
      <formula>AQ138&gt;=70%</formula>
    </cfRule>
  </conditionalFormatting>
  <conditionalFormatting sqref="AX139">
    <cfRule type="expression" dxfId="1850" priority="246">
      <formula>AQ138&gt;=80%</formula>
    </cfRule>
  </conditionalFormatting>
  <conditionalFormatting sqref="AY139">
    <cfRule type="expression" dxfId="1849" priority="245">
      <formula>AQ138&gt;=90%</formula>
    </cfRule>
  </conditionalFormatting>
  <conditionalFormatting sqref="AZ139">
    <cfRule type="expression" dxfId="1848" priority="244">
      <formula>AQ138&gt;=100%</formula>
    </cfRule>
  </conditionalFormatting>
  <conditionalFormatting sqref="AZ139">
    <cfRule type="expression" dxfId="1847" priority="243">
      <formula>OR(ISBLANK(AB138),AB138="Title",AB138="&gt;",AB138="Enter Title",AB138="&gt; Enter Title")</formula>
    </cfRule>
  </conditionalFormatting>
  <conditionalFormatting sqref="AY139">
    <cfRule type="expression" dxfId="1846" priority="242">
      <formula>OR(ISBLANK(AB138),AB138="Title",AB138="&gt;",AB138="Enter Title",AB138="&gt; Enter Title")</formula>
    </cfRule>
  </conditionalFormatting>
  <conditionalFormatting sqref="AX139">
    <cfRule type="expression" dxfId="1845" priority="241">
      <formula>OR(ISBLANK(AB138),AB138="Title",AB138="&gt;",AB138="Enter Title",AB138="&gt; Enter Title")</formula>
    </cfRule>
  </conditionalFormatting>
  <conditionalFormatting sqref="AW139">
    <cfRule type="expression" dxfId="1844" priority="240">
      <formula>OR(ISBLANK(AB138),AB138="Title",AB138="&gt;",AB138="Enter Title",AB138="&gt; Enter Title")</formula>
    </cfRule>
  </conditionalFormatting>
  <conditionalFormatting sqref="AV139">
    <cfRule type="expression" dxfId="1843" priority="239">
      <formula>OR(ISBLANK(AB138),AB138="Title",AB138="&gt;",AB138="Enter Title",AB138="&gt; Enter Title")</formula>
    </cfRule>
  </conditionalFormatting>
  <conditionalFormatting sqref="AU139">
    <cfRule type="expression" dxfId="1842" priority="238">
      <formula>OR(ISBLANK(AB138),AB138="Title",AB138="&gt;",AB138="Enter Title",AB138="&gt; Enter Title")</formula>
    </cfRule>
  </conditionalFormatting>
  <conditionalFormatting sqref="AT139">
    <cfRule type="expression" dxfId="1841" priority="237">
      <formula>OR(ISBLANK(AB138),AB138="Title",AB138="&gt;",AB138="Enter Title",AB138="&gt; Enter Title")</formula>
    </cfRule>
  </conditionalFormatting>
  <conditionalFormatting sqref="AS139">
    <cfRule type="expression" dxfId="1840" priority="236">
      <formula>OR(ISBLANK(AB138),AB138="Title",AB138="&gt;",AB138="Enter Title",AB138="&gt; Enter Title")</formula>
    </cfRule>
  </conditionalFormatting>
  <conditionalFormatting sqref="AR139">
    <cfRule type="expression" dxfId="1839" priority="235">
      <formula>OR(ISBLANK(AB138),AB138="Title",AB138="&gt;",AB138="Enter Title",AB138="&gt; Enter Title")</formula>
    </cfRule>
  </conditionalFormatting>
  <conditionalFormatting sqref="AQ139">
    <cfRule type="expression" dxfId="1838" priority="234">
      <formula>OR(ISBLANK(AB138),AB138="Title",AB138="&gt;",AB138="Enter Title",AB138="&gt; Enter Title")</formula>
    </cfRule>
  </conditionalFormatting>
  <conditionalFormatting sqref="AQ138">
    <cfRule type="cellIs" dxfId="1837" priority="233" operator="greaterThan">
      <formula>0</formula>
    </cfRule>
  </conditionalFormatting>
  <conditionalFormatting sqref="AQ138:AR138">
    <cfRule type="expression" dxfId="1836" priority="232">
      <formula>OR(ISBLANK(AB138),AB138="Title",AB138="&gt;",AB138="Enter Title",AB138="&gt; Enter Title")</formula>
    </cfRule>
  </conditionalFormatting>
  <conditionalFormatting sqref="AS138:AT138">
    <cfRule type="expression" dxfId="1835" priority="231">
      <formula>OR(ISBLANK(AB138),AB138="Title",AB138="&gt;",AB138="Enter Title",AB138="&gt; Enter Title")</formula>
    </cfRule>
  </conditionalFormatting>
  <conditionalFormatting sqref="AU138">
    <cfRule type="expression" dxfId="1834" priority="230">
      <formula>OR(ISBLANK(AB138),AB138="Title",AB138="&gt;",AB138="Enter Title",AB138="&gt; Enter Title")</formula>
    </cfRule>
  </conditionalFormatting>
  <conditionalFormatting sqref="AV138:AW138">
    <cfRule type="expression" dxfId="1833" priority="229">
      <formula>OR(ISBLANK(AB138),AB138="Title",AB138="&gt;",AB138="Enter Title",AB138="&gt; Enter Title")</formula>
    </cfRule>
  </conditionalFormatting>
  <conditionalFormatting sqref="AJ139:AL139">
    <cfRule type="expression" dxfId="1832" priority="228">
      <formula>AS138=0</formula>
    </cfRule>
  </conditionalFormatting>
  <conditionalFormatting sqref="AB139:AI139">
    <cfRule type="expression" dxfId="1831" priority="227">
      <formula>AS138=0</formula>
    </cfRule>
  </conditionalFormatting>
  <conditionalFormatting sqref="AM129">
    <cfRule type="expression" dxfId="1830" priority="226">
      <formula>AS128=0</formula>
    </cfRule>
  </conditionalFormatting>
  <conditionalFormatting sqref="AO129:AP129">
    <cfRule type="expression" dxfId="1829" priority="225">
      <formula>AS128=0</formula>
    </cfRule>
  </conditionalFormatting>
  <conditionalFormatting sqref="AM131">
    <cfRule type="expression" dxfId="1828" priority="224">
      <formula>AS130=0</formula>
    </cfRule>
  </conditionalFormatting>
  <conditionalFormatting sqref="AO131:AP131">
    <cfRule type="expression" dxfId="1827" priority="223">
      <formula>AS130=0</formula>
    </cfRule>
  </conditionalFormatting>
  <conditionalFormatting sqref="AM133">
    <cfRule type="expression" dxfId="1826" priority="222">
      <formula>AS132=0</formula>
    </cfRule>
  </conditionalFormatting>
  <conditionalFormatting sqref="AO133:AP133">
    <cfRule type="expression" dxfId="1825" priority="221">
      <formula>AS132=0</formula>
    </cfRule>
  </conditionalFormatting>
  <conditionalFormatting sqref="AM135">
    <cfRule type="expression" dxfId="1824" priority="220">
      <formula>AS134=0</formula>
    </cfRule>
  </conditionalFormatting>
  <conditionalFormatting sqref="AO135:AP135">
    <cfRule type="expression" dxfId="1823" priority="219">
      <formula>AS134=0</formula>
    </cfRule>
  </conditionalFormatting>
  <conditionalFormatting sqref="AM137">
    <cfRule type="expression" dxfId="1822" priority="218">
      <formula>AS136=0</formula>
    </cfRule>
  </conditionalFormatting>
  <conditionalFormatting sqref="AO137:AP137">
    <cfRule type="expression" dxfId="1821" priority="217">
      <formula>AS136=0</formula>
    </cfRule>
  </conditionalFormatting>
  <conditionalFormatting sqref="AM139">
    <cfRule type="expression" dxfId="1820" priority="216">
      <formula>AS138=0</formula>
    </cfRule>
  </conditionalFormatting>
  <conditionalFormatting sqref="AO139:AP139">
    <cfRule type="expression" dxfId="1819" priority="215">
      <formula>AS138=0</formula>
    </cfRule>
  </conditionalFormatting>
  <conditionalFormatting sqref="AX132:AZ132">
    <cfRule type="expression" dxfId="1818" priority="214">
      <formula>OR(ISBLANK(AB132),AB132="Title",AB132="&gt;",AB132="Enter Title",AB132="&gt; Enter Title")</formula>
    </cfRule>
  </conditionalFormatting>
  <conditionalFormatting sqref="AM132">
    <cfRule type="expression" dxfId="1817" priority="388">
      <formula>AS132=0</formula>
    </cfRule>
  </conditionalFormatting>
  <conditionalFormatting sqref="AM134">
    <cfRule type="expression" dxfId="1816" priority="213">
      <formula>AS134=0</formula>
    </cfRule>
  </conditionalFormatting>
  <conditionalFormatting sqref="AM136">
    <cfRule type="expression" dxfId="1815" priority="212">
      <formula>AS136=0</formula>
    </cfRule>
  </conditionalFormatting>
  <conditionalFormatting sqref="AM138">
    <cfRule type="expression" dxfId="1814" priority="211">
      <formula>AS138=0</formula>
    </cfRule>
  </conditionalFormatting>
  <conditionalFormatting sqref="AM130">
    <cfRule type="expression" dxfId="1813" priority="210">
      <formula>AS130=0</formula>
    </cfRule>
  </conditionalFormatting>
  <conditionalFormatting sqref="AM128">
    <cfRule type="expression" dxfId="1812" priority="209">
      <formula>AS128=0</formula>
    </cfRule>
  </conditionalFormatting>
  <conditionalFormatting sqref="AX134:AZ134">
    <cfRule type="expression" dxfId="1811" priority="208">
      <formula>OR(ISBLANK(AB134),AB134="Title",AB134="&gt;",AB134="Enter Title",AB134="&gt; Enter Title")</formula>
    </cfRule>
  </conditionalFormatting>
  <conditionalFormatting sqref="AX136:AZ136">
    <cfRule type="expression" dxfId="1810" priority="207">
      <formula>OR(ISBLANK(AB136),AB136="Title",AB136="&gt;",AB136="Enter Title",AB136="&gt; Enter Title")</formula>
    </cfRule>
  </conditionalFormatting>
  <conditionalFormatting sqref="AX138:AZ138">
    <cfRule type="expression" dxfId="1809" priority="206">
      <formula>OR(ISBLANK(AB138),AB138="Title",AB138="&gt;",AB138="Enter Title",AB138="&gt; Enter Title")</formula>
    </cfRule>
  </conditionalFormatting>
  <conditionalFormatting sqref="AX130:AZ130">
    <cfRule type="expression" dxfId="1808" priority="205">
      <formula>OR(ISBLANK(AB130),AB130="Title",AB130="&gt;",AB130="Enter Title",AB130="&gt; Enter Title")</formula>
    </cfRule>
  </conditionalFormatting>
  <conditionalFormatting sqref="AX128:AZ128">
    <cfRule type="expression" dxfId="1807" priority="204">
      <formula>OR(ISBLANK(AB128),AB128="Title",AB128="&gt;",AB128="Enter Title",AB128="&gt; Enter Title")</formula>
    </cfRule>
  </conditionalFormatting>
  <conditionalFormatting sqref="AB140">
    <cfRule type="expression" dxfId="1806" priority="203">
      <formula>AS140=0</formula>
    </cfRule>
  </conditionalFormatting>
  <conditionalFormatting sqref="AQ141">
    <cfRule type="expression" dxfId="1805" priority="202">
      <formula>AQ140&gt;=10%</formula>
    </cfRule>
  </conditionalFormatting>
  <conditionalFormatting sqref="AR141">
    <cfRule type="expression" dxfId="1804" priority="201">
      <formula>AQ140&gt;=20%</formula>
    </cfRule>
  </conditionalFormatting>
  <conditionalFormatting sqref="AS141">
    <cfRule type="expression" dxfId="1803" priority="200">
      <formula>AQ140&gt;=30%</formula>
    </cfRule>
  </conditionalFormatting>
  <conditionalFormatting sqref="AT141">
    <cfRule type="expression" dxfId="1802" priority="199">
      <formula>AQ140&gt;=40%</formula>
    </cfRule>
  </conditionalFormatting>
  <conditionalFormatting sqref="AU141">
    <cfRule type="expression" dxfId="1801" priority="198">
      <formula>AQ140&gt;=50%</formula>
    </cfRule>
  </conditionalFormatting>
  <conditionalFormatting sqref="AV141">
    <cfRule type="expression" dxfId="1800" priority="197">
      <formula>AQ140&gt;=60%</formula>
    </cfRule>
  </conditionalFormatting>
  <conditionalFormatting sqref="AW141">
    <cfRule type="expression" dxfId="1799" priority="196">
      <formula>AQ140&gt;=70%</formula>
    </cfRule>
  </conditionalFormatting>
  <conditionalFormatting sqref="AX141">
    <cfRule type="expression" dxfId="1798" priority="195">
      <formula>AQ140&gt;=80%</formula>
    </cfRule>
  </conditionalFormatting>
  <conditionalFormatting sqref="AY141">
    <cfRule type="expression" dxfId="1797" priority="194">
      <formula>AQ140&gt;=90%</formula>
    </cfRule>
  </conditionalFormatting>
  <conditionalFormatting sqref="AZ141">
    <cfRule type="expression" dxfId="1796" priority="193">
      <formula>AQ140&gt;=100%</formula>
    </cfRule>
  </conditionalFormatting>
  <conditionalFormatting sqref="AZ141">
    <cfRule type="expression" dxfId="1795" priority="192">
      <formula>OR(ISBLANK(AB140),AB140="Title",AB140="&gt;",AB140="Enter Title",AB140="&gt; Enter Title")</formula>
    </cfRule>
  </conditionalFormatting>
  <conditionalFormatting sqref="AY141">
    <cfRule type="expression" dxfId="1794" priority="191">
      <formula>OR(ISBLANK(AB140),AB140="Title",AB140="&gt;",AB140="Enter Title",AB140="&gt; Enter Title")</formula>
    </cfRule>
  </conditionalFormatting>
  <conditionalFormatting sqref="AX141">
    <cfRule type="expression" dxfId="1793" priority="190">
      <formula>OR(ISBLANK(AB140),AB140="Title",AB140="&gt;",AB140="Enter Title",AB140="&gt; Enter Title")</formula>
    </cfRule>
  </conditionalFormatting>
  <conditionalFormatting sqref="AW141">
    <cfRule type="expression" dxfId="1792" priority="189">
      <formula>OR(ISBLANK(AB140),AB140="Title",AB140="&gt;",AB140="Enter Title",AB140="&gt; Enter Title")</formula>
    </cfRule>
  </conditionalFormatting>
  <conditionalFormatting sqref="AV141">
    <cfRule type="expression" dxfId="1791" priority="188">
      <formula>OR(ISBLANK(AB140),AB140="Title",AB140="&gt;",AB140="Enter Title",AB140="&gt; Enter Title")</formula>
    </cfRule>
  </conditionalFormatting>
  <conditionalFormatting sqref="AU141">
    <cfRule type="expression" dxfId="1790" priority="187">
      <formula>OR(ISBLANK(AB140),AB140="Title",AB140="&gt;",AB140="Enter Title",AB140="&gt; Enter Title")</formula>
    </cfRule>
  </conditionalFormatting>
  <conditionalFormatting sqref="AT141">
    <cfRule type="expression" dxfId="1789" priority="186">
      <formula>OR(ISBLANK(AB140),AB140="Title",AB140="&gt;",AB140="Enter Title",AB140="&gt; Enter Title")</formula>
    </cfRule>
  </conditionalFormatting>
  <conditionalFormatting sqref="AS141">
    <cfRule type="expression" dxfId="1788" priority="185">
      <formula>OR(ISBLANK(AB140),AB140="Title",AB140="&gt;",AB140="Enter Title",AB140="&gt; Enter Title")</formula>
    </cfRule>
  </conditionalFormatting>
  <conditionalFormatting sqref="AR141">
    <cfRule type="expression" dxfId="1787" priority="184">
      <formula>OR(ISBLANK(AB140),AB140="Title",AB140="&gt;",AB140="Enter Title",AB140="&gt; Enter Title")</formula>
    </cfRule>
  </conditionalFormatting>
  <conditionalFormatting sqref="AQ141">
    <cfRule type="expression" dxfId="1786" priority="183">
      <formula>OR(ISBLANK(AB140),AB140="Title",AB140="&gt;",AB140="Enter Title",AB140="&gt; Enter Title")</formula>
    </cfRule>
  </conditionalFormatting>
  <conditionalFormatting sqref="AQ140">
    <cfRule type="cellIs" dxfId="1785" priority="182" operator="greaterThan">
      <formula>0</formula>
    </cfRule>
  </conditionalFormatting>
  <conditionalFormatting sqref="AQ140:AR140">
    <cfRule type="expression" dxfId="1784" priority="181">
      <formula>OR(ISBLANK(AB140),AB140="Title",AB140="&gt;",AB140="Enter Title",AB140="&gt; Enter Title")</formula>
    </cfRule>
  </conditionalFormatting>
  <conditionalFormatting sqref="AS140:AT140">
    <cfRule type="expression" dxfId="1783" priority="180">
      <formula>OR(ISBLANK(AB140),AB140="Title",AB140="&gt;",AB140="Enter Title",AB140="&gt; Enter Title")</formula>
    </cfRule>
  </conditionalFormatting>
  <conditionalFormatting sqref="AU140">
    <cfRule type="expression" dxfId="1782" priority="179">
      <formula>OR(ISBLANK(AB140),AB140="Title",AB140="&gt;",AB140="Enter Title",AB140="&gt; Enter Title")</formula>
    </cfRule>
  </conditionalFormatting>
  <conditionalFormatting sqref="AV140:AW140">
    <cfRule type="expression" dxfId="1781" priority="178">
      <formula>OR(ISBLANK(AB140),AB140="Title",AB140="&gt;",AB140="Enter Title",AB140="&gt; Enter Title")</formula>
    </cfRule>
  </conditionalFormatting>
  <conditionalFormatting sqref="AJ141:AL141">
    <cfRule type="expression" dxfId="1780" priority="177">
      <formula>AS140=0</formula>
    </cfRule>
  </conditionalFormatting>
  <conditionalFormatting sqref="AB141:AI141">
    <cfRule type="expression" dxfId="1779" priority="176">
      <formula>AS140=0</formula>
    </cfRule>
  </conditionalFormatting>
  <conditionalFormatting sqref="AM141">
    <cfRule type="expression" dxfId="1778" priority="175">
      <formula>AS140=0</formula>
    </cfRule>
  </conditionalFormatting>
  <conditionalFormatting sqref="AO141:AP141">
    <cfRule type="expression" dxfId="1777" priority="174">
      <formula>AS140=0</formula>
    </cfRule>
  </conditionalFormatting>
  <conditionalFormatting sqref="AM140">
    <cfRule type="expression" dxfId="1776" priority="173">
      <formula>AS140=0</formula>
    </cfRule>
  </conditionalFormatting>
  <conditionalFormatting sqref="AX140:AZ140">
    <cfRule type="expression" dxfId="1775" priority="172">
      <formula>OR(ISBLANK(AB140),AB140="Title",AB140="&gt;",AB140="Enter Title",AB140="&gt; Enter Title")</formula>
    </cfRule>
  </conditionalFormatting>
  <conditionalFormatting sqref="AB142">
    <cfRule type="expression" dxfId="1774" priority="171">
      <formula>AS142=0</formula>
    </cfRule>
  </conditionalFormatting>
  <conditionalFormatting sqref="AQ143">
    <cfRule type="expression" dxfId="1773" priority="170">
      <formula>AQ142&gt;=10%</formula>
    </cfRule>
  </conditionalFormatting>
  <conditionalFormatting sqref="AR143">
    <cfRule type="expression" dxfId="1772" priority="169">
      <formula>AQ142&gt;=20%</formula>
    </cfRule>
  </conditionalFormatting>
  <conditionalFormatting sqref="AS143">
    <cfRule type="expression" dxfId="1771" priority="168">
      <formula>AQ142&gt;=30%</formula>
    </cfRule>
  </conditionalFormatting>
  <conditionalFormatting sqref="AT143">
    <cfRule type="expression" dxfId="1770" priority="167">
      <formula>AQ142&gt;=40%</formula>
    </cfRule>
  </conditionalFormatting>
  <conditionalFormatting sqref="AU143">
    <cfRule type="expression" dxfId="1769" priority="166">
      <formula>AQ142&gt;=50%</formula>
    </cfRule>
  </conditionalFormatting>
  <conditionalFormatting sqref="AV143">
    <cfRule type="expression" dxfId="1768" priority="165">
      <formula>AQ142&gt;=60%</formula>
    </cfRule>
  </conditionalFormatting>
  <conditionalFormatting sqref="AW143">
    <cfRule type="expression" dxfId="1767" priority="164">
      <formula>AQ142&gt;=70%</formula>
    </cfRule>
  </conditionalFormatting>
  <conditionalFormatting sqref="AX143">
    <cfRule type="expression" dxfId="1766" priority="163">
      <formula>AQ142&gt;=80%</formula>
    </cfRule>
  </conditionalFormatting>
  <conditionalFormatting sqref="AY143">
    <cfRule type="expression" dxfId="1765" priority="162">
      <formula>AQ142&gt;=90%</formula>
    </cfRule>
  </conditionalFormatting>
  <conditionalFormatting sqref="AZ143">
    <cfRule type="expression" dxfId="1764" priority="161">
      <formula>AQ142&gt;=100%</formula>
    </cfRule>
  </conditionalFormatting>
  <conditionalFormatting sqref="AZ143">
    <cfRule type="expression" dxfId="1763" priority="160">
      <formula>OR(ISBLANK(AB142),AB142="Title",AB142="&gt;",AB142="Enter Title",AB142="&gt; Enter Title")</formula>
    </cfRule>
  </conditionalFormatting>
  <conditionalFormatting sqref="AY143">
    <cfRule type="expression" dxfId="1762" priority="159">
      <formula>OR(ISBLANK(AB142),AB142="Title",AB142="&gt;",AB142="Enter Title",AB142="&gt; Enter Title")</formula>
    </cfRule>
  </conditionalFormatting>
  <conditionalFormatting sqref="AX143">
    <cfRule type="expression" dxfId="1761" priority="158">
      <formula>OR(ISBLANK(AB142),AB142="Title",AB142="&gt;",AB142="Enter Title",AB142="&gt; Enter Title")</formula>
    </cfRule>
  </conditionalFormatting>
  <conditionalFormatting sqref="AW143">
    <cfRule type="expression" dxfId="1760" priority="157">
      <formula>OR(ISBLANK(AB142),AB142="Title",AB142="&gt;",AB142="Enter Title",AB142="&gt; Enter Title")</formula>
    </cfRule>
  </conditionalFormatting>
  <conditionalFormatting sqref="AV143">
    <cfRule type="expression" dxfId="1759" priority="156">
      <formula>OR(ISBLANK(AB142),AB142="Title",AB142="&gt;",AB142="Enter Title",AB142="&gt; Enter Title")</formula>
    </cfRule>
  </conditionalFormatting>
  <conditionalFormatting sqref="AU143">
    <cfRule type="expression" dxfId="1758" priority="155">
      <formula>OR(ISBLANK(AB142),AB142="Title",AB142="&gt;",AB142="Enter Title",AB142="&gt; Enter Title")</formula>
    </cfRule>
  </conditionalFormatting>
  <conditionalFormatting sqref="AT143">
    <cfRule type="expression" dxfId="1757" priority="154">
      <formula>OR(ISBLANK(AB142),AB142="Title",AB142="&gt;",AB142="Enter Title",AB142="&gt; Enter Title")</formula>
    </cfRule>
  </conditionalFormatting>
  <conditionalFormatting sqref="AS143">
    <cfRule type="expression" dxfId="1756" priority="153">
      <formula>OR(ISBLANK(AB142),AB142="Title",AB142="&gt;",AB142="Enter Title",AB142="&gt; Enter Title")</formula>
    </cfRule>
  </conditionalFormatting>
  <conditionalFormatting sqref="AR143">
    <cfRule type="expression" dxfId="1755" priority="152">
      <formula>OR(ISBLANK(AB142),AB142="Title",AB142="&gt;",AB142="Enter Title",AB142="&gt; Enter Title")</formula>
    </cfRule>
  </conditionalFormatting>
  <conditionalFormatting sqref="AQ143">
    <cfRule type="expression" dxfId="1754" priority="151">
      <formula>OR(ISBLANK(AB142),AB142="Title",AB142="&gt;",AB142="Enter Title",AB142="&gt; Enter Title")</formula>
    </cfRule>
  </conditionalFormatting>
  <conditionalFormatting sqref="AQ142">
    <cfRule type="cellIs" dxfId="1753" priority="150" operator="greaterThan">
      <formula>0</formula>
    </cfRule>
  </conditionalFormatting>
  <conditionalFormatting sqref="AQ142:AR142">
    <cfRule type="expression" dxfId="1752" priority="149">
      <formula>OR(ISBLANK(AB142),AB142="Title",AB142="&gt;",AB142="Enter Title",AB142="&gt; Enter Title")</formula>
    </cfRule>
  </conditionalFormatting>
  <conditionalFormatting sqref="AS142:AT142">
    <cfRule type="expression" dxfId="1751" priority="148">
      <formula>OR(ISBLANK(AB142),AB142="Title",AB142="&gt;",AB142="Enter Title",AB142="&gt; Enter Title")</formula>
    </cfRule>
  </conditionalFormatting>
  <conditionalFormatting sqref="AU142">
    <cfRule type="expression" dxfId="1750" priority="147">
      <formula>OR(ISBLANK(AB142),AB142="Title",AB142="&gt;",AB142="Enter Title",AB142="&gt; Enter Title")</formula>
    </cfRule>
  </conditionalFormatting>
  <conditionalFormatting sqref="AV142:AW142">
    <cfRule type="expression" dxfId="1749" priority="146">
      <formula>OR(ISBLANK(AB142),AB142="Title",AB142="&gt;",AB142="Enter Title",AB142="&gt; Enter Title")</formula>
    </cfRule>
  </conditionalFormatting>
  <conditionalFormatting sqref="AJ143:AL143">
    <cfRule type="expression" dxfId="1748" priority="145">
      <formula>AS142=0</formula>
    </cfRule>
  </conditionalFormatting>
  <conditionalFormatting sqref="AB143:AI143">
    <cfRule type="expression" dxfId="1747" priority="144">
      <formula>AS142=0</formula>
    </cfRule>
  </conditionalFormatting>
  <conditionalFormatting sqref="AM143">
    <cfRule type="expression" dxfId="1746" priority="143">
      <formula>AS142=0</formula>
    </cfRule>
  </conditionalFormatting>
  <conditionalFormatting sqref="AO143:AP143">
    <cfRule type="expression" dxfId="1745" priority="142">
      <formula>AS142=0</formula>
    </cfRule>
  </conditionalFormatting>
  <conditionalFormatting sqref="AM142">
    <cfRule type="expression" dxfId="1744" priority="141">
      <formula>AS142=0</formula>
    </cfRule>
  </conditionalFormatting>
  <conditionalFormatting sqref="AX142:AZ142">
    <cfRule type="expression" dxfId="1743" priority="140">
      <formula>OR(ISBLANK(AB142),AB142="Title",AB142="&gt;",AB142="Enter Title",AB142="&gt; Enter Title")</formula>
    </cfRule>
  </conditionalFormatting>
  <conditionalFormatting sqref="AB144">
    <cfRule type="expression" dxfId="1742" priority="139">
      <formula>AS144=0</formula>
    </cfRule>
  </conditionalFormatting>
  <conditionalFormatting sqref="AQ145">
    <cfRule type="expression" dxfId="1741" priority="138">
      <formula>AQ144&gt;=10%</formula>
    </cfRule>
  </conditionalFormatting>
  <conditionalFormatting sqref="AR145">
    <cfRule type="expression" dxfId="1740" priority="137">
      <formula>AQ144&gt;=20%</formula>
    </cfRule>
  </conditionalFormatting>
  <conditionalFormatting sqref="AS145">
    <cfRule type="expression" dxfId="1739" priority="136">
      <formula>AQ144&gt;=30%</formula>
    </cfRule>
  </conditionalFormatting>
  <conditionalFormatting sqref="AT145">
    <cfRule type="expression" dxfId="1738" priority="135">
      <formula>AQ144&gt;=40%</formula>
    </cfRule>
  </conditionalFormatting>
  <conditionalFormatting sqref="AU145">
    <cfRule type="expression" dxfId="1737" priority="134">
      <formula>AQ144&gt;=50%</formula>
    </cfRule>
  </conditionalFormatting>
  <conditionalFormatting sqref="AV145">
    <cfRule type="expression" dxfId="1736" priority="133">
      <formula>AQ144&gt;=60%</formula>
    </cfRule>
  </conditionalFormatting>
  <conditionalFormatting sqref="AW145">
    <cfRule type="expression" dxfId="1735" priority="132">
      <formula>AQ144&gt;=70%</formula>
    </cfRule>
  </conditionalFormatting>
  <conditionalFormatting sqref="AX145">
    <cfRule type="expression" dxfId="1734" priority="131">
      <formula>AQ144&gt;=80%</formula>
    </cfRule>
  </conditionalFormatting>
  <conditionalFormatting sqref="AY145">
    <cfRule type="expression" dxfId="1733" priority="130">
      <formula>AQ144&gt;=90%</formula>
    </cfRule>
  </conditionalFormatting>
  <conditionalFormatting sqref="AZ145">
    <cfRule type="expression" dxfId="1732" priority="129">
      <formula>AQ144&gt;=100%</formula>
    </cfRule>
  </conditionalFormatting>
  <conditionalFormatting sqref="AZ145">
    <cfRule type="expression" dxfId="1731" priority="128">
      <formula>OR(ISBLANK(AB144),AB144="Title",AB144="&gt;",AB144="Enter Title",AB144="&gt; Enter Title")</formula>
    </cfRule>
  </conditionalFormatting>
  <conditionalFormatting sqref="AY145">
    <cfRule type="expression" dxfId="1730" priority="127">
      <formula>OR(ISBLANK(AB144),AB144="Title",AB144="&gt;",AB144="Enter Title",AB144="&gt; Enter Title")</formula>
    </cfRule>
  </conditionalFormatting>
  <conditionalFormatting sqref="AX145">
    <cfRule type="expression" dxfId="1729" priority="126">
      <formula>OR(ISBLANK(AB144),AB144="Title",AB144="&gt;",AB144="Enter Title",AB144="&gt; Enter Title")</formula>
    </cfRule>
  </conditionalFormatting>
  <conditionalFormatting sqref="AW145">
    <cfRule type="expression" dxfId="1728" priority="125">
      <formula>OR(ISBLANK(AB144),AB144="Title",AB144="&gt;",AB144="Enter Title",AB144="&gt; Enter Title")</formula>
    </cfRule>
  </conditionalFormatting>
  <conditionalFormatting sqref="AV145">
    <cfRule type="expression" dxfId="1727" priority="124">
      <formula>OR(ISBLANK(AB144),AB144="Title",AB144="&gt;",AB144="Enter Title",AB144="&gt; Enter Title")</formula>
    </cfRule>
  </conditionalFormatting>
  <conditionalFormatting sqref="AU145">
    <cfRule type="expression" dxfId="1726" priority="123">
      <formula>OR(ISBLANK(AB144),AB144="Title",AB144="&gt;",AB144="Enter Title",AB144="&gt; Enter Title")</formula>
    </cfRule>
  </conditionalFormatting>
  <conditionalFormatting sqref="AT145">
    <cfRule type="expression" dxfId="1725" priority="122">
      <formula>OR(ISBLANK(AB144),AB144="Title",AB144="&gt;",AB144="Enter Title",AB144="&gt; Enter Title")</formula>
    </cfRule>
  </conditionalFormatting>
  <conditionalFormatting sqref="AS145">
    <cfRule type="expression" dxfId="1724" priority="121">
      <formula>OR(ISBLANK(AB144),AB144="Title",AB144="&gt;",AB144="Enter Title",AB144="&gt; Enter Title")</formula>
    </cfRule>
  </conditionalFormatting>
  <conditionalFormatting sqref="AR145">
    <cfRule type="expression" dxfId="1723" priority="120">
      <formula>OR(ISBLANK(AB144),AB144="Title",AB144="&gt;",AB144="Enter Title",AB144="&gt; Enter Title")</formula>
    </cfRule>
  </conditionalFormatting>
  <conditionalFormatting sqref="AQ145">
    <cfRule type="expression" dxfId="1722" priority="119">
      <formula>OR(ISBLANK(AB144),AB144="Title",AB144="&gt;",AB144="Enter Title",AB144="&gt; Enter Title")</formula>
    </cfRule>
  </conditionalFormatting>
  <conditionalFormatting sqref="AQ144">
    <cfRule type="cellIs" dxfId="1721" priority="118" operator="greaterThan">
      <formula>0</formula>
    </cfRule>
  </conditionalFormatting>
  <conditionalFormatting sqref="AQ144:AR144">
    <cfRule type="expression" dxfId="1720" priority="117">
      <formula>OR(ISBLANK(AB144),AB144="Title",AB144="&gt;",AB144="Enter Title",AB144="&gt; Enter Title")</formula>
    </cfRule>
  </conditionalFormatting>
  <conditionalFormatting sqref="AS144:AT144">
    <cfRule type="expression" dxfId="1719" priority="116">
      <formula>OR(ISBLANK(AB144),AB144="Title",AB144="&gt;",AB144="Enter Title",AB144="&gt; Enter Title")</formula>
    </cfRule>
  </conditionalFormatting>
  <conditionalFormatting sqref="AU144">
    <cfRule type="expression" dxfId="1718" priority="115">
      <formula>OR(ISBLANK(AB144),AB144="Title",AB144="&gt;",AB144="Enter Title",AB144="&gt; Enter Title")</formula>
    </cfRule>
  </conditionalFormatting>
  <conditionalFormatting sqref="AV144:AW144">
    <cfRule type="expression" dxfId="1717" priority="114">
      <formula>OR(ISBLANK(AB144),AB144="Title",AB144="&gt;",AB144="Enter Title",AB144="&gt; Enter Title")</formula>
    </cfRule>
  </conditionalFormatting>
  <conditionalFormatting sqref="AJ145:AL145">
    <cfRule type="expression" dxfId="1716" priority="113">
      <formula>AS144=0</formula>
    </cfRule>
  </conditionalFormatting>
  <conditionalFormatting sqref="AB145:AI145">
    <cfRule type="expression" dxfId="1715" priority="112">
      <formula>AS144=0</formula>
    </cfRule>
  </conditionalFormatting>
  <conditionalFormatting sqref="AM145">
    <cfRule type="expression" dxfId="1714" priority="111">
      <formula>AS144=0</formula>
    </cfRule>
  </conditionalFormatting>
  <conditionalFormatting sqref="AO145:AP145">
    <cfRule type="expression" dxfId="1713" priority="110">
      <formula>AS144=0</formula>
    </cfRule>
  </conditionalFormatting>
  <conditionalFormatting sqref="AM144">
    <cfRule type="expression" dxfId="1712" priority="109">
      <formula>AS144=0</formula>
    </cfRule>
  </conditionalFormatting>
  <conditionalFormatting sqref="AX144:AZ144">
    <cfRule type="expression" dxfId="1711" priority="108">
      <formula>OR(ISBLANK(AB144),AB144="Title",AB144="&gt;",AB144="Enter Title",AB144="&gt; Enter Title")</formula>
    </cfRule>
  </conditionalFormatting>
  <conditionalFormatting sqref="AB146">
    <cfRule type="expression" dxfId="1710" priority="107">
      <formula>AS146=0</formula>
    </cfRule>
  </conditionalFormatting>
  <conditionalFormatting sqref="AQ147">
    <cfRule type="expression" dxfId="1709" priority="106">
      <formula>AQ146&gt;=10%</formula>
    </cfRule>
  </conditionalFormatting>
  <conditionalFormatting sqref="AR147">
    <cfRule type="expression" dxfId="1708" priority="105">
      <formula>AQ146&gt;=20%</formula>
    </cfRule>
  </conditionalFormatting>
  <conditionalFormatting sqref="AS147">
    <cfRule type="expression" dxfId="1707" priority="104">
      <formula>AQ146&gt;=30%</formula>
    </cfRule>
  </conditionalFormatting>
  <conditionalFormatting sqref="AT147">
    <cfRule type="expression" dxfId="1706" priority="103">
      <formula>AQ146&gt;=40%</formula>
    </cfRule>
  </conditionalFormatting>
  <conditionalFormatting sqref="AU147">
    <cfRule type="expression" dxfId="1705" priority="102">
      <formula>AQ146&gt;=50%</formula>
    </cfRule>
  </conditionalFormatting>
  <conditionalFormatting sqref="AV147">
    <cfRule type="expression" dxfId="1704" priority="101">
      <formula>AQ146&gt;=60%</formula>
    </cfRule>
  </conditionalFormatting>
  <conditionalFormatting sqref="AW147">
    <cfRule type="expression" dxfId="1703" priority="100">
      <formula>AQ146&gt;=70%</formula>
    </cfRule>
  </conditionalFormatting>
  <conditionalFormatting sqref="AX147">
    <cfRule type="expression" dxfId="1702" priority="99">
      <formula>AQ146&gt;=80%</formula>
    </cfRule>
  </conditionalFormatting>
  <conditionalFormatting sqref="AY147">
    <cfRule type="expression" dxfId="1701" priority="98">
      <formula>AQ146&gt;=90%</formula>
    </cfRule>
  </conditionalFormatting>
  <conditionalFormatting sqref="AZ147">
    <cfRule type="expression" dxfId="1700" priority="97">
      <formula>AQ146&gt;=100%</formula>
    </cfRule>
  </conditionalFormatting>
  <conditionalFormatting sqref="AZ147">
    <cfRule type="expression" dxfId="1699" priority="96">
      <formula>OR(ISBLANK(AB146),AB146="Title",AB146="&gt;",AB146="Enter Title",AB146="&gt; Enter Title")</formula>
    </cfRule>
  </conditionalFormatting>
  <conditionalFormatting sqref="AY147">
    <cfRule type="expression" dxfId="1698" priority="95">
      <formula>OR(ISBLANK(AB146),AB146="Title",AB146="&gt;",AB146="Enter Title",AB146="&gt; Enter Title")</formula>
    </cfRule>
  </conditionalFormatting>
  <conditionalFormatting sqref="AX147">
    <cfRule type="expression" dxfId="1697" priority="94">
      <formula>OR(ISBLANK(AB146),AB146="Title",AB146="&gt;",AB146="Enter Title",AB146="&gt; Enter Title")</formula>
    </cfRule>
  </conditionalFormatting>
  <conditionalFormatting sqref="AW147">
    <cfRule type="expression" dxfId="1696" priority="93">
      <formula>OR(ISBLANK(AB146),AB146="Title",AB146="&gt;",AB146="Enter Title",AB146="&gt; Enter Title")</formula>
    </cfRule>
  </conditionalFormatting>
  <conditionalFormatting sqref="AV147">
    <cfRule type="expression" dxfId="1695" priority="92">
      <formula>OR(ISBLANK(AB146),AB146="Title",AB146="&gt;",AB146="Enter Title",AB146="&gt; Enter Title")</formula>
    </cfRule>
  </conditionalFormatting>
  <conditionalFormatting sqref="AU147">
    <cfRule type="expression" dxfId="1694" priority="91">
      <formula>OR(ISBLANK(AB146),AB146="Title",AB146="&gt;",AB146="Enter Title",AB146="&gt; Enter Title")</formula>
    </cfRule>
  </conditionalFormatting>
  <conditionalFormatting sqref="AT147">
    <cfRule type="expression" dxfId="1693" priority="90">
      <formula>OR(ISBLANK(AB146),AB146="Title",AB146="&gt;",AB146="Enter Title",AB146="&gt; Enter Title")</formula>
    </cfRule>
  </conditionalFormatting>
  <conditionalFormatting sqref="AS147">
    <cfRule type="expression" dxfId="1692" priority="89">
      <formula>OR(ISBLANK(AB146),AB146="Title",AB146="&gt;",AB146="Enter Title",AB146="&gt; Enter Title")</formula>
    </cfRule>
  </conditionalFormatting>
  <conditionalFormatting sqref="AR147">
    <cfRule type="expression" dxfId="1691" priority="88">
      <formula>OR(ISBLANK(AB146),AB146="Title",AB146="&gt;",AB146="Enter Title",AB146="&gt; Enter Title")</formula>
    </cfRule>
  </conditionalFormatting>
  <conditionalFormatting sqref="AQ147">
    <cfRule type="expression" dxfId="1690" priority="87">
      <formula>OR(ISBLANK(AB146),AB146="Title",AB146="&gt;",AB146="Enter Title",AB146="&gt; Enter Title")</formula>
    </cfRule>
  </conditionalFormatting>
  <conditionalFormatting sqref="AQ146">
    <cfRule type="cellIs" dxfId="1689" priority="86" operator="greaterThan">
      <formula>0</formula>
    </cfRule>
  </conditionalFormatting>
  <conditionalFormatting sqref="AQ146:AR146">
    <cfRule type="expression" dxfId="1688" priority="85">
      <formula>OR(ISBLANK(AB146),AB146="Title",AB146="&gt;",AB146="Enter Title",AB146="&gt; Enter Title")</formula>
    </cfRule>
  </conditionalFormatting>
  <conditionalFormatting sqref="AS146:AT146">
    <cfRule type="expression" dxfId="1687" priority="84">
      <formula>OR(ISBLANK(AB146),AB146="Title",AB146="&gt;",AB146="Enter Title",AB146="&gt; Enter Title")</formula>
    </cfRule>
  </conditionalFormatting>
  <conditionalFormatting sqref="AU146">
    <cfRule type="expression" dxfId="1686" priority="83">
      <formula>OR(ISBLANK(AB146),AB146="Title",AB146="&gt;",AB146="Enter Title",AB146="&gt; Enter Title")</formula>
    </cfRule>
  </conditionalFormatting>
  <conditionalFormatting sqref="AV146:AW146">
    <cfRule type="expression" dxfId="1685" priority="82">
      <formula>OR(ISBLANK(AB146),AB146="Title",AB146="&gt;",AB146="Enter Title",AB146="&gt; Enter Title")</formula>
    </cfRule>
  </conditionalFormatting>
  <conditionalFormatting sqref="AJ147:AL147">
    <cfRule type="expression" dxfId="1684" priority="81">
      <formula>AS146=0</formula>
    </cfRule>
  </conditionalFormatting>
  <conditionalFormatting sqref="AB147:AI147">
    <cfRule type="expression" dxfId="1683" priority="80">
      <formula>AS146=0</formula>
    </cfRule>
  </conditionalFormatting>
  <conditionalFormatting sqref="AM147">
    <cfRule type="expression" dxfId="1682" priority="79">
      <formula>AS146=0</formula>
    </cfRule>
  </conditionalFormatting>
  <conditionalFormatting sqref="AO147:AP147">
    <cfRule type="expression" dxfId="1681" priority="78">
      <formula>AS146=0</formula>
    </cfRule>
  </conditionalFormatting>
  <conditionalFormatting sqref="AM146">
    <cfRule type="expression" dxfId="1680" priority="77">
      <formula>AS146=0</formula>
    </cfRule>
  </conditionalFormatting>
  <conditionalFormatting sqref="AX146:AZ146">
    <cfRule type="expression" dxfId="1679" priority="76">
      <formula>OR(ISBLANK(AB146),AB146="Title",AB146="&gt;",AB146="Enter Title",AB146="&gt; Enter Title")</formula>
    </cfRule>
  </conditionalFormatting>
  <conditionalFormatting sqref="AB148">
    <cfRule type="expression" dxfId="1678" priority="75">
      <formula>AS148=0</formula>
    </cfRule>
  </conditionalFormatting>
  <conditionalFormatting sqref="AQ149">
    <cfRule type="expression" dxfId="1677" priority="74">
      <formula>AQ148&gt;=10%</formula>
    </cfRule>
  </conditionalFormatting>
  <conditionalFormatting sqref="AR149">
    <cfRule type="expression" dxfId="1676" priority="73">
      <formula>AQ148&gt;=20%</formula>
    </cfRule>
  </conditionalFormatting>
  <conditionalFormatting sqref="AS149">
    <cfRule type="expression" dxfId="1675" priority="72">
      <formula>AQ148&gt;=30%</formula>
    </cfRule>
  </conditionalFormatting>
  <conditionalFormatting sqref="AT149">
    <cfRule type="expression" dxfId="1674" priority="71">
      <formula>AQ148&gt;=40%</formula>
    </cfRule>
  </conditionalFormatting>
  <conditionalFormatting sqref="AU149">
    <cfRule type="expression" dxfId="1673" priority="70">
      <formula>AQ148&gt;=50%</formula>
    </cfRule>
  </conditionalFormatting>
  <conditionalFormatting sqref="AV149">
    <cfRule type="expression" dxfId="1672" priority="69">
      <formula>AQ148&gt;=60%</formula>
    </cfRule>
  </conditionalFormatting>
  <conditionalFormatting sqref="AW149">
    <cfRule type="expression" dxfId="1671" priority="68">
      <formula>AQ148&gt;=70%</formula>
    </cfRule>
  </conditionalFormatting>
  <conditionalFormatting sqref="AX149">
    <cfRule type="expression" dxfId="1670" priority="67">
      <formula>AQ148&gt;=80%</formula>
    </cfRule>
  </conditionalFormatting>
  <conditionalFormatting sqref="AY149">
    <cfRule type="expression" dxfId="1669" priority="66">
      <formula>AQ148&gt;=90%</formula>
    </cfRule>
  </conditionalFormatting>
  <conditionalFormatting sqref="AZ149">
    <cfRule type="expression" dxfId="1668" priority="65">
      <formula>AQ148&gt;=100%</formula>
    </cfRule>
  </conditionalFormatting>
  <conditionalFormatting sqref="AZ149">
    <cfRule type="expression" dxfId="1667" priority="64">
      <formula>OR(ISBLANK(AB148),AB148="Title",AB148="&gt;",AB148="Enter Title",AB148="&gt; Enter Title")</formula>
    </cfRule>
  </conditionalFormatting>
  <conditionalFormatting sqref="AY149">
    <cfRule type="expression" dxfId="1666" priority="63">
      <formula>OR(ISBLANK(AB148),AB148="Title",AB148="&gt;",AB148="Enter Title",AB148="&gt; Enter Title")</formula>
    </cfRule>
  </conditionalFormatting>
  <conditionalFormatting sqref="AX149">
    <cfRule type="expression" dxfId="1665" priority="62">
      <formula>OR(ISBLANK(AB148),AB148="Title",AB148="&gt;",AB148="Enter Title",AB148="&gt; Enter Title")</formula>
    </cfRule>
  </conditionalFormatting>
  <conditionalFormatting sqref="AW149">
    <cfRule type="expression" dxfId="1664" priority="61">
      <formula>OR(ISBLANK(AB148),AB148="Title",AB148="&gt;",AB148="Enter Title",AB148="&gt; Enter Title")</formula>
    </cfRule>
  </conditionalFormatting>
  <conditionalFormatting sqref="AV149">
    <cfRule type="expression" dxfId="1663" priority="60">
      <formula>OR(ISBLANK(AB148),AB148="Title",AB148="&gt;",AB148="Enter Title",AB148="&gt; Enter Title")</formula>
    </cfRule>
  </conditionalFormatting>
  <conditionalFormatting sqref="AU149">
    <cfRule type="expression" dxfId="1662" priority="59">
      <formula>OR(ISBLANK(AB148),AB148="Title",AB148="&gt;",AB148="Enter Title",AB148="&gt; Enter Title")</formula>
    </cfRule>
  </conditionalFormatting>
  <conditionalFormatting sqref="AT149">
    <cfRule type="expression" dxfId="1661" priority="58">
      <formula>OR(ISBLANK(AB148),AB148="Title",AB148="&gt;",AB148="Enter Title",AB148="&gt; Enter Title")</formula>
    </cfRule>
  </conditionalFormatting>
  <conditionalFormatting sqref="AS149">
    <cfRule type="expression" dxfId="1660" priority="57">
      <formula>OR(ISBLANK(AB148),AB148="Title",AB148="&gt;",AB148="Enter Title",AB148="&gt; Enter Title")</formula>
    </cfRule>
  </conditionalFormatting>
  <conditionalFormatting sqref="AR149">
    <cfRule type="expression" dxfId="1659" priority="56">
      <formula>OR(ISBLANK(AB148),AB148="Title",AB148="&gt;",AB148="Enter Title",AB148="&gt; Enter Title")</formula>
    </cfRule>
  </conditionalFormatting>
  <conditionalFormatting sqref="AQ149">
    <cfRule type="expression" dxfId="1658" priority="55">
      <formula>OR(ISBLANK(AB148),AB148="Title",AB148="&gt;",AB148="Enter Title",AB148="&gt; Enter Title")</formula>
    </cfRule>
  </conditionalFormatting>
  <conditionalFormatting sqref="AQ148">
    <cfRule type="cellIs" dxfId="1657" priority="54" operator="greaterThan">
      <formula>0</formula>
    </cfRule>
  </conditionalFormatting>
  <conditionalFormatting sqref="AQ148:AR148">
    <cfRule type="expression" dxfId="1656" priority="53">
      <formula>OR(ISBLANK(AB148),AB148="Title",AB148="&gt;",AB148="Enter Title",AB148="&gt; Enter Title")</formula>
    </cfRule>
  </conditionalFormatting>
  <conditionalFormatting sqref="AS148:AT148">
    <cfRule type="expression" dxfId="1655" priority="52">
      <formula>OR(ISBLANK(AB148),AB148="Title",AB148="&gt;",AB148="Enter Title",AB148="&gt; Enter Title")</formula>
    </cfRule>
  </conditionalFormatting>
  <conditionalFormatting sqref="AU148">
    <cfRule type="expression" dxfId="1654" priority="51">
      <formula>OR(ISBLANK(AB148),AB148="Title",AB148="&gt;",AB148="Enter Title",AB148="&gt; Enter Title")</formula>
    </cfRule>
  </conditionalFormatting>
  <conditionalFormatting sqref="AV148:AW148">
    <cfRule type="expression" dxfId="1653" priority="50">
      <formula>OR(ISBLANK(AB148),AB148="Title",AB148="&gt;",AB148="Enter Title",AB148="&gt; Enter Title")</formula>
    </cfRule>
  </conditionalFormatting>
  <conditionalFormatting sqref="AJ149:AL149">
    <cfRule type="expression" dxfId="1652" priority="49">
      <formula>AS148=0</formula>
    </cfRule>
  </conditionalFormatting>
  <conditionalFormatting sqref="AB149:AI149">
    <cfRule type="expression" dxfId="1651" priority="48">
      <formula>AS148=0</formula>
    </cfRule>
  </conditionalFormatting>
  <conditionalFormatting sqref="AM149">
    <cfRule type="expression" dxfId="1650" priority="47">
      <formula>AS148=0</formula>
    </cfRule>
  </conditionalFormatting>
  <conditionalFormatting sqref="AO149:AP149">
    <cfRule type="expression" dxfId="1649" priority="46">
      <formula>AS148=0</formula>
    </cfRule>
  </conditionalFormatting>
  <conditionalFormatting sqref="AM148">
    <cfRule type="expression" dxfId="1648" priority="45">
      <formula>AS148=0</formula>
    </cfRule>
  </conditionalFormatting>
  <conditionalFormatting sqref="AX148:AZ148">
    <cfRule type="expression" dxfId="1647" priority="44">
      <formula>OR(ISBLANK(AB148),AB148="Title",AB148="&gt;",AB148="Enter Title",AB148="&gt; Enter Title")</formula>
    </cfRule>
  </conditionalFormatting>
  <conditionalFormatting sqref="AQ151">
    <cfRule type="expression" dxfId="1646" priority="43">
      <formula>AQ150&gt;=10%</formula>
    </cfRule>
  </conditionalFormatting>
  <conditionalFormatting sqref="AR151">
    <cfRule type="expression" dxfId="1645" priority="42">
      <formula>AQ150&gt;=20%</formula>
    </cfRule>
  </conditionalFormatting>
  <conditionalFormatting sqref="AS151">
    <cfRule type="expression" dxfId="1644" priority="41">
      <formula>AQ150&gt;=30%</formula>
    </cfRule>
  </conditionalFormatting>
  <conditionalFormatting sqref="AT151">
    <cfRule type="expression" dxfId="1643" priority="40">
      <formula>AQ150&gt;=40%</formula>
    </cfRule>
  </conditionalFormatting>
  <conditionalFormatting sqref="AU151">
    <cfRule type="expression" dxfId="1642" priority="39">
      <formula>AQ150&gt;=50%</formula>
    </cfRule>
  </conditionalFormatting>
  <conditionalFormatting sqref="AV151">
    <cfRule type="expression" dxfId="1641" priority="38">
      <formula>AQ150&gt;=60%</formula>
    </cfRule>
  </conditionalFormatting>
  <conditionalFormatting sqref="AW151">
    <cfRule type="expression" dxfId="1640" priority="37">
      <formula>AQ150&gt;=70%</formula>
    </cfRule>
  </conditionalFormatting>
  <conditionalFormatting sqref="AX151">
    <cfRule type="expression" dxfId="1639" priority="36">
      <formula>AQ150&gt;=80%</formula>
    </cfRule>
  </conditionalFormatting>
  <conditionalFormatting sqref="AY151">
    <cfRule type="expression" dxfId="1638" priority="35">
      <formula>AQ150&gt;=90%</formula>
    </cfRule>
  </conditionalFormatting>
  <conditionalFormatting sqref="AZ151">
    <cfRule type="expression" dxfId="1637" priority="34">
      <formula>AQ150&gt;=100%</formula>
    </cfRule>
  </conditionalFormatting>
  <conditionalFormatting sqref="AZ151">
    <cfRule type="expression" dxfId="1636" priority="33">
      <formula>OR(ISBLANK(AB150),AB150="Title",AB150="&gt;",AB150="Enter Title",AB150="&gt; Enter Title")</formula>
    </cfRule>
  </conditionalFormatting>
  <conditionalFormatting sqref="AY151">
    <cfRule type="expression" dxfId="1635" priority="32">
      <formula>OR(ISBLANK(AB150),AB150="Title",AB150="&gt;",AB150="Enter Title",AB150="&gt; Enter Title")</formula>
    </cfRule>
  </conditionalFormatting>
  <conditionalFormatting sqref="AX151">
    <cfRule type="expression" dxfId="1634" priority="31">
      <formula>OR(ISBLANK(AB150),AB150="Title",AB150="&gt;",AB150="Enter Title",AB150="&gt; Enter Title")</formula>
    </cfRule>
  </conditionalFormatting>
  <conditionalFormatting sqref="AW151">
    <cfRule type="expression" dxfId="1633" priority="30">
      <formula>OR(ISBLANK(AB150),AB150="Title",AB150="&gt;",AB150="Enter Title",AB150="&gt; Enter Title")</formula>
    </cfRule>
  </conditionalFormatting>
  <conditionalFormatting sqref="AV151">
    <cfRule type="expression" dxfId="1632" priority="29">
      <formula>OR(ISBLANK(AB150),AB150="Title",AB150="&gt;",AB150="Enter Title",AB150="&gt; Enter Title")</formula>
    </cfRule>
  </conditionalFormatting>
  <conditionalFormatting sqref="AU151">
    <cfRule type="expression" dxfId="1631" priority="28">
      <formula>OR(ISBLANK(AB150),AB150="Title",AB150="&gt;",AB150="Enter Title",AB150="&gt; Enter Title")</formula>
    </cfRule>
  </conditionalFormatting>
  <conditionalFormatting sqref="AT151">
    <cfRule type="expression" dxfId="1630" priority="27">
      <formula>OR(ISBLANK(AB150),AB150="Title",AB150="&gt;",AB150="Enter Title",AB150="&gt; Enter Title")</formula>
    </cfRule>
  </conditionalFormatting>
  <conditionalFormatting sqref="AS151">
    <cfRule type="expression" dxfId="1629" priority="26">
      <formula>OR(ISBLANK(AB150),AB150="Title",AB150="&gt;",AB150="Enter Title",AB150="&gt; Enter Title")</formula>
    </cfRule>
  </conditionalFormatting>
  <conditionalFormatting sqref="AR151">
    <cfRule type="expression" dxfId="1628" priority="25">
      <formula>OR(ISBLANK(AB150),AB150="Title",AB150="&gt;",AB150="Enter Title",AB150="&gt; Enter Title")</formula>
    </cfRule>
  </conditionalFormatting>
  <conditionalFormatting sqref="AQ151">
    <cfRule type="expression" dxfId="1627" priority="24">
      <formula>OR(ISBLANK(AB150),AB150="Title",AB150="&gt;",AB150="Enter Title",AB150="&gt; Enter Title")</formula>
    </cfRule>
  </conditionalFormatting>
  <conditionalFormatting sqref="AQ150">
    <cfRule type="cellIs" dxfId="1626" priority="23" operator="greaterThan">
      <formula>0</formula>
    </cfRule>
  </conditionalFormatting>
  <conditionalFormatting sqref="AQ150:AR150">
    <cfRule type="expression" dxfId="1625" priority="22">
      <formula>OR(ISBLANK(AB150),AB150="Title",AB150="&gt;",AB150="Enter Title",AB150="&gt; Enter Title")</formula>
    </cfRule>
  </conditionalFormatting>
  <conditionalFormatting sqref="AS150:AT150">
    <cfRule type="expression" dxfId="1624" priority="21">
      <formula>OR(ISBLANK(AB150),AB150="Title",AB150="&gt;",AB150="Enter Title",AB150="&gt; Enter Title")</formula>
    </cfRule>
  </conditionalFormatting>
  <conditionalFormatting sqref="AU150">
    <cfRule type="expression" dxfId="1623" priority="20">
      <formula>OR(ISBLANK(AB150),AB150="Title",AB150="&gt;",AB150="Enter Title",AB150="&gt; Enter Title")</formula>
    </cfRule>
  </conditionalFormatting>
  <conditionalFormatting sqref="AV150:AW150">
    <cfRule type="expression" dxfId="1622" priority="19">
      <formula>OR(ISBLANK(AB150),AB150="Title",AB150="&gt;",AB150="Enter Title",AB150="&gt; Enter Title")</formula>
    </cfRule>
  </conditionalFormatting>
  <conditionalFormatting sqref="AB150">
    <cfRule type="expression" dxfId="1621" priority="18">
      <formula>AS150=0</formula>
    </cfRule>
  </conditionalFormatting>
  <conditionalFormatting sqref="AJ151:AL151">
    <cfRule type="expression" dxfId="1620" priority="17">
      <formula>AS150=0</formula>
    </cfRule>
  </conditionalFormatting>
  <conditionalFormatting sqref="AB151:AI151">
    <cfRule type="expression" dxfId="1619" priority="16">
      <formula>AS150=0</formula>
    </cfRule>
  </conditionalFormatting>
  <conditionalFormatting sqref="AM151">
    <cfRule type="expression" dxfId="1618" priority="15">
      <formula>AS150=0</formula>
    </cfRule>
  </conditionalFormatting>
  <conditionalFormatting sqref="AO151:AP151">
    <cfRule type="expression" dxfId="1617" priority="14">
      <formula>AS150=0</formula>
    </cfRule>
  </conditionalFormatting>
  <conditionalFormatting sqref="AM150">
    <cfRule type="expression" dxfId="1616" priority="13">
      <formula>AS150=0</formula>
    </cfRule>
  </conditionalFormatting>
  <conditionalFormatting sqref="AX150:AZ150">
    <cfRule type="expression" dxfId="1615" priority="12">
      <formula>OR(ISBLANK(AB150),AB150="Title",AB150="&gt;",AB150="Enter Title",AB150="&gt; Enter Title")</formula>
    </cfRule>
  </conditionalFormatting>
  <conditionalFormatting sqref="AB108 AB110 AB112 AB114 AB116 AB118 AB120 AB122 AB124 AB126 AB128 AB130 AB132 AB134 AB136 AB138 AB140 AB142 AB144 AB146 AB148 AB150">
    <cfRule type="expression" dxfId="1614" priority="11">
      <formula>AND(AB106="",AB108="")</formula>
    </cfRule>
  </conditionalFormatting>
  <conditionalFormatting sqref="AM108 AM110 AM112 AM114 AM116 AM118 AM120 AM122 AM124 AM126 AM128 AM130 AM132 AM134 AM136 AM138 AM140 AM142 AM144 AM146 AM148 AM150">
    <cfRule type="expression" dxfId="1613" priority="10">
      <formula>AND(AB106="",AB108="")</formula>
    </cfRule>
  </conditionalFormatting>
  <conditionalFormatting sqref="AO109 AO111 AO113 AO115 AO117 AO119 AO121 AO123 AO125 AO127 AO129 AO131 AO133 AO135 AO137 AO139 AO141 AO143 AO145 AO147 AO149 AO151">
    <cfRule type="expression" dxfId="1612" priority="9">
      <formula>AND(AB106="",AB108="")</formula>
    </cfRule>
  </conditionalFormatting>
  <conditionalFormatting sqref="AB109 AB111 AB113 AB115 AB117 AB119 AB121 AB123 AB125 AB127 AB129 AB131 AB133 AB135 AB137 AB139 AB141 AB143 AB145 AB147 AB149 AB151">
    <cfRule type="expression" dxfId="1611" priority="8">
      <formula>AND(AB106="",AB108="")</formula>
    </cfRule>
  </conditionalFormatting>
  <conditionalFormatting sqref="AJ109 AJ111 AJ113 AJ115 AJ117 AJ119 AJ121 AJ123 AJ125 AJ127 AJ129 AJ131 AJ133 AJ135 AJ137 AJ139 AJ141 AJ143 AJ145 AJ147 AJ149 AJ151">
    <cfRule type="expression" dxfId="1610" priority="7">
      <formula>AND(AB106="",AB108="")</formula>
    </cfRule>
  </conditionalFormatting>
  <conditionalFormatting sqref="AM109 AM111 AM113 AM115 AM117 AM119 AM121 AM123 AM125 AM127 AM129 AM131 AM133 AM135 AM137 AM139 AM141 AM143 AM145 AM147 AM149 AM151">
    <cfRule type="expression" dxfId="1609" priority="6">
      <formula>AND(AB106="",AB108="")</formula>
    </cfRule>
  </conditionalFormatting>
  <conditionalFormatting sqref="G114 P114 G120 P120 G126 P126 G132 P132 G138 P138 G144 P144 G150 P150 BF114 BO114 BF120 BO120 BF126 BO126 BF132 BO132 BF138 BO138 BF144 BO144 BF150 BO150">
    <cfRule type="expression" dxfId="1608" priority="5">
      <formula>AND(G108="",G114="",G116="")</formula>
    </cfRule>
  </conditionalFormatting>
  <conditionalFormatting sqref="G112 P112 G118 P118 G124 P124 G130 P130 G136 P136 G142 P142 G148 P148 BF148 BO148 BO142 BF142 BF136 BO136 BF130 BO130 BO124 BF124 BF118 BO118 BF112 BO112">
    <cfRule type="expression" dxfId="1607" priority="4">
      <formula>AND(G108="",G114="",G116="")</formula>
    </cfRule>
  </conditionalFormatting>
  <conditionalFormatting sqref="I112 R112 I118 R118 I124 R124 I130 R130 I136 R136 I142 R142 I148 R148 BH148 BQ148 BQ142 BH142 BH136 BQ136 BQ130 BH130 BH124 BQ124 BH118 BH112 BQ112 BQ118">
    <cfRule type="expression" dxfId="1606" priority="3">
      <formula>AND(G108="",G114="",G116="")</formula>
    </cfRule>
  </conditionalFormatting>
  <conditionalFormatting sqref="L112 U112 L118 U118 L124 U124 L130 U130 BK112 BT112 BK118 BT118 BK124 BT124 BK130 BT130 L136 U136 L142 U142 L148 U148 BK136 BT136 BK142 BT142 BK148 BT148">
    <cfRule type="expression" dxfId="1605" priority="2">
      <formula>AND(G108="",G114="",G116="")</formula>
    </cfRule>
  </conditionalFormatting>
  <conditionalFormatting sqref="AH6:AT18">
    <cfRule type="expression" dxfId="1604" priority="1">
      <formula>OR($AC$9=$AC$7,$AC$12=$AC$7,$AC$15=$AC$7,$AC$18=$AC$7,$AV$9=$AC$7,$AV$12=$AC$7,$AV$15=$AC$7,$AV$18=$AC$7)</formula>
    </cfRule>
  </conditionalFormatting>
  <dataValidations count="34">
    <dataValidation allowBlank="1" showInputMessage="1" showErrorMessage="1" prompt="Enter total pages/mins" sqref="AV54:AW54 AV52:AW52 AV50:AW50 AV48:AW48 AV46:AW46 AV44:AW44 AV34:AW34 AV32:AW32 AV30:AW30 AV28:AW28 AV116:AW116 AV114:AW114 AV112:AW112 AV110:AW110 AV108:AW108 AV106:AW106 AV118:AW118 AV120:AW120 AV122:AW122 AV124:AW124 AV126:AW126 AV138:AW138 AV136:AW136 AV134:AW134 AV132:AW132 AV130:AW130 AV128:AW128 AV140:AW140 AV142:AW142 AV144:AW144 AV146:AW146 AV148:AW148 AV150:AW150" xr:uid="{738E7ACF-0E4E-4234-8B2E-B302E18EA288}"/>
    <dataValidation allowBlank="1" showInputMessage="1" showErrorMessage="1" promptTitle="Temper" prompt="What my mood is like, from feeling low to being in high spirits, and how in touch I feel with my emotions in a balanced way. _x000a_" sqref="AC11:AF11" xr:uid="{1A919173-343D-493E-8C23-F200AB032350}"/>
    <dataValidation allowBlank="1" showInputMessage="1" showErrorMessage="1" promptTitle="Creativity" prompt="How creative I am being and how much time I spend on creative pursuits or projects and how satisfied I am with them." sqref="AC14:AF14" xr:uid="{9C040DEA-AA95-4EA5-A994-C9A26512CD4E}"/>
    <dataValidation allowBlank="1" showInputMessage="1" showErrorMessage="1" promptTitle="Partner" prompt="How am I getting on with my partner in daily life and how well are we connecting intellectually, emotionally and romantically." sqref="AV14:AY14" xr:uid="{64EC1986-6357-4E5A-94DB-BB081AAC33A5}"/>
    <dataValidation allowBlank="1" showInputMessage="1" showErrorMessage="1" promptTitle="Friendships" prompt="How much I am interacting with friends, staying in touch or catching up, and the quality of that communication and time spent." sqref="AV17:AY17" xr:uid="{B43F70B0-18EC-4991-908D-2BD93D400CAE}"/>
    <dataValidation allowBlank="1" showInputMessage="1" showErrorMessage="1" promptTitle="Environment" prompt="How involved I am with the area I live in, appreciating and taking advantage of all it has to offer and how much I like it overall." sqref="AC17:AF17" xr:uid="{0AB75511-2B10-42E9-8006-953E9550078D}"/>
    <dataValidation allowBlank="1" showInputMessage="1" showErrorMessage="1" promptTitle="Work" prompt="How happy I am with my work, and how well I am progressing and developing in my career or professional training." sqref="AC8:AF8" xr:uid="{68639666-2C59-4E0C-8AEC-FF7ED7B514C1}"/>
    <dataValidation allowBlank="1" showInputMessage="1" showErrorMessage="1" promptTitle="Home" prompt="How organised, constructive, calm, comfortable and beautiful I feel my home is, and how stable is my housing situation." sqref="AV8:AY8" xr:uid="{E2F42924-0253-48F4-A760-6A00F0B84241}"/>
    <dataValidation allowBlank="1" showInputMessage="1" showErrorMessage="1" promptTitle="Health" prompt="How good or bad I am feeling and the overall state of my physical wellbeing and if I am taking care of myself effectively." sqref="AV11:AY11" xr:uid="{C6873FF5-95DF-4899-B27C-AA22D9F7ECE8}"/>
    <dataValidation type="list" allowBlank="1" showInputMessage="1" showErrorMessage="1" sqref="G15:M15 G21:M21 G27:M27 G33:M33 P33:V33 P27:V27 P21:V21 P15:V15 BF15:BL15 BF21:BL21 BF27:BL27 BF33:BL33 BO33:BU33 BO27:BU27 BO21:BU21 BO15:BU15 G110:M110 G116:M116 G122:M122 G128:M128 P128:V128 P122:V122 P116:V116 P110:V110 BF110:BL110 BF116:BL116 BF122:BL122 BF128:BL128 BO128:BU128 BO122:BU122 BO116:BU116 BO110:BU110 G134:M134 G140:M140 G146:M146 P146:V146 P140:V140 P134:V134 BF134:BL134 BF140:BL140 BF146:BL146 BO146:BU146 BO140:BU140 BO134:BU134 G152:M152 P152:V152 BF152:BL152 BO152:BU152" xr:uid="{640B3933-B60F-4337-9C56-1408394687E0}">
      <formula1>$CC$2</formula1>
    </dataValidation>
    <dataValidation type="list" allowBlank="1" showInputMessage="1" showErrorMessage="1" sqref="BQ66:BS68" xr:uid="{BAE0C136-26A0-4FF5-BAF6-61B7BCC2E8D0}">
      <formula1>$CC$6:$CC$12</formula1>
    </dataValidation>
    <dataValidation type="list" allowBlank="1" showInputMessage="1" showErrorMessage="1" sqref="BV76:BV95 X76:X95 AH76:AH95 AR76:AR95 BB76:BB95 BL76:BL95 N76:N95" xr:uid="{EF519CE2-E89D-4EC9-9859-2B136EB3102D}">
      <formula1>$CC$26</formula1>
    </dataValidation>
    <dataValidation type="list" allowBlank="1" showInputMessage="1" showErrorMessage="1" sqref="L72:M73 V72:W73 AF72:AG73 AP72:AQ73 AZ72:BA73 BJ72:BK73 BT72:BU73" xr:uid="{EC81525A-73ED-4740-AC99-2173C15F253E}">
      <formula1>$CC$6:$CC$8</formula1>
    </dataValidation>
    <dataValidation allowBlank="1" showInputMessage="1" showErrorMessage="1" promptTitle="Status" prompt="How well I am doing overall according my assessment of the eight areas of my life." sqref="AH4:AT18" xr:uid="{D555329F-7463-4279-92C9-E00E65D2BC71}"/>
    <dataValidation allowBlank="1" showInputMessage="1" showErrorMessage="1" promptTitle="Adventures" prompt="Interesting and engaging activities during the month._x000a__x000a_• Enter details of the adventure in cell below symbol._x000a_• Once done, mark the activity as complete in cell directly below." sqref="G6:V9" xr:uid="{3DB5E61F-518A-492E-A1D5-558F52D7A4A3}"/>
    <dataValidation allowBlank="1" showInputMessage="1" showErrorMessage="1" promptTitle="Connections" prompt="Communication and interaction with other people during the month._x000a__x000a_• Enter details of the connection._x000a_• Once done, mark the activity as complete in cell directly below." sqref="BF6:BU9" xr:uid="{636EC52D-6E26-41FC-8DCA-129CBB7A05E4}"/>
    <dataValidation allowBlank="1" showInputMessage="1" showErrorMessage="1" promptTitle="Narratives" prompt="Books and audiobooks etc. currently reading and listening to. " sqref="AC24:AY25" xr:uid="{3EEF87C5-1AAC-4FB1-ABE1-93DEE9BAE00B}"/>
    <dataValidation allowBlank="1" showInputMessage="1" showErrorMessage="1" promptTitle="Momentum Initiation" prompt="Anti-Procrastination_x000a__x000a_Automated and randomised selection of actions to take or activities to do._x000a__x000a_Just roll a die!_x000a_• Select the blank black square cells._x000a_• Select 'roll' from dropdown._x000a_• For additional dice rolls, select 'roll 2' etc." sqref="T63" xr:uid="{BE8F9C06-2E13-4559-8AB9-C1D89222F7C4}"/>
    <dataValidation type="list" allowBlank="1" showInputMessage="1" sqref="AM28:AP28 AM30:AP30 AM32:AP32 AM34:AP34 AM44:AP44 AM46:AP46 AM48:AP48 AM50:AP50 AM52:AP52 AM54:AP54 AM106:AP106 AM108:AP108 AM110:AP110 AM112:AP112 AM114:AP114 AM116:AP116 AM118:AP118 AM120:AP120 AM122:AP122 AM124:AP124 AM126:AP126 AM128:AP128 AM130:AP130 AM132:AP132 AM134:AP134 AM136:AP136 AM138:AP138 AM140:AP140 AM142:AP142 AM144:AP144 AM146:AP146 AM148:AP148 AM150:AP150" xr:uid="{2B564BBC-0511-4414-9683-CEB31EBC1F3C}">
      <formula1>$CC$14:$CC$22</formula1>
    </dataValidation>
    <dataValidation type="list" allowBlank="1" showInputMessage="1" sqref="AJ29:AL29 AJ31:AL31 AJ33:AL33 AJ35:AL35 AJ53:AL53 AJ51:AL51 AJ49:AL49 AJ47:AL47 AJ45:AL45 AJ107:AL107 AJ109:AL109 AJ111:AL111 AJ113:AL113 AJ115:AL115 AJ117:AL117 AJ119:AL119 AJ121:AL121 AJ123:AL123 AJ125:AL125 AJ127:AL127 AJ129:AL129 AJ131:AL131 AJ133:AL133 AJ135:AL135 AJ137:AL137 AJ139:AL139 AJ141:AL141 AJ143:AL143 AJ145:AL145 AJ147:AL147 AJ149:AL149 AJ151:AL151 AJ55:AL55" xr:uid="{B284A890-7662-4B0E-A8F7-7AFCD833AAC5}">
      <formula1>$CG$14:$CG$40</formula1>
    </dataValidation>
    <dataValidation allowBlank="1" showInputMessage="1" showErrorMessage="1" promptTitle=" JOURNEY" prompt="This is for examining the personal journey._x000a_ _x000a_Here you can:_x000a_• assess personal status and track narratives_x000a_• plan adventures and connections_x000a_• defeat procrastination with dice rolls_x000a_ _x000a_Select individual cells for specific information and instructions._x000a_" sqref="CA1" xr:uid="{9E7FEFEB-729D-4CC8-8849-B9ABBE14C1A5}"/>
    <dataValidation allowBlank="1" showInputMessage="1" showErrorMessage="1" promptTitle=" HUD = Overview" prompt=" LOGS = Journal           PLANS = Calendar_x000a_ NOTES = Ideas            TIMINGS = Schedule_x000a__x000a_ MISSIONS = Tasks_x000a_ ACTIONS = Input_x000a_ PROGRESS = Output_x000a_[JOURNEY = Status]_x000a__x000a_ BOUNTY = Rewards   MONEY = Finance_x000a_ VICTORY = Success    RESPITE = Media_x000a_ GUIDE = History" sqref="A1" xr:uid="{CFBCA163-4491-40C5-8731-780EBF4F2993}"/>
    <dataValidation allowBlank="1" showInputMessage="1" showErrorMessage="1" promptTitle="Adventure Aims" prompt="Suggestions per type to aim at each month listed below._x000a__x000a_Customise and edit descriptions as preferred. " sqref="F42:W42" xr:uid="{8BF2AAEF-B2FF-4319-89D2-3881A3A9C843}"/>
    <dataValidation allowBlank="1" showInputMessage="1" showErrorMessage="1" promptTitle="Main Connections" prompt="Enter names and/or titles below._x000a__x000a_These can be:_x000a_• Family_x000a_• Friends_x000a_• Acquaintances_x000a_• New contacts_x000a_• Groups" sqref="BE42:BV42" xr:uid="{191C2F25-8A87-4FD3-9E22-DBBEB7981207}"/>
    <dataValidation allowBlank="1" showInputMessage="1" showErrorMessage="1" promptTitle="Go Outside" prompt="Roll the die to randomly select an action listed below:_x000a_• select the black square cell to the right._x000a_• select 'roll' from dropdown._x000a_• lock the selection using dropdown to right of action details._x000a__x000a_Customise section by adding chosen action details." sqref="G72:K73" xr:uid="{AA218D24-106E-4081-963B-91162CC4EF8E}"/>
    <dataValidation allowBlank="1" showInputMessage="1" showErrorMessage="1" promptTitle="Be Adventurous" prompt="Roll the die to randomly select an action listed below:_x000a_• select the black square cell to the right._x000a_• select 'roll' from dropdown._x000a_• lock the selection using dropdown to right of action details._x000a__x000a_Customise section by adding chosen action details." sqref="BO72:BS73" xr:uid="{481A23EA-30D5-4ACB-A703-05746E35239A}"/>
    <dataValidation allowBlank="1" showInputMessage="1" showErrorMessage="1" promptTitle="Wild Card" prompt="Roll the die to randomly select an action listed below within any of the sections:_x000a_• select the black square cell to the right._x000a_• select 'roll' from dropdown._x000a_• lock the selection using dropdown to right of action details." sqref="BN66:BP68" xr:uid="{EC1248F0-2548-4815-8960-7AB51E63B5BD}"/>
    <dataValidation allowBlank="1" showInputMessage="1" showErrorMessage="1" promptTitle="Get Active" prompt="Roll the die to randomly select an action listed below:_x000a_• select the black square cell to the right._x000a_• select 'roll' from dropdown._x000a_• lock the selection using dropdown to right of action details._x000a__x000a_Customise section by adding chosen action details." sqref="Q72:U73" xr:uid="{413E6864-31E2-4CE2-A108-3268B29A3DD6}"/>
    <dataValidation allowBlank="1" showInputMessage="1" showErrorMessage="1" promptTitle="Get Productive" prompt="Roll the die to randomly select an action listed below:_x000a_• select the black square cell to the right._x000a_• select 'roll' from dropdown._x000a_• lock the selection using dropdown to right of action details._x000a__x000a_Customise section by adding chosen action details." sqref="AA72:AE73" xr:uid="{2FAFA41B-5916-4049-9637-69B1E6109E49}"/>
    <dataValidation allowBlank="1" showInputMessage="1" showErrorMessage="1" promptTitle="Get Educated" prompt="Roll the die to randomly select an action listed below:_x000a_• select the black square cell to the right._x000a_• select 'roll' from dropdown._x000a_• lock the selection using dropdown to right of action details._x000a__x000a_Customise section by adding chosen action details." sqref="AK72:AO73" xr:uid="{D53CD622-A3F4-4B62-A094-D8C1C2D2155C}"/>
    <dataValidation allowBlank="1" showInputMessage="1" showErrorMessage="1" promptTitle="Be Creative" prompt="Roll the die to randomly select an action listed below:_x000a_• select the black square cell to the right._x000a_• select 'roll' from dropdown._x000a_• lock the selection using dropdown to right of action details._x000a__x000a_Customise section by adding chosen action details." sqref="AU72:AY73" xr:uid="{FB4804B2-E1FA-48CE-B5DC-C59939DF5F5B}"/>
    <dataValidation allowBlank="1" showInputMessage="1" showErrorMessage="1" promptTitle="Be Relaxed" prompt="Roll the die to randomly select an action listed below:_x000a_• select the black square cell to the right._x000a_• select 'roll' from dropdown._x000a_• lock the selection using dropdown to right of action details._x000a__x000a_Customise section by adding chosen action details." sqref="BE72:BI73" xr:uid="{766BE9AC-3BC0-4719-AE12-BA18BDB85389}"/>
    <dataValidation type="list" allowBlank="1" showInputMessage="1" sqref="AC9:AF9 AC12:AF12 AC15:AF15 AC18:AF18 AV18:AY18 AV15:AY15 AV12:AY12 AV9:AY9" xr:uid="{7996A04C-76B9-40D8-A349-D91628B513B1}">
      <formula1>$AA$5:$AF$5</formula1>
    </dataValidation>
    <dataValidation allowBlank="1" showInputMessage="1" showErrorMessage="1" prompt="Just roll a die!_x000a_• Select the blank black square cells._x000a_• Select 'roll' from dropdown._x000a_• For additional dice rolls, select 'roll 2' etc." sqref="F63:S63 BI63:BV63" xr:uid="{5EF83A51-D254-4C53-BD2C-293D6EB85646}"/>
  </dataValidations>
  <printOptions horizontalCentered="1" verticalCentered="1" gridLines="1"/>
  <pageMargins left="0.39370078740157483" right="0.39370078740157483" top="0.39370078740157483" bottom="0.39370078740157483" header="0" footer="0"/>
  <pageSetup paperSize="9" scale="50" fitToWidth="0" fitToHeight="0" orientation="landscape" r:id="rId1"/>
  <headerFooter>
    <oddHeader>&amp;C&amp;"Lucida Console,Bold"GAMEPLAN</oddHeader>
  </headerFooter>
  <extLst>
    <ext xmlns:x14="http://schemas.microsoft.com/office/spreadsheetml/2009/9/main" uri="{78C0D931-6437-407d-A8EE-F0AAD7539E65}">
      <x14:conditionalFormattings>
        <x14:conditionalFormatting xmlns:xm="http://schemas.microsoft.com/office/excel/2006/main">
          <x14:cfRule type="expression" priority="1206" id="{8711F06D-FFD4-45F1-9D9A-03A575867C91}">
            <xm:f>PLANS!$F$3="MAY"</xm:f>
            <x14:dxf>
              <font>
                <color rgb="FFEBE600"/>
              </font>
            </x14:dxf>
          </x14:cfRule>
          <xm:sqref>AC3 AN3 AH4</xm:sqref>
        </x14:conditionalFormatting>
        <x14:conditionalFormatting xmlns:xm="http://schemas.microsoft.com/office/excel/2006/main">
          <x14:cfRule type="expression" priority="1205" id="{94937A8E-E589-402B-A04D-A8D934B9CDDC}">
            <xm:f>PLANS!$F$3="JUNE"</xm:f>
            <x14:dxf>
              <font>
                <color rgb="FFFFC000"/>
              </font>
            </x14:dxf>
          </x14:cfRule>
          <x14:cfRule type="expression" priority="1207" id="{A6636300-4AC4-4251-99F1-2AA08F86DDC5}">
            <xm:f>PLANS!$F$3="APRIL"</xm:f>
            <x14:dxf>
              <font>
                <color rgb="FF92D050"/>
              </font>
            </x14:dxf>
          </x14:cfRule>
          <x14:cfRule type="expression" priority="1208" id="{05FC0583-0C37-418F-82D4-6170FEEEC855}">
            <xm:f>PLANS!$F$3="MARCH"</xm:f>
            <x14:dxf>
              <font>
                <color rgb="FF00B050"/>
              </font>
            </x14:dxf>
          </x14:cfRule>
          <x14:cfRule type="expression" priority="1209" id="{D26700A0-0D06-4865-8EE8-199B3EEA129F}">
            <xm:f>PLANS!$F$3="FEBRUARY"</xm:f>
            <x14:dxf>
              <font>
                <color rgb="FF00B0F0"/>
              </font>
            </x14:dxf>
          </x14:cfRule>
          <x14:cfRule type="expression" priority="1210" id="{7E874C81-654D-4DE4-8190-5D749000E6FC}">
            <xm:f>PLANS!$F$3="JANUARY"</xm:f>
            <x14:dxf>
              <font>
                <color rgb="FF0070C0"/>
              </font>
            </x14:dxf>
          </x14:cfRule>
          <x14:cfRule type="expression" priority="1211" id="{0117DE96-44B2-46D5-83B9-B23A98E2D0DE}">
            <xm:f>PLANS!$F$3="DECEMBER"</xm:f>
            <x14:dxf>
              <font>
                <color rgb="FF6600CC"/>
              </font>
            </x14:dxf>
          </x14:cfRule>
          <x14:cfRule type="expression" priority="1212" id="{2233B832-C48C-4664-9B97-5FD25B89DF67}">
            <xm:f>PLANS!$F$3="NOVEMBER"</xm:f>
            <x14:dxf>
              <font>
                <color rgb="FF9900CC"/>
              </font>
            </x14:dxf>
          </x14:cfRule>
          <x14:cfRule type="expression" priority="1213" id="{29030DF4-BEE4-435B-AB42-8FF3A6D1001E}">
            <xm:f>PLANS!$F$3="OCTOBER"</xm:f>
            <x14:dxf>
              <font>
                <color rgb="FFFF00FF"/>
              </font>
            </x14:dxf>
          </x14:cfRule>
          <x14:cfRule type="expression" priority="1214" id="{D2930374-599A-4C97-995B-8EB948AB26E2}">
            <xm:f>PLANS!$F$3="SEPTEMBER"</xm:f>
            <x14:dxf>
              <font>
                <color rgb="FFFF0000"/>
              </font>
            </x14:dxf>
          </x14:cfRule>
          <x14:cfRule type="expression" priority="1215" id="{A4F2736A-4FB0-428F-95BE-DC5C0670981D}">
            <xm:f>PLANS!$F$3="AUGUST"</xm:f>
            <x14:dxf>
              <font>
                <color rgb="FFC00000"/>
              </font>
            </x14:dxf>
          </x14:cfRule>
          <x14:cfRule type="expression" priority="1216" id="{075B863A-74F4-402E-9C05-B385BF71EA55}">
            <xm:f>PLANS!$F$3="JULY"</xm:f>
            <x14:dxf>
              <font>
                <color rgb="FFFF6600"/>
              </font>
            </x14:dxf>
          </x14:cfRule>
          <xm:sqref>AH4 AZ10:AZ11</xm:sqref>
        </x14:conditionalFormatting>
        <x14:conditionalFormatting xmlns:xm="http://schemas.microsoft.com/office/excel/2006/main">
          <x14:cfRule type="expression" priority="1194" id="{2B963A1F-10C9-4DFD-9F79-A1C9112A6C66}">
            <xm:f>PLANS!$F$3="JUNE"</xm:f>
            <x14:dxf>
              <font>
                <color rgb="FFFFC000"/>
              </font>
            </x14:dxf>
          </x14:cfRule>
          <x14:cfRule type="expression" priority="1195" id="{6F49E612-93C2-4831-AB8E-A0FB72719807}">
            <xm:f>PLANS!$F$3="APRIL"</xm:f>
            <x14:dxf>
              <font>
                <color rgb="FF92D050"/>
              </font>
            </x14:dxf>
          </x14:cfRule>
          <x14:cfRule type="expression" priority="1196" id="{56B481E6-EC47-40FF-B9D6-7D730C9B2D19}">
            <xm:f>PLANS!$F$3="MARCH"</xm:f>
            <x14:dxf>
              <font>
                <color rgb="FF00B050"/>
              </font>
            </x14:dxf>
          </x14:cfRule>
          <x14:cfRule type="expression" priority="1197" id="{F1537494-9665-4B28-BBAC-B76754DEC2CB}">
            <xm:f>PLANS!$F$3="FEBRUARY"</xm:f>
            <x14:dxf>
              <font>
                <color rgb="FF00B0F0"/>
              </font>
            </x14:dxf>
          </x14:cfRule>
          <x14:cfRule type="expression" priority="1198" id="{E8DE01BF-543D-4E2F-AE67-3D85C95759E0}">
            <xm:f>PLANS!$F$3="JANUARY"</xm:f>
            <x14:dxf>
              <font>
                <color rgb="FF0070C0"/>
              </font>
            </x14:dxf>
          </x14:cfRule>
          <x14:cfRule type="expression" priority="1199" id="{19871784-025D-4047-82F9-B07962D255B0}">
            <xm:f>PLANS!$F$3="DECEMBER"</xm:f>
            <x14:dxf>
              <font>
                <color rgb="FF6600CC"/>
              </font>
            </x14:dxf>
          </x14:cfRule>
          <x14:cfRule type="expression" priority="1200" id="{D4EA2BDE-0ED3-4F49-AB6C-0FC4AC46AA03}">
            <xm:f>PLANS!$F$3="NOVEMBER"</xm:f>
            <x14:dxf>
              <font>
                <color rgb="FF9900CC"/>
              </font>
            </x14:dxf>
          </x14:cfRule>
          <x14:cfRule type="expression" priority="1201" id="{6E9D9992-0BE4-440F-A884-9478129E0410}">
            <xm:f>PLANS!$F$3="OCTOBER"</xm:f>
            <x14:dxf>
              <font>
                <color rgb="FFFF00FF"/>
              </font>
            </x14:dxf>
          </x14:cfRule>
          <x14:cfRule type="expression" priority="1202" id="{D108C76C-D272-4474-BCCB-FE3A119B3E6E}">
            <xm:f>PLANS!$F$3="SEPTEMBER"</xm:f>
            <x14:dxf>
              <font>
                <color rgb="FFFF0000"/>
              </font>
            </x14:dxf>
          </x14:cfRule>
          <x14:cfRule type="expression" priority="1203" id="{5B46AC29-8CC4-4070-9180-0089077FAEC9}">
            <xm:f>PLANS!$F$3="AUGUST"</xm:f>
            <x14:dxf>
              <font>
                <color rgb="FFC00000"/>
              </font>
            </x14:dxf>
          </x14:cfRule>
          <x14:cfRule type="expression" priority="1204" id="{1E04FEB8-C950-4897-949C-4C5B626CB5F7}">
            <xm:f>PLANS!$F$3="JULY"</xm:f>
            <x14:dxf>
              <font>
                <color rgb="FFFF6600"/>
              </font>
            </x14:dxf>
          </x14:cfRule>
          <xm:sqref>AC17</xm:sqref>
        </x14:conditionalFormatting>
        <x14:conditionalFormatting xmlns:xm="http://schemas.microsoft.com/office/excel/2006/main">
          <x14:cfRule type="expression" priority="1183" id="{EB972EE5-DC0F-495C-8DE8-08DCAAD0A078}">
            <xm:f>PLANS!$F$3="JUNE"</xm:f>
            <x14:dxf>
              <font>
                <color rgb="FFFFC000"/>
              </font>
            </x14:dxf>
          </x14:cfRule>
          <x14:cfRule type="expression" priority="1184" id="{A53319ED-4ED9-489D-A2B6-942BF89BECEC}">
            <xm:f>PLANS!$F$3="APRIL"</xm:f>
            <x14:dxf>
              <font>
                <color rgb="FF92D050"/>
              </font>
            </x14:dxf>
          </x14:cfRule>
          <x14:cfRule type="expression" priority="1185" id="{1E5FA618-DB39-41F6-87B9-7012ECBCD8C3}">
            <xm:f>PLANS!$F$3="MARCH"</xm:f>
            <x14:dxf>
              <font>
                <color rgb="FF00B050"/>
              </font>
            </x14:dxf>
          </x14:cfRule>
          <x14:cfRule type="expression" priority="1186" id="{FB79DF1E-78EF-4C01-84DF-405C4584C2D0}">
            <xm:f>PLANS!$F$3="FEBRUARY"</xm:f>
            <x14:dxf>
              <font>
                <color rgb="FF00B0F0"/>
              </font>
            </x14:dxf>
          </x14:cfRule>
          <x14:cfRule type="expression" priority="1187" id="{52EDCF55-A85E-4EB3-BB83-21216EB1AA6F}">
            <xm:f>PLANS!$F$3="JANUARY"</xm:f>
            <x14:dxf>
              <font>
                <color rgb="FF0070C0"/>
              </font>
            </x14:dxf>
          </x14:cfRule>
          <x14:cfRule type="expression" priority="1188" id="{007A751D-3C6E-45D3-AF9F-3BA7D3F5D3FD}">
            <xm:f>PLANS!$F$3="DECEMBER"</xm:f>
            <x14:dxf>
              <font>
                <color rgb="FF6600CC"/>
              </font>
            </x14:dxf>
          </x14:cfRule>
          <x14:cfRule type="expression" priority="1189" id="{83062BBA-6D33-4AEE-B0D2-72713BBB93C7}">
            <xm:f>PLANS!$F$3="NOVEMBER"</xm:f>
            <x14:dxf>
              <font>
                <color rgb="FF9900CC"/>
              </font>
            </x14:dxf>
          </x14:cfRule>
          <x14:cfRule type="expression" priority="1190" id="{AC64BE1F-BA98-4727-894E-AAA5DB97BD3F}">
            <xm:f>PLANS!$F$3="OCTOBER"</xm:f>
            <x14:dxf>
              <font>
                <color rgb="FFFF00FF"/>
              </font>
            </x14:dxf>
          </x14:cfRule>
          <x14:cfRule type="expression" priority="1191" id="{F4417B6C-8344-47F3-90BD-5C442B07F8F0}">
            <xm:f>PLANS!$F$3="SEPTEMBER"</xm:f>
            <x14:dxf>
              <font>
                <color rgb="FFFF0000"/>
              </font>
            </x14:dxf>
          </x14:cfRule>
          <x14:cfRule type="expression" priority="1192" id="{BA2FA0DF-DE81-4B58-A6AA-EAE600316B1B}">
            <xm:f>PLANS!$F$3="AUGUST"</xm:f>
            <x14:dxf>
              <font>
                <color rgb="FFC00000"/>
              </font>
            </x14:dxf>
          </x14:cfRule>
          <x14:cfRule type="expression" priority="1193" id="{6AAF6D37-A930-49A0-891A-4C5FF59E6986}">
            <xm:f>PLANS!$F$3="JULY"</xm:f>
            <x14:dxf>
              <font>
                <color rgb="FFFF6600"/>
              </font>
            </x14:dxf>
          </x14:cfRule>
          <xm:sqref>AC14</xm:sqref>
        </x14:conditionalFormatting>
        <x14:conditionalFormatting xmlns:xm="http://schemas.microsoft.com/office/excel/2006/main">
          <x14:cfRule type="expression" priority="1172" id="{697335C7-3114-4A4B-989C-15BE4AB68D95}">
            <xm:f>PLANS!$F$3="JUNE"</xm:f>
            <x14:dxf>
              <font>
                <color rgb="FFFFC000"/>
              </font>
            </x14:dxf>
          </x14:cfRule>
          <x14:cfRule type="expression" priority="1173" id="{FF804A9D-0B6C-4D37-B7D5-796DDAE0E41F}">
            <xm:f>PLANS!$F$3="APRIL"</xm:f>
            <x14:dxf>
              <font>
                <color rgb="FF92D050"/>
              </font>
            </x14:dxf>
          </x14:cfRule>
          <x14:cfRule type="expression" priority="1174" id="{7A14949F-F19E-4E95-907B-54C9E5DD650D}">
            <xm:f>PLANS!$F$3="MARCH"</xm:f>
            <x14:dxf>
              <font>
                <color rgb="FF00B050"/>
              </font>
            </x14:dxf>
          </x14:cfRule>
          <x14:cfRule type="expression" priority="1175" id="{7231909A-9F60-4085-920B-C064DD33E840}">
            <xm:f>PLANS!$F$3="FEBRUARY"</xm:f>
            <x14:dxf>
              <font>
                <color rgb="FF00B0F0"/>
              </font>
            </x14:dxf>
          </x14:cfRule>
          <x14:cfRule type="expression" priority="1176" id="{F9A52B71-7B7C-4507-9B33-1A4EACFA00A5}">
            <xm:f>PLANS!$F$3="JANUARY"</xm:f>
            <x14:dxf>
              <font>
                <color rgb="FF0070C0"/>
              </font>
            </x14:dxf>
          </x14:cfRule>
          <x14:cfRule type="expression" priority="1177" id="{367FFE36-18F3-4778-BECE-9145AD7F3639}">
            <xm:f>PLANS!$F$3="DECEMBER"</xm:f>
            <x14:dxf>
              <font>
                <color rgb="FF6600CC"/>
              </font>
            </x14:dxf>
          </x14:cfRule>
          <x14:cfRule type="expression" priority="1178" id="{8EFE93AF-CC72-4352-B1D2-C1981B54A1AF}">
            <xm:f>PLANS!$F$3="NOVEMBER"</xm:f>
            <x14:dxf>
              <font>
                <color rgb="FF9900CC"/>
              </font>
            </x14:dxf>
          </x14:cfRule>
          <x14:cfRule type="expression" priority="1179" id="{DAD6967A-7B6B-48FE-8F3C-CC3DF0FB776D}">
            <xm:f>PLANS!$F$3="OCTOBER"</xm:f>
            <x14:dxf>
              <font>
                <color rgb="FFFF00FF"/>
              </font>
            </x14:dxf>
          </x14:cfRule>
          <x14:cfRule type="expression" priority="1180" id="{3FC323A5-6433-478D-96E4-810205A6E98F}">
            <xm:f>PLANS!$F$3="SEPTEMBER"</xm:f>
            <x14:dxf>
              <font>
                <color rgb="FFFF0000"/>
              </font>
            </x14:dxf>
          </x14:cfRule>
          <x14:cfRule type="expression" priority="1181" id="{B75A6B1D-E8D5-4C40-87EC-13D8C3127F3B}">
            <xm:f>PLANS!$F$3="AUGUST"</xm:f>
            <x14:dxf>
              <font>
                <color rgb="FFC00000"/>
              </font>
            </x14:dxf>
          </x14:cfRule>
          <x14:cfRule type="expression" priority="1182" id="{011D8B0C-5BC3-4345-AF7E-F1C4C7CF635A}">
            <xm:f>PLANS!$F$3="JULY"</xm:f>
            <x14:dxf>
              <font>
                <color rgb="FFFF6600"/>
              </font>
            </x14:dxf>
          </x14:cfRule>
          <xm:sqref>AC11</xm:sqref>
        </x14:conditionalFormatting>
        <x14:conditionalFormatting xmlns:xm="http://schemas.microsoft.com/office/excel/2006/main">
          <x14:cfRule type="expression" priority="1161" id="{EAA2FCCC-E090-4144-9F5B-24C36821ABA7}">
            <xm:f>PLANS!$F$3="JUNE"</xm:f>
            <x14:dxf>
              <font>
                <color rgb="FFFFC000"/>
              </font>
            </x14:dxf>
          </x14:cfRule>
          <x14:cfRule type="expression" priority="1162" id="{0F6A8806-A90E-401F-81AC-43B32A2B3101}">
            <xm:f>PLANS!$F$3="APRIL"</xm:f>
            <x14:dxf>
              <font>
                <color rgb="FF92D050"/>
              </font>
            </x14:dxf>
          </x14:cfRule>
          <x14:cfRule type="expression" priority="1163" id="{1D3A4867-297F-4B01-9549-8D8F18E26228}">
            <xm:f>PLANS!$F$3="MARCH"</xm:f>
            <x14:dxf>
              <font>
                <color rgb="FF00B050"/>
              </font>
            </x14:dxf>
          </x14:cfRule>
          <x14:cfRule type="expression" priority="1164" id="{0B2D072A-2E40-48D7-BB29-AF798739D384}">
            <xm:f>PLANS!$F$3="FEBRUARY"</xm:f>
            <x14:dxf>
              <font>
                <color rgb="FF00B0F0"/>
              </font>
            </x14:dxf>
          </x14:cfRule>
          <x14:cfRule type="expression" priority="1165" id="{018A2E1B-095E-4796-BD56-048903E45AF1}">
            <xm:f>PLANS!$F$3="JANUARY"</xm:f>
            <x14:dxf>
              <font>
                <color rgb="FF0070C0"/>
              </font>
            </x14:dxf>
          </x14:cfRule>
          <x14:cfRule type="expression" priority="1166" id="{D8638938-ACDF-4C47-9356-A8E8D579C183}">
            <xm:f>PLANS!$F$3="DECEMBER"</xm:f>
            <x14:dxf>
              <font>
                <color rgb="FF6600CC"/>
              </font>
            </x14:dxf>
          </x14:cfRule>
          <x14:cfRule type="expression" priority="1167" id="{8E1F4DB3-F98D-469B-BDA9-3E616B439B51}">
            <xm:f>PLANS!$F$3="NOVEMBER"</xm:f>
            <x14:dxf>
              <font>
                <color rgb="FF9900CC"/>
              </font>
            </x14:dxf>
          </x14:cfRule>
          <x14:cfRule type="expression" priority="1168" id="{F09310BD-3920-48BD-B4F2-F64AD61979CB}">
            <xm:f>PLANS!$F$3="OCTOBER"</xm:f>
            <x14:dxf>
              <font>
                <color rgb="FFFF00FF"/>
              </font>
            </x14:dxf>
          </x14:cfRule>
          <x14:cfRule type="expression" priority="1169" id="{17A6D2E3-B2C4-434F-A965-60FFD5262DFD}">
            <xm:f>PLANS!$F$3="SEPTEMBER"</xm:f>
            <x14:dxf>
              <font>
                <color rgb="FFFF0000"/>
              </font>
            </x14:dxf>
          </x14:cfRule>
          <x14:cfRule type="expression" priority="1170" id="{CAC4A5FE-B6EA-4C23-88C2-FA3C1088DCE2}">
            <xm:f>PLANS!$F$3="AUGUST"</xm:f>
            <x14:dxf>
              <font>
                <color rgb="FFC00000"/>
              </font>
            </x14:dxf>
          </x14:cfRule>
          <x14:cfRule type="expression" priority="1171" id="{969C4B89-6553-45E7-8896-6222ADB11D2C}">
            <xm:f>PLANS!$F$3="JULY"</xm:f>
            <x14:dxf>
              <font>
                <color rgb="FFFF6600"/>
              </font>
            </x14:dxf>
          </x14:cfRule>
          <xm:sqref>AC8</xm:sqref>
        </x14:conditionalFormatting>
        <x14:conditionalFormatting xmlns:xm="http://schemas.microsoft.com/office/excel/2006/main">
          <x14:cfRule type="expression" priority="1150" id="{E35D79B3-56A0-4780-92AA-F65BEA9607A8}">
            <xm:f>PLANS!$F$3="JUNE"</xm:f>
            <x14:dxf>
              <font>
                <color rgb="FFFFC000"/>
              </font>
            </x14:dxf>
          </x14:cfRule>
          <x14:cfRule type="expression" priority="1151" id="{311D3B99-B54C-4790-820B-7207D869FC7F}">
            <xm:f>PLANS!$F$3="APRIL"</xm:f>
            <x14:dxf>
              <font>
                <color rgb="FF92D050"/>
              </font>
            </x14:dxf>
          </x14:cfRule>
          <x14:cfRule type="expression" priority="1152" id="{13A63E53-0A5D-40E5-A6F3-8F359FF06B8B}">
            <xm:f>PLANS!$F$3="MARCH"</xm:f>
            <x14:dxf>
              <font>
                <color rgb="FF00B050"/>
              </font>
            </x14:dxf>
          </x14:cfRule>
          <x14:cfRule type="expression" priority="1153" id="{55D449B1-8B85-4F6D-A8F6-5172D6666154}">
            <xm:f>PLANS!$F$3="FEBRUARY"</xm:f>
            <x14:dxf>
              <font>
                <color rgb="FF00B0F0"/>
              </font>
            </x14:dxf>
          </x14:cfRule>
          <x14:cfRule type="expression" priority="1154" id="{ADBC5EB1-5F02-4906-A501-9DF122D217B0}">
            <xm:f>PLANS!$F$3="JANUARY"</xm:f>
            <x14:dxf>
              <font>
                <color rgb="FF0070C0"/>
              </font>
            </x14:dxf>
          </x14:cfRule>
          <x14:cfRule type="expression" priority="1155" id="{AE55813B-129A-4520-83FC-30A05DDE8935}">
            <xm:f>PLANS!$F$3="DECEMBER"</xm:f>
            <x14:dxf>
              <font>
                <color rgb="FF6600CC"/>
              </font>
            </x14:dxf>
          </x14:cfRule>
          <x14:cfRule type="expression" priority="1156" id="{6B9498D4-9D9B-458B-8A15-9D500F3D0F27}">
            <xm:f>PLANS!$F$3="NOVEMBER"</xm:f>
            <x14:dxf>
              <font>
                <color rgb="FF9900CC"/>
              </font>
            </x14:dxf>
          </x14:cfRule>
          <x14:cfRule type="expression" priority="1157" id="{315EEB2D-AEF3-4DF4-941D-55F74DC7D739}">
            <xm:f>PLANS!$F$3="OCTOBER"</xm:f>
            <x14:dxf>
              <font>
                <color rgb="FFFF00FF"/>
              </font>
            </x14:dxf>
          </x14:cfRule>
          <x14:cfRule type="expression" priority="1158" id="{87D7161F-1617-41DE-9221-7178E5F511BD}">
            <xm:f>PLANS!$F$3="SEPTEMBER"</xm:f>
            <x14:dxf>
              <font>
                <color rgb="FFFF0000"/>
              </font>
            </x14:dxf>
          </x14:cfRule>
          <x14:cfRule type="expression" priority="1159" id="{74BEC7C0-7C60-4D07-95E9-5AAD1ECB31D9}">
            <xm:f>PLANS!$F$3="AUGUST"</xm:f>
            <x14:dxf>
              <font>
                <color rgb="FFC00000"/>
              </font>
            </x14:dxf>
          </x14:cfRule>
          <x14:cfRule type="expression" priority="1160" id="{37BD3D3B-83E1-4B32-93A6-F3C480284920}">
            <xm:f>PLANS!$F$3="JULY"</xm:f>
            <x14:dxf>
              <font>
                <color rgb="FFFF6600"/>
              </font>
            </x14:dxf>
          </x14:cfRule>
          <xm:sqref>AV17</xm:sqref>
        </x14:conditionalFormatting>
        <x14:conditionalFormatting xmlns:xm="http://schemas.microsoft.com/office/excel/2006/main">
          <x14:cfRule type="expression" priority="1139" id="{4326A33A-102E-40A6-87CA-24F1888206F0}">
            <xm:f>PLANS!$F$3="JUNE"</xm:f>
            <x14:dxf>
              <font>
                <color rgb="FFFFC000"/>
              </font>
            </x14:dxf>
          </x14:cfRule>
          <x14:cfRule type="expression" priority="1140" id="{61192969-E300-4125-93AE-950C3A8B8F72}">
            <xm:f>PLANS!$F$3="APRIL"</xm:f>
            <x14:dxf>
              <font>
                <color rgb="FF92D050"/>
              </font>
            </x14:dxf>
          </x14:cfRule>
          <x14:cfRule type="expression" priority="1141" id="{57E865E8-744A-43C5-9D03-28A9DBBEF3BB}">
            <xm:f>PLANS!$F$3="MARCH"</xm:f>
            <x14:dxf>
              <font>
                <color rgb="FF00B050"/>
              </font>
            </x14:dxf>
          </x14:cfRule>
          <x14:cfRule type="expression" priority="1142" id="{EEFDEF14-313E-4072-B473-78F431CC7856}">
            <xm:f>PLANS!$F$3="FEBRUARY"</xm:f>
            <x14:dxf>
              <font>
                <color rgb="FF00B0F0"/>
              </font>
            </x14:dxf>
          </x14:cfRule>
          <x14:cfRule type="expression" priority="1143" id="{637731B5-B371-446F-99DD-5F4E9A140799}">
            <xm:f>PLANS!$F$3="JANUARY"</xm:f>
            <x14:dxf>
              <font>
                <color rgb="FF0070C0"/>
              </font>
            </x14:dxf>
          </x14:cfRule>
          <x14:cfRule type="expression" priority="1144" id="{51A1A0EA-695E-4CC1-8A48-33B03C2AC194}">
            <xm:f>PLANS!$F$3="DECEMBER"</xm:f>
            <x14:dxf>
              <font>
                <color rgb="FF6600CC"/>
              </font>
            </x14:dxf>
          </x14:cfRule>
          <x14:cfRule type="expression" priority="1145" id="{97947D2F-9178-4B37-95BA-A8B5F1E8EFAD}">
            <xm:f>PLANS!$F$3="NOVEMBER"</xm:f>
            <x14:dxf>
              <font>
                <color rgb="FF9900CC"/>
              </font>
            </x14:dxf>
          </x14:cfRule>
          <x14:cfRule type="expression" priority="1146" id="{E6166764-D80C-4898-B78C-FF0194974ABE}">
            <xm:f>PLANS!$F$3="OCTOBER"</xm:f>
            <x14:dxf>
              <font>
                <color rgb="FFFF00FF"/>
              </font>
            </x14:dxf>
          </x14:cfRule>
          <x14:cfRule type="expression" priority="1147" id="{B0156027-4E34-48EB-884F-7523770BAB2D}">
            <xm:f>PLANS!$F$3="SEPTEMBER"</xm:f>
            <x14:dxf>
              <font>
                <color rgb="FFFF0000"/>
              </font>
            </x14:dxf>
          </x14:cfRule>
          <x14:cfRule type="expression" priority="1148" id="{C97F38C6-CE84-478F-A11A-9356B506246C}">
            <xm:f>PLANS!$F$3="AUGUST"</xm:f>
            <x14:dxf>
              <font>
                <color rgb="FFC00000"/>
              </font>
            </x14:dxf>
          </x14:cfRule>
          <x14:cfRule type="expression" priority="1149" id="{606CAE14-9D89-46D0-AB7E-52E879CED566}">
            <xm:f>PLANS!$F$3="JULY"</xm:f>
            <x14:dxf>
              <font>
                <color rgb="FFFF6600"/>
              </font>
            </x14:dxf>
          </x14:cfRule>
          <xm:sqref>AV14</xm:sqref>
        </x14:conditionalFormatting>
        <x14:conditionalFormatting xmlns:xm="http://schemas.microsoft.com/office/excel/2006/main">
          <x14:cfRule type="expression" priority="1128" id="{6DB19A3C-CAEA-4438-83C5-8A7E6ADE2228}">
            <xm:f>PLANS!$F$3="JUNE"</xm:f>
            <x14:dxf>
              <font>
                <color rgb="FFFFC000"/>
              </font>
            </x14:dxf>
          </x14:cfRule>
          <x14:cfRule type="expression" priority="1129" id="{A1CEAE53-79CC-4CCE-ABC3-6FB66BE06886}">
            <xm:f>PLANS!$F$3="APRIL"</xm:f>
            <x14:dxf>
              <font>
                <color rgb="FF92D050"/>
              </font>
            </x14:dxf>
          </x14:cfRule>
          <x14:cfRule type="expression" priority="1130" id="{11419431-80B7-4BFE-AC23-90E55A37FC74}">
            <xm:f>PLANS!$F$3="MARCH"</xm:f>
            <x14:dxf>
              <font>
                <color rgb="FF00B050"/>
              </font>
            </x14:dxf>
          </x14:cfRule>
          <x14:cfRule type="expression" priority="1131" id="{86422F1B-7ECE-4625-8AAE-61912C23DA24}">
            <xm:f>PLANS!$F$3="FEBRUARY"</xm:f>
            <x14:dxf>
              <font>
                <color rgb="FF00B0F0"/>
              </font>
            </x14:dxf>
          </x14:cfRule>
          <x14:cfRule type="expression" priority="1132" id="{9C4094B5-8139-4436-8332-F7DFA88D0A48}">
            <xm:f>PLANS!$F$3="JANUARY"</xm:f>
            <x14:dxf>
              <font>
                <color rgb="FF0070C0"/>
              </font>
            </x14:dxf>
          </x14:cfRule>
          <x14:cfRule type="expression" priority="1133" id="{3A13591A-68D1-4859-ACFA-742B14A15649}">
            <xm:f>PLANS!$F$3="DECEMBER"</xm:f>
            <x14:dxf>
              <font>
                <color rgb="FF6600CC"/>
              </font>
            </x14:dxf>
          </x14:cfRule>
          <x14:cfRule type="expression" priority="1134" id="{40E4E19B-E5E8-4A9B-B658-78F6D55DB1BF}">
            <xm:f>PLANS!$F$3="NOVEMBER"</xm:f>
            <x14:dxf>
              <font>
                <color rgb="FF9900CC"/>
              </font>
            </x14:dxf>
          </x14:cfRule>
          <x14:cfRule type="expression" priority="1135" id="{A15E38DF-2788-4668-A9E1-1F829D2AA591}">
            <xm:f>PLANS!$F$3="OCTOBER"</xm:f>
            <x14:dxf>
              <font>
                <color rgb="FFFF00FF"/>
              </font>
            </x14:dxf>
          </x14:cfRule>
          <x14:cfRule type="expression" priority="1136" id="{0D64FD68-6114-42A8-BDFD-F2AE60E5F4B3}">
            <xm:f>PLANS!$F$3="SEPTEMBER"</xm:f>
            <x14:dxf>
              <font>
                <color rgb="FFFF0000"/>
              </font>
            </x14:dxf>
          </x14:cfRule>
          <x14:cfRule type="expression" priority="1137" id="{6479D61B-CC30-4E2F-B663-DDA4223B2C03}">
            <xm:f>PLANS!$F$3="AUGUST"</xm:f>
            <x14:dxf>
              <font>
                <color rgb="FFC00000"/>
              </font>
            </x14:dxf>
          </x14:cfRule>
          <x14:cfRule type="expression" priority="1138" id="{E9B90226-2605-4E94-A307-F3A5C595E268}">
            <xm:f>PLANS!$F$3="JULY"</xm:f>
            <x14:dxf>
              <font>
                <color rgb="FFFF6600"/>
              </font>
            </x14:dxf>
          </x14:cfRule>
          <xm:sqref>AV11</xm:sqref>
        </x14:conditionalFormatting>
        <x14:conditionalFormatting xmlns:xm="http://schemas.microsoft.com/office/excel/2006/main">
          <x14:cfRule type="expression" priority="1117" id="{018EF26B-B282-4969-A18A-103931B1FF3F}">
            <xm:f>PLANS!$F$3="JUNE"</xm:f>
            <x14:dxf>
              <font>
                <color rgb="FFFFC000"/>
              </font>
            </x14:dxf>
          </x14:cfRule>
          <x14:cfRule type="expression" priority="1118" id="{842E8416-C20D-4157-BBA2-1A9F3F25171B}">
            <xm:f>PLANS!$F$3="APRIL"</xm:f>
            <x14:dxf>
              <font>
                <color rgb="FF92D050"/>
              </font>
            </x14:dxf>
          </x14:cfRule>
          <x14:cfRule type="expression" priority="1119" id="{75BF3C5A-EEEC-4F55-A849-5BCB7BD61670}">
            <xm:f>PLANS!$F$3="MARCH"</xm:f>
            <x14:dxf>
              <font>
                <color rgb="FF00B050"/>
              </font>
            </x14:dxf>
          </x14:cfRule>
          <x14:cfRule type="expression" priority="1120" id="{93D1976E-E2A8-40A2-8707-AC3213B08CF1}">
            <xm:f>PLANS!$F$3="FEBRUARY"</xm:f>
            <x14:dxf>
              <font>
                <color rgb="FF00B0F0"/>
              </font>
            </x14:dxf>
          </x14:cfRule>
          <x14:cfRule type="expression" priority="1121" id="{25D8A3AD-28A6-4A92-8371-1FD064D9BA6C}">
            <xm:f>PLANS!$F$3="JANUARY"</xm:f>
            <x14:dxf>
              <font>
                <color rgb="FF0070C0"/>
              </font>
            </x14:dxf>
          </x14:cfRule>
          <x14:cfRule type="expression" priority="1122" id="{E5AEE9DA-31D3-46DA-BB5A-41FD87F42B1B}">
            <xm:f>PLANS!$F$3="DECEMBER"</xm:f>
            <x14:dxf>
              <font>
                <color rgb="FF6600CC"/>
              </font>
            </x14:dxf>
          </x14:cfRule>
          <x14:cfRule type="expression" priority="1123" id="{122DD3A9-A16C-47CF-A150-6DF2FDD106A6}">
            <xm:f>PLANS!$F$3="NOVEMBER"</xm:f>
            <x14:dxf>
              <font>
                <color rgb="FF9900CC"/>
              </font>
            </x14:dxf>
          </x14:cfRule>
          <x14:cfRule type="expression" priority="1124" id="{5A0760EE-357D-4E68-804E-69EE60005FFB}">
            <xm:f>PLANS!$F$3="OCTOBER"</xm:f>
            <x14:dxf>
              <font>
                <color rgb="FFFF00FF"/>
              </font>
            </x14:dxf>
          </x14:cfRule>
          <x14:cfRule type="expression" priority="1125" id="{A23A72A7-82F1-47CC-BBC2-76C834252D5E}">
            <xm:f>PLANS!$F$3="SEPTEMBER"</xm:f>
            <x14:dxf>
              <font>
                <color rgb="FFFF0000"/>
              </font>
            </x14:dxf>
          </x14:cfRule>
          <x14:cfRule type="expression" priority="1126" id="{8FB5E26C-20C3-4190-B327-D904C5462A77}">
            <xm:f>PLANS!$F$3="AUGUST"</xm:f>
            <x14:dxf>
              <font>
                <color rgb="FFC00000"/>
              </font>
            </x14:dxf>
          </x14:cfRule>
          <x14:cfRule type="expression" priority="1127" id="{41117AB6-6D79-493E-BB64-AC4D396331D1}">
            <xm:f>PLANS!$F$3="JULY"</xm:f>
            <x14:dxf>
              <font>
                <color rgb="FFFF6600"/>
              </font>
            </x14:dxf>
          </x14:cfRule>
          <xm:sqref>AV8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xr:uid="{5657374A-2EE0-4BD2-8A20-A62730259656}">
          <x14:formula1>
            <xm:f>RESPITE!$DA$7:$DA$19</xm:f>
          </x14:formula1>
          <xm:sqref>AO29:AP29 AO31:AP31 AO33:AP33 AO35:AP35 AO45:AP45 AO47:AP47 AO49:AP49 AO51:AP51 AO53:AP53 AO55:AP55 AO107:AP107 AO109:AP109 AO111:AP111 AO113:AP113 AO115:AP115 AO117:AP117 AO119:AP119 AO121:AP121 AO123:AP123 AO125:AP125 AO127:AP127 AO129:AP129 AO131:AP131 AO133:AP133 AO135:AP135 AO137:AP137 AO139:AP139 AO141:AP141 AO143:AP143 AO145:AP145 AO147:AP147 AO149:AP149 AO151:AP151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B8CE6-9A49-40B2-80E4-ABEF80038C03}">
  <sheetPr codeName="Sheet10"/>
  <dimension ref="A1:DE204"/>
  <sheetViews>
    <sheetView showGridLines="0" showRowColHeaders="0" zoomScaleNormal="100" workbookViewId="0"/>
  </sheetViews>
  <sheetFormatPr defaultColWidth="3.42578125" defaultRowHeight="17.100000000000001" customHeight="1" x14ac:dyDescent="0.15"/>
  <cols>
    <col min="1" max="36" width="3.42578125" style="19"/>
    <col min="37" max="37" width="3.42578125" style="19" customWidth="1"/>
    <col min="38" max="51" width="3.42578125" style="19"/>
    <col min="52" max="52" width="3.42578125" style="19" customWidth="1"/>
    <col min="53" max="79" width="3.42578125" style="19"/>
    <col min="80" max="83" width="3.42578125" style="1887" hidden="1" customWidth="1"/>
    <col min="84" max="84" width="3.85546875" style="1887" hidden="1" customWidth="1"/>
    <col min="85" max="99" width="3.42578125" style="1887" hidden="1" customWidth="1"/>
    <col min="100" max="109" width="3.42578125" style="19" hidden="1" customWidth="1"/>
    <col min="110" max="16384" width="3.42578125" style="19"/>
  </cols>
  <sheetData>
    <row r="1" spans="1:102" ht="17.100000000000001" customHeight="1" x14ac:dyDescent="0.15">
      <c r="A1" s="2694" t="s">
        <v>1706</v>
      </c>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8" t="s">
        <v>782</v>
      </c>
    </row>
    <row r="2" spans="1:102" ht="17.100000000000001" customHeight="1" thickBot="1" x14ac:dyDescent="0.2">
      <c r="A2" s="17"/>
      <c r="B2" s="604"/>
      <c r="C2" s="604"/>
      <c r="D2" s="604"/>
      <c r="E2" s="604"/>
      <c r="F2" s="604"/>
      <c r="G2" s="604"/>
      <c r="H2" s="604"/>
      <c r="I2" s="604"/>
      <c r="J2" s="604"/>
      <c r="K2" s="604"/>
      <c r="L2" s="604"/>
      <c r="M2" s="17"/>
      <c r="N2" s="17"/>
      <c r="O2" s="17"/>
      <c r="P2" s="17"/>
      <c r="Q2" s="17"/>
      <c r="R2" s="17"/>
      <c r="S2" s="17"/>
      <c r="T2" s="17"/>
      <c r="U2" s="17"/>
      <c r="V2" s="17"/>
      <c r="W2" s="17"/>
      <c r="X2" s="17"/>
      <c r="Y2" s="17"/>
      <c r="Z2" s="17"/>
      <c r="AA2" s="17"/>
      <c r="AB2" s="17"/>
      <c r="AC2" s="17"/>
      <c r="AD2" s="17"/>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17"/>
      <c r="BK2" s="17"/>
      <c r="BL2" s="17"/>
      <c r="BM2" s="17"/>
      <c r="BN2" s="17"/>
      <c r="BO2" s="17"/>
      <c r="BP2" s="604"/>
      <c r="BQ2" s="604"/>
      <c r="BR2" s="604"/>
      <c r="BS2" s="604"/>
      <c r="BT2" s="604"/>
      <c r="BU2" s="604"/>
      <c r="BV2" s="604"/>
      <c r="BW2" s="604"/>
      <c r="BX2" s="604"/>
      <c r="BY2" s="604"/>
      <c r="BZ2" s="604"/>
      <c r="CA2" s="605"/>
      <c r="CC2" s="3098" t="s">
        <v>851</v>
      </c>
      <c r="CD2" s="2350"/>
      <c r="CE2" s="2351"/>
      <c r="CF2" s="2352"/>
      <c r="CG2" s="2353" t="s">
        <v>1467</v>
      </c>
      <c r="CO2" s="3097" t="s">
        <v>2039</v>
      </c>
      <c r="CP2" s="3099" t="str">
        <f>'^'!$BK$52</f>
        <v>MM</v>
      </c>
      <c r="CV2" s="2430" t="s">
        <v>7</v>
      </c>
    </row>
    <row r="3" spans="1:102" ht="17.100000000000001" customHeight="1" thickTop="1" x14ac:dyDescent="0.3">
      <c r="A3" s="17"/>
      <c r="B3" s="604"/>
      <c r="C3" s="17"/>
      <c r="D3" s="17"/>
      <c r="E3" s="17"/>
      <c r="F3" s="17"/>
      <c r="G3" s="17"/>
      <c r="H3" s="17"/>
      <c r="I3" s="17"/>
      <c r="J3" s="17"/>
      <c r="K3" s="17"/>
      <c r="L3" s="17"/>
      <c r="M3" s="17"/>
      <c r="N3" s="17"/>
      <c r="O3" s="17"/>
      <c r="P3" s="635"/>
      <c r="Q3" s="635"/>
      <c r="R3" s="635"/>
      <c r="S3" s="635"/>
      <c r="T3" s="605"/>
      <c r="U3" s="605"/>
      <c r="V3" s="605"/>
      <c r="W3" s="17"/>
      <c r="X3" s="17"/>
      <c r="Y3" s="605"/>
      <c r="Z3" s="605"/>
      <c r="AA3" s="698"/>
      <c r="AB3" s="607"/>
      <c r="AC3" s="607"/>
      <c r="AD3" s="607"/>
      <c r="AE3" s="607"/>
      <c r="AF3" s="607"/>
      <c r="AG3" s="607"/>
      <c r="AH3" s="607"/>
      <c r="AI3" s="607"/>
      <c r="AJ3" s="607"/>
      <c r="AK3" s="607"/>
      <c r="AL3" s="607"/>
      <c r="AM3" s="607"/>
      <c r="AN3" s="607"/>
      <c r="AO3" s="607"/>
      <c r="AP3" s="607"/>
      <c r="AQ3" s="607"/>
      <c r="AR3" s="607"/>
      <c r="AS3" s="607"/>
      <c r="AT3" s="607"/>
      <c r="AU3" s="607"/>
      <c r="AV3" s="607"/>
      <c r="AW3" s="607"/>
      <c r="AX3" s="607"/>
      <c r="AY3" s="607"/>
      <c r="AZ3" s="607"/>
      <c r="BA3" s="608"/>
      <c r="BB3" s="17"/>
      <c r="BC3" s="17"/>
      <c r="BD3" s="699"/>
      <c r="BE3" s="17"/>
      <c r="BF3" s="310"/>
      <c r="BG3" s="310"/>
      <c r="BH3" s="310"/>
      <c r="BI3" s="310"/>
      <c r="BJ3" s="310"/>
      <c r="BK3" s="310"/>
      <c r="BL3" s="310"/>
      <c r="BM3" s="310"/>
      <c r="BN3" s="310"/>
      <c r="BO3" s="310"/>
      <c r="BP3" s="310"/>
      <c r="BQ3" s="310"/>
      <c r="BR3" s="310"/>
      <c r="BS3" s="310"/>
      <c r="BT3" s="310"/>
      <c r="BU3" s="310"/>
      <c r="BV3" s="17"/>
      <c r="BW3" s="17"/>
      <c r="BX3" s="17"/>
      <c r="BY3" s="17"/>
      <c r="BZ3" s="604"/>
      <c r="CA3" s="605"/>
      <c r="CV3" s="2438">
        <v>0.05</v>
      </c>
    </row>
    <row r="4" spans="1:102" ht="17.100000000000001" customHeight="1" thickBot="1" x14ac:dyDescent="0.2">
      <c r="A4" s="17"/>
      <c r="B4" s="604"/>
      <c r="C4" s="17"/>
      <c r="D4" s="17"/>
      <c r="E4" s="17"/>
      <c r="F4" s="17"/>
      <c r="G4" s="700"/>
      <c r="H4" s="700"/>
      <c r="I4" s="700"/>
      <c r="J4" s="700"/>
      <c r="K4" s="700"/>
      <c r="L4" s="700"/>
      <c r="M4" s="700"/>
      <c r="N4" s="700"/>
      <c r="O4" s="700"/>
      <c r="P4" s="700"/>
      <c r="Q4" s="700"/>
      <c r="R4" s="700"/>
      <c r="S4" s="700"/>
      <c r="T4" s="700"/>
      <c r="U4" s="700"/>
      <c r="V4" s="700"/>
      <c r="W4" s="17"/>
      <c r="X4" s="17"/>
      <c r="Y4" s="605"/>
      <c r="Z4" s="605"/>
      <c r="AA4" s="701"/>
      <c r="AB4" s="4631" t="s">
        <v>107</v>
      </c>
      <c r="AC4" s="4631"/>
      <c r="AD4" s="702"/>
      <c r="AE4" s="703" t="str">
        <f>_xlfn.IFS(
data!BZ28=data!BZ27+1,data!BZ28,
data!BZ28=data!BZ27+2,data!BZ28+(data!BZ28-1),
data!BZ28=data!BZ27+3,data!BZ28+(data!BZ28-1)+(data!BZ28-2),
data!BZ28=data!BZ27+4,data!BZ28+(data!BZ28-1)+(data!BZ28-2)+(data!BZ28-3),
data!BZ28=data!BZ27+5,data!BZ28+(data!BZ28-1)+(data!BZ28-2)+(data!BZ28-3)+(data!BZ28-4),
TRUE," ")</f>
        <v xml:space="preserve"> </v>
      </c>
      <c r="AF4" s="703" t="str">
        <f>_xlfn.IFS(
data!CA28=data!CA27+1,data!CA28,
data!CA28=data!CA27+2,data!CA28+(data!CA28-1),
data!CA28=data!CA27+3,data!CA28+(data!CA28-1)+(data!CA28-2),
data!CA28=data!CA27+4,data!CA28+(data!CA28-1)+(data!CA28-2)+(data!CA28-3),
data!CA28=data!CA27+5,data!CA28+(data!CA28-1)+(data!CA28-2)+(data!CA28-3)+(data!CA28-4),
TRUE," ")</f>
        <v xml:space="preserve"> </v>
      </c>
      <c r="AG4" s="703" t="str">
        <f>_xlfn.IFS(
data!CB28=data!CB27+1,data!CB28,
data!CB28=data!CB27+2,data!CB28+(data!CB28-1),
data!CB28=data!CB27+3,data!CB28+(data!CB28-1)+(data!CB28-2),
data!CB28=data!CB27+4,data!CB28+(data!CB28-1)+(data!CB28-2)+(data!CB28-3),
data!CB28=data!CB27+5,data!CB28+(data!CB28-1)+(data!CB28-2)+(data!CB28-3)+(data!CB28-4),
TRUE," ")</f>
        <v xml:space="preserve"> </v>
      </c>
      <c r="AH4" s="703" t="str">
        <f>_xlfn.IFS(
data!CC28=data!CC27+1,data!CC28,
data!CC28=data!CC27+2,data!CC28+(data!CC28-1),
data!CC28=data!CC27+3,data!CC28+(data!CC28-1)+(data!CC28-2),
data!CC28=data!CC27+4,data!CC28+(data!CC28-1)+(data!CC28-2)+(data!CC28-3),
data!CC28=data!CC27+5,data!CC28+(data!CC28-1)+(data!CC28-2)+(data!CC28-3)+(data!CC28-4),
TRUE," ")</f>
        <v xml:space="preserve"> </v>
      </c>
      <c r="AI4" s="703" t="str">
        <f>_xlfn.IFS(
data!CD28=data!CD27+1,data!CD28,
data!CD28=data!CD27+2,data!CD28+(data!CD28-1),
data!CD28=data!CD27+3,data!CD28+(data!CD28-1)+(data!CD28-2),
data!CD28=data!CD27+4,data!CD28+(data!CD28-1)+(data!CD28-2)+(data!CD28-3),
data!CD28=data!CD27+5,data!CD28+(data!CD28-1)+(data!CD28-2)+(data!CD28-3)+(data!CD28-4),
TRUE," ")</f>
        <v xml:space="preserve"> </v>
      </c>
      <c r="AJ4" s="703" t="str">
        <f>_xlfn.IFS(
data!CE28=data!CE27+1,data!CE28,
data!CE28=data!CE27+2,data!CE28+(data!CE28-1),
data!CE28=data!CE27+3,data!CE28+(data!CE28-1)+(data!CE28-2),
data!CE28=data!CE27+4,data!CE28+(data!CE28-1)+(data!CE28-2)+(data!CE28-3),
data!CE28=data!CE27+5,data!CE28+(data!CE28-1)+(data!CE28-2)+(data!CE28-3)+(data!CE28-4),
TRUE," ")</f>
        <v xml:space="preserve"> </v>
      </c>
      <c r="AK4" s="703" t="str">
        <f>_xlfn.IFS(
data!CF28=data!CF27+1,data!CF28,
data!CF28=data!CF27+2,data!CF28+(data!CF28-1),
data!CF28=data!CF27+3,data!CF28+(data!CF28-1)+(data!CF28-2),
data!CF28=data!CF27+4,data!CF28+(data!CF28-1)+(data!CF28-2)+(data!CF28-3),
data!CF28=data!CF27+5,data!CF28+(data!CF28-1)+(data!CF28-2)+(data!CF28-3)+(data!CF28-4),
TRUE," ")</f>
        <v xml:space="preserve"> </v>
      </c>
      <c r="AL4" s="703" t="str">
        <f>_xlfn.IFS(
data!CG28=data!CG27+1,data!CG28,
data!CG28=data!CG27+2,data!CG28+(data!CG28-1),
data!CG28=data!CG27+3,data!CG28+(data!CG28-1)+(data!CG28-2),
data!CG28=data!CG27+4,data!CG28+(data!CG28-1)+(data!CG28-2)+(data!CG28-3),
data!CG28=data!CG27+5,data!CG28+(data!CG28-1)+(data!CG28-2)+(data!CG28-3)+(data!CG28-4),
TRUE," ")</f>
        <v xml:space="preserve"> </v>
      </c>
      <c r="AM4" s="703" t="str">
        <f>_xlfn.IFS(
data!CH28=data!CH27+1,data!CH28,
data!CH28=data!CH27+2,data!CH28+(data!CH28-1),
data!CH28=data!CH27+3,data!CH28+(data!CH28-1)+(data!CH28-2),
data!CH28=data!CH27+4,data!CH28+(data!CH28-1)+(data!CH28-2)+(data!CH28-3),
data!CH28=data!CH27+5,data!CH28+(data!CH28-1)+(data!CH28-2)+(data!CH28-3)+(data!CH28-4),
TRUE," ")</f>
        <v xml:space="preserve"> </v>
      </c>
      <c r="AN4" s="704"/>
      <c r="AO4" s="703" t="str">
        <f>_xlfn.IFS(
data!BZ33=data!BZ32+1,data!BZ33,
data!BZ33=data!BZ32+2,data!BZ33+(data!BZ33-1),
data!BZ33=data!BZ32+3,data!BZ33+(data!BZ33-1)+(data!BZ33-2),
data!BZ33=data!BZ32+4,data!BZ33+(data!BZ33-1)+(data!BZ33-2)+(data!BZ33-3),
data!BZ33=data!BZ32+5,data!BZ33+(data!BZ33-1)+(data!BZ33-2)+(data!BZ33-3)+(data!BZ33-4),
TRUE," ")</f>
        <v xml:space="preserve"> </v>
      </c>
      <c r="AP4" s="703" t="str">
        <f>_xlfn.IFS(
data!CA33=data!CA32+1,data!CA33,
data!CA33=data!CA32+2,data!CA33+(data!CA33-1),
data!CA33=data!CA32+3,data!CA33+(data!CA33-1)+(data!CA33-2),
data!CA33=data!CA32+4,data!CA33+(data!CA33-1)+(data!CA33-2)+(data!CA33-3),
data!CA33=data!CA32+5,data!CA33+(data!CA33-1)+(data!CA33-2)+(data!CA33-3)+(data!CA33-4),
TRUE," ")</f>
        <v xml:space="preserve"> </v>
      </c>
      <c r="AQ4" s="703" t="str">
        <f>_xlfn.IFS(
data!CB33=data!CB32+1,data!CB33,
data!CB33=data!CB32+2,data!CB33+(data!CB33-1),
data!CB33=data!CB32+3,data!CB33+(data!CB33-1)+(data!CB33-2),
data!CB33=data!CB32+4,data!CB33+(data!CB33-1)+(data!CB33-2)+(data!CB33-3),
data!CB33=data!CB32+5,data!CB33+(data!CB33-1)+(data!CB33-2)+(data!CB33-3)+(data!CB33-4),
TRUE," ")</f>
        <v xml:space="preserve"> </v>
      </c>
      <c r="AR4" s="703" t="str">
        <f>_xlfn.IFS(
data!CC33=data!CC32+1,data!CC33,
data!CC33=data!CC32+2,data!CC33+(data!CC33-1),
data!CC33=data!CC32+3,data!CC33+(data!CC33-1)+(data!CC33-2),
data!CC33=data!CC32+4,data!CC33+(data!CC33-1)+(data!CC33-2)+(data!CC33-3),
data!CC33=data!CC32+5,data!CC33+(data!CC33-1)+(data!CC33-2)+(data!CC33-3)+(data!CC33-4),
TRUE," ")</f>
        <v xml:space="preserve"> </v>
      </c>
      <c r="AS4" s="703" t="str">
        <f>_xlfn.IFS(
data!CD33=data!CD32+1,data!CD33,
data!CD33=data!CD32+2,data!CD33+(data!CD33-1),
data!CD33=data!CD32+3,data!CD33+(data!CD33-1)+(data!CD33-2),
data!CD33=data!CD32+4,data!CD33+(data!CD33-1)+(data!CD33-2)+(data!CD33-3),
data!CD33=data!CD32+5,data!CD33+(data!CD33-1)+(data!CD33-2)+(data!CD33-3)+(data!CD33-4),
TRUE," ")</f>
        <v xml:space="preserve"> </v>
      </c>
      <c r="AT4" s="703" t="str">
        <f>_xlfn.IFS(
data!CE33=data!CE32+1,data!CE33,
data!CE33=data!CE32+2,data!CE33+(data!CE33-1),
data!CE33=data!CE32+3,data!CE33+(data!CE33-1)+(data!CE33-2),
data!CE33=data!CE32+4,data!CE33+(data!CE33-1)+(data!CE33-2)+(data!CE33-3),
data!CE33=data!CE32+5,data!CE33+(data!CE33-1)+(data!CE33-2)+(data!CE33-3)+(data!CE33-4),
TRUE," ")</f>
        <v xml:space="preserve"> </v>
      </c>
      <c r="AU4" s="703" t="str">
        <f>_xlfn.IFS(
data!CF33=data!CF32+1,data!CF33,
data!CF33=data!CF32+2,data!CF33+(data!CF33-1),
data!CF33=data!CF32+3,data!CF33+(data!CF33-1)+(data!CF33-2),
data!CF33=data!CF32+4,data!CF33+(data!CF33-1)+(data!CF33-2)+(data!CF33-3),
data!CF33=data!CF32+5,data!CF33+(data!CF33-1)+(data!CF33-2)+(data!CF33-3)+(data!CF33-4),
TRUE," ")</f>
        <v xml:space="preserve"> </v>
      </c>
      <c r="AV4" s="703" t="str">
        <f>_xlfn.IFS(
data!CG33=data!CG32+1,data!CG33,
data!CG33=data!CG32+2,data!CG33+(data!CG33-1),
data!CG33=data!CG32+3,data!CG33+(data!CG33-1)+(data!CG33-2),
data!CG33=data!CG32+4,data!CG33+(data!CG33-1)+(data!CG33-2)+(data!CG33-3),
data!CG33=data!CG32+5,data!CG33+(data!CG33-1)+(data!CG33-2)+(data!CG33-3)+(data!CG33-4),
TRUE," ")</f>
        <v xml:space="preserve"> </v>
      </c>
      <c r="AW4" s="703" t="str">
        <f>_xlfn.IFS(
data!CH33=data!CH32+1,data!CH33,
data!CH33=data!CH32+2,data!CH33+(data!CH33-1),
data!CH33=data!CH32+3,data!CH33+(data!CH33-1)+(data!CH33-2),
data!CH33=data!CH32+4,data!CH33+(data!CH33-1)+(data!CH33-2)+(data!CH33-3),
data!CH33=data!CH32+5,data!CH33+(data!CH33-1)+(data!CH33-2)+(data!CH33-3)+(data!CH33-4),
TRUE," ")</f>
        <v xml:space="preserve"> </v>
      </c>
      <c r="AX4" s="702"/>
      <c r="AY4" s="4630" t="s">
        <v>107</v>
      </c>
      <c r="AZ4" s="4630"/>
      <c r="BA4" s="705"/>
      <c r="BB4" s="17"/>
      <c r="BC4" s="17"/>
      <c r="BD4" s="17"/>
      <c r="BE4" s="17"/>
      <c r="BF4" s="706"/>
      <c r="BG4" s="706"/>
      <c r="BH4" s="706"/>
      <c r="BI4" s="706"/>
      <c r="BJ4" s="706"/>
      <c r="BK4" s="706"/>
      <c r="BL4" s="706"/>
      <c r="BM4" s="706"/>
      <c r="BN4" s="706"/>
      <c r="BO4" s="706"/>
      <c r="BP4" s="706"/>
      <c r="BQ4" s="706"/>
      <c r="BR4" s="706"/>
      <c r="BS4" s="706"/>
      <c r="BT4" s="706"/>
      <c r="BU4" s="706"/>
      <c r="BV4" s="17"/>
      <c r="BW4" s="17"/>
      <c r="BX4" s="17"/>
      <c r="BY4" s="17"/>
      <c r="BZ4" s="604"/>
      <c r="CA4" s="605"/>
      <c r="CC4" s="3086"/>
      <c r="CD4" s="3087" t="s">
        <v>515</v>
      </c>
      <c r="CE4" s="3088"/>
      <c r="CJ4" s="3259"/>
      <c r="CK4" s="3260" t="s">
        <v>1468</v>
      </c>
      <c r="CL4" s="3261"/>
      <c r="CO4" s="3086"/>
      <c r="CP4" s="3087" t="s">
        <v>1468</v>
      </c>
      <c r="CQ4" s="3088"/>
      <c r="CV4" s="2438">
        <v>0.1</v>
      </c>
      <c r="CX4" s="2430" t="s">
        <v>1243</v>
      </c>
    </row>
    <row r="5" spans="1:102" ht="17.100000000000001" customHeight="1" thickTop="1" thickBot="1" x14ac:dyDescent="0.25">
      <c r="A5" s="17"/>
      <c r="B5" s="604"/>
      <c r="C5" s="17"/>
      <c r="D5" s="17"/>
      <c r="E5" s="707"/>
      <c r="F5" s="708"/>
      <c r="G5" s="1131"/>
      <c r="H5" s="1131"/>
      <c r="I5" s="1131"/>
      <c r="J5" s="1131"/>
      <c r="K5" s="1131"/>
      <c r="L5" s="1131"/>
      <c r="M5" s="1131"/>
      <c r="N5" s="708"/>
      <c r="O5" s="708"/>
      <c r="P5" s="1131"/>
      <c r="Q5" s="1131"/>
      <c r="R5" s="1131"/>
      <c r="S5" s="1131"/>
      <c r="T5" s="1131"/>
      <c r="U5" s="1131"/>
      <c r="V5" s="1131"/>
      <c r="W5" s="708"/>
      <c r="X5" s="709"/>
      <c r="Y5" s="605"/>
      <c r="Z5" s="605"/>
      <c r="AA5" s="701"/>
      <c r="AB5" s="704"/>
      <c r="AC5" s="704"/>
      <c r="AD5" s="704"/>
      <c r="AE5" s="704"/>
      <c r="AF5" s="704"/>
      <c r="AG5" s="704"/>
      <c r="AH5" s="704"/>
      <c r="AI5" s="704"/>
      <c r="AJ5" s="704"/>
      <c r="AK5" s="704"/>
      <c r="AL5" s="704"/>
      <c r="AM5" s="704"/>
      <c r="AN5" s="704"/>
      <c r="AO5" s="704"/>
      <c r="AP5" s="704"/>
      <c r="AQ5" s="704"/>
      <c r="AR5" s="704"/>
      <c r="AS5" s="704"/>
      <c r="AT5" s="704"/>
      <c r="AU5" s="704"/>
      <c r="AV5" s="704"/>
      <c r="AW5" s="704"/>
      <c r="AX5" s="704"/>
      <c r="AY5" s="704"/>
      <c r="AZ5" s="704"/>
      <c r="BA5" s="705"/>
      <c r="BB5" s="17"/>
      <c r="BC5" s="17"/>
      <c r="BD5" s="707"/>
      <c r="BE5" s="708"/>
      <c r="BF5" s="1131"/>
      <c r="BG5" s="1131"/>
      <c r="BH5" s="1131"/>
      <c r="BI5" s="1131"/>
      <c r="BJ5" s="1131"/>
      <c r="BK5" s="1131"/>
      <c r="BL5" s="1131"/>
      <c r="BM5" s="708"/>
      <c r="BN5" s="708"/>
      <c r="BO5" s="1131"/>
      <c r="BP5" s="1131"/>
      <c r="BQ5" s="1131"/>
      <c r="BR5" s="1131"/>
      <c r="BS5" s="1131"/>
      <c r="BT5" s="1131"/>
      <c r="BU5" s="1131"/>
      <c r="BV5" s="708"/>
      <c r="BW5" s="709"/>
      <c r="BX5" s="17"/>
      <c r="BY5" s="17"/>
      <c r="BZ5" s="604"/>
      <c r="CA5" s="605"/>
      <c r="CC5" s="4658">
        <f>ROUND(SUM($AE$4:$AM$4,$AO$4:$AW$4,$AB$6:$AJ$6,$AL$6:$AP$6,$AR$6:$AZ$6)*$AB$17,0)</f>
        <v>0</v>
      </c>
      <c r="CD5" s="4659"/>
      <c r="CE5" s="4660"/>
      <c r="CJ5" s="4661">
        <f>data!$D$43</f>
        <v>0</v>
      </c>
      <c r="CK5" s="4662"/>
      <c r="CL5" s="4663"/>
      <c r="CO5" s="4658">
        <f>data!$I$42</f>
        <v>0</v>
      </c>
      <c r="CP5" s="4659"/>
      <c r="CQ5" s="4660"/>
      <c r="CV5" s="2438">
        <v>0.15</v>
      </c>
      <c r="CX5" s="2426" t="s">
        <v>1240</v>
      </c>
    </row>
    <row r="6" spans="1:102" ht="17.100000000000001" customHeight="1" thickTop="1" thickBot="1" x14ac:dyDescent="0.35">
      <c r="A6" s="17"/>
      <c r="B6" s="604"/>
      <c r="C6" s="17"/>
      <c r="D6" s="17"/>
      <c r="E6" s="710"/>
      <c r="F6" s="2946"/>
      <c r="G6" s="4636" t="str">
        <f>IF(
(ACTIONS!$AK$3 - ACTIONS!$AM$13)&gt;=data!$JH$48,
INDEX(data!$JD$23:$JM$42,data!$JH$63,data!$JH$71),
"")</f>
        <v/>
      </c>
      <c r="H6" s="4637"/>
      <c r="I6" s="4637"/>
      <c r="J6" s="4637"/>
      <c r="K6" s="4637"/>
      <c r="L6" s="4637"/>
      <c r="M6" s="4638"/>
      <c r="N6" s="1234"/>
      <c r="O6" s="1235"/>
      <c r="P6" s="4636" t="str">
        <f>IF(
PROGRESS!$CI$14+PROGRESS!$CI$18&gt;=data!$JH$49,
INDEX(data!$JD$23:$JM$42,data!$JH$64,data!$JH$72),
"")</f>
        <v/>
      </c>
      <c r="Q6" s="4637"/>
      <c r="R6" s="4637"/>
      <c r="S6" s="4637"/>
      <c r="T6" s="4637"/>
      <c r="U6" s="4637"/>
      <c r="V6" s="4638"/>
      <c r="W6" s="2945"/>
      <c r="X6" s="713"/>
      <c r="Y6" s="605"/>
      <c r="Z6" s="605"/>
      <c r="AA6" s="701"/>
      <c r="AB6" s="703" t="str">
        <f>IF(PROGRESS!$AD$27=1,PROGRESS!$AC$27," ")</f>
        <v xml:space="preserve"> </v>
      </c>
      <c r="AC6" s="703" t="str">
        <f>IF(PROGRESS!$AD$28=1,PROGRESS!$AC$28," ")</f>
        <v xml:space="preserve"> </v>
      </c>
      <c r="AD6" s="703" t="str">
        <f>IF(PROGRESS!$AD$29=1,PROGRESS!$AC$29," ")</f>
        <v xml:space="preserve"> </v>
      </c>
      <c r="AE6" s="703" t="str">
        <f>IF(PROGRESS!$AD$30=1,PROGRESS!$AC$30," ")</f>
        <v xml:space="preserve"> </v>
      </c>
      <c r="AF6" s="703" t="str">
        <f>IF(PROGRESS!$AD$31=1,PROGRESS!$AC$31," ")</f>
        <v xml:space="preserve"> </v>
      </c>
      <c r="AG6" s="703" t="str">
        <f>IF(PROGRESS!$AD$32=1,PROGRESS!$AC$32," ")</f>
        <v xml:space="preserve"> </v>
      </c>
      <c r="AH6" s="703" t="str">
        <f>IF(PROGRESS!$AD$33=1,PROGRESS!$AC$33," ")</f>
        <v xml:space="preserve"> </v>
      </c>
      <c r="AI6" s="703" t="str">
        <f>IF(PROGRESS!$AD$34=1,PROGRESS!$AC$34," ")</f>
        <v xml:space="preserve"> </v>
      </c>
      <c r="AJ6" s="703" t="str">
        <f>IF(PROGRESS!$AD$35=1,PROGRESS!$AC$35," ")</f>
        <v xml:space="preserve"> </v>
      </c>
      <c r="AK6" s="704"/>
      <c r="AL6" s="703" t="str">
        <f>IF(PROGRESS!$AW$27=1,PROGRESS!$AV$27," ")</f>
        <v xml:space="preserve"> </v>
      </c>
      <c r="AM6" s="703" t="str">
        <f>IF(PROGRESS!$AW$29=1,PROGRESS!$AV$29," ")</f>
        <v xml:space="preserve"> </v>
      </c>
      <c r="AN6" s="703" t="str">
        <f>IF(PROGRESS!$AW$31=1,PROGRESS!$AV$31," ")</f>
        <v xml:space="preserve"> </v>
      </c>
      <c r="AO6" s="703" t="str">
        <f>IF(PROGRESS!$AW$33=1,PROGRESS!$AV$33," ")</f>
        <v xml:space="preserve"> </v>
      </c>
      <c r="AP6" s="703" t="str">
        <f>IF(PROGRESS!$AW$35=1,PROGRESS!$AV$35," ")</f>
        <v xml:space="preserve"> </v>
      </c>
      <c r="AQ6" s="704"/>
      <c r="AR6" s="703" t="str">
        <f>IF(PROGRESS!$BN$27=1,PROGRESS!$BM$27," ")</f>
        <v xml:space="preserve"> </v>
      </c>
      <c r="AS6" s="703" t="str">
        <f>IF(PROGRESS!$BN$28=1,PROGRESS!$BM$28," ")</f>
        <v xml:space="preserve"> </v>
      </c>
      <c r="AT6" s="703" t="str">
        <f>IF(PROGRESS!$BN$29=1,PROGRESS!$BM$29," ")</f>
        <v xml:space="preserve"> </v>
      </c>
      <c r="AU6" s="703" t="str">
        <f>IF(PROGRESS!$BN$30=1,PROGRESS!$BM$30," ")</f>
        <v xml:space="preserve"> </v>
      </c>
      <c r="AV6" s="703" t="str">
        <f>IF(PROGRESS!$BN$31=1,PROGRESS!$BM$31," ")</f>
        <v xml:space="preserve"> </v>
      </c>
      <c r="AW6" s="703" t="str">
        <f>IF(PROGRESS!$BN$32=1,PROGRESS!$BM$32," ")</f>
        <v xml:space="preserve"> </v>
      </c>
      <c r="AX6" s="703" t="str">
        <f>IF(PROGRESS!$BN$33=1,PROGRESS!$BM$33," ")</f>
        <v xml:space="preserve"> </v>
      </c>
      <c r="AY6" s="703" t="str">
        <f>IF(PROGRESS!$BN$34=1,PROGRESS!$BM$34," ")</f>
        <v xml:space="preserve"> </v>
      </c>
      <c r="AZ6" s="703" t="str">
        <f>IF(PROGRESS!$BN$35=1,PROGRESS!$BM$35," ")</f>
        <v xml:space="preserve"> </v>
      </c>
      <c r="BA6" s="705"/>
      <c r="BB6" s="17"/>
      <c r="BC6" s="17"/>
      <c r="BD6" s="710"/>
      <c r="BE6" s="711"/>
      <c r="BF6" s="4636" t="str">
        <f>IF(
PROGRESS!$J$2&gt;=data!$JH$52,
INDEX(data!$JD$23:$JM$42,data!$JH$67,data!$JH$75),
"")</f>
        <v/>
      </c>
      <c r="BG6" s="4637"/>
      <c r="BH6" s="4637"/>
      <c r="BI6" s="4637"/>
      <c r="BJ6" s="4637"/>
      <c r="BK6" s="4637"/>
      <c r="BL6" s="4638"/>
      <c r="BM6" s="1234"/>
      <c r="BN6" s="1235"/>
      <c r="BO6" s="4636" t="str">
        <f>IF(
PROGRESS!$BR$2&gt;=data!$JH$53,
INDEX(data!$JD$23:$JM$42,data!$JH$68,data!$JH$76),
"")</f>
        <v/>
      </c>
      <c r="BP6" s="4637"/>
      <c r="BQ6" s="4637"/>
      <c r="BR6" s="4637"/>
      <c r="BS6" s="4637"/>
      <c r="BT6" s="4637"/>
      <c r="BU6" s="4638"/>
      <c r="BV6" s="712"/>
      <c r="BW6" s="713"/>
      <c r="BX6" s="17"/>
      <c r="BY6" s="17"/>
      <c r="BZ6" s="604"/>
      <c r="CA6" s="605"/>
      <c r="CJ6" s="9" t="s">
        <v>2331</v>
      </c>
      <c r="CV6" s="2438">
        <v>0.2</v>
      </c>
      <c r="CX6" s="2426" t="s">
        <v>336</v>
      </c>
    </row>
    <row r="7" spans="1:102" ht="17.100000000000001" customHeight="1" thickTop="1" thickBot="1" x14ac:dyDescent="0.25">
      <c r="A7" s="17"/>
      <c r="B7" s="604"/>
      <c r="C7" s="17"/>
      <c r="D7" s="17"/>
      <c r="E7" s="710"/>
      <c r="F7" s="2945"/>
      <c r="G7" s="4639"/>
      <c r="H7" s="4640"/>
      <c r="I7" s="4640"/>
      <c r="J7" s="4640"/>
      <c r="K7" s="4640"/>
      <c r="L7" s="4640"/>
      <c r="M7" s="4641"/>
      <c r="N7" s="1236">
        <f>IF(G6="",0,1)</f>
        <v>0</v>
      </c>
      <c r="O7" s="1236">
        <f>IF(P6="",0,1)</f>
        <v>0</v>
      </c>
      <c r="P7" s="4639"/>
      <c r="Q7" s="4640"/>
      <c r="R7" s="4640"/>
      <c r="S7" s="4640"/>
      <c r="T7" s="4640"/>
      <c r="U7" s="4640"/>
      <c r="V7" s="4641"/>
      <c r="W7" s="2945"/>
      <c r="X7" s="713"/>
      <c r="Y7" s="605"/>
      <c r="Z7" s="605"/>
      <c r="AA7" s="70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705"/>
      <c r="BB7" s="17"/>
      <c r="BC7" s="17"/>
      <c r="BD7" s="710"/>
      <c r="BE7" s="712"/>
      <c r="BF7" s="4639"/>
      <c r="BG7" s="4640"/>
      <c r="BH7" s="4640"/>
      <c r="BI7" s="4640"/>
      <c r="BJ7" s="4640"/>
      <c r="BK7" s="4640"/>
      <c r="BL7" s="4641"/>
      <c r="BM7" s="1236">
        <f>IF(BF6="",0,1)</f>
        <v>0</v>
      </c>
      <c r="BN7" s="1236">
        <f>IF(BO6="",0,1)</f>
        <v>0</v>
      </c>
      <c r="BO7" s="4639"/>
      <c r="BP7" s="4640"/>
      <c r="BQ7" s="4640"/>
      <c r="BR7" s="4640"/>
      <c r="BS7" s="4640"/>
      <c r="BT7" s="4640"/>
      <c r="BU7" s="4641"/>
      <c r="BV7" s="712"/>
      <c r="BW7" s="713"/>
      <c r="BX7" s="17"/>
      <c r="BY7" s="17"/>
      <c r="BZ7" s="604"/>
      <c r="CA7" s="605"/>
      <c r="CC7" s="9" t="s">
        <v>1465</v>
      </c>
      <c r="CD7" s="2355"/>
      <c r="CJ7" s="3262" t="s">
        <v>2330</v>
      </c>
      <c r="CO7" s="9" t="s">
        <v>1466</v>
      </c>
      <c r="CV7" s="2438">
        <v>0.25</v>
      </c>
      <c r="CX7" s="2427" t="s">
        <v>1241</v>
      </c>
    </row>
    <row r="8" spans="1:102" ht="17.100000000000001" customHeight="1" thickTop="1" thickBot="1" x14ac:dyDescent="0.2">
      <c r="A8" s="17"/>
      <c r="B8" s="604"/>
      <c r="C8" s="17"/>
      <c r="D8" s="17"/>
      <c r="E8" s="710"/>
      <c r="F8" s="2945"/>
      <c r="G8" s="4635"/>
      <c r="H8" s="4635"/>
      <c r="I8" s="4635"/>
      <c r="J8" s="4635"/>
      <c r="K8" s="4635"/>
      <c r="L8" s="4635"/>
      <c r="M8" s="4635"/>
      <c r="N8" s="4667" t="str">
        <f ca="1">IFERROR(IF(AND(MONEY!$CT$81=1,MONEY!$CT$87=0),MONEY!$CX$80,""),"")</f>
        <v/>
      </c>
      <c r="O8" s="4667"/>
      <c r="P8" s="4635"/>
      <c r="Q8" s="4635"/>
      <c r="R8" s="4635"/>
      <c r="S8" s="4635"/>
      <c r="T8" s="4635"/>
      <c r="U8" s="4635"/>
      <c r="V8" s="4635"/>
      <c r="W8" s="2945"/>
      <c r="X8" s="713"/>
      <c r="Y8" s="17"/>
      <c r="Z8" s="605"/>
      <c r="AA8" s="701"/>
      <c r="AB8" s="4631" t="s">
        <v>96</v>
      </c>
      <c r="AC8" s="4631"/>
      <c r="AD8" s="4631"/>
      <c r="AE8" s="101"/>
      <c r="AF8" s="101"/>
      <c r="AG8" s="714"/>
      <c r="AH8" s="714"/>
      <c r="AI8" s="714"/>
      <c r="AJ8" s="714"/>
      <c r="AK8" s="714"/>
      <c r="AL8" s="715" t="str">
        <f ca="1">IF(AND(ACTIONS!$CH$37=0,$AM$8&lt;&gt;$AM$20),"x","")</f>
        <v/>
      </c>
      <c r="AM8" s="4643">
        <v>0</v>
      </c>
      <c r="AN8" s="4643"/>
      <c r="AO8" s="4643"/>
      <c r="AP8" s="715" t="str">
        <f ca="1">IF(AND(ACTIONS!$CH$37=0,$AM$8&lt;&gt;$AM$20),"x","")</f>
        <v/>
      </c>
      <c r="AQ8" s="714"/>
      <c r="AR8" s="714"/>
      <c r="AS8" s="714"/>
      <c r="AT8" s="714"/>
      <c r="AU8" s="714"/>
      <c r="AV8" s="101"/>
      <c r="AW8" s="101"/>
      <c r="AX8" s="4634" t="s">
        <v>96</v>
      </c>
      <c r="AY8" s="4634"/>
      <c r="AZ8" s="4634"/>
      <c r="BA8" s="705"/>
      <c r="BB8" s="17"/>
      <c r="BC8" s="17"/>
      <c r="BD8" s="710"/>
      <c r="BE8" s="712"/>
      <c r="BF8" s="4635"/>
      <c r="BG8" s="4635"/>
      <c r="BH8" s="4635"/>
      <c r="BI8" s="4635"/>
      <c r="BJ8" s="4635"/>
      <c r="BK8" s="4635"/>
      <c r="BL8" s="4635"/>
      <c r="BM8" s="4667" t="str">
        <f ca="1">IFERROR(IF(AND(MONEY!$DC$81=1,MONEY!$DC$87=0),MONEY!$CX$80,""),"")</f>
        <v/>
      </c>
      <c r="BN8" s="4667"/>
      <c r="BO8" s="4635"/>
      <c r="BP8" s="4635"/>
      <c r="BQ8" s="4635"/>
      <c r="BR8" s="4635"/>
      <c r="BS8" s="4635"/>
      <c r="BT8" s="4635"/>
      <c r="BU8" s="4635"/>
      <c r="BV8" s="712"/>
      <c r="BW8" s="713"/>
      <c r="BX8" s="17"/>
      <c r="BY8" s="17"/>
      <c r="BZ8" s="604"/>
      <c r="CA8" s="605"/>
      <c r="CC8" s="2356">
        <v>0</v>
      </c>
      <c r="CD8" s="2357"/>
      <c r="CE8" s="2357"/>
      <c r="CO8" s="2356">
        <v>0</v>
      </c>
      <c r="CV8" s="2438">
        <v>0.3</v>
      </c>
      <c r="CX8" s="2428" t="s">
        <v>369</v>
      </c>
    </row>
    <row r="9" spans="1:102" ht="17.100000000000001" customHeight="1" thickTop="1" thickBot="1" x14ac:dyDescent="0.2">
      <c r="A9" s="17"/>
      <c r="B9" s="604"/>
      <c r="C9" s="17"/>
      <c r="D9" s="17"/>
      <c r="E9" s="710"/>
      <c r="F9" s="2945"/>
      <c r="G9" s="4636" t="str">
        <f>IF((MISSIONS!$FG$21+MISSIONS!$FG$44)&gt;=data!$JH$50,
INDEX(data!$JD$23:$JM$42,data!$JH$65,data!$JH$73),
"")</f>
        <v/>
      </c>
      <c r="H9" s="4637"/>
      <c r="I9" s="4637"/>
      <c r="J9" s="4637"/>
      <c r="K9" s="4637"/>
      <c r="L9" s="4637"/>
      <c r="M9" s="4638"/>
      <c r="N9" s="1236">
        <f>IF(G9="",0,1)</f>
        <v>0</v>
      </c>
      <c r="O9" s="1236">
        <f>IF(P9="",0,1)</f>
        <v>0</v>
      </c>
      <c r="P9" s="4636" t="str">
        <f>IF(
SUM( ACTIONS!$CU$15:$DC$15,ACTIONS!$CU$18:$DC$18 )&gt;=data!$JH$51,
INDEX(data!$JD$23:$JM$42,data!$JH$66,data!$JH$74),
"")</f>
        <v/>
      </c>
      <c r="Q9" s="4637"/>
      <c r="R9" s="4637"/>
      <c r="S9" s="4637"/>
      <c r="T9" s="4637"/>
      <c r="U9" s="4637"/>
      <c r="V9" s="4638"/>
      <c r="W9" s="2945"/>
      <c r="X9" s="713"/>
      <c r="Y9" s="17"/>
      <c r="Z9" s="605"/>
      <c r="AA9" s="701"/>
      <c r="AB9" s="21"/>
      <c r="AC9" s="20"/>
      <c r="AD9" s="716"/>
      <c r="AE9" s="714"/>
      <c r="AF9" s="714"/>
      <c r="AG9" s="714"/>
      <c r="AH9" s="714"/>
      <c r="AI9" s="717"/>
      <c r="AJ9" s="717"/>
      <c r="AK9" s="717"/>
      <c r="AL9" s="718"/>
      <c r="AM9" s="718"/>
      <c r="AN9" s="719" t="str">
        <f t="shared" ref="AN9:AN16" si="0">IF($AG$19&gt;=CJ9,"l","")</f>
        <v/>
      </c>
      <c r="AO9" s="718"/>
      <c r="AP9" s="718"/>
      <c r="AQ9" s="717"/>
      <c r="AR9" s="717"/>
      <c r="AS9" s="717"/>
      <c r="AT9" s="720"/>
      <c r="AU9" s="720"/>
      <c r="AV9" s="714"/>
      <c r="AW9" s="721"/>
      <c r="AX9" s="716"/>
      <c r="AY9" s="21"/>
      <c r="AZ9" s="21"/>
      <c r="BA9" s="722"/>
      <c r="BB9" s="17"/>
      <c r="BC9" s="17"/>
      <c r="BD9" s="710"/>
      <c r="BE9" s="712"/>
      <c r="BF9" s="4636" t="str">
        <f>IF(
JOURNEY!$AS$56&gt;=data!$JH$54,
INDEX(data!$JD$23:$JM$42,data!$JH$69,data!$JH$77),
"")</f>
        <v/>
      </c>
      <c r="BG9" s="4637"/>
      <c r="BH9" s="4637"/>
      <c r="BI9" s="4637"/>
      <c r="BJ9" s="4637"/>
      <c r="BK9" s="4637"/>
      <c r="BL9" s="4638"/>
      <c r="BM9" s="1236">
        <f>IF(BF9="",0,1)</f>
        <v>0</v>
      </c>
      <c r="BN9" s="1236">
        <f>IF(BO9="",0,1)</f>
        <v>0</v>
      </c>
      <c r="BO9" s="4636" t="str">
        <f>IF(
$CC$5&gt;=data!$JH$55,
INDEX(data!$JD$23:$JM$42,data!$JH$70,data!$JH$78),
"")</f>
        <v/>
      </c>
      <c r="BP9" s="4637"/>
      <c r="BQ9" s="4637"/>
      <c r="BR9" s="4637"/>
      <c r="BS9" s="4637"/>
      <c r="BT9" s="4637"/>
      <c r="BU9" s="4638"/>
      <c r="BV9" s="712"/>
      <c r="BW9" s="713"/>
      <c r="BX9" s="17"/>
      <c r="BY9" s="17"/>
      <c r="BZ9" s="604"/>
      <c r="CA9" s="605"/>
      <c r="CC9" s="2356">
        <f>$CC$5*-1</f>
        <v>0</v>
      </c>
      <c r="CD9" s="2358"/>
      <c r="CE9" s="2358"/>
      <c r="CF9" s="2358"/>
      <c r="CG9" s="2358"/>
      <c r="CH9" s="2358"/>
      <c r="CI9" s="2358"/>
      <c r="CJ9" s="2359">
        <f>CK10+CJ16</f>
        <v>200</v>
      </c>
      <c r="CK9" s="2358"/>
      <c r="CL9" s="2358"/>
      <c r="CM9" s="2358"/>
      <c r="CN9" s="2358"/>
      <c r="CO9" s="2356">
        <f>$CO$5*-1</f>
        <v>0</v>
      </c>
      <c r="CV9" s="2438">
        <v>0.35</v>
      </c>
      <c r="CX9" s="2426" t="s">
        <v>1242</v>
      </c>
    </row>
    <row r="10" spans="1:102" ht="17.100000000000001" customHeight="1" thickTop="1" thickBot="1" x14ac:dyDescent="0.35">
      <c r="A10" s="17"/>
      <c r="B10" s="604"/>
      <c r="C10" s="17"/>
      <c r="D10" s="17"/>
      <c r="E10" s="710"/>
      <c r="F10" s="2945"/>
      <c r="G10" s="4639"/>
      <c r="H10" s="4640"/>
      <c r="I10" s="4640"/>
      <c r="J10" s="4640"/>
      <c r="K10" s="4640"/>
      <c r="L10" s="4640"/>
      <c r="M10" s="4641"/>
      <c r="N10" s="1234"/>
      <c r="O10" s="1235"/>
      <c r="P10" s="4639"/>
      <c r="Q10" s="4640"/>
      <c r="R10" s="4640"/>
      <c r="S10" s="4640"/>
      <c r="T10" s="4640"/>
      <c r="U10" s="4640"/>
      <c r="V10" s="4641"/>
      <c r="W10" s="2945"/>
      <c r="X10" s="713"/>
      <c r="Y10" s="17"/>
      <c r="Z10" s="605"/>
      <c r="AA10" s="701"/>
      <c r="AB10" s="21"/>
      <c r="AC10" s="21"/>
      <c r="AD10" s="21"/>
      <c r="AE10" s="714"/>
      <c r="AF10" s="714"/>
      <c r="AG10" s="720"/>
      <c r="AH10" s="720"/>
      <c r="AI10" s="717"/>
      <c r="AJ10" s="717"/>
      <c r="AK10" s="717"/>
      <c r="AL10" s="717"/>
      <c r="AM10" s="719" t="str">
        <f t="shared" ref="AM10:AM16" si="1">IF($AG$19&gt;=CI10,"l","")</f>
        <v/>
      </c>
      <c r="AN10" s="719" t="str">
        <f t="shared" si="0"/>
        <v/>
      </c>
      <c r="AO10" s="719" t="str">
        <f t="shared" ref="AO10:AO16" si="2">IF($AG$19&gt;=CK10,"l","")</f>
        <v/>
      </c>
      <c r="AP10" s="719"/>
      <c r="AQ10" s="717"/>
      <c r="AR10" s="717"/>
      <c r="AS10" s="717"/>
      <c r="AT10" s="720"/>
      <c r="AU10" s="720"/>
      <c r="AV10" s="714"/>
      <c r="AW10" s="721"/>
      <c r="AX10" s="716"/>
      <c r="AY10" s="716"/>
      <c r="AZ10" s="716"/>
      <c r="BA10" s="722"/>
      <c r="BB10" s="17"/>
      <c r="BC10" s="17"/>
      <c r="BD10" s="710"/>
      <c r="BE10" s="712"/>
      <c r="BF10" s="4639"/>
      <c r="BG10" s="4640"/>
      <c r="BH10" s="4640"/>
      <c r="BI10" s="4640"/>
      <c r="BJ10" s="4640"/>
      <c r="BK10" s="4640"/>
      <c r="BL10" s="4641"/>
      <c r="BM10" s="1234"/>
      <c r="BN10" s="1235"/>
      <c r="BO10" s="4639"/>
      <c r="BP10" s="4640"/>
      <c r="BQ10" s="4640"/>
      <c r="BR10" s="4640"/>
      <c r="BS10" s="4640"/>
      <c r="BT10" s="4640"/>
      <c r="BU10" s="4641"/>
      <c r="BV10" s="712"/>
      <c r="BW10" s="713"/>
      <c r="BX10" s="17"/>
      <c r="BY10" s="17"/>
      <c r="BZ10" s="604"/>
      <c r="CA10" s="605"/>
      <c r="CC10" s="2358"/>
      <c r="CD10" s="2358"/>
      <c r="CE10" s="2358"/>
      <c r="CF10" s="2358"/>
      <c r="CG10" s="2358"/>
      <c r="CH10" s="2358"/>
      <c r="CI10" s="2360">
        <f>CL11+CJ16</f>
        <v>193.75</v>
      </c>
      <c r="CJ10" s="2358">
        <f>CK11+CJ16</f>
        <v>153.125</v>
      </c>
      <c r="CK10" s="2361">
        <f>CI10+CJ16</f>
        <v>196.875</v>
      </c>
      <c r="CL10" s="2358"/>
      <c r="CM10" s="2358"/>
      <c r="CN10" s="2358"/>
      <c r="CO10" s="2358"/>
      <c r="CP10" s="2358"/>
      <c r="CQ10" s="2358"/>
      <c r="CV10" s="2438">
        <v>0.4</v>
      </c>
    </row>
    <row r="11" spans="1:102" ht="17.100000000000001" customHeight="1" thickTop="1" thickBot="1" x14ac:dyDescent="0.2">
      <c r="A11" s="17"/>
      <c r="B11" s="604"/>
      <c r="C11" s="17"/>
      <c r="D11" s="17"/>
      <c r="E11" s="725"/>
      <c r="F11" s="726"/>
      <c r="G11" s="4642"/>
      <c r="H11" s="4642"/>
      <c r="I11" s="4642"/>
      <c r="J11" s="4642"/>
      <c r="K11" s="4642"/>
      <c r="L11" s="4642"/>
      <c r="M11" s="4642"/>
      <c r="N11" s="726"/>
      <c r="O11" s="726"/>
      <c r="P11" s="4642"/>
      <c r="Q11" s="4642"/>
      <c r="R11" s="4642"/>
      <c r="S11" s="4642"/>
      <c r="T11" s="4642"/>
      <c r="U11" s="4642"/>
      <c r="V11" s="4642"/>
      <c r="W11" s="726"/>
      <c r="X11" s="727"/>
      <c r="Y11" s="17"/>
      <c r="Z11" s="605"/>
      <c r="AA11" s="701"/>
      <c r="AB11" s="21"/>
      <c r="AC11" s="21"/>
      <c r="AD11" s="21"/>
      <c r="AE11" s="714"/>
      <c r="AF11" s="714"/>
      <c r="AG11" s="720"/>
      <c r="AH11" s="720"/>
      <c r="AI11" s="717"/>
      <c r="AJ11" s="717"/>
      <c r="AK11" s="717"/>
      <c r="AL11" s="719" t="str">
        <f t="shared" ref="AL11:AL16" si="3">IF($AG$19&gt;=CH11,"l","")</f>
        <v/>
      </c>
      <c r="AM11" s="719" t="str">
        <f t="shared" si="1"/>
        <v/>
      </c>
      <c r="AN11" s="719" t="str">
        <f t="shared" si="0"/>
        <v/>
      </c>
      <c r="AO11" s="719" t="str">
        <f t="shared" si="2"/>
        <v/>
      </c>
      <c r="AP11" s="719" t="str">
        <f t="shared" ref="AP11:AP16" si="4">IF($AG$19&gt;=CL11,"l","")</f>
        <v/>
      </c>
      <c r="AQ11" s="717"/>
      <c r="AR11" s="717"/>
      <c r="AS11" s="717"/>
      <c r="AT11" s="720"/>
      <c r="AU11" s="720"/>
      <c r="AV11" s="714"/>
      <c r="AW11" s="721"/>
      <c r="AX11" s="716"/>
      <c r="AY11" s="716"/>
      <c r="AZ11" s="716"/>
      <c r="BA11" s="722"/>
      <c r="BB11" s="17"/>
      <c r="BC11" s="17"/>
      <c r="BD11" s="725"/>
      <c r="BE11" s="726"/>
      <c r="BF11" s="4642"/>
      <c r="BG11" s="4642"/>
      <c r="BH11" s="4642"/>
      <c r="BI11" s="4642"/>
      <c r="BJ11" s="4642"/>
      <c r="BK11" s="4642"/>
      <c r="BL11" s="4642"/>
      <c r="BM11" s="726"/>
      <c r="BN11" s="726"/>
      <c r="BO11" s="4642"/>
      <c r="BP11" s="4642"/>
      <c r="BQ11" s="4642"/>
      <c r="BR11" s="4642"/>
      <c r="BS11" s="4642"/>
      <c r="BT11" s="4642"/>
      <c r="BU11" s="4642"/>
      <c r="BV11" s="726"/>
      <c r="BW11" s="727"/>
      <c r="BX11" s="17"/>
      <c r="BY11" s="17"/>
      <c r="BZ11" s="604"/>
      <c r="CA11" s="605"/>
      <c r="CC11" s="2358"/>
      <c r="CD11" s="2358"/>
      <c r="CE11" s="2358"/>
      <c r="CF11" s="2358"/>
      <c r="CG11" s="2358"/>
      <c r="CH11" s="2360">
        <f>CM12+CJ16</f>
        <v>187.5</v>
      </c>
      <c r="CI11" s="2358">
        <f>CL12+CJ16</f>
        <v>146.875</v>
      </c>
      <c r="CJ11" s="2358">
        <f>CK12+CJ16</f>
        <v>112.5</v>
      </c>
      <c r="CK11" s="2358">
        <f>CI11+CJ16</f>
        <v>150</v>
      </c>
      <c r="CL11" s="2361">
        <f>CH11+CJ16</f>
        <v>190.625</v>
      </c>
      <c r="CM11" s="2358"/>
      <c r="CN11" s="2358"/>
      <c r="CO11" s="2358"/>
      <c r="CP11" s="2358"/>
      <c r="CQ11" s="2358"/>
      <c r="CV11" s="2438">
        <v>0.45</v>
      </c>
    </row>
    <row r="12" spans="1:102" ht="17.100000000000001" customHeight="1" thickTop="1" x14ac:dyDescent="0.2">
      <c r="A12" s="17"/>
      <c r="B12" s="604"/>
      <c r="C12" s="17"/>
      <c r="D12" s="17"/>
      <c r="E12" s="728"/>
      <c r="F12" s="728"/>
      <c r="G12" s="728"/>
      <c r="H12" s="728"/>
      <c r="I12" s="728"/>
      <c r="J12" s="728"/>
      <c r="K12" s="728"/>
      <c r="L12" s="728"/>
      <c r="M12" s="728"/>
      <c r="N12" s="728"/>
      <c r="O12" s="728"/>
      <c r="P12" s="728"/>
      <c r="Q12" s="728"/>
      <c r="R12" s="728"/>
      <c r="S12" s="728"/>
      <c r="T12" s="728"/>
      <c r="U12" s="728"/>
      <c r="V12" s="728"/>
      <c r="W12" s="728"/>
      <c r="X12" s="728"/>
      <c r="Y12" s="17"/>
      <c r="Z12" s="605"/>
      <c r="AA12" s="701"/>
      <c r="AB12" s="21"/>
      <c r="AC12" s="21"/>
      <c r="AD12" s="21"/>
      <c r="AE12" s="714"/>
      <c r="AF12" s="714"/>
      <c r="AG12" s="720"/>
      <c r="AH12" s="720"/>
      <c r="AI12" s="717"/>
      <c r="AJ12" s="717"/>
      <c r="AK12" s="719" t="str">
        <f>IF($AG$19&gt;=CG12,"l","")</f>
        <v/>
      </c>
      <c r="AL12" s="719" t="str">
        <f t="shared" si="3"/>
        <v/>
      </c>
      <c r="AM12" s="719" t="str">
        <f t="shared" si="1"/>
        <v/>
      </c>
      <c r="AN12" s="719" t="str">
        <f t="shared" si="0"/>
        <v/>
      </c>
      <c r="AO12" s="719" t="str">
        <f t="shared" si="2"/>
        <v/>
      </c>
      <c r="AP12" s="719" t="str">
        <f t="shared" si="4"/>
        <v/>
      </c>
      <c r="AQ12" s="719" t="str">
        <f>IF($AG$19&gt;=CM12,"l","")</f>
        <v/>
      </c>
      <c r="AR12" s="717"/>
      <c r="AS12" s="717"/>
      <c r="AT12" s="720"/>
      <c r="AU12" s="720"/>
      <c r="AV12" s="714"/>
      <c r="AW12" s="721"/>
      <c r="AX12" s="716"/>
      <c r="AY12" s="716"/>
      <c r="AZ12" s="716"/>
      <c r="BA12" s="722"/>
      <c r="BB12" s="17"/>
      <c r="BC12" s="17"/>
      <c r="BD12" s="728"/>
      <c r="BE12" s="728"/>
      <c r="BF12" s="728"/>
      <c r="BG12" s="728"/>
      <c r="BH12" s="728"/>
      <c r="BI12" s="728"/>
      <c r="BJ12" s="728"/>
      <c r="BK12" s="728"/>
      <c r="BL12" s="728"/>
      <c r="BM12" s="728"/>
      <c r="BN12" s="728"/>
      <c r="BO12" s="728"/>
      <c r="BP12" s="728"/>
      <c r="BQ12" s="728"/>
      <c r="BR12" s="728"/>
      <c r="BS12" s="728"/>
      <c r="BT12" s="728"/>
      <c r="BU12" s="728"/>
      <c r="BV12" s="728"/>
      <c r="BW12" s="728"/>
      <c r="BX12" s="17"/>
      <c r="BY12" s="17"/>
      <c r="BZ12" s="604"/>
      <c r="CA12" s="605"/>
      <c r="CC12" s="2358"/>
      <c r="CD12" s="2358"/>
      <c r="CE12" s="2358"/>
      <c r="CF12" s="2358"/>
      <c r="CG12" s="2360">
        <f>CN13+CJ16</f>
        <v>181.25</v>
      </c>
      <c r="CH12" s="2358">
        <f>CM13+CJ16</f>
        <v>140.625</v>
      </c>
      <c r="CI12" s="2358">
        <f>CL13+CJ16</f>
        <v>106.25</v>
      </c>
      <c r="CJ12" s="2358">
        <f>CK13+CJ16</f>
        <v>78.125</v>
      </c>
      <c r="CK12" s="2358">
        <f>CI12+CJ16</f>
        <v>109.375</v>
      </c>
      <c r="CL12" s="2358">
        <f>CH12+CJ16</f>
        <v>143.75</v>
      </c>
      <c r="CM12" s="2361">
        <f>CG12+CJ16</f>
        <v>184.375</v>
      </c>
      <c r="CN12" s="2358"/>
      <c r="CO12" s="2358"/>
      <c r="CP12" s="2358"/>
      <c r="CQ12" s="2358"/>
      <c r="CV12" s="2438">
        <v>0.5</v>
      </c>
    </row>
    <row r="13" spans="1:102" ht="17.100000000000001" customHeight="1" thickBot="1" x14ac:dyDescent="0.2">
      <c r="A13" s="17"/>
      <c r="B13" s="604"/>
      <c r="C13" s="17"/>
      <c r="D13" s="17"/>
      <c r="E13" s="729"/>
      <c r="F13" s="729"/>
      <c r="G13" s="729"/>
      <c r="H13" s="729"/>
      <c r="I13" s="729"/>
      <c r="J13" s="729"/>
      <c r="K13" s="729"/>
      <c r="L13" s="729"/>
      <c r="M13" s="729"/>
      <c r="N13" s="729"/>
      <c r="O13" s="729"/>
      <c r="P13" s="729"/>
      <c r="Q13" s="729"/>
      <c r="R13" s="729"/>
      <c r="S13" s="729"/>
      <c r="T13" s="729"/>
      <c r="U13" s="729"/>
      <c r="V13" s="729"/>
      <c r="W13" s="729"/>
      <c r="X13" s="729"/>
      <c r="Y13" s="17"/>
      <c r="Z13" s="605"/>
      <c r="AA13" s="701"/>
      <c r="AB13" s="21"/>
      <c r="AC13" s="21"/>
      <c r="AD13" s="21"/>
      <c r="AE13" s="714"/>
      <c r="AF13" s="714"/>
      <c r="AG13" s="720"/>
      <c r="AH13" s="720"/>
      <c r="AI13" s="717"/>
      <c r="AJ13" s="719" t="str">
        <f>IF($AG$19&gt;=CF13,"l","")</f>
        <v/>
      </c>
      <c r="AK13" s="719" t="str">
        <f>IF($AG$19&gt;=CG13,"l","")</f>
        <v/>
      </c>
      <c r="AL13" s="719" t="str">
        <f t="shared" si="3"/>
        <v/>
      </c>
      <c r="AM13" s="719" t="str">
        <f t="shared" si="1"/>
        <v/>
      </c>
      <c r="AN13" s="719" t="str">
        <f t="shared" si="0"/>
        <v/>
      </c>
      <c r="AO13" s="719" t="str">
        <f t="shared" si="2"/>
        <v/>
      </c>
      <c r="AP13" s="719" t="str">
        <f t="shared" si="4"/>
        <v/>
      </c>
      <c r="AQ13" s="719" t="str">
        <f>IF($AG$19&gt;=CM13,"l","")</f>
        <v/>
      </c>
      <c r="AR13" s="719" t="str">
        <f>IF($AG$19&gt;=CN13,"l","")</f>
        <v/>
      </c>
      <c r="AS13" s="717"/>
      <c r="AT13" s="720"/>
      <c r="AU13" s="720"/>
      <c r="AV13" s="714"/>
      <c r="AW13" s="721"/>
      <c r="AX13" s="716"/>
      <c r="AY13" s="716"/>
      <c r="AZ13" s="716"/>
      <c r="BA13" s="722"/>
      <c r="BB13" s="17"/>
      <c r="BC13" s="17"/>
      <c r="BD13" s="729"/>
      <c r="BE13" s="729"/>
      <c r="BF13" s="729"/>
      <c r="BG13" s="729"/>
      <c r="BH13" s="729"/>
      <c r="BI13" s="729"/>
      <c r="BJ13" s="729"/>
      <c r="BK13" s="729"/>
      <c r="BL13" s="729"/>
      <c r="BM13" s="729"/>
      <c r="BN13" s="729"/>
      <c r="BO13" s="729"/>
      <c r="BP13" s="729"/>
      <c r="BQ13" s="729"/>
      <c r="BR13" s="729"/>
      <c r="BS13" s="729"/>
      <c r="BT13" s="729"/>
      <c r="BU13" s="729"/>
      <c r="BV13" s="729"/>
      <c r="BW13" s="729"/>
      <c r="BX13" s="17"/>
      <c r="BY13" s="17"/>
      <c r="BZ13" s="604"/>
      <c r="CA13" s="605"/>
      <c r="CC13" s="2358"/>
      <c r="CD13" s="2358"/>
      <c r="CE13" s="2358"/>
      <c r="CF13" s="2360">
        <f>CO14+CJ16</f>
        <v>175</v>
      </c>
      <c r="CG13" s="2358">
        <f>CN14+CJ16</f>
        <v>134.375</v>
      </c>
      <c r="CH13" s="2358">
        <f>CM14+CJ16</f>
        <v>100</v>
      </c>
      <c r="CI13" s="2358">
        <f>CL14+CJ16</f>
        <v>71.875</v>
      </c>
      <c r="CJ13" s="2358">
        <f>CK14+CJ16</f>
        <v>50</v>
      </c>
      <c r="CK13" s="2358">
        <f>CI13+CJ16</f>
        <v>75</v>
      </c>
      <c r="CL13" s="2358">
        <f>CH13+CJ16</f>
        <v>103.125</v>
      </c>
      <c r="CM13" s="2358">
        <f>CG13+CJ16</f>
        <v>137.5</v>
      </c>
      <c r="CN13" s="2361">
        <f>CF13+CJ16</f>
        <v>178.125</v>
      </c>
      <c r="CO13" s="2358"/>
      <c r="CP13" s="2358"/>
      <c r="CQ13" s="2358"/>
      <c r="CV13" s="2438">
        <v>0.55000000000000004</v>
      </c>
    </row>
    <row r="14" spans="1:102" ht="17.100000000000001" customHeight="1" thickTop="1" x14ac:dyDescent="0.3">
      <c r="A14" s="17"/>
      <c r="B14" s="604"/>
      <c r="C14" s="17"/>
      <c r="D14" s="17"/>
      <c r="E14" s="730"/>
      <c r="F14" s="731"/>
      <c r="G14" s="611"/>
      <c r="H14" s="611"/>
      <c r="I14" s="611"/>
      <c r="J14" s="611"/>
      <c r="K14" s="611"/>
      <c r="L14" s="611"/>
      <c r="M14" s="611"/>
      <c r="N14" s="611"/>
      <c r="O14" s="611"/>
      <c r="P14" s="611"/>
      <c r="Q14" s="611"/>
      <c r="R14" s="611"/>
      <c r="S14" s="611"/>
      <c r="T14" s="611"/>
      <c r="U14" s="611"/>
      <c r="V14" s="611"/>
      <c r="W14" s="731"/>
      <c r="X14" s="732"/>
      <c r="Y14" s="17"/>
      <c r="Z14" s="605"/>
      <c r="AA14" s="701"/>
      <c r="AB14" s="21"/>
      <c r="AC14" s="21"/>
      <c r="AD14" s="21"/>
      <c r="AE14" s="714"/>
      <c r="AF14" s="714"/>
      <c r="AG14" s="720"/>
      <c r="AH14" s="720"/>
      <c r="AI14" s="719" t="str">
        <f>IF($AG$19&gt;=CE14,"l","")</f>
        <v/>
      </c>
      <c r="AJ14" s="719" t="str">
        <f>IF($AG$19&gt;=CF14,"l","")</f>
        <v/>
      </c>
      <c r="AK14" s="719" t="str">
        <f>IF($AG$19&gt;=CG14,"l","")</f>
        <v/>
      </c>
      <c r="AL14" s="719" t="str">
        <f t="shared" si="3"/>
        <v/>
      </c>
      <c r="AM14" s="719" t="str">
        <f t="shared" si="1"/>
        <v/>
      </c>
      <c r="AN14" s="719" t="str">
        <f t="shared" si="0"/>
        <v/>
      </c>
      <c r="AO14" s="719" t="str">
        <f t="shared" si="2"/>
        <v/>
      </c>
      <c r="AP14" s="719" t="str">
        <f t="shared" si="4"/>
        <v/>
      </c>
      <c r="AQ14" s="719" t="str">
        <f>IF($AG$19&gt;=CM14,"l","")</f>
        <v/>
      </c>
      <c r="AR14" s="719" t="str">
        <f>IF($AG$19&gt;=CN14,"l","")</f>
        <v/>
      </c>
      <c r="AS14" s="719" t="str">
        <f>IF($AG$19&gt;=CO14,"l","")</f>
        <v/>
      </c>
      <c r="AT14" s="720"/>
      <c r="AU14" s="720"/>
      <c r="AV14" s="714"/>
      <c r="AW14" s="721"/>
      <c r="AX14" s="716"/>
      <c r="AY14" s="716"/>
      <c r="AZ14" s="716"/>
      <c r="BA14" s="733"/>
      <c r="BB14" s="17"/>
      <c r="BC14" s="17"/>
      <c r="BD14" s="730"/>
      <c r="BE14" s="731"/>
      <c r="BF14" s="611"/>
      <c r="BG14" s="611"/>
      <c r="BH14" s="611"/>
      <c r="BI14" s="611"/>
      <c r="BJ14" s="611"/>
      <c r="BK14" s="611"/>
      <c r="BL14" s="611"/>
      <c r="BM14" s="611"/>
      <c r="BN14" s="611"/>
      <c r="BO14" s="611"/>
      <c r="BP14" s="611"/>
      <c r="BQ14" s="611"/>
      <c r="BR14" s="611"/>
      <c r="BS14" s="611"/>
      <c r="BT14" s="611"/>
      <c r="BU14" s="611"/>
      <c r="BV14" s="731"/>
      <c r="BW14" s="732"/>
      <c r="BX14" s="17"/>
      <c r="BY14" s="17"/>
      <c r="BZ14" s="604"/>
      <c r="CA14" s="605"/>
      <c r="CC14" s="2358"/>
      <c r="CD14" s="2358"/>
      <c r="CE14" s="2360">
        <f>CP15+CJ16</f>
        <v>168.75</v>
      </c>
      <c r="CF14" s="2358">
        <f>CO15+CJ16</f>
        <v>128.125</v>
      </c>
      <c r="CG14" s="2358">
        <f>CN15+CJ16</f>
        <v>93.75</v>
      </c>
      <c r="CH14" s="2358">
        <f>CM15+CJ16</f>
        <v>65.625</v>
      </c>
      <c r="CI14" s="2358">
        <f>CL15+CJ16</f>
        <v>43.75</v>
      </c>
      <c r="CJ14" s="2358">
        <f>CK15+CJ16</f>
        <v>28.125</v>
      </c>
      <c r="CK14" s="2358">
        <f>CI14+CJ16</f>
        <v>46.875</v>
      </c>
      <c r="CL14" s="2358">
        <f>CH14+CJ16</f>
        <v>68.75</v>
      </c>
      <c r="CM14" s="2358">
        <f>CG14+CJ16</f>
        <v>96.875</v>
      </c>
      <c r="CN14" s="2358">
        <f>CF14+CJ16</f>
        <v>131.25</v>
      </c>
      <c r="CO14" s="2361">
        <f>CE14+CJ16</f>
        <v>171.875</v>
      </c>
      <c r="CP14" s="2358"/>
      <c r="CQ14" s="2358"/>
      <c r="CV14" s="2438">
        <v>0.6</v>
      </c>
    </row>
    <row r="15" spans="1:102" ht="17.100000000000001" customHeight="1" x14ac:dyDescent="0.3">
      <c r="A15" s="17"/>
      <c r="B15" s="604"/>
      <c r="C15" s="17"/>
      <c r="D15" s="17"/>
      <c r="E15" s="734"/>
      <c r="F15" s="1215">
        <f>COUNTA(I15:K15,R15:T15)</f>
        <v>0</v>
      </c>
      <c r="G15" s="735"/>
      <c r="H15" s="736" t="str">
        <f ca="1">IF(AND(ACTIONS!$CH$37&lt;=0,$W$15&gt;0),"x","")</f>
        <v/>
      </c>
      <c r="I15" s="2498"/>
      <c r="J15" s="2498"/>
      <c r="K15" s="2498"/>
      <c r="L15" s="736" t="str">
        <f ca="1">IF(AND(ACTIONS!$CH$37&gt;=0.5,$F$15+$BV$15&lt;ACTIONS!$CH$35,$W$15&gt;0),"x","")</f>
        <v/>
      </c>
      <c r="M15" s="4568" t="s">
        <v>108</v>
      </c>
      <c r="N15" s="4568"/>
      <c r="O15" s="4568"/>
      <c r="P15" s="4568"/>
      <c r="Q15" s="736" t="str">
        <f ca="1">IF(AND(ACTIONS!$CH$37&gt;=0.5,$F$15+$BV$15&lt;ACTIONS!$CH$35,$W$15&gt;0),"x","")</f>
        <v/>
      </c>
      <c r="R15" s="2498"/>
      <c r="S15" s="2498"/>
      <c r="T15" s="2498"/>
      <c r="U15" s="736" t="str">
        <f ca="1">IF(AND(ACTIONS!$CH$37&lt;=0,$W$15&gt;0),"x","")</f>
        <v/>
      </c>
      <c r="V15" s="735"/>
      <c r="W15" s="1215">
        <f>COUNTA($G$19,$P$19,$G$25,$P$25,$G$31,$P$31)</f>
        <v>0</v>
      </c>
      <c r="X15" s="737"/>
      <c r="Y15" s="17"/>
      <c r="Z15" s="605"/>
      <c r="AA15" s="701"/>
      <c r="AB15" s="21"/>
      <c r="AC15" s="21"/>
      <c r="AD15" s="21"/>
      <c r="AE15" s="714"/>
      <c r="AF15" s="714"/>
      <c r="AG15" s="720"/>
      <c r="AH15" s="719" t="str">
        <f>IF($AG$19&gt;=CD15,"l","")</f>
        <v/>
      </c>
      <c r="AI15" s="719" t="str">
        <f>IF($AG$19&gt;=CE15,"l","")</f>
        <v/>
      </c>
      <c r="AJ15" s="719" t="str">
        <f>IF($AG$19&gt;=CF15,"l","")</f>
        <v/>
      </c>
      <c r="AK15" s="719" t="str">
        <f>IF($AG$19&gt;=CG15,"l","")</f>
        <v/>
      </c>
      <c r="AL15" s="719" t="str">
        <f t="shared" si="3"/>
        <v/>
      </c>
      <c r="AM15" s="719" t="str">
        <f t="shared" si="1"/>
        <v/>
      </c>
      <c r="AN15" s="719" t="str">
        <f t="shared" si="0"/>
        <v/>
      </c>
      <c r="AO15" s="719" t="str">
        <f t="shared" si="2"/>
        <v/>
      </c>
      <c r="AP15" s="719" t="str">
        <f t="shared" si="4"/>
        <v/>
      </c>
      <c r="AQ15" s="719" t="str">
        <f>IF($AG$19&gt;=CM15,"l","")</f>
        <v/>
      </c>
      <c r="AR15" s="719" t="str">
        <f>IF($AG$19&gt;=CN15,"l","")</f>
        <v/>
      </c>
      <c r="AS15" s="719" t="str">
        <f>IF($AG$19&gt;=CO15,"l","")</f>
        <v/>
      </c>
      <c r="AT15" s="719" t="str">
        <f>IF($AG$19&gt;=CP15,"l","")</f>
        <v/>
      </c>
      <c r="AU15" s="720"/>
      <c r="AV15" s="714"/>
      <c r="AW15" s="721"/>
      <c r="AX15" s="716"/>
      <c r="AY15" s="716"/>
      <c r="AZ15" s="738"/>
      <c r="BA15" s="733"/>
      <c r="BB15" s="17"/>
      <c r="BC15" s="17"/>
      <c r="BD15" s="734"/>
      <c r="BE15" s="1215">
        <f>COUNTA($BF$19,$BO$19,$BF$25,$BO$25,$BF$31,$BO$31)</f>
        <v>0</v>
      </c>
      <c r="BF15" s="739"/>
      <c r="BG15" s="736" t="str">
        <f ca="1">IF(AND(ACTIONS!$CH$37&lt;=0,$BE$15&gt;0),"x","")</f>
        <v/>
      </c>
      <c r="BH15" s="2498"/>
      <c r="BI15" s="2498"/>
      <c r="BJ15" s="2498"/>
      <c r="BK15" s="736" t="str">
        <f ca="1">IF(AND(ACTIONS!$CH$37&gt;=0.5,$F$15+$BV$15&lt;ACTIONS!$CH$35,$BE$15&gt;0),"x","")</f>
        <v/>
      </c>
      <c r="BL15" s="4568" t="s">
        <v>108</v>
      </c>
      <c r="BM15" s="4568"/>
      <c r="BN15" s="4568"/>
      <c r="BO15" s="4568"/>
      <c r="BP15" s="736" t="str">
        <f ca="1">IF(AND(ACTIONS!$CH$37&gt;=0.5,$F$15+$BV$15&lt;ACTIONS!$CH$35,$BE$15&gt;0),"x","")</f>
        <v/>
      </c>
      <c r="BQ15" s="2498"/>
      <c r="BR15" s="2498"/>
      <c r="BS15" s="2498"/>
      <c r="BT15" s="736" t="str">
        <f ca="1">IF(AND(ACTIONS!$CH$37&lt;=0,$BE$15&gt;0),"x","")</f>
        <v/>
      </c>
      <c r="BU15" s="740"/>
      <c r="BV15" s="1215">
        <f>COUNTA(BH15:BJ15,BQ15:BS15)</f>
        <v>0</v>
      </c>
      <c r="BW15" s="737"/>
      <c r="BX15" s="17"/>
      <c r="BY15" s="17"/>
      <c r="BZ15" s="604"/>
      <c r="CA15" s="605"/>
      <c r="CC15" s="2358"/>
      <c r="CD15" s="2360">
        <f>CQ16+CJ16</f>
        <v>162.5</v>
      </c>
      <c r="CE15" s="2358">
        <f>CP16+CJ16</f>
        <v>121.875</v>
      </c>
      <c r="CF15" s="2358">
        <f>CO16+CJ16</f>
        <v>87.5</v>
      </c>
      <c r="CG15" s="2358">
        <f>CN16+CJ16</f>
        <v>59.375</v>
      </c>
      <c r="CH15" s="2358">
        <f>CM16+CJ16</f>
        <v>37.5</v>
      </c>
      <c r="CI15" s="2358">
        <f>CL16+CJ16</f>
        <v>21.875</v>
      </c>
      <c r="CJ15" s="2358">
        <f>CK16+CJ16</f>
        <v>12.5</v>
      </c>
      <c r="CK15" s="2358">
        <f>CI15+CJ16</f>
        <v>25</v>
      </c>
      <c r="CL15" s="2358">
        <f>CH15+CJ16</f>
        <v>40.625</v>
      </c>
      <c r="CM15" s="2358">
        <f>CG15+CJ16</f>
        <v>62.5</v>
      </c>
      <c r="CN15" s="2358">
        <f>CF15+CJ16</f>
        <v>90.625</v>
      </c>
      <c r="CO15" s="2358">
        <f>CE15+CJ16</f>
        <v>125</v>
      </c>
      <c r="CP15" s="2361">
        <f>CD15+CJ16</f>
        <v>165.625</v>
      </c>
      <c r="CQ15" s="2358"/>
      <c r="CV15" s="2438">
        <v>0.65</v>
      </c>
    </row>
    <row r="16" spans="1:102" ht="17.100000000000001" customHeight="1" thickBot="1" x14ac:dyDescent="0.2">
      <c r="A16" s="17"/>
      <c r="B16" s="604"/>
      <c r="C16" s="17"/>
      <c r="D16" s="17"/>
      <c r="E16" s="734"/>
      <c r="F16" s="622"/>
      <c r="G16" s="622"/>
      <c r="H16" s="622"/>
      <c r="I16" s="622"/>
      <c r="J16" s="622"/>
      <c r="K16" s="622"/>
      <c r="L16" s="622"/>
      <c r="M16" s="622"/>
      <c r="N16" s="622"/>
      <c r="O16" s="622"/>
      <c r="P16" s="622"/>
      <c r="Q16" s="622"/>
      <c r="R16" s="622"/>
      <c r="S16" s="622"/>
      <c r="T16" s="622"/>
      <c r="U16" s="622"/>
      <c r="V16" s="622"/>
      <c r="W16" s="622"/>
      <c r="X16" s="737"/>
      <c r="Y16" s="17"/>
      <c r="Z16" s="605"/>
      <c r="AA16" s="701"/>
      <c r="AB16" s="21"/>
      <c r="AC16" s="21"/>
      <c r="AD16" s="21"/>
      <c r="AE16" s="714"/>
      <c r="AF16" s="714"/>
      <c r="AG16" s="719" t="str">
        <f>IF($AG$19&gt;=CC16,"l","")</f>
        <v/>
      </c>
      <c r="AH16" s="719" t="str">
        <f>IF($AG$19&gt;=CD16,"l","")</f>
        <v/>
      </c>
      <c r="AI16" s="719" t="str">
        <f>IF($AG$19&gt;=CE16,"l","")</f>
        <v/>
      </c>
      <c r="AJ16" s="719" t="str">
        <f>IF($AG$19&gt;=CF16,"l","")</f>
        <v/>
      </c>
      <c r="AK16" s="719" t="str">
        <f>IF($AG$19&gt;=CG16,"l","")</f>
        <v/>
      </c>
      <c r="AL16" s="719" t="str">
        <f t="shared" si="3"/>
        <v/>
      </c>
      <c r="AM16" s="719" t="str">
        <f t="shared" si="1"/>
        <v/>
      </c>
      <c r="AN16" s="719" t="str">
        <f t="shared" si="0"/>
        <v/>
      </c>
      <c r="AO16" s="719" t="str">
        <f t="shared" si="2"/>
        <v/>
      </c>
      <c r="AP16" s="719" t="str">
        <f t="shared" si="4"/>
        <v/>
      </c>
      <c r="AQ16" s="719" t="str">
        <f>IF($AG$19&gt;=CM16,"l","")</f>
        <v/>
      </c>
      <c r="AR16" s="719" t="str">
        <f>IF($AG$19&gt;=CN16,"l","")</f>
        <v/>
      </c>
      <c r="AS16" s="719" t="str">
        <f>IF($AG$19&gt;=CO16,"l","")</f>
        <v/>
      </c>
      <c r="AT16" s="719" t="str">
        <f>IF($AG$19&gt;=CP16,"l","")</f>
        <v/>
      </c>
      <c r="AU16" s="719" t="str">
        <f>IF($AG$19&gt;=CQ16,"l","")</f>
        <v/>
      </c>
      <c r="AV16" s="714"/>
      <c r="AW16" s="721"/>
      <c r="AX16" s="716"/>
      <c r="AY16" s="738"/>
      <c r="AZ16" s="738"/>
      <c r="BA16" s="733"/>
      <c r="BB16" s="17"/>
      <c r="BC16" s="17"/>
      <c r="BD16" s="734"/>
      <c r="BE16" s="622"/>
      <c r="BF16" s="622"/>
      <c r="BG16" s="622"/>
      <c r="BH16" s="622"/>
      <c r="BI16" s="622"/>
      <c r="BJ16" s="622"/>
      <c r="BK16" s="622"/>
      <c r="BL16" s="622"/>
      <c r="BM16" s="622"/>
      <c r="BN16" s="622"/>
      <c r="BO16" s="622"/>
      <c r="BP16" s="622"/>
      <c r="BQ16" s="622"/>
      <c r="BR16" s="622"/>
      <c r="BS16" s="622"/>
      <c r="BT16" s="622"/>
      <c r="BU16" s="622"/>
      <c r="BV16" s="622"/>
      <c r="BW16" s="737"/>
      <c r="BX16" s="17"/>
      <c r="BY16" s="17"/>
      <c r="BZ16" s="604"/>
      <c r="CA16" s="605"/>
      <c r="CC16" s="2362">
        <f>CJ10+CJ16</f>
        <v>156.25</v>
      </c>
      <c r="CD16" s="2363">
        <f>CJ11+CJ16</f>
        <v>115.625</v>
      </c>
      <c r="CE16" s="2363">
        <f>CJ12+CJ16</f>
        <v>81.25</v>
      </c>
      <c r="CF16" s="2363">
        <f>CJ13+CJ16</f>
        <v>53.125</v>
      </c>
      <c r="CG16" s="2363">
        <f>CJ14+CJ16</f>
        <v>31.25</v>
      </c>
      <c r="CH16" s="2363">
        <f>CJ15+CJ16</f>
        <v>15.625</v>
      </c>
      <c r="CI16" s="2363">
        <f>CJ16+CJ16</f>
        <v>6.25</v>
      </c>
      <c r="CJ16" s="2364">
        <v>3.125</v>
      </c>
      <c r="CK16" s="2363">
        <f>CI16+CJ16</f>
        <v>9.375</v>
      </c>
      <c r="CL16" s="2363">
        <f>CH16+CJ16</f>
        <v>18.75</v>
      </c>
      <c r="CM16" s="2363">
        <f>CG16+CJ16</f>
        <v>34.375</v>
      </c>
      <c r="CN16" s="2363">
        <f>CF16+CJ16</f>
        <v>56.25</v>
      </c>
      <c r="CO16" s="2363">
        <f>CE16+CJ16</f>
        <v>84.375</v>
      </c>
      <c r="CP16" s="2363">
        <f>CD16+CJ16</f>
        <v>118.75</v>
      </c>
      <c r="CQ16" s="2365">
        <f>CC16+CJ16</f>
        <v>159.375</v>
      </c>
      <c r="CV16" s="2438">
        <v>0.7</v>
      </c>
    </row>
    <row r="17" spans="1:100" ht="17.100000000000001" customHeight="1" thickTop="1" x14ac:dyDescent="0.15">
      <c r="A17" s="17"/>
      <c r="B17" s="604"/>
      <c r="C17" s="17"/>
      <c r="D17" s="17"/>
      <c r="E17" s="734"/>
      <c r="F17" s="622"/>
      <c r="G17" s="4613" t="s">
        <v>68</v>
      </c>
      <c r="H17" s="4609"/>
      <c r="I17" s="4523" t="str">
        <f>IF(ISBLANK(G19),data!$JO$72,_xlfn.IFS(
ISNUMBER(SEARCH( data!$JP$23, G19 )), data!$JO$23,
ISNUMBER(SEARCH( data!$JP$24, G19 )), data!$JO$24,
ISNUMBER(SEARCH( data!$JP$25, G19 )), data!$JO$25,
ISNUMBER(SEARCH( data!$JP$26, G19 )), data!$JO$26,
ISNUMBER(SEARCH( data!$JP$27, G19 )), data!$JO$27,
ISNUMBER(SEARCH( data!$JP$28, G19 )), data!$JO$28,
ISNUMBER(SEARCH( data!$JP$29, G19 )), data!$JO$29,
ISNUMBER(SEARCH( data!$JP$30, G19 )), data!$JO$30,
ISNUMBER(SEARCH( data!$JP$31, G19 )), data!$JO$31,
ISNUMBER(SEARCH( data!$JP$32, G19 )), data!$JO$32,
ISNUMBER(SEARCH( data!$JP$33, G19 )), data!$JO$33,
ISNUMBER(SEARCH( data!$JP$34, G19 )), data!$JO$34,
ISNUMBER(SEARCH( data!$JP$35, G19 )), data!$JO$35,
ISNUMBER(SEARCH( data!$JP$36, G19 )), data!$JO$36,
ISNUMBER(SEARCH( data!$JP$37, G19 )), data!$JO$37,
ISNUMBER(SEARCH( data!$JP$38, G19 )), data!$JO$38,
ISNUMBER(SEARCH( data!$JP$39, G19 )), data!$JO$39,
ISNUMBER(SEARCH( data!$JP$40, G19 )), data!$JO$40,
ISNUMBER(SEARCH( data!$JP$41, G19 )), data!$JO$41,
ISNUMBER(SEARCH( data!$JP$42, G19 )), data!$JO$42,
ISNUMBER(SEARCH( data!$JP$43, G19 )), data!$JO$43,
ISNUMBER(SEARCH( data!$JP$44, G19 )), data!$JO$44,
ISNUMBER(SEARCH( data!$JP$45, G19 )), data!$JO$45,
ISNUMBER(SEARCH( data!$JP$46, G19 )), data!$JO$46,
ISNUMBER(SEARCH( data!$JP$47, G19 )), data!$JO$47,
ISNUMBER(SEARCH( data!$JP$48, G19 )), data!$JO$48,
ISNUMBER(SEARCH( data!$JP$49, G19 )), data!$JO$49,
ISNUMBER(SEARCH( data!$JP$50, G19 )), data!$JO$50,
ISNUMBER(SEARCH( data!$JP$51, G19 )), data!$JO$51,
ISNUMBER(SEARCH( data!$JP$52, G19 )), data!$JO$52,
ISNUMBER(SEARCH( data!$JP$53, G19 )), data!$JO$53,
ISNUMBER(SEARCH( data!$JP$54, G19 )), data!$JO$54,
ISNUMBER(SEARCH( data!$JP$55, G19 )), data!$JO$55,
ISNUMBER(SEARCH( data!$JP$56, G19 )), data!$JO$56,
ISNUMBER(SEARCH( data!$JP$57, G19 )), data!$JO$57,
ISNUMBER(SEARCH( data!$JP$58, G19 )), data!$JO$58,
ISNUMBER(SEARCH( data!$JP$59, G19 )), data!$JO$59,
ISNUMBER(SEARCH( data!$JP$60, G19 )), data!$JO$60,
ISNUMBER(SEARCH( data!$JP$61, G19 )), data!$JO$61,
ISNUMBER(SEARCH( data!$JP$62, G19 )), data!$JO$62,
ISNUMBER(SEARCH( data!$JP$63, G19 )), data!$JO$63,
ISNUMBER(SEARCH( data!$JP$64, G19 )), data!$JO$64,
ISNUMBER(SEARCH( data!$JP$65, G19 )), data!$JO$65,
ISNUMBER(SEARCH( data!$JP$66, G19 )), data!$JO$66,
ISNUMBER(SEARCH( data!$JP$67, G19 )), data!$JO$67,
ISNUMBER(SEARCH( data!$JP$68, G19 )), data!$JO$68,
ISNUMBER(SEARCH( data!$JP$69, G19 )), data!$JO$69,
ISNUMBER(SEARCH( data!$JP$70, G19 )), data!$JO$70,
ISNUMBER(SEARCH( data!$JP$71, G19 )), data!$JO$71,
ISNUMBER(SEARCH( data!$JR$23, G19 )), data!$JQ$23,
ISNUMBER(SEARCH( data!$JR$24, G19 )), data!$JQ$24,
ISNUMBER(SEARCH( data!$JR$25, G19 )), data!$JQ$25,
ISNUMBER(SEARCH( data!$JR$26, G19 )), data!$JQ$26,
ISNUMBER(SEARCH( data!$JR$27, G19 )), data!$JQ$27,
ISNUMBER(SEARCH( data!$JR$28, G19 )), data!$JQ$28,
ISNUMBER(SEARCH( data!$JR$29, G19 )), data!$JQ$29,
ISNUMBER(SEARCH( data!$JR$30, G19 )), data!$JQ$30,
ISNUMBER(SEARCH( data!$JR$31, G19 )), data!$JQ$31,
ISNUMBER(SEARCH( data!$JR$32, G19 )), data!$JQ$32,
ISNUMBER(SEARCH( data!$JR$33, G19 )), data!$JQ$33,
ISNUMBER(SEARCH( data!$JR$34, G19 )), data!$JQ$34,
ISNUMBER(SEARCH( data!$JR$35, G19 )), data!$JQ$35,
ISNUMBER(SEARCH( data!$JR$36, G19 )), data!$JQ$36,
ISNUMBER(SEARCH( data!$JR$37, G19 )), data!$JQ$37,
ISNUMBER(SEARCH( data!$JR$38, G19 )), data!$JQ$38,
ISNUMBER(SEARCH( data!$JR$39, G19 )), data!$JQ$39,
ISNUMBER(SEARCH( data!$JR$40, G19 )), data!$JQ$40,
ISNUMBER(SEARCH( data!$JR$41, G19 )), data!$JQ$41,
ISNUMBER(SEARCH( data!$JR$42, G19 )), data!$JQ$42,
ISNUMBER(SEARCH( data!$JR$43, G19 )), data!$JQ$43,
ISNUMBER(SEARCH( data!$JR$44, G19 )), data!$JQ$44,
ISNUMBER(SEARCH( data!$JR$45, G19 )), data!$JQ$45,
ISNUMBER(SEARCH( data!$JR$46, G19 )), data!$JQ$46,
ISNUMBER(SEARCH( data!$JR$47, G19 )), data!$JQ$47,
ISNUMBER(SEARCH( data!$JR$48, G19 )), data!$JQ$48,
ISNUMBER(SEARCH( data!$JR$49, G19 )), data!$JQ$49,
ISNUMBER(SEARCH( data!$JR$50, G19 )), data!$JQ$50,
ISNUMBER(SEARCH( data!$JR$51, G19 )), data!$JQ$51,
ISNUMBER(SEARCH( data!$JR$52, G19 )), data!$JQ$52,
ISNUMBER(SEARCH( data!$JR$53, G19 )), data!$JQ$53,
ISNUMBER(SEARCH( data!$JR$54, G19 )), data!$JQ$54,
ISNUMBER(SEARCH( data!$JR$55, G19 )), data!$JQ$55,
ISNUMBER(SEARCH( data!$JR$56, G19 )), data!$JQ$56,
ISNUMBER(SEARCH( data!$JR$57, G19 )), data!$JQ$57,
ISNUMBER(SEARCH( data!$JR$58, G19 )), data!$JQ$58,
ISNUMBER(SEARCH( data!$JR$59, G19 )), data!$JQ$59,
ISNUMBER(SEARCH( data!$JR$60, G19 )), data!$JQ$60,
ISNUMBER(SEARCH( data!$JR$61, G19 )), data!$JQ$61,
ISNUMBER(SEARCH( data!$JR$62, G19 )), data!$JQ$62,
ISNUMBER(SEARCH( data!$JR$63, G19 )), data!$JQ$63,
ISNUMBER(SEARCH( data!$JR$64, G19 )), data!$JQ$64,
ISNUMBER(SEARCH( data!$JR$65, G19 )), data!$JQ$65,
ISNUMBER(SEARCH( data!$JR$66, G19 )), data!$JQ$66,
ISNUMBER(SEARCH( data!$JR$67, G19 )), data!$JQ$67,
ISNUMBER(SEARCH( data!$JR$68, G19 )), data!$JQ$68,
ISNUMBER(SEARCH( data!$JR$69, G19 )), data!$JQ$69,
ISNUMBER(SEARCH( data!$JR$70, G19 )), data!$JQ$70,
ISNUMBER(SEARCH( data!$JR$71, G19 )), data!$JQ$71,
TRUE,data!$JQ$72))</f>
        <v>🞅</v>
      </c>
      <c r="J17" s="4523"/>
      <c r="K17" s="4523"/>
      <c r="L17" s="4609" t="s">
        <v>68</v>
      </c>
      <c r="M17" s="4610"/>
      <c r="N17" s="622"/>
      <c r="O17" s="622"/>
      <c r="P17" s="4613" t="s">
        <v>68</v>
      </c>
      <c r="Q17" s="4609"/>
      <c r="R17" s="4523" t="str">
        <f>IF(ISBLANK(P19),data!$JO$72,_xlfn.IFS(
ISNUMBER(SEARCH( data!$JP$23, P19 )), data!$JO$23,
ISNUMBER(SEARCH( data!$JP$24, P19 )), data!$JO$24,
ISNUMBER(SEARCH( data!$JP$25, P19 )), data!$JO$25,
ISNUMBER(SEARCH( data!$JP$26, P19 )), data!$JO$26,
ISNUMBER(SEARCH( data!$JP$27, P19 )), data!$JO$27,
ISNUMBER(SEARCH( data!$JP$28, P19 )), data!$JO$28,
ISNUMBER(SEARCH( data!$JP$29, P19 )), data!$JO$29,
ISNUMBER(SEARCH( data!$JP$30, P19 )), data!$JO$30,
ISNUMBER(SEARCH( data!$JP$31, P19 )), data!$JO$31,
ISNUMBER(SEARCH( data!$JP$32, P19 )), data!$JO$32,
ISNUMBER(SEARCH( data!$JP$33, P19 )), data!$JO$33,
ISNUMBER(SEARCH( data!$JP$34, P19 )), data!$JO$34,
ISNUMBER(SEARCH( data!$JP$35, P19 )), data!$JO$35,
ISNUMBER(SEARCH( data!$JP$36, P19 )), data!$JO$36,
ISNUMBER(SEARCH( data!$JP$37, P19 )), data!$JO$37,
ISNUMBER(SEARCH( data!$JP$38, P19 )), data!$JO$38,
ISNUMBER(SEARCH( data!$JP$39, P19 )), data!$JO$39,
ISNUMBER(SEARCH( data!$JP$40, P19 )), data!$JO$40,
ISNUMBER(SEARCH( data!$JP$41, P19 )), data!$JO$41,
ISNUMBER(SEARCH( data!$JP$42, P19 )), data!$JO$42,
ISNUMBER(SEARCH( data!$JP$43, P19 )), data!$JO$43,
ISNUMBER(SEARCH( data!$JP$44, P19 )), data!$JO$44,
ISNUMBER(SEARCH( data!$JP$45, P19 )), data!$JO$45,
ISNUMBER(SEARCH( data!$JP$46, P19 )), data!$JO$46,
ISNUMBER(SEARCH( data!$JP$47, P19 )), data!$JO$47,
ISNUMBER(SEARCH( data!$JP$48, P19 )), data!$JO$48,
ISNUMBER(SEARCH( data!$JP$49, P19 )), data!$JO$49,
ISNUMBER(SEARCH( data!$JP$50, P19 )), data!$JO$50,
ISNUMBER(SEARCH( data!$JP$51, P19 )), data!$JO$51,
ISNUMBER(SEARCH( data!$JP$52, P19 )), data!$JO$52,
ISNUMBER(SEARCH( data!$JP$53, P19 )), data!$JO$53,
ISNUMBER(SEARCH( data!$JP$54, P19 )), data!$JO$54,
ISNUMBER(SEARCH( data!$JP$55, P19 )), data!$JO$55,
ISNUMBER(SEARCH( data!$JP$56, P19 )), data!$JO$56,
ISNUMBER(SEARCH( data!$JP$57, P19 )), data!$JO$57,
ISNUMBER(SEARCH( data!$JP$58, P19 )), data!$JO$58,
ISNUMBER(SEARCH( data!$JP$59, P19 )), data!$JO$59,
ISNUMBER(SEARCH( data!$JP$60, P19 )), data!$JO$60,
ISNUMBER(SEARCH( data!$JP$61, P19 )), data!$JO$61,
ISNUMBER(SEARCH( data!$JP$62, P19 )), data!$JO$62,
ISNUMBER(SEARCH( data!$JP$63, P19 )), data!$JO$63,
ISNUMBER(SEARCH( data!$JP$64, P19 )), data!$JO$64,
ISNUMBER(SEARCH( data!$JP$65, P19 )), data!$JO$65,
ISNUMBER(SEARCH( data!$JP$66, P19 )), data!$JO$66,
ISNUMBER(SEARCH( data!$JP$67, P19 )), data!$JO$67,
ISNUMBER(SEARCH( data!$JP$68, P19 )), data!$JO$68,
ISNUMBER(SEARCH( data!$JP$69, P19 )), data!$JO$69,
ISNUMBER(SEARCH( data!$JP$70, P19 )), data!$JO$70,
ISNUMBER(SEARCH( data!$JP$71, P19 )), data!$JO$71,
ISNUMBER(SEARCH( data!$JR$23, P19 )), data!$JQ$23,
ISNUMBER(SEARCH( data!$JR$24, P19 )), data!$JQ$24,
ISNUMBER(SEARCH( data!$JR$25, P19 )), data!$JQ$25,
ISNUMBER(SEARCH( data!$JR$26, P19 )), data!$JQ$26,
ISNUMBER(SEARCH( data!$JR$27, P19 )), data!$JQ$27,
ISNUMBER(SEARCH( data!$JR$28, P19 )), data!$JQ$28,
ISNUMBER(SEARCH( data!$JR$29, P19 )), data!$JQ$29,
ISNUMBER(SEARCH( data!$JR$30, P19 )), data!$JQ$30,
ISNUMBER(SEARCH( data!$JR$31, P19 )), data!$JQ$31,
ISNUMBER(SEARCH( data!$JR$32, P19 )), data!$JQ$32,
ISNUMBER(SEARCH( data!$JR$33, P19 )), data!$JQ$33,
ISNUMBER(SEARCH( data!$JR$34, P19 )), data!$JQ$34,
ISNUMBER(SEARCH( data!$JR$35, P19 )), data!$JQ$35,
ISNUMBER(SEARCH( data!$JR$36, P19 )), data!$JQ$36,
ISNUMBER(SEARCH( data!$JR$37, P19 )), data!$JQ$37,
ISNUMBER(SEARCH( data!$JR$38, P19 )), data!$JQ$38,
ISNUMBER(SEARCH( data!$JR$39, P19 )), data!$JQ$39,
ISNUMBER(SEARCH( data!$JR$40, P19 )), data!$JQ$40,
ISNUMBER(SEARCH( data!$JR$41, P19 )), data!$JQ$41,
ISNUMBER(SEARCH( data!$JR$42, P19 )), data!$JQ$42,
ISNUMBER(SEARCH( data!$JR$43, P19 )), data!$JQ$43,
ISNUMBER(SEARCH( data!$JR$44, P19 )), data!$JQ$44,
ISNUMBER(SEARCH( data!$JR$45, P19 )), data!$JQ$45,
ISNUMBER(SEARCH( data!$JR$46, P19 )), data!$JQ$46,
ISNUMBER(SEARCH( data!$JR$47, P19 )), data!$JQ$47,
ISNUMBER(SEARCH( data!$JR$48, P19 )), data!$JQ$48,
ISNUMBER(SEARCH( data!$JR$49, P19 )), data!$JQ$49,
ISNUMBER(SEARCH( data!$JR$50, P19 )), data!$JQ$50,
ISNUMBER(SEARCH( data!$JR$51, P19 )), data!$JQ$51,
ISNUMBER(SEARCH( data!$JR$52, P19 )), data!$JQ$52,
ISNUMBER(SEARCH( data!$JR$53, P19 )), data!$JQ$53,
ISNUMBER(SEARCH( data!$JR$54, P19 )), data!$JQ$54,
ISNUMBER(SEARCH( data!$JR$55, P19 )), data!$JQ$55,
ISNUMBER(SEARCH( data!$JR$56, P19 )), data!$JQ$56,
ISNUMBER(SEARCH( data!$JR$57, P19 )), data!$JQ$57,
ISNUMBER(SEARCH( data!$JR$58, P19 )), data!$JQ$58,
ISNUMBER(SEARCH( data!$JR$59, P19 )), data!$JQ$59,
ISNUMBER(SEARCH( data!$JR$60, P19 )), data!$JQ$60,
ISNUMBER(SEARCH( data!$JR$61, P19 )), data!$JQ$61,
ISNUMBER(SEARCH( data!$JR$62, P19 )), data!$JQ$62,
ISNUMBER(SEARCH( data!$JR$63, P19 )), data!$JQ$63,
ISNUMBER(SEARCH( data!$JR$64, P19 )), data!$JQ$64,
ISNUMBER(SEARCH( data!$JR$65, P19 )), data!$JQ$65,
ISNUMBER(SEARCH( data!$JR$66, P19 )), data!$JQ$66,
ISNUMBER(SEARCH( data!$JR$67, P19 )), data!$JQ$67,
ISNUMBER(SEARCH( data!$JR$68, P19 )), data!$JQ$68,
ISNUMBER(SEARCH( data!$JR$69, P19 )), data!$JQ$69,
ISNUMBER(SEARCH( data!$JR$70, P19 )), data!$JQ$70,
ISNUMBER(SEARCH( data!$JR$71, P19 )), data!$JQ$71,
TRUE,data!$JQ$72))</f>
        <v>🞅</v>
      </c>
      <c r="S17" s="4523"/>
      <c r="T17" s="4523"/>
      <c r="U17" s="4609" t="s">
        <v>68</v>
      </c>
      <c r="V17" s="4610"/>
      <c r="W17" s="622"/>
      <c r="X17" s="737"/>
      <c r="Y17" s="17"/>
      <c r="Z17" s="605"/>
      <c r="AA17" s="701"/>
      <c r="AB17" s="2958">
        <f>IF($AV$19="",0.5,$AV$19)</f>
        <v>0.5</v>
      </c>
      <c r="AC17" s="21"/>
      <c r="AD17" s="21"/>
      <c r="AE17" s="714"/>
      <c r="AF17" s="714"/>
      <c r="AG17" s="720"/>
      <c r="AH17" s="738"/>
      <c r="AI17" s="738"/>
      <c r="AJ17" s="738"/>
      <c r="AK17" s="738"/>
      <c r="AL17" s="738"/>
      <c r="AM17" s="738"/>
      <c r="AN17" s="738"/>
      <c r="AO17" s="738"/>
      <c r="AP17" s="738"/>
      <c r="AQ17" s="738"/>
      <c r="AR17" s="738"/>
      <c r="AS17" s="738"/>
      <c r="AT17" s="738"/>
      <c r="AU17" s="720"/>
      <c r="AV17" s="714"/>
      <c r="AW17" s="721"/>
      <c r="AX17" s="716"/>
      <c r="AY17" s="21"/>
      <c r="AZ17" s="21"/>
      <c r="BA17" s="705"/>
      <c r="BB17" s="17"/>
      <c r="BC17" s="17"/>
      <c r="BD17" s="734"/>
      <c r="BE17" s="622"/>
      <c r="BF17" s="4613" t="s">
        <v>68</v>
      </c>
      <c r="BG17" s="4609"/>
      <c r="BH17" s="4523" t="str">
        <f>IF(ISBLANK(BF19),data!$JO$72,_xlfn.IFS(
ISNUMBER(SEARCH( data!$JP$23, BF19 )), data!$JO$23,
ISNUMBER(SEARCH( data!$JP$24, BF19 )), data!$JO$24,
ISNUMBER(SEARCH( data!$JP$25, BF19 )), data!$JO$25,
ISNUMBER(SEARCH( data!$JP$26, BF19 )), data!$JO$26,
ISNUMBER(SEARCH( data!$JP$27, BF19 )), data!$JO$27,
ISNUMBER(SEARCH( data!$JP$28, BF19 )), data!$JO$28,
ISNUMBER(SEARCH( data!$JP$29, BF19 )), data!$JO$29,
ISNUMBER(SEARCH( data!$JP$30, BF19 )), data!$JO$30,
ISNUMBER(SEARCH( data!$JP$31, BF19 )), data!$JO$31,
ISNUMBER(SEARCH( data!$JP$32, BF19 )), data!$JO$32,
ISNUMBER(SEARCH( data!$JP$33, BF19 )), data!$JO$33,
ISNUMBER(SEARCH( data!$JP$34, BF19 )), data!$JO$34,
ISNUMBER(SEARCH( data!$JP$35, BF19 )), data!$JO$35,
ISNUMBER(SEARCH( data!$JP$36, BF19 )), data!$JO$36,
ISNUMBER(SEARCH( data!$JP$37, BF19 )), data!$JO$37,
ISNUMBER(SEARCH( data!$JP$38, BF19 )), data!$JO$38,
ISNUMBER(SEARCH( data!$JP$39, BF19 )), data!$JO$39,
ISNUMBER(SEARCH( data!$JP$40, BF19 )), data!$JO$40,
ISNUMBER(SEARCH( data!$JP$41, BF19 )), data!$JO$41,
ISNUMBER(SEARCH( data!$JP$42, BF19 )), data!$JO$42,
ISNUMBER(SEARCH( data!$JP$43, BF19 )), data!$JO$43,
ISNUMBER(SEARCH( data!$JP$44, BF19 )), data!$JO$44,
ISNUMBER(SEARCH( data!$JP$45, BF19 )), data!$JO$45,
ISNUMBER(SEARCH( data!$JP$46, BF19 )), data!$JO$46,
ISNUMBER(SEARCH( data!$JP$47, BF19 )), data!$JO$47,
ISNUMBER(SEARCH( data!$JP$48, BF19 )), data!$JO$48,
ISNUMBER(SEARCH( data!$JP$49, BF19 )), data!$JO$49,
ISNUMBER(SEARCH( data!$JP$50, BF19 )), data!$JO$50,
ISNUMBER(SEARCH( data!$JP$51, BF19 )), data!$JO$51,
ISNUMBER(SEARCH( data!$JP$52, BF19 )), data!$JO$52,
ISNUMBER(SEARCH( data!$JP$53, BF19 )), data!$JO$53,
ISNUMBER(SEARCH( data!$JP$54, BF19 )), data!$JO$54,
ISNUMBER(SEARCH( data!$JP$55, BF19 )), data!$JO$55,
ISNUMBER(SEARCH( data!$JP$56, BF19 )), data!$JO$56,
ISNUMBER(SEARCH( data!$JP$57, BF19 )), data!$JO$57,
ISNUMBER(SEARCH( data!$JP$58, BF19 )), data!$JO$58,
ISNUMBER(SEARCH( data!$JP$59, BF19 )), data!$JO$59,
ISNUMBER(SEARCH( data!$JP$60, BF19 )), data!$JO$60,
ISNUMBER(SEARCH( data!$JP$61, BF19 )), data!$JO$61,
ISNUMBER(SEARCH( data!$JP$62, BF19 )), data!$JO$62,
ISNUMBER(SEARCH( data!$JP$63, BF19 )), data!$JO$63,
ISNUMBER(SEARCH( data!$JP$64, BF19 )), data!$JO$64,
ISNUMBER(SEARCH( data!$JP$65, BF19 )), data!$JO$65,
ISNUMBER(SEARCH( data!$JP$66, BF19 )), data!$JO$66,
ISNUMBER(SEARCH( data!$JP$67, BF19 )), data!$JO$67,
ISNUMBER(SEARCH( data!$JP$68, BF19 )), data!$JO$68,
ISNUMBER(SEARCH( data!$JP$69, BF19 )), data!$JO$69,
ISNUMBER(SEARCH( data!$JP$70, BF19 )), data!$JO$70,
ISNUMBER(SEARCH( data!$JP$71, BF19 )), data!$JO$71,
ISNUMBER(SEARCH( data!$JR$23, BF19 )), data!$JQ$23,
ISNUMBER(SEARCH( data!$JR$24, BF19 )), data!$JQ$24,
ISNUMBER(SEARCH( data!$JR$25, BF19 )), data!$JQ$25,
ISNUMBER(SEARCH( data!$JR$26, BF19 )), data!$JQ$26,
ISNUMBER(SEARCH( data!$JR$27, BF19 )), data!$JQ$27,
ISNUMBER(SEARCH( data!$JR$28, BF19 )), data!$JQ$28,
ISNUMBER(SEARCH( data!$JR$29, BF19 )), data!$JQ$29,
ISNUMBER(SEARCH( data!$JR$30, BF19 )), data!$JQ$30,
ISNUMBER(SEARCH( data!$JR$31, BF19 )), data!$JQ$31,
ISNUMBER(SEARCH( data!$JR$32, BF19 )), data!$JQ$32,
ISNUMBER(SEARCH( data!$JR$33, BF19 )), data!$JQ$33,
ISNUMBER(SEARCH( data!$JR$34, BF19 )), data!$JQ$34,
ISNUMBER(SEARCH( data!$JR$35, BF19 )), data!$JQ$35,
ISNUMBER(SEARCH( data!$JR$36, BF19 )), data!$JQ$36,
ISNUMBER(SEARCH( data!$JR$37, BF19 )), data!$JQ$37,
ISNUMBER(SEARCH( data!$JR$38, BF19 )), data!$JQ$38,
ISNUMBER(SEARCH( data!$JR$39, BF19 )), data!$JQ$39,
ISNUMBER(SEARCH( data!$JR$40, BF19 )), data!$JQ$40,
ISNUMBER(SEARCH( data!$JR$41, BF19 )), data!$JQ$41,
ISNUMBER(SEARCH( data!$JR$42, BF19 )), data!$JQ$42,
ISNUMBER(SEARCH( data!$JR$43, BF19 )), data!$JQ$43,
ISNUMBER(SEARCH( data!$JR$44, BF19 )), data!$JQ$44,
ISNUMBER(SEARCH( data!$JR$45, BF19 )), data!$JQ$45,
ISNUMBER(SEARCH( data!$JR$46, BF19 )), data!$JQ$46,
ISNUMBER(SEARCH( data!$JR$47, BF19 )), data!$JQ$47,
ISNUMBER(SEARCH( data!$JR$48, BF19 )), data!$JQ$48,
ISNUMBER(SEARCH( data!$JR$49, BF19 )), data!$JQ$49,
ISNUMBER(SEARCH( data!$JR$50, BF19 )), data!$JQ$50,
ISNUMBER(SEARCH( data!$JR$51, BF19 )), data!$JQ$51,
ISNUMBER(SEARCH( data!$JR$52, BF19 )), data!$JQ$52,
ISNUMBER(SEARCH( data!$JR$53, BF19 )), data!$JQ$53,
ISNUMBER(SEARCH( data!$JR$54, BF19 )), data!$JQ$54,
ISNUMBER(SEARCH( data!$JR$55, BF19 )), data!$JQ$55,
ISNUMBER(SEARCH( data!$JR$56, BF19 )), data!$JQ$56,
ISNUMBER(SEARCH( data!$JR$57, BF19 )), data!$JQ$57,
ISNUMBER(SEARCH( data!$JR$58, BF19 )), data!$JQ$58,
ISNUMBER(SEARCH( data!$JR$59, BF19 )), data!$JQ$59,
ISNUMBER(SEARCH( data!$JR$60, BF19 )), data!$JQ$60,
ISNUMBER(SEARCH( data!$JR$61, BF19 )), data!$JQ$61,
ISNUMBER(SEARCH( data!$JR$62, BF19 )), data!$JQ$62,
ISNUMBER(SEARCH( data!$JR$63, BF19 )), data!$JQ$63,
ISNUMBER(SEARCH( data!$JR$64, BF19 )), data!$JQ$64,
ISNUMBER(SEARCH( data!$JR$65, BF19 )), data!$JQ$65,
ISNUMBER(SEARCH( data!$JR$66, BF19 )), data!$JQ$66,
ISNUMBER(SEARCH( data!$JR$67, BF19 )), data!$JQ$67,
ISNUMBER(SEARCH( data!$JR$68, BF19 )), data!$JQ$68,
ISNUMBER(SEARCH( data!$JR$69, BF19 )), data!$JQ$69,
ISNUMBER(SEARCH( data!$JR$70, BF19 )), data!$JQ$70,
ISNUMBER(SEARCH( data!$JR$71, BF19 )), data!$JQ$71,
TRUE,data!$JQ$72))</f>
        <v>🞅</v>
      </c>
      <c r="BI17" s="4523"/>
      <c r="BJ17" s="4523"/>
      <c r="BK17" s="4609" t="s">
        <v>68</v>
      </c>
      <c r="BL17" s="4610"/>
      <c r="BM17" s="622"/>
      <c r="BN17" s="622"/>
      <c r="BO17" s="4613" t="s">
        <v>68</v>
      </c>
      <c r="BP17" s="4609"/>
      <c r="BQ17" s="4523" t="str">
        <f>IF(ISBLANK(BO19),data!$JO$72,_xlfn.IFS(
ISNUMBER(SEARCH( data!$JP$23, BO19 )), data!$JO$23,
ISNUMBER(SEARCH( data!$JP$24, BO19 )), data!$JO$24,
ISNUMBER(SEARCH( data!$JP$25, BO19 )), data!$JO$25,
ISNUMBER(SEARCH( data!$JP$26, BO19 )), data!$JO$26,
ISNUMBER(SEARCH( data!$JP$27, BO19 )), data!$JO$27,
ISNUMBER(SEARCH( data!$JP$28, BO19 )), data!$JO$28,
ISNUMBER(SEARCH( data!$JP$29, BO19 )), data!$JO$29,
ISNUMBER(SEARCH( data!$JP$30, BO19 )), data!$JO$30,
ISNUMBER(SEARCH( data!$JP$31, BO19 )), data!$JO$31,
ISNUMBER(SEARCH( data!$JP$32, BO19 )), data!$JO$32,
ISNUMBER(SEARCH( data!$JP$33, BO19 )), data!$JO$33,
ISNUMBER(SEARCH( data!$JP$34, BO19 )), data!$JO$34,
ISNUMBER(SEARCH( data!$JP$35, BO19 )), data!$JO$35,
ISNUMBER(SEARCH( data!$JP$36, BO19 )), data!$JO$36,
ISNUMBER(SEARCH( data!$JP$37, BO19 )), data!$JO$37,
ISNUMBER(SEARCH( data!$JP$38, BO19 )), data!$JO$38,
ISNUMBER(SEARCH( data!$JP$39, BO19 )), data!$JO$39,
ISNUMBER(SEARCH( data!$JP$40, BO19 )), data!$JO$40,
ISNUMBER(SEARCH( data!$JP$41, BO19 )), data!$JO$41,
ISNUMBER(SEARCH( data!$JP$42, BO19 )), data!$JO$42,
ISNUMBER(SEARCH( data!$JP$43, BO19 )), data!$JO$43,
ISNUMBER(SEARCH( data!$JP$44, BO19 )), data!$JO$44,
ISNUMBER(SEARCH( data!$JP$45, BO19 )), data!$JO$45,
ISNUMBER(SEARCH( data!$JP$46, BO19 )), data!$JO$46,
ISNUMBER(SEARCH( data!$JP$47, BO19 )), data!$JO$47,
ISNUMBER(SEARCH( data!$JP$48, BO19 )), data!$JO$48,
ISNUMBER(SEARCH( data!$JP$49, BO19 )), data!$JO$49,
ISNUMBER(SEARCH( data!$JP$50, BO19 )), data!$JO$50,
ISNUMBER(SEARCH( data!$JP$51, BO19 )), data!$JO$51,
ISNUMBER(SEARCH( data!$JP$52, BO19 )), data!$JO$52,
ISNUMBER(SEARCH( data!$JP$53, BO19 )), data!$JO$53,
ISNUMBER(SEARCH( data!$JP$54, BO19 )), data!$JO$54,
ISNUMBER(SEARCH( data!$JP$55, BO19 )), data!$JO$55,
ISNUMBER(SEARCH( data!$JP$56, BO19 )), data!$JO$56,
ISNUMBER(SEARCH( data!$JP$57, BO19 )), data!$JO$57,
ISNUMBER(SEARCH( data!$JP$58, BO19 )), data!$JO$58,
ISNUMBER(SEARCH( data!$JP$59, BO19 )), data!$JO$59,
ISNUMBER(SEARCH( data!$JP$60, BO19 )), data!$JO$60,
ISNUMBER(SEARCH( data!$JP$61, BO19 )), data!$JO$61,
ISNUMBER(SEARCH( data!$JP$62, BO19 )), data!$JO$62,
ISNUMBER(SEARCH( data!$JP$63, BO19 )), data!$JO$63,
ISNUMBER(SEARCH( data!$JP$64, BO19 )), data!$JO$64,
ISNUMBER(SEARCH( data!$JP$65, BO19 )), data!$JO$65,
ISNUMBER(SEARCH( data!$JP$66, BO19 )), data!$JO$66,
ISNUMBER(SEARCH( data!$JP$67, BO19 )), data!$JO$67,
ISNUMBER(SEARCH( data!$JP$68, BO19 )), data!$JO$68,
ISNUMBER(SEARCH( data!$JP$69, BO19 )), data!$JO$69,
ISNUMBER(SEARCH( data!$JP$70, BO19 )), data!$JO$70,
ISNUMBER(SEARCH( data!$JP$71, BO19 )), data!$JO$71,
ISNUMBER(SEARCH( data!$JR$23, BO19 )), data!$JQ$23,
ISNUMBER(SEARCH( data!$JR$24, BO19 )), data!$JQ$24,
ISNUMBER(SEARCH( data!$JR$25, BO19 )), data!$JQ$25,
ISNUMBER(SEARCH( data!$JR$26, BO19 )), data!$JQ$26,
ISNUMBER(SEARCH( data!$JR$27, BO19 )), data!$JQ$27,
ISNUMBER(SEARCH( data!$JR$28, BO19 )), data!$JQ$28,
ISNUMBER(SEARCH( data!$JR$29, BO19 )), data!$JQ$29,
ISNUMBER(SEARCH( data!$JR$30, BO19 )), data!$JQ$30,
ISNUMBER(SEARCH( data!$JR$31, BO19 )), data!$JQ$31,
ISNUMBER(SEARCH( data!$JR$32, BO19 )), data!$JQ$32,
ISNUMBER(SEARCH( data!$JR$33, BO19 )), data!$JQ$33,
ISNUMBER(SEARCH( data!$JR$34, BO19 )), data!$JQ$34,
ISNUMBER(SEARCH( data!$JR$35, BO19 )), data!$JQ$35,
ISNUMBER(SEARCH( data!$JR$36, BO19 )), data!$JQ$36,
ISNUMBER(SEARCH( data!$JR$37, BO19 )), data!$JQ$37,
ISNUMBER(SEARCH( data!$JR$38, BO19 )), data!$JQ$38,
ISNUMBER(SEARCH( data!$JR$39, BO19 )), data!$JQ$39,
ISNUMBER(SEARCH( data!$JR$40, BO19 )), data!$JQ$40,
ISNUMBER(SEARCH( data!$JR$41, BO19 )), data!$JQ$41,
ISNUMBER(SEARCH( data!$JR$42, BO19 )), data!$JQ$42,
ISNUMBER(SEARCH( data!$JR$43, BO19 )), data!$JQ$43,
ISNUMBER(SEARCH( data!$JR$44, BO19 )), data!$JQ$44,
ISNUMBER(SEARCH( data!$JR$45, BO19 )), data!$JQ$45,
ISNUMBER(SEARCH( data!$JR$46, BO19 )), data!$JQ$46,
ISNUMBER(SEARCH( data!$JR$47, BO19 )), data!$JQ$47,
ISNUMBER(SEARCH( data!$JR$48, BO19 )), data!$JQ$48,
ISNUMBER(SEARCH( data!$JR$49, BO19 )), data!$JQ$49,
ISNUMBER(SEARCH( data!$JR$50, BO19 )), data!$JQ$50,
ISNUMBER(SEARCH( data!$JR$51, BO19 )), data!$JQ$51,
ISNUMBER(SEARCH( data!$JR$52, BO19 )), data!$JQ$52,
ISNUMBER(SEARCH( data!$JR$53, BO19 )), data!$JQ$53,
ISNUMBER(SEARCH( data!$JR$54, BO19 )), data!$JQ$54,
ISNUMBER(SEARCH( data!$JR$55, BO19 )), data!$JQ$55,
ISNUMBER(SEARCH( data!$JR$56, BO19 )), data!$JQ$56,
ISNUMBER(SEARCH( data!$JR$57, BO19 )), data!$JQ$57,
ISNUMBER(SEARCH( data!$JR$58, BO19 )), data!$JQ$58,
ISNUMBER(SEARCH( data!$JR$59, BO19 )), data!$JQ$59,
ISNUMBER(SEARCH( data!$JR$60, BO19 )), data!$JQ$60,
ISNUMBER(SEARCH( data!$JR$61, BO19 )), data!$JQ$61,
ISNUMBER(SEARCH( data!$JR$62, BO19 )), data!$JQ$62,
ISNUMBER(SEARCH( data!$JR$63, BO19 )), data!$JQ$63,
ISNUMBER(SEARCH( data!$JR$64, BO19 )), data!$JQ$64,
ISNUMBER(SEARCH( data!$JR$65, BO19 )), data!$JQ$65,
ISNUMBER(SEARCH( data!$JR$66, BO19 )), data!$JQ$66,
ISNUMBER(SEARCH( data!$JR$67, BO19 )), data!$JQ$67,
ISNUMBER(SEARCH( data!$JR$68, BO19 )), data!$JQ$68,
ISNUMBER(SEARCH( data!$JR$69, BO19 )), data!$JQ$69,
ISNUMBER(SEARCH( data!$JR$70, BO19 )), data!$JQ$70,
ISNUMBER(SEARCH( data!$JR$71, BO19 )), data!$JQ$71,
TRUE,data!$JQ$72))</f>
        <v>🞅</v>
      </c>
      <c r="BR17" s="4523"/>
      <c r="BS17" s="4523"/>
      <c r="BT17" s="4609" t="s">
        <v>68</v>
      </c>
      <c r="BU17" s="4610"/>
      <c r="BV17" s="622"/>
      <c r="BW17" s="737"/>
      <c r="BX17" s="17"/>
      <c r="BY17" s="17"/>
      <c r="BZ17" s="604"/>
      <c r="CA17" s="605"/>
      <c r="CC17" s="2366"/>
      <c r="CD17" s="2366"/>
      <c r="CE17" s="2367"/>
      <c r="CF17" s="2366"/>
      <c r="CG17" s="2366"/>
      <c r="CH17" s="2366"/>
      <c r="CI17" s="2368"/>
      <c r="CJ17" s="2369"/>
      <c r="CK17" s="2369"/>
      <c r="CL17" s="2369"/>
      <c r="CM17" s="2369"/>
      <c r="CN17" s="2369"/>
      <c r="CO17" s="2369"/>
      <c r="CP17" s="2369"/>
      <c r="CQ17" s="2369"/>
      <c r="CV17" s="2438">
        <v>0.75</v>
      </c>
    </row>
    <row r="18" spans="1:100" ht="17.100000000000001" customHeight="1" x14ac:dyDescent="0.2">
      <c r="A18" s="17"/>
      <c r="B18" s="604"/>
      <c r="C18" s="17"/>
      <c r="D18" s="17"/>
      <c r="E18" s="734"/>
      <c r="F18" s="622"/>
      <c r="G18" s="4614"/>
      <c r="H18" s="4611"/>
      <c r="I18" s="4524"/>
      <c r="J18" s="4524"/>
      <c r="K18" s="4524"/>
      <c r="L18" s="4611"/>
      <c r="M18" s="4612"/>
      <c r="N18" s="622"/>
      <c r="O18" s="622"/>
      <c r="P18" s="4614"/>
      <c r="Q18" s="4611"/>
      <c r="R18" s="4524"/>
      <c r="S18" s="4524"/>
      <c r="T18" s="4524"/>
      <c r="U18" s="4611"/>
      <c r="V18" s="4612"/>
      <c r="W18" s="622"/>
      <c r="X18" s="737"/>
      <c r="Y18" s="17"/>
      <c r="Z18" s="605"/>
      <c r="AA18" s="701"/>
      <c r="AB18" s="4603" t="s">
        <v>1825</v>
      </c>
      <c r="AC18" s="4603"/>
      <c r="AD18" s="4603"/>
      <c r="AE18" s="4603"/>
      <c r="AF18" s="4603"/>
      <c r="AG18" s="4633" t="str">
        <f>_xlfn.IFS(PLANS!$F$3="JANUARY","J A N U A R Y   L O O T",PLANS!$F$3="FEBRUARY","F E B R U A R Y   L O O T",PLANS!$F$3="MARCH","M A R C H   L O O T",PLANS!$F$3="APRIL","A P R I L   L O O T",PLANS!$F$3="MAY","M A Y   L O O T",PLANS!$F$3="JUNE","J U N E   L O O T",PLANS!$F$3="JULY","J U L Y   L O O T",PLANS!$F$3="AUGUST","A U G U S T   L O O T",PLANS!$F$3="SEPTEMBER","S E P T E M B E R   L O O T",PLANS!$F$3="OCTOBER","O C T O B E R   L O O T",PLANS!$F$3="NOVEMBER","N O V E M B E R   L O O T",PLANS!$F$3="DECEMBER","D E C E M B E R   L O O T",TRUE,"M O N T H   L O O T")</f>
        <v>M O N T H   L O O T</v>
      </c>
      <c r="AH18" s="4633"/>
      <c r="AI18" s="4633"/>
      <c r="AJ18" s="4633"/>
      <c r="AK18" s="4633"/>
      <c r="AL18" s="4633"/>
      <c r="AM18" s="4633"/>
      <c r="AN18" s="4633"/>
      <c r="AO18" s="4633"/>
      <c r="AP18" s="4633"/>
      <c r="AQ18" s="4633"/>
      <c r="AR18" s="4633"/>
      <c r="AS18" s="4633"/>
      <c r="AT18" s="4633"/>
      <c r="AU18" s="4633"/>
      <c r="AV18" s="4648" t="s">
        <v>7</v>
      </c>
      <c r="AW18" s="4648"/>
      <c r="AX18" s="4648"/>
      <c r="AY18" s="4648"/>
      <c r="AZ18" s="4648"/>
      <c r="BA18" s="705"/>
      <c r="BB18" s="17"/>
      <c r="BC18" s="17"/>
      <c r="BD18" s="734"/>
      <c r="BE18" s="622"/>
      <c r="BF18" s="4614"/>
      <c r="BG18" s="4611"/>
      <c r="BH18" s="4524"/>
      <c r="BI18" s="4524"/>
      <c r="BJ18" s="4524"/>
      <c r="BK18" s="4611"/>
      <c r="BL18" s="4612"/>
      <c r="BM18" s="622"/>
      <c r="BN18" s="622"/>
      <c r="BO18" s="4614"/>
      <c r="BP18" s="4611"/>
      <c r="BQ18" s="4524"/>
      <c r="BR18" s="4524"/>
      <c r="BS18" s="4524"/>
      <c r="BT18" s="4611"/>
      <c r="BU18" s="4612"/>
      <c r="BV18" s="622"/>
      <c r="BW18" s="737"/>
      <c r="BX18" s="17"/>
      <c r="BY18" s="17"/>
      <c r="BZ18" s="604"/>
      <c r="CA18" s="605"/>
      <c r="CC18" s="2369"/>
      <c r="CD18" s="2369"/>
      <c r="CE18" s="2369"/>
      <c r="CF18" s="2369"/>
      <c r="CG18" s="2369"/>
      <c r="CH18" s="2369"/>
      <c r="CI18" s="2369"/>
      <c r="CJ18" s="2369"/>
      <c r="CK18" s="2369"/>
      <c r="CL18" s="2369"/>
      <c r="CM18" s="2369"/>
      <c r="CN18" s="2369"/>
      <c r="CO18" s="2369"/>
      <c r="CP18" s="2369"/>
      <c r="CQ18" s="2369"/>
      <c r="CV18" s="2438">
        <v>0.8</v>
      </c>
    </row>
    <row r="19" spans="1:100" ht="17.100000000000001" customHeight="1" x14ac:dyDescent="0.2">
      <c r="A19" s="17"/>
      <c r="B19" s="604"/>
      <c r="C19" s="17"/>
      <c r="D19" s="17"/>
      <c r="E19" s="734"/>
      <c r="F19" s="622"/>
      <c r="G19" s="4527"/>
      <c r="H19" s="4528"/>
      <c r="I19" s="4528"/>
      <c r="J19" s="4528"/>
      <c r="K19" s="4528"/>
      <c r="L19" s="4528"/>
      <c r="M19" s="4529"/>
      <c r="N19" s="622"/>
      <c r="O19" s="622"/>
      <c r="P19" s="4527"/>
      <c r="Q19" s="4528"/>
      <c r="R19" s="4528"/>
      <c r="S19" s="4528"/>
      <c r="T19" s="4528"/>
      <c r="U19" s="4528"/>
      <c r="V19" s="4529"/>
      <c r="W19" s="622"/>
      <c r="X19" s="737"/>
      <c r="Y19" s="17"/>
      <c r="Z19" s="605"/>
      <c r="AA19" s="2956"/>
      <c r="AB19" s="4604" t="s">
        <v>1240</v>
      </c>
      <c r="AC19" s="4604"/>
      <c r="AD19" s="4604"/>
      <c r="AE19" s="4604"/>
      <c r="AF19" s="4604"/>
      <c r="AG19" s="4632">
        <f>SUM(CC5,AM8)</f>
        <v>0</v>
      </c>
      <c r="AH19" s="4632"/>
      <c r="AI19" s="4632"/>
      <c r="AJ19" s="4632"/>
      <c r="AK19" s="4632"/>
      <c r="AL19" s="4632"/>
      <c r="AM19" s="4632"/>
      <c r="AN19" s="4632"/>
      <c r="AO19" s="4632"/>
      <c r="AP19" s="4632"/>
      <c r="AQ19" s="4632"/>
      <c r="AR19" s="4632"/>
      <c r="AS19" s="4632"/>
      <c r="AT19" s="4632"/>
      <c r="AU19" s="4632"/>
      <c r="AV19" s="4605">
        <v>0.5</v>
      </c>
      <c r="AW19" s="4605"/>
      <c r="AX19" s="4605"/>
      <c r="AY19" s="4605"/>
      <c r="AZ19" s="4605"/>
      <c r="BA19" s="2957"/>
      <c r="BB19" s="17"/>
      <c r="BC19" s="17"/>
      <c r="BD19" s="734"/>
      <c r="BE19" s="622"/>
      <c r="BF19" s="4527"/>
      <c r="BG19" s="4528"/>
      <c r="BH19" s="4528"/>
      <c r="BI19" s="4528"/>
      <c r="BJ19" s="4528"/>
      <c r="BK19" s="4528"/>
      <c r="BL19" s="4529"/>
      <c r="BM19" s="622"/>
      <c r="BN19" s="622"/>
      <c r="BO19" s="4527"/>
      <c r="BP19" s="4528"/>
      <c r="BQ19" s="4528"/>
      <c r="BR19" s="4528"/>
      <c r="BS19" s="4528"/>
      <c r="BT19" s="4528"/>
      <c r="BU19" s="4529"/>
      <c r="BV19" s="622"/>
      <c r="BW19" s="737"/>
      <c r="BX19" s="17"/>
      <c r="BY19" s="17"/>
      <c r="BZ19" s="604"/>
      <c r="CA19" s="605"/>
      <c r="CC19" s="4652" t="s">
        <v>1461</v>
      </c>
      <c r="CD19" s="4652"/>
      <c r="CE19" s="4652"/>
      <c r="CF19" s="4652" t="s">
        <v>1462</v>
      </c>
      <c r="CG19" s="4652"/>
      <c r="CH19" s="4652"/>
      <c r="CI19" s="4654" t="s">
        <v>1464</v>
      </c>
      <c r="CJ19" s="4654"/>
      <c r="CK19" s="4654"/>
      <c r="CL19" s="4654" t="s">
        <v>1463</v>
      </c>
      <c r="CM19" s="4654"/>
      <c r="CN19" s="4654"/>
      <c r="CO19" s="4656" t="s">
        <v>1469</v>
      </c>
      <c r="CP19" s="4656"/>
      <c r="CQ19" s="4656"/>
      <c r="CR19" s="2370"/>
      <c r="CS19" s="2370"/>
      <c r="CT19" s="2370"/>
      <c r="CV19" s="2438">
        <v>0.85</v>
      </c>
    </row>
    <row r="20" spans="1:100" ht="17.100000000000001" customHeight="1" thickBot="1" x14ac:dyDescent="0.25">
      <c r="A20" s="17"/>
      <c r="B20" s="604"/>
      <c r="C20" s="17"/>
      <c r="D20" s="17"/>
      <c r="E20" s="734"/>
      <c r="F20" s="622"/>
      <c r="G20" s="4530"/>
      <c r="H20" s="4531"/>
      <c r="I20" s="4531"/>
      <c r="J20" s="4531"/>
      <c r="K20" s="4531"/>
      <c r="L20" s="4531"/>
      <c r="M20" s="4532"/>
      <c r="N20" s="622"/>
      <c r="O20" s="622"/>
      <c r="P20" s="4530"/>
      <c r="Q20" s="4531"/>
      <c r="R20" s="4531"/>
      <c r="S20" s="4531"/>
      <c r="T20" s="4531"/>
      <c r="U20" s="4531"/>
      <c r="V20" s="4532"/>
      <c r="W20" s="622"/>
      <c r="X20" s="737"/>
      <c r="Y20" s="17"/>
      <c r="Z20" s="605"/>
      <c r="AA20" s="744"/>
      <c r="AB20" s="745"/>
      <c r="AC20" s="745"/>
      <c r="AD20" s="745"/>
      <c r="AE20" s="745"/>
      <c r="AF20" s="745"/>
      <c r="AG20" s="746"/>
      <c r="AH20" s="746"/>
      <c r="AI20" s="746"/>
      <c r="AJ20" s="746"/>
      <c r="AK20" s="746"/>
      <c r="AL20" s="746"/>
      <c r="AM20" s="4647">
        <f>ROUND(SUM($AE$4:$AM$4,$AO$4:$AW$4,$AB$6:$AJ$6,$AL$6:$AP$6,$AR$6:$AZ$6)*$AB$17,0)*-1</f>
        <v>0</v>
      </c>
      <c r="AN20" s="4647"/>
      <c r="AO20" s="4647"/>
      <c r="AP20" s="746"/>
      <c r="AQ20" s="746"/>
      <c r="AR20" s="746"/>
      <c r="AS20" s="746"/>
      <c r="AT20" s="746"/>
      <c r="AU20" s="746"/>
      <c r="AV20" s="745"/>
      <c r="AW20" s="747"/>
      <c r="AX20" s="745"/>
      <c r="AY20" s="745"/>
      <c r="AZ20" s="745"/>
      <c r="BA20" s="748"/>
      <c r="BB20" s="17"/>
      <c r="BC20" s="17"/>
      <c r="BD20" s="734"/>
      <c r="BE20" s="622"/>
      <c r="BF20" s="4530"/>
      <c r="BG20" s="4531"/>
      <c r="BH20" s="4531"/>
      <c r="BI20" s="4531"/>
      <c r="BJ20" s="4531"/>
      <c r="BK20" s="4531"/>
      <c r="BL20" s="4532"/>
      <c r="BM20" s="622"/>
      <c r="BN20" s="622"/>
      <c r="BO20" s="4530"/>
      <c r="BP20" s="4531"/>
      <c r="BQ20" s="4531"/>
      <c r="BR20" s="4531"/>
      <c r="BS20" s="4531"/>
      <c r="BT20" s="4531"/>
      <c r="BU20" s="4532"/>
      <c r="BV20" s="622"/>
      <c r="BW20" s="737"/>
      <c r="BX20" s="17"/>
      <c r="BY20" s="17"/>
      <c r="BZ20" s="604"/>
      <c r="CA20" s="605"/>
      <c r="CC20" s="4653"/>
      <c r="CD20" s="4653"/>
      <c r="CE20" s="4653"/>
      <c r="CF20" s="4653"/>
      <c r="CG20" s="4653"/>
      <c r="CH20" s="4653"/>
      <c r="CI20" s="4655"/>
      <c r="CJ20" s="4655"/>
      <c r="CK20" s="4655"/>
      <c r="CL20" s="4655"/>
      <c r="CM20" s="4655"/>
      <c r="CN20" s="4655"/>
      <c r="CO20" s="4657"/>
      <c r="CP20" s="4657"/>
      <c r="CQ20" s="4657"/>
      <c r="CR20" s="2370"/>
      <c r="CS20" s="2370"/>
      <c r="CT20" s="2370"/>
      <c r="CV20" s="2438">
        <v>0.9</v>
      </c>
    </row>
    <row r="21" spans="1:100" ht="17.100000000000001" customHeight="1" thickTop="1" x14ac:dyDescent="0.2">
      <c r="A21" s="17"/>
      <c r="B21" s="604"/>
      <c r="C21" s="17"/>
      <c r="D21" s="17"/>
      <c r="E21" s="734"/>
      <c r="F21" s="622"/>
      <c r="G21" s="622"/>
      <c r="H21" s="622"/>
      <c r="I21" s="622"/>
      <c r="J21" s="622"/>
      <c r="K21" s="622"/>
      <c r="L21" s="622"/>
      <c r="M21" s="622"/>
      <c r="N21" s="622"/>
      <c r="O21" s="622"/>
      <c r="P21" s="622"/>
      <c r="Q21" s="622"/>
      <c r="R21" s="622"/>
      <c r="S21" s="622"/>
      <c r="T21" s="622"/>
      <c r="U21" s="622"/>
      <c r="V21" s="622"/>
      <c r="W21" s="622"/>
      <c r="X21" s="737"/>
      <c r="Y21" s="749"/>
      <c r="Z21" s="750"/>
      <c r="AA21" s="750"/>
      <c r="AB21" s="750"/>
      <c r="AC21" s="750"/>
      <c r="AD21" s="750"/>
      <c r="AE21" s="750"/>
      <c r="AF21" s="750"/>
      <c r="AG21" s="750"/>
      <c r="AH21" s="750"/>
      <c r="AI21" s="750"/>
      <c r="AJ21" s="750"/>
      <c r="AK21" s="750"/>
      <c r="AL21" s="751"/>
      <c r="AM21" s="752"/>
      <c r="AN21" s="752"/>
      <c r="AO21" s="752"/>
      <c r="AP21" s="752"/>
      <c r="AQ21" s="750"/>
      <c r="AR21" s="750"/>
      <c r="AS21" s="750"/>
      <c r="AT21" s="750"/>
      <c r="AU21" s="750"/>
      <c r="AV21" s="750"/>
      <c r="AW21" s="750"/>
      <c r="AX21" s="750"/>
      <c r="AY21" s="750"/>
      <c r="AZ21" s="750"/>
      <c r="BA21" s="750"/>
      <c r="BB21" s="750"/>
      <c r="BC21" s="753"/>
      <c r="BD21" s="734"/>
      <c r="BE21" s="622"/>
      <c r="BF21" s="622"/>
      <c r="BG21" s="622"/>
      <c r="BH21" s="622"/>
      <c r="BI21" s="622"/>
      <c r="BJ21" s="622"/>
      <c r="BK21" s="622"/>
      <c r="BL21" s="622"/>
      <c r="BM21" s="622"/>
      <c r="BN21" s="622"/>
      <c r="BO21" s="622"/>
      <c r="BP21" s="622"/>
      <c r="BQ21" s="622"/>
      <c r="BR21" s="622"/>
      <c r="BS21" s="622"/>
      <c r="BT21" s="622"/>
      <c r="BU21" s="622"/>
      <c r="BV21" s="622"/>
      <c r="BW21" s="737"/>
      <c r="BX21" s="17"/>
      <c r="BY21" s="17"/>
      <c r="BZ21" s="604"/>
      <c r="CA21" s="605"/>
      <c r="CC21" s="2371"/>
      <c r="CD21" s="2372">
        <f ca="1">ACTIONS!$CH$35</f>
        <v>0</v>
      </c>
      <c r="CE21" s="2373"/>
      <c r="CG21" s="2352">
        <v>1</v>
      </c>
      <c r="CJ21" s="2374">
        <f>AG19</f>
        <v>0</v>
      </c>
      <c r="CK21" s="2375"/>
      <c r="CL21" s="2375"/>
      <c r="CM21" s="2376">
        <f ca="1">ACTIONS!$CH$37</f>
        <v>3</v>
      </c>
      <c r="CO21" s="2369"/>
      <c r="CP21" s="2372" t="str">
        <f ca="1">IF(AND(CM21=0,CD21&gt;CG21),"Y","N")</f>
        <v>N</v>
      </c>
      <c r="CQ21" s="2369"/>
      <c r="CR21" s="2377"/>
      <c r="CS21" s="2370"/>
      <c r="CT21" s="2370"/>
      <c r="CV21" s="2438">
        <v>0.95</v>
      </c>
    </row>
    <row r="22" spans="1:100" ht="17.100000000000001" customHeight="1" thickBot="1" x14ac:dyDescent="0.2">
      <c r="A22" s="17"/>
      <c r="B22" s="604"/>
      <c r="C22" s="17"/>
      <c r="D22" s="17"/>
      <c r="E22" s="734"/>
      <c r="F22" s="622"/>
      <c r="G22" s="622"/>
      <c r="H22" s="622"/>
      <c r="I22" s="622"/>
      <c r="J22" s="622"/>
      <c r="K22" s="622"/>
      <c r="L22" s="622"/>
      <c r="M22" s="622"/>
      <c r="N22" s="622"/>
      <c r="O22" s="622"/>
      <c r="P22" s="622"/>
      <c r="Q22" s="622"/>
      <c r="R22" s="622"/>
      <c r="S22" s="622"/>
      <c r="T22" s="622"/>
      <c r="U22" s="622"/>
      <c r="V22" s="622"/>
      <c r="W22" s="622"/>
      <c r="X22" s="737"/>
      <c r="Y22" s="749"/>
      <c r="Z22" s="750"/>
      <c r="AA22" s="750"/>
      <c r="AB22" s="750"/>
      <c r="AC22" s="750"/>
      <c r="AD22" s="750"/>
      <c r="AE22" s="750"/>
      <c r="AF22" s="750"/>
      <c r="AG22" s="750"/>
      <c r="AH22" s="750"/>
      <c r="AI22" s="750"/>
      <c r="AJ22" s="750"/>
      <c r="AK22" s="750"/>
      <c r="AL22" s="754"/>
      <c r="AM22" s="754"/>
      <c r="AN22" s="754"/>
      <c r="AO22" s="754"/>
      <c r="AP22" s="754"/>
      <c r="AQ22" s="750"/>
      <c r="AR22" s="750"/>
      <c r="AS22" s="750"/>
      <c r="AT22" s="750"/>
      <c r="AU22" s="750"/>
      <c r="AV22" s="750"/>
      <c r="AW22" s="750"/>
      <c r="AX22" s="750"/>
      <c r="AY22" s="750"/>
      <c r="AZ22" s="750"/>
      <c r="BA22" s="750"/>
      <c r="BB22" s="750"/>
      <c r="BC22" s="753"/>
      <c r="BD22" s="734"/>
      <c r="BE22" s="622"/>
      <c r="BF22" s="622"/>
      <c r="BG22" s="622"/>
      <c r="BH22" s="622"/>
      <c r="BI22" s="622"/>
      <c r="BJ22" s="622"/>
      <c r="BK22" s="622"/>
      <c r="BL22" s="622"/>
      <c r="BM22" s="622"/>
      <c r="BN22" s="622"/>
      <c r="BO22" s="622"/>
      <c r="BP22" s="622"/>
      <c r="BQ22" s="622"/>
      <c r="BR22" s="622"/>
      <c r="BS22" s="622"/>
      <c r="BT22" s="622"/>
      <c r="BU22" s="622"/>
      <c r="BV22" s="622"/>
      <c r="BW22" s="737"/>
      <c r="BX22" s="17"/>
      <c r="BY22" s="17"/>
      <c r="BZ22" s="604"/>
      <c r="CA22" s="605"/>
      <c r="CC22" s="2369"/>
      <c r="CD22" s="2378"/>
      <c r="CE22" s="2369"/>
      <c r="CF22" s="2369"/>
      <c r="CG22" s="2369"/>
      <c r="CH22" s="2369"/>
      <c r="CI22" s="2369"/>
      <c r="CJ22" s="2369"/>
      <c r="CK22" s="2369"/>
      <c r="CL22" s="2369"/>
      <c r="CM22" s="2379"/>
      <c r="CN22" s="2369"/>
      <c r="CO22" s="2369"/>
      <c r="CP22" s="2369"/>
      <c r="CQ22" s="2369"/>
      <c r="CV22" s="2438">
        <v>1</v>
      </c>
    </row>
    <row r="23" spans="1:100" ht="17.100000000000001" customHeight="1" thickTop="1" x14ac:dyDescent="0.15">
      <c r="A23" s="17"/>
      <c r="B23" s="604"/>
      <c r="C23" s="17"/>
      <c r="D23" s="17"/>
      <c r="E23" s="734"/>
      <c r="F23" s="622"/>
      <c r="G23" s="4613" t="s">
        <v>68</v>
      </c>
      <c r="H23" s="4609"/>
      <c r="I23" s="4523" t="str">
        <f>IF(ISBLANK(G25),data!$JO$72,_xlfn.IFS(
ISNUMBER(SEARCH( data!$JP$23, G25 )), data!$JO$23,
ISNUMBER(SEARCH( data!$JP$24, G25 )), data!$JO$24,
ISNUMBER(SEARCH( data!$JP$25, G25 )), data!$JO$25,
ISNUMBER(SEARCH( data!$JP$26, G25 )), data!$JO$26,
ISNUMBER(SEARCH( data!$JP$27, G25 )), data!$JO$27,
ISNUMBER(SEARCH( data!$JP$28, G25 )), data!$JO$28,
ISNUMBER(SEARCH( data!$JP$29, G25 )), data!$JO$29,
ISNUMBER(SEARCH( data!$JP$30, G25 )), data!$JO$30,
ISNUMBER(SEARCH( data!$JP$31, G25 )), data!$JO$31,
ISNUMBER(SEARCH( data!$JP$32, G25 )), data!$JO$32,
ISNUMBER(SEARCH( data!$JP$33, G25 )), data!$JO$33,
ISNUMBER(SEARCH( data!$JP$34, G25 )), data!$JO$34,
ISNUMBER(SEARCH( data!$JP$35, G25 )), data!$JO$35,
ISNUMBER(SEARCH( data!$JP$36, G25 )), data!$JO$36,
ISNUMBER(SEARCH( data!$JP$37, G25 )), data!$JO$37,
ISNUMBER(SEARCH( data!$JP$38, G25 )), data!$JO$38,
ISNUMBER(SEARCH( data!$JP$39, G25 )), data!$JO$39,
ISNUMBER(SEARCH( data!$JP$40, G25 )), data!$JO$40,
ISNUMBER(SEARCH( data!$JP$41, G25 )), data!$JO$41,
ISNUMBER(SEARCH( data!$JP$42, G25 )), data!$JO$42,
ISNUMBER(SEARCH( data!$JP$43, G25 )), data!$JO$43,
ISNUMBER(SEARCH( data!$JP$44, G25 )), data!$JO$44,
ISNUMBER(SEARCH( data!$JP$45, G25 )), data!$JO$45,
ISNUMBER(SEARCH( data!$JP$46, G25 )), data!$JO$46,
ISNUMBER(SEARCH( data!$JP$47, G25 )), data!$JO$47,
ISNUMBER(SEARCH( data!$JP$48, G25 )), data!$JO$48,
ISNUMBER(SEARCH( data!$JP$49, G25 )), data!$JO$49,
ISNUMBER(SEARCH( data!$JP$50, G25 )), data!$JO$50,
ISNUMBER(SEARCH( data!$JP$51, G25 )), data!$JO$51,
ISNUMBER(SEARCH( data!$JP$52, G25 )), data!$JO$52,
ISNUMBER(SEARCH( data!$JP$53, G25 )), data!$JO$53,
ISNUMBER(SEARCH( data!$JP$54, G25 )), data!$JO$54,
ISNUMBER(SEARCH( data!$JP$55, G25 )), data!$JO$55,
ISNUMBER(SEARCH( data!$JP$56, G25 )), data!$JO$56,
ISNUMBER(SEARCH( data!$JP$57, G25 )), data!$JO$57,
ISNUMBER(SEARCH( data!$JP$58, G25 )), data!$JO$58,
ISNUMBER(SEARCH( data!$JP$59, G25 )), data!$JO$59,
ISNUMBER(SEARCH( data!$JP$60, G25 )), data!$JO$60,
ISNUMBER(SEARCH( data!$JP$61, G25 )), data!$JO$61,
ISNUMBER(SEARCH( data!$JP$62, G25 )), data!$JO$62,
ISNUMBER(SEARCH( data!$JP$63, G25 )), data!$JO$63,
ISNUMBER(SEARCH( data!$JP$64, G25 )), data!$JO$64,
ISNUMBER(SEARCH( data!$JP$65, G25 )), data!$JO$65,
ISNUMBER(SEARCH( data!$JP$66, G25 )), data!$JO$66,
ISNUMBER(SEARCH( data!$JP$67, G25 )), data!$JO$67,
ISNUMBER(SEARCH( data!$JP$68, G25 )), data!$JO$68,
ISNUMBER(SEARCH( data!$JP$69, G25 )), data!$JO$69,
ISNUMBER(SEARCH( data!$JP$70, G25 )), data!$JO$70,
ISNUMBER(SEARCH( data!$JP$71, G25 )), data!$JO$71,
ISNUMBER(SEARCH( data!$JR$23, G25 )), data!$JQ$23,
ISNUMBER(SEARCH( data!$JR$24, G25 )), data!$JQ$24,
ISNUMBER(SEARCH( data!$JR$25, G25 )), data!$JQ$25,
ISNUMBER(SEARCH( data!$JR$26, G25 )), data!$JQ$26,
ISNUMBER(SEARCH( data!$JR$27, G25 )), data!$JQ$27,
ISNUMBER(SEARCH( data!$JR$28, G25 )), data!$JQ$28,
ISNUMBER(SEARCH( data!$JR$29, G25 )), data!$JQ$29,
ISNUMBER(SEARCH( data!$JR$30, G25 )), data!$JQ$30,
ISNUMBER(SEARCH( data!$JR$31, G25 )), data!$JQ$31,
ISNUMBER(SEARCH( data!$JR$32, G25 )), data!$JQ$32,
ISNUMBER(SEARCH( data!$JR$33, G25 )), data!$JQ$33,
ISNUMBER(SEARCH( data!$JR$34, G25 )), data!$JQ$34,
ISNUMBER(SEARCH( data!$JR$35, G25 )), data!$JQ$35,
ISNUMBER(SEARCH( data!$JR$36, G25 )), data!$JQ$36,
ISNUMBER(SEARCH( data!$JR$37, G25 )), data!$JQ$37,
ISNUMBER(SEARCH( data!$JR$38, G25 )), data!$JQ$38,
ISNUMBER(SEARCH( data!$JR$39, G25 )), data!$JQ$39,
ISNUMBER(SEARCH( data!$JR$40, G25 )), data!$JQ$40,
ISNUMBER(SEARCH( data!$JR$41, G25 )), data!$JQ$41,
ISNUMBER(SEARCH( data!$JR$42, G25 )), data!$JQ$42,
ISNUMBER(SEARCH( data!$JR$43, G25 )), data!$JQ$43,
ISNUMBER(SEARCH( data!$JR$44, G25 )), data!$JQ$44,
ISNUMBER(SEARCH( data!$JR$45, G25 )), data!$JQ$45,
ISNUMBER(SEARCH( data!$JR$46, G25 )), data!$JQ$46,
ISNUMBER(SEARCH( data!$JR$47, G25 )), data!$JQ$47,
ISNUMBER(SEARCH( data!$JR$48, G25 )), data!$JQ$48,
ISNUMBER(SEARCH( data!$JR$49, G25 )), data!$JQ$49,
ISNUMBER(SEARCH( data!$JR$50, G25 )), data!$JQ$50,
ISNUMBER(SEARCH( data!$JR$51, G25 )), data!$JQ$51,
ISNUMBER(SEARCH( data!$JR$52, G25 )), data!$JQ$52,
ISNUMBER(SEARCH( data!$JR$53, G25 )), data!$JQ$53,
ISNUMBER(SEARCH( data!$JR$54, G25 )), data!$JQ$54,
ISNUMBER(SEARCH( data!$JR$55, G25 )), data!$JQ$55,
ISNUMBER(SEARCH( data!$JR$56, G25 )), data!$JQ$56,
ISNUMBER(SEARCH( data!$JR$57, G25 )), data!$JQ$57,
ISNUMBER(SEARCH( data!$JR$58, G25 )), data!$JQ$58,
ISNUMBER(SEARCH( data!$JR$59, G25 )), data!$JQ$59,
ISNUMBER(SEARCH( data!$JR$60, G25 )), data!$JQ$60,
ISNUMBER(SEARCH( data!$JR$61, G25 )), data!$JQ$61,
ISNUMBER(SEARCH( data!$JR$62, G25 )), data!$JQ$62,
ISNUMBER(SEARCH( data!$JR$63, G25 )), data!$JQ$63,
ISNUMBER(SEARCH( data!$JR$64, G25 )), data!$JQ$64,
ISNUMBER(SEARCH( data!$JR$65, G25 )), data!$JQ$65,
ISNUMBER(SEARCH( data!$JR$66, G25 )), data!$JQ$66,
ISNUMBER(SEARCH( data!$JR$67, G25 )), data!$JQ$67,
ISNUMBER(SEARCH( data!$JR$68, G25 )), data!$JQ$68,
ISNUMBER(SEARCH( data!$JR$69, G25 )), data!$JQ$69,
ISNUMBER(SEARCH( data!$JR$70, G25 )), data!$JQ$70,
ISNUMBER(SEARCH( data!$JR$71, G25 )), data!$JQ$71,
TRUE,data!$JQ$72))</f>
        <v>🞅</v>
      </c>
      <c r="J23" s="4523"/>
      <c r="K23" s="4523"/>
      <c r="L23" s="4609" t="s">
        <v>68</v>
      </c>
      <c r="M23" s="4610"/>
      <c r="N23" s="622"/>
      <c r="O23" s="622"/>
      <c r="P23" s="4613" t="s">
        <v>68</v>
      </c>
      <c r="Q23" s="4609"/>
      <c r="R23" s="4523" t="str">
        <f>IF(ISBLANK(P25),data!$JO$72,_xlfn.IFS(
ISNUMBER(SEARCH( data!$JP$23, P25 )), data!$JO$23,
ISNUMBER(SEARCH( data!$JP$24, P25 )), data!$JO$24,
ISNUMBER(SEARCH( data!$JP$25, P25 )), data!$JO$25,
ISNUMBER(SEARCH( data!$JP$26, P25 )), data!$JO$26,
ISNUMBER(SEARCH( data!$JP$27, P25 )), data!$JO$27,
ISNUMBER(SEARCH( data!$JP$28, P25 )), data!$JO$28,
ISNUMBER(SEARCH( data!$JP$29, P25 )), data!$JO$29,
ISNUMBER(SEARCH( data!$JP$30, P25 )), data!$JO$30,
ISNUMBER(SEARCH( data!$JP$31, P25 )), data!$JO$31,
ISNUMBER(SEARCH( data!$JP$32, P25 )), data!$JO$32,
ISNUMBER(SEARCH( data!$JP$33, P25 )), data!$JO$33,
ISNUMBER(SEARCH( data!$JP$34, P25 )), data!$JO$34,
ISNUMBER(SEARCH( data!$JP$35, P25 )), data!$JO$35,
ISNUMBER(SEARCH( data!$JP$36, P25 )), data!$JO$36,
ISNUMBER(SEARCH( data!$JP$37, P25 )), data!$JO$37,
ISNUMBER(SEARCH( data!$JP$38, P25 )), data!$JO$38,
ISNUMBER(SEARCH( data!$JP$39, P25 )), data!$JO$39,
ISNUMBER(SEARCH( data!$JP$40, P25 )), data!$JO$40,
ISNUMBER(SEARCH( data!$JP$41, P25 )), data!$JO$41,
ISNUMBER(SEARCH( data!$JP$42, P25 )), data!$JO$42,
ISNUMBER(SEARCH( data!$JP$43, P25 )), data!$JO$43,
ISNUMBER(SEARCH( data!$JP$44, P25 )), data!$JO$44,
ISNUMBER(SEARCH( data!$JP$45, P25 )), data!$JO$45,
ISNUMBER(SEARCH( data!$JP$46, P25 )), data!$JO$46,
ISNUMBER(SEARCH( data!$JP$47, P25 )), data!$JO$47,
ISNUMBER(SEARCH( data!$JP$48, P25 )), data!$JO$48,
ISNUMBER(SEARCH( data!$JP$49, P25 )), data!$JO$49,
ISNUMBER(SEARCH( data!$JP$50, P25 )), data!$JO$50,
ISNUMBER(SEARCH( data!$JP$51, P25 )), data!$JO$51,
ISNUMBER(SEARCH( data!$JP$52, P25 )), data!$JO$52,
ISNUMBER(SEARCH( data!$JP$53, P25 )), data!$JO$53,
ISNUMBER(SEARCH( data!$JP$54, P25 )), data!$JO$54,
ISNUMBER(SEARCH( data!$JP$55, P25 )), data!$JO$55,
ISNUMBER(SEARCH( data!$JP$56, P25 )), data!$JO$56,
ISNUMBER(SEARCH( data!$JP$57, P25 )), data!$JO$57,
ISNUMBER(SEARCH( data!$JP$58, P25 )), data!$JO$58,
ISNUMBER(SEARCH( data!$JP$59, P25 )), data!$JO$59,
ISNUMBER(SEARCH( data!$JP$60, P25 )), data!$JO$60,
ISNUMBER(SEARCH( data!$JP$61, P25 )), data!$JO$61,
ISNUMBER(SEARCH( data!$JP$62, P25 )), data!$JO$62,
ISNUMBER(SEARCH( data!$JP$63, P25 )), data!$JO$63,
ISNUMBER(SEARCH( data!$JP$64, P25 )), data!$JO$64,
ISNUMBER(SEARCH( data!$JP$65, P25 )), data!$JO$65,
ISNUMBER(SEARCH( data!$JP$66, P25 )), data!$JO$66,
ISNUMBER(SEARCH( data!$JP$67, P25 )), data!$JO$67,
ISNUMBER(SEARCH( data!$JP$68, P25 )), data!$JO$68,
ISNUMBER(SEARCH( data!$JP$69, P25 )), data!$JO$69,
ISNUMBER(SEARCH( data!$JP$70, P25 )), data!$JO$70,
ISNUMBER(SEARCH( data!$JP$71, P25 )), data!$JO$71,
ISNUMBER(SEARCH( data!$JR$23, P25 )), data!$JQ$23,
ISNUMBER(SEARCH( data!$JR$24, P25 )), data!$JQ$24,
ISNUMBER(SEARCH( data!$JR$25, P25 )), data!$JQ$25,
ISNUMBER(SEARCH( data!$JR$26, P25 )), data!$JQ$26,
ISNUMBER(SEARCH( data!$JR$27, P25 )), data!$JQ$27,
ISNUMBER(SEARCH( data!$JR$28, P25 )), data!$JQ$28,
ISNUMBER(SEARCH( data!$JR$29, P25 )), data!$JQ$29,
ISNUMBER(SEARCH( data!$JR$30, P25 )), data!$JQ$30,
ISNUMBER(SEARCH( data!$JR$31, P25 )), data!$JQ$31,
ISNUMBER(SEARCH( data!$JR$32, P25 )), data!$JQ$32,
ISNUMBER(SEARCH( data!$JR$33, P25 )), data!$JQ$33,
ISNUMBER(SEARCH( data!$JR$34, P25 )), data!$JQ$34,
ISNUMBER(SEARCH( data!$JR$35, P25 )), data!$JQ$35,
ISNUMBER(SEARCH( data!$JR$36, P25 )), data!$JQ$36,
ISNUMBER(SEARCH( data!$JR$37, P25 )), data!$JQ$37,
ISNUMBER(SEARCH( data!$JR$38, P25 )), data!$JQ$38,
ISNUMBER(SEARCH( data!$JR$39, P25 )), data!$JQ$39,
ISNUMBER(SEARCH( data!$JR$40, P25 )), data!$JQ$40,
ISNUMBER(SEARCH( data!$JR$41, P25 )), data!$JQ$41,
ISNUMBER(SEARCH( data!$JR$42, P25 )), data!$JQ$42,
ISNUMBER(SEARCH( data!$JR$43, P25 )), data!$JQ$43,
ISNUMBER(SEARCH( data!$JR$44, P25 )), data!$JQ$44,
ISNUMBER(SEARCH( data!$JR$45, P25 )), data!$JQ$45,
ISNUMBER(SEARCH( data!$JR$46, P25 )), data!$JQ$46,
ISNUMBER(SEARCH( data!$JR$47, P25 )), data!$JQ$47,
ISNUMBER(SEARCH( data!$JR$48, P25 )), data!$JQ$48,
ISNUMBER(SEARCH( data!$JR$49, P25 )), data!$JQ$49,
ISNUMBER(SEARCH( data!$JR$50, P25 )), data!$JQ$50,
ISNUMBER(SEARCH( data!$JR$51, P25 )), data!$JQ$51,
ISNUMBER(SEARCH( data!$JR$52, P25 )), data!$JQ$52,
ISNUMBER(SEARCH( data!$JR$53, P25 )), data!$JQ$53,
ISNUMBER(SEARCH( data!$JR$54, P25 )), data!$JQ$54,
ISNUMBER(SEARCH( data!$JR$55, P25 )), data!$JQ$55,
ISNUMBER(SEARCH( data!$JR$56, P25 )), data!$JQ$56,
ISNUMBER(SEARCH( data!$JR$57, P25 )), data!$JQ$57,
ISNUMBER(SEARCH( data!$JR$58, P25 )), data!$JQ$58,
ISNUMBER(SEARCH( data!$JR$59, P25 )), data!$JQ$59,
ISNUMBER(SEARCH( data!$JR$60, P25 )), data!$JQ$60,
ISNUMBER(SEARCH( data!$JR$61, P25 )), data!$JQ$61,
ISNUMBER(SEARCH( data!$JR$62, P25 )), data!$JQ$62,
ISNUMBER(SEARCH( data!$JR$63, P25 )), data!$JQ$63,
ISNUMBER(SEARCH( data!$JR$64, P25 )), data!$JQ$64,
ISNUMBER(SEARCH( data!$JR$65, P25 )), data!$JQ$65,
ISNUMBER(SEARCH( data!$JR$66, P25 )), data!$JQ$66,
ISNUMBER(SEARCH( data!$JR$67, P25 )), data!$JQ$67,
ISNUMBER(SEARCH( data!$JR$68, P25 )), data!$JQ$68,
ISNUMBER(SEARCH( data!$JR$69, P25 )), data!$JQ$69,
ISNUMBER(SEARCH( data!$JR$70, P25 )), data!$JQ$70,
ISNUMBER(SEARCH( data!$JR$71, P25 )), data!$JQ$71,
TRUE,data!$JQ$72))</f>
        <v>🞅</v>
      </c>
      <c r="S23" s="4523"/>
      <c r="T23" s="4523"/>
      <c r="U23" s="4609" t="s">
        <v>68</v>
      </c>
      <c r="V23" s="4610"/>
      <c r="W23" s="622"/>
      <c r="X23" s="737"/>
      <c r="Y23" s="17"/>
      <c r="Z23" s="605"/>
      <c r="AA23" s="2504"/>
      <c r="AB23" s="2505"/>
      <c r="AC23" s="2505"/>
      <c r="AD23" s="2505"/>
      <c r="AE23" s="2505"/>
      <c r="AF23" s="2505"/>
      <c r="AG23" s="2506"/>
      <c r="AH23" s="2506"/>
      <c r="AI23" s="2506"/>
      <c r="AJ23" s="2506"/>
      <c r="AK23" s="2506"/>
      <c r="AL23" s="2507"/>
      <c r="AM23" s="2507"/>
      <c r="AN23" s="2507"/>
      <c r="AO23" s="2507"/>
      <c r="AP23" s="2507"/>
      <c r="AQ23" s="2506"/>
      <c r="AR23" s="2506"/>
      <c r="AS23" s="2506"/>
      <c r="AT23" s="2506"/>
      <c r="AU23" s="2506"/>
      <c r="AV23" s="2505"/>
      <c r="AW23" s="2508"/>
      <c r="AX23" s="2505"/>
      <c r="AY23" s="2505"/>
      <c r="AZ23" s="2505"/>
      <c r="BA23" s="2509"/>
      <c r="BB23" s="17"/>
      <c r="BC23" s="17"/>
      <c r="BD23" s="734"/>
      <c r="BE23" s="622"/>
      <c r="BF23" s="4613" t="s">
        <v>68</v>
      </c>
      <c r="BG23" s="4609"/>
      <c r="BH23" s="4523" t="str">
        <f>IF(ISBLANK(BF25),data!$JO$72,_xlfn.IFS(
ISNUMBER(SEARCH( data!$JP$23, BF25 )), data!$JO$23,
ISNUMBER(SEARCH( data!$JP$24, BF25 )), data!$JO$24,
ISNUMBER(SEARCH( data!$JP$25, BF25 )), data!$JO$25,
ISNUMBER(SEARCH( data!$JP$26, BF25 )), data!$JO$26,
ISNUMBER(SEARCH( data!$JP$27, BF25 )), data!$JO$27,
ISNUMBER(SEARCH( data!$JP$28, BF25 )), data!$JO$28,
ISNUMBER(SEARCH( data!$JP$29, BF25 )), data!$JO$29,
ISNUMBER(SEARCH( data!$JP$30, BF25 )), data!$JO$30,
ISNUMBER(SEARCH( data!$JP$31, BF25 )), data!$JO$31,
ISNUMBER(SEARCH( data!$JP$32, BF25 )), data!$JO$32,
ISNUMBER(SEARCH( data!$JP$33, BF25 )), data!$JO$33,
ISNUMBER(SEARCH( data!$JP$34, BF25 )), data!$JO$34,
ISNUMBER(SEARCH( data!$JP$35, BF25 )), data!$JO$35,
ISNUMBER(SEARCH( data!$JP$36, BF25 )), data!$JO$36,
ISNUMBER(SEARCH( data!$JP$37, BF25 )), data!$JO$37,
ISNUMBER(SEARCH( data!$JP$38, BF25 )), data!$JO$38,
ISNUMBER(SEARCH( data!$JP$39, BF25 )), data!$JO$39,
ISNUMBER(SEARCH( data!$JP$40, BF25 )), data!$JO$40,
ISNUMBER(SEARCH( data!$JP$41, BF25 )), data!$JO$41,
ISNUMBER(SEARCH( data!$JP$42, BF25 )), data!$JO$42,
ISNUMBER(SEARCH( data!$JP$43, BF25 )), data!$JO$43,
ISNUMBER(SEARCH( data!$JP$44, BF25 )), data!$JO$44,
ISNUMBER(SEARCH( data!$JP$45, BF25 )), data!$JO$45,
ISNUMBER(SEARCH( data!$JP$46, BF25 )), data!$JO$46,
ISNUMBER(SEARCH( data!$JP$47, BF25 )), data!$JO$47,
ISNUMBER(SEARCH( data!$JP$48, BF25 )), data!$JO$48,
ISNUMBER(SEARCH( data!$JP$49, BF25 )), data!$JO$49,
ISNUMBER(SEARCH( data!$JP$50, BF25 )), data!$JO$50,
ISNUMBER(SEARCH( data!$JP$51, BF25 )), data!$JO$51,
ISNUMBER(SEARCH( data!$JP$52, BF25 )), data!$JO$52,
ISNUMBER(SEARCH( data!$JP$53, BF25 )), data!$JO$53,
ISNUMBER(SEARCH( data!$JP$54, BF25 )), data!$JO$54,
ISNUMBER(SEARCH( data!$JP$55, BF25 )), data!$JO$55,
ISNUMBER(SEARCH( data!$JP$56, BF25 )), data!$JO$56,
ISNUMBER(SEARCH( data!$JP$57, BF25 )), data!$JO$57,
ISNUMBER(SEARCH( data!$JP$58, BF25 )), data!$JO$58,
ISNUMBER(SEARCH( data!$JP$59, BF25 )), data!$JO$59,
ISNUMBER(SEARCH( data!$JP$60, BF25 )), data!$JO$60,
ISNUMBER(SEARCH( data!$JP$61, BF25 )), data!$JO$61,
ISNUMBER(SEARCH( data!$JP$62, BF25 )), data!$JO$62,
ISNUMBER(SEARCH( data!$JP$63, BF25 )), data!$JO$63,
ISNUMBER(SEARCH( data!$JP$64, BF25 )), data!$JO$64,
ISNUMBER(SEARCH( data!$JP$65, BF25 )), data!$JO$65,
ISNUMBER(SEARCH( data!$JP$66, BF25 )), data!$JO$66,
ISNUMBER(SEARCH( data!$JP$67, BF25 )), data!$JO$67,
ISNUMBER(SEARCH( data!$JP$68, BF25 )), data!$JO$68,
ISNUMBER(SEARCH( data!$JP$69, BF25 )), data!$JO$69,
ISNUMBER(SEARCH( data!$JP$70, BF25 )), data!$JO$70,
ISNUMBER(SEARCH( data!$JP$71, BF25 )), data!$JO$71,
ISNUMBER(SEARCH( data!$JR$23, BF25 )), data!$JQ$23,
ISNUMBER(SEARCH( data!$JR$24, BF25 )), data!$JQ$24,
ISNUMBER(SEARCH( data!$JR$25, BF25 )), data!$JQ$25,
ISNUMBER(SEARCH( data!$JR$26, BF25 )), data!$JQ$26,
ISNUMBER(SEARCH( data!$JR$27, BF25 )), data!$JQ$27,
ISNUMBER(SEARCH( data!$JR$28, BF25 )), data!$JQ$28,
ISNUMBER(SEARCH( data!$JR$29, BF25 )), data!$JQ$29,
ISNUMBER(SEARCH( data!$JR$30, BF25 )), data!$JQ$30,
ISNUMBER(SEARCH( data!$JR$31, BF25 )), data!$JQ$31,
ISNUMBER(SEARCH( data!$JR$32, BF25 )), data!$JQ$32,
ISNUMBER(SEARCH( data!$JR$33, BF25 )), data!$JQ$33,
ISNUMBER(SEARCH( data!$JR$34, BF25 )), data!$JQ$34,
ISNUMBER(SEARCH( data!$JR$35, BF25 )), data!$JQ$35,
ISNUMBER(SEARCH( data!$JR$36, BF25 )), data!$JQ$36,
ISNUMBER(SEARCH( data!$JR$37, BF25 )), data!$JQ$37,
ISNUMBER(SEARCH( data!$JR$38, BF25 )), data!$JQ$38,
ISNUMBER(SEARCH( data!$JR$39, BF25 )), data!$JQ$39,
ISNUMBER(SEARCH( data!$JR$40, BF25 )), data!$JQ$40,
ISNUMBER(SEARCH( data!$JR$41, BF25 )), data!$JQ$41,
ISNUMBER(SEARCH( data!$JR$42, BF25 )), data!$JQ$42,
ISNUMBER(SEARCH( data!$JR$43, BF25 )), data!$JQ$43,
ISNUMBER(SEARCH( data!$JR$44, BF25 )), data!$JQ$44,
ISNUMBER(SEARCH( data!$JR$45, BF25 )), data!$JQ$45,
ISNUMBER(SEARCH( data!$JR$46, BF25 )), data!$JQ$46,
ISNUMBER(SEARCH( data!$JR$47, BF25 )), data!$JQ$47,
ISNUMBER(SEARCH( data!$JR$48, BF25 )), data!$JQ$48,
ISNUMBER(SEARCH( data!$JR$49, BF25 )), data!$JQ$49,
ISNUMBER(SEARCH( data!$JR$50, BF25 )), data!$JQ$50,
ISNUMBER(SEARCH( data!$JR$51, BF25 )), data!$JQ$51,
ISNUMBER(SEARCH( data!$JR$52, BF25 )), data!$JQ$52,
ISNUMBER(SEARCH( data!$JR$53, BF25 )), data!$JQ$53,
ISNUMBER(SEARCH( data!$JR$54, BF25 )), data!$JQ$54,
ISNUMBER(SEARCH( data!$JR$55, BF25 )), data!$JQ$55,
ISNUMBER(SEARCH( data!$JR$56, BF25 )), data!$JQ$56,
ISNUMBER(SEARCH( data!$JR$57, BF25 )), data!$JQ$57,
ISNUMBER(SEARCH( data!$JR$58, BF25 )), data!$JQ$58,
ISNUMBER(SEARCH( data!$JR$59, BF25 )), data!$JQ$59,
ISNUMBER(SEARCH( data!$JR$60, BF25 )), data!$JQ$60,
ISNUMBER(SEARCH( data!$JR$61, BF25 )), data!$JQ$61,
ISNUMBER(SEARCH( data!$JR$62, BF25 )), data!$JQ$62,
ISNUMBER(SEARCH( data!$JR$63, BF25 )), data!$JQ$63,
ISNUMBER(SEARCH( data!$JR$64, BF25 )), data!$JQ$64,
ISNUMBER(SEARCH( data!$JR$65, BF25 )), data!$JQ$65,
ISNUMBER(SEARCH( data!$JR$66, BF25 )), data!$JQ$66,
ISNUMBER(SEARCH( data!$JR$67, BF25 )), data!$JQ$67,
ISNUMBER(SEARCH( data!$JR$68, BF25 )), data!$JQ$68,
ISNUMBER(SEARCH( data!$JR$69, BF25 )), data!$JQ$69,
ISNUMBER(SEARCH( data!$JR$70, BF25 )), data!$JQ$70,
ISNUMBER(SEARCH( data!$JR$71, BF25 )), data!$JQ$71,
TRUE,data!$JQ$72))</f>
        <v>🞅</v>
      </c>
      <c r="BI23" s="4523"/>
      <c r="BJ23" s="4523"/>
      <c r="BK23" s="4609" t="s">
        <v>68</v>
      </c>
      <c r="BL23" s="4610"/>
      <c r="BM23" s="622"/>
      <c r="BN23" s="622"/>
      <c r="BO23" s="4613" t="s">
        <v>68</v>
      </c>
      <c r="BP23" s="4609"/>
      <c r="BQ23" s="4523" t="str">
        <f>IF(ISBLANK(BO25),data!$JO$72,_xlfn.IFS(
ISNUMBER(SEARCH( data!$JP$23, BO25 )), data!$JO$23,
ISNUMBER(SEARCH( data!$JP$24, BO25 )), data!$JO$24,
ISNUMBER(SEARCH( data!$JP$25, BO25 )), data!$JO$25,
ISNUMBER(SEARCH( data!$JP$26, BO25 )), data!$JO$26,
ISNUMBER(SEARCH( data!$JP$27, BO25 )), data!$JO$27,
ISNUMBER(SEARCH( data!$JP$28, BO25 )), data!$JO$28,
ISNUMBER(SEARCH( data!$JP$29, BO25 )), data!$JO$29,
ISNUMBER(SEARCH( data!$JP$30, BO25 )), data!$JO$30,
ISNUMBER(SEARCH( data!$JP$31, BO25 )), data!$JO$31,
ISNUMBER(SEARCH( data!$JP$32, BO25 )), data!$JO$32,
ISNUMBER(SEARCH( data!$JP$33, BO25 )), data!$JO$33,
ISNUMBER(SEARCH( data!$JP$34, BO25 )), data!$JO$34,
ISNUMBER(SEARCH( data!$JP$35, BO25 )), data!$JO$35,
ISNUMBER(SEARCH( data!$JP$36, BO25 )), data!$JO$36,
ISNUMBER(SEARCH( data!$JP$37, BO25 )), data!$JO$37,
ISNUMBER(SEARCH( data!$JP$38, BO25 )), data!$JO$38,
ISNUMBER(SEARCH( data!$JP$39, BO25 )), data!$JO$39,
ISNUMBER(SEARCH( data!$JP$40, BO25 )), data!$JO$40,
ISNUMBER(SEARCH( data!$JP$41, BO25 )), data!$JO$41,
ISNUMBER(SEARCH( data!$JP$42, BO25 )), data!$JO$42,
ISNUMBER(SEARCH( data!$JP$43, BO25 )), data!$JO$43,
ISNUMBER(SEARCH( data!$JP$44, BO25 )), data!$JO$44,
ISNUMBER(SEARCH( data!$JP$45, BO25 )), data!$JO$45,
ISNUMBER(SEARCH( data!$JP$46, BO25 )), data!$JO$46,
ISNUMBER(SEARCH( data!$JP$47, BO25 )), data!$JO$47,
ISNUMBER(SEARCH( data!$JP$48, BO25 )), data!$JO$48,
ISNUMBER(SEARCH( data!$JP$49, BO25 )), data!$JO$49,
ISNUMBER(SEARCH( data!$JP$50, BO25 )), data!$JO$50,
ISNUMBER(SEARCH( data!$JP$51, BO25 )), data!$JO$51,
ISNUMBER(SEARCH( data!$JP$52, BO25 )), data!$JO$52,
ISNUMBER(SEARCH( data!$JP$53, BO25 )), data!$JO$53,
ISNUMBER(SEARCH( data!$JP$54, BO25 )), data!$JO$54,
ISNUMBER(SEARCH( data!$JP$55, BO25 )), data!$JO$55,
ISNUMBER(SEARCH( data!$JP$56, BO25 )), data!$JO$56,
ISNUMBER(SEARCH( data!$JP$57, BO25 )), data!$JO$57,
ISNUMBER(SEARCH( data!$JP$58, BO25 )), data!$JO$58,
ISNUMBER(SEARCH( data!$JP$59, BO25 )), data!$JO$59,
ISNUMBER(SEARCH( data!$JP$60, BO25 )), data!$JO$60,
ISNUMBER(SEARCH( data!$JP$61, BO25 )), data!$JO$61,
ISNUMBER(SEARCH( data!$JP$62, BO25 )), data!$JO$62,
ISNUMBER(SEARCH( data!$JP$63, BO25 )), data!$JO$63,
ISNUMBER(SEARCH( data!$JP$64, BO25 )), data!$JO$64,
ISNUMBER(SEARCH( data!$JP$65, BO25 )), data!$JO$65,
ISNUMBER(SEARCH( data!$JP$66, BO25 )), data!$JO$66,
ISNUMBER(SEARCH( data!$JP$67, BO25 )), data!$JO$67,
ISNUMBER(SEARCH( data!$JP$68, BO25 )), data!$JO$68,
ISNUMBER(SEARCH( data!$JP$69, BO25 )), data!$JO$69,
ISNUMBER(SEARCH( data!$JP$70, BO25 )), data!$JO$70,
ISNUMBER(SEARCH( data!$JP$71, BO25 )), data!$JO$71,
ISNUMBER(SEARCH( data!$JR$23, BO25 )), data!$JQ$23,
ISNUMBER(SEARCH( data!$JR$24, BO25 )), data!$JQ$24,
ISNUMBER(SEARCH( data!$JR$25, BO25 )), data!$JQ$25,
ISNUMBER(SEARCH( data!$JR$26, BO25 )), data!$JQ$26,
ISNUMBER(SEARCH( data!$JR$27, BO25 )), data!$JQ$27,
ISNUMBER(SEARCH( data!$JR$28, BO25 )), data!$JQ$28,
ISNUMBER(SEARCH( data!$JR$29, BO25 )), data!$JQ$29,
ISNUMBER(SEARCH( data!$JR$30, BO25 )), data!$JQ$30,
ISNUMBER(SEARCH( data!$JR$31, BO25 )), data!$JQ$31,
ISNUMBER(SEARCH( data!$JR$32, BO25 )), data!$JQ$32,
ISNUMBER(SEARCH( data!$JR$33, BO25 )), data!$JQ$33,
ISNUMBER(SEARCH( data!$JR$34, BO25 )), data!$JQ$34,
ISNUMBER(SEARCH( data!$JR$35, BO25 )), data!$JQ$35,
ISNUMBER(SEARCH( data!$JR$36, BO25 )), data!$JQ$36,
ISNUMBER(SEARCH( data!$JR$37, BO25 )), data!$JQ$37,
ISNUMBER(SEARCH( data!$JR$38, BO25 )), data!$JQ$38,
ISNUMBER(SEARCH( data!$JR$39, BO25 )), data!$JQ$39,
ISNUMBER(SEARCH( data!$JR$40, BO25 )), data!$JQ$40,
ISNUMBER(SEARCH( data!$JR$41, BO25 )), data!$JQ$41,
ISNUMBER(SEARCH( data!$JR$42, BO25 )), data!$JQ$42,
ISNUMBER(SEARCH( data!$JR$43, BO25 )), data!$JQ$43,
ISNUMBER(SEARCH( data!$JR$44, BO25 )), data!$JQ$44,
ISNUMBER(SEARCH( data!$JR$45, BO25 )), data!$JQ$45,
ISNUMBER(SEARCH( data!$JR$46, BO25 )), data!$JQ$46,
ISNUMBER(SEARCH( data!$JR$47, BO25 )), data!$JQ$47,
ISNUMBER(SEARCH( data!$JR$48, BO25 )), data!$JQ$48,
ISNUMBER(SEARCH( data!$JR$49, BO25 )), data!$JQ$49,
ISNUMBER(SEARCH( data!$JR$50, BO25 )), data!$JQ$50,
ISNUMBER(SEARCH( data!$JR$51, BO25 )), data!$JQ$51,
ISNUMBER(SEARCH( data!$JR$52, BO25 )), data!$JQ$52,
ISNUMBER(SEARCH( data!$JR$53, BO25 )), data!$JQ$53,
ISNUMBER(SEARCH( data!$JR$54, BO25 )), data!$JQ$54,
ISNUMBER(SEARCH( data!$JR$55, BO25 )), data!$JQ$55,
ISNUMBER(SEARCH( data!$JR$56, BO25 )), data!$JQ$56,
ISNUMBER(SEARCH( data!$JR$57, BO25 )), data!$JQ$57,
ISNUMBER(SEARCH( data!$JR$58, BO25 )), data!$JQ$58,
ISNUMBER(SEARCH( data!$JR$59, BO25 )), data!$JQ$59,
ISNUMBER(SEARCH( data!$JR$60, BO25 )), data!$JQ$60,
ISNUMBER(SEARCH( data!$JR$61, BO25 )), data!$JQ$61,
ISNUMBER(SEARCH( data!$JR$62, BO25 )), data!$JQ$62,
ISNUMBER(SEARCH( data!$JR$63, BO25 )), data!$JQ$63,
ISNUMBER(SEARCH( data!$JR$64, BO25 )), data!$JQ$64,
ISNUMBER(SEARCH( data!$JR$65, BO25 )), data!$JQ$65,
ISNUMBER(SEARCH( data!$JR$66, BO25 )), data!$JQ$66,
ISNUMBER(SEARCH( data!$JR$67, BO25 )), data!$JQ$67,
ISNUMBER(SEARCH( data!$JR$68, BO25 )), data!$JQ$68,
ISNUMBER(SEARCH( data!$JR$69, BO25 )), data!$JQ$69,
ISNUMBER(SEARCH( data!$JR$70, BO25 )), data!$JQ$70,
ISNUMBER(SEARCH( data!$JR$71, BO25 )), data!$JQ$71,
TRUE,data!$JQ$72))</f>
        <v>🞅</v>
      </c>
      <c r="BR23" s="4523"/>
      <c r="BS23" s="4523"/>
      <c r="BT23" s="4609" t="s">
        <v>68</v>
      </c>
      <c r="BU23" s="4610"/>
      <c r="BV23" s="622"/>
      <c r="BW23" s="737"/>
      <c r="BX23" s="17"/>
      <c r="BY23" s="17"/>
      <c r="BZ23" s="604"/>
      <c r="CA23" s="605"/>
      <c r="CC23" s="2369"/>
      <c r="CD23" s="2369"/>
      <c r="CE23" s="2369"/>
      <c r="CF23" s="2369"/>
      <c r="CG23" s="2369"/>
      <c r="CH23" s="2369"/>
      <c r="CI23" s="2369"/>
      <c r="CJ23" s="2369"/>
      <c r="CK23" s="2369"/>
      <c r="CL23" s="2369"/>
      <c r="CM23" s="2369"/>
      <c r="CN23" s="2369"/>
      <c r="CO23" s="2369"/>
      <c r="CP23" s="2369"/>
      <c r="CQ23" s="2369"/>
      <c r="CV23" s="2438">
        <v>1.05</v>
      </c>
    </row>
    <row r="24" spans="1:100" ht="17.100000000000001" customHeight="1" x14ac:dyDescent="0.15">
      <c r="A24" s="17"/>
      <c r="B24" s="604"/>
      <c r="C24" s="17"/>
      <c r="D24" s="17"/>
      <c r="E24" s="734"/>
      <c r="F24" s="622"/>
      <c r="G24" s="4614"/>
      <c r="H24" s="4611"/>
      <c r="I24" s="4524"/>
      <c r="J24" s="4524"/>
      <c r="K24" s="4524"/>
      <c r="L24" s="4611"/>
      <c r="M24" s="4612"/>
      <c r="N24" s="622"/>
      <c r="O24" s="622"/>
      <c r="P24" s="4614"/>
      <c r="Q24" s="4611"/>
      <c r="R24" s="4524"/>
      <c r="S24" s="4524"/>
      <c r="T24" s="4524"/>
      <c r="U24" s="4611"/>
      <c r="V24" s="4612"/>
      <c r="W24" s="622"/>
      <c r="X24" s="737"/>
      <c r="Y24" s="17"/>
      <c r="Z24" s="605"/>
      <c r="AA24" s="2510"/>
      <c r="AB24" s="2511"/>
      <c r="AC24" s="2511"/>
      <c r="AD24" s="2511"/>
      <c r="AE24" s="2511"/>
      <c r="AF24" s="2511"/>
      <c r="AG24" s="2512"/>
      <c r="AH24" s="2512"/>
      <c r="AI24" s="2512"/>
      <c r="AJ24" s="2512"/>
      <c r="AK24" s="2512"/>
      <c r="AL24" s="2513" t="str">
        <f ca="1">IF(AND($CP$21="Y",$AM$24&lt;&gt;$AM$36),"x","")</f>
        <v/>
      </c>
      <c r="AM24" s="4646">
        <v>0</v>
      </c>
      <c r="AN24" s="4646"/>
      <c r="AO24" s="4646"/>
      <c r="AP24" s="2513" t="str">
        <f ca="1">IF(AND($CP$21="Y",$AM$24&lt;&gt;$AM$36),"x","")</f>
        <v/>
      </c>
      <c r="AQ24" s="2512"/>
      <c r="AR24" s="2512"/>
      <c r="AS24" s="2512"/>
      <c r="AT24" s="2512"/>
      <c r="AU24" s="2512"/>
      <c r="AV24" s="2511"/>
      <c r="AW24" s="2514"/>
      <c r="AX24" s="2511"/>
      <c r="AY24" s="2511"/>
      <c r="AZ24" s="2511"/>
      <c r="BA24" s="2515"/>
      <c r="BB24" s="17"/>
      <c r="BC24" s="17"/>
      <c r="BD24" s="734"/>
      <c r="BE24" s="622"/>
      <c r="BF24" s="4614"/>
      <c r="BG24" s="4611"/>
      <c r="BH24" s="4524"/>
      <c r="BI24" s="4524"/>
      <c r="BJ24" s="4524"/>
      <c r="BK24" s="4611"/>
      <c r="BL24" s="4612"/>
      <c r="BM24" s="622"/>
      <c r="BN24" s="622"/>
      <c r="BO24" s="4614"/>
      <c r="BP24" s="4611"/>
      <c r="BQ24" s="4524"/>
      <c r="BR24" s="4524"/>
      <c r="BS24" s="4524"/>
      <c r="BT24" s="4611"/>
      <c r="BU24" s="4612"/>
      <c r="BV24" s="622"/>
      <c r="BW24" s="737"/>
      <c r="BX24" s="17"/>
      <c r="BY24" s="17"/>
      <c r="BZ24" s="604"/>
      <c r="CA24" s="605"/>
      <c r="CC24" s="2369"/>
      <c r="CD24" s="2369"/>
      <c r="CE24" s="2369"/>
      <c r="CF24" s="2369"/>
      <c r="CG24" s="2369"/>
      <c r="CH24" s="2369"/>
      <c r="CI24" s="2369"/>
      <c r="CJ24" s="2369"/>
      <c r="CK24" s="2369"/>
      <c r="CL24" s="2369"/>
      <c r="CM24" s="2369"/>
      <c r="CN24" s="2369"/>
      <c r="CO24" s="2369"/>
      <c r="CP24" s="2369"/>
      <c r="CQ24" s="2369"/>
      <c r="CV24" s="2438">
        <v>1.1000000000000001</v>
      </c>
    </row>
    <row r="25" spans="1:100" ht="17.100000000000001" customHeight="1" x14ac:dyDescent="0.15">
      <c r="A25" s="17"/>
      <c r="B25" s="604"/>
      <c r="C25" s="17"/>
      <c r="D25" s="17"/>
      <c r="E25" s="734"/>
      <c r="F25" s="622"/>
      <c r="G25" s="4527"/>
      <c r="H25" s="4528"/>
      <c r="I25" s="4528"/>
      <c r="J25" s="4528"/>
      <c r="K25" s="4528"/>
      <c r="L25" s="4528"/>
      <c r="M25" s="4529"/>
      <c r="N25" s="622"/>
      <c r="O25" s="622"/>
      <c r="P25" s="4527"/>
      <c r="Q25" s="4528"/>
      <c r="R25" s="4528"/>
      <c r="S25" s="4528"/>
      <c r="T25" s="4528"/>
      <c r="U25" s="4528"/>
      <c r="V25" s="4529"/>
      <c r="W25" s="622"/>
      <c r="X25" s="737"/>
      <c r="Y25" s="17"/>
      <c r="Z25" s="605"/>
      <c r="AA25" s="2510"/>
      <c r="AB25" s="2511"/>
      <c r="AC25" s="2511"/>
      <c r="AD25" s="2511"/>
      <c r="AE25" s="2511"/>
      <c r="AF25" s="2511"/>
      <c r="AG25" s="2516" t="str">
        <f t="shared" ref="AG25:AU32" si="5">IF($AG$35&gt;=CC25,"l","")</f>
        <v/>
      </c>
      <c r="AH25" s="2516" t="str">
        <f t="shared" si="5"/>
        <v/>
      </c>
      <c r="AI25" s="2516" t="str">
        <f t="shared" si="5"/>
        <v/>
      </c>
      <c r="AJ25" s="2516" t="str">
        <f t="shared" si="5"/>
        <v/>
      </c>
      <c r="AK25" s="2516" t="str">
        <f t="shared" si="5"/>
        <v/>
      </c>
      <c r="AL25" s="2516" t="str">
        <f t="shared" si="5"/>
        <v/>
      </c>
      <c r="AM25" s="2516" t="str">
        <f t="shared" si="5"/>
        <v/>
      </c>
      <c r="AN25" s="2516" t="str">
        <f t="shared" si="5"/>
        <v/>
      </c>
      <c r="AO25" s="2516" t="str">
        <f t="shared" si="5"/>
        <v/>
      </c>
      <c r="AP25" s="2516" t="str">
        <f t="shared" si="5"/>
        <v/>
      </c>
      <c r="AQ25" s="2516" t="str">
        <f t="shared" si="5"/>
        <v/>
      </c>
      <c r="AR25" s="2516" t="str">
        <f t="shared" si="5"/>
        <v/>
      </c>
      <c r="AS25" s="2516" t="str">
        <f t="shared" si="5"/>
        <v/>
      </c>
      <c r="AT25" s="2516" t="str">
        <f t="shared" si="5"/>
        <v/>
      </c>
      <c r="AU25" s="2516" t="str">
        <f t="shared" si="5"/>
        <v/>
      </c>
      <c r="AV25" s="2511"/>
      <c r="AW25" s="2514"/>
      <c r="AX25" s="2511"/>
      <c r="AY25" s="2511"/>
      <c r="AZ25" s="2511"/>
      <c r="BA25" s="2515"/>
      <c r="BB25" s="17"/>
      <c r="BC25" s="17"/>
      <c r="BD25" s="734"/>
      <c r="BE25" s="622"/>
      <c r="BF25" s="4527"/>
      <c r="BG25" s="4528"/>
      <c r="BH25" s="4528"/>
      <c r="BI25" s="4528"/>
      <c r="BJ25" s="4528"/>
      <c r="BK25" s="4528"/>
      <c r="BL25" s="4529"/>
      <c r="BM25" s="622"/>
      <c r="BN25" s="622"/>
      <c r="BO25" s="4527"/>
      <c r="BP25" s="4528"/>
      <c r="BQ25" s="4528"/>
      <c r="BR25" s="4528"/>
      <c r="BS25" s="4528"/>
      <c r="BT25" s="4528"/>
      <c r="BU25" s="4529"/>
      <c r="BV25" s="622"/>
      <c r="BW25" s="737"/>
      <c r="BX25" s="17"/>
      <c r="BY25" s="17"/>
      <c r="BZ25" s="604"/>
      <c r="CA25" s="605"/>
      <c r="CC25" s="2360">
        <f t="shared" ref="CC25:CC32" si="6">CP25+$CJ$32</f>
        <v>595</v>
      </c>
      <c r="CD25" s="2380">
        <f t="shared" ref="CD25:CD32" si="7">CO25+$CJ$32</f>
        <v>585</v>
      </c>
      <c r="CE25" s="2380">
        <f t="shared" ref="CE25:CE32" si="8">CN25+$CJ$32</f>
        <v>575</v>
      </c>
      <c r="CF25" s="2380">
        <f t="shared" ref="CF25:CF32" si="9">CM25+$CJ$32</f>
        <v>565</v>
      </c>
      <c r="CG25" s="2380">
        <f t="shared" ref="CG25:CG32" si="10">CL25+$CJ$32</f>
        <v>555</v>
      </c>
      <c r="CH25" s="2380">
        <f t="shared" ref="CH25:CH32" si="11">CK25+$CJ$32</f>
        <v>545</v>
      </c>
      <c r="CI25" s="2380">
        <f t="shared" ref="CI25:CI32" si="12">CJ25+$CJ$32</f>
        <v>535</v>
      </c>
      <c r="CJ25" s="2380">
        <f t="shared" ref="CJ25:CJ31" si="13">CQ26+$CJ$32</f>
        <v>530</v>
      </c>
      <c r="CK25" s="2380">
        <f t="shared" ref="CK25:CK32" si="14">CI25+$CJ$32</f>
        <v>540</v>
      </c>
      <c r="CL25" s="2380">
        <f t="shared" ref="CL25:CL32" si="15">CH25+$CJ$32</f>
        <v>550</v>
      </c>
      <c r="CM25" s="2380">
        <f t="shared" ref="CM25:CM32" si="16">CG25+$CJ$32</f>
        <v>560</v>
      </c>
      <c r="CN25" s="2380">
        <f t="shared" ref="CN25:CN32" si="17">CF25+$CJ$32</f>
        <v>570</v>
      </c>
      <c r="CO25" s="2380">
        <f t="shared" ref="CO25:CO32" si="18">CE25+$CJ$32</f>
        <v>580</v>
      </c>
      <c r="CP25" s="2380">
        <f t="shared" ref="CP25:CP32" si="19">CD25+$CJ$32</f>
        <v>590</v>
      </c>
      <c r="CQ25" s="2361">
        <f t="shared" ref="CQ25:CQ32" si="20">CC25+$CJ$32</f>
        <v>600</v>
      </c>
      <c r="CV25" s="2438">
        <v>1.1499999999999999</v>
      </c>
    </row>
    <row r="26" spans="1:100" ht="17.100000000000001" customHeight="1" thickBot="1" x14ac:dyDescent="0.2">
      <c r="A26" s="17"/>
      <c r="B26" s="604"/>
      <c r="C26" s="17"/>
      <c r="D26" s="17"/>
      <c r="E26" s="734"/>
      <c r="F26" s="622"/>
      <c r="G26" s="4530"/>
      <c r="H26" s="4531"/>
      <c r="I26" s="4531"/>
      <c r="J26" s="4531"/>
      <c r="K26" s="4531"/>
      <c r="L26" s="4531"/>
      <c r="M26" s="4532"/>
      <c r="N26" s="622"/>
      <c r="O26" s="622"/>
      <c r="P26" s="4530"/>
      <c r="Q26" s="4531"/>
      <c r="R26" s="4531"/>
      <c r="S26" s="4531"/>
      <c r="T26" s="4531"/>
      <c r="U26" s="4531"/>
      <c r="V26" s="4532"/>
      <c r="W26" s="622"/>
      <c r="X26" s="737"/>
      <c r="Y26" s="17"/>
      <c r="Z26" s="605"/>
      <c r="AA26" s="2510"/>
      <c r="AB26" s="2511"/>
      <c r="AC26" s="2511"/>
      <c r="AD26" s="2511"/>
      <c r="AE26" s="2511"/>
      <c r="AF26" s="2511"/>
      <c r="AG26" s="2516" t="str">
        <f t="shared" si="5"/>
        <v/>
      </c>
      <c r="AH26" s="2516" t="str">
        <f t="shared" si="5"/>
        <v/>
      </c>
      <c r="AI26" s="2516" t="str">
        <f t="shared" si="5"/>
        <v/>
      </c>
      <c r="AJ26" s="2516" t="str">
        <f t="shared" si="5"/>
        <v/>
      </c>
      <c r="AK26" s="2516" t="str">
        <f t="shared" si="5"/>
        <v/>
      </c>
      <c r="AL26" s="2516" t="str">
        <f t="shared" si="5"/>
        <v/>
      </c>
      <c r="AM26" s="2516" t="str">
        <f t="shared" si="5"/>
        <v/>
      </c>
      <c r="AN26" s="2516" t="str">
        <f t="shared" si="5"/>
        <v/>
      </c>
      <c r="AO26" s="2516" t="str">
        <f t="shared" si="5"/>
        <v/>
      </c>
      <c r="AP26" s="2516" t="str">
        <f t="shared" si="5"/>
        <v/>
      </c>
      <c r="AQ26" s="2516" t="str">
        <f t="shared" si="5"/>
        <v/>
      </c>
      <c r="AR26" s="2516" t="str">
        <f t="shared" si="5"/>
        <v/>
      </c>
      <c r="AS26" s="2516" t="str">
        <f t="shared" si="5"/>
        <v/>
      </c>
      <c r="AT26" s="2516" t="str">
        <f t="shared" si="5"/>
        <v/>
      </c>
      <c r="AU26" s="2516" t="str">
        <f t="shared" si="5"/>
        <v/>
      </c>
      <c r="AV26" s="2511"/>
      <c r="AW26" s="2514"/>
      <c r="AX26" s="2511"/>
      <c r="AY26" s="2511"/>
      <c r="AZ26" s="2511"/>
      <c r="BA26" s="2515"/>
      <c r="BB26" s="17"/>
      <c r="BC26" s="17"/>
      <c r="BD26" s="734"/>
      <c r="BE26" s="622"/>
      <c r="BF26" s="4530"/>
      <c r="BG26" s="4531"/>
      <c r="BH26" s="4531"/>
      <c r="BI26" s="4531"/>
      <c r="BJ26" s="4531"/>
      <c r="BK26" s="4531"/>
      <c r="BL26" s="4532"/>
      <c r="BM26" s="622"/>
      <c r="BN26" s="622"/>
      <c r="BO26" s="4530"/>
      <c r="BP26" s="4531"/>
      <c r="BQ26" s="4531"/>
      <c r="BR26" s="4531"/>
      <c r="BS26" s="4531"/>
      <c r="BT26" s="4531"/>
      <c r="BU26" s="4532"/>
      <c r="BV26" s="622"/>
      <c r="BW26" s="737"/>
      <c r="BX26" s="17"/>
      <c r="BY26" s="17"/>
      <c r="BZ26" s="604"/>
      <c r="CA26" s="635"/>
      <c r="CC26" s="2381">
        <f t="shared" si="6"/>
        <v>520</v>
      </c>
      <c r="CD26" s="2358">
        <f t="shared" si="7"/>
        <v>510</v>
      </c>
      <c r="CE26" s="2358">
        <f t="shared" si="8"/>
        <v>500</v>
      </c>
      <c r="CF26" s="2358">
        <f t="shared" si="9"/>
        <v>490</v>
      </c>
      <c r="CG26" s="2358">
        <f t="shared" si="10"/>
        <v>480</v>
      </c>
      <c r="CH26" s="2358">
        <f t="shared" si="11"/>
        <v>470</v>
      </c>
      <c r="CI26" s="2358">
        <f t="shared" si="12"/>
        <v>460</v>
      </c>
      <c r="CJ26" s="2358">
        <f t="shared" si="13"/>
        <v>455</v>
      </c>
      <c r="CK26" s="2358">
        <f t="shared" si="14"/>
        <v>465</v>
      </c>
      <c r="CL26" s="2358">
        <f t="shared" si="15"/>
        <v>475</v>
      </c>
      <c r="CM26" s="2358">
        <f t="shared" si="16"/>
        <v>485</v>
      </c>
      <c r="CN26" s="2358">
        <f t="shared" si="17"/>
        <v>495</v>
      </c>
      <c r="CO26" s="2358">
        <f t="shared" si="18"/>
        <v>505</v>
      </c>
      <c r="CP26" s="2358">
        <f t="shared" si="19"/>
        <v>515</v>
      </c>
      <c r="CQ26" s="2382">
        <f t="shared" si="20"/>
        <v>525</v>
      </c>
      <c r="CV26" s="2438">
        <v>1.2</v>
      </c>
    </row>
    <row r="27" spans="1:100" ht="17.100000000000001" customHeight="1" thickTop="1" x14ac:dyDescent="0.15">
      <c r="A27" s="17"/>
      <c r="B27" s="604"/>
      <c r="C27" s="17"/>
      <c r="D27" s="17"/>
      <c r="E27" s="734"/>
      <c r="F27" s="622"/>
      <c r="G27" s="622"/>
      <c r="H27" s="622"/>
      <c r="I27" s="622"/>
      <c r="J27" s="622"/>
      <c r="K27" s="622"/>
      <c r="L27" s="622"/>
      <c r="M27" s="622"/>
      <c r="N27" s="622"/>
      <c r="O27" s="622"/>
      <c r="P27" s="622"/>
      <c r="Q27" s="622"/>
      <c r="R27" s="622"/>
      <c r="S27" s="622"/>
      <c r="T27" s="622"/>
      <c r="U27" s="622"/>
      <c r="V27" s="622"/>
      <c r="W27" s="622"/>
      <c r="X27" s="737"/>
      <c r="Y27" s="17"/>
      <c r="Z27" s="605"/>
      <c r="AA27" s="2510"/>
      <c r="AB27" s="2511"/>
      <c r="AC27" s="2511"/>
      <c r="AD27" s="2511"/>
      <c r="AE27" s="2511"/>
      <c r="AF27" s="2511"/>
      <c r="AG27" s="2516" t="str">
        <f t="shared" si="5"/>
        <v/>
      </c>
      <c r="AH27" s="2516" t="str">
        <f t="shared" si="5"/>
        <v/>
      </c>
      <c r="AI27" s="2516" t="str">
        <f t="shared" si="5"/>
        <v/>
      </c>
      <c r="AJ27" s="2516" t="str">
        <f t="shared" si="5"/>
        <v/>
      </c>
      <c r="AK27" s="2516" t="str">
        <f t="shared" si="5"/>
        <v/>
      </c>
      <c r="AL27" s="2516" t="str">
        <f t="shared" si="5"/>
        <v/>
      </c>
      <c r="AM27" s="2516" t="str">
        <f t="shared" si="5"/>
        <v/>
      </c>
      <c r="AN27" s="2516" t="str">
        <f t="shared" si="5"/>
        <v/>
      </c>
      <c r="AO27" s="2516" t="str">
        <f t="shared" si="5"/>
        <v/>
      </c>
      <c r="AP27" s="2516" t="str">
        <f t="shared" si="5"/>
        <v/>
      </c>
      <c r="AQ27" s="2516" t="str">
        <f t="shared" si="5"/>
        <v/>
      </c>
      <c r="AR27" s="2516" t="str">
        <f t="shared" si="5"/>
        <v/>
      </c>
      <c r="AS27" s="2516" t="str">
        <f t="shared" si="5"/>
        <v/>
      </c>
      <c r="AT27" s="2516" t="str">
        <f t="shared" si="5"/>
        <v/>
      </c>
      <c r="AU27" s="2516" t="str">
        <f t="shared" si="5"/>
        <v/>
      </c>
      <c r="AV27" s="2511"/>
      <c r="AW27" s="2514"/>
      <c r="AX27" s="2511"/>
      <c r="AY27" s="2511"/>
      <c r="AZ27" s="2511"/>
      <c r="BA27" s="2515"/>
      <c r="BB27" s="17"/>
      <c r="BC27" s="17"/>
      <c r="BD27" s="734"/>
      <c r="BE27" s="622"/>
      <c r="BF27" s="622"/>
      <c r="BG27" s="622"/>
      <c r="BH27" s="622"/>
      <c r="BI27" s="622"/>
      <c r="BJ27" s="622"/>
      <c r="BK27" s="622"/>
      <c r="BL27" s="622"/>
      <c r="BM27" s="622"/>
      <c r="BN27" s="622"/>
      <c r="BO27" s="622"/>
      <c r="BP27" s="622"/>
      <c r="BQ27" s="622"/>
      <c r="BR27" s="622"/>
      <c r="BS27" s="622"/>
      <c r="BT27" s="622"/>
      <c r="BU27" s="622"/>
      <c r="BV27" s="622"/>
      <c r="BW27" s="737"/>
      <c r="BX27" s="17"/>
      <c r="BY27" s="17"/>
      <c r="BZ27" s="604"/>
      <c r="CA27" s="635"/>
      <c r="CC27" s="2381">
        <f t="shared" si="6"/>
        <v>445</v>
      </c>
      <c r="CD27" s="2358">
        <f t="shared" si="7"/>
        <v>435</v>
      </c>
      <c r="CE27" s="2358">
        <f t="shared" si="8"/>
        <v>425</v>
      </c>
      <c r="CF27" s="2358">
        <f t="shared" si="9"/>
        <v>415</v>
      </c>
      <c r="CG27" s="2358">
        <f t="shared" si="10"/>
        <v>405</v>
      </c>
      <c r="CH27" s="2358">
        <f t="shared" si="11"/>
        <v>395</v>
      </c>
      <c r="CI27" s="2358">
        <f t="shared" si="12"/>
        <v>385</v>
      </c>
      <c r="CJ27" s="2358">
        <f t="shared" si="13"/>
        <v>380</v>
      </c>
      <c r="CK27" s="2358">
        <f t="shared" si="14"/>
        <v>390</v>
      </c>
      <c r="CL27" s="2358">
        <f t="shared" si="15"/>
        <v>400</v>
      </c>
      <c r="CM27" s="2358">
        <f t="shared" si="16"/>
        <v>410</v>
      </c>
      <c r="CN27" s="2358">
        <f t="shared" si="17"/>
        <v>420</v>
      </c>
      <c r="CO27" s="2358">
        <f t="shared" si="18"/>
        <v>430</v>
      </c>
      <c r="CP27" s="2358">
        <f t="shared" si="19"/>
        <v>440</v>
      </c>
      <c r="CQ27" s="2382">
        <f t="shared" si="20"/>
        <v>450</v>
      </c>
      <c r="CV27" s="2438">
        <v>1.25</v>
      </c>
    </row>
    <row r="28" spans="1:100" ht="17.100000000000001" customHeight="1" thickBot="1" x14ac:dyDescent="0.2">
      <c r="A28" s="17"/>
      <c r="B28" s="604"/>
      <c r="C28" s="17"/>
      <c r="D28" s="17"/>
      <c r="E28" s="734"/>
      <c r="F28" s="622"/>
      <c r="G28" s="622"/>
      <c r="H28" s="622"/>
      <c r="I28" s="622"/>
      <c r="J28" s="622"/>
      <c r="K28" s="622"/>
      <c r="L28" s="622"/>
      <c r="M28" s="622"/>
      <c r="N28" s="622"/>
      <c r="O28" s="622"/>
      <c r="P28" s="622"/>
      <c r="Q28" s="622"/>
      <c r="R28" s="622"/>
      <c r="S28" s="622"/>
      <c r="T28" s="622"/>
      <c r="U28" s="622"/>
      <c r="V28" s="622"/>
      <c r="W28" s="622"/>
      <c r="X28" s="737"/>
      <c r="Y28" s="17"/>
      <c r="Z28" s="605"/>
      <c r="AA28" s="2510"/>
      <c r="AB28" s="2511"/>
      <c r="AC28" s="2517"/>
      <c r="AD28" s="2517"/>
      <c r="AE28" s="2511"/>
      <c r="AF28" s="2511"/>
      <c r="AG28" s="2516" t="str">
        <f t="shared" si="5"/>
        <v/>
      </c>
      <c r="AH28" s="2516" t="str">
        <f t="shared" si="5"/>
        <v/>
      </c>
      <c r="AI28" s="2516" t="str">
        <f t="shared" si="5"/>
        <v/>
      </c>
      <c r="AJ28" s="2516" t="str">
        <f t="shared" si="5"/>
        <v/>
      </c>
      <c r="AK28" s="2516" t="str">
        <f t="shared" si="5"/>
        <v/>
      </c>
      <c r="AL28" s="2516" t="str">
        <f t="shared" si="5"/>
        <v/>
      </c>
      <c r="AM28" s="2516" t="str">
        <f t="shared" si="5"/>
        <v/>
      </c>
      <c r="AN28" s="2516" t="str">
        <f t="shared" si="5"/>
        <v/>
      </c>
      <c r="AO28" s="2516" t="str">
        <f t="shared" si="5"/>
        <v/>
      </c>
      <c r="AP28" s="2516" t="str">
        <f t="shared" si="5"/>
        <v/>
      </c>
      <c r="AQ28" s="2516" t="str">
        <f t="shared" si="5"/>
        <v/>
      </c>
      <c r="AR28" s="2516" t="str">
        <f t="shared" si="5"/>
        <v/>
      </c>
      <c r="AS28" s="2516" t="str">
        <f t="shared" si="5"/>
        <v/>
      </c>
      <c r="AT28" s="2516" t="str">
        <f t="shared" si="5"/>
        <v/>
      </c>
      <c r="AU28" s="2516" t="str">
        <f t="shared" si="5"/>
        <v/>
      </c>
      <c r="AV28" s="2511"/>
      <c r="AW28" s="2514"/>
      <c r="AX28" s="2517"/>
      <c r="AY28" s="2517"/>
      <c r="AZ28" s="2511"/>
      <c r="BA28" s="2515"/>
      <c r="BB28" s="17"/>
      <c r="BC28" s="17"/>
      <c r="BD28" s="734"/>
      <c r="BE28" s="622"/>
      <c r="BF28" s="622"/>
      <c r="BG28" s="622"/>
      <c r="BH28" s="622"/>
      <c r="BI28" s="622"/>
      <c r="BJ28" s="622"/>
      <c r="BK28" s="622"/>
      <c r="BL28" s="622"/>
      <c r="BM28" s="622"/>
      <c r="BN28" s="622"/>
      <c r="BO28" s="622"/>
      <c r="BP28" s="622"/>
      <c r="BQ28" s="622"/>
      <c r="BR28" s="622"/>
      <c r="BS28" s="622"/>
      <c r="BT28" s="622"/>
      <c r="BU28" s="622"/>
      <c r="BV28" s="622"/>
      <c r="BW28" s="737"/>
      <c r="BX28" s="17"/>
      <c r="BY28" s="17"/>
      <c r="BZ28" s="604"/>
      <c r="CA28" s="635"/>
      <c r="CC28" s="2381">
        <f t="shared" si="6"/>
        <v>370</v>
      </c>
      <c r="CD28" s="2358">
        <f t="shared" si="7"/>
        <v>360</v>
      </c>
      <c r="CE28" s="2358">
        <f t="shared" si="8"/>
        <v>350</v>
      </c>
      <c r="CF28" s="2358">
        <f t="shared" si="9"/>
        <v>340</v>
      </c>
      <c r="CG28" s="2358">
        <f t="shared" si="10"/>
        <v>330</v>
      </c>
      <c r="CH28" s="2358">
        <f t="shared" si="11"/>
        <v>320</v>
      </c>
      <c r="CI28" s="2358">
        <f t="shared" si="12"/>
        <v>310</v>
      </c>
      <c r="CJ28" s="2358">
        <f t="shared" si="13"/>
        <v>305</v>
      </c>
      <c r="CK28" s="2358">
        <f t="shared" si="14"/>
        <v>315</v>
      </c>
      <c r="CL28" s="2358">
        <f t="shared" si="15"/>
        <v>325</v>
      </c>
      <c r="CM28" s="2358">
        <f t="shared" si="16"/>
        <v>335</v>
      </c>
      <c r="CN28" s="2358">
        <f t="shared" si="17"/>
        <v>345</v>
      </c>
      <c r="CO28" s="2358">
        <f t="shared" si="18"/>
        <v>355</v>
      </c>
      <c r="CP28" s="2358">
        <f t="shared" si="19"/>
        <v>365</v>
      </c>
      <c r="CQ28" s="2382">
        <f t="shared" si="20"/>
        <v>375</v>
      </c>
      <c r="CV28" s="2438">
        <v>1.3</v>
      </c>
    </row>
    <row r="29" spans="1:100" ht="17.100000000000001" customHeight="1" thickTop="1" x14ac:dyDescent="0.15">
      <c r="A29" s="17"/>
      <c r="B29" s="604"/>
      <c r="C29" s="17"/>
      <c r="D29" s="17"/>
      <c r="E29" s="734"/>
      <c r="F29" s="622"/>
      <c r="G29" s="4613" t="s">
        <v>68</v>
      </c>
      <c r="H29" s="4609"/>
      <c r="I29" s="4523" t="str">
        <f>IF(ISBLANK(G31),data!$JO$72,_xlfn.IFS(
ISNUMBER(SEARCH( data!$JP$23, G31 )), data!$JO$23,
ISNUMBER(SEARCH( data!$JP$24, G31 )), data!$JO$24,
ISNUMBER(SEARCH( data!$JP$25, G31 )), data!$JO$25,
ISNUMBER(SEARCH( data!$JP$26, G31 )), data!$JO$26,
ISNUMBER(SEARCH( data!$JP$27, G31 )), data!$JO$27,
ISNUMBER(SEARCH( data!$JP$28, G31 )), data!$JO$28,
ISNUMBER(SEARCH( data!$JP$29, G31 )), data!$JO$29,
ISNUMBER(SEARCH( data!$JP$30, G31 )), data!$JO$30,
ISNUMBER(SEARCH( data!$JP$31, G31 )), data!$JO$31,
ISNUMBER(SEARCH( data!$JP$32, G31 )), data!$JO$32,
ISNUMBER(SEARCH( data!$JP$33, G31 )), data!$JO$33,
ISNUMBER(SEARCH( data!$JP$34, G31 )), data!$JO$34,
ISNUMBER(SEARCH( data!$JP$35, G31 )), data!$JO$35,
ISNUMBER(SEARCH( data!$JP$36, G31 )), data!$JO$36,
ISNUMBER(SEARCH( data!$JP$37, G31 )), data!$JO$37,
ISNUMBER(SEARCH( data!$JP$38, G31 )), data!$JO$38,
ISNUMBER(SEARCH( data!$JP$39, G31 )), data!$JO$39,
ISNUMBER(SEARCH( data!$JP$40, G31 )), data!$JO$40,
ISNUMBER(SEARCH( data!$JP$41, G31 )), data!$JO$41,
ISNUMBER(SEARCH( data!$JP$42, G31 )), data!$JO$42,
ISNUMBER(SEARCH( data!$JP$43, G31 )), data!$JO$43,
ISNUMBER(SEARCH( data!$JP$44, G31 )), data!$JO$44,
ISNUMBER(SEARCH( data!$JP$45, G31 )), data!$JO$45,
ISNUMBER(SEARCH( data!$JP$46, G31 )), data!$JO$46,
ISNUMBER(SEARCH( data!$JP$47, G31 )), data!$JO$47,
ISNUMBER(SEARCH( data!$JP$48, G31 )), data!$JO$48,
ISNUMBER(SEARCH( data!$JP$49, G31 )), data!$JO$49,
ISNUMBER(SEARCH( data!$JP$50, G31 )), data!$JO$50,
ISNUMBER(SEARCH( data!$JP$51, G31 )), data!$JO$51,
ISNUMBER(SEARCH( data!$JP$52, G31 )), data!$JO$52,
ISNUMBER(SEARCH( data!$JP$53, G31 )), data!$JO$53,
ISNUMBER(SEARCH( data!$JP$54, G31 )), data!$JO$54,
ISNUMBER(SEARCH( data!$JP$55, G31 )), data!$JO$55,
ISNUMBER(SEARCH( data!$JP$56, G31 )), data!$JO$56,
ISNUMBER(SEARCH( data!$JP$57, G31 )), data!$JO$57,
ISNUMBER(SEARCH( data!$JP$58, G31 )), data!$JO$58,
ISNUMBER(SEARCH( data!$JP$59, G31 )), data!$JO$59,
ISNUMBER(SEARCH( data!$JP$60, G31 )), data!$JO$60,
ISNUMBER(SEARCH( data!$JP$61, G31 )), data!$JO$61,
ISNUMBER(SEARCH( data!$JP$62, G31 )), data!$JO$62,
ISNUMBER(SEARCH( data!$JP$63, G31 )), data!$JO$63,
ISNUMBER(SEARCH( data!$JP$64, G31 )), data!$JO$64,
ISNUMBER(SEARCH( data!$JP$65, G31 )), data!$JO$65,
ISNUMBER(SEARCH( data!$JP$66, G31 )), data!$JO$66,
ISNUMBER(SEARCH( data!$JP$67, G31 )), data!$JO$67,
ISNUMBER(SEARCH( data!$JP$68, G31 )), data!$JO$68,
ISNUMBER(SEARCH( data!$JP$69, G31 )), data!$JO$69,
ISNUMBER(SEARCH( data!$JP$70, G31 )), data!$JO$70,
ISNUMBER(SEARCH( data!$JP$71, G31 )), data!$JO$71,
ISNUMBER(SEARCH( data!$JR$23, G31 )), data!$JQ$23,
ISNUMBER(SEARCH( data!$JR$24, G31 )), data!$JQ$24,
ISNUMBER(SEARCH( data!$JR$25, G31 )), data!$JQ$25,
ISNUMBER(SEARCH( data!$JR$26, G31 )), data!$JQ$26,
ISNUMBER(SEARCH( data!$JR$27, G31 )), data!$JQ$27,
ISNUMBER(SEARCH( data!$JR$28, G31 )), data!$JQ$28,
ISNUMBER(SEARCH( data!$JR$29, G31 )), data!$JQ$29,
ISNUMBER(SEARCH( data!$JR$30, G31 )), data!$JQ$30,
ISNUMBER(SEARCH( data!$JR$31, G31 )), data!$JQ$31,
ISNUMBER(SEARCH( data!$JR$32, G31 )), data!$JQ$32,
ISNUMBER(SEARCH( data!$JR$33, G31 )), data!$JQ$33,
ISNUMBER(SEARCH( data!$JR$34, G31 )), data!$JQ$34,
ISNUMBER(SEARCH( data!$JR$35, G31 )), data!$JQ$35,
ISNUMBER(SEARCH( data!$JR$36, G31 )), data!$JQ$36,
ISNUMBER(SEARCH( data!$JR$37, G31 )), data!$JQ$37,
ISNUMBER(SEARCH( data!$JR$38, G31 )), data!$JQ$38,
ISNUMBER(SEARCH( data!$JR$39, G31 )), data!$JQ$39,
ISNUMBER(SEARCH( data!$JR$40, G31 )), data!$JQ$40,
ISNUMBER(SEARCH( data!$JR$41, G31 )), data!$JQ$41,
ISNUMBER(SEARCH( data!$JR$42, G31 )), data!$JQ$42,
ISNUMBER(SEARCH( data!$JR$43, G31 )), data!$JQ$43,
ISNUMBER(SEARCH( data!$JR$44, G31 )), data!$JQ$44,
ISNUMBER(SEARCH( data!$JR$45, G31 )), data!$JQ$45,
ISNUMBER(SEARCH( data!$JR$46, G31 )), data!$JQ$46,
ISNUMBER(SEARCH( data!$JR$47, G31 )), data!$JQ$47,
ISNUMBER(SEARCH( data!$JR$48, G31 )), data!$JQ$48,
ISNUMBER(SEARCH( data!$JR$49, G31 )), data!$JQ$49,
ISNUMBER(SEARCH( data!$JR$50, G31 )), data!$JQ$50,
ISNUMBER(SEARCH( data!$JR$51, G31 )), data!$JQ$51,
ISNUMBER(SEARCH( data!$JR$52, G31 )), data!$JQ$52,
ISNUMBER(SEARCH( data!$JR$53, G31 )), data!$JQ$53,
ISNUMBER(SEARCH( data!$JR$54, G31 )), data!$JQ$54,
ISNUMBER(SEARCH( data!$JR$55, G31 )), data!$JQ$55,
ISNUMBER(SEARCH( data!$JR$56, G31 )), data!$JQ$56,
ISNUMBER(SEARCH( data!$JR$57, G31 )), data!$JQ$57,
ISNUMBER(SEARCH( data!$JR$58, G31 )), data!$JQ$58,
ISNUMBER(SEARCH( data!$JR$59, G31 )), data!$JQ$59,
ISNUMBER(SEARCH( data!$JR$60, G31 )), data!$JQ$60,
ISNUMBER(SEARCH( data!$JR$61, G31 )), data!$JQ$61,
ISNUMBER(SEARCH( data!$JR$62, G31 )), data!$JQ$62,
ISNUMBER(SEARCH( data!$JR$63, G31 )), data!$JQ$63,
ISNUMBER(SEARCH( data!$JR$64, G31 )), data!$JQ$64,
ISNUMBER(SEARCH( data!$JR$65, G31 )), data!$JQ$65,
ISNUMBER(SEARCH( data!$JR$66, G31 )), data!$JQ$66,
ISNUMBER(SEARCH( data!$JR$67, G31 )), data!$JQ$67,
ISNUMBER(SEARCH( data!$JR$68, G31 )), data!$JQ$68,
ISNUMBER(SEARCH( data!$JR$69, G31 )), data!$JQ$69,
ISNUMBER(SEARCH( data!$JR$70, G31 )), data!$JQ$70,
ISNUMBER(SEARCH( data!$JR$71, G31 )), data!$JQ$71,
TRUE,data!$JQ$72))</f>
        <v>🞅</v>
      </c>
      <c r="J29" s="4523"/>
      <c r="K29" s="4523"/>
      <c r="L29" s="4609" t="s">
        <v>68</v>
      </c>
      <c r="M29" s="4610"/>
      <c r="N29" s="622"/>
      <c r="O29" s="622"/>
      <c r="P29" s="4613" t="s">
        <v>68</v>
      </c>
      <c r="Q29" s="4609"/>
      <c r="R29" s="4523" t="str">
        <f>IF(ISBLANK(P31),data!$JO$72,_xlfn.IFS(
ISNUMBER(SEARCH( data!$JP$23, P31 )), data!$JO$23,
ISNUMBER(SEARCH( data!$JP$24, P31 )), data!$JO$24,
ISNUMBER(SEARCH( data!$JP$25, P31 )), data!$JO$25,
ISNUMBER(SEARCH( data!$JP$26, P31 )), data!$JO$26,
ISNUMBER(SEARCH( data!$JP$27, P31 )), data!$JO$27,
ISNUMBER(SEARCH( data!$JP$28, P31 )), data!$JO$28,
ISNUMBER(SEARCH( data!$JP$29, P31 )), data!$JO$29,
ISNUMBER(SEARCH( data!$JP$30, P31 )), data!$JO$30,
ISNUMBER(SEARCH( data!$JP$31, P31 )), data!$JO$31,
ISNUMBER(SEARCH( data!$JP$32, P31 )), data!$JO$32,
ISNUMBER(SEARCH( data!$JP$33, P31 )), data!$JO$33,
ISNUMBER(SEARCH( data!$JP$34, P31 )), data!$JO$34,
ISNUMBER(SEARCH( data!$JP$35, P31 )), data!$JO$35,
ISNUMBER(SEARCH( data!$JP$36, P31 )), data!$JO$36,
ISNUMBER(SEARCH( data!$JP$37, P31 )), data!$JO$37,
ISNUMBER(SEARCH( data!$JP$38, P31 )), data!$JO$38,
ISNUMBER(SEARCH( data!$JP$39, P31 )), data!$JO$39,
ISNUMBER(SEARCH( data!$JP$40, P31 )), data!$JO$40,
ISNUMBER(SEARCH( data!$JP$41, P31 )), data!$JO$41,
ISNUMBER(SEARCH( data!$JP$42, P31 )), data!$JO$42,
ISNUMBER(SEARCH( data!$JP$43, P31 )), data!$JO$43,
ISNUMBER(SEARCH( data!$JP$44, P31 )), data!$JO$44,
ISNUMBER(SEARCH( data!$JP$45, P31 )), data!$JO$45,
ISNUMBER(SEARCH( data!$JP$46, P31 )), data!$JO$46,
ISNUMBER(SEARCH( data!$JP$47, P31 )), data!$JO$47,
ISNUMBER(SEARCH( data!$JP$48, P31 )), data!$JO$48,
ISNUMBER(SEARCH( data!$JP$49, P31 )), data!$JO$49,
ISNUMBER(SEARCH( data!$JP$50, P31 )), data!$JO$50,
ISNUMBER(SEARCH( data!$JP$51, P31 )), data!$JO$51,
ISNUMBER(SEARCH( data!$JP$52, P31 )), data!$JO$52,
ISNUMBER(SEARCH( data!$JP$53, P31 )), data!$JO$53,
ISNUMBER(SEARCH( data!$JP$54, P31 )), data!$JO$54,
ISNUMBER(SEARCH( data!$JP$55, P31 )), data!$JO$55,
ISNUMBER(SEARCH( data!$JP$56, P31 )), data!$JO$56,
ISNUMBER(SEARCH( data!$JP$57, P31 )), data!$JO$57,
ISNUMBER(SEARCH( data!$JP$58, P31 )), data!$JO$58,
ISNUMBER(SEARCH( data!$JP$59, P31 )), data!$JO$59,
ISNUMBER(SEARCH( data!$JP$60, P31 )), data!$JO$60,
ISNUMBER(SEARCH( data!$JP$61, P31 )), data!$JO$61,
ISNUMBER(SEARCH( data!$JP$62, P31 )), data!$JO$62,
ISNUMBER(SEARCH( data!$JP$63, P31 )), data!$JO$63,
ISNUMBER(SEARCH( data!$JP$64, P31 )), data!$JO$64,
ISNUMBER(SEARCH( data!$JP$65, P31 )), data!$JO$65,
ISNUMBER(SEARCH( data!$JP$66, P31 )), data!$JO$66,
ISNUMBER(SEARCH( data!$JP$67, P31 )), data!$JO$67,
ISNUMBER(SEARCH( data!$JP$68, P31 )), data!$JO$68,
ISNUMBER(SEARCH( data!$JP$69, P31 )), data!$JO$69,
ISNUMBER(SEARCH( data!$JP$70, P31 )), data!$JO$70,
ISNUMBER(SEARCH( data!$JP$71, P31 )), data!$JO$71,
ISNUMBER(SEARCH( data!$JR$23, P31 )), data!$JQ$23,
ISNUMBER(SEARCH( data!$JR$24, P31 )), data!$JQ$24,
ISNUMBER(SEARCH( data!$JR$25, P31 )), data!$JQ$25,
ISNUMBER(SEARCH( data!$JR$26, P31 )), data!$JQ$26,
ISNUMBER(SEARCH( data!$JR$27, P31 )), data!$JQ$27,
ISNUMBER(SEARCH( data!$JR$28, P31 )), data!$JQ$28,
ISNUMBER(SEARCH( data!$JR$29, P31 )), data!$JQ$29,
ISNUMBER(SEARCH( data!$JR$30, P31 )), data!$JQ$30,
ISNUMBER(SEARCH( data!$JR$31, P31 )), data!$JQ$31,
ISNUMBER(SEARCH( data!$JR$32, P31 )), data!$JQ$32,
ISNUMBER(SEARCH( data!$JR$33, P31 )), data!$JQ$33,
ISNUMBER(SEARCH( data!$JR$34, P31 )), data!$JQ$34,
ISNUMBER(SEARCH( data!$JR$35, P31 )), data!$JQ$35,
ISNUMBER(SEARCH( data!$JR$36, P31 )), data!$JQ$36,
ISNUMBER(SEARCH( data!$JR$37, P31 )), data!$JQ$37,
ISNUMBER(SEARCH( data!$JR$38, P31 )), data!$JQ$38,
ISNUMBER(SEARCH( data!$JR$39, P31 )), data!$JQ$39,
ISNUMBER(SEARCH( data!$JR$40, P31 )), data!$JQ$40,
ISNUMBER(SEARCH( data!$JR$41, P31 )), data!$JQ$41,
ISNUMBER(SEARCH( data!$JR$42, P31 )), data!$JQ$42,
ISNUMBER(SEARCH( data!$JR$43, P31 )), data!$JQ$43,
ISNUMBER(SEARCH( data!$JR$44, P31 )), data!$JQ$44,
ISNUMBER(SEARCH( data!$JR$45, P31 )), data!$JQ$45,
ISNUMBER(SEARCH( data!$JR$46, P31 )), data!$JQ$46,
ISNUMBER(SEARCH( data!$JR$47, P31 )), data!$JQ$47,
ISNUMBER(SEARCH( data!$JR$48, P31 )), data!$JQ$48,
ISNUMBER(SEARCH( data!$JR$49, P31 )), data!$JQ$49,
ISNUMBER(SEARCH( data!$JR$50, P31 )), data!$JQ$50,
ISNUMBER(SEARCH( data!$JR$51, P31 )), data!$JQ$51,
ISNUMBER(SEARCH( data!$JR$52, P31 )), data!$JQ$52,
ISNUMBER(SEARCH( data!$JR$53, P31 )), data!$JQ$53,
ISNUMBER(SEARCH( data!$JR$54, P31 )), data!$JQ$54,
ISNUMBER(SEARCH( data!$JR$55, P31 )), data!$JQ$55,
ISNUMBER(SEARCH( data!$JR$56, P31 )), data!$JQ$56,
ISNUMBER(SEARCH( data!$JR$57, P31 )), data!$JQ$57,
ISNUMBER(SEARCH( data!$JR$58, P31 )), data!$JQ$58,
ISNUMBER(SEARCH( data!$JR$59, P31 )), data!$JQ$59,
ISNUMBER(SEARCH( data!$JR$60, P31 )), data!$JQ$60,
ISNUMBER(SEARCH( data!$JR$61, P31 )), data!$JQ$61,
ISNUMBER(SEARCH( data!$JR$62, P31 )), data!$JQ$62,
ISNUMBER(SEARCH( data!$JR$63, P31 )), data!$JQ$63,
ISNUMBER(SEARCH( data!$JR$64, P31 )), data!$JQ$64,
ISNUMBER(SEARCH( data!$JR$65, P31 )), data!$JQ$65,
ISNUMBER(SEARCH( data!$JR$66, P31 )), data!$JQ$66,
ISNUMBER(SEARCH( data!$JR$67, P31 )), data!$JQ$67,
ISNUMBER(SEARCH( data!$JR$68, P31 )), data!$JQ$68,
ISNUMBER(SEARCH( data!$JR$69, P31 )), data!$JQ$69,
ISNUMBER(SEARCH( data!$JR$70, P31 )), data!$JQ$70,
ISNUMBER(SEARCH( data!$JR$71, P31 )), data!$JQ$71,
TRUE,data!$JQ$72))</f>
        <v>🞅</v>
      </c>
      <c r="S29" s="4523"/>
      <c r="T29" s="4523"/>
      <c r="U29" s="4609" t="s">
        <v>68</v>
      </c>
      <c r="V29" s="4610"/>
      <c r="W29" s="622"/>
      <c r="X29" s="737"/>
      <c r="Y29" s="17"/>
      <c r="Z29" s="605"/>
      <c r="AA29" s="2510"/>
      <c r="AB29" s="2511"/>
      <c r="AC29" s="4616" t="s">
        <v>1799</v>
      </c>
      <c r="AD29" s="4616"/>
      <c r="AE29" s="2511"/>
      <c r="AF29" s="2511"/>
      <c r="AG29" s="2516" t="str">
        <f t="shared" si="5"/>
        <v/>
      </c>
      <c r="AH29" s="2516" t="str">
        <f t="shared" si="5"/>
        <v/>
      </c>
      <c r="AI29" s="2516" t="str">
        <f t="shared" si="5"/>
        <v/>
      </c>
      <c r="AJ29" s="2516" t="str">
        <f t="shared" si="5"/>
        <v/>
      </c>
      <c r="AK29" s="2516" t="str">
        <f t="shared" si="5"/>
        <v/>
      </c>
      <c r="AL29" s="2516" t="str">
        <f t="shared" si="5"/>
        <v/>
      </c>
      <c r="AM29" s="2516" t="str">
        <f t="shared" si="5"/>
        <v/>
      </c>
      <c r="AN29" s="2516" t="str">
        <f t="shared" si="5"/>
        <v/>
      </c>
      <c r="AO29" s="2516" t="str">
        <f t="shared" si="5"/>
        <v/>
      </c>
      <c r="AP29" s="2516" t="str">
        <f t="shared" si="5"/>
        <v/>
      </c>
      <c r="AQ29" s="2516" t="str">
        <f t="shared" si="5"/>
        <v/>
      </c>
      <c r="AR29" s="2516" t="str">
        <f t="shared" si="5"/>
        <v/>
      </c>
      <c r="AS29" s="2516" t="str">
        <f t="shared" si="5"/>
        <v/>
      </c>
      <c r="AT29" s="2516" t="str">
        <f t="shared" si="5"/>
        <v/>
      </c>
      <c r="AU29" s="2516" t="str">
        <f t="shared" si="5"/>
        <v/>
      </c>
      <c r="AV29" s="2511"/>
      <c r="AW29" s="2514"/>
      <c r="AX29" s="4616" t="s">
        <v>1799</v>
      </c>
      <c r="AY29" s="4616"/>
      <c r="AZ29" s="2516"/>
      <c r="BA29" s="2515"/>
      <c r="BB29" s="17"/>
      <c r="BC29" s="17"/>
      <c r="BD29" s="734"/>
      <c r="BE29" s="622"/>
      <c r="BF29" s="4613" t="s">
        <v>68</v>
      </c>
      <c r="BG29" s="4609"/>
      <c r="BH29" s="4523" t="str">
        <f>IF(ISBLANK(BF31),data!$JO$72,_xlfn.IFS(
ISNUMBER(SEARCH( data!$JP$23, BF31 )), data!$JO$23,
ISNUMBER(SEARCH( data!$JP$24, BF31 )), data!$JO$24,
ISNUMBER(SEARCH( data!$JP$25, BF31 )), data!$JO$25,
ISNUMBER(SEARCH( data!$JP$26, BF31 )), data!$JO$26,
ISNUMBER(SEARCH( data!$JP$27, BF31 )), data!$JO$27,
ISNUMBER(SEARCH( data!$JP$28, BF31 )), data!$JO$28,
ISNUMBER(SEARCH( data!$JP$29, BF31 )), data!$JO$29,
ISNUMBER(SEARCH( data!$JP$30, BF31 )), data!$JO$30,
ISNUMBER(SEARCH( data!$JP$31, BF31 )), data!$JO$31,
ISNUMBER(SEARCH( data!$JP$32, BF31 )), data!$JO$32,
ISNUMBER(SEARCH( data!$JP$33, BF31 )), data!$JO$33,
ISNUMBER(SEARCH( data!$JP$34, BF31 )), data!$JO$34,
ISNUMBER(SEARCH( data!$JP$35, BF31 )), data!$JO$35,
ISNUMBER(SEARCH( data!$JP$36, BF31 )), data!$JO$36,
ISNUMBER(SEARCH( data!$JP$37, BF31 )), data!$JO$37,
ISNUMBER(SEARCH( data!$JP$38, BF31 )), data!$JO$38,
ISNUMBER(SEARCH( data!$JP$39, BF31 )), data!$JO$39,
ISNUMBER(SEARCH( data!$JP$40, BF31 )), data!$JO$40,
ISNUMBER(SEARCH( data!$JP$41, BF31 )), data!$JO$41,
ISNUMBER(SEARCH( data!$JP$42, BF31 )), data!$JO$42,
ISNUMBER(SEARCH( data!$JP$43, BF31 )), data!$JO$43,
ISNUMBER(SEARCH( data!$JP$44, BF31 )), data!$JO$44,
ISNUMBER(SEARCH( data!$JP$45, BF31 )), data!$JO$45,
ISNUMBER(SEARCH( data!$JP$46, BF31 )), data!$JO$46,
ISNUMBER(SEARCH( data!$JP$47, BF31 )), data!$JO$47,
ISNUMBER(SEARCH( data!$JP$48, BF31 )), data!$JO$48,
ISNUMBER(SEARCH( data!$JP$49, BF31 )), data!$JO$49,
ISNUMBER(SEARCH( data!$JP$50, BF31 )), data!$JO$50,
ISNUMBER(SEARCH( data!$JP$51, BF31 )), data!$JO$51,
ISNUMBER(SEARCH( data!$JP$52, BF31 )), data!$JO$52,
ISNUMBER(SEARCH( data!$JP$53, BF31 )), data!$JO$53,
ISNUMBER(SEARCH( data!$JP$54, BF31 )), data!$JO$54,
ISNUMBER(SEARCH( data!$JP$55, BF31 )), data!$JO$55,
ISNUMBER(SEARCH( data!$JP$56, BF31 )), data!$JO$56,
ISNUMBER(SEARCH( data!$JP$57, BF31 )), data!$JO$57,
ISNUMBER(SEARCH( data!$JP$58, BF31 )), data!$JO$58,
ISNUMBER(SEARCH( data!$JP$59, BF31 )), data!$JO$59,
ISNUMBER(SEARCH( data!$JP$60, BF31 )), data!$JO$60,
ISNUMBER(SEARCH( data!$JP$61, BF31 )), data!$JO$61,
ISNUMBER(SEARCH( data!$JP$62, BF31 )), data!$JO$62,
ISNUMBER(SEARCH( data!$JP$63, BF31 )), data!$JO$63,
ISNUMBER(SEARCH( data!$JP$64, BF31 )), data!$JO$64,
ISNUMBER(SEARCH( data!$JP$65, BF31 )), data!$JO$65,
ISNUMBER(SEARCH( data!$JP$66, BF31 )), data!$JO$66,
ISNUMBER(SEARCH( data!$JP$67, BF31 )), data!$JO$67,
ISNUMBER(SEARCH( data!$JP$68, BF31 )), data!$JO$68,
ISNUMBER(SEARCH( data!$JP$69, BF31 )), data!$JO$69,
ISNUMBER(SEARCH( data!$JP$70, BF31 )), data!$JO$70,
ISNUMBER(SEARCH( data!$JP$71, BF31 )), data!$JO$71,
ISNUMBER(SEARCH( data!$JR$23, BF31 )), data!$JQ$23,
ISNUMBER(SEARCH( data!$JR$24, BF31 )), data!$JQ$24,
ISNUMBER(SEARCH( data!$JR$25, BF31 )), data!$JQ$25,
ISNUMBER(SEARCH( data!$JR$26, BF31 )), data!$JQ$26,
ISNUMBER(SEARCH( data!$JR$27, BF31 )), data!$JQ$27,
ISNUMBER(SEARCH( data!$JR$28, BF31 )), data!$JQ$28,
ISNUMBER(SEARCH( data!$JR$29, BF31 )), data!$JQ$29,
ISNUMBER(SEARCH( data!$JR$30, BF31 )), data!$JQ$30,
ISNUMBER(SEARCH( data!$JR$31, BF31 )), data!$JQ$31,
ISNUMBER(SEARCH( data!$JR$32, BF31 )), data!$JQ$32,
ISNUMBER(SEARCH( data!$JR$33, BF31 )), data!$JQ$33,
ISNUMBER(SEARCH( data!$JR$34, BF31 )), data!$JQ$34,
ISNUMBER(SEARCH( data!$JR$35, BF31 )), data!$JQ$35,
ISNUMBER(SEARCH( data!$JR$36, BF31 )), data!$JQ$36,
ISNUMBER(SEARCH( data!$JR$37, BF31 )), data!$JQ$37,
ISNUMBER(SEARCH( data!$JR$38, BF31 )), data!$JQ$38,
ISNUMBER(SEARCH( data!$JR$39, BF31 )), data!$JQ$39,
ISNUMBER(SEARCH( data!$JR$40, BF31 )), data!$JQ$40,
ISNUMBER(SEARCH( data!$JR$41, BF31 )), data!$JQ$41,
ISNUMBER(SEARCH( data!$JR$42, BF31 )), data!$JQ$42,
ISNUMBER(SEARCH( data!$JR$43, BF31 )), data!$JQ$43,
ISNUMBER(SEARCH( data!$JR$44, BF31 )), data!$JQ$44,
ISNUMBER(SEARCH( data!$JR$45, BF31 )), data!$JQ$45,
ISNUMBER(SEARCH( data!$JR$46, BF31 )), data!$JQ$46,
ISNUMBER(SEARCH( data!$JR$47, BF31 )), data!$JQ$47,
ISNUMBER(SEARCH( data!$JR$48, BF31 )), data!$JQ$48,
ISNUMBER(SEARCH( data!$JR$49, BF31 )), data!$JQ$49,
ISNUMBER(SEARCH( data!$JR$50, BF31 )), data!$JQ$50,
ISNUMBER(SEARCH( data!$JR$51, BF31 )), data!$JQ$51,
ISNUMBER(SEARCH( data!$JR$52, BF31 )), data!$JQ$52,
ISNUMBER(SEARCH( data!$JR$53, BF31 )), data!$JQ$53,
ISNUMBER(SEARCH( data!$JR$54, BF31 )), data!$JQ$54,
ISNUMBER(SEARCH( data!$JR$55, BF31 )), data!$JQ$55,
ISNUMBER(SEARCH( data!$JR$56, BF31 )), data!$JQ$56,
ISNUMBER(SEARCH( data!$JR$57, BF31 )), data!$JQ$57,
ISNUMBER(SEARCH( data!$JR$58, BF31 )), data!$JQ$58,
ISNUMBER(SEARCH( data!$JR$59, BF31 )), data!$JQ$59,
ISNUMBER(SEARCH( data!$JR$60, BF31 )), data!$JQ$60,
ISNUMBER(SEARCH( data!$JR$61, BF31 )), data!$JQ$61,
ISNUMBER(SEARCH( data!$JR$62, BF31 )), data!$JQ$62,
ISNUMBER(SEARCH( data!$JR$63, BF31 )), data!$JQ$63,
ISNUMBER(SEARCH( data!$JR$64, BF31 )), data!$JQ$64,
ISNUMBER(SEARCH( data!$JR$65, BF31 )), data!$JQ$65,
ISNUMBER(SEARCH( data!$JR$66, BF31 )), data!$JQ$66,
ISNUMBER(SEARCH( data!$JR$67, BF31 )), data!$JQ$67,
ISNUMBER(SEARCH( data!$JR$68, BF31 )), data!$JQ$68,
ISNUMBER(SEARCH( data!$JR$69, BF31 )), data!$JQ$69,
ISNUMBER(SEARCH( data!$JR$70, BF31 )), data!$JQ$70,
ISNUMBER(SEARCH( data!$JR$71, BF31 )), data!$JQ$71,
TRUE,data!$JQ$72))</f>
        <v>🞅</v>
      </c>
      <c r="BI29" s="4523"/>
      <c r="BJ29" s="4523"/>
      <c r="BK29" s="4609" t="s">
        <v>68</v>
      </c>
      <c r="BL29" s="4610"/>
      <c r="BM29" s="622"/>
      <c r="BN29" s="622"/>
      <c r="BO29" s="4613" t="s">
        <v>68</v>
      </c>
      <c r="BP29" s="4609"/>
      <c r="BQ29" s="4523" t="str">
        <f>IF(ISBLANK(BO31),data!$JO$72,_xlfn.IFS(
ISNUMBER(SEARCH( data!$JP$23, BO31 )), data!$JO$23,
ISNUMBER(SEARCH( data!$JP$24, BO31 )), data!$JO$24,
ISNUMBER(SEARCH( data!$JP$25, BO31 )), data!$JO$25,
ISNUMBER(SEARCH( data!$JP$26, BO31 )), data!$JO$26,
ISNUMBER(SEARCH( data!$JP$27, BO31 )), data!$JO$27,
ISNUMBER(SEARCH( data!$JP$28, BO31 )), data!$JO$28,
ISNUMBER(SEARCH( data!$JP$29, BO31 )), data!$JO$29,
ISNUMBER(SEARCH( data!$JP$30, BO31 )), data!$JO$30,
ISNUMBER(SEARCH( data!$JP$31, BO31 )), data!$JO$31,
ISNUMBER(SEARCH( data!$JP$32, BO31 )), data!$JO$32,
ISNUMBER(SEARCH( data!$JP$33, BO31 )), data!$JO$33,
ISNUMBER(SEARCH( data!$JP$34, BO31 )), data!$JO$34,
ISNUMBER(SEARCH( data!$JP$35, BO31 )), data!$JO$35,
ISNUMBER(SEARCH( data!$JP$36, BO31 )), data!$JO$36,
ISNUMBER(SEARCH( data!$JP$37, BO31 )), data!$JO$37,
ISNUMBER(SEARCH( data!$JP$38, BO31 )), data!$JO$38,
ISNUMBER(SEARCH( data!$JP$39, BO31 )), data!$JO$39,
ISNUMBER(SEARCH( data!$JP$40, BO31 )), data!$JO$40,
ISNUMBER(SEARCH( data!$JP$41, BO31 )), data!$JO$41,
ISNUMBER(SEARCH( data!$JP$42, BO31 )), data!$JO$42,
ISNUMBER(SEARCH( data!$JP$43, BO31 )), data!$JO$43,
ISNUMBER(SEARCH( data!$JP$44, BO31 )), data!$JO$44,
ISNUMBER(SEARCH( data!$JP$45, BO31 )), data!$JO$45,
ISNUMBER(SEARCH( data!$JP$46, BO31 )), data!$JO$46,
ISNUMBER(SEARCH( data!$JP$47, BO31 )), data!$JO$47,
ISNUMBER(SEARCH( data!$JP$48, BO31 )), data!$JO$48,
ISNUMBER(SEARCH( data!$JP$49, BO31 )), data!$JO$49,
ISNUMBER(SEARCH( data!$JP$50, BO31 )), data!$JO$50,
ISNUMBER(SEARCH( data!$JP$51, BO31 )), data!$JO$51,
ISNUMBER(SEARCH( data!$JP$52, BO31 )), data!$JO$52,
ISNUMBER(SEARCH( data!$JP$53, BO31 )), data!$JO$53,
ISNUMBER(SEARCH( data!$JP$54, BO31 )), data!$JO$54,
ISNUMBER(SEARCH( data!$JP$55, BO31 )), data!$JO$55,
ISNUMBER(SEARCH( data!$JP$56, BO31 )), data!$JO$56,
ISNUMBER(SEARCH( data!$JP$57, BO31 )), data!$JO$57,
ISNUMBER(SEARCH( data!$JP$58, BO31 )), data!$JO$58,
ISNUMBER(SEARCH( data!$JP$59, BO31 )), data!$JO$59,
ISNUMBER(SEARCH( data!$JP$60, BO31 )), data!$JO$60,
ISNUMBER(SEARCH( data!$JP$61, BO31 )), data!$JO$61,
ISNUMBER(SEARCH( data!$JP$62, BO31 )), data!$JO$62,
ISNUMBER(SEARCH( data!$JP$63, BO31 )), data!$JO$63,
ISNUMBER(SEARCH( data!$JP$64, BO31 )), data!$JO$64,
ISNUMBER(SEARCH( data!$JP$65, BO31 )), data!$JO$65,
ISNUMBER(SEARCH( data!$JP$66, BO31 )), data!$JO$66,
ISNUMBER(SEARCH( data!$JP$67, BO31 )), data!$JO$67,
ISNUMBER(SEARCH( data!$JP$68, BO31 )), data!$JO$68,
ISNUMBER(SEARCH( data!$JP$69, BO31 )), data!$JO$69,
ISNUMBER(SEARCH( data!$JP$70, BO31 )), data!$JO$70,
ISNUMBER(SEARCH( data!$JP$71, BO31 )), data!$JO$71,
ISNUMBER(SEARCH( data!$JR$23, BO31 )), data!$JQ$23,
ISNUMBER(SEARCH( data!$JR$24, BO31 )), data!$JQ$24,
ISNUMBER(SEARCH( data!$JR$25, BO31 )), data!$JQ$25,
ISNUMBER(SEARCH( data!$JR$26, BO31 )), data!$JQ$26,
ISNUMBER(SEARCH( data!$JR$27, BO31 )), data!$JQ$27,
ISNUMBER(SEARCH( data!$JR$28, BO31 )), data!$JQ$28,
ISNUMBER(SEARCH( data!$JR$29, BO31 )), data!$JQ$29,
ISNUMBER(SEARCH( data!$JR$30, BO31 )), data!$JQ$30,
ISNUMBER(SEARCH( data!$JR$31, BO31 )), data!$JQ$31,
ISNUMBER(SEARCH( data!$JR$32, BO31 )), data!$JQ$32,
ISNUMBER(SEARCH( data!$JR$33, BO31 )), data!$JQ$33,
ISNUMBER(SEARCH( data!$JR$34, BO31 )), data!$JQ$34,
ISNUMBER(SEARCH( data!$JR$35, BO31 )), data!$JQ$35,
ISNUMBER(SEARCH( data!$JR$36, BO31 )), data!$JQ$36,
ISNUMBER(SEARCH( data!$JR$37, BO31 )), data!$JQ$37,
ISNUMBER(SEARCH( data!$JR$38, BO31 )), data!$JQ$38,
ISNUMBER(SEARCH( data!$JR$39, BO31 )), data!$JQ$39,
ISNUMBER(SEARCH( data!$JR$40, BO31 )), data!$JQ$40,
ISNUMBER(SEARCH( data!$JR$41, BO31 )), data!$JQ$41,
ISNUMBER(SEARCH( data!$JR$42, BO31 )), data!$JQ$42,
ISNUMBER(SEARCH( data!$JR$43, BO31 )), data!$JQ$43,
ISNUMBER(SEARCH( data!$JR$44, BO31 )), data!$JQ$44,
ISNUMBER(SEARCH( data!$JR$45, BO31 )), data!$JQ$45,
ISNUMBER(SEARCH( data!$JR$46, BO31 )), data!$JQ$46,
ISNUMBER(SEARCH( data!$JR$47, BO31 )), data!$JQ$47,
ISNUMBER(SEARCH( data!$JR$48, BO31 )), data!$JQ$48,
ISNUMBER(SEARCH( data!$JR$49, BO31 )), data!$JQ$49,
ISNUMBER(SEARCH( data!$JR$50, BO31 )), data!$JQ$50,
ISNUMBER(SEARCH( data!$JR$51, BO31 )), data!$JQ$51,
ISNUMBER(SEARCH( data!$JR$52, BO31 )), data!$JQ$52,
ISNUMBER(SEARCH( data!$JR$53, BO31 )), data!$JQ$53,
ISNUMBER(SEARCH( data!$JR$54, BO31 )), data!$JQ$54,
ISNUMBER(SEARCH( data!$JR$55, BO31 )), data!$JQ$55,
ISNUMBER(SEARCH( data!$JR$56, BO31 )), data!$JQ$56,
ISNUMBER(SEARCH( data!$JR$57, BO31 )), data!$JQ$57,
ISNUMBER(SEARCH( data!$JR$58, BO31 )), data!$JQ$58,
ISNUMBER(SEARCH( data!$JR$59, BO31 )), data!$JQ$59,
ISNUMBER(SEARCH( data!$JR$60, BO31 )), data!$JQ$60,
ISNUMBER(SEARCH( data!$JR$61, BO31 )), data!$JQ$61,
ISNUMBER(SEARCH( data!$JR$62, BO31 )), data!$JQ$62,
ISNUMBER(SEARCH( data!$JR$63, BO31 )), data!$JQ$63,
ISNUMBER(SEARCH( data!$JR$64, BO31 )), data!$JQ$64,
ISNUMBER(SEARCH( data!$JR$65, BO31 )), data!$JQ$65,
ISNUMBER(SEARCH( data!$JR$66, BO31 )), data!$JQ$66,
ISNUMBER(SEARCH( data!$JR$67, BO31 )), data!$JQ$67,
ISNUMBER(SEARCH( data!$JR$68, BO31 )), data!$JQ$68,
ISNUMBER(SEARCH( data!$JR$69, BO31 )), data!$JQ$69,
ISNUMBER(SEARCH( data!$JR$70, BO31 )), data!$JQ$70,
ISNUMBER(SEARCH( data!$JR$71, BO31 )), data!$JQ$71,
TRUE,data!$JQ$72))</f>
        <v>🞅</v>
      </c>
      <c r="BR29" s="4523"/>
      <c r="BS29" s="4523"/>
      <c r="BT29" s="4609" t="s">
        <v>68</v>
      </c>
      <c r="BU29" s="4610"/>
      <c r="BV29" s="622"/>
      <c r="BW29" s="737"/>
      <c r="BX29" s="17"/>
      <c r="BY29" s="17"/>
      <c r="BZ29" s="604"/>
      <c r="CA29" s="635"/>
      <c r="CC29" s="2381">
        <f t="shared" si="6"/>
        <v>295</v>
      </c>
      <c r="CD29" s="2358">
        <f t="shared" si="7"/>
        <v>285</v>
      </c>
      <c r="CE29" s="2358">
        <f t="shared" si="8"/>
        <v>275</v>
      </c>
      <c r="CF29" s="2358">
        <f t="shared" si="9"/>
        <v>265</v>
      </c>
      <c r="CG29" s="2358">
        <f t="shared" si="10"/>
        <v>255</v>
      </c>
      <c r="CH29" s="2358">
        <f t="shared" si="11"/>
        <v>245</v>
      </c>
      <c r="CI29" s="2358">
        <f t="shared" si="12"/>
        <v>235</v>
      </c>
      <c r="CJ29" s="2358">
        <f t="shared" si="13"/>
        <v>230</v>
      </c>
      <c r="CK29" s="2358">
        <f t="shared" si="14"/>
        <v>240</v>
      </c>
      <c r="CL29" s="2358">
        <f t="shared" si="15"/>
        <v>250</v>
      </c>
      <c r="CM29" s="2358">
        <f t="shared" si="16"/>
        <v>260</v>
      </c>
      <c r="CN29" s="2358">
        <f t="shared" si="17"/>
        <v>270</v>
      </c>
      <c r="CO29" s="2358">
        <f t="shared" si="18"/>
        <v>280</v>
      </c>
      <c r="CP29" s="2358">
        <f t="shared" si="19"/>
        <v>290</v>
      </c>
      <c r="CQ29" s="2382">
        <f t="shared" si="20"/>
        <v>300</v>
      </c>
      <c r="CV29" s="2438">
        <v>1.35</v>
      </c>
    </row>
    <row r="30" spans="1:100" ht="17.100000000000001" customHeight="1" x14ac:dyDescent="0.15">
      <c r="A30" s="17"/>
      <c r="B30" s="604"/>
      <c r="C30" s="17"/>
      <c r="D30" s="17"/>
      <c r="E30" s="734"/>
      <c r="F30" s="622"/>
      <c r="G30" s="4614"/>
      <c r="H30" s="4611"/>
      <c r="I30" s="4524"/>
      <c r="J30" s="4524"/>
      <c r="K30" s="4524"/>
      <c r="L30" s="4611"/>
      <c r="M30" s="4612"/>
      <c r="N30" s="622"/>
      <c r="O30" s="622"/>
      <c r="P30" s="4614"/>
      <c r="Q30" s="4611"/>
      <c r="R30" s="4524"/>
      <c r="S30" s="4524"/>
      <c r="T30" s="4524"/>
      <c r="U30" s="4611"/>
      <c r="V30" s="4612"/>
      <c r="W30" s="622"/>
      <c r="X30" s="737"/>
      <c r="Y30" s="17"/>
      <c r="Z30" s="605"/>
      <c r="AA30" s="2510"/>
      <c r="AB30" s="2511"/>
      <c r="AC30" s="4616"/>
      <c r="AD30" s="4616"/>
      <c r="AE30" s="2511"/>
      <c r="AF30" s="2511"/>
      <c r="AG30" s="2516" t="str">
        <f t="shared" si="5"/>
        <v/>
      </c>
      <c r="AH30" s="2516" t="str">
        <f t="shared" si="5"/>
        <v/>
      </c>
      <c r="AI30" s="2516" t="str">
        <f t="shared" si="5"/>
        <v/>
      </c>
      <c r="AJ30" s="2516" t="str">
        <f t="shared" si="5"/>
        <v/>
      </c>
      <c r="AK30" s="2516" t="str">
        <f t="shared" si="5"/>
        <v/>
      </c>
      <c r="AL30" s="2516" t="str">
        <f t="shared" si="5"/>
        <v/>
      </c>
      <c r="AM30" s="2516" t="str">
        <f t="shared" si="5"/>
        <v/>
      </c>
      <c r="AN30" s="2516" t="str">
        <f t="shared" si="5"/>
        <v/>
      </c>
      <c r="AO30" s="2516" t="str">
        <f t="shared" si="5"/>
        <v/>
      </c>
      <c r="AP30" s="2516" t="str">
        <f t="shared" si="5"/>
        <v/>
      </c>
      <c r="AQ30" s="2516" t="str">
        <f t="shared" si="5"/>
        <v/>
      </c>
      <c r="AR30" s="2516" t="str">
        <f t="shared" si="5"/>
        <v/>
      </c>
      <c r="AS30" s="2516" t="str">
        <f t="shared" si="5"/>
        <v/>
      </c>
      <c r="AT30" s="2516" t="str">
        <f t="shared" si="5"/>
        <v/>
      </c>
      <c r="AU30" s="2516" t="str">
        <f t="shared" si="5"/>
        <v/>
      </c>
      <c r="AV30" s="2511"/>
      <c r="AW30" s="2514"/>
      <c r="AX30" s="4616"/>
      <c r="AY30" s="4616"/>
      <c r="AZ30" s="2516"/>
      <c r="BA30" s="2515"/>
      <c r="BB30" s="17"/>
      <c r="BC30" s="17"/>
      <c r="BD30" s="734"/>
      <c r="BE30" s="622"/>
      <c r="BF30" s="4614"/>
      <c r="BG30" s="4611"/>
      <c r="BH30" s="4524"/>
      <c r="BI30" s="4524"/>
      <c r="BJ30" s="4524"/>
      <c r="BK30" s="4611"/>
      <c r="BL30" s="4612"/>
      <c r="BM30" s="622"/>
      <c r="BN30" s="622"/>
      <c r="BO30" s="4614"/>
      <c r="BP30" s="4611"/>
      <c r="BQ30" s="4524"/>
      <c r="BR30" s="4524"/>
      <c r="BS30" s="4524"/>
      <c r="BT30" s="4611"/>
      <c r="BU30" s="4612"/>
      <c r="BV30" s="622"/>
      <c r="BW30" s="737"/>
      <c r="BX30" s="17"/>
      <c r="BY30" s="17"/>
      <c r="BZ30" s="604"/>
      <c r="CA30" s="635"/>
      <c r="CC30" s="2381">
        <f t="shared" si="6"/>
        <v>220</v>
      </c>
      <c r="CD30" s="2358">
        <f t="shared" si="7"/>
        <v>210</v>
      </c>
      <c r="CE30" s="2358">
        <f t="shared" si="8"/>
        <v>200</v>
      </c>
      <c r="CF30" s="2358">
        <f t="shared" si="9"/>
        <v>190</v>
      </c>
      <c r="CG30" s="2358">
        <f t="shared" si="10"/>
        <v>180</v>
      </c>
      <c r="CH30" s="2358">
        <f t="shared" si="11"/>
        <v>170</v>
      </c>
      <c r="CI30" s="2358">
        <f t="shared" si="12"/>
        <v>160</v>
      </c>
      <c r="CJ30" s="2358">
        <f t="shared" si="13"/>
        <v>155</v>
      </c>
      <c r="CK30" s="2358">
        <f t="shared" si="14"/>
        <v>165</v>
      </c>
      <c r="CL30" s="2358">
        <f t="shared" si="15"/>
        <v>175</v>
      </c>
      <c r="CM30" s="2358">
        <f t="shared" si="16"/>
        <v>185</v>
      </c>
      <c r="CN30" s="2358">
        <f t="shared" si="17"/>
        <v>195</v>
      </c>
      <c r="CO30" s="2358">
        <f t="shared" si="18"/>
        <v>205</v>
      </c>
      <c r="CP30" s="2358">
        <f t="shared" si="19"/>
        <v>215</v>
      </c>
      <c r="CQ30" s="2382">
        <f t="shared" si="20"/>
        <v>225</v>
      </c>
      <c r="CV30" s="2438">
        <v>1.4</v>
      </c>
    </row>
    <row r="31" spans="1:100" ht="17.100000000000001" customHeight="1" x14ac:dyDescent="0.15">
      <c r="A31" s="17"/>
      <c r="B31" s="604"/>
      <c r="C31" s="17"/>
      <c r="D31" s="17"/>
      <c r="E31" s="734"/>
      <c r="F31" s="622"/>
      <c r="G31" s="4527"/>
      <c r="H31" s="4528"/>
      <c r="I31" s="4528"/>
      <c r="J31" s="4528"/>
      <c r="K31" s="4528"/>
      <c r="L31" s="4528"/>
      <c r="M31" s="4529"/>
      <c r="N31" s="622"/>
      <c r="O31" s="622"/>
      <c r="P31" s="4527"/>
      <c r="Q31" s="4528"/>
      <c r="R31" s="4528"/>
      <c r="S31" s="4528"/>
      <c r="T31" s="4528"/>
      <c r="U31" s="4528"/>
      <c r="V31" s="4529"/>
      <c r="W31" s="622"/>
      <c r="X31" s="737"/>
      <c r="Y31" s="17"/>
      <c r="Z31" s="605"/>
      <c r="AA31" s="2510"/>
      <c r="AB31" s="2511"/>
      <c r="AC31" s="4615" t="s">
        <v>1391</v>
      </c>
      <c r="AD31" s="4615"/>
      <c r="AE31" s="2511"/>
      <c r="AF31" s="2511"/>
      <c r="AG31" s="2516" t="str">
        <f t="shared" si="5"/>
        <v/>
      </c>
      <c r="AH31" s="2516" t="str">
        <f t="shared" si="5"/>
        <v/>
      </c>
      <c r="AI31" s="2516" t="str">
        <f t="shared" si="5"/>
        <v/>
      </c>
      <c r="AJ31" s="2516" t="str">
        <f t="shared" si="5"/>
        <v/>
      </c>
      <c r="AK31" s="2516" t="str">
        <f t="shared" si="5"/>
        <v/>
      </c>
      <c r="AL31" s="2516" t="str">
        <f t="shared" si="5"/>
        <v/>
      </c>
      <c r="AM31" s="2516" t="str">
        <f t="shared" si="5"/>
        <v/>
      </c>
      <c r="AN31" s="2516" t="str">
        <f t="shared" si="5"/>
        <v/>
      </c>
      <c r="AO31" s="2516" t="str">
        <f t="shared" si="5"/>
        <v/>
      </c>
      <c r="AP31" s="2516" t="str">
        <f t="shared" si="5"/>
        <v/>
      </c>
      <c r="AQ31" s="2516" t="str">
        <f t="shared" si="5"/>
        <v/>
      </c>
      <c r="AR31" s="2516" t="str">
        <f t="shared" si="5"/>
        <v/>
      </c>
      <c r="AS31" s="2516" t="str">
        <f t="shared" si="5"/>
        <v/>
      </c>
      <c r="AT31" s="2516" t="str">
        <f t="shared" si="5"/>
        <v/>
      </c>
      <c r="AU31" s="2516" t="str">
        <f t="shared" si="5"/>
        <v/>
      </c>
      <c r="AV31" s="2511"/>
      <c r="AW31" s="2514"/>
      <c r="AX31" s="4615" t="s">
        <v>1391</v>
      </c>
      <c r="AY31" s="4615"/>
      <c r="AZ31" s="2511"/>
      <c r="BA31" s="2515"/>
      <c r="BB31" s="17"/>
      <c r="BC31" s="17"/>
      <c r="BD31" s="734"/>
      <c r="BE31" s="622"/>
      <c r="BF31" s="4527"/>
      <c r="BG31" s="4528"/>
      <c r="BH31" s="4528"/>
      <c r="BI31" s="4528"/>
      <c r="BJ31" s="4528"/>
      <c r="BK31" s="4528"/>
      <c r="BL31" s="4529"/>
      <c r="BM31" s="622"/>
      <c r="BN31" s="622"/>
      <c r="BO31" s="4527"/>
      <c r="BP31" s="4528"/>
      <c r="BQ31" s="4528"/>
      <c r="BR31" s="4528"/>
      <c r="BS31" s="4528"/>
      <c r="BT31" s="4528"/>
      <c r="BU31" s="4529"/>
      <c r="BV31" s="622"/>
      <c r="BW31" s="737"/>
      <c r="BX31" s="17"/>
      <c r="BY31" s="639"/>
      <c r="BZ31" s="604"/>
      <c r="CA31" s="635"/>
      <c r="CC31" s="2381">
        <f t="shared" si="6"/>
        <v>145</v>
      </c>
      <c r="CD31" s="2358">
        <f t="shared" si="7"/>
        <v>135</v>
      </c>
      <c r="CE31" s="2358">
        <f t="shared" si="8"/>
        <v>125</v>
      </c>
      <c r="CF31" s="2358">
        <f t="shared" si="9"/>
        <v>115</v>
      </c>
      <c r="CG31" s="2358">
        <f t="shared" si="10"/>
        <v>105</v>
      </c>
      <c r="CH31" s="2358">
        <f t="shared" si="11"/>
        <v>95</v>
      </c>
      <c r="CI31" s="2358">
        <f t="shared" si="12"/>
        <v>85</v>
      </c>
      <c r="CJ31" s="2358">
        <f t="shared" si="13"/>
        <v>80</v>
      </c>
      <c r="CK31" s="2358">
        <f t="shared" si="14"/>
        <v>90</v>
      </c>
      <c r="CL31" s="2358">
        <f t="shared" si="15"/>
        <v>100</v>
      </c>
      <c r="CM31" s="2358">
        <f t="shared" si="16"/>
        <v>110</v>
      </c>
      <c r="CN31" s="2358">
        <f t="shared" si="17"/>
        <v>120</v>
      </c>
      <c r="CO31" s="2358">
        <f t="shared" si="18"/>
        <v>130</v>
      </c>
      <c r="CP31" s="2358">
        <f t="shared" si="19"/>
        <v>140</v>
      </c>
      <c r="CQ31" s="2382">
        <f t="shared" si="20"/>
        <v>150</v>
      </c>
      <c r="CV31" s="2438">
        <v>1.45</v>
      </c>
    </row>
    <row r="32" spans="1:100" ht="17.100000000000001" customHeight="1" thickBot="1" x14ac:dyDescent="0.2">
      <c r="A32" s="17"/>
      <c r="B32" s="604"/>
      <c r="C32" s="17"/>
      <c r="D32" s="17"/>
      <c r="E32" s="734"/>
      <c r="F32" s="622"/>
      <c r="G32" s="4530"/>
      <c r="H32" s="4531"/>
      <c r="I32" s="4531"/>
      <c r="J32" s="4531"/>
      <c r="K32" s="4531"/>
      <c r="L32" s="4531"/>
      <c r="M32" s="4532"/>
      <c r="N32" s="622"/>
      <c r="O32" s="622"/>
      <c r="P32" s="4530"/>
      <c r="Q32" s="4531"/>
      <c r="R32" s="4531"/>
      <c r="S32" s="4531"/>
      <c r="T32" s="4531"/>
      <c r="U32" s="4531"/>
      <c r="V32" s="4532"/>
      <c r="W32" s="622"/>
      <c r="X32" s="737"/>
      <c r="Y32" s="17"/>
      <c r="Z32" s="605"/>
      <c r="AA32" s="2510"/>
      <c r="AB32" s="2511"/>
      <c r="AC32" s="4615"/>
      <c r="AD32" s="4615"/>
      <c r="AE32" s="2511"/>
      <c r="AF32" s="2511"/>
      <c r="AG32" s="2516" t="str">
        <f t="shared" si="5"/>
        <v/>
      </c>
      <c r="AH32" s="2516" t="str">
        <f t="shared" si="5"/>
        <v/>
      </c>
      <c r="AI32" s="2516" t="str">
        <f t="shared" si="5"/>
        <v/>
      </c>
      <c r="AJ32" s="2516" t="str">
        <f t="shared" si="5"/>
        <v/>
      </c>
      <c r="AK32" s="2516" t="str">
        <f t="shared" si="5"/>
        <v/>
      </c>
      <c r="AL32" s="2516" t="str">
        <f t="shared" si="5"/>
        <v/>
      </c>
      <c r="AM32" s="2516" t="str">
        <f t="shared" si="5"/>
        <v/>
      </c>
      <c r="AN32" s="2516" t="str">
        <f t="shared" si="5"/>
        <v/>
      </c>
      <c r="AO32" s="2516" t="str">
        <f t="shared" si="5"/>
        <v/>
      </c>
      <c r="AP32" s="2516" t="str">
        <f t="shared" si="5"/>
        <v/>
      </c>
      <c r="AQ32" s="2516" t="str">
        <f t="shared" si="5"/>
        <v/>
      </c>
      <c r="AR32" s="2516" t="str">
        <f t="shared" si="5"/>
        <v/>
      </c>
      <c r="AS32" s="2516" t="str">
        <f t="shared" si="5"/>
        <v/>
      </c>
      <c r="AT32" s="2516" t="str">
        <f t="shared" si="5"/>
        <v/>
      </c>
      <c r="AU32" s="2516" t="str">
        <f t="shared" si="5"/>
        <v/>
      </c>
      <c r="AV32" s="2511"/>
      <c r="AW32" s="2514"/>
      <c r="AX32" s="4615"/>
      <c r="AY32" s="4615"/>
      <c r="AZ32" s="2511"/>
      <c r="BA32" s="2515"/>
      <c r="BB32" s="17"/>
      <c r="BC32" s="17"/>
      <c r="BD32" s="734"/>
      <c r="BE32" s="622"/>
      <c r="BF32" s="4530"/>
      <c r="BG32" s="4531"/>
      <c r="BH32" s="4531"/>
      <c r="BI32" s="4531"/>
      <c r="BJ32" s="4531"/>
      <c r="BK32" s="4531"/>
      <c r="BL32" s="4532"/>
      <c r="BM32" s="622"/>
      <c r="BN32" s="622"/>
      <c r="BO32" s="4530"/>
      <c r="BP32" s="4531"/>
      <c r="BQ32" s="4531"/>
      <c r="BR32" s="4531"/>
      <c r="BS32" s="4531"/>
      <c r="BT32" s="4531"/>
      <c r="BU32" s="4532"/>
      <c r="BV32" s="622"/>
      <c r="BW32" s="737"/>
      <c r="BX32" s="17"/>
      <c r="BY32" s="640"/>
      <c r="BZ32" s="604"/>
      <c r="CA32" s="635"/>
      <c r="CC32" s="2383">
        <f t="shared" si="6"/>
        <v>70</v>
      </c>
      <c r="CD32" s="2363">
        <f t="shared" si="7"/>
        <v>60</v>
      </c>
      <c r="CE32" s="2363">
        <f t="shared" si="8"/>
        <v>50</v>
      </c>
      <c r="CF32" s="2363">
        <f t="shared" si="9"/>
        <v>40</v>
      </c>
      <c r="CG32" s="2363">
        <f t="shared" si="10"/>
        <v>30</v>
      </c>
      <c r="CH32" s="2363">
        <f t="shared" si="11"/>
        <v>20</v>
      </c>
      <c r="CI32" s="2384">
        <f t="shared" si="12"/>
        <v>10</v>
      </c>
      <c r="CJ32" s="2364">
        <v>5</v>
      </c>
      <c r="CK32" s="2383">
        <f t="shared" si="14"/>
        <v>15</v>
      </c>
      <c r="CL32" s="2363">
        <f t="shared" si="15"/>
        <v>25</v>
      </c>
      <c r="CM32" s="2363">
        <f t="shared" si="16"/>
        <v>35</v>
      </c>
      <c r="CN32" s="2363">
        <f t="shared" si="17"/>
        <v>45</v>
      </c>
      <c r="CO32" s="2363">
        <f t="shared" si="18"/>
        <v>55</v>
      </c>
      <c r="CP32" s="2363">
        <f t="shared" si="19"/>
        <v>65</v>
      </c>
      <c r="CQ32" s="2384">
        <f t="shared" si="20"/>
        <v>75</v>
      </c>
      <c r="CV32" s="2438">
        <v>1.5</v>
      </c>
    </row>
    <row r="33" spans="1:103" ht="17.100000000000001" customHeight="1" thickTop="1" x14ac:dyDescent="0.15">
      <c r="A33" s="17"/>
      <c r="B33" s="604"/>
      <c r="C33" s="17"/>
      <c r="D33" s="17"/>
      <c r="E33" s="734"/>
      <c r="F33" s="622"/>
      <c r="G33" s="622"/>
      <c r="H33" s="622"/>
      <c r="I33" s="622"/>
      <c r="J33" s="622"/>
      <c r="K33" s="622"/>
      <c r="L33" s="622"/>
      <c r="M33" s="622"/>
      <c r="N33" s="622"/>
      <c r="O33" s="622"/>
      <c r="P33" s="622"/>
      <c r="Q33" s="622"/>
      <c r="R33" s="622"/>
      <c r="S33" s="622"/>
      <c r="T33" s="622"/>
      <c r="U33" s="622"/>
      <c r="V33" s="622"/>
      <c r="W33" s="622"/>
      <c r="X33" s="737"/>
      <c r="Y33" s="17"/>
      <c r="Z33" s="605"/>
      <c r="AA33" s="2510"/>
      <c r="AB33" s="2511"/>
      <c r="AC33" s="2511"/>
      <c r="AD33" s="2511"/>
      <c r="AE33" s="2511"/>
      <c r="AF33" s="2511"/>
      <c r="AG33" s="2516"/>
      <c r="AH33" s="2516"/>
      <c r="AI33" s="2516"/>
      <c r="AJ33" s="2516"/>
      <c r="AK33" s="2516"/>
      <c r="AL33" s="2516"/>
      <c r="AM33" s="2516"/>
      <c r="AN33" s="2516"/>
      <c r="AO33" s="2516"/>
      <c r="AP33" s="2516"/>
      <c r="AQ33" s="2516"/>
      <c r="AR33" s="2516"/>
      <c r="AS33" s="2516"/>
      <c r="AT33" s="2516"/>
      <c r="AU33" s="2516"/>
      <c r="AV33" s="2511"/>
      <c r="AW33" s="2514"/>
      <c r="AX33" s="2511"/>
      <c r="AY33" s="2511"/>
      <c r="AZ33" s="2511"/>
      <c r="BA33" s="2515"/>
      <c r="BB33" s="17"/>
      <c r="BC33" s="17"/>
      <c r="BD33" s="734"/>
      <c r="BE33" s="622"/>
      <c r="BF33" s="622"/>
      <c r="BG33" s="622"/>
      <c r="BH33" s="622"/>
      <c r="BI33" s="622"/>
      <c r="BJ33" s="622"/>
      <c r="BK33" s="622"/>
      <c r="BL33" s="622"/>
      <c r="BM33" s="622"/>
      <c r="BN33" s="622"/>
      <c r="BO33" s="622"/>
      <c r="BP33" s="622"/>
      <c r="BQ33" s="622"/>
      <c r="BR33" s="622"/>
      <c r="BS33" s="622"/>
      <c r="BT33" s="622"/>
      <c r="BU33" s="622"/>
      <c r="BV33" s="622"/>
      <c r="BW33" s="737"/>
      <c r="BX33" s="17"/>
      <c r="BY33" s="17"/>
      <c r="BZ33" s="604"/>
      <c r="CA33" s="635"/>
      <c r="CV33" s="2438">
        <v>1.55</v>
      </c>
    </row>
    <row r="34" spans="1:103" ht="17.100000000000001" customHeight="1" thickBot="1" x14ac:dyDescent="0.2">
      <c r="A34" s="17"/>
      <c r="B34" s="604"/>
      <c r="C34" s="17"/>
      <c r="D34" s="17"/>
      <c r="E34" s="755"/>
      <c r="F34" s="756"/>
      <c r="G34" s="756"/>
      <c r="H34" s="756"/>
      <c r="I34" s="756"/>
      <c r="J34" s="756"/>
      <c r="K34" s="756"/>
      <c r="L34" s="756"/>
      <c r="M34" s="756"/>
      <c r="N34" s="756"/>
      <c r="O34" s="756"/>
      <c r="P34" s="756"/>
      <c r="Q34" s="756"/>
      <c r="R34" s="756"/>
      <c r="S34" s="756"/>
      <c r="T34" s="756"/>
      <c r="U34" s="756"/>
      <c r="V34" s="756"/>
      <c r="W34" s="756"/>
      <c r="X34" s="757"/>
      <c r="Y34" s="17"/>
      <c r="Z34" s="605"/>
      <c r="AA34" s="2510"/>
      <c r="AB34" s="2511"/>
      <c r="AC34" s="2511"/>
      <c r="AD34" s="2511"/>
      <c r="AE34" s="2511"/>
      <c r="AF34" s="2511"/>
      <c r="AG34" s="4617" t="s">
        <v>109</v>
      </c>
      <c r="AH34" s="4617"/>
      <c r="AI34" s="4617"/>
      <c r="AJ34" s="4617"/>
      <c r="AK34" s="4617"/>
      <c r="AL34" s="4617"/>
      <c r="AM34" s="4617"/>
      <c r="AN34" s="4617"/>
      <c r="AO34" s="4617"/>
      <c r="AP34" s="4617"/>
      <c r="AQ34" s="4617"/>
      <c r="AR34" s="4617"/>
      <c r="AS34" s="4617"/>
      <c r="AT34" s="4617"/>
      <c r="AU34" s="4617"/>
      <c r="AV34" s="2511"/>
      <c r="AW34" s="2514"/>
      <c r="AX34" s="2511"/>
      <c r="AY34" s="2511"/>
      <c r="AZ34" s="2511"/>
      <c r="BA34" s="2515"/>
      <c r="BB34" s="17"/>
      <c r="BC34" s="17"/>
      <c r="BD34" s="755"/>
      <c r="BE34" s="756"/>
      <c r="BF34" s="756"/>
      <c r="BG34" s="756"/>
      <c r="BH34" s="756"/>
      <c r="BI34" s="756"/>
      <c r="BJ34" s="756"/>
      <c r="BK34" s="756"/>
      <c r="BL34" s="756"/>
      <c r="BM34" s="756"/>
      <c r="BN34" s="756"/>
      <c r="BO34" s="756"/>
      <c r="BP34" s="756"/>
      <c r="BQ34" s="756"/>
      <c r="BR34" s="756"/>
      <c r="BS34" s="756"/>
      <c r="BT34" s="756"/>
      <c r="BU34" s="756"/>
      <c r="BV34" s="756"/>
      <c r="BW34" s="757"/>
      <c r="BX34" s="17"/>
      <c r="BY34" s="17"/>
      <c r="BZ34" s="604"/>
      <c r="CA34" s="605"/>
      <c r="CV34" s="2438">
        <v>1.6</v>
      </c>
    </row>
    <row r="35" spans="1:103" ht="17.100000000000001" customHeight="1" thickTop="1" x14ac:dyDescent="0.15">
      <c r="A35" s="17"/>
      <c r="B35" s="604"/>
      <c r="C35" s="17"/>
      <c r="D35" s="17"/>
      <c r="E35" s="17"/>
      <c r="F35" s="17"/>
      <c r="G35" s="17"/>
      <c r="H35" s="17"/>
      <c r="I35" s="17"/>
      <c r="J35" s="17"/>
      <c r="K35" s="17"/>
      <c r="L35" s="17"/>
      <c r="M35" s="17"/>
      <c r="N35" s="17"/>
      <c r="O35" s="17"/>
      <c r="P35" s="17"/>
      <c r="Q35" s="17"/>
      <c r="R35" s="17"/>
      <c r="S35" s="17"/>
      <c r="T35" s="17"/>
      <c r="U35" s="17"/>
      <c r="V35" s="17"/>
      <c r="W35" s="17"/>
      <c r="X35" s="17"/>
      <c r="Y35" s="605"/>
      <c r="Z35" s="605"/>
      <c r="AA35" s="2510"/>
      <c r="AB35" s="2518"/>
      <c r="AC35" s="2511"/>
      <c r="AD35" s="2511"/>
      <c r="AE35" s="2511"/>
      <c r="AF35" s="2511"/>
      <c r="AG35" s="4620" cm="1">
        <f t="array" ref="AG35">_xlfn.IFS($CD$60=1,$CC$57,$CJ$60=1,$CI$57,TRUE,SUM($CO$5,$AM$24))</f>
        <v>0</v>
      </c>
      <c r="AH35" s="4620"/>
      <c r="AI35" s="4620"/>
      <c r="AJ35" s="4620"/>
      <c r="AK35" s="4620"/>
      <c r="AL35" s="4620"/>
      <c r="AM35" s="4620"/>
      <c r="AN35" s="4620"/>
      <c r="AO35" s="4620"/>
      <c r="AP35" s="4620"/>
      <c r="AQ35" s="4620"/>
      <c r="AR35" s="4620"/>
      <c r="AS35" s="4620"/>
      <c r="AT35" s="4620"/>
      <c r="AU35" s="4620"/>
      <c r="AV35" s="2511"/>
      <c r="AW35" s="2514"/>
      <c r="AX35" s="2511"/>
      <c r="AY35" s="2511"/>
      <c r="AZ35" s="2511"/>
      <c r="BA35" s="2515"/>
      <c r="BB35" s="17"/>
      <c r="BC35" s="17"/>
      <c r="BD35" s="17"/>
      <c r="BE35" s="17"/>
      <c r="BF35" s="17"/>
      <c r="BG35" s="17"/>
      <c r="BH35" s="17"/>
      <c r="BI35" s="17"/>
      <c r="BJ35" s="17"/>
      <c r="BK35" s="17"/>
      <c r="BL35" s="17"/>
      <c r="BM35" s="17"/>
      <c r="BN35" s="17"/>
      <c r="BO35" s="17"/>
      <c r="BP35" s="17"/>
      <c r="BQ35" s="17"/>
      <c r="BR35" s="17"/>
      <c r="BS35" s="17"/>
      <c r="BT35" s="17"/>
      <c r="BU35" s="17"/>
      <c r="BV35" s="17"/>
      <c r="BW35" s="17"/>
      <c r="BX35" s="17"/>
      <c r="BY35" s="17"/>
      <c r="BZ35" s="604"/>
      <c r="CA35" s="605"/>
      <c r="CV35" s="2438">
        <v>1.65</v>
      </c>
    </row>
    <row r="36" spans="1:103" ht="17.100000000000001" customHeight="1" thickBot="1" x14ac:dyDescent="0.2">
      <c r="A36" s="17"/>
      <c r="B36" s="604"/>
      <c r="C36" s="17"/>
      <c r="D36" s="17"/>
      <c r="E36" s="17"/>
      <c r="F36" s="17"/>
      <c r="G36" s="17"/>
      <c r="H36" s="17"/>
      <c r="I36" s="17"/>
      <c r="J36" s="17"/>
      <c r="K36" s="17"/>
      <c r="L36" s="17"/>
      <c r="M36" s="17"/>
      <c r="N36" s="17"/>
      <c r="O36" s="17"/>
      <c r="P36" s="17"/>
      <c r="Q36" s="17"/>
      <c r="R36" s="17"/>
      <c r="S36" s="17"/>
      <c r="T36" s="17"/>
      <c r="U36" s="17"/>
      <c r="V36" s="17"/>
      <c r="W36" s="17"/>
      <c r="X36" s="17"/>
      <c r="Y36" s="17"/>
      <c r="Z36" s="605"/>
      <c r="AA36" s="2519"/>
      <c r="AB36" s="2520"/>
      <c r="AC36" s="2520"/>
      <c r="AD36" s="2520"/>
      <c r="AE36" s="2520"/>
      <c r="AF36" s="2520"/>
      <c r="AG36" s="2520"/>
      <c r="AH36" s="2520"/>
      <c r="AI36" s="2520"/>
      <c r="AJ36" s="2520"/>
      <c r="AK36" s="2520"/>
      <c r="AL36" s="2520"/>
      <c r="AM36" s="4629">
        <f>data!$I$34*-1</f>
        <v>0</v>
      </c>
      <c r="AN36" s="4629"/>
      <c r="AO36" s="4629"/>
      <c r="AP36" s="2520"/>
      <c r="AQ36" s="2520"/>
      <c r="AR36" s="2520"/>
      <c r="AS36" s="2520"/>
      <c r="AT36" s="2520"/>
      <c r="AU36" s="2520"/>
      <c r="AV36" s="2520"/>
      <c r="AW36" s="2520"/>
      <c r="AX36" s="2520"/>
      <c r="AY36" s="2520"/>
      <c r="AZ36" s="2520"/>
      <c r="BA36" s="2521"/>
      <c r="BB36" s="17"/>
      <c r="BC36" s="17"/>
      <c r="BD36" s="47"/>
      <c r="BE36" s="17"/>
      <c r="BF36" s="17"/>
      <c r="BG36" s="17"/>
      <c r="BH36" s="17"/>
      <c r="BI36" s="17"/>
      <c r="BJ36" s="17"/>
      <c r="BK36" s="17"/>
      <c r="BL36" s="17"/>
      <c r="BM36" s="17"/>
      <c r="BN36" s="17"/>
      <c r="BO36" s="17"/>
      <c r="BP36" s="17"/>
      <c r="BQ36" s="17"/>
      <c r="BR36" s="17"/>
      <c r="BS36" s="17"/>
      <c r="BT36" s="17"/>
      <c r="BU36" s="17"/>
      <c r="BV36" s="17"/>
      <c r="BW36" s="17"/>
      <c r="BX36" s="17"/>
      <c r="BY36" s="17"/>
      <c r="BZ36" s="604"/>
      <c r="CA36" s="605"/>
      <c r="CV36" s="2438">
        <v>1.7</v>
      </c>
    </row>
    <row r="37" spans="1:103" ht="17.100000000000001" customHeight="1" thickTop="1" x14ac:dyDescent="0.15">
      <c r="A37" s="17"/>
      <c r="B37" s="604"/>
      <c r="C37" s="604"/>
      <c r="D37" s="604"/>
      <c r="E37" s="604"/>
      <c r="F37" s="604"/>
      <c r="G37" s="604"/>
      <c r="H37" s="604"/>
      <c r="I37" s="604"/>
      <c r="J37" s="604"/>
      <c r="K37" s="604"/>
      <c r="L37" s="604"/>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17"/>
      <c r="BK37" s="17"/>
      <c r="BL37" s="17"/>
      <c r="BM37" s="17"/>
      <c r="BN37" s="17"/>
      <c r="BO37" s="17"/>
      <c r="BP37" s="604"/>
      <c r="BQ37" s="604"/>
      <c r="BR37" s="604"/>
      <c r="BS37" s="604"/>
      <c r="BT37" s="604"/>
      <c r="BU37" s="604"/>
      <c r="BV37" s="604"/>
      <c r="BW37" s="604"/>
      <c r="BX37" s="604"/>
      <c r="BY37" s="604"/>
      <c r="BZ37" s="604"/>
      <c r="CA37" s="635"/>
      <c r="CV37" s="2438">
        <v>1.75</v>
      </c>
    </row>
    <row r="38" spans="1:103" ht="17.100000000000001" customHeight="1" x14ac:dyDescent="0.15">
      <c r="A38" s="17"/>
      <c r="B38" s="17"/>
      <c r="C38" s="17"/>
      <c r="D38" s="17"/>
      <c r="E38" s="17"/>
      <c r="F38" s="17"/>
      <c r="G38" s="17"/>
      <c r="H38" s="17"/>
      <c r="I38" s="17"/>
      <c r="J38" s="17"/>
      <c r="K38" s="17"/>
      <c r="L38" s="17"/>
      <c r="M38" s="17"/>
      <c r="N38" s="3505" t="s">
        <v>1</v>
      </c>
      <c r="O38" s="3505"/>
      <c r="P38" s="32"/>
      <c r="Q38" s="17"/>
      <c r="R38" s="17"/>
      <c r="S38" s="83"/>
      <c r="T38" s="17"/>
      <c r="U38" s="17"/>
      <c r="V38" s="17"/>
      <c r="W38" s="17"/>
      <c r="X38" s="17"/>
      <c r="Y38" s="17"/>
      <c r="Z38" s="17"/>
      <c r="AA38" s="17"/>
      <c r="AB38" s="17"/>
      <c r="AC38" s="17"/>
      <c r="AD38" s="17"/>
      <c r="AE38" s="17"/>
      <c r="AF38" s="17"/>
      <c r="AG38" s="17"/>
      <c r="AH38" s="17"/>
      <c r="AI38" s="17"/>
      <c r="AJ38" s="17"/>
      <c r="AK38" s="17"/>
      <c r="AL38" s="17"/>
      <c r="AM38" s="17"/>
      <c r="AN38" s="31" t="s">
        <v>1</v>
      </c>
      <c r="AO38" s="17"/>
      <c r="AP38" s="17"/>
      <c r="AQ38" s="17"/>
      <c r="AR38" s="17"/>
      <c r="AS38" s="17"/>
      <c r="AT38" s="17"/>
      <c r="AU38" s="17"/>
      <c r="AV38" s="17"/>
      <c r="AW38" s="17"/>
      <c r="AX38" s="17"/>
      <c r="AY38" s="17"/>
      <c r="AZ38" s="17"/>
      <c r="BA38" s="17"/>
      <c r="BB38" s="17"/>
      <c r="BC38" s="17"/>
      <c r="BD38" s="17"/>
      <c r="BE38" s="17"/>
      <c r="BF38" s="17"/>
      <c r="BG38" s="17"/>
      <c r="BH38" s="17"/>
      <c r="BI38" s="17"/>
      <c r="BJ38" s="17"/>
      <c r="BK38" s="17"/>
      <c r="BL38" s="32"/>
      <c r="BM38" s="3505" t="s">
        <v>1</v>
      </c>
      <c r="BN38" s="3505"/>
      <c r="BO38" s="17"/>
      <c r="BP38" s="17"/>
      <c r="BQ38" s="17"/>
      <c r="BR38" s="17"/>
      <c r="BS38" s="17"/>
      <c r="BT38" s="17"/>
      <c r="BU38" s="17"/>
      <c r="BV38" s="17"/>
      <c r="BW38" s="17"/>
      <c r="BX38" s="17"/>
      <c r="BY38" s="17"/>
      <c r="BZ38" s="17"/>
      <c r="CA38" s="17"/>
      <c r="CV38" s="2438">
        <v>1.8</v>
      </c>
    </row>
    <row r="39" spans="1:103" ht="17.100000000000001" customHeight="1" x14ac:dyDescent="0.15">
      <c r="N39" s="3504" t="s">
        <v>1</v>
      </c>
      <c r="O39" s="3504"/>
      <c r="P39" s="34"/>
      <c r="AN39" s="33" t="s">
        <v>1</v>
      </c>
      <c r="BL39" s="34"/>
      <c r="BM39" s="3504" t="s">
        <v>1</v>
      </c>
      <c r="BN39" s="3504"/>
      <c r="CV39" s="2438">
        <v>1.85</v>
      </c>
    </row>
    <row r="40" spans="1:103" ht="17.100000000000001" customHeight="1" thickBot="1" x14ac:dyDescent="0.2">
      <c r="M40" s="34"/>
      <c r="N40" s="3504" t="s">
        <v>1</v>
      </c>
      <c r="O40" s="3504"/>
      <c r="P40" s="34"/>
      <c r="AN40" s="33" t="s">
        <v>1</v>
      </c>
      <c r="BL40" s="34"/>
      <c r="BM40" s="3504" t="s">
        <v>1</v>
      </c>
      <c r="BN40" s="3504"/>
      <c r="CV40" s="2438">
        <v>1.9</v>
      </c>
    </row>
    <row r="41" spans="1:103" ht="17.100000000000001" customHeight="1" thickTop="1" x14ac:dyDescent="0.2">
      <c r="E41" s="227"/>
      <c r="F41" s="228"/>
      <c r="G41" s="228"/>
      <c r="H41" s="228"/>
      <c r="I41" s="228"/>
      <c r="J41" s="758">
        <f>IF((ACTIONS!$AK$3 - ACTIONS!$AM$13)&gt;=data!$JH$48,1,0)</f>
        <v>0</v>
      </c>
      <c r="K41" s="228"/>
      <c r="L41" s="228"/>
      <c r="M41" s="228"/>
      <c r="N41" s="228"/>
      <c r="O41" s="228"/>
      <c r="P41" s="228"/>
      <c r="Q41" s="228"/>
      <c r="R41" s="228"/>
      <c r="S41" s="758">
        <f>IF(PROGRESS!$CI$14+PROGRESS!$CI$18&gt;=data!$JH$49,1,0)</f>
        <v>0</v>
      </c>
      <c r="T41" s="228"/>
      <c r="U41" s="228"/>
      <c r="V41" s="228"/>
      <c r="W41" s="228"/>
      <c r="X41" s="256"/>
      <c r="AA41" s="759"/>
      <c r="AB41" s="760"/>
      <c r="AC41" s="760"/>
      <c r="AD41" s="760"/>
      <c r="AE41" s="2388"/>
      <c r="AF41" s="2386"/>
      <c r="AG41" s="2386"/>
      <c r="AH41" s="2387"/>
      <c r="AI41" s="2386"/>
      <c r="AJ41" s="2386"/>
      <c r="AK41" s="2386"/>
      <c r="AL41" s="2387"/>
      <c r="AM41" s="2386"/>
      <c r="AN41" s="2386"/>
      <c r="AO41" s="2386"/>
      <c r="AP41" s="2387"/>
      <c r="AQ41" s="2386"/>
      <c r="AR41" s="2386"/>
      <c r="AS41" s="2386"/>
      <c r="AT41" s="2387"/>
      <c r="AU41" s="2386"/>
      <c r="AV41" s="2386"/>
      <c r="AW41" s="2389"/>
      <c r="AX41" s="760"/>
      <c r="AY41" s="760"/>
      <c r="AZ41" s="760"/>
      <c r="BA41" s="761"/>
      <c r="BD41" s="227"/>
      <c r="BE41" s="228"/>
      <c r="BF41" s="228"/>
      <c r="BG41" s="228"/>
      <c r="BH41" s="228"/>
      <c r="BI41" s="758">
        <f>IF(PROGRESS!$J$2&gt;=data!$JH$52,1,0)</f>
        <v>0</v>
      </c>
      <c r="BJ41" s="228"/>
      <c r="BK41" s="228"/>
      <c r="BL41" s="228"/>
      <c r="BM41" s="228"/>
      <c r="BN41" s="228"/>
      <c r="BO41" s="228"/>
      <c r="BP41" s="228"/>
      <c r="BQ41" s="228"/>
      <c r="BR41" s="758">
        <f>IF(PROGRESS!$BR$2&gt;=data!$JH$53,1,0)</f>
        <v>0</v>
      </c>
      <c r="BS41" s="228"/>
      <c r="BT41" s="228"/>
      <c r="BU41" s="228"/>
      <c r="BV41" s="228"/>
      <c r="BW41" s="256"/>
      <c r="CV41" s="2438">
        <v>1.95</v>
      </c>
    </row>
    <row r="42" spans="1:103" ht="17.100000000000001" customHeight="1" x14ac:dyDescent="0.3">
      <c r="E42" s="242"/>
      <c r="G42" s="4623" t="str">
        <f>IF(J41=0,"NUMBER OF SKILLS 
LEVELLED UP",IF(data!$JH$48=1,data!$JH$48&amp;" SKILL LEVELLED UP",data!$JH$48&amp;" SKILLS LEVELLED UP"))</f>
        <v>NUMBER OF SKILLS 
LEVELLED UP</v>
      </c>
      <c r="H42" s="4624"/>
      <c r="I42" s="4624"/>
      <c r="J42" s="4624"/>
      <c r="K42" s="4624"/>
      <c r="L42" s="4624"/>
      <c r="M42" s="4625"/>
      <c r="P42" s="4623" t="str">
        <f>IF(S41=0,"NUMBER OF OBJECTIVES OR CHALLENGES COMPLETED",IF(data!$JH$49=1,data!$JH$49&amp;" OBJECTIVE OR CHALLENGE COMPLETED",data!$JH$49&amp;" OBJECTIVES OR CHALLENGES COMPLETED"))</f>
        <v>NUMBER OF OBJECTIVES OR CHALLENGES COMPLETED</v>
      </c>
      <c r="Q42" s="4624"/>
      <c r="R42" s="4624"/>
      <c r="S42" s="4624"/>
      <c r="T42" s="4624"/>
      <c r="U42" s="4624"/>
      <c r="V42" s="4625"/>
      <c r="X42" s="299"/>
      <c r="AA42" s="762"/>
      <c r="AB42" s="94"/>
      <c r="AC42" s="94"/>
      <c r="AD42" s="94"/>
      <c r="AE42" s="2391"/>
      <c r="AF42" s="2391"/>
      <c r="AG42" s="2391"/>
      <c r="AH42" s="94"/>
      <c r="AI42" s="2391"/>
      <c r="AJ42" s="2391"/>
      <c r="AK42" s="2391"/>
      <c r="AL42" s="1165"/>
      <c r="AM42" s="2391"/>
      <c r="AN42" s="2391"/>
      <c r="AO42" s="2391"/>
      <c r="AP42" s="1164"/>
      <c r="AQ42" s="2391"/>
      <c r="AR42" s="2391"/>
      <c r="AS42" s="2391"/>
      <c r="AT42" s="94"/>
      <c r="AU42" s="2391"/>
      <c r="AV42" s="2391"/>
      <c r="AW42" s="2391"/>
      <c r="AX42" s="94"/>
      <c r="AY42" s="94"/>
      <c r="AZ42" s="94"/>
      <c r="BA42" s="764"/>
      <c r="BD42" s="242"/>
      <c r="BF42" s="4623" t="str">
        <f>IF(BI41=0,"NUMBER FOR MAX DAY XP IN MIND SKILLS",data!$JH$52&amp;" MAX DAY XP IN MIND SKILLS")</f>
        <v>NUMBER FOR MAX DAY XP IN MIND SKILLS</v>
      </c>
      <c r="BG42" s="4624"/>
      <c r="BH42" s="4624"/>
      <c r="BI42" s="4624"/>
      <c r="BJ42" s="4624"/>
      <c r="BK42" s="4624"/>
      <c r="BL42" s="4625"/>
      <c r="BO42" s="4623" t="str">
        <f>IF(BR41=0,"NUMBER FOR MAX DAY XP IN BODY SKILLS",data!$JH$53&amp;" MAX DAY XP IN BODY SKILLS")</f>
        <v>NUMBER FOR MAX DAY XP IN BODY SKILLS</v>
      </c>
      <c r="BP42" s="4624"/>
      <c r="BQ42" s="4624"/>
      <c r="BR42" s="4624"/>
      <c r="BS42" s="4624"/>
      <c r="BT42" s="4624"/>
      <c r="BU42" s="4625"/>
      <c r="BW42" s="299"/>
      <c r="CV42" s="2438">
        <v>2</v>
      </c>
    </row>
    <row r="43" spans="1:103" ht="17.100000000000001" customHeight="1" x14ac:dyDescent="0.15">
      <c r="E43" s="242"/>
      <c r="G43" s="4626"/>
      <c r="H43" s="4627"/>
      <c r="I43" s="4627"/>
      <c r="J43" s="4627"/>
      <c r="K43" s="4627"/>
      <c r="L43" s="4627"/>
      <c r="M43" s="4628"/>
      <c r="P43" s="4626"/>
      <c r="Q43" s="4627"/>
      <c r="R43" s="4627"/>
      <c r="S43" s="4627"/>
      <c r="T43" s="4627"/>
      <c r="U43" s="4627"/>
      <c r="V43" s="4628"/>
      <c r="X43" s="299"/>
      <c r="AA43" s="762"/>
      <c r="AB43" s="94"/>
      <c r="AC43" s="94"/>
      <c r="AD43" s="94"/>
      <c r="AE43" s="94"/>
      <c r="AF43" s="94"/>
      <c r="AG43" s="17"/>
      <c r="AH43" s="17"/>
      <c r="AI43" s="91"/>
      <c r="AJ43" s="91"/>
      <c r="AK43" s="91"/>
      <c r="AL43" s="91"/>
      <c r="AM43" s="91"/>
      <c r="AN43" s="765" t="str">
        <f t="shared" ref="AN43:AN54" si="21">IF($AG$57&gt;=CN43,"l","")</f>
        <v/>
      </c>
      <c r="AO43" s="91"/>
      <c r="AP43" s="91"/>
      <c r="AQ43" s="91"/>
      <c r="AR43" s="91"/>
      <c r="AS43" s="91"/>
      <c r="AT43" s="91"/>
      <c r="AU43" s="91"/>
      <c r="AV43" s="94"/>
      <c r="AW43" s="763"/>
      <c r="AX43" s="94"/>
      <c r="AY43" s="94"/>
      <c r="AZ43" s="94"/>
      <c r="BA43" s="764"/>
      <c r="BD43" s="242"/>
      <c r="BF43" s="4626"/>
      <c r="BG43" s="4627"/>
      <c r="BH43" s="4627"/>
      <c r="BI43" s="4627"/>
      <c r="BJ43" s="4627"/>
      <c r="BK43" s="4627"/>
      <c r="BL43" s="4628"/>
      <c r="BO43" s="4626"/>
      <c r="BP43" s="4627"/>
      <c r="BQ43" s="4627"/>
      <c r="BR43" s="4627"/>
      <c r="BS43" s="4627"/>
      <c r="BT43" s="4627"/>
      <c r="BU43" s="4628"/>
      <c r="BW43" s="299"/>
      <c r="CC43" s="2369"/>
      <c r="CD43" s="2369"/>
      <c r="CE43" s="2369"/>
      <c r="CF43" s="2369"/>
      <c r="CG43" s="2369"/>
      <c r="CH43" s="2369"/>
      <c r="CI43" s="2369"/>
      <c r="CJ43" s="2369"/>
      <c r="CK43" s="2369"/>
      <c r="CL43" s="2369"/>
      <c r="CM43" s="2369"/>
      <c r="CN43" s="2359">
        <f>CO44+CN54</f>
        <v>1800</v>
      </c>
      <c r="CO43" s="2369"/>
      <c r="CP43" s="2369"/>
      <c r="CQ43" s="2369"/>
      <c r="CR43" s="2369"/>
      <c r="CS43" s="2369"/>
      <c r="CT43" s="2369"/>
      <c r="CU43" s="2369"/>
      <c r="CV43" s="35"/>
      <c r="CW43" s="35"/>
      <c r="CX43" s="35"/>
      <c r="CY43" s="35"/>
    </row>
    <row r="44" spans="1:103" ht="17.100000000000001" customHeight="1" x14ac:dyDescent="0.2">
      <c r="E44" s="242"/>
      <c r="J44" s="41">
        <f>IF((MISSIONS!$FG$21+MISSIONS!$FG$44)&gt;=data!$JH$50,1,0)</f>
        <v>0</v>
      </c>
      <c r="S44" s="41">
        <f>IF(SUM( ACTIONS!$CU$15:$DC$15,ACTIONS!$CU$18:$DC$18 )&gt;=data!$JH$51,1,0)</f>
        <v>0</v>
      </c>
      <c r="T44" s="766"/>
      <c r="U44" s="766"/>
      <c r="V44" s="766"/>
      <c r="X44" s="299"/>
      <c r="AA44" s="762"/>
      <c r="AB44" s="94"/>
      <c r="AC44" s="94"/>
      <c r="AD44" s="94"/>
      <c r="AE44" s="94"/>
      <c r="AF44" s="94"/>
      <c r="AG44" s="767"/>
      <c r="AH44" s="767"/>
      <c r="AI44" s="767"/>
      <c r="AJ44" s="767"/>
      <c r="AK44" s="767"/>
      <c r="AL44" s="767"/>
      <c r="AM44" s="768" t="str">
        <f t="shared" ref="AM44:AM54" si="22">IF($AG$57&gt;=CM44,"l","")</f>
        <v/>
      </c>
      <c r="AN44" s="765" t="str">
        <f t="shared" si="21"/>
        <v/>
      </c>
      <c r="AO44" s="769" t="str">
        <f t="shared" ref="AO44:AO54" si="23">IF($AG$57&gt;=CO44,"l","")</f>
        <v/>
      </c>
      <c r="AP44" s="767"/>
      <c r="AQ44" s="767"/>
      <c r="AR44" s="767"/>
      <c r="AS44" s="767"/>
      <c r="AT44" s="767"/>
      <c r="AU44" s="767"/>
      <c r="AV44" s="94"/>
      <c r="AW44" s="763"/>
      <c r="AX44" s="94"/>
      <c r="AY44" s="94"/>
      <c r="AZ44" s="94"/>
      <c r="BA44" s="764"/>
      <c r="BD44" s="242"/>
      <c r="BI44" s="41">
        <f>IF(JOURNEY!$AS$56&gt;=data!$JH$54,1,0)</f>
        <v>0</v>
      </c>
      <c r="BR44" s="41">
        <f>IF($CC$5&gt;=data!$JH$55,1,0)</f>
        <v>0</v>
      </c>
      <c r="BS44" s="766"/>
      <c r="BT44" s="766"/>
      <c r="BU44" s="766"/>
      <c r="BW44" s="299"/>
      <c r="CC44" s="2369"/>
      <c r="CD44" s="2369"/>
      <c r="CE44" s="2369"/>
      <c r="CF44" s="2369"/>
      <c r="CG44" s="2369"/>
      <c r="CH44" s="2369"/>
      <c r="CI44" s="2369"/>
      <c r="CJ44" s="2369"/>
      <c r="CK44" s="2369"/>
      <c r="CL44" s="2369"/>
      <c r="CM44" s="2360">
        <f>CP45+CN54</f>
        <v>1775</v>
      </c>
      <c r="CN44" s="2358">
        <f>CO45+CN54</f>
        <v>1512.5</v>
      </c>
      <c r="CO44" s="2361">
        <f>CM44+CN54</f>
        <v>1787.5</v>
      </c>
      <c r="CP44" s="2369"/>
      <c r="CQ44" s="2369"/>
      <c r="CR44" s="2369"/>
      <c r="CS44" s="2369"/>
      <c r="CT44" s="2369"/>
      <c r="CU44" s="2369"/>
      <c r="CV44" s="35"/>
      <c r="CW44" s="35"/>
      <c r="CX44" s="35"/>
      <c r="CY44" s="35"/>
    </row>
    <row r="45" spans="1:103" ht="17.100000000000001" customHeight="1" x14ac:dyDescent="0.15">
      <c r="E45" s="242"/>
      <c r="G45" s="4623" t="str">
        <f>IF(J44=0,"NUMBER OF MISSIONS COMPLETED",IF(data!$JH$50=1,data!$JH$50&amp;" MISSION COMPLETED",data!$JH$50&amp;" MISSIONS COMPLETED"))</f>
        <v>NUMBER OF MISSIONS COMPLETED</v>
      </c>
      <c r="H45" s="4624"/>
      <c r="I45" s="4624"/>
      <c r="J45" s="4624"/>
      <c r="K45" s="4624"/>
      <c r="L45" s="4624"/>
      <c r="M45" s="4625"/>
      <c r="P45" s="4623" t="str">
        <f>IF(S44=0,"NUMBER OF TOTAL XP THIS MONTH IN ALL SKILLS",data!$JH$51&amp;" TOTAL XP THIS MONTH IN ALL SKILLS")</f>
        <v>NUMBER OF TOTAL XP THIS MONTH IN ALL SKILLS</v>
      </c>
      <c r="Q45" s="4624"/>
      <c r="R45" s="4624"/>
      <c r="S45" s="4624"/>
      <c r="T45" s="4624"/>
      <c r="U45" s="4624"/>
      <c r="V45" s="4625"/>
      <c r="X45" s="299"/>
      <c r="AA45" s="762"/>
      <c r="AB45" s="94"/>
      <c r="AC45" s="94"/>
      <c r="AD45" s="94"/>
      <c r="AE45" s="94"/>
      <c r="AF45" s="94"/>
      <c r="AG45" s="767"/>
      <c r="AH45" s="767"/>
      <c r="AI45" s="767"/>
      <c r="AJ45" s="767"/>
      <c r="AK45" s="767"/>
      <c r="AL45" s="770" t="str">
        <f t="shared" ref="AL45:AL54" si="24">IF($AG$57&gt;=CL45,"l","")</f>
        <v/>
      </c>
      <c r="AM45" s="768" t="str">
        <f t="shared" si="22"/>
        <v/>
      </c>
      <c r="AN45" s="765" t="str">
        <f t="shared" si="21"/>
        <v/>
      </c>
      <c r="AO45" s="769" t="str">
        <f t="shared" si="23"/>
        <v/>
      </c>
      <c r="AP45" s="771" t="str">
        <f t="shared" ref="AP45:AP54" si="25">IF($AG$57&gt;=CP45,"l","")</f>
        <v/>
      </c>
      <c r="AQ45" s="767"/>
      <c r="AR45" s="767"/>
      <c r="AS45" s="767"/>
      <c r="AT45" s="767"/>
      <c r="AU45" s="767"/>
      <c r="AV45" s="94"/>
      <c r="AW45" s="763"/>
      <c r="AX45" s="94"/>
      <c r="AY45" s="94"/>
      <c r="AZ45" s="94"/>
      <c r="BA45" s="764"/>
      <c r="BD45" s="242"/>
      <c r="BF45" s="4623" t="str">
        <f>IF(BI44=0,"NUMBER OF PAGES/MINS OF READING/LISTENING",IF(data!$JH$54=1,data!$JH$54&amp;" PAGE/MIN OF READING/LISTENING",data!$JH$54&amp;" PAGES/MINS OF READING/LISTENING"))</f>
        <v>NUMBER OF PAGES/MINS OF READING/LISTENING</v>
      </c>
      <c r="BG45" s="4624"/>
      <c r="BH45" s="4624"/>
      <c r="BI45" s="4624"/>
      <c r="BJ45" s="4624"/>
      <c r="BK45" s="4624"/>
      <c r="BL45" s="4625"/>
      <c r="BO45" s="4623" t="str">
        <f>IF(BR44=0,"NUMBER FOR LOOT SUM OBTAINED",IF(data!$JH$55=1,data!$JH$55&amp;
" POUND OF LOOT 
OBTAINED",data!$JH$55&amp;
" POUNDS OF LOOT 
OBTAINED"))</f>
        <v>NUMBER FOR LOOT SUM OBTAINED</v>
      </c>
      <c r="BP45" s="4624"/>
      <c r="BQ45" s="4624"/>
      <c r="BR45" s="4624"/>
      <c r="BS45" s="4624"/>
      <c r="BT45" s="4624"/>
      <c r="BU45" s="4625"/>
      <c r="BW45" s="299"/>
      <c r="CC45" s="2369"/>
      <c r="CD45" s="2369"/>
      <c r="CE45" s="2369"/>
      <c r="CF45" s="2369"/>
      <c r="CG45" s="2369"/>
      <c r="CH45" s="2369"/>
      <c r="CI45" s="2369"/>
      <c r="CJ45" s="2369"/>
      <c r="CK45" s="2369"/>
      <c r="CL45" s="2360">
        <f>CQ46+CN54</f>
        <v>1750</v>
      </c>
      <c r="CM45" s="2358">
        <f>CP46+CN54</f>
        <v>1487.5</v>
      </c>
      <c r="CN45" s="2358">
        <f>CO46+CN54</f>
        <v>1250</v>
      </c>
      <c r="CO45" s="2358">
        <f>CM45+CN54</f>
        <v>1500</v>
      </c>
      <c r="CP45" s="2361">
        <f>CL45+CN54</f>
        <v>1762.5</v>
      </c>
      <c r="CQ45" s="2369"/>
      <c r="CR45" s="2369"/>
      <c r="CS45" s="2369"/>
      <c r="CT45" s="2369"/>
      <c r="CU45" s="2369"/>
      <c r="CV45" s="35"/>
      <c r="CW45" s="35"/>
      <c r="CX45" s="35"/>
      <c r="CY45" s="35"/>
    </row>
    <row r="46" spans="1:103" ht="17.100000000000001" customHeight="1" x14ac:dyDescent="0.15">
      <c r="E46" s="242"/>
      <c r="G46" s="4626"/>
      <c r="H46" s="4627"/>
      <c r="I46" s="4627"/>
      <c r="J46" s="4627"/>
      <c r="K46" s="4627"/>
      <c r="L46" s="4627"/>
      <c r="M46" s="4628"/>
      <c r="P46" s="4626"/>
      <c r="Q46" s="4627"/>
      <c r="R46" s="4627"/>
      <c r="S46" s="4627"/>
      <c r="T46" s="4627"/>
      <c r="U46" s="4627"/>
      <c r="V46" s="4628"/>
      <c r="X46" s="299"/>
      <c r="AA46" s="762"/>
      <c r="AB46" s="94"/>
      <c r="AC46" s="94"/>
      <c r="AD46" s="94"/>
      <c r="AE46" s="94"/>
      <c r="AF46" s="94"/>
      <c r="AG46" s="767"/>
      <c r="AH46" s="767"/>
      <c r="AI46" s="767"/>
      <c r="AJ46" s="767"/>
      <c r="AK46" s="772" t="str">
        <f t="shared" ref="AK46:AK54" si="26">IF($AG$57&gt;=CK46,"l","")</f>
        <v/>
      </c>
      <c r="AL46" s="770" t="str">
        <f t="shared" si="24"/>
        <v/>
      </c>
      <c r="AM46" s="768" t="str">
        <f t="shared" si="22"/>
        <v/>
      </c>
      <c r="AN46" s="765" t="str">
        <f t="shared" si="21"/>
        <v/>
      </c>
      <c r="AO46" s="769" t="str">
        <f t="shared" si="23"/>
        <v/>
      </c>
      <c r="AP46" s="771" t="str">
        <f t="shared" si="25"/>
        <v/>
      </c>
      <c r="AQ46" s="773" t="str">
        <f t="shared" ref="AQ46:AQ54" si="27">IF($AG$57&gt;=CQ46,"l","")</f>
        <v/>
      </c>
      <c r="AR46" s="767"/>
      <c r="AS46" s="767"/>
      <c r="AT46" s="767"/>
      <c r="AU46" s="767"/>
      <c r="AV46" s="94"/>
      <c r="AW46" s="763"/>
      <c r="AX46" s="94"/>
      <c r="AY46" s="94"/>
      <c r="AZ46" s="94"/>
      <c r="BA46" s="764"/>
      <c r="BD46" s="242"/>
      <c r="BF46" s="4626"/>
      <c r="BG46" s="4627"/>
      <c r="BH46" s="4627"/>
      <c r="BI46" s="4627"/>
      <c r="BJ46" s="4627"/>
      <c r="BK46" s="4627"/>
      <c r="BL46" s="4628"/>
      <c r="BO46" s="4626"/>
      <c r="BP46" s="4627"/>
      <c r="BQ46" s="4627"/>
      <c r="BR46" s="4627"/>
      <c r="BS46" s="4627"/>
      <c r="BT46" s="4627"/>
      <c r="BU46" s="4628"/>
      <c r="BW46" s="299"/>
      <c r="CC46" s="2369"/>
      <c r="CD46" s="2369"/>
      <c r="CE46" s="2369"/>
      <c r="CF46" s="2369"/>
      <c r="CG46" s="2369"/>
      <c r="CH46" s="2369"/>
      <c r="CI46" s="2369"/>
      <c r="CJ46" s="2369"/>
      <c r="CK46" s="2360">
        <f>CR47+CN54</f>
        <v>1725</v>
      </c>
      <c r="CL46" s="2358">
        <f>CQ47+CN54</f>
        <v>1462.5</v>
      </c>
      <c r="CM46" s="2358">
        <f>CP47+CN54</f>
        <v>1225</v>
      </c>
      <c r="CN46" s="2358">
        <f>CO47+CN54</f>
        <v>1012.5</v>
      </c>
      <c r="CO46" s="2358">
        <f>CM46+CN54</f>
        <v>1237.5</v>
      </c>
      <c r="CP46" s="2358">
        <f>CL46+CN54</f>
        <v>1475</v>
      </c>
      <c r="CQ46" s="2361">
        <f>CK46+CN54</f>
        <v>1737.5</v>
      </c>
      <c r="CR46" s="2369"/>
      <c r="CS46" s="2369"/>
      <c r="CT46" s="2369"/>
      <c r="CU46" s="2369"/>
      <c r="CV46" s="35"/>
      <c r="CW46" s="35"/>
      <c r="CX46" s="35"/>
      <c r="CY46" s="35"/>
    </row>
    <row r="47" spans="1:103" ht="17.100000000000001" customHeight="1" x14ac:dyDescent="0.2">
      <c r="E47" s="251"/>
      <c r="F47" s="252"/>
      <c r="G47" s="252"/>
      <c r="H47" s="252"/>
      <c r="I47" s="252"/>
      <c r="J47" s="252"/>
      <c r="K47" s="252"/>
      <c r="L47" s="252"/>
      <c r="M47" s="252"/>
      <c r="N47" s="252"/>
      <c r="O47" s="252"/>
      <c r="P47" s="252"/>
      <c r="Q47" s="252"/>
      <c r="R47" s="252"/>
      <c r="S47" s="774"/>
      <c r="T47" s="774"/>
      <c r="U47" s="774"/>
      <c r="V47" s="774"/>
      <c r="W47" s="252"/>
      <c r="X47" s="253"/>
      <c r="AA47" s="762"/>
      <c r="AB47" s="94"/>
      <c r="AC47" s="94"/>
      <c r="AD47" s="94"/>
      <c r="AE47" s="94"/>
      <c r="AF47" s="94"/>
      <c r="AG47" s="767"/>
      <c r="AH47" s="767"/>
      <c r="AI47" s="767"/>
      <c r="AJ47" s="775" t="str">
        <f t="shared" ref="AJ47:AJ54" si="28">IF($AG$57&gt;=CJ47,"l","")</f>
        <v/>
      </c>
      <c r="AK47" s="772" t="str">
        <f t="shared" si="26"/>
        <v/>
      </c>
      <c r="AL47" s="770" t="str">
        <f t="shared" si="24"/>
        <v/>
      </c>
      <c r="AM47" s="768" t="str">
        <f t="shared" si="22"/>
        <v/>
      </c>
      <c r="AN47" s="765" t="str">
        <f t="shared" si="21"/>
        <v/>
      </c>
      <c r="AO47" s="769" t="str">
        <f t="shared" si="23"/>
        <v/>
      </c>
      <c r="AP47" s="771" t="str">
        <f t="shared" si="25"/>
        <v/>
      </c>
      <c r="AQ47" s="773" t="str">
        <f t="shared" si="27"/>
        <v/>
      </c>
      <c r="AR47" s="776" t="str">
        <f t="shared" ref="AR47:AR54" si="29">IF($AG$57&gt;=CR47,"l","")</f>
        <v/>
      </c>
      <c r="AS47" s="767"/>
      <c r="AT47" s="767"/>
      <c r="AU47" s="767"/>
      <c r="AV47" s="94"/>
      <c r="AW47" s="763"/>
      <c r="AX47" s="94"/>
      <c r="AY47" s="94"/>
      <c r="AZ47" s="767"/>
      <c r="BA47" s="764"/>
      <c r="BD47" s="251"/>
      <c r="BE47" s="252"/>
      <c r="BF47" s="252"/>
      <c r="BG47" s="252"/>
      <c r="BH47" s="252"/>
      <c r="BI47" s="252"/>
      <c r="BJ47" s="252"/>
      <c r="BK47" s="252"/>
      <c r="BL47" s="252"/>
      <c r="BM47" s="252"/>
      <c r="BN47" s="252"/>
      <c r="BO47" s="252"/>
      <c r="BP47" s="252"/>
      <c r="BQ47" s="252"/>
      <c r="BR47" s="774"/>
      <c r="BS47" s="774"/>
      <c r="BT47" s="774"/>
      <c r="BU47" s="774"/>
      <c r="BV47" s="252"/>
      <c r="BW47" s="253"/>
      <c r="CC47" s="2369"/>
      <c r="CD47" s="2369"/>
      <c r="CE47" s="2369"/>
      <c r="CF47" s="2369"/>
      <c r="CG47" s="2358"/>
      <c r="CH47" s="2358"/>
      <c r="CI47" s="2358"/>
      <c r="CJ47" s="2360">
        <f>CS48+CN54</f>
        <v>1700</v>
      </c>
      <c r="CK47" s="2358">
        <f>CR48+CN54</f>
        <v>1437.5</v>
      </c>
      <c r="CL47" s="2358">
        <f>CQ48+CN54</f>
        <v>1200</v>
      </c>
      <c r="CM47" s="2358">
        <f>CP48+CN54</f>
        <v>987.5</v>
      </c>
      <c r="CN47" s="2358">
        <f>CO48+CN54</f>
        <v>800</v>
      </c>
      <c r="CO47" s="2358">
        <f>CM47+CN54</f>
        <v>1000</v>
      </c>
      <c r="CP47" s="2358">
        <f>CL47+CN54</f>
        <v>1212.5</v>
      </c>
      <c r="CQ47" s="2358">
        <f>CK47+CN54</f>
        <v>1450</v>
      </c>
      <c r="CR47" s="2361">
        <f>CJ47+CN54</f>
        <v>1712.5</v>
      </c>
      <c r="CS47" s="2369"/>
      <c r="CT47" s="2369"/>
      <c r="CU47" s="2369"/>
      <c r="CV47" s="35"/>
      <c r="CW47" s="35"/>
      <c r="CX47" s="35"/>
      <c r="CY47" s="35"/>
    </row>
    <row r="48" spans="1:103" ht="17.100000000000001" customHeight="1" x14ac:dyDescent="0.3">
      <c r="G48" s="2385"/>
      <c r="H48" s="2385"/>
      <c r="I48" s="2385"/>
      <c r="J48" s="2385"/>
      <c r="K48" s="2385"/>
      <c r="L48" s="2385"/>
      <c r="M48" s="2385"/>
      <c r="N48" s="2385"/>
      <c r="O48" s="2385"/>
      <c r="P48" s="2385"/>
      <c r="Q48" s="2385"/>
      <c r="R48" s="2385"/>
      <c r="S48" s="2385"/>
      <c r="T48" s="2385"/>
      <c r="U48" s="2385"/>
      <c r="V48" s="2385"/>
      <c r="AA48" s="762"/>
      <c r="AB48" s="94"/>
      <c r="AC48" s="94"/>
      <c r="AD48" s="94"/>
      <c r="AE48" s="94"/>
      <c r="AF48" s="94"/>
      <c r="AG48" s="767"/>
      <c r="AH48" s="767"/>
      <c r="AI48" s="777" t="str">
        <f t="shared" ref="AI48:AI54" si="30">IF($AG$57&gt;=CI48,"l","")</f>
        <v/>
      </c>
      <c r="AJ48" s="775" t="str">
        <f t="shared" si="28"/>
        <v/>
      </c>
      <c r="AK48" s="772" t="str">
        <f t="shared" si="26"/>
        <v/>
      </c>
      <c r="AL48" s="770" t="str">
        <f t="shared" si="24"/>
        <v/>
      </c>
      <c r="AM48" s="768" t="str">
        <f t="shared" si="22"/>
        <v/>
      </c>
      <c r="AN48" s="765" t="str">
        <f t="shared" si="21"/>
        <v/>
      </c>
      <c r="AO48" s="769" t="str">
        <f t="shared" si="23"/>
        <v/>
      </c>
      <c r="AP48" s="771" t="str">
        <f t="shared" si="25"/>
        <v/>
      </c>
      <c r="AQ48" s="773" t="str">
        <f t="shared" si="27"/>
        <v/>
      </c>
      <c r="AR48" s="776" t="str">
        <f t="shared" si="29"/>
        <v/>
      </c>
      <c r="AS48" s="778" t="str">
        <f t="shared" ref="AS48:AS54" si="31">IF($AG$57&gt;=CS48,"l","")</f>
        <v/>
      </c>
      <c r="AT48" s="767"/>
      <c r="AU48" s="767"/>
      <c r="AV48" s="94"/>
      <c r="AW48" s="763"/>
      <c r="AX48" s="94"/>
      <c r="AY48" s="767"/>
      <c r="AZ48" s="767"/>
      <c r="BA48" s="764"/>
      <c r="BF48" s="545"/>
      <c r="BG48" s="545"/>
      <c r="BH48" s="545"/>
      <c r="BI48" s="545"/>
      <c r="BJ48" s="545"/>
      <c r="BK48" s="545"/>
      <c r="BL48" s="545"/>
      <c r="BM48" s="545"/>
      <c r="BN48" s="545"/>
      <c r="BO48" s="545"/>
      <c r="BP48" s="545"/>
      <c r="BQ48" s="545"/>
      <c r="BR48" s="545"/>
      <c r="BS48" s="545"/>
      <c r="BT48" s="545"/>
      <c r="BU48" s="545"/>
      <c r="CC48" s="2369"/>
      <c r="CD48" s="2369"/>
      <c r="CE48" s="2369"/>
      <c r="CF48" s="2369"/>
      <c r="CG48" s="2358"/>
      <c r="CH48" s="2358"/>
      <c r="CI48" s="2360">
        <f>CT49+CN54</f>
        <v>1675</v>
      </c>
      <c r="CJ48" s="2358">
        <f>CS49+CN54</f>
        <v>1412.5</v>
      </c>
      <c r="CK48" s="2358">
        <f>CR49+CN54</f>
        <v>1175</v>
      </c>
      <c r="CL48" s="2358">
        <f>CQ49+CN54</f>
        <v>962.5</v>
      </c>
      <c r="CM48" s="2358">
        <f>CP49+CN54</f>
        <v>775</v>
      </c>
      <c r="CN48" s="2358">
        <f>CO49+CN54</f>
        <v>612.5</v>
      </c>
      <c r="CO48" s="2358">
        <f>CM48+CN54</f>
        <v>787.5</v>
      </c>
      <c r="CP48" s="2358">
        <f>CL48+CN54</f>
        <v>975</v>
      </c>
      <c r="CQ48" s="2358">
        <f>CK48+CN54</f>
        <v>1187.5</v>
      </c>
      <c r="CR48" s="2358">
        <f>CJ48+CN54</f>
        <v>1425</v>
      </c>
      <c r="CS48" s="2361">
        <f>CI48+CN54</f>
        <v>1687.5</v>
      </c>
      <c r="CT48" s="2358"/>
      <c r="CU48" s="2358"/>
      <c r="CV48" s="35"/>
      <c r="CW48" s="35"/>
      <c r="CX48" s="35"/>
      <c r="CY48" s="35"/>
    </row>
    <row r="49" spans="5:103" ht="17.100000000000001" customHeight="1" x14ac:dyDescent="0.3">
      <c r="G49" s="545"/>
      <c r="H49" s="545"/>
      <c r="I49" s="545"/>
      <c r="J49" s="545"/>
      <c r="K49" s="545"/>
      <c r="L49" s="545"/>
      <c r="M49" s="545"/>
      <c r="N49" s="545"/>
      <c r="O49" s="545"/>
      <c r="P49" s="545"/>
      <c r="Q49" s="545"/>
      <c r="R49" s="545"/>
      <c r="S49" s="545"/>
      <c r="T49" s="545"/>
      <c r="U49" s="545"/>
      <c r="V49" s="545"/>
      <c r="W49" s="545"/>
      <c r="X49" s="545"/>
      <c r="Z49" s="46"/>
      <c r="AA49" s="762"/>
      <c r="AB49" s="94"/>
      <c r="AC49" s="4619" t="s">
        <v>1472</v>
      </c>
      <c r="AD49" s="4619"/>
      <c r="AE49" s="94"/>
      <c r="AF49" s="94"/>
      <c r="AG49" s="767"/>
      <c r="AH49" s="779" t="str">
        <f t="shared" ref="AH49:AH54" si="32">IF($AG$57&gt;=CH49,"l","")</f>
        <v/>
      </c>
      <c r="AI49" s="777" t="str">
        <f t="shared" si="30"/>
        <v/>
      </c>
      <c r="AJ49" s="775" t="str">
        <f t="shared" si="28"/>
        <v/>
      </c>
      <c r="AK49" s="772" t="str">
        <f t="shared" si="26"/>
        <v/>
      </c>
      <c r="AL49" s="770" t="str">
        <f t="shared" si="24"/>
        <v/>
      </c>
      <c r="AM49" s="768" t="str">
        <f t="shared" si="22"/>
        <v/>
      </c>
      <c r="AN49" s="765" t="str">
        <f t="shared" si="21"/>
        <v/>
      </c>
      <c r="AO49" s="769" t="str">
        <f t="shared" si="23"/>
        <v/>
      </c>
      <c r="AP49" s="771" t="str">
        <f t="shared" si="25"/>
        <v/>
      </c>
      <c r="AQ49" s="773" t="str">
        <f t="shared" si="27"/>
        <v/>
      </c>
      <c r="AR49" s="776" t="str">
        <f t="shared" si="29"/>
        <v/>
      </c>
      <c r="AS49" s="778" t="str">
        <f t="shared" si="31"/>
        <v/>
      </c>
      <c r="AT49" s="779" t="str">
        <f t="shared" ref="AT49:AT54" si="33">IF($AG$57&gt;=CT49,"l","")</f>
        <v/>
      </c>
      <c r="AU49" s="767"/>
      <c r="AV49" s="94"/>
      <c r="AW49" s="763"/>
      <c r="AX49" s="4619" t="s">
        <v>1472</v>
      </c>
      <c r="AY49" s="4619"/>
      <c r="AZ49" s="94"/>
      <c r="BA49" s="764"/>
      <c r="BD49" s="545"/>
      <c r="BE49" s="545"/>
      <c r="BF49" s="545"/>
      <c r="BG49" s="545"/>
      <c r="BH49" s="545"/>
      <c r="BI49" s="545"/>
      <c r="BJ49" s="545"/>
      <c r="BK49" s="545"/>
      <c r="BL49" s="545"/>
      <c r="BM49" s="545"/>
      <c r="BN49" s="545"/>
      <c r="BO49" s="545"/>
      <c r="BP49" s="545"/>
      <c r="BQ49" s="545"/>
      <c r="BR49" s="545"/>
      <c r="BS49" s="545"/>
      <c r="BT49" s="545"/>
      <c r="BU49" s="545"/>
      <c r="BV49" s="545"/>
      <c r="BW49" s="545"/>
      <c r="CC49" s="2369"/>
      <c r="CD49" s="2369"/>
      <c r="CE49" s="2369"/>
      <c r="CF49" s="2369"/>
      <c r="CG49" s="2358"/>
      <c r="CH49" s="2360">
        <f>CU50+CN54</f>
        <v>1650</v>
      </c>
      <c r="CI49" s="2358">
        <f>CT50+CN54</f>
        <v>1387.5</v>
      </c>
      <c r="CJ49" s="2358">
        <f>CS50+CN54</f>
        <v>1150</v>
      </c>
      <c r="CK49" s="2358">
        <f>CR50+CN54</f>
        <v>937.5</v>
      </c>
      <c r="CL49" s="2358">
        <f>CQ50+CN54</f>
        <v>750</v>
      </c>
      <c r="CM49" s="2358">
        <f>CP50+CN54</f>
        <v>587.5</v>
      </c>
      <c r="CN49" s="2358">
        <f>CO50+CN54</f>
        <v>450</v>
      </c>
      <c r="CO49" s="2358">
        <f>CM49+CN54</f>
        <v>600</v>
      </c>
      <c r="CP49" s="2358">
        <f>CL49+CN54</f>
        <v>762.5</v>
      </c>
      <c r="CQ49" s="2358">
        <f>CK49+CN54</f>
        <v>950</v>
      </c>
      <c r="CR49" s="2358">
        <f>CJ49+CN54</f>
        <v>1162.5</v>
      </c>
      <c r="CS49" s="2358">
        <f>CI49+CN54</f>
        <v>1400</v>
      </c>
      <c r="CT49" s="2361">
        <f>CH49+CN54</f>
        <v>1662.5</v>
      </c>
      <c r="CU49" s="2358"/>
      <c r="CV49" s="35"/>
      <c r="CW49" s="35"/>
      <c r="CX49" s="35"/>
      <c r="CY49" s="35"/>
    </row>
    <row r="50" spans="5:103" ht="17.100000000000001" customHeight="1" x14ac:dyDescent="0.15">
      <c r="AA50" s="762"/>
      <c r="AB50" s="94"/>
      <c r="AC50" s="4619"/>
      <c r="AD50" s="4619"/>
      <c r="AE50" s="94"/>
      <c r="AF50" s="94"/>
      <c r="AG50" s="778" t="str">
        <f>IF($AG$57&gt;=CG50,"l","")</f>
        <v/>
      </c>
      <c r="AH50" s="779" t="str">
        <f t="shared" si="32"/>
        <v/>
      </c>
      <c r="AI50" s="777" t="str">
        <f t="shared" si="30"/>
        <v/>
      </c>
      <c r="AJ50" s="775" t="str">
        <f t="shared" si="28"/>
        <v/>
      </c>
      <c r="AK50" s="772" t="str">
        <f t="shared" si="26"/>
        <v/>
      </c>
      <c r="AL50" s="770" t="str">
        <f t="shared" si="24"/>
        <v/>
      </c>
      <c r="AM50" s="768" t="str">
        <f t="shared" si="22"/>
        <v/>
      </c>
      <c r="AN50" s="765" t="str">
        <f t="shared" si="21"/>
        <v/>
      </c>
      <c r="AO50" s="769" t="str">
        <f t="shared" si="23"/>
        <v/>
      </c>
      <c r="AP50" s="771" t="str">
        <f t="shared" si="25"/>
        <v/>
      </c>
      <c r="AQ50" s="773" t="str">
        <f t="shared" si="27"/>
        <v/>
      </c>
      <c r="AR50" s="776" t="str">
        <f t="shared" si="29"/>
        <v/>
      </c>
      <c r="AS50" s="778" t="str">
        <f t="shared" si="31"/>
        <v/>
      </c>
      <c r="AT50" s="779" t="str">
        <f t="shared" si="33"/>
        <v/>
      </c>
      <c r="AU50" s="777" t="str">
        <f>IF($AG$57&gt;=CU50,"l","")</f>
        <v/>
      </c>
      <c r="AV50" s="94"/>
      <c r="AW50" s="763"/>
      <c r="AX50" s="4619"/>
      <c r="AY50" s="4619"/>
      <c r="AZ50" s="94"/>
      <c r="BA50" s="764"/>
      <c r="CC50" s="2369"/>
      <c r="CD50" s="2369"/>
      <c r="CE50" s="2369"/>
      <c r="CF50" s="2369"/>
      <c r="CG50" s="2360">
        <f>CV51+CN54</f>
        <v>1625</v>
      </c>
      <c r="CH50" s="2358">
        <f>CU51+CN54</f>
        <v>1362.5</v>
      </c>
      <c r="CI50" s="2358">
        <f>CT51+CN54</f>
        <v>1125</v>
      </c>
      <c r="CJ50" s="2358">
        <f>CS51+CN54</f>
        <v>912.5</v>
      </c>
      <c r="CK50" s="2358">
        <f>CR51+CN54</f>
        <v>725</v>
      </c>
      <c r="CL50" s="2358">
        <f>CQ51+CN54</f>
        <v>562.5</v>
      </c>
      <c r="CM50" s="2358">
        <f>CP51+CN54</f>
        <v>425</v>
      </c>
      <c r="CN50" s="2358">
        <f>CO51+CN54</f>
        <v>312.5</v>
      </c>
      <c r="CO50" s="2358">
        <f>CM50+CN54</f>
        <v>437.5</v>
      </c>
      <c r="CP50" s="2358">
        <f>CL50+CN54</f>
        <v>575</v>
      </c>
      <c r="CQ50" s="2358">
        <f>CK50+CN54</f>
        <v>737.5</v>
      </c>
      <c r="CR50" s="2358">
        <f>CJ50+CN54</f>
        <v>925</v>
      </c>
      <c r="CS50" s="2358">
        <f>CI50+CN54</f>
        <v>1137.5</v>
      </c>
      <c r="CT50" s="2358">
        <f>CH50+CN54</f>
        <v>1375</v>
      </c>
      <c r="CU50" s="2361">
        <f>CG50+CN54</f>
        <v>1637.5</v>
      </c>
      <c r="CV50" s="35"/>
      <c r="CW50" s="35"/>
      <c r="CX50" s="35"/>
      <c r="CY50" s="35"/>
    </row>
    <row r="51" spans="5:103" ht="17.100000000000001" customHeight="1" x14ac:dyDescent="0.15">
      <c r="G51" s="4649" t="str">
        <f>IF(AND(PLANS!$C$1&gt;=$AB$56,PLANS!$C$1&lt;=$AB$57),"MID-YEAR REWARD","")</f>
        <v/>
      </c>
      <c r="H51" s="4649"/>
      <c r="I51" s="4649"/>
      <c r="J51" s="4649"/>
      <c r="K51" s="4649"/>
      <c r="L51" s="4649"/>
      <c r="M51" s="4649"/>
      <c r="N51" s="4649"/>
      <c r="O51" s="4649"/>
      <c r="P51" s="4649"/>
      <c r="Q51" s="4649"/>
      <c r="R51" s="4649"/>
      <c r="S51" s="4649"/>
      <c r="T51" s="4649"/>
      <c r="U51" s="4649"/>
      <c r="V51" s="4649"/>
      <c r="AA51" s="762"/>
      <c r="AB51" s="94"/>
      <c r="AC51" s="94"/>
      <c r="AD51" s="94"/>
      <c r="AE51" s="94"/>
      <c r="AF51" s="776" t="str">
        <f>IF($AG$57&gt;=CF51,"l","")</f>
        <v/>
      </c>
      <c r="AG51" s="778" t="str">
        <f>IF($AG$57&gt;=CG51,"l","")</f>
        <v/>
      </c>
      <c r="AH51" s="779" t="str">
        <f t="shared" si="32"/>
        <v/>
      </c>
      <c r="AI51" s="777" t="str">
        <f t="shared" si="30"/>
        <v/>
      </c>
      <c r="AJ51" s="775" t="str">
        <f t="shared" si="28"/>
        <v/>
      </c>
      <c r="AK51" s="772" t="str">
        <f t="shared" si="26"/>
        <v/>
      </c>
      <c r="AL51" s="770" t="str">
        <f t="shared" si="24"/>
        <v/>
      </c>
      <c r="AM51" s="768" t="str">
        <f t="shared" si="22"/>
        <v/>
      </c>
      <c r="AN51" s="765" t="str">
        <f t="shared" si="21"/>
        <v/>
      </c>
      <c r="AO51" s="769" t="str">
        <f t="shared" si="23"/>
        <v/>
      </c>
      <c r="AP51" s="771" t="str">
        <f t="shared" si="25"/>
        <v/>
      </c>
      <c r="AQ51" s="773" t="str">
        <f t="shared" si="27"/>
        <v/>
      </c>
      <c r="AR51" s="776" t="str">
        <f t="shared" si="29"/>
        <v/>
      </c>
      <c r="AS51" s="778" t="str">
        <f t="shared" si="31"/>
        <v/>
      </c>
      <c r="AT51" s="779" t="str">
        <f t="shared" si="33"/>
        <v/>
      </c>
      <c r="AU51" s="777" t="str">
        <f>IF($AG$57&gt;=CU51,"l","")</f>
        <v/>
      </c>
      <c r="AV51" s="775" t="str">
        <f>IF($AG$57&gt;=CV51,"l","")</f>
        <v/>
      </c>
      <c r="AW51" s="763"/>
      <c r="AX51" s="94"/>
      <c r="AY51" s="94"/>
      <c r="AZ51" s="94"/>
      <c r="BA51" s="764"/>
      <c r="BF51" s="4649" t="str">
        <f>IF(AND(PLANS!$C$1&gt;=$AZ$56,PLANS!$C$1&lt;=$AZ$57),"END-OF-YEAR REWARD","")</f>
        <v/>
      </c>
      <c r="BG51" s="4649"/>
      <c r="BH51" s="4649"/>
      <c r="BI51" s="4649"/>
      <c r="BJ51" s="4649"/>
      <c r="BK51" s="4649"/>
      <c r="BL51" s="4649"/>
      <c r="BM51" s="4649"/>
      <c r="BN51" s="4649"/>
      <c r="BO51" s="4649"/>
      <c r="BP51" s="4649"/>
      <c r="BQ51" s="4649"/>
      <c r="BR51" s="4649"/>
      <c r="BS51" s="4649"/>
      <c r="BT51" s="4649"/>
      <c r="BU51" s="4649"/>
      <c r="CC51" s="2369"/>
      <c r="CD51" s="2369"/>
      <c r="CE51" s="2369"/>
      <c r="CF51" s="2360">
        <f>CW52+CN54</f>
        <v>1600</v>
      </c>
      <c r="CG51" s="2358">
        <f>CV52+CN54</f>
        <v>1337.5</v>
      </c>
      <c r="CH51" s="2358">
        <f>CU52+CN54</f>
        <v>1100</v>
      </c>
      <c r="CI51" s="2358">
        <f>CT52+CN54</f>
        <v>887.5</v>
      </c>
      <c r="CJ51" s="2358">
        <f>CS52+CN54</f>
        <v>700</v>
      </c>
      <c r="CK51" s="2358">
        <f>CR52+CN54</f>
        <v>537.5</v>
      </c>
      <c r="CL51" s="2358">
        <f>CQ52+CN54</f>
        <v>400</v>
      </c>
      <c r="CM51" s="2358">
        <f>CP52+CN54</f>
        <v>287.5</v>
      </c>
      <c r="CN51" s="2358">
        <f>CO52+CN54</f>
        <v>200</v>
      </c>
      <c r="CO51" s="2358">
        <f>CM51+CN54</f>
        <v>300</v>
      </c>
      <c r="CP51" s="2358">
        <f>CL51+CN54</f>
        <v>412.5</v>
      </c>
      <c r="CQ51" s="2358">
        <f>CK51+CN54</f>
        <v>550</v>
      </c>
      <c r="CR51" s="2358">
        <f>CJ51+CN54</f>
        <v>712.5</v>
      </c>
      <c r="CS51" s="2358">
        <f>CI51+CN54</f>
        <v>900</v>
      </c>
      <c r="CT51" s="2358">
        <f>CH51+CN54</f>
        <v>1112.5</v>
      </c>
      <c r="CU51" s="2358">
        <f>CG51+CN54</f>
        <v>1350</v>
      </c>
      <c r="CV51" s="724">
        <f>CF51+CN54</f>
        <v>1612.5</v>
      </c>
      <c r="CW51" s="35"/>
      <c r="CX51" s="35"/>
      <c r="CY51" s="35"/>
    </row>
    <row r="52" spans="5:103" ht="17.100000000000001" customHeight="1" x14ac:dyDescent="0.15">
      <c r="E52" s="227"/>
      <c r="F52" s="228"/>
      <c r="G52" s="228"/>
      <c r="H52" s="228"/>
      <c r="I52" s="228"/>
      <c r="J52" s="228"/>
      <c r="K52" s="228"/>
      <c r="L52" s="228"/>
      <c r="M52" s="228"/>
      <c r="N52" s="228"/>
      <c r="O52" s="228"/>
      <c r="P52" s="228"/>
      <c r="Q52" s="228"/>
      <c r="R52" s="228"/>
      <c r="S52" s="228"/>
      <c r="T52" s="228"/>
      <c r="U52" s="228"/>
      <c r="V52" s="228"/>
      <c r="W52" s="228"/>
      <c r="X52" s="256"/>
      <c r="AA52" s="762"/>
      <c r="AB52" s="94"/>
      <c r="AC52" s="94"/>
      <c r="AD52" s="94"/>
      <c r="AE52" s="773" t="str">
        <f>IF($AG$57&gt;=CE52,"l","")</f>
        <v/>
      </c>
      <c r="AF52" s="776" t="str">
        <f>IF($AG$57&gt;=CF52,"l","")</f>
        <v/>
      </c>
      <c r="AG52" s="778" t="str">
        <f>IF($AG$57&gt;=CG52,"l","")</f>
        <v/>
      </c>
      <c r="AH52" s="779" t="str">
        <f t="shared" si="32"/>
        <v/>
      </c>
      <c r="AI52" s="777" t="str">
        <f t="shared" si="30"/>
        <v/>
      </c>
      <c r="AJ52" s="775" t="str">
        <f t="shared" si="28"/>
        <v/>
      </c>
      <c r="AK52" s="772" t="str">
        <f t="shared" si="26"/>
        <v/>
      </c>
      <c r="AL52" s="770" t="str">
        <f t="shared" si="24"/>
        <v/>
      </c>
      <c r="AM52" s="768" t="str">
        <f t="shared" si="22"/>
        <v/>
      </c>
      <c r="AN52" s="765" t="str">
        <f t="shared" si="21"/>
        <v/>
      </c>
      <c r="AO52" s="769" t="str">
        <f t="shared" si="23"/>
        <v/>
      </c>
      <c r="AP52" s="771" t="str">
        <f t="shared" si="25"/>
        <v/>
      </c>
      <c r="AQ52" s="773" t="str">
        <f t="shared" si="27"/>
        <v/>
      </c>
      <c r="AR52" s="776" t="str">
        <f t="shared" si="29"/>
        <v/>
      </c>
      <c r="AS52" s="778" t="str">
        <f t="shared" si="31"/>
        <v/>
      </c>
      <c r="AT52" s="779" t="str">
        <f t="shared" si="33"/>
        <v/>
      </c>
      <c r="AU52" s="777" t="str">
        <f>IF($AG$57&gt;=CU52,"l","")</f>
        <v/>
      </c>
      <c r="AV52" s="775" t="str">
        <f>IF($AG$57&gt;=CV52,"l","")</f>
        <v/>
      </c>
      <c r="AW52" s="772" t="str">
        <f>IF($AG$57&gt;=CW52,"l","")</f>
        <v/>
      </c>
      <c r="AX52" s="94"/>
      <c r="AY52" s="94"/>
      <c r="AZ52" s="94"/>
      <c r="BA52" s="764"/>
      <c r="BD52" s="227"/>
      <c r="BE52" s="228"/>
      <c r="BF52" s="228"/>
      <c r="BG52" s="228"/>
      <c r="BH52" s="228"/>
      <c r="BI52" s="228"/>
      <c r="BJ52" s="228"/>
      <c r="BK52" s="228"/>
      <c r="BL52" s="228"/>
      <c r="BM52" s="228"/>
      <c r="BN52" s="228"/>
      <c r="BO52" s="228"/>
      <c r="BP52" s="228"/>
      <c r="BQ52" s="228"/>
      <c r="BR52" s="228"/>
      <c r="BS52" s="228"/>
      <c r="BT52" s="228"/>
      <c r="BU52" s="228"/>
      <c r="BV52" s="228"/>
      <c r="BW52" s="256"/>
      <c r="CC52" s="2369"/>
      <c r="CD52" s="2369"/>
      <c r="CE52" s="2360">
        <f>CX53+CN54</f>
        <v>1575</v>
      </c>
      <c r="CF52" s="2358">
        <f>CW53+CN54</f>
        <v>1312.5</v>
      </c>
      <c r="CG52" s="2358">
        <f>CV53+CN54</f>
        <v>1075</v>
      </c>
      <c r="CH52" s="2358">
        <f>CU53+CN54</f>
        <v>862.5</v>
      </c>
      <c r="CI52" s="2358">
        <f>CT53+CN54</f>
        <v>675</v>
      </c>
      <c r="CJ52" s="2358">
        <f>CS53+CN54</f>
        <v>512.5</v>
      </c>
      <c r="CK52" s="2358">
        <f>CR53+CN54</f>
        <v>375</v>
      </c>
      <c r="CL52" s="2358">
        <f>CQ53+CN54</f>
        <v>262.5</v>
      </c>
      <c r="CM52" s="2358">
        <f>CP53+CN54</f>
        <v>175</v>
      </c>
      <c r="CN52" s="2358">
        <f>CO53+CN54</f>
        <v>112.5</v>
      </c>
      <c r="CO52" s="2358">
        <f>CM52+CN54</f>
        <v>187.5</v>
      </c>
      <c r="CP52" s="2358">
        <f>CL52+CN54</f>
        <v>275</v>
      </c>
      <c r="CQ52" s="2358">
        <f>CK52+CN54</f>
        <v>387.5</v>
      </c>
      <c r="CR52" s="2358">
        <f>CJ52+CN54</f>
        <v>525</v>
      </c>
      <c r="CS52" s="2358">
        <f>CI52+CN54</f>
        <v>687.5</v>
      </c>
      <c r="CT52" s="2358">
        <f>CH52+CN54</f>
        <v>875</v>
      </c>
      <c r="CU52" s="2358">
        <f>CG52+CN54</f>
        <v>1087.5</v>
      </c>
      <c r="CV52" s="723">
        <f>CF52+CN54</f>
        <v>1325</v>
      </c>
      <c r="CW52" s="724">
        <f>CE52+CN54</f>
        <v>1587.5</v>
      </c>
      <c r="CX52" s="35"/>
      <c r="CY52" s="35"/>
    </row>
    <row r="53" spans="5:103" ht="17.100000000000001" customHeight="1" x14ac:dyDescent="0.15">
      <c r="E53" s="242"/>
      <c r="G53" s="4644" t="s">
        <v>1471</v>
      </c>
      <c r="H53" s="4644"/>
      <c r="I53" s="4644"/>
      <c r="J53" s="4644"/>
      <c r="K53" s="4644"/>
      <c r="L53" s="4644"/>
      <c r="M53" s="4644"/>
      <c r="N53" s="4644"/>
      <c r="O53" s="4644"/>
      <c r="P53" s="4644"/>
      <c r="Q53" s="4644"/>
      <c r="R53" s="4644"/>
      <c r="S53" s="4644"/>
      <c r="T53" s="4644"/>
      <c r="U53" s="4644"/>
      <c r="V53" s="4644"/>
      <c r="W53" s="46"/>
      <c r="X53" s="299"/>
      <c r="AA53" s="762"/>
      <c r="AB53" s="780"/>
      <c r="AC53" s="94"/>
      <c r="AD53" s="771" t="str">
        <f>IF($AG$57&gt;=CD53,"l","")</f>
        <v/>
      </c>
      <c r="AE53" s="773" t="str">
        <f>IF($AG$57&gt;=CE53,"l","")</f>
        <v/>
      </c>
      <c r="AF53" s="776" t="str">
        <f>IF($AG$57&gt;=CF53,"l","")</f>
        <v/>
      </c>
      <c r="AG53" s="778" t="str">
        <f>IF($AG$57&gt;=CG53,"l","")</f>
        <v/>
      </c>
      <c r="AH53" s="779" t="str">
        <f t="shared" si="32"/>
        <v/>
      </c>
      <c r="AI53" s="777" t="str">
        <f t="shared" si="30"/>
        <v/>
      </c>
      <c r="AJ53" s="775" t="str">
        <f t="shared" si="28"/>
        <v/>
      </c>
      <c r="AK53" s="772" t="str">
        <f t="shared" si="26"/>
        <v/>
      </c>
      <c r="AL53" s="770" t="str">
        <f t="shared" si="24"/>
        <v/>
      </c>
      <c r="AM53" s="768" t="str">
        <f t="shared" si="22"/>
        <v/>
      </c>
      <c r="AN53" s="765" t="str">
        <f t="shared" si="21"/>
        <v/>
      </c>
      <c r="AO53" s="769" t="str">
        <f t="shared" si="23"/>
        <v/>
      </c>
      <c r="AP53" s="771" t="str">
        <f t="shared" si="25"/>
        <v/>
      </c>
      <c r="AQ53" s="773" t="str">
        <f t="shared" si="27"/>
        <v/>
      </c>
      <c r="AR53" s="776" t="str">
        <f t="shared" si="29"/>
        <v/>
      </c>
      <c r="AS53" s="778" t="str">
        <f t="shared" si="31"/>
        <v/>
      </c>
      <c r="AT53" s="779" t="str">
        <f t="shared" si="33"/>
        <v/>
      </c>
      <c r="AU53" s="777" t="str">
        <f>IF($AG$57&gt;=CU53,"l","")</f>
        <v/>
      </c>
      <c r="AV53" s="775" t="str">
        <f>IF($AG$57&gt;=CV53,"l","")</f>
        <v/>
      </c>
      <c r="AW53" s="772" t="str">
        <f>IF($AG$57&gt;=CW53,"l","")</f>
        <v/>
      </c>
      <c r="AX53" s="770" t="str">
        <f>IF($AG$57&gt;=CX53,"l","")</f>
        <v/>
      </c>
      <c r="AY53" s="94"/>
      <c r="AZ53" s="94"/>
      <c r="BA53" s="764"/>
      <c r="BD53" s="242"/>
      <c r="BF53" s="4644" t="s">
        <v>1835</v>
      </c>
      <c r="BG53" s="4644"/>
      <c r="BH53" s="4644"/>
      <c r="BI53" s="4644"/>
      <c r="BJ53" s="4644"/>
      <c r="BK53" s="4644"/>
      <c r="BL53" s="4644"/>
      <c r="BM53" s="4644"/>
      <c r="BN53" s="4644"/>
      <c r="BO53" s="4644"/>
      <c r="BP53" s="4644"/>
      <c r="BQ53" s="4644"/>
      <c r="BR53" s="4644"/>
      <c r="BS53" s="4644"/>
      <c r="BT53" s="4644"/>
      <c r="BU53" s="4644"/>
      <c r="BV53" s="46"/>
      <c r="BW53" s="299"/>
      <c r="CC53" s="2369"/>
      <c r="CD53" s="2360">
        <f>CY54+CN54</f>
        <v>1550</v>
      </c>
      <c r="CE53" s="2358">
        <f>CX54+CN54</f>
        <v>1287.5</v>
      </c>
      <c r="CF53" s="2358">
        <f>CW54+CN54</f>
        <v>1050</v>
      </c>
      <c r="CG53" s="2358">
        <f>CV54+CN54</f>
        <v>837.5</v>
      </c>
      <c r="CH53" s="2358">
        <f>CU54+CN54</f>
        <v>650</v>
      </c>
      <c r="CI53" s="2358">
        <f>CT54+CN54</f>
        <v>487.5</v>
      </c>
      <c r="CJ53" s="2358">
        <f>CS54+CN54</f>
        <v>350</v>
      </c>
      <c r="CK53" s="2358">
        <f>CR54+CN54</f>
        <v>237.5</v>
      </c>
      <c r="CL53" s="2358">
        <f>CQ54+CN54</f>
        <v>150</v>
      </c>
      <c r="CM53" s="2358">
        <f>CP54+CN54</f>
        <v>87.5</v>
      </c>
      <c r="CN53" s="2358">
        <f>CO54+CN54</f>
        <v>50</v>
      </c>
      <c r="CO53" s="2358">
        <f>CM53+CN54</f>
        <v>100</v>
      </c>
      <c r="CP53" s="2358">
        <f>CL53+CN54</f>
        <v>162.5</v>
      </c>
      <c r="CQ53" s="2358">
        <f>CK53+CN54</f>
        <v>250</v>
      </c>
      <c r="CR53" s="2358">
        <f>CJ53+CN54</f>
        <v>362.5</v>
      </c>
      <c r="CS53" s="2358">
        <f>CI53+CN54</f>
        <v>500</v>
      </c>
      <c r="CT53" s="2358">
        <f>CH53+CN54</f>
        <v>662.5</v>
      </c>
      <c r="CU53" s="2358">
        <f>CG53+CN54</f>
        <v>850</v>
      </c>
      <c r="CV53" s="723">
        <f>CF53+CN54</f>
        <v>1062.5</v>
      </c>
      <c r="CW53" s="723">
        <f>CE53+CN54</f>
        <v>1300</v>
      </c>
      <c r="CX53" s="724">
        <f>CD53+CN54</f>
        <v>1562.5</v>
      </c>
      <c r="CY53" s="35"/>
    </row>
    <row r="54" spans="5:103" ht="17.100000000000001" customHeight="1" x14ac:dyDescent="0.3">
      <c r="E54" s="242"/>
      <c r="G54" s="4645">
        <v>0</v>
      </c>
      <c r="H54" s="4645"/>
      <c r="I54" s="4645"/>
      <c r="J54" s="4645"/>
      <c r="K54" s="4645"/>
      <c r="L54" s="4645"/>
      <c r="M54" s="4645"/>
      <c r="N54" s="4645"/>
      <c r="O54" s="4645"/>
      <c r="P54" s="4645"/>
      <c r="Q54" s="4645"/>
      <c r="R54" s="4645"/>
      <c r="S54" s="4645"/>
      <c r="T54" s="4645"/>
      <c r="U54" s="4645"/>
      <c r="V54" s="4645"/>
      <c r="W54" s="46"/>
      <c r="X54" s="299"/>
      <c r="AA54" s="762"/>
      <c r="AB54" s="94"/>
      <c r="AC54" s="769" t="str">
        <f>IF($AG$57&gt;=CC54,"l","")</f>
        <v/>
      </c>
      <c r="AD54" s="771" t="str">
        <f>IF($AG$57&gt;=CD54,"l","")</f>
        <v/>
      </c>
      <c r="AE54" s="773" t="str">
        <f>IF($AG$57&gt;=CE54,"l","")</f>
        <v/>
      </c>
      <c r="AF54" s="776" t="str">
        <f>IF($AG$57&gt;=CF54,"l","")</f>
        <v/>
      </c>
      <c r="AG54" s="778" t="str">
        <f>IF($AG$57&gt;=CG54,"l","")</f>
        <v/>
      </c>
      <c r="AH54" s="779" t="str">
        <f t="shared" si="32"/>
        <v/>
      </c>
      <c r="AI54" s="777" t="str">
        <f t="shared" si="30"/>
        <v/>
      </c>
      <c r="AJ54" s="775" t="str">
        <f t="shared" si="28"/>
        <v/>
      </c>
      <c r="AK54" s="772" t="str">
        <f t="shared" si="26"/>
        <v/>
      </c>
      <c r="AL54" s="770" t="str">
        <f t="shared" si="24"/>
        <v/>
      </c>
      <c r="AM54" s="768" t="str">
        <f t="shared" si="22"/>
        <v/>
      </c>
      <c r="AN54" s="765" t="str">
        <f t="shared" si="21"/>
        <v/>
      </c>
      <c r="AO54" s="769" t="str">
        <f t="shared" si="23"/>
        <v/>
      </c>
      <c r="AP54" s="771" t="str">
        <f t="shared" si="25"/>
        <v/>
      </c>
      <c r="AQ54" s="773" t="str">
        <f t="shared" si="27"/>
        <v/>
      </c>
      <c r="AR54" s="776" t="str">
        <f t="shared" si="29"/>
        <v/>
      </c>
      <c r="AS54" s="778" t="str">
        <f t="shared" si="31"/>
        <v/>
      </c>
      <c r="AT54" s="779" t="str">
        <f t="shared" si="33"/>
        <v/>
      </c>
      <c r="AU54" s="777" t="str">
        <f>IF($AG$57&gt;=CU54,"l","")</f>
        <v/>
      </c>
      <c r="AV54" s="775" t="str">
        <f>IF($AG$57&gt;=CV54,"l","")</f>
        <v/>
      </c>
      <c r="AW54" s="772" t="str">
        <f>IF($AG$57&gt;=CW54,"l","")</f>
        <v/>
      </c>
      <c r="AX54" s="770" t="str">
        <f>IF($AG$57&gt;=CX54,"l","")</f>
        <v/>
      </c>
      <c r="AY54" s="768" t="str">
        <f>IF($AG$57&gt;=CY54,"l","")</f>
        <v/>
      </c>
      <c r="AZ54" s="94"/>
      <c r="BA54" s="764"/>
      <c r="BD54" s="242"/>
      <c r="BF54" s="4645">
        <v>0</v>
      </c>
      <c r="BG54" s="4645"/>
      <c r="BH54" s="4645"/>
      <c r="BI54" s="4645"/>
      <c r="BJ54" s="4645"/>
      <c r="BK54" s="4645"/>
      <c r="BL54" s="4645"/>
      <c r="BM54" s="4645"/>
      <c r="BN54" s="4645"/>
      <c r="BO54" s="4645"/>
      <c r="BP54" s="4645"/>
      <c r="BQ54" s="4645"/>
      <c r="BR54" s="4645"/>
      <c r="BS54" s="4645"/>
      <c r="BT54" s="4645"/>
      <c r="BU54" s="4645"/>
      <c r="BV54" s="46"/>
      <c r="BW54" s="299"/>
      <c r="CC54" s="2362">
        <f>CN44+CN54</f>
        <v>1525</v>
      </c>
      <c r="CD54" s="2363">
        <f>CN45+CN54</f>
        <v>1262.5</v>
      </c>
      <c r="CE54" s="2363">
        <f>CN46+CN54</f>
        <v>1025</v>
      </c>
      <c r="CF54" s="2363">
        <f>CN47+CN54</f>
        <v>812.5</v>
      </c>
      <c r="CG54" s="2363">
        <f>CN48+CN54</f>
        <v>625</v>
      </c>
      <c r="CH54" s="2363">
        <f>CN49+CN54</f>
        <v>462.5</v>
      </c>
      <c r="CI54" s="2363">
        <f>CN50+CN54</f>
        <v>325</v>
      </c>
      <c r="CJ54" s="2363">
        <f>CN51+CN54</f>
        <v>212.5</v>
      </c>
      <c r="CK54" s="2363">
        <f>CN52+CN54</f>
        <v>125</v>
      </c>
      <c r="CL54" s="2363">
        <f>CN53+CN54</f>
        <v>62.5</v>
      </c>
      <c r="CM54" s="2363">
        <f>CN54+CN54</f>
        <v>25</v>
      </c>
      <c r="CN54" s="2364">
        <v>12.5</v>
      </c>
      <c r="CO54" s="2363">
        <f>CM54+CN54</f>
        <v>37.5</v>
      </c>
      <c r="CP54" s="2363">
        <f>CL54+CN54</f>
        <v>75</v>
      </c>
      <c r="CQ54" s="2363">
        <f>CK54+CN54</f>
        <v>137.5</v>
      </c>
      <c r="CR54" s="2363">
        <f>CJ54+CN54</f>
        <v>225</v>
      </c>
      <c r="CS54" s="2363">
        <f>CI54+CN54</f>
        <v>337.5</v>
      </c>
      <c r="CT54" s="2363">
        <f>CH54+CN54</f>
        <v>475</v>
      </c>
      <c r="CU54" s="2363">
        <f>CG54+CN54</f>
        <v>637.5</v>
      </c>
      <c r="CV54" s="741">
        <f>CF54+CN54</f>
        <v>825</v>
      </c>
      <c r="CW54" s="741">
        <f>CE54+CN54</f>
        <v>1037.5</v>
      </c>
      <c r="CX54" s="741">
        <f>CD54+CN54</f>
        <v>1275</v>
      </c>
      <c r="CY54" s="742">
        <f>CC54+CN54</f>
        <v>1537.5</v>
      </c>
    </row>
    <row r="55" spans="5:103" ht="17.100000000000001" customHeight="1" x14ac:dyDescent="0.15">
      <c r="E55" s="1167"/>
      <c r="F55" s="1166"/>
      <c r="G55" s="1166"/>
      <c r="H55" s="1166"/>
      <c r="I55" s="1166"/>
      <c r="J55" s="1166"/>
      <c r="K55" s="1166"/>
      <c r="L55" s="1166"/>
      <c r="M55" s="1166"/>
      <c r="N55" s="1166"/>
      <c r="O55" s="1166"/>
      <c r="P55" s="1166"/>
      <c r="Q55" s="1166"/>
      <c r="R55" s="1166"/>
      <c r="S55" s="1166"/>
      <c r="T55" s="1166"/>
      <c r="U55" s="1166"/>
      <c r="V55" s="1166"/>
      <c r="W55" s="1166"/>
      <c r="X55" s="1168"/>
      <c r="AA55" s="762"/>
      <c r="AB55" s="94"/>
      <c r="AC55" s="94"/>
      <c r="AD55" s="94"/>
      <c r="AE55" s="94"/>
      <c r="AF55" s="94"/>
      <c r="AG55" s="781"/>
      <c r="AH55" s="781"/>
      <c r="AI55" s="781"/>
      <c r="AJ55" s="781"/>
      <c r="AK55" s="781"/>
      <c r="AL55" s="781"/>
      <c r="AM55" s="781"/>
      <c r="AN55" s="782"/>
      <c r="AO55" s="781"/>
      <c r="AP55" s="781"/>
      <c r="AQ55" s="781"/>
      <c r="AR55" s="781"/>
      <c r="AS55" s="781"/>
      <c r="AT55" s="781"/>
      <c r="AU55" s="781"/>
      <c r="AV55" s="94"/>
      <c r="AW55" s="763"/>
      <c r="AX55" s="94"/>
      <c r="AY55" s="94"/>
      <c r="AZ55" s="94"/>
      <c r="BA55" s="764"/>
      <c r="BD55" s="1167"/>
      <c r="BE55" s="1166"/>
      <c r="BF55" s="2390"/>
      <c r="BG55" s="2390"/>
      <c r="BH55" s="2390"/>
      <c r="BI55" s="2390"/>
      <c r="BJ55" s="2390"/>
      <c r="BK55" s="2390"/>
      <c r="BL55" s="2390"/>
      <c r="BM55" s="2390"/>
      <c r="BN55" s="2390"/>
      <c r="BO55" s="2390"/>
      <c r="BP55" s="2390"/>
      <c r="BQ55" s="2390"/>
      <c r="BR55" s="2390"/>
      <c r="BS55" s="2390"/>
      <c r="BT55" s="2390"/>
      <c r="BU55" s="2390"/>
      <c r="BV55" s="1166"/>
      <c r="BW55" s="1168"/>
    </row>
    <row r="56" spans="5:103" ht="17.100000000000001" customHeight="1" x14ac:dyDescent="0.2">
      <c r="E56" s="242"/>
      <c r="G56" s="4644" t="s">
        <v>1470</v>
      </c>
      <c r="H56" s="4644"/>
      <c r="I56" s="4644"/>
      <c r="J56" s="4644"/>
      <c r="K56" s="4644"/>
      <c r="L56" s="4644"/>
      <c r="M56" s="4644"/>
      <c r="N56" s="4644"/>
      <c r="O56" s="4644"/>
      <c r="P56" s="4644"/>
      <c r="Q56" s="4644"/>
      <c r="R56" s="4644"/>
      <c r="S56" s="4644"/>
      <c r="T56" s="4644"/>
      <c r="U56" s="4644"/>
      <c r="V56" s="4644"/>
      <c r="W56" s="46"/>
      <c r="X56" s="299"/>
      <c r="AA56" s="762"/>
      <c r="AB56" s="1275">
        <v>1</v>
      </c>
      <c r="AC56" s="94"/>
      <c r="AD56" s="94"/>
      <c r="AE56" s="94"/>
      <c r="AF56" s="94"/>
      <c r="AG56" s="4622" t="s">
        <v>110</v>
      </c>
      <c r="AH56" s="4622"/>
      <c r="AI56" s="4622"/>
      <c r="AJ56" s="4622"/>
      <c r="AK56" s="4622"/>
      <c r="AL56" s="4622"/>
      <c r="AM56" s="4622"/>
      <c r="AN56" s="4622"/>
      <c r="AO56" s="4622"/>
      <c r="AP56" s="4622"/>
      <c r="AQ56" s="4622"/>
      <c r="AR56" s="4622"/>
      <c r="AS56" s="4622"/>
      <c r="AT56" s="4622"/>
      <c r="AU56" s="4622"/>
      <c r="AV56" s="94"/>
      <c r="AW56" s="763"/>
      <c r="AX56" s="94"/>
      <c r="AY56" s="94"/>
      <c r="AZ56" s="1275">
        <v>7</v>
      </c>
      <c r="BA56" s="764"/>
      <c r="BD56" s="242"/>
      <c r="BF56" s="4644" t="s">
        <v>1470</v>
      </c>
      <c r="BG56" s="4644"/>
      <c r="BH56" s="4644"/>
      <c r="BI56" s="4644"/>
      <c r="BJ56" s="4644"/>
      <c r="BK56" s="4644"/>
      <c r="BL56" s="4644"/>
      <c r="BM56" s="4644"/>
      <c r="BN56" s="4644"/>
      <c r="BO56" s="4644"/>
      <c r="BP56" s="4644"/>
      <c r="BQ56" s="4644"/>
      <c r="BR56" s="4644"/>
      <c r="BS56" s="4644"/>
      <c r="BT56" s="4644"/>
      <c r="BU56" s="4644"/>
      <c r="BV56" s="46"/>
      <c r="BW56" s="299"/>
      <c r="CD56" s="3221" t="s">
        <v>193</v>
      </c>
      <c r="CJ56" s="3221" t="s">
        <v>40</v>
      </c>
    </row>
    <row r="57" spans="5:103" ht="17.100000000000001" customHeight="1" x14ac:dyDescent="0.3">
      <c r="E57" s="242"/>
      <c r="G57" s="4618">
        <f>$CC$57</f>
        <v>0</v>
      </c>
      <c r="H57" s="4618"/>
      <c r="I57" s="4618"/>
      <c r="J57" s="4618"/>
      <c r="K57" s="4618"/>
      <c r="L57" s="4618"/>
      <c r="M57" s="4618"/>
      <c r="N57" s="4618"/>
      <c r="O57" s="4618"/>
      <c r="P57" s="4618"/>
      <c r="Q57" s="4618"/>
      <c r="R57" s="4618"/>
      <c r="S57" s="4618"/>
      <c r="T57" s="4618"/>
      <c r="U57" s="4618"/>
      <c r="V57" s="4618"/>
      <c r="W57" s="46"/>
      <c r="X57" s="299"/>
      <c r="AA57" s="762"/>
      <c r="AB57" s="3103">
        <v>6</v>
      </c>
      <c r="AC57" s="94"/>
      <c r="AD57" s="94"/>
      <c r="AE57" s="94"/>
      <c r="AF57" s="94"/>
      <c r="AG57" s="4621">
        <f>data!$F$42</f>
        <v>0</v>
      </c>
      <c r="AH57" s="4621"/>
      <c r="AI57" s="4621"/>
      <c r="AJ57" s="4621"/>
      <c r="AK57" s="4621"/>
      <c r="AL57" s="4621"/>
      <c r="AM57" s="4621"/>
      <c r="AN57" s="4621"/>
      <c r="AO57" s="4621"/>
      <c r="AP57" s="4621"/>
      <c r="AQ57" s="4621"/>
      <c r="AR57" s="4621"/>
      <c r="AS57" s="4621"/>
      <c r="AT57" s="4621"/>
      <c r="AU57" s="4621"/>
      <c r="AV57" s="94"/>
      <c r="AW57" s="763"/>
      <c r="AX57" s="94"/>
      <c r="AY57" s="94"/>
      <c r="AZ57" s="3103">
        <v>12</v>
      </c>
      <c r="BA57" s="764"/>
      <c r="BD57" s="242"/>
      <c r="BF57" s="4618">
        <f>$CI$57</f>
        <v>0</v>
      </c>
      <c r="BG57" s="4618"/>
      <c r="BH57" s="4618"/>
      <c r="BI57" s="4618"/>
      <c r="BJ57" s="4618"/>
      <c r="BK57" s="4618"/>
      <c r="BL57" s="4618"/>
      <c r="BM57" s="4618"/>
      <c r="BN57" s="4618"/>
      <c r="BO57" s="4618"/>
      <c r="BP57" s="4618"/>
      <c r="BQ57" s="4618"/>
      <c r="BR57" s="4618"/>
      <c r="BS57" s="4618"/>
      <c r="BT57" s="4618"/>
      <c r="BU57" s="4618"/>
      <c r="BV57" s="46"/>
      <c r="BW57" s="299"/>
      <c r="CC57" s="4664">
        <f>SUM($CJ$5,$AM$24)-$G$54</f>
        <v>0</v>
      </c>
      <c r="CD57" s="4665"/>
      <c r="CE57" s="4666"/>
      <c r="CI57" s="4664">
        <f>SUM($CJ$5,$AM$24)-$BF$54</f>
        <v>0</v>
      </c>
      <c r="CJ57" s="4665"/>
      <c r="CK57" s="4666"/>
      <c r="CQ57" s="3097" t="s">
        <v>2201</v>
      </c>
      <c r="CR57" s="2353">
        <f>'^'!$BK$49</f>
        <v>0</v>
      </c>
    </row>
    <row r="58" spans="5:103" ht="17.100000000000001" customHeight="1" thickBot="1" x14ac:dyDescent="0.25">
      <c r="E58" s="251"/>
      <c r="F58" s="252"/>
      <c r="G58" s="252"/>
      <c r="H58" s="252"/>
      <c r="I58" s="252"/>
      <c r="J58" s="252"/>
      <c r="K58" s="252"/>
      <c r="L58" s="252"/>
      <c r="M58" s="252"/>
      <c r="N58" s="252"/>
      <c r="O58" s="252"/>
      <c r="P58" s="252"/>
      <c r="Q58" s="252"/>
      <c r="R58" s="252"/>
      <c r="S58" s="252"/>
      <c r="T58" s="252"/>
      <c r="U58" s="252"/>
      <c r="V58" s="252"/>
      <c r="W58" s="252"/>
      <c r="X58" s="253"/>
      <c r="AA58" s="783"/>
      <c r="AB58" s="784"/>
      <c r="AC58" s="784"/>
      <c r="AD58" s="784"/>
      <c r="AE58" s="784"/>
      <c r="AF58" s="784"/>
      <c r="AG58" s="784"/>
      <c r="AH58" s="784"/>
      <c r="AI58" s="784"/>
      <c r="AJ58" s="784"/>
      <c r="AK58" s="784"/>
      <c r="AL58" s="784"/>
      <c r="AM58" s="784"/>
      <c r="AN58" s="784"/>
      <c r="AO58" s="784"/>
      <c r="AP58" s="784"/>
      <c r="AQ58" s="784"/>
      <c r="AR58" s="784"/>
      <c r="AS58" s="784"/>
      <c r="AT58" s="784"/>
      <c r="AU58" s="784"/>
      <c r="AV58" s="784"/>
      <c r="AW58" s="784"/>
      <c r="AX58" s="784"/>
      <c r="AY58" s="784"/>
      <c r="AZ58" s="784"/>
      <c r="BA58" s="785"/>
      <c r="BD58" s="251"/>
      <c r="BE58" s="252"/>
      <c r="BF58" s="252"/>
      <c r="BG58" s="252"/>
      <c r="BH58" s="252"/>
      <c r="BI58" s="252"/>
      <c r="BJ58" s="252"/>
      <c r="BK58" s="252"/>
      <c r="BL58" s="252"/>
      <c r="BM58" s="252"/>
      <c r="BN58" s="252"/>
      <c r="BO58" s="252"/>
      <c r="BP58" s="252"/>
      <c r="BQ58" s="252"/>
      <c r="BR58" s="252"/>
      <c r="BS58" s="252"/>
      <c r="BT58" s="252"/>
      <c r="BU58" s="252"/>
      <c r="BV58" s="252"/>
      <c r="BW58" s="253"/>
      <c r="CD58" s="3221" t="s">
        <v>2202</v>
      </c>
      <c r="CJ58" s="3221" t="s">
        <v>2204</v>
      </c>
    </row>
    <row r="59" spans="5:103" ht="17.100000000000001" customHeight="1" thickTop="1" x14ac:dyDescent="0.15">
      <c r="AN59" s="34"/>
      <c r="CD59" s="3222" t="s">
        <v>2203</v>
      </c>
      <c r="CJ59" s="3222" t="s">
        <v>2203</v>
      </c>
    </row>
    <row r="60" spans="5:103" ht="17.100000000000001" customHeight="1" x14ac:dyDescent="0.2">
      <c r="F60" s="42"/>
      <c r="AN60" s="34" t="s">
        <v>9</v>
      </c>
      <c r="AO60" s="34"/>
      <c r="BM60" s="34"/>
      <c r="BN60" s="34"/>
      <c r="CD60" s="336">
        <f>IF(AND($CR$57&gt;=2,$CP$2=$AB$57),1,0)</f>
        <v>0</v>
      </c>
      <c r="CJ60" s="336">
        <f>IF(AND($CR$57&gt;=2,$CP$2=$AZ$57),1,0)</f>
        <v>0</v>
      </c>
    </row>
    <row r="61" spans="5:103" ht="17.100000000000001" customHeight="1" thickBot="1" x14ac:dyDescent="0.2">
      <c r="N61" s="34"/>
      <c r="O61" s="34"/>
      <c r="AN61" s="34" t="s">
        <v>9</v>
      </c>
      <c r="AO61" s="34"/>
      <c r="BM61" s="34"/>
      <c r="BN61" s="34"/>
    </row>
    <row r="62" spans="5:103" ht="17.100000000000001" customHeight="1" thickTop="1" x14ac:dyDescent="0.2">
      <c r="E62" s="1954"/>
      <c r="F62" s="1955"/>
      <c r="G62" s="1956"/>
      <c r="H62" s="1956"/>
      <c r="I62" s="1956"/>
      <c r="J62" s="1956"/>
      <c r="K62" s="1956"/>
      <c r="L62" s="1956"/>
      <c r="M62" s="1956"/>
      <c r="N62" s="1956"/>
      <c r="O62" s="1956"/>
      <c r="P62" s="1956"/>
      <c r="Q62" s="1956"/>
      <c r="R62" s="1956"/>
      <c r="S62" s="1957"/>
      <c r="T62" s="1957"/>
      <c r="U62" s="1957"/>
      <c r="V62" s="1957"/>
      <c r="W62" s="1957"/>
      <c r="X62" s="1957"/>
      <c r="Y62" s="1957"/>
      <c r="Z62" s="1957"/>
      <c r="AA62" s="1957"/>
      <c r="AB62" s="1957"/>
      <c r="AC62" s="1957"/>
      <c r="AD62" s="1957"/>
      <c r="AE62" s="1957"/>
      <c r="AF62" s="1957"/>
      <c r="AG62" s="1957"/>
      <c r="AH62" s="1957"/>
      <c r="AI62" s="1957"/>
      <c r="AJ62" s="1957"/>
      <c r="AK62" s="1957"/>
      <c r="AL62" s="1957"/>
      <c r="AM62" s="1957"/>
      <c r="AN62" s="1957"/>
      <c r="AO62" s="1957"/>
      <c r="AP62" s="1957"/>
      <c r="AQ62" s="1957"/>
      <c r="AR62" s="1957"/>
      <c r="AS62" s="1957"/>
      <c r="AT62" s="1957"/>
      <c r="AU62" s="1957"/>
      <c r="AV62" s="1957"/>
      <c r="AW62" s="1957"/>
      <c r="AX62" s="1957"/>
      <c r="AY62" s="1957"/>
      <c r="AZ62" s="1957"/>
      <c r="BA62" s="1957"/>
      <c r="BB62" s="1957"/>
      <c r="BC62" s="1957"/>
      <c r="BD62" s="1957"/>
      <c r="BE62" s="1955"/>
      <c r="BF62" s="1956"/>
      <c r="BG62" s="1957"/>
      <c r="BH62" s="1957"/>
      <c r="BI62" s="1957"/>
      <c r="BJ62" s="1957"/>
      <c r="BK62" s="1957"/>
      <c r="BL62" s="1957"/>
      <c r="BM62" s="1957"/>
      <c r="BN62" s="1957"/>
      <c r="BO62" s="1957"/>
      <c r="BP62" s="1957"/>
      <c r="BQ62" s="1957"/>
      <c r="BR62" s="1957"/>
      <c r="BS62" s="1957"/>
      <c r="BT62" s="1957"/>
      <c r="BU62" s="1957"/>
      <c r="BV62" s="1957"/>
      <c r="BW62" s="1958"/>
    </row>
    <row r="63" spans="5:103" ht="17.100000000000001" customHeight="1" x14ac:dyDescent="0.2">
      <c r="E63" s="1959"/>
      <c r="F63" s="1960"/>
      <c r="G63" s="1961"/>
      <c r="H63" s="1961"/>
      <c r="I63" s="1961"/>
      <c r="J63" s="1961"/>
      <c r="K63" s="1961"/>
      <c r="L63" s="1961"/>
      <c r="M63" s="1961"/>
      <c r="N63" s="1961"/>
      <c r="O63" s="1961"/>
      <c r="P63" s="1961"/>
      <c r="Q63" s="1961"/>
      <c r="R63" s="1961"/>
      <c r="S63" s="21"/>
      <c r="T63" s="21"/>
      <c r="U63" s="21"/>
      <c r="V63" s="21"/>
      <c r="W63" s="21"/>
      <c r="X63" s="21"/>
      <c r="Y63" s="21"/>
      <c r="Z63" s="21"/>
      <c r="AA63" s="21"/>
      <c r="AB63" s="21"/>
      <c r="AC63" s="21"/>
      <c r="AD63" s="21"/>
      <c r="AE63" s="21"/>
      <c r="AF63" s="21"/>
      <c r="AG63" s="1962"/>
      <c r="AH63" s="1962"/>
      <c r="AI63" s="1962"/>
      <c r="AJ63" s="1962"/>
      <c r="AK63" s="1962"/>
      <c r="AL63" s="1962"/>
      <c r="AM63" s="1962"/>
      <c r="AN63" s="1962"/>
      <c r="AO63" s="1962"/>
      <c r="AP63" s="1962"/>
      <c r="AQ63" s="1962"/>
      <c r="AR63" s="1962"/>
      <c r="AS63" s="1962"/>
      <c r="AT63" s="1962"/>
      <c r="AU63" s="1962"/>
      <c r="AV63" s="21"/>
      <c r="AW63" s="21"/>
      <c r="AX63" s="21"/>
      <c r="AY63" s="21"/>
      <c r="AZ63" s="21"/>
      <c r="BA63" s="21"/>
      <c r="BB63" s="21"/>
      <c r="BC63" s="21"/>
      <c r="BD63" s="21"/>
      <c r="BE63" s="1960"/>
      <c r="BF63" s="1961"/>
      <c r="BG63" s="21"/>
      <c r="BH63" s="21"/>
      <c r="BI63" s="21"/>
      <c r="BJ63" s="21"/>
      <c r="BK63" s="21"/>
      <c r="BL63" s="21"/>
      <c r="BM63" s="21"/>
      <c r="BN63" s="21"/>
      <c r="BO63" s="21"/>
      <c r="BP63" s="21"/>
      <c r="BQ63" s="21"/>
      <c r="BR63" s="21"/>
      <c r="BS63" s="21"/>
      <c r="BT63" s="21"/>
      <c r="BU63" s="21"/>
      <c r="BV63" s="21"/>
      <c r="BW63" s="1963"/>
    </row>
    <row r="64" spans="5:103" ht="17.100000000000001" customHeight="1" x14ac:dyDescent="0.2">
      <c r="E64" s="1959"/>
      <c r="F64" s="1960"/>
      <c r="G64" s="1961"/>
      <c r="H64" s="1961"/>
      <c r="I64" s="1961"/>
      <c r="J64" s="1961"/>
      <c r="K64" s="1961"/>
      <c r="L64" s="1961"/>
      <c r="M64" s="1961"/>
      <c r="N64" s="1961"/>
      <c r="O64" s="1961"/>
      <c r="P64" s="1961"/>
      <c r="Q64" s="1961"/>
      <c r="R64" s="1961"/>
      <c r="S64" s="21"/>
      <c r="T64" s="21"/>
      <c r="U64" s="21"/>
      <c r="V64" s="21"/>
      <c r="W64" s="21"/>
      <c r="X64" s="21"/>
      <c r="Y64" s="21"/>
      <c r="Z64" s="21"/>
      <c r="AA64" s="21"/>
      <c r="AB64" s="21"/>
      <c r="AC64" s="21"/>
      <c r="AD64" s="21"/>
      <c r="AE64" s="21"/>
      <c r="AF64" s="21"/>
      <c r="AG64" s="4650" t="s">
        <v>377</v>
      </c>
      <c r="AH64" s="4650"/>
      <c r="AI64" s="4650"/>
      <c r="AJ64" s="4650"/>
      <c r="AK64" s="4650"/>
      <c r="AL64" s="4650"/>
      <c r="AM64" s="4650"/>
      <c r="AN64" s="4650"/>
      <c r="AO64" s="4650"/>
      <c r="AP64" s="4650"/>
      <c r="AQ64" s="4650"/>
      <c r="AR64" s="4650"/>
      <c r="AS64" s="4650"/>
      <c r="AT64" s="4650"/>
      <c r="AU64" s="4650"/>
      <c r="AV64" s="21"/>
      <c r="AW64" s="21"/>
      <c r="AX64" s="21"/>
      <c r="AY64" s="21"/>
      <c r="AZ64" s="21"/>
      <c r="BA64" s="21"/>
      <c r="BB64" s="21"/>
      <c r="BC64" s="21"/>
      <c r="BD64" s="21"/>
      <c r="BE64" s="1960"/>
      <c r="BF64" s="1961"/>
      <c r="BG64" s="21"/>
      <c r="BH64" s="21"/>
      <c r="BI64" s="21"/>
      <c r="BJ64" s="21"/>
      <c r="BK64" s="21"/>
      <c r="BL64" s="21"/>
      <c r="BM64" s="21"/>
      <c r="BN64" s="21"/>
      <c r="BO64" s="21"/>
      <c r="BP64" s="21"/>
      <c r="BQ64" s="21"/>
      <c r="BR64" s="21"/>
      <c r="BS64" s="21"/>
      <c r="BT64" s="21"/>
      <c r="BU64" s="21"/>
      <c r="BV64" s="21"/>
      <c r="BW64" s="1963"/>
      <c r="CC64" s="3083" t="s">
        <v>2014</v>
      </c>
    </row>
    <row r="65" spans="3:107" ht="17.100000000000001" customHeight="1" x14ac:dyDescent="0.2">
      <c r="E65" s="1959"/>
      <c r="F65" s="1960"/>
      <c r="G65" s="1961"/>
      <c r="H65" s="1961"/>
      <c r="I65" s="1961"/>
      <c r="J65" s="1961"/>
      <c r="K65" s="1961"/>
      <c r="L65" s="1961"/>
      <c r="M65" s="1961"/>
      <c r="N65" s="1961"/>
      <c r="O65" s="1961"/>
      <c r="P65" s="1961"/>
      <c r="Q65" s="1961"/>
      <c r="R65" s="1961"/>
      <c r="S65" s="21"/>
      <c r="T65" s="21"/>
      <c r="U65" s="21"/>
      <c r="V65" s="21"/>
      <c r="W65" s="21"/>
      <c r="X65" s="21"/>
      <c r="Y65" s="21"/>
      <c r="Z65" s="21"/>
      <c r="AA65" s="21"/>
      <c r="AB65" s="21"/>
      <c r="AC65" s="21"/>
      <c r="AD65" s="21"/>
      <c r="AE65" s="21"/>
      <c r="AF65" s="21"/>
      <c r="AG65" s="1417"/>
      <c r="AH65" s="1417"/>
      <c r="AI65" s="1417"/>
      <c r="AJ65" s="1417"/>
      <c r="AK65" s="1417"/>
      <c r="AL65" s="1417"/>
      <c r="AM65" s="1417"/>
      <c r="AN65" s="1417"/>
      <c r="AO65" s="1417"/>
      <c r="AP65" s="1417"/>
      <c r="AQ65" s="1417"/>
      <c r="AR65" s="1417"/>
      <c r="AS65" s="1417"/>
      <c r="AT65" s="1417"/>
      <c r="AU65" s="1417"/>
      <c r="AV65" s="21"/>
      <c r="AW65" s="21"/>
      <c r="AX65" s="21"/>
      <c r="AY65" s="21"/>
      <c r="AZ65" s="21"/>
      <c r="BA65" s="21"/>
      <c r="BB65" s="21"/>
      <c r="BC65" s="21"/>
      <c r="BD65" s="21"/>
      <c r="BE65" s="1960"/>
      <c r="BF65" s="1961"/>
      <c r="BG65" s="21"/>
      <c r="BH65" s="21"/>
      <c r="BI65" s="21"/>
      <c r="BJ65" s="21"/>
      <c r="BK65" s="21"/>
      <c r="BL65" s="21"/>
      <c r="BM65" s="21"/>
      <c r="BN65" s="21"/>
      <c r="BO65" s="21"/>
      <c r="BP65" s="21"/>
      <c r="BQ65" s="21"/>
      <c r="BR65" s="21"/>
      <c r="BS65" s="21"/>
      <c r="BT65" s="21"/>
      <c r="BU65" s="21"/>
      <c r="BV65" s="21"/>
      <c r="BW65" s="1963"/>
      <c r="CC65" s="3085">
        <f>IF(CD65=0,0,1)</f>
        <v>0</v>
      </c>
      <c r="CD65" s="3084">
        <f>J69</f>
        <v>0</v>
      </c>
      <c r="CE65" s="3083"/>
      <c r="CF65" s="3083"/>
      <c r="CG65" s="3083"/>
      <c r="CH65" s="3083"/>
      <c r="CI65" s="3083"/>
      <c r="CJ65" s="3083"/>
      <c r="CK65" s="3083"/>
      <c r="CM65" s="3083"/>
      <c r="CN65" s="3083"/>
      <c r="CO65" s="3083"/>
      <c r="CP65" s="3083"/>
      <c r="CQ65" s="3083"/>
      <c r="CR65" s="3083"/>
      <c r="CS65" s="3083"/>
      <c r="CT65" s="3083"/>
      <c r="CV65" s="3083"/>
      <c r="CW65" s="3083"/>
      <c r="CX65" s="3083"/>
      <c r="CY65" s="3083"/>
      <c r="CZ65" s="3083"/>
      <c r="DA65" s="3083"/>
      <c r="DB65" s="3083"/>
      <c r="DC65" s="3083"/>
    </row>
    <row r="66" spans="3:107" ht="17.100000000000001" customHeight="1" thickBot="1" x14ac:dyDescent="0.25">
      <c r="E66" s="1964"/>
      <c r="F66" s="1961"/>
      <c r="G66" s="1961"/>
      <c r="H66" s="1961"/>
      <c r="I66" s="1961"/>
      <c r="J66" s="1961"/>
      <c r="K66" s="1961"/>
      <c r="L66" s="1961"/>
      <c r="M66" s="1961"/>
      <c r="N66" s="1961"/>
      <c r="O66" s="1961"/>
      <c r="P66" s="1961"/>
      <c r="Q66" s="1961"/>
      <c r="R66" s="1961"/>
      <c r="S66" s="1961"/>
      <c r="T66" s="1961"/>
      <c r="U66" s="1961"/>
      <c r="V66" s="1961"/>
      <c r="W66" s="1961"/>
      <c r="X66" s="1961"/>
      <c r="Y66" s="1961"/>
      <c r="Z66" s="1961"/>
      <c r="AA66" s="1961"/>
      <c r="AB66" s="1961"/>
      <c r="AC66" s="1961"/>
      <c r="AD66" s="1961"/>
      <c r="AE66" s="1961"/>
      <c r="AF66" s="1961"/>
      <c r="AG66" s="1961"/>
      <c r="AH66" s="1961"/>
      <c r="AI66" s="1961"/>
      <c r="AJ66" s="1961"/>
      <c r="AK66" s="1961"/>
      <c r="AL66" s="1961"/>
      <c r="AM66" s="1961"/>
      <c r="AN66" s="1961"/>
      <c r="AO66" s="1961"/>
      <c r="AP66" s="1961"/>
      <c r="AQ66" s="1961"/>
      <c r="AR66" s="1961"/>
      <c r="AS66" s="1961"/>
      <c r="AT66" s="1961"/>
      <c r="AU66" s="1961"/>
      <c r="AV66" s="1961"/>
      <c r="AW66" s="1961"/>
      <c r="AX66" s="1961"/>
      <c r="AY66" s="1961"/>
      <c r="AZ66" s="1961"/>
      <c r="BA66" s="1961"/>
      <c r="BB66" s="1961"/>
      <c r="BC66" s="1961"/>
      <c r="BD66" s="1961"/>
      <c r="BE66" s="1961"/>
      <c r="BF66" s="1961"/>
      <c r="BG66" s="1961"/>
      <c r="BH66" s="1961"/>
      <c r="BI66" s="1961"/>
      <c r="BJ66" s="1961"/>
      <c r="BK66" s="1961"/>
      <c r="BL66" s="1961"/>
      <c r="BM66" s="1961"/>
      <c r="BN66" s="1961"/>
      <c r="BO66" s="1961"/>
      <c r="BP66" s="1961"/>
      <c r="BQ66" s="1961"/>
      <c r="BR66" s="1961"/>
      <c r="BS66" s="1961"/>
      <c r="BT66" s="1961"/>
      <c r="BU66" s="1961"/>
      <c r="BV66" s="1961"/>
      <c r="BW66" s="1965"/>
      <c r="CC66" s="3085">
        <f t="shared" ref="CC66:CC71" si="34">IF(CD66=0,0,1)</f>
        <v>0</v>
      </c>
      <c r="CD66" s="3084">
        <f>S69</f>
        <v>0</v>
      </c>
    </row>
    <row r="67" spans="3:107" ht="17.100000000000001" customHeight="1" thickTop="1" x14ac:dyDescent="0.2">
      <c r="E67" s="1964"/>
      <c r="F67" s="1961"/>
      <c r="G67" s="1961"/>
      <c r="H67" s="1961"/>
      <c r="I67" s="1961"/>
      <c r="J67" s="4613" t="s">
        <v>68</v>
      </c>
      <c r="K67" s="4609"/>
      <c r="L67" s="4523" t="str">
        <f>IF(ISBLANK(J69),data!$JO$72,_xlfn.IFS(
ISNUMBER(SEARCH( data!$JP$23, J69 )), data!$JO$23,
ISNUMBER(SEARCH( data!$JP$24, J69 )), data!$JO$24,
ISNUMBER(SEARCH( data!$JP$25, J69 )), data!$JO$25,
ISNUMBER(SEARCH( data!$JP$26, J69 )), data!$JO$26,
ISNUMBER(SEARCH( data!$JP$27, J69 )), data!$JO$27,
ISNUMBER(SEARCH( data!$JP$28, J69 )), data!$JO$28,
ISNUMBER(SEARCH( data!$JP$29, J69 )), data!$JO$29,
ISNUMBER(SEARCH( data!$JP$30, J69 )), data!$JO$30,
ISNUMBER(SEARCH( data!$JP$31, J69 )), data!$JO$31,
ISNUMBER(SEARCH( data!$JP$32, J69 )), data!$JO$32,
ISNUMBER(SEARCH( data!$JP$33, J69 )), data!$JO$33,
ISNUMBER(SEARCH( data!$JP$34, J69 )), data!$JO$34,
ISNUMBER(SEARCH( data!$JP$35, J69 )), data!$JO$35,
ISNUMBER(SEARCH( data!$JP$36, J69 )), data!$JO$36,
ISNUMBER(SEARCH( data!$JP$37, J69 )), data!$JO$37,
ISNUMBER(SEARCH( data!$JP$38, J69 )), data!$JO$38,
ISNUMBER(SEARCH( data!$JP$39, J69 )), data!$JO$39,
ISNUMBER(SEARCH( data!$JP$40, J69 )), data!$JO$40,
ISNUMBER(SEARCH( data!$JP$41, J69 )), data!$JO$41,
ISNUMBER(SEARCH( data!$JP$42, J69 )), data!$JO$42,
ISNUMBER(SEARCH( data!$JP$43, J69 )), data!$JO$43,
ISNUMBER(SEARCH( data!$JP$44, J69 )), data!$JO$44,
ISNUMBER(SEARCH( data!$JP$45, J69 )), data!$JO$45,
ISNUMBER(SEARCH( data!$JP$46, J69 )), data!$JO$46,
ISNUMBER(SEARCH( data!$JP$47, J69 )), data!$JO$47,
ISNUMBER(SEARCH( data!$JP$48, J69 )), data!$JO$48,
ISNUMBER(SEARCH( data!$JP$49, J69 )), data!$JO$49,
ISNUMBER(SEARCH( data!$JP$50, J69 )), data!$JO$50,
ISNUMBER(SEARCH( data!$JP$51, J69 )), data!$JO$51,
ISNUMBER(SEARCH( data!$JP$52, J69 )), data!$JO$52,
ISNUMBER(SEARCH( data!$JP$53, J69 )), data!$JO$53,
ISNUMBER(SEARCH( data!$JP$54, J69 )), data!$JO$54,
ISNUMBER(SEARCH( data!$JP$55, J69 )), data!$JO$55,
ISNUMBER(SEARCH( data!$JP$56, J69 )), data!$JO$56,
ISNUMBER(SEARCH( data!$JP$57, J69 )), data!$JO$57,
ISNUMBER(SEARCH( data!$JP$58, J69 )), data!$JO$58,
ISNUMBER(SEARCH( data!$JP$59, J69 )), data!$JO$59,
ISNUMBER(SEARCH( data!$JP$60, J69 )), data!$JO$60,
ISNUMBER(SEARCH( data!$JP$61, J69 )), data!$JO$61,
ISNUMBER(SEARCH( data!$JP$62, J69 )), data!$JO$62,
ISNUMBER(SEARCH( data!$JP$63, J69 )), data!$JO$63,
ISNUMBER(SEARCH( data!$JP$64, J69 )), data!$JO$64,
ISNUMBER(SEARCH( data!$JP$65, J69 )), data!$JO$65,
ISNUMBER(SEARCH( data!$JP$66, J69 )), data!$JO$66,
ISNUMBER(SEARCH( data!$JP$67, J69 )), data!$JO$67,
ISNUMBER(SEARCH( data!$JP$68, J69 )), data!$JO$68,
ISNUMBER(SEARCH( data!$JP$69, J69 )), data!$JO$69,
ISNUMBER(SEARCH( data!$JP$70, J69 )), data!$JO$70,
ISNUMBER(SEARCH( data!$JP$71, J69 )), data!$JO$71,
ISNUMBER(SEARCH( data!$JR$23, J69 )), data!$JQ$23,
ISNUMBER(SEARCH( data!$JR$24, J69 )), data!$JQ$24,
ISNUMBER(SEARCH( data!$JR$25, J69 )), data!$JQ$25,
ISNUMBER(SEARCH( data!$JR$26, J69 )), data!$JQ$26,
ISNUMBER(SEARCH( data!$JR$27, J69 )), data!$JQ$27,
ISNUMBER(SEARCH( data!$JR$28, J69 )), data!$JQ$28,
ISNUMBER(SEARCH( data!$JR$29, J69 )), data!$JQ$29,
ISNUMBER(SEARCH( data!$JR$30, J69 )), data!$JQ$30,
ISNUMBER(SEARCH( data!$JR$31, J69 )), data!$JQ$31,
ISNUMBER(SEARCH( data!$JR$32, J69 )), data!$JQ$32,
ISNUMBER(SEARCH( data!$JR$33, J69 )), data!$JQ$33,
ISNUMBER(SEARCH( data!$JR$34, J69 )), data!$JQ$34,
ISNUMBER(SEARCH( data!$JR$35, J69 )), data!$JQ$35,
ISNUMBER(SEARCH( data!$JR$36, J69 )), data!$JQ$36,
ISNUMBER(SEARCH( data!$JR$37, J69 )), data!$JQ$37,
ISNUMBER(SEARCH( data!$JR$38, J69 )), data!$JQ$38,
ISNUMBER(SEARCH( data!$JR$39, J69 )), data!$JQ$39,
ISNUMBER(SEARCH( data!$JR$40, J69 )), data!$JQ$40,
ISNUMBER(SEARCH( data!$JR$41, J69 )), data!$JQ$41,
ISNUMBER(SEARCH( data!$JR$42, J69 )), data!$JQ$42,
ISNUMBER(SEARCH( data!$JR$43, J69 )), data!$JQ$43,
ISNUMBER(SEARCH( data!$JR$44, J69 )), data!$JQ$44,
ISNUMBER(SEARCH( data!$JR$45, J69 )), data!$JQ$45,
ISNUMBER(SEARCH( data!$JR$46, J69 )), data!$JQ$46,
ISNUMBER(SEARCH( data!$JR$47, J69 )), data!$JQ$47,
ISNUMBER(SEARCH( data!$JR$48, J69 )), data!$JQ$48,
ISNUMBER(SEARCH( data!$JR$49, J69 )), data!$JQ$49,
ISNUMBER(SEARCH( data!$JR$50, J69 )), data!$JQ$50,
ISNUMBER(SEARCH( data!$JR$51, J69 )), data!$JQ$51,
ISNUMBER(SEARCH( data!$JR$52, J69 )), data!$JQ$52,
ISNUMBER(SEARCH( data!$JR$53, J69 )), data!$JQ$53,
ISNUMBER(SEARCH( data!$JR$54, J69 )), data!$JQ$54,
ISNUMBER(SEARCH( data!$JR$55, J69 )), data!$JQ$55,
ISNUMBER(SEARCH( data!$JR$56, J69 )), data!$JQ$56,
ISNUMBER(SEARCH( data!$JR$57, J69 )), data!$JQ$57,
ISNUMBER(SEARCH( data!$JR$58, J69 )), data!$JQ$58,
ISNUMBER(SEARCH( data!$JR$59, J69 )), data!$JQ$59,
ISNUMBER(SEARCH( data!$JR$60, J69 )), data!$JQ$60,
ISNUMBER(SEARCH( data!$JR$61, J69 )), data!$JQ$61,
ISNUMBER(SEARCH( data!$JR$62, J69 )), data!$JQ$62,
ISNUMBER(SEARCH( data!$JR$63, J69 )), data!$JQ$63,
ISNUMBER(SEARCH( data!$JR$64, J69 )), data!$JQ$64,
ISNUMBER(SEARCH( data!$JR$65, J69 )), data!$JQ$65,
ISNUMBER(SEARCH( data!$JR$66, J69 )), data!$JQ$66,
ISNUMBER(SEARCH( data!$JR$67, J69 )), data!$JQ$67,
ISNUMBER(SEARCH( data!$JR$68, J69 )), data!$JQ$68,
ISNUMBER(SEARCH( data!$JR$69, J69 )), data!$JQ$69,
ISNUMBER(SEARCH( data!$JR$70, J69 )), data!$JQ$70,
ISNUMBER(SEARCH( data!$JR$71, J69 )), data!$JQ$71,
TRUE,data!$JQ$72))</f>
        <v>🞅</v>
      </c>
      <c r="M67" s="4523"/>
      <c r="N67" s="4523"/>
      <c r="O67" s="4609" t="s">
        <v>68</v>
      </c>
      <c r="P67" s="4610"/>
      <c r="Q67" s="1961"/>
      <c r="R67" s="1961"/>
      <c r="S67" s="4613" t="s">
        <v>68</v>
      </c>
      <c r="T67" s="4609"/>
      <c r="U67" s="4523" t="str">
        <f>IF(ISBLANK(S69),data!$JO$72,_xlfn.IFS(
ISNUMBER(SEARCH( data!$JP$23, S69 )), data!$JO$23,
ISNUMBER(SEARCH( data!$JP$24, S69 )), data!$JO$24,
ISNUMBER(SEARCH( data!$JP$25, S69 )), data!$JO$25,
ISNUMBER(SEARCH( data!$JP$26, S69 )), data!$JO$26,
ISNUMBER(SEARCH( data!$JP$27, S69 )), data!$JO$27,
ISNUMBER(SEARCH( data!$JP$28, S69 )), data!$JO$28,
ISNUMBER(SEARCH( data!$JP$29, S69 )), data!$JO$29,
ISNUMBER(SEARCH( data!$JP$30, S69 )), data!$JO$30,
ISNUMBER(SEARCH( data!$JP$31, S69 )), data!$JO$31,
ISNUMBER(SEARCH( data!$JP$32, S69 )), data!$JO$32,
ISNUMBER(SEARCH( data!$JP$33, S69 )), data!$JO$33,
ISNUMBER(SEARCH( data!$JP$34, S69 )), data!$JO$34,
ISNUMBER(SEARCH( data!$JP$35, S69 )), data!$JO$35,
ISNUMBER(SEARCH( data!$JP$36, S69 )), data!$JO$36,
ISNUMBER(SEARCH( data!$JP$37, S69 )), data!$JO$37,
ISNUMBER(SEARCH( data!$JP$38, S69 )), data!$JO$38,
ISNUMBER(SEARCH( data!$JP$39, S69 )), data!$JO$39,
ISNUMBER(SEARCH( data!$JP$40, S69 )), data!$JO$40,
ISNUMBER(SEARCH( data!$JP$41, S69 )), data!$JO$41,
ISNUMBER(SEARCH( data!$JP$42, S69 )), data!$JO$42,
ISNUMBER(SEARCH( data!$JP$43, S69 )), data!$JO$43,
ISNUMBER(SEARCH( data!$JP$44, S69 )), data!$JO$44,
ISNUMBER(SEARCH( data!$JP$45, S69 )), data!$JO$45,
ISNUMBER(SEARCH( data!$JP$46, S69 )), data!$JO$46,
ISNUMBER(SEARCH( data!$JP$47, S69 )), data!$JO$47,
ISNUMBER(SEARCH( data!$JP$48, S69 )), data!$JO$48,
ISNUMBER(SEARCH( data!$JP$49, S69 )), data!$JO$49,
ISNUMBER(SEARCH( data!$JP$50, S69 )), data!$JO$50,
ISNUMBER(SEARCH( data!$JP$51, S69 )), data!$JO$51,
ISNUMBER(SEARCH( data!$JP$52, S69 )), data!$JO$52,
ISNUMBER(SEARCH( data!$JP$53, S69 )), data!$JO$53,
ISNUMBER(SEARCH( data!$JP$54, S69 )), data!$JO$54,
ISNUMBER(SEARCH( data!$JP$55, S69 )), data!$JO$55,
ISNUMBER(SEARCH( data!$JP$56, S69 )), data!$JO$56,
ISNUMBER(SEARCH( data!$JP$57, S69 )), data!$JO$57,
ISNUMBER(SEARCH( data!$JP$58, S69 )), data!$JO$58,
ISNUMBER(SEARCH( data!$JP$59, S69 )), data!$JO$59,
ISNUMBER(SEARCH( data!$JP$60, S69 )), data!$JO$60,
ISNUMBER(SEARCH( data!$JP$61, S69 )), data!$JO$61,
ISNUMBER(SEARCH( data!$JP$62, S69 )), data!$JO$62,
ISNUMBER(SEARCH( data!$JP$63, S69 )), data!$JO$63,
ISNUMBER(SEARCH( data!$JP$64, S69 )), data!$JO$64,
ISNUMBER(SEARCH( data!$JP$65, S69 )), data!$JO$65,
ISNUMBER(SEARCH( data!$JP$66, S69 )), data!$JO$66,
ISNUMBER(SEARCH( data!$JP$67, S69 )), data!$JO$67,
ISNUMBER(SEARCH( data!$JP$68, S69 )), data!$JO$68,
ISNUMBER(SEARCH( data!$JP$69, S69 )), data!$JO$69,
ISNUMBER(SEARCH( data!$JP$70, S69 )), data!$JO$70,
ISNUMBER(SEARCH( data!$JP$71, S69 )), data!$JO$71,
ISNUMBER(SEARCH( data!$JR$23, S69 )), data!$JQ$23,
ISNUMBER(SEARCH( data!$JR$24, S69 )), data!$JQ$24,
ISNUMBER(SEARCH( data!$JR$25, S69 )), data!$JQ$25,
ISNUMBER(SEARCH( data!$JR$26, S69 )), data!$JQ$26,
ISNUMBER(SEARCH( data!$JR$27, S69 )), data!$JQ$27,
ISNUMBER(SEARCH( data!$JR$28, S69 )), data!$JQ$28,
ISNUMBER(SEARCH( data!$JR$29, S69 )), data!$JQ$29,
ISNUMBER(SEARCH( data!$JR$30, S69 )), data!$JQ$30,
ISNUMBER(SEARCH( data!$JR$31, S69 )), data!$JQ$31,
ISNUMBER(SEARCH( data!$JR$32, S69 )), data!$JQ$32,
ISNUMBER(SEARCH( data!$JR$33, S69 )), data!$JQ$33,
ISNUMBER(SEARCH( data!$JR$34, S69 )), data!$JQ$34,
ISNUMBER(SEARCH( data!$JR$35, S69 )), data!$JQ$35,
ISNUMBER(SEARCH( data!$JR$36, S69 )), data!$JQ$36,
ISNUMBER(SEARCH( data!$JR$37, S69 )), data!$JQ$37,
ISNUMBER(SEARCH( data!$JR$38, S69 )), data!$JQ$38,
ISNUMBER(SEARCH( data!$JR$39, S69 )), data!$JQ$39,
ISNUMBER(SEARCH( data!$JR$40, S69 )), data!$JQ$40,
ISNUMBER(SEARCH( data!$JR$41, S69 )), data!$JQ$41,
ISNUMBER(SEARCH( data!$JR$42, S69 )), data!$JQ$42,
ISNUMBER(SEARCH( data!$JR$43, S69 )), data!$JQ$43,
ISNUMBER(SEARCH( data!$JR$44, S69 )), data!$JQ$44,
ISNUMBER(SEARCH( data!$JR$45, S69 )), data!$JQ$45,
ISNUMBER(SEARCH( data!$JR$46, S69 )), data!$JQ$46,
ISNUMBER(SEARCH( data!$JR$47, S69 )), data!$JQ$47,
ISNUMBER(SEARCH( data!$JR$48, S69 )), data!$JQ$48,
ISNUMBER(SEARCH( data!$JR$49, S69 )), data!$JQ$49,
ISNUMBER(SEARCH( data!$JR$50, S69 )), data!$JQ$50,
ISNUMBER(SEARCH( data!$JR$51, S69 )), data!$JQ$51,
ISNUMBER(SEARCH( data!$JR$52, S69 )), data!$JQ$52,
ISNUMBER(SEARCH( data!$JR$53, S69 )), data!$JQ$53,
ISNUMBER(SEARCH( data!$JR$54, S69 )), data!$JQ$54,
ISNUMBER(SEARCH( data!$JR$55, S69 )), data!$JQ$55,
ISNUMBER(SEARCH( data!$JR$56, S69 )), data!$JQ$56,
ISNUMBER(SEARCH( data!$JR$57, S69 )), data!$JQ$57,
ISNUMBER(SEARCH( data!$JR$58, S69 )), data!$JQ$58,
ISNUMBER(SEARCH( data!$JR$59, S69 )), data!$JQ$59,
ISNUMBER(SEARCH( data!$JR$60, S69 )), data!$JQ$60,
ISNUMBER(SEARCH( data!$JR$61, S69 )), data!$JQ$61,
ISNUMBER(SEARCH( data!$JR$62, S69 )), data!$JQ$62,
ISNUMBER(SEARCH( data!$JR$63, S69 )), data!$JQ$63,
ISNUMBER(SEARCH( data!$JR$64, S69 )), data!$JQ$64,
ISNUMBER(SEARCH( data!$JR$65, S69 )), data!$JQ$65,
ISNUMBER(SEARCH( data!$JR$66, S69 )), data!$JQ$66,
ISNUMBER(SEARCH( data!$JR$67, S69 )), data!$JQ$67,
ISNUMBER(SEARCH( data!$JR$68, S69 )), data!$JQ$68,
ISNUMBER(SEARCH( data!$JR$69, S69 )), data!$JQ$69,
ISNUMBER(SEARCH( data!$JR$70, S69 )), data!$JQ$70,
ISNUMBER(SEARCH( data!$JR$71, S69 )), data!$JQ$71,
TRUE,data!$JQ$72))</f>
        <v>🞅</v>
      </c>
      <c r="V67" s="4523"/>
      <c r="W67" s="4523"/>
      <c r="X67" s="4609" t="s">
        <v>68</v>
      </c>
      <c r="Y67" s="4610"/>
      <c r="Z67" s="1961"/>
      <c r="AA67" s="1961"/>
      <c r="AB67" s="4613" t="s">
        <v>68</v>
      </c>
      <c r="AC67" s="4609"/>
      <c r="AD67" s="4523" t="str">
        <f>IF(ISBLANK(AB69),data!$JO$72,_xlfn.IFS(
ISNUMBER(SEARCH( data!$JP$23, AB69 )), data!$JO$23,
ISNUMBER(SEARCH( data!$JP$24, AB69 )), data!$JO$24,
ISNUMBER(SEARCH( data!$JP$25, AB69 )), data!$JO$25,
ISNUMBER(SEARCH( data!$JP$26, AB69 )), data!$JO$26,
ISNUMBER(SEARCH( data!$JP$27, AB69 )), data!$JO$27,
ISNUMBER(SEARCH( data!$JP$28, AB69 )), data!$JO$28,
ISNUMBER(SEARCH( data!$JP$29, AB69 )), data!$JO$29,
ISNUMBER(SEARCH( data!$JP$30, AB69 )), data!$JO$30,
ISNUMBER(SEARCH( data!$JP$31, AB69 )), data!$JO$31,
ISNUMBER(SEARCH( data!$JP$32, AB69 )), data!$JO$32,
ISNUMBER(SEARCH( data!$JP$33, AB69 )), data!$JO$33,
ISNUMBER(SEARCH( data!$JP$34, AB69 )), data!$JO$34,
ISNUMBER(SEARCH( data!$JP$35, AB69 )), data!$JO$35,
ISNUMBER(SEARCH( data!$JP$36, AB69 )), data!$JO$36,
ISNUMBER(SEARCH( data!$JP$37, AB69 )), data!$JO$37,
ISNUMBER(SEARCH( data!$JP$38, AB69 )), data!$JO$38,
ISNUMBER(SEARCH( data!$JP$39, AB69 )), data!$JO$39,
ISNUMBER(SEARCH( data!$JP$40, AB69 )), data!$JO$40,
ISNUMBER(SEARCH( data!$JP$41, AB69 )), data!$JO$41,
ISNUMBER(SEARCH( data!$JP$42, AB69 )), data!$JO$42,
ISNUMBER(SEARCH( data!$JP$43, AB69 )), data!$JO$43,
ISNUMBER(SEARCH( data!$JP$44, AB69 )), data!$JO$44,
ISNUMBER(SEARCH( data!$JP$45, AB69 )), data!$JO$45,
ISNUMBER(SEARCH( data!$JP$46, AB69 )), data!$JO$46,
ISNUMBER(SEARCH( data!$JP$47, AB69 )), data!$JO$47,
ISNUMBER(SEARCH( data!$JP$48, AB69 )), data!$JO$48,
ISNUMBER(SEARCH( data!$JP$49, AB69 )), data!$JO$49,
ISNUMBER(SEARCH( data!$JP$50, AB69 )), data!$JO$50,
ISNUMBER(SEARCH( data!$JP$51, AB69 )), data!$JO$51,
ISNUMBER(SEARCH( data!$JP$52, AB69 )), data!$JO$52,
ISNUMBER(SEARCH( data!$JP$53, AB69 )), data!$JO$53,
ISNUMBER(SEARCH( data!$JP$54, AB69 )), data!$JO$54,
ISNUMBER(SEARCH( data!$JP$55, AB69 )), data!$JO$55,
ISNUMBER(SEARCH( data!$JP$56, AB69 )), data!$JO$56,
ISNUMBER(SEARCH( data!$JP$57, AB69 )), data!$JO$57,
ISNUMBER(SEARCH( data!$JP$58, AB69 )), data!$JO$58,
ISNUMBER(SEARCH( data!$JP$59, AB69 )), data!$JO$59,
ISNUMBER(SEARCH( data!$JP$60, AB69 )), data!$JO$60,
ISNUMBER(SEARCH( data!$JP$61, AB69 )), data!$JO$61,
ISNUMBER(SEARCH( data!$JP$62, AB69 )), data!$JO$62,
ISNUMBER(SEARCH( data!$JP$63, AB69 )), data!$JO$63,
ISNUMBER(SEARCH( data!$JP$64, AB69 )), data!$JO$64,
ISNUMBER(SEARCH( data!$JP$65, AB69 )), data!$JO$65,
ISNUMBER(SEARCH( data!$JP$66, AB69 )), data!$JO$66,
ISNUMBER(SEARCH( data!$JP$67, AB69 )), data!$JO$67,
ISNUMBER(SEARCH( data!$JP$68, AB69 )), data!$JO$68,
ISNUMBER(SEARCH( data!$JP$69, AB69 )), data!$JO$69,
ISNUMBER(SEARCH( data!$JP$70, AB69 )), data!$JO$70,
ISNUMBER(SEARCH( data!$JP$71, AB69 )), data!$JO$71,
ISNUMBER(SEARCH( data!$JR$23, AB69 )), data!$JQ$23,
ISNUMBER(SEARCH( data!$JR$24, AB69 )), data!$JQ$24,
ISNUMBER(SEARCH( data!$JR$25, AB69 )), data!$JQ$25,
ISNUMBER(SEARCH( data!$JR$26, AB69 )), data!$JQ$26,
ISNUMBER(SEARCH( data!$JR$27, AB69 )), data!$JQ$27,
ISNUMBER(SEARCH( data!$JR$28, AB69 )), data!$JQ$28,
ISNUMBER(SEARCH( data!$JR$29, AB69 )), data!$JQ$29,
ISNUMBER(SEARCH( data!$JR$30, AB69 )), data!$JQ$30,
ISNUMBER(SEARCH( data!$JR$31, AB69 )), data!$JQ$31,
ISNUMBER(SEARCH( data!$JR$32, AB69 )), data!$JQ$32,
ISNUMBER(SEARCH( data!$JR$33, AB69 )), data!$JQ$33,
ISNUMBER(SEARCH( data!$JR$34, AB69 )), data!$JQ$34,
ISNUMBER(SEARCH( data!$JR$35, AB69 )), data!$JQ$35,
ISNUMBER(SEARCH( data!$JR$36, AB69 )), data!$JQ$36,
ISNUMBER(SEARCH( data!$JR$37, AB69 )), data!$JQ$37,
ISNUMBER(SEARCH( data!$JR$38, AB69 )), data!$JQ$38,
ISNUMBER(SEARCH( data!$JR$39, AB69 )), data!$JQ$39,
ISNUMBER(SEARCH( data!$JR$40, AB69 )), data!$JQ$40,
ISNUMBER(SEARCH( data!$JR$41, AB69 )), data!$JQ$41,
ISNUMBER(SEARCH( data!$JR$42, AB69 )), data!$JQ$42,
ISNUMBER(SEARCH( data!$JR$43, AB69 )), data!$JQ$43,
ISNUMBER(SEARCH( data!$JR$44, AB69 )), data!$JQ$44,
ISNUMBER(SEARCH( data!$JR$45, AB69 )), data!$JQ$45,
ISNUMBER(SEARCH( data!$JR$46, AB69 )), data!$JQ$46,
ISNUMBER(SEARCH( data!$JR$47, AB69 )), data!$JQ$47,
ISNUMBER(SEARCH( data!$JR$48, AB69 )), data!$JQ$48,
ISNUMBER(SEARCH( data!$JR$49, AB69 )), data!$JQ$49,
ISNUMBER(SEARCH( data!$JR$50, AB69 )), data!$JQ$50,
ISNUMBER(SEARCH( data!$JR$51, AB69 )), data!$JQ$51,
ISNUMBER(SEARCH( data!$JR$52, AB69 )), data!$JQ$52,
ISNUMBER(SEARCH( data!$JR$53, AB69 )), data!$JQ$53,
ISNUMBER(SEARCH( data!$JR$54, AB69 )), data!$JQ$54,
ISNUMBER(SEARCH( data!$JR$55, AB69 )), data!$JQ$55,
ISNUMBER(SEARCH( data!$JR$56, AB69 )), data!$JQ$56,
ISNUMBER(SEARCH( data!$JR$57, AB69 )), data!$JQ$57,
ISNUMBER(SEARCH( data!$JR$58, AB69 )), data!$JQ$58,
ISNUMBER(SEARCH( data!$JR$59, AB69 )), data!$JQ$59,
ISNUMBER(SEARCH( data!$JR$60, AB69 )), data!$JQ$60,
ISNUMBER(SEARCH( data!$JR$61, AB69 )), data!$JQ$61,
ISNUMBER(SEARCH( data!$JR$62, AB69 )), data!$JQ$62,
ISNUMBER(SEARCH( data!$JR$63, AB69 )), data!$JQ$63,
ISNUMBER(SEARCH( data!$JR$64, AB69 )), data!$JQ$64,
ISNUMBER(SEARCH( data!$JR$65, AB69 )), data!$JQ$65,
ISNUMBER(SEARCH( data!$JR$66, AB69 )), data!$JQ$66,
ISNUMBER(SEARCH( data!$JR$67, AB69 )), data!$JQ$67,
ISNUMBER(SEARCH( data!$JR$68, AB69 )), data!$JQ$68,
ISNUMBER(SEARCH( data!$JR$69, AB69 )), data!$JQ$69,
ISNUMBER(SEARCH( data!$JR$70, AB69 )), data!$JQ$70,
ISNUMBER(SEARCH( data!$JR$71, AB69 )), data!$JQ$71,
TRUE,data!$JQ$72))</f>
        <v>🞅</v>
      </c>
      <c r="AE67" s="4523"/>
      <c r="AF67" s="4523"/>
      <c r="AG67" s="4609" t="s">
        <v>68</v>
      </c>
      <c r="AH67" s="4610"/>
      <c r="AI67" s="1961"/>
      <c r="AJ67" s="1961"/>
      <c r="AK67" s="4613" t="s">
        <v>68</v>
      </c>
      <c r="AL67" s="4609"/>
      <c r="AM67" s="4523" t="str">
        <f>IF(ISBLANK(AK69),data!$JO$72,_xlfn.IFS(
ISNUMBER(SEARCH( data!$JP$23, AK69 )), data!$JO$23,
ISNUMBER(SEARCH( data!$JP$24, AK69 )), data!$JO$24,
ISNUMBER(SEARCH( data!$JP$25, AK69 )), data!$JO$25,
ISNUMBER(SEARCH( data!$JP$26, AK69 )), data!$JO$26,
ISNUMBER(SEARCH( data!$JP$27, AK69 )), data!$JO$27,
ISNUMBER(SEARCH( data!$JP$28, AK69 )), data!$JO$28,
ISNUMBER(SEARCH( data!$JP$29, AK69 )), data!$JO$29,
ISNUMBER(SEARCH( data!$JP$30, AK69 )), data!$JO$30,
ISNUMBER(SEARCH( data!$JP$31, AK69 )), data!$JO$31,
ISNUMBER(SEARCH( data!$JP$32, AK69 )), data!$JO$32,
ISNUMBER(SEARCH( data!$JP$33, AK69 )), data!$JO$33,
ISNUMBER(SEARCH( data!$JP$34, AK69 )), data!$JO$34,
ISNUMBER(SEARCH( data!$JP$35, AK69 )), data!$JO$35,
ISNUMBER(SEARCH( data!$JP$36, AK69 )), data!$JO$36,
ISNUMBER(SEARCH( data!$JP$37, AK69 )), data!$JO$37,
ISNUMBER(SEARCH( data!$JP$38, AK69 )), data!$JO$38,
ISNUMBER(SEARCH( data!$JP$39, AK69 )), data!$JO$39,
ISNUMBER(SEARCH( data!$JP$40, AK69 )), data!$JO$40,
ISNUMBER(SEARCH( data!$JP$41, AK69 )), data!$JO$41,
ISNUMBER(SEARCH( data!$JP$42, AK69 )), data!$JO$42,
ISNUMBER(SEARCH( data!$JP$43, AK69 )), data!$JO$43,
ISNUMBER(SEARCH( data!$JP$44, AK69 )), data!$JO$44,
ISNUMBER(SEARCH( data!$JP$45, AK69 )), data!$JO$45,
ISNUMBER(SEARCH( data!$JP$46, AK69 )), data!$JO$46,
ISNUMBER(SEARCH( data!$JP$47, AK69 )), data!$JO$47,
ISNUMBER(SEARCH( data!$JP$48, AK69 )), data!$JO$48,
ISNUMBER(SEARCH( data!$JP$49, AK69 )), data!$JO$49,
ISNUMBER(SEARCH( data!$JP$50, AK69 )), data!$JO$50,
ISNUMBER(SEARCH( data!$JP$51, AK69 )), data!$JO$51,
ISNUMBER(SEARCH( data!$JP$52, AK69 )), data!$JO$52,
ISNUMBER(SEARCH( data!$JP$53, AK69 )), data!$JO$53,
ISNUMBER(SEARCH( data!$JP$54, AK69 )), data!$JO$54,
ISNUMBER(SEARCH( data!$JP$55, AK69 )), data!$JO$55,
ISNUMBER(SEARCH( data!$JP$56, AK69 )), data!$JO$56,
ISNUMBER(SEARCH( data!$JP$57, AK69 )), data!$JO$57,
ISNUMBER(SEARCH( data!$JP$58, AK69 )), data!$JO$58,
ISNUMBER(SEARCH( data!$JP$59, AK69 )), data!$JO$59,
ISNUMBER(SEARCH( data!$JP$60, AK69 )), data!$JO$60,
ISNUMBER(SEARCH( data!$JP$61, AK69 )), data!$JO$61,
ISNUMBER(SEARCH( data!$JP$62, AK69 )), data!$JO$62,
ISNUMBER(SEARCH( data!$JP$63, AK69 )), data!$JO$63,
ISNUMBER(SEARCH( data!$JP$64, AK69 )), data!$JO$64,
ISNUMBER(SEARCH( data!$JP$65, AK69 )), data!$JO$65,
ISNUMBER(SEARCH( data!$JP$66, AK69 )), data!$JO$66,
ISNUMBER(SEARCH( data!$JP$67, AK69 )), data!$JO$67,
ISNUMBER(SEARCH( data!$JP$68, AK69 )), data!$JO$68,
ISNUMBER(SEARCH( data!$JP$69, AK69 )), data!$JO$69,
ISNUMBER(SEARCH( data!$JP$70, AK69 )), data!$JO$70,
ISNUMBER(SEARCH( data!$JP$71, AK69 )), data!$JO$71,
ISNUMBER(SEARCH( data!$JR$23, AK69 )), data!$JQ$23,
ISNUMBER(SEARCH( data!$JR$24, AK69 )), data!$JQ$24,
ISNUMBER(SEARCH( data!$JR$25, AK69 )), data!$JQ$25,
ISNUMBER(SEARCH( data!$JR$26, AK69 )), data!$JQ$26,
ISNUMBER(SEARCH( data!$JR$27, AK69 )), data!$JQ$27,
ISNUMBER(SEARCH( data!$JR$28, AK69 )), data!$JQ$28,
ISNUMBER(SEARCH( data!$JR$29, AK69 )), data!$JQ$29,
ISNUMBER(SEARCH( data!$JR$30, AK69 )), data!$JQ$30,
ISNUMBER(SEARCH( data!$JR$31, AK69 )), data!$JQ$31,
ISNUMBER(SEARCH( data!$JR$32, AK69 )), data!$JQ$32,
ISNUMBER(SEARCH( data!$JR$33, AK69 )), data!$JQ$33,
ISNUMBER(SEARCH( data!$JR$34, AK69 )), data!$JQ$34,
ISNUMBER(SEARCH( data!$JR$35, AK69 )), data!$JQ$35,
ISNUMBER(SEARCH( data!$JR$36, AK69 )), data!$JQ$36,
ISNUMBER(SEARCH( data!$JR$37, AK69 )), data!$JQ$37,
ISNUMBER(SEARCH( data!$JR$38, AK69 )), data!$JQ$38,
ISNUMBER(SEARCH( data!$JR$39, AK69 )), data!$JQ$39,
ISNUMBER(SEARCH( data!$JR$40, AK69 )), data!$JQ$40,
ISNUMBER(SEARCH( data!$JR$41, AK69 )), data!$JQ$41,
ISNUMBER(SEARCH( data!$JR$42, AK69 )), data!$JQ$42,
ISNUMBER(SEARCH( data!$JR$43, AK69 )), data!$JQ$43,
ISNUMBER(SEARCH( data!$JR$44, AK69 )), data!$JQ$44,
ISNUMBER(SEARCH( data!$JR$45, AK69 )), data!$JQ$45,
ISNUMBER(SEARCH( data!$JR$46, AK69 )), data!$JQ$46,
ISNUMBER(SEARCH( data!$JR$47, AK69 )), data!$JQ$47,
ISNUMBER(SEARCH( data!$JR$48, AK69 )), data!$JQ$48,
ISNUMBER(SEARCH( data!$JR$49, AK69 )), data!$JQ$49,
ISNUMBER(SEARCH( data!$JR$50, AK69 )), data!$JQ$50,
ISNUMBER(SEARCH( data!$JR$51, AK69 )), data!$JQ$51,
ISNUMBER(SEARCH( data!$JR$52, AK69 )), data!$JQ$52,
ISNUMBER(SEARCH( data!$JR$53, AK69 )), data!$JQ$53,
ISNUMBER(SEARCH( data!$JR$54, AK69 )), data!$JQ$54,
ISNUMBER(SEARCH( data!$JR$55, AK69 )), data!$JQ$55,
ISNUMBER(SEARCH( data!$JR$56, AK69 )), data!$JQ$56,
ISNUMBER(SEARCH( data!$JR$57, AK69 )), data!$JQ$57,
ISNUMBER(SEARCH( data!$JR$58, AK69 )), data!$JQ$58,
ISNUMBER(SEARCH( data!$JR$59, AK69 )), data!$JQ$59,
ISNUMBER(SEARCH( data!$JR$60, AK69 )), data!$JQ$60,
ISNUMBER(SEARCH( data!$JR$61, AK69 )), data!$JQ$61,
ISNUMBER(SEARCH( data!$JR$62, AK69 )), data!$JQ$62,
ISNUMBER(SEARCH( data!$JR$63, AK69 )), data!$JQ$63,
ISNUMBER(SEARCH( data!$JR$64, AK69 )), data!$JQ$64,
ISNUMBER(SEARCH( data!$JR$65, AK69 )), data!$JQ$65,
ISNUMBER(SEARCH( data!$JR$66, AK69 )), data!$JQ$66,
ISNUMBER(SEARCH( data!$JR$67, AK69 )), data!$JQ$67,
ISNUMBER(SEARCH( data!$JR$68, AK69 )), data!$JQ$68,
ISNUMBER(SEARCH( data!$JR$69, AK69 )), data!$JQ$69,
ISNUMBER(SEARCH( data!$JR$70, AK69 )), data!$JQ$70,
ISNUMBER(SEARCH( data!$JR$71, AK69 )), data!$JQ$71,
TRUE,data!$JQ$72))</f>
        <v>🞅</v>
      </c>
      <c r="AN67" s="4523"/>
      <c r="AO67" s="4523"/>
      <c r="AP67" s="4609" t="s">
        <v>68</v>
      </c>
      <c r="AQ67" s="4610"/>
      <c r="AR67" s="1961"/>
      <c r="AS67" s="1961"/>
      <c r="AT67" s="4613" t="s">
        <v>68</v>
      </c>
      <c r="AU67" s="4609"/>
      <c r="AV67" s="4523" t="str">
        <f>IF(ISBLANK(AT69),data!$JO$72,_xlfn.IFS(
ISNUMBER(SEARCH( data!$JP$23, AT69 )), data!$JO$23,
ISNUMBER(SEARCH( data!$JP$24, AT69 )), data!$JO$24,
ISNUMBER(SEARCH( data!$JP$25, AT69 )), data!$JO$25,
ISNUMBER(SEARCH( data!$JP$26, AT69 )), data!$JO$26,
ISNUMBER(SEARCH( data!$JP$27, AT69 )), data!$JO$27,
ISNUMBER(SEARCH( data!$JP$28, AT69 )), data!$JO$28,
ISNUMBER(SEARCH( data!$JP$29, AT69 )), data!$JO$29,
ISNUMBER(SEARCH( data!$JP$30, AT69 )), data!$JO$30,
ISNUMBER(SEARCH( data!$JP$31, AT69 )), data!$JO$31,
ISNUMBER(SEARCH( data!$JP$32, AT69 )), data!$JO$32,
ISNUMBER(SEARCH( data!$JP$33, AT69 )), data!$JO$33,
ISNUMBER(SEARCH( data!$JP$34, AT69 )), data!$JO$34,
ISNUMBER(SEARCH( data!$JP$35, AT69 )), data!$JO$35,
ISNUMBER(SEARCH( data!$JP$36, AT69 )), data!$JO$36,
ISNUMBER(SEARCH( data!$JP$37, AT69 )), data!$JO$37,
ISNUMBER(SEARCH( data!$JP$38, AT69 )), data!$JO$38,
ISNUMBER(SEARCH( data!$JP$39, AT69 )), data!$JO$39,
ISNUMBER(SEARCH( data!$JP$40, AT69 )), data!$JO$40,
ISNUMBER(SEARCH( data!$JP$41, AT69 )), data!$JO$41,
ISNUMBER(SEARCH( data!$JP$42, AT69 )), data!$JO$42,
ISNUMBER(SEARCH( data!$JP$43, AT69 )), data!$JO$43,
ISNUMBER(SEARCH( data!$JP$44, AT69 )), data!$JO$44,
ISNUMBER(SEARCH( data!$JP$45, AT69 )), data!$JO$45,
ISNUMBER(SEARCH( data!$JP$46, AT69 )), data!$JO$46,
ISNUMBER(SEARCH( data!$JP$47, AT69 )), data!$JO$47,
ISNUMBER(SEARCH( data!$JP$48, AT69 )), data!$JO$48,
ISNUMBER(SEARCH( data!$JP$49, AT69 )), data!$JO$49,
ISNUMBER(SEARCH( data!$JP$50, AT69 )), data!$JO$50,
ISNUMBER(SEARCH( data!$JP$51, AT69 )), data!$JO$51,
ISNUMBER(SEARCH( data!$JP$52, AT69 )), data!$JO$52,
ISNUMBER(SEARCH( data!$JP$53, AT69 )), data!$JO$53,
ISNUMBER(SEARCH( data!$JP$54, AT69 )), data!$JO$54,
ISNUMBER(SEARCH( data!$JP$55, AT69 )), data!$JO$55,
ISNUMBER(SEARCH( data!$JP$56, AT69 )), data!$JO$56,
ISNUMBER(SEARCH( data!$JP$57, AT69 )), data!$JO$57,
ISNUMBER(SEARCH( data!$JP$58, AT69 )), data!$JO$58,
ISNUMBER(SEARCH( data!$JP$59, AT69 )), data!$JO$59,
ISNUMBER(SEARCH( data!$JP$60, AT69 )), data!$JO$60,
ISNUMBER(SEARCH( data!$JP$61, AT69 )), data!$JO$61,
ISNUMBER(SEARCH( data!$JP$62, AT69 )), data!$JO$62,
ISNUMBER(SEARCH( data!$JP$63, AT69 )), data!$JO$63,
ISNUMBER(SEARCH( data!$JP$64, AT69 )), data!$JO$64,
ISNUMBER(SEARCH( data!$JP$65, AT69 )), data!$JO$65,
ISNUMBER(SEARCH( data!$JP$66, AT69 )), data!$JO$66,
ISNUMBER(SEARCH( data!$JP$67, AT69 )), data!$JO$67,
ISNUMBER(SEARCH( data!$JP$68, AT69 )), data!$JO$68,
ISNUMBER(SEARCH( data!$JP$69, AT69 )), data!$JO$69,
ISNUMBER(SEARCH( data!$JP$70, AT69 )), data!$JO$70,
ISNUMBER(SEARCH( data!$JP$71, AT69 )), data!$JO$71,
ISNUMBER(SEARCH( data!$JR$23, AT69 )), data!$JQ$23,
ISNUMBER(SEARCH( data!$JR$24, AT69 )), data!$JQ$24,
ISNUMBER(SEARCH( data!$JR$25, AT69 )), data!$JQ$25,
ISNUMBER(SEARCH( data!$JR$26, AT69 )), data!$JQ$26,
ISNUMBER(SEARCH( data!$JR$27, AT69 )), data!$JQ$27,
ISNUMBER(SEARCH( data!$JR$28, AT69 )), data!$JQ$28,
ISNUMBER(SEARCH( data!$JR$29, AT69 )), data!$JQ$29,
ISNUMBER(SEARCH( data!$JR$30, AT69 )), data!$JQ$30,
ISNUMBER(SEARCH( data!$JR$31, AT69 )), data!$JQ$31,
ISNUMBER(SEARCH( data!$JR$32, AT69 )), data!$JQ$32,
ISNUMBER(SEARCH( data!$JR$33, AT69 )), data!$JQ$33,
ISNUMBER(SEARCH( data!$JR$34, AT69 )), data!$JQ$34,
ISNUMBER(SEARCH( data!$JR$35, AT69 )), data!$JQ$35,
ISNUMBER(SEARCH( data!$JR$36, AT69 )), data!$JQ$36,
ISNUMBER(SEARCH( data!$JR$37, AT69 )), data!$JQ$37,
ISNUMBER(SEARCH( data!$JR$38, AT69 )), data!$JQ$38,
ISNUMBER(SEARCH( data!$JR$39, AT69 )), data!$JQ$39,
ISNUMBER(SEARCH( data!$JR$40, AT69 )), data!$JQ$40,
ISNUMBER(SEARCH( data!$JR$41, AT69 )), data!$JQ$41,
ISNUMBER(SEARCH( data!$JR$42, AT69 )), data!$JQ$42,
ISNUMBER(SEARCH( data!$JR$43, AT69 )), data!$JQ$43,
ISNUMBER(SEARCH( data!$JR$44, AT69 )), data!$JQ$44,
ISNUMBER(SEARCH( data!$JR$45, AT69 )), data!$JQ$45,
ISNUMBER(SEARCH( data!$JR$46, AT69 )), data!$JQ$46,
ISNUMBER(SEARCH( data!$JR$47, AT69 )), data!$JQ$47,
ISNUMBER(SEARCH( data!$JR$48, AT69 )), data!$JQ$48,
ISNUMBER(SEARCH( data!$JR$49, AT69 )), data!$JQ$49,
ISNUMBER(SEARCH( data!$JR$50, AT69 )), data!$JQ$50,
ISNUMBER(SEARCH( data!$JR$51, AT69 )), data!$JQ$51,
ISNUMBER(SEARCH( data!$JR$52, AT69 )), data!$JQ$52,
ISNUMBER(SEARCH( data!$JR$53, AT69 )), data!$JQ$53,
ISNUMBER(SEARCH( data!$JR$54, AT69 )), data!$JQ$54,
ISNUMBER(SEARCH( data!$JR$55, AT69 )), data!$JQ$55,
ISNUMBER(SEARCH( data!$JR$56, AT69 )), data!$JQ$56,
ISNUMBER(SEARCH( data!$JR$57, AT69 )), data!$JQ$57,
ISNUMBER(SEARCH( data!$JR$58, AT69 )), data!$JQ$58,
ISNUMBER(SEARCH( data!$JR$59, AT69 )), data!$JQ$59,
ISNUMBER(SEARCH( data!$JR$60, AT69 )), data!$JQ$60,
ISNUMBER(SEARCH( data!$JR$61, AT69 )), data!$JQ$61,
ISNUMBER(SEARCH( data!$JR$62, AT69 )), data!$JQ$62,
ISNUMBER(SEARCH( data!$JR$63, AT69 )), data!$JQ$63,
ISNUMBER(SEARCH( data!$JR$64, AT69 )), data!$JQ$64,
ISNUMBER(SEARCH( data!$JR$65, AT69 )), data!$JQ$65,
ISNUMBER(SEARCH( data!$JR$66, AT69 )), data!$JQ$66,
ISNUMBER(SEARCH( data!$JR$67, AT69 )), data!$JQ$67,
ISNUMBER(SEARCH( data!$JR$68, AT69 )), data!$JQ$68,
ISNUMBER(SEARCH( data!$JR$69, AT69 )), data!$JQ$69,
ISNUMBER(SEARCH( data!$JR$70, AT69 )), data!$JQ$70,
ISNUMBER(SEARCH( data!$JR$71, AT69 )), data!$JQ$71,
TRUE,data!$JQ$72))</f>
        <v>🞅</v>
      </c>
      <c r="AW67" s="4523"/>
      <c r="AX67" s="4523"/>
      <c r="AY67" s="4609" t="s">
        <v>68</v>
      </c>
      <c r="AZ67" s="4610"/>
      <c r="BA67" s="1961"/>
      <c r="BB67" s="1961"/>
      <c r="BC67" s="4613" t="s">
        <v>68</v>
      </c>
      <c r="BD67" s="4609"/>
      <c r="BE67" s="4523" t="str">
        <f>IF(ISBLANK(BC69),data!$JO$72,_xlfn.IFS(
ISNUMBER(SEARCH( data!$JP$23, BC69 )), data!$JO$23,
ISNUMBER(SEARCH( data!$JP$24, BC69 )), data!$JO$24,
ISNUMBER(SEARCH( data!$JP$25, BC69 )), data!$JO$25,
ISNUMBER(SEARCH( data!$JP$26, BC69 )), data!$JO$26,
ISNUMBER(SEARCH( data!$JP$27, BC69 )), data!$JO$27,
ISNUMBER(SEARCH( data!$JP$28, BC69 )), data!$JO$28,
ISNUMBER(SEARCH( data!$JP$29, BC69 )), data!$JO$29,
ISNUMBER(SEARCH( data!$JP$30, BC69 )), data!$JO$30,
ISNUMBER(SEARCH( data!$JP$31, BC69 )), data!$JO$31,
ISNUMBER(SEARCH( data!$JP$32, BC69 )), data!$JO$32,
ISNUMBER(SEARCH( data!$JP$33, BC69 )), data!$JO$33,
ISNUMBER(SEARCH( data!$JP$34, BC69 )), data!$JO$34,
ISNUMBER(SEARCH( data!$JP$35, BC69 )), data!$JO$35,
ISNUMBER(SEARCH( data!$JP$36, BC69 )), data!$JO$36,
ISNUMBER(SEARCH( data!$JP$37, BC69 )), data!$JO$37,
ISNUMBER(SEARCH( data!$JP$38, BC69 )), data!$JO$38,
ISNUMBER(SEARCH( data!$JP$39, BC69 )), data!$JO$39,
ISNUMBER(SEARCH( data!$JP$40, BC69 )), data!$JO$40,
ISNUMBER(SEARCH( data!$JP$41, BC69 )), data!$JO$41,
ISNUMBER(SEARCH( data!$JP$42, BC69 )), data!$JO$42,
ISNUMBER(SEARCH( data!$JP$43, BC69 )), data!$JO$43,
ISNUMBER(SEARCH( data!$JP$44, BC69 )), data!$JO$44,
ISNUMBER(SEARCH( data!$JP$45, BC69 )), data!$JO$45,
ISNUMBER(SEARCH( data!$JP$46, BC69 )), data!$JO$46,
ISNUMBER(SEARCH( data!$JP$47, BC69 )), data!$JO$47,
ISNUMBER(SEARCH( data!$JP$48, BC69 )), data!$JO$48,
ISNUMBER(SEARCH( data!$JP$49, BC69 )), data!$JO$49,
ISNUMBER(SEARCH( data!$JP$50, BC69 )), data!$JO$50,
ISNUMBER(SEARCH( data!$JP$51, BC69 )), data!$JO$51,
ISNUMBER(SEARCH( data!$JP$52, BC69 )), data!$JO$52,
ISNUMBER(SEARCH( data!$JP$53, BC69 )), data!$JO$53,
ISNUMBER(SEARCH( data!$JP$54, BC69 )), data!$JO$54,
ISNUMBER(SEARCH( data!$JP$55, BC69 )), data!$JO$55,
ISNUMBER(SEARCH( data!$JP$56, BC69 )), data!$JO$56,
ISNUMBER(SEARCH( data!$JP$57, BC69 )), data!$JO$57,
ISNUMBER(SEARCH( data!$JP$58, BC69 )), data!$JO$58,
ISNUMBER(SEARCH( data!$JP$59, BC69 )), data!$JO$59,
ISNUMBER(SEARCH( data!$JP$60, BC69 )), data!$JO$60,
ISNUMBER(SEARCH( data!$JP$61, BC69 )), data!$JO$61,
ISNUMBER(SEARCH( data!$JP$62, BC69 )), data!$JO$62,
ISNUMBER(SEARCH( data!$JP$63, BC69 )), data!$JO$63,
ISNUMBER(SEARCH( data!$JP$64, BC69 )), data!$JO$64,
ISNUMBER(SEARCH( data!$JP$65, BC69 )), data!$JO$65,
ISNUMBER(SEARCH( data!$JP$66, BC69 )), data!$JO$66,
ISNUMBER(SEARCH( data!$JP$67, BC69 )), data!$JO$67,
ISNUMBER(SEARCH( data!$JP$68, BC69 )), data!$JO$68,
ISNUMBER(SEARCH( data!$JP$69, BC69 )), data!$JO$69,
ISNUMBER(SEARCH( data!$JP$70, BC69 )), data!$JO$70,
ISNUMBER(SEARCH( data!$JP$71, BC69 )), data!$JO$71,
ISNUMBER(SEARCH( data!$JR$23, BC69 )), data!$JQ$23,
ISNUMBER(SEARCH( data!$JR$24, BC69 )), data!$JQ$24,
ISNUMBER(SEARCH( data!$JR$25, BC69 )), data!$JQ$25,
ISNUMBER(SEARCH( data!$JR$26, BC69 )), data!$JQ$26,
ISNUMBER(SEARCH( data!$JR$27, BC69 )), data!$JQ$27,
ISNUMBER(SEARCH( data!$JR$28, BC69 )), data!$JQ$28,
ISNUMBER(SEARCH( data!$JR$29, BC69 )), data!$JQ$29,
ISNUMBER(SEARCH( data!$JR$30, BC69 )), data!$JQ$30,
ISNUMBER(SEARCH( data!$JR$31, BC69 )), data!$JQ$31,
ISNUMBER(SEARCH( data!$JR$32, BC69 )), data!$JQ$32,
ISNUMBER(SEARCH( data!$JR$33, BC69 )), data!$JQ$33,
ISNUMBER(SEARCH( data!$JR$34, BC69 )), data!$JQ$34,
ISNUMBER(SEARCH( data!$JR$35, BC69 )), data!$JQ$35,
ISNUMBER(SEARCH( data!$JR$36, BC69 )), data!$JQ$36,
ISNUMBER(SEARCH( data!$JR$37, BC69 )), data!$JQ$37,
ISNUMBER(SEARCH( data!$JR$38, BC69 )), data!$JQ$38,
ISNUMBER(SEARCH( data!$JR$39, BC69 )), data!$JQ$39,
ISNUMBER(SEARCH( data!$JR$40, BC69 )), data!$JQ$40,
ISNUMBER(SEARCH( data!$JR$41, BC69 )), data!$JQ$41,
ISNUMBER(SEARCH( data!$JR$42, BC69 )), data!$JQ$42,
ISNUMBER(SEARCH( data!$JR$43, BC69 )), data!$JQ$43,
ISNUMBER(SEARCH( data!$JR$44, BC69 )), data!$JQ$44,
ISNUMBER(SEARCH( data!$JR$45, BC69 )), data!$JQ$45,
ISNUMBER(SEARCH( data!$JR$46, BC69 )), data!$JQ$46,
ISNUMBER(SEARCH( data!$JR$47, BC69 )), data!$JQ$47,
ISNUMBER(SEARCH( data!$JR$48, BC69 )), data!$JQ$48,
ISNUMBER(SEARCH( data!$JR$49, BC69 )), data!$JQ$49,
ISNUMBER(SEARCH( data!$JR$50, BC69 )), data!$JQ$50,
ISNUMBER(SEARCH( data!$JR$51, BC69 )), data!$JQ$51,
ISNUMBER(SEARCH( data!$JR$52, BC69 )), data!$JQ$52,
ISNUMBER(SEARCH( data!$JR$53, BC69 )), data!$JQ$53,
ISNUMBER(SEARCH( data!$JR$54, BC69 )), data!$JQ$54,
ISNUMBER(SEARCH( data!$JR$55, BC69 )), data!$JQ$55,
ISNUMBER(SEARCH( data!$JR$56, BC69 )), data!$JQ$56,
ISNUMBER(SEARCH( data!$JR$57, BC69 )), data!$JQ$57,
ISNUMBER(SEARCH( data!$JR$58, BC69 )), data!$JQ$58,
ISNUMBER(SEARCH( data!$JR$59, BC69 )), data!$JQ$59,
ISNUMBER(SEARCH( data!$JR$60, BC69 )), data!$JQ$60,
ISNUMBER(SEARCH( data!$JR$61, BC69 )), data!$JQ$61,
ISNUMBER(SEARCH( data!$JR$62, BC69 )), data!$JQ$62,
ISNUMBER(SEARCH( data!$JR$63, BC69 )), data!$JQ$63,
ISNUMBER(SEARCH( data!$JR$64, BC69 )), data!$JQ$64,
ISNUMBER(SEARCH( data!$JR$65, BC69 )), data!$JQ$65,
ISNUMBER(SEARCH( data!$JR$66, BC69 )), data!$JQ$66,
ISNUMBER(SEARCH( data!$JR$67, BC69 )), data!$JQ$67,
ISNUMBER(SEARCH( data!$JR$68, BC69 )), data!$JQ$68,
ISNUMBER(SEARCH( data!$JR$69, BC69 )), data!$JQ$69,
ISNUMBER(SEARCH( data!$JR$70, BC69 )), data!$JQ$70,
ISNUMBER(SEARCH( data!$JR$71, BC69 )), data!$JQ$71,
TRUE,data!$JQ$72))</f>
        <v>🞅</v>
      </c>
      <c r="BF67" s="4523"/>
      <c r="BG67" s="4523"/>
      <c r="BH67" s="4609" t="s">
        <v>68</v>
      </c>
      <c r="BI67" s="4610"/>
      <c r="BJ67" s="1961"/>
      <c r="BK67" s="1961"/>
      <c r="BL67" s="4613" t="s">
        <v>68</v>
      </c>
      <c r="BM67" s="4609"/>
      <c r="BN67" s="4523" t="str">
        <f>IF(ISBLANK(BL69),data!$JO$72,_xlfn.IFS(
ISNUMBER(SEARCH( data!$JP$23, BL69 )), data!$JO$23,
ISNUMBER(SEARCH( data!$JP$24, BL69 )), data!$JO$24,
ISNUMBER(SEARCH( data!$JP$25, BL69 )), data!$JO$25,
ISNUMBER(SEARCH( data!$JP$26, BL69 )), data!$JO$26,
ISNUMBER(SEARCH( data!$JP$27, BL69 )), data!$JO$27,
ISNUMBER(SEARCH( data!$JP$28, BL69 )), data!$JO$28,
ISNUMBER(SEARCH( data!$JP$29, BL69 )), data!$JO$29,
ISNUMBER(SEARCH( data!$JP$30, BL69 )), data!$JO$30,
ISNUMBER(SEARCH( data!$JP$31, BL69 )), data!$JO$31,
ISNUMBER(SEARCH( data!$JP$32, BL69 )), data!$JO$32,
ISNUMBER(SEARCH( data!$JP$33, BL69 )), data!$JO$33,
ISNUMBER(SEARCH( data!$JP$34, BL69 )), data!$JO$34,
ISNUMBER(SEARCH( data!$JP$35, BL69 )), data!$JO$35,
ISNUMBER(SEARCH( data!$JP$36, BL69 )), data!$JO$36,
ISNUMBER(SEARCH( data!$JP$37, BL69 )), data!$JO$37,
ISNUMBER(SEARCH( data!$JP$38, BL69 )), data!$JO$38,
ISNUMBER(SEARCH( data!$JP$39, BL69 )), data!$JO$39,
ISNUMBER(SEARCH( data!$JP$40, BL69 )), data!$JO$40,
ISNUMBER(SEARCH( data!$JP$41, BL69 )), data!$JO$41,
ISNUMBER(SEARCH( data!$JP$42, BL69 )), data!$JO$42,
ISNUMBER(SEARCH( data!$JP$43, BL69 )), data!$JO$43,
ISNUMBER(SEARCH( data!$JP$44, BL69 )), data!$JO$44,
ISNUMBER(SEARCH( data!$JP$45, BL69 )), data!$JO$45,
ISNUMBER(SEARCH( data!$JP$46, BL69 )), data!$JO$46,
ISNUMBER(SEARCH( data!$JP$47, BL69 )), data!$JO$47,
ISNUMBER(SEARCH( data!$JP$48, BL69 )), data!$JO$48,
ISNUMBER(SEARCH( data!$JP$49, BL69 )), data!$JO$49,
ISNUMBER(SEARCH( data!$JP$50, BL69 )), data!$JO$50,
ISNUMBER(SEARCH( data!$JP$51, BL69 )), data!$JO$51,
ISNUMBER(SEARCH( data!$JP$52, BL69 )), data!$JO$52,
ISNUMBER(SEARCH( data!$JP$53, BL69 )), data!$JO$53,
ISNUMBER(SEARCH( data!$JP$54, BL69 )), data!$JO$54,
ISNUMBER(SEARCH( data!$JP$55, BL69 )), data!$JO$55,
ISNUMBER(SEARCH( data!$JP$56, BL69 )), data!$JO$56,
ISNUMBER(SEARCH( data!$JP$57, BL69 )), data!$JO$57,
ISNUMBER(SEARCH( data!$JP$58, BL69 )), data!$JO$58,
ISNUMBER(SEARCH( data!$JP$59, BL69 )), data!$JO$59,
ISNUMBER(SEARCH( data!$JP$60, BL69 )), data!$JO$60,
ISNUMBER(SEARCH( data!$JP$61, BL69 )), data!$JO$61,
ISNUMBER(SEARCH( data!$JP$62, BL69 )), data!$JO$62,
ISNUMBER(SEARCH( data!$JP$63, BL69 )), data!$JO$63,
ISNUMBER(SEARCH( data!$JP$64, BL69 )), data!$JO$64,
ISNUMBER(SEARCH( data!$JP$65, BL69 )), data!$JO$65,
ISNUMBER(SEARCH( data!$JP$66, BL69 )), data!$JO$66,
ISNUMBER(SEARCH( data!$JP$67, BL69 )), data!$JO$67,
ISNUMBER(SEARCH( data!$JP$68, BL69 )), data!$JO$68,
ISNUMBER(SEARCH( data!$JP$69, BL69 )), data!$JO$69,
ISNUMBER(SEARCH( data!$JP$70, BL69 )), data!$JO$70,
ISNUMBER(SEARCH( data!$JP$71, BL69 )), data!$JO$71,
ISNUMBER(SEARCH( data!$JR$23, BL69 )), data!$JQ$23,
ISNUMBER(SEARCH( data!$JR$24, BL69 )), data!$JQ$24,
ISNUMBER(SEARCH( data!$JR$25, BL69 )), data!$JQ$25,
ISNUMBER(SEARCH( data!$JR$26, BL69 )), data!$JQ$26,
ISNUMBER(SEARCH( data!$JR$27, BL69 )), data!$JQ$27,
ISNUMBER(SEARCH( data!$JR$28, BL69 )), data!$JQ$28,
ISNUMBER(SEARCH( data!$JR$29, BL69 )), data!$JQ$29,
ISNUMBER(SEARCH( data!$JR$30, BL69 )), data!$JQ$30,
ISNUMBER(SEARCH( data!$JR$31, BL69 )), data!$JQ$31,
ISNUMBER(SEARCH( data!$JR$32, BL69 )), data!$JQ$32,
ISNUMBER(SEARCH( data!$JR$33, BL69 )), data!$JQ$33,
ISNUMBER(SEARCH( data!$JR$34, BL69 )), data!$JQ$34,
ISNUMBER(SEARCH( data!$JR$35, BL69 )), data!$JQ$35,
ISNUMBER(SEARCH( data!$JR$36, BL69 )), data!$JQ$36,
ISNUMBER(SEARCH( data!$JR$37, BL69 )), data!$JQ$37,
ISNUMBER(SEARCH( data!$JR$38, BL69 )), data!$JQ$38,
ISNUMBER(SEARCH( data!$JR$39, BL69 )), data!$JQ$39,
ISNUMBER(SEARCH( data!$JR$40, BL69 )), data!$JQ$40,
ISNUMBER(SEARCH( data!$JR$41, BL69 )), data!$JQ$41,
ISNUMBER(SEARCH( data!$JR$42, BL69 )), data!$JQ$42,
ISNUMBER(SEARCH( data!$JR$43, BL69 )), data!$JQ$43,
ISNUMBER(SEARCH( data!$JR$44, BL69 )), data!$JQ$44,
ISNUMBER(SEARCH( data!$JR$45, BL69 )), data!$JQ$45,
ISNUMBER(SEARCH( data!$JR$46, BL69 )), data!$JQ$46,
ISNUMBER(SEARCH( data!$JR$47, BL69 )), data!$JQ$47,
ISNUMBER(SEARCH( data!$JR$48, BL69 )), data!$JQ$48,
ISNUMBER(SEARCH( data!$JR$49, BL69 )), data!$JQ$49,
ISNUMBER(SEARCH( data!$JR$50, BL69 )), data!$JQ$50,
ISNUMBER(SEARCH( data!$JR$51, BL69 )), data!$JQ$51,
ISNUMBER(SEARCH( data!$JR$52, BL69 )), data!$JQ$52,
ISNUMBER(SEARCH( data!$JR$53, BL69 )), data!$JQ$53,
ISNUMBER(SEARCH( data!$JR$54, BL69 )), data!$JQ$54,
ISNUMBER(SEARCH( data!$JR$55, BL69 )), data!$JQ$55,
ISNUMBER(SEARCH( data!$JR$56, BL69 )), data!$JQ$56,
ISNUMBER(SEARCH( data!$JR$57, BL69 )), data!$JQ$57,
ISNUMBER(SEARCH( data!$JR$58, BL69 )), data!$JQ$58,
ISNUMBER(SEARCH( data!$JR$59, BL69 )), data!$JQ$59,
ISNUMBER(SEARCH( data!$JR$60, BL69 )), data!$JQ$60,
ISNUMBER(SEARCH( data!$JR$61, BL69 )), data!$JQ$61,
ISNUMBER(SEARCH( data!$JR$62, BL69 )), data!$JQ$62,
ISNUMBER(SEARCH( data!$JR$63, BL69 )), data!$JQ$63,
ISNUMBER(SEARCH( data!$JR$64, BL69 )), data!$JQ$64,
ISNUMBER(SEARCH( data!$JR$65, BL69 )), data!$JQ$65,
ISNUMBER(SEARCH( data!$JR$66, BL69 )), data!$JQ$66,
ISNUMBER(SEARCH( data!$JR$67, BL69 )), data!$JQ$67,
ISNUMBER(SEARCH( data!$JR$68, BL69 )), data!$JQ$68,
ISNUMBER(SEARCH( data!$JR$69, BL69 )), data!$JQ$69,
ISNUMBER(SEARCH( data!$JR$70, BL69 )), data!$JQ$70,
ISNUMBER(SEARCH( data!$JR$71, BL69 )), data!$JQ$71,
TRUE,data!$JQ$72))</f>
        <v>🞅</v>
      </c>
      <c r="BO67" s="4523"/>
      <c r="BP67" s="4523"/>
      <c r="BQ67" s="4609" t="s">
        <v>68</v>
      </c>
      <c r="BR67" s="4610"/>
      <c r="BS67" s="1961"/>
      <c r="BT67" s="1961"/>
      <c r="BU67" s="1961"/>
      <c r="BV67" s="1961"/>
      <c r="BW67" s="1965"/>
      <c r="CC67" s="3085">
        <f t="shared" si="34"/>
        <v>0</v>
      </c>
      <c r="CD67" s="3084">
        <f>AB69</f>
        <v>0</v>
      </c>
    </row>
    <row r="68" spans="3:107" ht="17.100000000000001" customHeight="1" x14ac:dyDescent="0.2">
      <c r="E68" s="1964"/>
      <c r="F68" s="1961"/>
      <c r="G68" s="1961"/>
      <c r="H68" s="1961"/>
      <c r="I68" s="1961"/>
      <c r="J68" s="4614"/>
      <c r="K68" s="4611"/>
      <c r="L68" s="4524"/>
      <c r="M68" s="4524"/>
      <c r="N68" s="4524"/>
      <c r="O68" s="4611"/>
      <c r="P68" s="4612"/>
      <c r="Q68" s="1961"/>
      <c r="R68" s="1961"/>
      <c r="S68" s="4614"/>
      <c r="T68" s="4611"/>
      <c r="U68" s="4524"/>
      <c r="V68" s="4524"/>
      <c r="W68" s="4524"/>
      <c r="X68" s="4611"/>
      <c r="Y68" s="4612"/>
      <c r="Z68" s="1961"/>
      <c r="AA68" s="1961"/>
      <c r="AB68" s="4614"/>
      <c r="AC68" s="4611"/>
      <c r="AD68" s="4524"/>
      <c r="AE68" s="4524"/>
      <c r="AF68" s="4524"/>
      <c r="AG68" s="4611"/>
      <c r="AH68" s="4612"/>
      <c r="AI68" s="1961"/>
      <c r="AJ68" s="1961"/>
      <c r="AK68" s="4614"/>
      <c r="AL68" s="4611"/>
      <c r="AM68" s="4524"/>
      <c r="AN68" s="4524"/>
      <c r="AO68" s="4524"/>
      <c r="AP68" s="4611"/>
      <c r="AQ68" s="4612"/>
      <c r="AR68" s="1961"/>
      <c r="AS68" s="1961"/>
      <c r="AT68" s="4614"/>
      <c r="AU68" s="4611"/>
      <c r="AV68" s="4524"/>
      <c r="AW68" s="4524"/>
      <c r="AX68" s="4524"/>
      <c r="AY68" s="4611"/>
      <c r="AZ68" s="4612"/>
      <c r="BA68" s="1961"/>
      <c r="BB68" s="1961"/>
      <c r="BC68" s="4614"/>
      <c r="BD68" s="4611"/>
      <c r="BE68" s="4524"/>
      <c r="BF68" s="4524"/>
      <c r="BG68" s="4524"/>
      <c r="BH68" s="4611"/>
      <c r="BI68" s="4612"/>
      <c r="BJ68" s="1961"/>
      <c r="BK68" s="1961"/>
      <c r="BL68" s="4614"/>
      <c r="BM68" s="4611"/>
      <c r="BN68" s="4524"/>
      <c r="BO68" s="4524"/>
      <c r="BP68" s="4524"/>
      <c r="BQ68" s="4611"/>
      <c r="BR68" s="4612"/>
      <c r="BS68" s="1961"/>
      <c r="BT68" s="1961"/>
      <c r="BU68" s="1961"/>
      <c r="BV68" s="1961"/>
      <c r="BW68" s="1965"/>
      <c r="CC68" s="3085">
        <f t="shared" si="34"/>
        <v>0</v>
      </c>
      <c r="CD68" s="3084">
        <f>AK69</f>
        <v>0</v>
      </c>
    </row>
    <row r="69" spans="3:107" ht="17.100000000000001" customHeight="1" x14ac:dyDescent="0.2">
      <c r="E69" s="1964"/>
      <c r="F69" s="1961"/>
      <c r="G69" s="1961"/>
      <c r="H69" s="1961"/>
      <c r="I69" s="1961"/>
      <c r="J69" s="4527"/>
      <c r="K69" s="4528"/>
      <c r="L69" s="4528"/>
      <c r="M69" s="4528"/>
      <c r="N69" s="4528"/>
      <c r="O69" s="4528"/>
      <c r="P69" s="4529"/>
      <c r="Q69" s="1961"/>
      <c r="R69" s="1961"/>
      <c r="S69" s="4527"/>
      <c r="T69" s="4528"/>
      <c r="U69" s="4528"/>
      <c r="V69" s="4528"/>
      <c r="W69" s="4528"/>
      <c r="X69" s="4528"/>
      <c r="Y69" s="4529"/>
      <c r="Z69" s="1961"/>
      <c r="AA69" s="1961"/>
      <c r="AB69" s="4527"/>
      <c r="AC69" s="4528"/>
      <c r="AD69" s="4528"/>
      <c r="AE69" s="4528"/>
      <c r="AF69" s="4528"/>
      <c r="AG69" s="4528"/>
      <c r="AH69" s="4529"/>
      <c r="AI69" s="1961"/>
      <c r="AJ69" s="1961"/>
      <c r="AK69" s="4527"/>
      <c r="AL69" s="4528"/>
      <c r="AM69" s="4528"/>
      <c r="AN69" s="4528"/>
      <c r="AO69" s="4528"/>
      <c r="AP69" s="4528"/>
      <c r="AQ69" s="4529"/>
      <c r="AR69" s="1961"/>
      <c r="AS69" s="1961"/>
      <c r="AT69" s="4527"/>
      <c r="AU69" s="4528"/>
      <c r="AV69" s="4528"/>
      <c r="AW69" s="4528"/>
      <c r="AX69" s="4528"/>
      <c r="AY69" s="4528"/>
      <c r="AZ69" s="4529"/>
      <c r="BA69" s="1961"/>
      <c r="BB69" s="1961"/>
      <c r="BC69" s="4527"/>
      <c r="BD69" s="4528"/>
      <c r="BE69" s="4528"/>
      <c r="BF69" s="4528"/>
      <c r="BG69" s="4528"/>
      <c r="BH69" s="4528"/>
      <c r="BI69" s="4529"/>
      <c r="BJ69" s="1961"/>
      <c r="BK69" s="1961"/>
      <c r="BL69" s="4527"/>
      <c r="BM69" s="4528"/>
      <c r="BN69" s="4528"/>
      <c r="BO69" s="4528"/>
      <c r="BP69" s="4528"/>
      <c r="BQ69" s="4528"/>
      <c r="BR69" s="4529"/>
      <c r="BS69" s="1961"/>
      <c r="BT69" s="1961"/>
      <c r="BU69" s="1961"/>
      <c r="BV69" s="1961"/>
      <c r="BW69" s="1965"/>
      <c r="BZ69" s="2004"/>
      <c r="CC69" s="3085">
        <f t="shared" si="34"/>
        <v>0</v>
      </c>
      <c r="CD69" s="3084">
        <f>AT69</f>
        <v>0</v>
      </c>
    </row>
    <row r="70" spans="3:107" ht="17.100000000000001" customHeight="1" thickBot="1" x14ac:dyDescent="0.25">
      <c r="E70" s="1964"/>
      <c r="F70" s="1961"/>
      <c r="G70" s="1961"/>
      <c r="H70" s="1961"/>
      <c r="I70" s="1961"/>
      <c r="J70" s="4530"/>
      <c r="K70" s="4531"/>
      <c r="L70" s="4531"/>
      <c r="M70" s="4531"/>
      <c r="N70" s="4531"/>
      <c r="O70" s="4531"/>
      <c r="P70" s="4532"/>
      <c r="Q70" s="1961"/>
      <c r="R70" s="1961"/>
      <c r="S70" s="4530"/>
      <c r="T70" s="4531"/>
      <c r="U70" s="4531"/>
      <c r="V70" s="4531"/>
      <c r="W70" s="4531"/>
      <c r="X70" s="4531"/>
      <c r="Y70" s="4532"/>
      <c r="Z70" s="1961"/>
      <c r="AA70" s="1961"/>
      <c r="AB70" s="4530"/>
      <c r="AC70" s="4531"/>
      <c r="AD70" s="4531"/>
      <c r="AE70" s="4531"/>
      <c r="AF70" s="4531"/>
      <c r="AG70" s="4531"/>
      <c r="AH70" s="4532"/>
      <c r="AI70" s="1961"/>
      <c r="AJ70" s="1961"/>
      <c r="AK70" s="4530"/>
      <c r="AL70" s="4531"/>
      <c r="AM70" s="4531"/>
      <c r="AN70" s="4531"/>
      <c r="AO70" s="4531"/>
      <c r="AP70" s="4531"/>
      <c r="AQ70" s="4532"/>
      <c r="AR70" s="1961"/>
      <c r="AS70" s="1961"/>
      <c r="AT70" s="4530"/>
      <c r="AU70" s="4531"/>
      <c r="AV70" s="4531"/>
      <c r="AW70" s="4531"/>
      <c r="AX70" s="4531"/>
      <c r="AY70" s="4531"/>
      <c r="AZ70" s="4532"/>
      <c r="BA70" s="1961"/>
      <c r="BB70" s="1961"/>
      <c r="BC70" s="4530"/>
      <c r="BD70" s="4531"/>
      <c r="BE70" s="4531"/>
      <c r="BF70" s="4531"/>
      <c r="BG70" s="4531"/>
      <c r="BH70" s="4531"/>
      <c r="BI70" s="4532"/>
      <c r="BJ70" s="1961"/>
      <c r="BK70" s="1961"/>
      <c r="BL70" s="4530"/>
      <c r="BM70" s="4531"/>
      <c r="BN70" s="4531"/>
      <c r="BO70" s="4531"/>
      <c r="BP70" s="4531"/>
      <c r="BQ70" s="4531"/>
      <c r="BR70" s="4532"/>
      <c r="BS70" s="1961"/>
      <c r="BT70" s="1961"/>
      <c r="BU70" s="1961"/>
      <c r="BV70" s="1961"/>
      <c r="BW70" s="1965"/>
      <c r="CC70" s="3085">
        <f t="shared" si="34"/>
        <v>0</v>
      </c>
      <c r="CD70" s="3084">
        <f>BC69</f>
        <v>0</v>
      </c>
    </row>
    <row r="71" spans="3:107" ht="17.100000000000001" customHeight="1" thickTop="1" x14ac:dyDescent="0.2">
      <c r="E71" s="1964"/>
      <c r="F71" s="1961"/>
      <c r="G71" s="1961"/>
      <c r="H71" s="1961"/>
      <c r="I71" s="1961"/>
      <c r="J71" s="4608">
        <v>0</v>
      </c>
      <c r="K71" s="4608"/>
      <c r="L71" s="4608"/>
      <c r="M71" s="4608"/>
      <c r="N71" s="4608"/>
      <c r="O71" s="4608"/>
      <c r="P71" s="4608"/>
      <c r="Q71" s="1974"/>
      <c r="R71" s="1974"/>
      <c r="S71" s="4608">
        <v>0</v>
      </c>
      <c r="T71" s="4608"/>
      <c r="U71" s="4608"/>
      <c r="V71" s="4608"/>
      <c r="W71" s="4608"/>
      <c r="X71" s="4608"/>
      <c r="Y71" s="4608"/>
      <c r="Z71" s="1974"/>
      <c r="AA71" s="1974"/>
      <c r="AB71" s="4608">
        <v>0</v>
      </c>
      <c r="AC71" s="4608"/>
      <c r="AD71" s="4608"/>
      <c r="AE71" s="4608"/>
      <c r="AF71" s="4608"/>
      <c r="AG71" s="4608"/>
      <c r="AH71" s="4608"/>
      <c r="AI71" s="1974"/>
      <c r="AJ71" s="1974"/>
      <c r="AK71" s="4608">
        <v>0</v>
      </c>
      <c r="AL71" s="4608"/>
      <c r="AM71" s="4608"/>
      <c r="AN71" s="4608"/>
      <c r="AO71" s="4608"/>
      <c r="AP71" s="4608"/>
      <c r="AQ71" s="4608"/>
      <c r="AR71" s="1974"/>
      <c r="AS71" s="1974"/>
      <c r="AT71" s="4608">
        <v>0</v>
      </c>
      <c r="AU71" s="4608"/>
      <c r="AV71" s="4608"/>
      <c r="AW71" s="4608"/>
      <c r="AX71" s="4608"/>
      <c r="AY71" s="4608"/>
      <c r="AZ71" s="4608"/>
      <c r="BA71" s="1974"/>
      <c r="BB71" s="1974"/>
      <c r="BC71" s="4608">
        <v>0</v>
      </c>
      <c r="BD71" s="4608"/>
      <c r="BE71" s="4608"/>
      <c r="BF71" s="4608"/>
      <c r="BG71" s="4608"/>
      <c r="BH71" s="4608"/>
      <c r="BI71" s="4608"/>
      <c r="BJ71" s="1974"/>
      <c r="BK71" s="1974"/>
      <c r="BL71" s="4608">
        <v>0</v>
      </c>
      <c r="BM71" s="4608"/>
      <c r="BN71" s="4608"/>
      <c r="BO71" s="4608"/>
      <c r="BP71" s="4608"/>
      <c r="BQ71" s="4608"/>
      <c r="BR71" s="4608"/>
      <c r="BS71" s="1961"/>
      <c r="BT71" s="1961"/>
      <c r="BU71" s="1961"/>
      <c r="BV71" s="1961"/>
      <c r="BW71" s="1965"/>
      <c r="CC71" s="3085">
        <f t="shared" si="34"/>
        <v>0</v>
      </c>
      <c r="CD71" s="3084">
        <f>BL69</f>
        <v>0</v>
      </c>
    </row>
    <row r="72" spans="3:107" ht="17.100000000000001" customHeight="1" x14ac:dyDescent="0.2">
      <c r="E72" s="1964"/>
      <c r="F72" s="1961"/>
      <c r="G72" s="1961"/>
      <c r="H72" s="1961"/>
      <c r="I72" s="1961"/>
      <c r="J72" s="1966"/>
      <c r="K72" s="1966"/>
      <c r="L72" s="1966"/>
      <c r="M72" s="1967"/>
      <c r="N72" s="1968"/>
      <c r="O72" s="1968"/>
      <c r="P72" s="1968"/>
      <c r="Q72" s="1969"/>
      <c r="R72" s="1969"/>
      <c r="S72" s="1968"/>
      <c r="T72" s="1968"/>
      <c r="U72" s="1968"/>
      <c r="V72" s="1967"/>
      <c r="W72" s="1968"/>
      <c r="X72" s="1968"/>
      <c r="Y72" s="1968"/>
      <c r="Z72" s="1969"/>
      <c r="AA72" s="1969"/>
      <c r="AB72" s="1968"/>
      <c r="AC72" s="1968"/>
      <c r="AD72" s="1968"/>
      <c r="AE72" s="1967"/>
      <c r="AF72" s="1968"/>
      <c r="AG72" s="1968"/>
      <c r="AH72" s="1968"/>
      <c r="AI72" s="1969"/>
      <c r="AJ72" s="1969"/>
      <c r="AK72" s="1968"/>
      <c r="AL72" s="1968"/>
      <c r="AM72" s="1968"/>
      <c r="AN72" s="1967"/>
      <c r="AO72" s="1968"/>
      <c r="AP72" s="1968"/>
      <c r="AQ72" s="1968"/>
      <c r="AR72" s="1969"/>
      <c r="AS72" s="1969"/>
      <c r="AT72" s="1968"/>
      <c r="AU72" s="1968"/>
      <c r="AV72" s="1968"/>
      <c r="AW72" s="1967"/>
      <c r="AX72" s="1968"/>
      <c r="AY72" s="1968"/>
      <c r="AZ72" s="1968"/>
      <c r="BA72" s="1969"/>
      <c r="BB72" s="1969"/>
      <c r="BC72" s="1968"/>
      <c r="BD72" s="1968"/>
      <c r="BE72" s="1968"/>
      <c r="BF72" s="1967"/>
      <c r="BG72" s="1968"/>
      <c r="BH72" s="1968"/>
      <c r="BI72" s="1968"/>
      <c r="BJ72" s="1969"/>
      <c r="BK72" s="1969"/>
      <c r="BL72" s="1968"/>
      <c r="BM72" s="1968"/>
      <c r="BN72" s="1968"/>
      <c r="BO72" s="1967"/>
      <c r="BP72" s="1966"/>
      <c r="BQ72" s="1966"/>
      <c r="BR72" s="1966"/>
      <c r="BS72" s="1961"/>
      <c r="BT72" s="1961"/>
      <c r="BU72" s="1961"/>
      <c r="BV72" s="1961"/>
      <c r="BW72" s="1965"/>
    </row>
    <row r="73" spans="3:107" ht="17.100000000000001" customHeight="1" x14ac:dyDescent="0.2">
      <c r="E73" s="1964"/>
      <c r="F73" s="1961"/>
      <c r="G73" s="1961"/>
      <c r="H73" s="1961"/>
      <c r="I73" s="1961"/>
      <c r="J73" s="1966"/>
      <c r="K73" s="1966"/>
      <c r="L73" s="1966"/>
      <c r="M73" s="1966"/>
      <c r="N73" s="1966"/>
      <c r="O73" s="1966"/>
      <c r="P73" s="1966"/>
      <c r="Q73" s="1961"/>
      <c r="R73" s="1961"/>
      <c r="S73" s="1966"/>
      <c r="T73" s="1966"/>
      <c r="U73" s="1966"/>
      <c r="V73" s="1966"/>
      <c r="W73" s="1966"/>
      <c r="X73" s="1966"/>
      <c r="Y73" s="1966"/>
      <c r="Z73" s="1961"/>
      <c r="AA73" s="1961"/>
      <c r="AB73" s="1966"/>
      <c r="AC73" s="1966"/>
      <c r="AD73" s="1966"/>
      <c r="AE73" s="1966"/>
      <c r="AF73" s="1966"/>
      <c r="AG73" s="1966"/>
      <c r="AH73" s="1966"/>
      <c r="AI73" s="1961"/>
      <c r="AJ73" s="1961"/>
      <c r="AK73" s="1966"/>
      <c r="AL73" s="1966"/>
      <c r="AM73" s="1966"/>
      <c r="AN73" s="1966"/>
      <c r="AO73" s="1966"/>
      <c r="AP73" s="1966"/>
      <c r="AQ73" s="1966"/>
      <c r="AR73" s="1961"/>
      <c r="AS73" s="1961"/>
      <c r="AT73" s="1966"/>
      <c r="AU73" s="1966"/>
      <c r="AV73" s="1966"/>
      <c r="AW73" s="1966"/>
      <c r="AX73" s="1966"/>
      <c r="AY73" s="1966"/>
      <c r="AZ73" s="1966"/>
      <c r="BA73" s="1961"/>
      <c r="BB73" s="1961"/>
      <c r="BC73" s="1966"/>
      <c r="BD73" s="1966"/>
      <c r="BE73" s="1966"/>
      <c r="BF73" s="1966"/>
      <c r="BG73" s="1966"/>
      <c r="BH73" s="1966"/>
      <c r="BI73" s="1966"/>
      <c r="BJ73" s="1961"/>
      <c r="BK73" s="1961"/>
      <c r="BL73" s="1966"/>
      <c r="BM73" s="1966"/>
      <c r="BN73" s="1966"/>
      <c r="BO73" s="1966"/>
      <c r="BP73" s="1966"/>
      <c r="BQ73" s="1966"/>
      <c r="BR73" s="1966"/>
      <c r="BS73" s="1961"/>
      <c r="BT73" s="1961"/>
      <c r="BU73" s="1961"/>
      <c r="BV73" s="1961"/>
      <c r="BW73" s="1965"/>
    </row>
    <row r="74" spans="3:107" ht="17.100000000000001" customHeight="1" x14ac:dyDescent="0.2">
      <c r="E74" s="1964"/>
      <c r="F74" s="1961"/>
      <c r="G74" s="1961"/>
      <c r="H74" s="1961"/>
      <c r="I74" s="1961"/>
      <c r="J74" s="1961"/>
      <c r="K74" s="1961"/>
      <c r="L74" s="1961"/>
      <c r="M74" s="1961"/>
      <c r="N74" s="1961"/>
      <c r="O74" s="1961"/>
      <c r="P74" s="1961"/>
      <c r="Q74" s="1961"/>
      <c r="R74" s="1961"/>
      <c r="S74" s="1961"/>
      <c r="T74" s="1961"/>
      <c r="U74" s="1961"/>
      <c r="V74" s="1961"/>
      <c r="W74" s="1961"/>
      <c r="X74" s="1961"/>
      <c r="Y74" s="1961"/>
      <c r="Z74" s="1961"/>
      <c r="AA74" s="1961"/>
      <c r="AB74" s="1961"/>
      <c r="AC74" s="1961"/>
      <c r="AD74" s="1961"/>
      <c r="AE74" s="1961"/>
      <c r="AF74" s="1961"/>
      <c r="AG74" s="4651">
        <f>SUM(J71:BR71)*-1</f>
        <v>0</v>
      </c>
      <c r="AH74" s="4651"/>
      <c r="AI74" s="4651"/>
      <c r="AJ74" s="4651"/>
      <c r="AK74" s="4651"/>
      <c r="AL74" s="4651"/>
      <c r="AM74" s="4651"/>
      <c r="AN74" s="4651"/>
      <c r="AO74" s="4651"/>
      <c r="AP74" s="4651"/>
      <c r="AQ74" s="4651"/>
      <c r="AR74" s="4651"/>
      <c r="AS74" s="4651"/>
      <c r="AT74" s="4651"/>
      <c r="AU74" s="4651"/>
      <c r="AV74" s="1961"/>
      <c r="AW74" s="1961"/>
      <c r="AX74" s="1961"/>
      <c r="AY74" s="1961"/>
      <c r="AZ74" s="1961"/>
      <c r="BA74" s="1961"/>
      <c r="BB74" s="1961"/>
      <c r="BC74" s="1961"/>
      <c r="BD74" s="1961"/>
      <c r="BE74" s="1961"/>
      <c r="BF74" s="1961"/>
      <c r="BG74" s="1961"/>
      <c r="BH74" s="1961"/>
      <c r="BI74" s="1961"/>
      <c r="BJ74" s="1961"/>
      <c r="BK74" s="1961"/>
      <c r="BL74" s="1961"/>
      <c r="BM74" s="1961"/>
      <c r="BN74" s="1961"/>
      <c r="BO74" s="1961"/>
      <c r="BP74" s="1961"/>
      <c r="BQ74" s="1961"/>
      <c r="BR74" s="1961"/>
      <c r="BS74" s="1961"/>
      <c r="BT74" s="1961"/>
      <c r="BU74" s="1961"/>
      <c r="BV74" s="1961"/>
      <c r="BW74" s="1965"/>
    </row>
    <row r="75" spans="3:107" ht="17.100000000000001" customHeight="1" thickBot="1" x14ac:dyDescent="0.25">
      <c r="E75" s="1970"/>
      <c r="F75" s="1971"/>
      <c r="G75" s="1971"/>
      <c r="H75" s="1971"/>
      <c r="I75" s="1971"/>
      <c r="J75" s="1971"/>
      <c r="K75" s="1971"/>
      <c r="L75" s="1971"/>
      <c r="M75" s="1971"/>
      <c r="N75" s="1971"/>
      <c r="O75" s="1971"/>
      <c r="P75" s="1971"/>
      <c r="Q75" s="1971"/>
      <c r="R75" s="1971"/>
      <c r="S75" s="1971"/>
      <c r="T75" s="1971"/>
      <c r="U75" s="1971"/>
      <c r="V75" s="1971"/>
      <c r="W75" s="1971"/>
      <c r="X75" s="1971"/>
      <c r="Y75" s="1971"/>
      <c r="Z75" s="1971"/>
      <c r="AA75" s="1971"/>
      <c r="AB75" s="1971"/>
      <c r="AC75" s="1971"/>
      <c r="AD75" s="1971"/>
      <c r="AE75" s="1971"/>
      <c r="AF75" s="1971"/>
      <c r="AG75" s="1971"/>
      <c r="AH75" s="1971"/>
      <c r="AI75" s="1971"/>
      <c r="AJ75" s="1971"/>
      <c r="AK75" s="1971"/>
      <c r="AL75" s="1971"/>
      <c r="AM75" s="1971"/>
      <c r="AN75" s="1971"/>
      <c r="AO75" s="1971"/>
      <c r="AP75" s="1971"/>
      <c r="AQ75" s="1971"/>
      <c r="AR75" s="1971"/>
      <c r="AS75" s="1971"/>
      <c r="AT75" s="1971"/>
      <c r="AU75" s="1971"/>
      <c r="AV75" s="1971"/>
      <c r="AW75" s="1971"/>
      <c r="AX75" s="1971"/>
      <c r="AY75" s="1971"/>
      <c r="AZ75" s="1971"/>
      <c r="BA75" s="1971"/>
      <c r="BB75" s="1971"/>
      <c r="BC75" s="1971"/>
      <c r="BD75" s="1971"/>
      <c r="BE75" s="1971"/>
      <c r="BF75" s="1971"/>
      <c r="BG75" s="1972"/>
      <c r="BH75" s="1971"/>
      <c r="BI75" s="1971"/>
      <c r="BJ75" s="1971"/>
      <c r="BK75" s="1971"/>
      <c r="BL75" s="1971"/>
      <c r="BM75" s="1971"/>
      <c r="BN75" s="1971"/>
      <c r="BO75" s="1971"/>
      <c r="BP75" s="1971"/>
      <c r="BQ75" s="1971"/>
      <c r="BR75" s="1971"/>
      <c r="BS75" s="1971"/>
      <c r="BT75" s="1971"/>
      <c r="BU75" s="1971"/>
      <c r="BV75" s="1971"/>
      <c r="BW75" s="1973"/>
    </row>
    <row r="76" spans="3:107" ht="17.100000000000001" customHeight="1" thickTop="1" x14ac:dyDescent="0.15"/>
    <row r="77" spans="3:107" ht="17.100000000000001" customHeight="1" x14ac:dyDescent="0.2">
      <c r="C77" s="28"/>
      <c r="D77" s="28"/>
      <c r="N77" s="34"/>
      <c r="O77" s="34"/>
      <c r="P77" s="766"/>
      <c r="Q77" s="766"/>
      <c r="R77" s="766"/>
      <c r="AN77" s="34" t="s">
        <v>9</v>
      </c>
      <c r="BM77" s="34"/>
      <c r="BN77" s="34"/>
      <c r="BX77" s="28"/>
      <c r="BY77" s="28"/>
    </row>
    <row r="78" spans="3:107" ht="17.100000000000001" customHeight="1" thickBot="1" x14ac:dyDescent="0.2">
      <c r="C78" s="28"/>
      <c r="D78" s="28"/>
      <c r="N78" s="34"/>
      <c r="O78" s="34"/>
      <c r="AN78" s="34" t="s">
        <v>9</v>
      </c>
      <c r="BM78" s="34"/>
      <c r="BN78" s="34"/>
      <c r="BX78" s="28"/>
      <c r="BY78" s="28"/>
    </row>
    <row r="79" spans="3:107" ht="17.100000000000001" customHeight="1" thickTop="1" x14ac:dyDescent="0.2">
      <c r="E79" s="1398"/>
      <c r="F79" s="1399"/>
      <c r="G79" s="1400"/>
      <c r="H79" s="1400"/>
      <c r="I79" s="1400"/>
      <c r="J79" s="1400"/>
      <c r="K79" s="1400"/>
      <c r="L79" s="1400"/>
      <c r="M79" s="1400"/>
      <c r="N79" s="1400"/>
      <c r="O79" s="1400"/>
      <c r="P79" s="1400"/>
      <c r="Q79" s="1400"/>
      <c r="R79" s="1400"/>
      <c r="S79" s="1401"/>
      <c r="T79" s="1401"/>
      <c r="U79" s="1401"/>
      <c r="V79" s="1401"/>
      <c r="W79" s="1401"/>
      <c r="X79" s="1401"/>
      <c r="Y79" s="1401"/>
      <c r="Z79" s="1401"/>
      <c r="AA79" s="1401"/>
      <c r="AB79" s="1401"/>
      <c r="AC79" s="1401"/>
      <c r="AD79" s="1401"/>
      <c r="AE79" s="1401"/>
      <c r="AF79" s="1401"/>
      <c r="AG79" s="1401"/>
      <c r="AH79" s="1401"/>
      <c r="AI79" s="1401"/>
      <c r="AJ79" s="1401"/>
      <c r="AK79" s="1401"/>
      <c r="AL79" s="1401"/>
      <c r="AM79" s="1401"/>
      <c r="AN79" s="1401"/>
      <c r="AO79" s="1401"/>
      <c r="AP79" s="1401"/>
      <c r="AQ79" s="1401"/>
      <c r="AR79" s="1401"/>
      <c r="AS79" s="1401"/>
      <c r="AT79" s="1401"/>
      <c r="AU79" s="1401"/>
      <c r="AV79" s="1401"/>
      <c r="AW79" s="1401"/>
      <c r="AX79" s="1401"/>
      <c r="AY79" s="1401"/>
      <c r="AZ79" s="1401"/>
      <c r="BA79" s="1401"/>
      <c r="BB79" s="1401"/>
      <c r="BC79" s="1401"/>
      <c r="BD79" s="1401"/>
      <c r="BE79" s="1399"/>
      <c r="BF79" s="1400"/>
      <c r="BG79" s="1401"/>
      <c r="BH79" s="1401"/>
      <c r="BI79" s="1401"/>
      <c r="BJ79" s="1401"/>
      <c r="BK79" s="1401"/>
      <c r="BL79" s="1401"/>
      <c r="BM79" s="1401"/>
      <c r="BN79" s="1401"/>
      <c r="BO79" s="1401"/>
      <c r="BP79" s="1401"/>
      <c r="BQ79" s="1401"/>
      <c r="BR79" s="1401"/>
      <c r="BS79" s="1401"/>
      <c r="BT79" s="1401"/>
      <c r="BU79" s="1401"/>
      <c r="BV79" s="1401"/>
      <c r="BW79" s="1402"/>
      <c r="CC79" s="2774" t="s">
        <v>1740</v>
      </c>
      <c r="CK79" s="2782" t="s">
        <v>1361</v>
      </c>
      <c r="CU79" s="2773"/>
      <c r="CV79" s="2773"/>
    </row>
    <row r="80" spans="3:107" ht="17.100000000000001" customHeight="1" x14ac:dyDescent="0.2">
      <c r="E80" s="1403"/>
      <c r="F80" s="800"/>
      <c r="G80" s="801"/>
      <c r="H80" s="801"/>
      <c r="I80" s="801"/>
      <c r="J80" s="801"/>
      <c r="K80" s="801"/>
      <c r="L80" s="801"/>
      <c r="M80" s="801"/>
      <c r="N80" s="801"/>
      <c r="O80" s="801"/>
      <c r="P80" s="801"/>
      <c r="Q80" s="801"/>
      <c r="R80" s="801"/>
      <c r="S80" s="631"/>
      <c r="T80" s="631"/>
      <c r="U80" s="631"/>
      <c r="V80" s="631"/>
      <c r="W80" s="631"/>
      <c r="X80" s="631"/>
      <c r="Y80" s="631"/>
      <c r="Z80" s="631"/>
      <c r="AA80" s="631"/>
      <c r="AB80" s="631"/>
      <c r="AC80" s="631"/>
      <c r="AD80" s="631"/>
      <c r="AE80" s="631"/>
      <c r="AF80" s="631"/>
      <c r="AG80" s="631"/>
      <c r="AH80" s="631"/>
      <c r="AI80" s="631"/>
      <c r="AJ80" s="631"/>
      <c r="AK80" s="631"/>
      <c r="AL80" s="631"/>
      <c r="AM80" s="631"/>
      <c r="AN80" s="631"/>
      <c r="AO80" s="631"/>
      <c r="AP80" s="631"/>
      <c r="AQ80" s="631"/>
      <c r="AR80" s="631"/>
      <c r="AS80" s="631"/>
      <c r="AT80" s="631"/>
      <c r="AU80" s="631"/>
      <c r="AV80" s="631"/>
      <c r="AW80" s="631"/>
      <c r="AX80" s="631"/>
      <c r="AY80" s="631"/>
      <c r="AZ80" s="631"/>
      <c r="BA80" s="631"/>
      <c r="BB80" s="631"/>
      <c r="BC80" s="631"/>
      <c r="BD80" s="631"/>
      <c r="BE80" s="800"/>
      <c r="BF80" s="801"/>
      <c r="BG80" s="631"/>
      <c r="BH80" s="631"/>
      <c r="BI80" s="631"/>
      <c r="BJ80" s="631"/>
      <c r="BK80" s="631"/>
      <c r="BL80" s="631"/>
      <c r="BM80" s="631"/>
      <c r="BN80" s="631"/>
      <c r="BO80" s="631"/>
      <c r="BP80" s="631"/>
      <c r="BQ80" s="631"/>
      <c r="BR80" s="631"/>
      <c r="BS80" s="631"/>
      <c r="BT80" s="631"/>
      <c r="BU80" s="631"/>
      <c r="BV80" s="631"/>
      <c r="BW80" s="1404"/>
      <c r="CB80" s="2767"/>
      <c r="CC80" s="2767">
        <f ca="1">IF(CC83&lt;&gt;"",1,0)</f>
        <v>0</v>
      </c>
      <c r="CK80" s="2783">
        <f ca="1">PLANS!$B$1</f>
        <v>32</v>
      </c>
      <c r="CU80" s="2773"/>
      <c r="CV80" s="2773" t="s">
        <v>1730</v>
      </c>
    </row>
    <row r="81" spans="5:106" ht="17.100000000000001" customHeight="1" x14ac:dyDescent="0.2">
      <c r="E81" s="1403"/>
      <c r="F81" s="800"/>
      <c r="G81" s="801"/>
      <c r="H81" s="801"/>
      <c r="I81" s="801"/>
      <c r="J81" s="801"/>
      <c r="K81" s="801"/>
      <c r="L81" s="801"/>
      <c r="M81" s="801"/>
      <c r="N81" s="801"/>
      <c r="O81" s="801"/>
      <c r="P81" s="801"/>
      <c r="Q81" s="801"/>
      <c r="R81" s="801"/>
      <c r="S81" s="801"/>
      <c r="T81" s="801"/>
      <c r="U81" s="801"/>
      <c r="V81" s="801"/>
      <c r="W81" s="801"/>
      <c r="X81" s="801"/>
      <c r="Y81" s="801"/>
      <c r="Z81" s="801"/>
      <c r="AA81" s="801"/>
      <c r="AB81" s="801"/>
      <c r="AC81" s="801"/>
      <c r="AD81" s="801"/>
      <c r="AE81" s="631"/>
      <c r="AF81" s="631"/>
      <c r="AG81" s="4579" t="s">
        <v>437</v>
      </c>
      <c r="AH81" s="4579"/>
      <c r="AI81" s="4579"/>
      <c r="AJ81" s="4579"/>
      <c r="AK81" s="4579"/>
      <c r="AL81" s="4579"/>
      <c r="AM81" s="4579"/>
      <c r="AN81" s="4579"/>
      <c r="AO81" s="4579"/>
      <c r="AP81" s="4579"/>
      <c r="AQ81" s="4579"/>
      <c r="AR81" s="4579"/>
      <c r="AS81" s="4579"/>
      <c r="AT81" s="4579"/>
      <c r="AU81" s="4579"/>
      <c r="AV81" s="631"/>
      <c r="AW81" s="631"/>
      <c r="AX81" s="631"/>
      <c r="AY81" s="631"/>
      <c r="AZ81" s="631"/>
      <c r="BA81" s="631"/>
      <c r="BB81" s="631"/>
      <c r="BC81" s="631"/>
      <c r="BD81" s="631"/>
      <c r="BE81" s="800"/>
      <c r="BF81" s="801"/>
      <c r="BG81" s="631"/>
      <c r="BH81" s="631"/>
      <c r="BI81" s="631"/>
      <c r="BJ81" s="631"/>
      <c r="BK81" s="631"/>
      <c r="BL81" s="631"/>
      <c r="BM81" s="631"/>
      <c r="BN81" s="631"/>
      <c r="BO81" s="631"/>
      <c r="BP81" s="631"/>
      <c r="BQ81" s="631"/>
      <c r="BR81" s="631"/>
      <c r="BS81" s="631"/>
      <c r="BT81" s="631"/>
      <c r="BU81" s="631"/>
      <c r="BV81" s="631"/>
      <c r="BW81" s="1404"/>
      <c r="CU81" s="2773" t="s">
        <v>1734</v>
      </c>
      <c r="CV81" s="2773" t="s">
        <v>1731</v>
      </c>
      <c r="CW81" s="2773" t="s">
        <v>1732</v>
      </c>
      <c r="CX81" s="2773" t="s">
        <v>557</v>
      </c>
    </row>
    <row r="82" spans="5:106" ht="17.100000000000001" customHeight="1" x14ac:dyDescent="0.2">
      <c r="E82" s="1403"/>
      <c r="F82" s="800"/>
      <c r="G82" s="801"/>
      <c r="H82" s="801"/>
      <c r="I82" s="801"/>
      <c r="J82" s="801"/>
      <c r="K82" s="801"/>
      <c r="L82" s="801"/>
      <c r="M82" s="801"/>
      <c r="N82" s="801"/>
      <c r="O82" s="801"/>
      <c r="P82" s="801"/>
      <c r="Q82" s="801"/>
      <c r="R82" s="801"/>
      <c r="S82" s="631"/>
      <c r="T82" s="631"/>
      <c r="U82" s="631"/>
      <c r="V82" s="631"/>
      <c r="W82" s="631"/>
      <c r="X82" s="631"/>
      <c r="Y82" s="631"/>
      <c r="Z82" s="631"/>
      <c r="AA82" s="631"/>
      <c r="AB82" s="631"/>
      <c r="AC82" s="631"/>
      <c r="AD82" s="631"/>
      <c r="AE82" s="631"/>
      <c r="AF82" s="631"/>
      <c r="AG82" s="1410"/>
      <c r="AH82" s="1410"/>
      <c r="AI82" s="1410"/>
      <c r="AJ82" s="1410"/>
      <c r="AK82" s="1410"/>
      <c r="AL82" s="1410"/>
      <c r="AM82" s="1410"/>
      <c r="AN82" s="1410"/>
      <c r="AO82" s="1410"/>
      <c r="AP82" s="1410"/>
      <c r="AQ82" s="1410"/>
      <c r="AR82" s="1410"/>
      <c r="AS82" s="1410"/>
      <c r="AT82" s="1410"/>
      <c r="AU82" s="1410"/>
      <c r="AV82" s="631"/>
      <c r="AW82" s="631"/>
      <c r="AX82" s="631"/>
      <c r="AY82" s="631"/>
      <c r="AZ82" s="631"/>
      <c r="BA82" s="631"/>
      <c r="BB82" s="631"/>
      <c r="BC82" s="631"/>
      <c r="BD82" s="631"/>
      <c r="BE82" s="800"/>
      <c r="BF82" s="801"/>
      <c r="BG82" s="631"/>
      <c r="BH82" s="631"/>
      <c r="BI82" s="631"/>
      <c r="BJ82" s="631"/>
      <c r="BK82" s="631"/>
      <c r="BL82" s="631"/>
      <c r="BM82" s="631"/>
      <c r="BN82" s="631"/>
      <c r="BO82" s="631"/>
      <c r="BP82" s="631"/>
      <c r="BQ82" s="631"/>
      <c r="BR82" s="631"/>
      <c r="BS82" s="631"/>
      <c r="BT82" s="631"/>
      <c r="BU82" s="631"/>
      <c r="BV82" s="631"/>
      <c r="BW82" s="1404"/>
      <c r="CC82" s="2774" t="s">
        <v>1733</v>
      </c>
      <c r="CK82" s="2773" t="s">
        <v>1722</v>
      </c>
      <c r="CP82" s="297">
        <v>1</v>
      </c>
      <c r="CR82" s="2434" t="str">
        <f>ACTIONS!C44</f>
        <v>MND1</v>
      </c>
      <c r="CU82" s="2779" t="s">
        <v>745</v>
      </c>
      <c r="CV82" s="297" t="str">
        <f>IF($L$88&lt;&gt;"",$L$88,"")</f>
        <v/>
      </c>
      <c r="CW82" s="2780" t="str">
        <f>IF($L$89&lt;&gt;"",$L$89,"")</f>
        <v/>
      </c>
      <c r="CX82" s="2781" t="str" cm="1">
        <f t="array" ref="CX82">_xlfn.IFS(
ISNUMBER(SEARCH($CK$82,$J$86)),$CK$82,
ISNUMBER(SEARCH($CK$83,$J$86)),$CK$83,
ISNUMBER(SEARCH($CK$84,$J$86)),$CK$84,
ISNUMBER(SEARCH($CK$85,$J$86)),$CK$85,
TRUE,"")</f>
        <v/>
      </c>
      <c r="DA82" s="2780" t="str">
        <f>ACTIONS!C44</f>
        <v>MND1</v>
      </c>
      <c r="DB82" s="2780" t="s">
        <v>1332</v>
      </c>
    </row>
    <row r="83" spans="5:106" ht="17.100000000000001" customHeight="1" thickBot="1" x14ac:dyDescent="0.35">
      <c r="E83" s="1405"/>
      <c r="F83" s="801"/>
      <c r="G83" s="801"/>
      <c r="H83" s="801"/>
      <c r="I83" s="801"/>
      <c r="J83" s="2772"/>
      <c r="K83" s="2772"/>
      <c r="L83" s="2772"/>
      <c r="M83" s="2772"/>
      <c r="N83" s="2772"/>
      <c r="O83" s="2772"/>
      <c r="P83" s="2772"/>
      <c r="Q83" s="2766"/>
      <c r="R83" s="2766"/>
      <c r="S83" s="2765"/>
      <c r="T83" s="2765"/>
      <c r="U83" s="2765"/>
      <c r="V83" s="2765"/>
      <c r="W83" s="2765"/>
      <c r="X83" s="2765"/>
      <c r="Y83" s="2765"/>
      <c r="Z83" s="2766"/>
      <c r="AA83" s="2766"/>
      <c r="AB83" s="2765"/>
      <c r="AC83" s="2765"/>
      <c r="AD83" s="2765"/>
      <c r="AE83" s="2765"/>
      <c r="AF83" s="2765"/>
      <c r="AG83" s="2765"/>
      <c r="AH83" s="2765"/>
      <c r="AI83" s="2766"/>
      <c r="AJ83" s="2766"/>
      <c r="AK83" s="2765"/>
      <c r="AL83" s="2765"/>
      <c r="AM83" s="2765"/>
      <c r="AN83" s="2765"/>
      <c r="AO83" s="2765"/>
      <c r="AP83" s="2765"/>
      <c r="AQ83" s="2765"/>
      <c r="AR83" s="2766"/>
      <c r="AS83" s="2766"/>
      <c r="AT83" s="2765"/>
      <c r="AU83" s="2765"/>
      <c r="AV83" s="2765"/>
      <c r="AW83" s="2765"/>
      <c r="AX83" s="2765"/>
      <c r="AY83" s="2765"/>
      <c r="AZ83" s="2765"/>
      <c r="BA83" s="2766"/>
      <c r="BB83" s="2766"/>
      <c r="BC83" s="2765"/>
      <c r="BD83" s="2765"/>
      <c r="BE83" s="2765"/>
      <c r="BF83" s="2765"/>
      <c r="BG83" s="2765"/>
      <c r="BH83" s="2765"/>
      <c r="BI83" s="2765"/>
      <c r="BJ83" s="2766"/>
      <c r="BK83" s="2766"/>
      <c r="BL83" s="2765"/>
      <c r="BM83" s="2765"/>
      <c r="BN83" s="2765"/>
      <c r="BO83" s="2765"/>
      <c r="BP83" s="2765"/>
      <c r="BQ83" s="2765"/>
      <c r="BR83" s="2765"/>
      <c r="BS83" s="801"/>
      <c r="BT83" s="801"/>
      <c r="BU83" s="801"/>
      <c r="BV83" s="801"/>
      <c r="BW83" s="1406"/>
      <c r="CC83" s="2786" t="str">
        <f ca="1">_xlfn.XLOOKUP($CK$80,$CV$82:$CV$88,$CX$82:$CX$88,"")</f>
        <v/>
      </c>
      <c r="CD83" s="2784"/>
      <c r="CE83" s="2784"/>
      <c r="CF83" s="2785"/>
      <c r="CK83" s="2773" t="s">
        <v>1720</v>
      </c>
      <c r="CP83" s="297">
        <v>2</v>
      </c>
      <c r="CR83" s="2434" t="str">
        <f>ACTIONS!C45</f>
        <v>MND2</v>
      </c>
      <c r="CU83" s="2779" t="s">
        <v>1072</v>
      </c>
      <c r="CV83" s="297" t="str">
        <f>IF($U$88&lt;&gt;"",$U$88,"")</f>
        <v/>
      </c>
      <c r="CW83" s="2780" t="str">
        <f>IF($U$89&lt;&gt;"",$U$89,"")</f>
        <v/>
      </c>
      <c r="CX83" s="2781" t="str" cm="1">
        <f t="array" ref="CX83">_xlfn.IFS(
ISNUMBER(SEARCH($CK$82,$S$86)),$CK$82,
ISNUMBER(SEARCH($CK$83,$S$86)),$CK$83,
ISNUMBER(SEARCH($CK$84,$S$86)),$CK$84,
ISNUMBER(SEARCH($CK$85,$S$86)),$CK$85,
TRUE,"")</f>
        <v/>
      </c>
      <c r="DA83" s="2780" t="str">
        <f>ACTIONS!C45</f>
        <v>MND2</v>
      </c>
      <c r="DB83" s="2780" t="s">
        <v>1332</v>
      </c>
    </row>
    <row r="84" spans="5:106" ht="17.100000000000001" customHeight="1" thickTop="1" x14ac:dyDescent="0.2">
      <c r="E84" s="1405"/>
      <c r="F84" s="801"/>
      <c r="G84" s="801"/>
      <c r="H84" s="801"/>
      <c r="I84" s="801"/>
      <c r="J84" s="4613" t="s">
        <v>68</v>
      </c>
      <c r="K84" s="4609"/>
      <c r="L84" s="4523" t="str">
        <f>IF(ISBLANK(J86),data!$JO$72,_xlfn.IFS(
ISNUMBER(SEARCH( data!$JP$23, J86 )), data!$JO$23,
ISNUMBER(SEARCH( data!$JP$24, J86 )), data!$JO$24,
ISNUMBER(SEARCH( data!$JP$25, J86 )), data!$JO$25,
ISNUMBER(SEARCH( data!$JP$26, J86 )), data!$JO$26,
ISNUMBER(SEARCH( data!$JP$27, J86 )), data!$JO$27,
ISNUMBER(SEARCH( data!$JP$28, J86 )), data!$JO$28,
ISNUMBER(SEARCH( data!$JP$29, J86 )), data!$JO$29,
ISNUMBER(SEARCH( data!$JP$30, J86 )), data!$JO$30,
ISNUMBER(SEARCH( data!$JP$31, J86 )), data!$JO$31,
ISNUMBER(SEARCH( data!$JP$32, J86 )), data!$JO$32,
ISNUMBER(SEARCH( data!$JP$33, J86 )), data!$JO$33,
ISNUMBER(SEARCH( data!$JP$34, J86 )), data!$JO$34,
ISNUMBER(SEARCH( data!$JP$35, J86 )), data!$JO$35,
ISNUMBER(SEARCH( data!$JP$36, J86 )), data!$JO$36,
ISNUMBER(SEARCH( data!$JP$37, J86 )), data!$JO$37,
ISNUMBER(SEARCH( data!$JP$38, J86 )), data!$JO$38,
ISNUMBER(SEARCH( data!$JP$39, J86 )), data!$JO$39,
ISNUMBER(SEARCH( data!$JP$40, J86 )), data!$JO$40,
ISNUMBER(SEARCH( data!$JP$41, J86 )), data!$JO$41,
ISNUMBER(SEARCH( data!$JP$42, J86 )), data!$JO$42,
ISNUMBER(SEARCH( data!$JP$43, J86 )), data!$JO$43,
ISNUMBER(SEARCH( data!$JP$44, J86 )), data!$JO$44,
ISNUMBER(SEARCH( data!$JP$45, J86 )), data!$JO$45,
ISNUMBER(SEARCH( data!$JP$46, J86 )), data!$JO$46,
ISNUMBER(SEARCH( data!$JP$47, J86 )), data!$JO$47,
ISNUMBER(SEARCH( data!$JP$48, J86 )), data!$JO$48,
ISNUMBER(SEARCH( data!$JP$49, J86 )), data!$JO$49,
ISNUMBER(SEARCH( data!$JP$50, J86 )), data!$JO$50,
ISNUMBER(SEARCH( data!$JP$51, J86 )), data!$JO$51,
ISNUMBER(SEARCH( data!$JP$52, J86 )), data!$JO$52,
ISNUMBER(SEARCH( data!$JP$53, J86 )), data!$JO$53,
ISNUMBER(SEARCH( data!$JP$54, J86 )), data!$JO$54,
ISNUMBER(SEARCH( data!$JP$55, J86 )), data!$JO$55,
ISNUMBER(SEARCH( data!$JP$56, J86 )), data!$JO$56,
ISNUMBER(SEARCH( data!$JP$57, J86 )), data!$JO$57,
ISNUMBER(SEARCH( data!$JP$58, J86 )), data!$JO$58,
ISNUMBER(SEARCH( data!$JP$59, J86 )), data!$JO$59,
ISNUMBER(SEARCH( data!$JP$60, J86 )), data!$JO$60,
ISNUMBER(SEARCH( data!$JP$61, J86 )), data!$JO$61,
ISNUMBER(SEARCH( data!$JP$62, J86 )), data!$JO$62,
ISNUMBER(SEARCH( data!$JP$63, J86 )), data!$JO$63,
ISNUMBER(SEARCH( data!$JP$64, J86 )), data!$JO$64,
ISNUMBER(SEARCH( data!$JP$65, J86 )), data!$JO$65,
ISNUMBER(SEARCH( data!$JP$66, J86 )), data!$JO$66,
ISNUMBER(SEARCH( data!$JP$67, J86 )), data!$JO$67,
ISNUMBER(SEARCH( data!$JP$68, J86 )), data!$JO$68,
ISNUMBER(SEARCH( data!$JP$69, J86 )), data!$JO$69,
ISNUMBER(SEARCH( data!$JP$70, J86 )), data!$JO$70,
ISNUMBER(SEARCH( data!$JP$71, J86 )), data!$JO$71,
ISNUMBER(SEARCH( data!$JR$23, J86 )), data!$JQ$23,
ISNUMBER(SEARCH( data!$JR$24, J86 )), data!$JQ$24,
ISNUMBER(SEARCH( data!$JR$25, J86 )), data!$JQ$25,
ISNUMBER(SEARCH( data!$JR$26, J86 )), data!$JQ$26,
ISNUMBER(SEARCH( data!$JR$27, J86 )), data!$JQ$27,
ISNUMBER(SEARCH( data!$JR$28, J86 )), data!$JQ$28,
ISNUMBER(SEARCH( data!$JR$29, J86 )), data!$JQ$29,
ISNUMBER(SEARCH( data!$JR$30, J86 )), data!$JQ$30,
ISNUMBER(SEARCH( data!$JR$31, J86 )), data!$JQ$31,
ISNUMBER(SEARCH( data!$JR$32, J86 )), data!$JQ$32,
ISNUMBER(SEARCH( data!$JR$33, J86 )), data!$JQ$33,
ISNUMBER(SEARCH( data!$JR$34, J86 )), data!$JQ$34,
ISNUMBER(SEARCH( data!$JR$35, J86 )), data!$JQ$35,
ISNUMBER(SEARCH( data!$JR$36, J86 )), data!$JQ$36,
ISNUMBER(SEARCH( data!$JR$37, J86 )), data!$JQ$37,
ISNUMBER(SEARCH( data!$JR$38, J86 )), data!$JQ$38,
ISNUMBER(SEARCH( data!$JR$39, J86 )), data!$JQ$39,
ISNUMBER(SEARCH( data!$JR$40, J86 )), data!$JQ$40,
ISNUMBER(SEARCH( data!$JR$41, J86 )), data!$JQ$41,
ISNUMBER(SEARCH( data!$JR$42, J86 )), data!$JQ$42,
ISNUMBER(SEARCH( data!$JR$43, J86 )), data!$JQ$43,
ISNUMBER(SEARCH( data!$JR$44, J86 )), data!$JQ$44,
ISNUMBER(SEARCH( data!$JR$45, J86 )), data!$JQ$45,
ISNUMBER(SEARCH( data!$JR$46, J86 )), data!$JQ$46,
ISNUMBER(SEARCH( data!$JR$47, J86 )), data!$JQ$47,
ISNUMBER(SEARCH( data!$JR$48, J86 )), data!$JQ$48,
ISNUMBER(SEARCH( data!$JR$49, J86 )), data!$JQ$49,
ISNUMBER(SEARCH( data!$JR$50, J86 )), data!$JQ$50,
ISNUMBER(SEARCH( data!$JR$51, J86 )), data!$JQ$51,
ISNUMBER(SEARCH( data!$JR$52, J86 )), data!$JQ$52,
ISNUMBER(SEARCH( data!$JR$53, J86 )), data!$JQ$53,
ISNUMBER(SEARCH( data!$JR$54, J86 )), data!$JQ$54,
ISNUMBER(SEARCH( data!$JR$55, J86 )), data!$JQ$55,
ISNUMBER(SEARCH( data!$JR$56, J86 )), data!$JQ$56,
ISNUMBER(SEARCH( data!$JR$57, J86 )), data!$JQ$57,
ISNUMBER(SEARCH( data!$JR$58, J86 )), data!$JQ$58,
ISNUMBER(SEARCH( data!$JR$59, J86 )), data!$JQ$59,
ISNUMBER(SEARCH( data!$JR$60, J86 )), data!$JQ$60,
ISNUMBER(SEARCH( data!$JR$61, J86 )), data!$JQ$61,
ISNUMBER(SEARCH( data!$JR$62, J86 )), data!$JQ$62,
ISNUMBER(SEARCH( data!$JR$63, J86 )), data!$JQ$63,
ISNUMBER(SEARCH( data!$JR$64, J86 )), data!$JQ$64,
ISNUMBER(SEARCH( data!$JR$65, J86 )), data!$JQ$65,
ISNUMBER(SEARCH( data!$JR$66, J86 )), data!$JQ$66,
ISNUMBER(SEARCH( data!$JR$67, J86 )), data!$JQ$67,
ISNUMBER(SEARCH( data!$JR$68, J86 )), data!$JQ$68,
ISNUMBER(SEARCH( data!$JR$69, J86 )), data!$JQ$69,
ISNUMBER(SEARCH( data!$JR$70, J86 )), data!$JQ$70,
ISNUMBER(SEARCH( data!$JR$71, J86 )), data!$JQ$71,
TRUE,data!$JQ$72))</f>
        <v>🞅</v>
      </c>
      <c r="M84" s="4523"/>
      <c r="N84" s="4523"/>
      <c r="O84" s="4609" t="s">
        <v>68</v>
      </c>
      <c r="P84" s="4610"/>
      <c r="Q84" s="801"/>
      <c r="R84" s="801"/>
      <c r="S84" s="4613" t="s">
        <v>68</v>
      </c>
      <c r="T84" s="4609"/>
      <c r="U84" s="4523" t="str">
        <f>IF(ISBLANK(S86),data!$JO$72,_xlfn.IFS(
ISNUMBER(SEARCH( data!$JP$23, S86 )), data!$JO$23,
ISNUMBER(SEARCH( data!$JP$24, S86 )), data!$JO$24,
ISNUMBER(SEARCH( data!$JP$25, S86 )), data!$JO$25,
ISNUMBER(SEARCH( data!$JP$26, S86 )), data!$JO$26,
ISNUMBER(SEARCH( data!$JP$27, S86 )), data!$JO$27,
ISNUMBER(SEARCH( data!$JP$28, S86 )), data!$JO$28,
ISNUMBER(SEARCH( data!$JP$29, S86 )), data!$JO$29,
ISNUMBER(SEARCH( data!$JP$30, S86 )), data!$JO$30,
ISNUMBER(SEARCH( data!$JP$31, S86 )), data!$JO$31,
ISNUMBER(SEARCH( data!$JP$32, S86 )), data!$JO$32,
ISNUMBER(SEARCH( data!$JP$33, S86 )), data!$JO$33,
ISNUMBER(SEARCH( data!$JP$34, S86 )), data!$JO$34,
ISNUMBER(SEARCH( data!$JP$35, S86 )), data!$JO$35,
ISNUMBER(SEARCH( data!$JP$36, S86 )), data!$JO$36,
ISNUMBER(SEARCH( data!$JP$37, S86 )), data!$JO$37,
ISNUMBER(SEARCH( data!$JP$38, S86 )), data!$JO$38,
ISNUMBER(SEARCH( data!$JP$39, S86 )), data!$JO$39,
ISNUMBER(SEARCH( data!$JP$40, S86 )), data!$JO$40,
ISNUMBER(SEARCH( data!$JP$41, S86 )), data!$JO$41,
ISNUMBER(SEARCH( data!$JP$42, S86 )), data!$JO$42,
ISNUMBER(SEARCH( data!$JP$43, S86 )), data!$JO$43,
ISNUMBER(SEARCH( data!$JP$44, S86 )), data!$JO$44,
ISNUMBER(SEARCH( data!$JP$45, S86 )), data!$JO$45,
ISNUMBER(SEARCH( data!$JP$46, S86 )), data!$JO$46,
ISNUMBER(SEARCH( data!$JP$47, S86 )), data!$JO$47,
ISNUMBER(SEARCH( data!$JP$48, S86 )), data!$JO$48,
ISNUMBER(SEARCH( data!$JP$49, S86 )), data!$JO$49,
ISNUMBER(SEARCH( data!$JP$50, S86 )), data!$JO$50,
ISNUMBER(SEARCH( data!$JP$51, S86 )), data!$JO$51,
ISNUMBER(SEARCH( data!$JP$52, S86 )), data!$JO$52,
ISNUMBER(SEARCH( data!$JP$53, S86 )), data!$JO$53,
ISNUMBER(SEARCH( data!$JP$54, S86 )), data!$JO$54,
ISNUMBER(SEARCH( data!$JP$55, S86 )), data!$JO$55,
ISNUMBER(SEARCH( data!$JP$56, S86 )), data!$JO$56,
ISNUMBER(SEARCH( data!$JP$57, S86 )), data!$JO$57,
ISNUMBER(SEARCH( data!$JP$58, S86 )), data!$JO$58,
ISNUMBER(SEARCH( data!$JP$59, S86 )), data!$JO$59,
ISNUMBER(SEARCH( data!$JP$60, S86 )), data!$JO$60,
ISNUMBER(SEARCH( data!$JP$61, S86 )), data!$JO$61,
ISNUMBER(SEARCH( data!$JP$62, S86 )), data!$JO$62,
ISNUMBER(SEARCH( data!$JP$63, S86 )), data!$JO$63,
ISNUMBER(SEARCH( data!$JP$64, S86 )), data!$JO$64,
ISNUMBER(SEARCH( data!$JP$65, S86 )), data!$JO$65,
ISNUMBER(SEARCH( data!$JP$66, S86 )), data!$JO$66,
ISNUMBER(SEARCH( data!$JP$67, S86 )), data!$JO$67,
ISNUMBER(SEARCH( data!$JP$68, S86 )), data!$JO$68,
ISNUMBER(SEARCH( data!$JP$69, S86 )), data!$JO$69,
ISNUMBER(SEARCH( data!$JP$70, S86 )), data!$JO$70,
ISNUMBER(SEARCH( data!$JP$71, S86 )), data!$JO$71,
ISNUMBER(SEARCH( data!$JR$23, S86 )), data!$JQ$23,
ISNUMBER(SEARCH( data!$JR$24, S86 )), data!$JQ$24,
ISNUMBER(SEARCH( data!$JR$25, S86 )), data!$JQ$25,
ISNUMBER(SEARCH( data!$JR$26, S86 )), data!$JQ$26,
ISNUMBER(SEARCH( data!$JR$27, S86 )), data!$JQ$27,
ISNUMBER(SEARCH( data!$JR$28, S86 )), data!$JQ$28,
ISNUMBER(SEARCH( data!$JR$29, S86 )), data!$JQ$29,
ISNUMBER(SEARCH( data!$JR$30, S86 )), data!$JQ$30,
ISNUMBER(SEARCH( data!$JR$31, S86 )), data!$JQ$31,
ISNUMBER(SEARCH( data!$JR$32, S86 )), data!$JQ$32,
ISNUMBER(SEARCH( data!$JR$33, S86 )), data!$JQ$33,
ISNUMBER(SEARCH( data!$JR$34, S86 )), data!$JQ$34,
ISNUMBER(SEARCH( data!$JR$35, S86 )), data!$JQ$35,
ISNUMBER(SEARCH( data!$JR$36, S86 )), data!$JQ$36,
ISNUMBER(SEARCH( data!$JR$37, S86 )), data!$JQ$37,
ISNUMBER(SEARCH( data!$JR$38, S86 )), data!$JQ$38,
ISNUMBER(SEARCH( data!$JR$39, S86 )), data!$JQ$39,
ISNUMBER(SEARCH( data!$JR$40, S86 )), data!$JQ$40,
ISNUMBER(SEARCH( data!$JR$41, S86 )), data!$JQ$41,
ISNUMBER(SEARCH( data!$JR$42, S86 )), data!$JQ$42,
ISNUMBER(SEARCH( data!$JR$43, S86 )), data!$JQ$43,
ISNUMBER(SEARCH( data!$JR$44, S86 )), data!$JQ$44,
ISNUMBER(SEARCH( data!$JR$45, S86 )), data!$JQ$45,
ISNUMBER(SEARCH( data!$JR$46, S86 )), data!$JQ$46,
ISNUMBER(SEARCH( data!$JR$47, S86 )), data!$JQ$47,
ISNUMBER(SEARCH( data!$JR$48, S86 )), data!$JQ$48,
ISNUMBER(SEARCH( data!$JR$49, S86 )), data!$JQ$49,
ISNUMBER(SEARCH( data!$JR$50, S86 )), data!$JQ$50,
ISNUMBER(SEARCH( data!$JR$51, S86 )), data!$JQ$51,
ISNUMBER(SEARCH( data!$JR$52, S86 )), data!$JQ$52,
ISNUMBER(SEARCH( data!$JR$53, S86 )), data!$JQ$53,
ISNUMBER(SEARCH( data!$JR$54, S86 )), data!$JQ$54,
ISNUMBER(SEARCH( data!$JR$55, S86 )), data!$JQ$55,
ISNUMBER(SEARCH( data!$JR$56, S86 )), data!$JQ$56,
ISNUMBER(SEARCH( data!$JR$57, S86 )), data!$JQ$57,
ISNUMBER(SEARCH( data!$JR$58, S86 )), data!$JQ$58,
ISNUMBER(SEARCH( data!$JR$59, S86 )), data!$JQ$59,
ISNUMBER(SEARCH( data!$JR$60, S86 )), data!$JQ$60,
ISNUMBER(SEARCH( data!$JR$61, S86 )), data!$JQ$61,
ISNUMBER(SEARCH( data!$JR$62, S86 )), data!$JQ$62,
ISNUMBER(SEARCH( data!$JR$63, S86 )), data!$JQ$63,
ISNUMBER(SEARCH( data!$JR$64, S86 )), data!$JQ$64,
ISNUMBER(SEARCH( data!$JR$65, S86 )), data!$JQ$65,
ISNUMBER(SEARCH( data!$JR$66, S86 )), data!$JQ$66,
ISNUMBER(SEARCH( data!$JR$67, S86 )), data!$JQ$67,
ISNUMBER(SEARCH( data!$JR$68, S86 )), data!$JQ$68,
ISNUMBER(SEARCH( data!$JR$69, S86 )), data!$JQ$69,
ISNUMBER(SEARCH( data!$JR$70, S86 )), data!$JQ$70,
ISNUMBER(SEARCH( data!$JR$71, S86 )), data!$JQ$71,
TRUE,data!$JQ$72))</f>
        <v>🞅</v>
      </c>
      <c r="V84" s="4523"/>
      <c r="W84" s="4523"/>
      <c r="X84" s="4609" t="s">
        <v>68</v>
      </c>
      <c r="Y84" s="4610"/>
      <c r="Z84" s="801"/>
      <c r="AA84" s="801"/>
      <c r="AB84" s="4613" t="s">
        <v>68</v>
      </c>
      <c r="AC84" s="4609"/>
      <c r="AD84" s="4523" t="str">
        <f>IF(ISBLANK(AB86),data!$JO$72,_xlfn.IFS(
ISNUMBER(SEARCH( data!$JP$23, AB86 )), data!$JO$23,
ISNUMBER(SEARCH( data!$JP$24, AB86 )), data!$JO$24,
ISNUMBER(SEARCH( data!$JP$25, AB86 )), data!$JO$25,
ISNUMBER(SEARCH( data!$JP$26, AB86 )), data!$JO$26,
ISNUMBER(SEARCH( data!$JP$27, AB86 )), data!$JO$27,
ISNUMBER(SEARCH( data!$JP$28, AB86 )), data!$JO$28,
ISNUMBER(SEARCH( data!$JP$29, AB86 )), data!$JO$29,
ISNUMBER(SEARCH( data!$JP$30, AB86 )), data!$JO$30,
ISNUMBER(SEARCH( data!$JP$31, AB86 )), data!$JO$31,
ISNUMBER(SEARCH( data!$JP$32, AB86 )), data!$JO$32,
ISNUMBER(SEARCH( data!$JP$33, AB86 )), data!$JO$33,
ISNUMBER(SEARCH( data!$JP$34, AB86 )), data!$JO$34,
ISNUMBER(SEARCH( data!$JP$35, AB86 )), data!$JO$35,
ISNUMBER(SEARCH( data!$JP$36, AB86 )), data!$JO$36,
ISNUMBER(SEARCH( data!$JP$37, AB86 )), data!$JO$37,
ISNUMBER(SEARCH( data!$JP$38, AB86 )), data!$JO$38,
ISNUMBER(SEARCH( data!$JP$39, AB86 )), data!$JO$39,
ISNUMBER(SEARCH( data!$JP$40, AB86 )), data!$JO$40,
ISNUMBER(SEARCH( data!$JP$41, AB86 )), data!$JO$41,
ISNUMBER(SEARCH( data!$JP$42, AB86 )), data!$JO$42,
ISNUMBER(SEARCH( data!$JP$43, AB86 )), data!$JO$43,
ISNUMBER(SEARCH( data!$JP$44, AB86 )), data!$JO$44,
ISNUMBER(SEARCH( data!$JP$45, AB86 )), data!$JO$45,
ISNUMBER(SEARCH( data!$JP$46, AB86 )), data!$JO$46,
ISNUMBER(SEARCH( data!$JP$47, AB86 )), data!$JO$47,
ISNUMBER(SEARCH( data!$JP$48, AB86 )), data!$JO$48,
ISNUMBER(SEARCH( data!$JP$49, AB86 )), data!$JO$49,
ISNUMBER(SEARCH( data!$JP$50, AB86 )), data!$JO$50,
ISNUMBER(SEARCH( data!$JP$51, AB86 )), data!$JO$51,
ISNUMBER(SEARCH( data!$JP$52, AB86 )), data!$JO$52,
ISNUMBER(SEARCH( data!$JP$53, AB86 )), data!$JO$53,
ISNUMBER(SEARCH( data!$JP$54, AB86 )), data!$JO$54,
ISNUMBER(SEARCH( data!$JP$55, AB86 )), data!$JO$55,
ISNUMBER(SEARCH( data!$JP$56, AB86 )), data!$JO$56,
ISNUMBER(SEARCH( data!$JP$57, AB86 )), data!$JO$57,
ISNUMBER(SEARCH( data!$JP$58, AB86 )), data!$JO$58,
ISNUMBER(SEARCH( data!$JP$59, AB86 )), data!$JO$59,
ISNUMBER(SEARCH( data!$JP$60, AB86 )), data!$JO$60,
ISNUMBER(SEARCH( data!$JP$61, AB86 )), data!$JO$61,
ISNUMBER(SEARCH( data!$JP$62, AB86 )), data!$JO$62,
ISNUMBER(SEARCH( data!$JP$63, AB86 )), data!$JO$63,
ISNUMBER(SEARCH( data!$JP$64, AB86 )), data!$JO$64,
ISNUMBER(SEARCH( data!$JP$65, AB86 )), data!$JO$65,
ISNUMBER(SEARCH( data!$JP$66, AB86 )), data!$JO$66,
ISNUMBER(SEARCH( data!$JP$67, AB86 )), data!$JO$67,
ISNUMBER(SEARCH( data!$JP$68, AB86 )), data!$JO$68,
ISNUMBER(SEARCH( data!$JP$69, AB86 )), data!$JO$69,
ISNUMBER(SEARCH( data!$JP$70, AB86 )), data!$JO$70,
ISNUMBER(SEARCH( data!$JP$71, AB86 )), data!$JO$71,
ISNUMBER(SEARCH( data!$JR$23, AB86 )), data!$JQ$23,
ISNUMBER(SEARCH( data!$JR$24, AB86 )), data!$JQ$24,
ISNUMBER(SEARCH( data!$JR$25, AB86 )), data!$JQ$25,
ISNUMBER(SEARCH( data!$JR$26, AB86 )), data!$JQ$26,
ISNUMBER(SEARCH( data!$JR$27, AB86 )), data!$JQ$27,
ISNUMBER(SEARCH( data!$JR$28, AB86 )), data!$JQ$28,
ISNUMBER(SEARCH( data!$JR$29, AB86 )), data!$JQ$29,
ISNUMBER(SEARCH( data!$JR$30, AB86 )), data!$JQ$30,
ISNUMBER(SEARCH( data!$JR$31, AB86 )), data!$JQ$31,
ISNUMBER(SEARCH( data!$JR$32, AB86 )), data!$JQ$32,
ISNUMBER(SEARCH( data!$JR$33, AB86 )), data!$JQ$33,
ISNUMBER(SEARCH( data!$JR$34, AB86 )), data!$JQ$34,
ISNUMBER(SEARCH( data!$JR$35, AB86 )), data!$JQ$35,
ISNUMBER(SEARCH( data!$JR$36, AB86 )), data!$JQ$36,
ISNUMBER(SEARCH( data!$JR$37, AB86 )), data!$JQ$37,
ISNUMBER(SEARCH( data!$JR$38, AB86 )), data!$JQ$38,
ISNUMBER(SEARCH( data!$JR$39, AB86 )), data!$JQ$39,
ISNUMBER(SEARCH( data!$JR$40, AB86 )), data!$JQ$40,
ISNUMBER(SEARCH( data!$JR$41, AB86 )), data!$JQ$41,
ISNUMBER(SEARCH( data!$JR$42, AB86 )), data!$JQ$42,
ISNUMBER(SEARCH( data!$JR$43, AB86 )), data!$JQ$43,
ISNUMBER(SEARCH( data!$JR$44, AB86 )), data!$JQ$44,
ISNUMBER(SEARCH( data!$JR$45, AB86 )), data!$JQ$45,
ISNUMBER(SEARCH( data!$JR$46, AB86 )), data!$JQ$46,
ISNUMBER(SEARCH( data!$JR$47, AB86 )), data!$JQ$47,
ISNUMBER(SEARCH( data!$JR$48, AB86 )), data!$JQ$48,
ISNUMBER(SEARCH( data!$JR$49, AB86 )), data!$JQ$49,
ISNUMBER(SEARCH( data!$JR$50, AB86 )), data!$JQ$50,
ISNUMBER(SEARCH( data!$JR$51, AB86 )), data!$JQ$51,
ISNUMBER(SEARCH( data!$JR$52, AB86 )), data!$JQ$52,
ISNUMBER(SEARCH( data!$JR$53, AB86 )), data!$JQ$53,
ISNUMBER(SEARCH( data!$JR$54, AB86 )), data!$JQ$54,
ISNUMBER(SEARCH( data!$JR$55, AB86 )), data!$JQ$55,
ISNUMBER(SEARCH( data!$JR$56, AB86 )), data!$JQ$56,
ISNUMBER(SEARCH( data!$JR$57, AB86 )), data!$JQ$57,
ISNUMBER(SEARCH( data!$JR$58, AB86 )), data!$JQ$58,
ISNUMBER(SEARCH( data!$JR$59, AB86 )), data!$JQ$59,
ISNUMBER(SEARCH( data!$JR$60, AB86 )), data!$JQ$60,
ISNUMBER(SEARCH( data!$JR$61, AB86 )), data!$JQ$61,
ISNUMBER(SEARCH( data!$JR$62, AB86 )), data!$JQ$62,
ISNUMBER(SEARCH( data!$JR$63, AB86 )), data!$JQ$63,
ISNUMBER(SEARCH( data!$JR$64, AB86 )), data!$JQ$64,
ISNUMBER(SEARCH( data!$JR$65, AB86 )), data!$JQ$65,
ISNUMBER(SEARCH( data!$JR$66, AB86 )), data!$JQ$66,
ISNUMBER(SEARCH( data!$JR$67, AB86 )), data!$JQ$67,
ISNUMBER(SEARCH( data!$JR$68, AB86 )), data!$JQ$68,
ISNUMBER(SEARCH( data!$JR$69, AB86 )), data!$JQ$69,
ISNUMBER(SEARCH( data!$JR$70, AB86 )), data!$JQ$70,
ISNUMBER(SEARCH( data!$JR$71, AB86 )), data!$JQ$71,
TRUE,data!$JQ$72))</f>
        <v>🞅</v>
      </c>
      <c r="AE84" s="4523"/>
      <c r="AF84" s="4523"/>
      <c r="AG84" s="4609" t="s">
        <v>68</v>
      </c>
      <c r="AH84" s="4610"/>
      <c r="AI84" s="801"/>
      <c r="AJ84" s="801"/>
      <c r="AK84" s="4613" t="s">
        <v>68</v>
      </c>
      <c r="AL84" s="4609"/>
      <c r="AM84" s="4523" t="str">
        <f>IF(ISBLANK(AK86),data!$JO$72,_xlfn.IFS(
ISNUMBER(SEARCH( data!$JP$23, AK86 )), data!$JO$23,
ISNUMBER(SEARCH( data!$JP$24, AK86 )), data!$JO$24,
ISNUMBER(SEARCH( data!$JP$25, AK86 )), data!$JO$25,
ISNUMBER(SEARCH( data!$JP$26, AK86 )), data!$JO$26,
ISNUMBER(SEARCH( data!$JP$27, AK86 )), data!$JO$27,
ISNUMBER(SEARCH( data!$JP$28, AK86 )), data!$JO$28,
ISNUMBER(SEARCH( data!$JP$29, AK86 )), data!$JO$29,
ISNUMBER(SEARCH( data!$JP$30, AK86 )), data!$JO$30,
ISNUMBER(SEARCH( data!$JP$31, AK86 )), data!$JO$31,
ISNUMBER(SEARCH( data!$JP$32, AK86 )), data!$JO$32,
ISNUMBER(SEARCH( data!$JP$33, AK86 )), data!$JO$33,
ISNUMBER(SEARCH( data!$JP$34, AK86 )), data!$JO$34,
ISNUMBER(SEARCH( data!$JP$35, AK86 )), data!$JO$35,
ISNUMBER(SEARCH( data!$JP$36, AK86 )), data!$JO$36,
ISNUMBER(SEARCH( data!$JP$37, AK86 )), data!$JO$37,
ISNUMBER(SEARCH( data!$JP$38, AK86 )), data!$JO$38,
ISNUMBER(SEARCH( data!$JP$39, AK86 )), data!$JO$39,
ISNUMBER(SEARCH( data!$JP$40, AK86 )), data!$JO$40,
ISNUMBER(SEARCH( data!$JP$41, AK86 )), data!$JO$41,
ISNUMBER(SEARCH( data!$JP$42, AK86 )), data!$JO$42,
ISNUMBER(SEARCH( data!$JP$43, AK86 )), data!$JO$43,
ISNUMBER(SEARCH( data!$JP$44, AK86 )), data!$JO$44,
ISNUMBER(SEARCH( data!$JP$45, AK86 )), data!$JO$45,
ISNUMBER(SEARCH( data!$JP$46, AK86 )), data!$JO$46,
ISNUMBER(SEARCH( data!$JP$47, AK86 )), data!$JO$47,
ISNUMBER(SEARCH( data!$JP$48, AK86 )), data!$JO$48,
ISNUMBER(SEARCH( data!$JP$49, AK86 )), data!$JO$49,
ISNUMBER(SEARCH( data!$JP$50, AK86 )), data!$JO$50,
ISNUMBER(SEARCH( data!$JP$51, AK86 )), data!$JO$51,
ISNUMBER(SEARCH( data!$JP$52, AK86 )), data!$JO$52,
ISNUMBER(SEARCH( data!$JP$53, AK86 )), data!$JO$53,
ISNUMBER(SEARCH( data!$JP$54, AK86 )), data!$JO$54,
ISNUMBER(SEARCH( data!$JP$55, AK86 )), data!$JO$55,
ISNUMBER(SEARCH( data!$JP$56, AK86 )), data!$JO$56,
ISNUMBER(SEARCH( data!$JP$57, AK86 )), data!$JO$57,
ISNUMBER(SEARCH( data!$JP$58, AK86 )), data!$JO$58,
ISNUMBER(SEARCH( data!$JP$59, AK86 )), data!$JO$59,
ISNUMBER(SEARCH( data!$JP$60, AK86 )), data!$JO$60,
ISNUMBER(SEARCH( data!$JP$61, AK86 )), data!$JO$61,
ISNUMBER(SEARCH( data!$JP$62, AK86 )), data!$JO$62,
ISNUMBER(SEARCH( data!$JP$63, AK86 )), data!$JO$63,
ISNUMBER(SEARCH( data!$JP$64, AK86 )), data!$JO$64,
ISNUMBER(SEARCH( data!$JP$65, AK86 )), data!$JO$65,
ISNUMBER(SEARCH( data!$JP$66, AK86 )), data!$JO$66,
ISNUMBER(SEARCH( data!$JP$67, AK86 )), data!$JO$67,
ISNUMBER(SEARCH( data!$JP$68, AK86 )), data!$JO$68,
ISNUMBER(SEARCH( data!$JP$69, AK86 )), data!$JO$69,
ISNUMBER(SEARCH( data!$JP$70, AK86 )), data!$JO$70,
ISNUMBER(SEARCH( data!$JP$71, AK86 )), data!$JO$71,
ISNUMBER(SEARCH( data!$JR$23, AK86 )), data!$JQ$23,
ISNUMBER(SEARCH( data!$JR$24, AK86 )), data!$JQ$24,
ISNUMBER(SEARCH( data!$JR$25, AK86 )), data!$JQ$25,
ISNUMBER(SEARCH( data!$JR$26, AK86 )), data!$JQ$26,
ISNUMBER(SEARCH( data!$JR$27, AK86 )), data!$JQ$27,
ISNUMBER(SEARCH( data!$JR$28, AK86 )), data!$JQ$28,
ISNUMBER(SEARCH( data!$JR$29, AK86 )), data!$JQ$29,
ISNUMBER(SEARCH( data!$JR$30, AK86 )), data!$JQ$30,
ISNUMBER(SEARCH( data!$JR$31, AK86 )), data!$JQ$31,
ISNUMBER(SEARCH( data!$JR$32, AK86 )), data!$JQ$32,
ISNUMBER(SEARCH( data!$JR$33, AK86 )), data!$JQ$33,
ISNUMBER(SEARCH( data!$JR$34, AK86 )), data!$JQ$34,
ISNUMBER(SEARCH( data!$JR$35, AK86 )), data!$JQ$35,
ISNUMBER(SEARCH( data!$JR$36, AK86 )), data!$JQ$36,
ISNUMBER(SEARCH( data!$JR$37, AK86 )), data!$JQ$37,
ISNUMBER(SEARCH( data!$JR$38, AK86 )), data!$JQ$38,
ISNUMBER(SEARCH( data!$JR$39, AK86 )), data!$JQ$39,
ISNUMBER(SEARCH( data!$JR$40, AK86 )), data!$JQ$40,
ISNUMBER(SEARCH( data!$JR$41, AK86 )), data!$JQ$41,
ISNUMBER(SEARCH( data!$JR$42, AK86 )), data!$JQ$42,
ISNUMBER(SEARCH( data!$JR$43, AK86 )), data!$JQ$43,
ISNUMBER(SEARCH( data!$JR$44, AK86 )), data!$JQ$44,
ISNUMBER(SEARCH( data!$JR$45, AK86 )), data!$JQ$45,
ISNUMBER(SEARCH( data!$JR$46, AK86 )), data!$JQ$46,
ISNUMBER(SEARCH( data!$JR$47, AK86 )), data!$JQ$47,
ISNUMBER(SEARCH( data!$JR$48, AK86 )), data!$JQ$48,
ISNUMBER(SEARCH( data!$JR$49, AK86 )), data!$JQ$49,
ISNUMBER(SEARCH( data!$JR$50, AK86 )), data!$JQ$50,
ISNUMBER(SEARCH( data!$JR$51, AK86 )), data!$JQ$51,
ISNUMBER(SEARCH( data!$JR$52, AK86 )), data!$JQ$52,
ISNUMBER(SEARCH( data!$JR$53, AK86 )), data!$JQ$53,
ISNUMBER(SEARCH( data!$JR$54, AK86 )), data!$JQ$54,
ISNUMBER(SEARCH( data!$JR$55, AK86 )), data!$JQ$55,
ISNUMBER(SEARCH( data!$JR$56, AK86 )), data!$JQ$56,
ISNUMBER(SEARCH( data!$JR$57, AK86 )), data!$JQ$57,
ISNUMBER(SEARCH( data!$JR$58, AK86 )), data!$JQ$58,
ISNUMBER(SEARCH( data!$JR$59, AK86 )), data!$JQ$59,
ISNUMBER(SEARCH( data!$JR$60, AK86 )), data!$JQ$60,
ISNUMBER(SEARCH( data!$JR$61, AK86 )), data!$JQ$61,
ISNUMBER(SEARCH( data!$JR$62, AK86 )), data!$JQ$62,
ISNUMBER(SEARCH( data!$JR$63, AK86 )), data!$JQ$63,
ISNUMBER(SEARCH( data!$JR$64, AK86 )), data!$JQ$64,
ISNUMBER(SEARCH( data!$JR$65, AK86 )), data!$JQ$65,
ISNUMBER(SEARCH( data!$JR$66, AK86 )), data!$JQ$66,
ISNUMBER(SEARCH( data!$JR$67, AK86 )), data!$JQ$67,
ISNUMBER(SEARCH( data!$JR$68, AK86 )), data!$JQ$68,
ISNUMBER(SEARCH( data!$JR$69, AK86 )), data!$JQ$69,
ISNUMBER(SEARCH( data!$JR$70, AK86 )), data!$JQ$70,
ISNUMBER(SEARCH( data!$JR$71, AK86 )), data!$JQ$71,
TRUE,data!$JQ$72))</f>
        <v>🞅</v>
      </c>
      <c r="AN84" s="4523"/>
      <c r="AO84" s="4523"/>
      <c r="AP84" s="4609" t="s">
        <v>68</v>
      </c>
      <c r="AQ84" s="4610"/>
      <c r="AR84" s="801"/>
      <c r="AS84" s="801"/>
      <c r="AT84" s="4613" t="s">
        <v>68</v>
      </c>
      <c r="AU84" s="4609"/>
      <c r="AV84" s="4523" t="str">
        <f>IF(ISBLANK(AT86),data!$JO$72,_xlfn.IFS(
ISNUMBER(SEARCH( data!$JP$23, AT86 )), data!$JO$23,
ISNUMBER(SEARCH( data!$JP$24, AT86 )), data!$JO$24,
ISNUMBER(SEARCH( data!$JP$25, AT86 )), data!$JO$25,
ISNUMBER(SEARCH( data!$JP$26, AT86 )), data!$JO$26,
ISNUMBER(SEARCH( data!$JP$27, AT86 )), data!$JO$27,
ISNUMBER(SEARCH( data!$JP$28, AT86 )), data!$JO$28,
ISNUMBER(SEARCH( data!$JP$29, AT86 )), data!$JO$29,
ISNUMBER(SEARCH( data!$JP$30, AT86 )), data!$JO$30,
ISNUMBER(SEARCH( data!$JP$31, AT86 )), data!$JO$31,
ISNUMBER(SEARCH( data!$JP$32, AT86 )), data!$JO$32,
ISNUMBER(SEARCH( data!$JP$33, AT86 )), data!$JO$33,
ISNUMBER(SEARCH( data!$JP$34, AT86 )), data!$JO$34,
ISNUMBER(SEARCH( data!$JP$35, AT86 )), data!$JO$35,
ISNUMBER(SEARCH( data!$JP$36, AT86 )), data!$JO$36,
ISNUMBER(SEARCH( data!$JP$37, AT86 )), data!$JO$37,
ISNUMBER(SEARCH( data!$JP$38, AT86 )), data!$JO$38,
ISNUMBER(SEARCH( data!$JP$39, AT86 )), data!$JO$39,
ISNUMBER(SEARCH( data!$JP$40, AT86 )), data!$JO$40,
ISNUMBER(SEARCH( data!$JP$41, AT86 )), data!$JO$41,
ISNUMBER(SEARCH( data!$JP$42, AT86 )), data!$JO$42,
ISNUMBER(SEARCH( data!$JP$43, AT86 )), data!$JO$43,
ISNUMBER(SEARCH( data!$JP$44, AT86 )), data!$JO$44,
ISNUMBER(SEARCH( data!$JP$45, AT86 )), data!$JO$45,
ISNUMBER(SEARCH( data!$JP$46, AT86 )), data!$JO$46,
ISNUMBER(SEARCH( data!$JP$47, AT86 )), data!$JO$47,
ISNUMBER(SEARCH( data!$JP$48, AT86 )), data!$JO$48,
ISNUMBER(SEARCH( data!$JP$49, AT86 )), data!$JO$49,
ISNUMBER(SEARCH( data!$JP$50, AT86 )), data!$JO$50,
ISNUMBER(SEARCH( data!$JP$51, AT86 )), data!$JO$51,
ISNUMBER(SEARCH( data!$JP$52, AT86 )), data!$JO$52,
ISNUMBER(SEARCH( data!$JP$53, AT86 )), data!$JO$53,
ISNUMBER(SEARCH( data!$JP$54, AT86 )), data!$JO$54,
ISNUMBER(SEARCH( data!$JP$55, AT86 )), data!$JO$55,
ISNUMBER(SEARCH( data!$JP$56, AT86 )), data!$JO$56,
ISNUMBER(SEARCH( data!$JP$57, AT86 )), data!$JO$57,
ISNUMBER(SEARCH( data!$JP$58, AT86 )), data!$JO$58,
ISNUMBER(SEARCH( data!$JP$59, AT86 )), data!$JO$59,
ISNUMBER(SEARCH( data!$JP$60, AT86 )), data!$JO$60,
ISNUMBER(SEARCH( data!$JP$61, AT86 )), data!$JO$61,
ISNUMBER(SEARCH( data!$JP$62, AT86 )), data!$JO$62,
ISNUMBER(SEARCH( data!$JP$63, AT86 )), data!$JO$63,
ISNUMBER(SEARCH( data!$JP$64, AT86 )), data!$JO$64,
ISNUMBER(SEARCH( data!$JP$65, AT86 )), data!$JO$65,
ISNUMBER(SEARCH( data!$JP$66, AT86 )), data!$JO$66,
ISNUMBER(SEARCH( data!$JP$67, AT86 )), data!$JO$67,
ISNUMBER(SEARCH( data!$JP$68, AT86 )), data!$JO$68,
ISNUMBER(SEARCH( data!$JP$69, AT86 )), data!$JO$69,
ISNUMBER(SEARCH( data!$JP$70, AT86 )), data!$JO$70,
ISNUMBER(SEARCH( data!$JP$71, AT86 )), data!$JO$71,
ISNUMBER(SEARCH( data!$JR$23, AT86 )), data!$JQ$23,
ISNUMBER(SEARCH( data!$JR$24, AT86 )), data!$JQ$24,
ISNUMBER(SEARCH( data!$JR$25, AT86 )), data!$JQ$25,
ISNUMBER(SEARCH( data!$JR$26, AT86 )), data!$JQ$26,
ISNUMBER(SEARCH( data!$JR$27, AT86 )), data!$JQ$27,
ISNUMBER(SEARCH( data!$JR$28, AT86 )), data!$JQ$28,
ISNUMBER(SEARCH( data!$JR$29, AT86 )), data!$JQ$29,
ISNUMBER(SEARCH( data!$JR$30, AT86 )), data!$JQ$30,
ISNUMBER(SEARCH( data!$JR$31, AT86 )), data!$JQ$31,
ISNUMBER(SEARCH( data!$JR$32, AT86 )), data!$JQ$32,
ISNUMBER(SEARCH( data!$JR$33, AT86 )), data!$JQ$33,
ISNUMBER(SEARCH( data!$JR$34, AT86 )), data!$JQ$34,
ISNUMBER(SEARCH( data!$JR$35, AT86 )), data!$JQ$35,
ISNUMBER(SEARCH( data!$JR$36, AT86 )), data!$JQ$36,
ISNUMBER(SEARCH( data!$JR$37, AT86 )), data!$JQ$37,
ISNUMBER(SEARCH( data!$JR$38, AT86 )), data!$JQ$38,
ISNUMBER(SEARCH( data!$JR$39, AT86 )), data!$JQ$39,
ISNUMBER(SEARCH( data!$JR$40, AT86 )), data!$JQ$40,
ISNUMBER(SEARCH( data!$JR$41, AT86 )), data!$JQ$41,
ISNUMBER(SEARCH( data!$JR$42, AT86 )), data!$JQ$42,
ISNUMBER(SEARCH( data!$JR$43, AT86 )), data!$JQ$43,
ISNUMBER(SEARCH( data!$JR$44, AT86 )), data!$JQ$44,
ISNUMBER(SEARCH( data!$JR$45, AT86 )), data!$JQ$45,
ISNUMBER(SEARCH( data!$JR$46, AT86 )), data!$JQ$46,
ISNUMBER(SEARCH( data!$JR$47, AT86 )), data!$JQ$47,
ISNUMBER(SEARCH( data!$JR$48, AT86 )), data!$JQ$48,
ISNUMBER(SEARCH( data!$JR$49, AT86 )), data!$JQ$49,
ISNUMBER(SEARCH( data!$JR$50, AT86 )), data!$JQ$50,
ISNUMBER(SEARCH( data!$JR$51, AT86 )), data!$JQ$51,
ISNUMBER(SEARCH( data!$JR$52, AT86 )), data!$JQ$52,
ISNUMBER(SEARCH( data!$JR$53, AT86 )), data!$JQ$53,
ISNUMBER(SEARCH( data!$JR$54, AT86 )), data!$JQ$54,
ISNUMBER(SEARCH( data!$JR$55, AT86 )), data!$JQ$55,
ISNUMBER(SEARCH( data!$JR$56, AT86 )), data!$JQ$56,
ISNUMBER(SEARCH( data!$JR$57, AT86 )), data!$JQ$57,
ISNUMBER(SEARCH( data!$JR$58, AT86 )), data!$JQ$58,
ISNUMBER(SEARCH( data!$JR$59, AT86 )), data!$JQ$59,
ISNUMBER(SEARCH( data!$JR$60, AT86 )), data!$JQ$60,
ISNUMBER(SEARCH( data!$JR$61, AT86 )), data!$JQ$61,
ISNUMBER(SEARCH( data!$JR$62, AT86 )), data!$JQ$62,
ISNUMBER(SEARCH( data!$JR$63, AT86 )), data!$JQ$63,
ISNUMBER(SEARCH( data!$JR$64, AT86 )), data!$JQ$64,
ISNUMBER(SEARCH( data!$JR$65, AT86 )), data!$JQ$65,
ISNUMBER(SEARCH( data!$JR$66, AT86 )), data!$JQ$66,
ISNUMBER(SEARCH( data!$JR$67, AT86 )), data!$JQ$67,
ISNUMBER(SEARCH( data!$JR$68, AT86 )), data!$JQ$68,
ISNUMBER(SEARCH( data!$JR$69, AT86 )), data!$JQ$69,
ISNUMBER(SEARCH( data!$JR$70, AT86 )), data!$JQ$70,
ISNUMBER(SEARCH( data!$JR$71, AT86 )), data!$JQ$71,
TRUE,data!$JQ$72))</f>
        <v>🞅</v>
      </c>
      <c r="AW84" s="4523"/>
      <c r="AX84" s="4523"/>
      <c r="AY84" s="4609" t="s">
        <v>68</v>
      </c>
      <c r="AZ84" s="4610"/>
      <c r="BA84" s="801"/>
      <c r="BB84" s="801"/>
      <c r="BC84" s="4613" t="s">
        <v>68</v>
      </c>
      <c r="BD84" s="4609"/>
      <c r="BE84" s="4523" t="str">
        <f>IF(ISBLANK(BC86),data!$JO$72,_xlfn.IFS(
ISNUMBER(SEARCH( data!$JP$23, BC86 )), data!$JO$23,
ISNUMBER(SEARCH( data!$JP$24, BC86 )), data!$JO$24,
ISNUMBER(SEARCH( data!$JP$25, BC86 )), data!$JO$25,
ISNUMBER(SEARCH( data!$JP$26, BC86 )), data!$JO$26,
ISNUMBER(SEARCH( data!$JP$27, BC86 )), data!$JO$27,
ISNUMBER(SEARCH( data!$JP$28, BC86 )), data!$JO$28,
ISNUMBER(SEARCH( data!$JP$29, BC86 )), data!$JO$29,
ISNUMBER(SEARCH( data!$JP$30, BC86 )), data!$JO$30,
ISNUMBER(SEARCH( data!$JP$31, BC86 )), data!$JO$31,
ISNUMBER(SEARCH( data!$JP$32, BC86 )), data!$JO$32,
ISNUMBER(SEARCH( data!$JP$33, BC86 )), data!$JO$33,
ISNUMBER(SEARCH( data!$JP$34, BC86 )), data!$JO$34,
ISNUMBER(SEARCH( data!$JP$35, BC86 )), data!$JO$35,
ISNUMBER(SEARCH( data!$JP$36, BC86 )), data!$JO$36,
ISNUMBER(SEARCH( data!$JP$37, BC86 )), data!$JO$37,
ISNUMBER(SEARCH( data!$JP$38, BC86 )), data!$JO$38,
ISNUMBER(SEARCH( data!$JP$39, BC86 )), data!$JO$39,
ISNUMBER(SEARCH( data!$JP$40, BC86 )), data!$JO$40,
ISNUMBER(SEARCH( data!$JP$41, BC86 )), data!$JO$41,
ISNUMBER(SEARCH( data!$JP$42, BC86 )), data!$JO$42,
ISNUMBER(SEARCH( data!$JP$43, BC86 )), data!$JO$43,
ISNUMBER(SEARCH( data!$JP$44, BC86 )), data!$JO$44,
ISNUMBER(SEARCH( data!$JP$45, BC86 )), data!$JO$45,
ISNUMBER(SEARCH( data!$JP$46, BC86 )), data!$JO$46,
ISNUMBER(SEARCH( data!$JP$47, BC86 )), data!$JO$47,
ISNUMBER(SEARCH( data!$JP$48, BC86 )), data!$JO$48,
ISNUMBER(SEARCH( data!$JP$49, BC86 )), data!$JO$49,
ISNUMBER(SEARCH( data!$JP$50, BC86 )), data!$JO$50,
ISNUMBER(SEARCH( data!$JP$51, BC86 )), data!$JO$51,
ISNUMBER(SEARCH( data!$JP$52, BC86 )), data!$JO$52,
ISNUMBER(SEARCH( data!$JP$53, BC86 )), data!$JO$53,
ISNUMBER(SEARCH( data!$JP$54, BC86 )), data!$JO$54,
ISNUMBER(SEARCH( data!$JP$55, BC86 )), data!$JO$55,
ISNUMBER(SEARCH( data!$JP$56, BC86 )), data!$JO$56,
ISNUMBER(SEARCH( data!$JP$57, BC86 )), data!$JO$57,
ISNUMBER(SEARCH( data!$JP$58, BC86 )), data!$JO$58,
ISNUMBER(SEARCH( data!$JP$59, BC86 )), data!$JO$59,
ISNUMBER(SEARCH( data!$JP$60, BC86 )), data!$JO$60,
ISNUMBER(SEARCH( data!$JP$61, BC86 )), data!$JO$61,
ISNUMBER(SEARCH( data!$JP$62, BC86 )), data!$JO$62,
ISNUMBER(SEARCH( data!$JP$63, BC86 )), data!$JO$63,
ISNUMBER(SEARCH( data!$JP$64, BC86 )), data!$JO$64,
ISNUMBER(SEARCH( data!$JP$65, BC86 )), data!$JO$65,
ISNUMBER(SEARCH( data!$JP$66, BC86 )), data!$JO$66,
ISNUMBER(SEARCH( data!$JP$67, BC86 )), data!$JO$67,
ISNUMBER(SEARCH( data!$JP$68, BC86 )), data!$JO$68,
ISNUMBER(SEARCH( data!$JP$69, BC86 )), data!$JO$69,
ISNUMBER(SEARCH( data!$JP$70, BC86 )), data!$JO$70,
ISNUMBER(SEARCH( data!$JP$71, BC86 )), data!$JO$71,
ISNUMBER(SEARCH( data!$JR$23, BC86 )), data!$JQ$23,
ISNUMBER(SEARCH( data!$JR$24, BC86 )), data!$JQ$24,
ISNUMBER(SEARCH( data!$JR$25, BC86 )), data!$JQ$25,
ISNUMBER(SEARCH( data!$JR$26, BC86 )), data!$JQ$26,
ISNUMBER(SEARCH( data!$JR$27, BC86 )), data!$JQ$27,
ISNUMBER(SEARCH( data!$JR$28, BC86 )), data!$JQ$28,
ISNUMBER(SEARCH( data!$JR$29, BC86 )), data!$JQ$29,
ISNUMBER(SEARCH( data!$JR$30, BC86 )), data!$JQ$30,
ISNUMBER(SEARCH( data!$JR$31, BC86 )), data!$JQ$31,
ISNUMBER(SEARCH( data!$JR$32, BC86 )), data!$JQ$32,
ISNUMBER(SEARCH( data!$JR$33, BC86 )), data!$JQ$33,
ISNUMBER(SEARCH( data!$JR$34, BC86 )), data!$JQ$34,
ISNUMBER(SEARCH( data!$JR$35, BC86 )), data!$JQ$35,
ISNUMBER(SEARCH( data!$JR$36, BC86 )), data!$JQ$36,
ISNUMBER(SEARCH( data!$JR$37, BC86 )), data!$JQ$37,
ISNUMBER(SEARCH( data!$JR$38, BC86 )), data!$JQ$38,
ISNUMBER(SEARCH( data!$JR$39, BC86 )), data!$JQ$39,
ISNUMBER(SEARCH( data!$JR$40, BC86 )), data!$JQ$40,
ISNUMBER(SEARCH( data!$JR$41, BC86 )), data!$JQ$41,
ISNUMBER(SEARCH( data!$JR$42, BC86 )), data!$JQ$42,
ISNUMBER(SEARCH( data!$JR$43, BC86 )), data!$JQ$43,
ISNUMBER(SEARCH( data!$JR$44, BC86 )), data!$JQ$44,
ISNUMBER(SEARCH( data!$JR$45, BC86 )), data!$JQ$45,
ISNUMBER(SEARCH( data!$JR$46, BC86 )), data!$JQ$46,
ISNUMBER(SEARCH( data!$JR$47, BC86 )), data!$JQ$47,
ISNUMBER(SEARCH( data!$JR$48, BC86 )), data!$JQ$48,
ISNUMBER(SEARCH( data!$JR$49, BC86 )), data!$JQ$49,
ISNUMBER(SEARCH( data!$JR$50, BC86 )), data!$JQ$50,
ISNUMBER(SEARCH( data!$JR$51, BC86 )), data!$JQ$51,
ISNUMBER(SEARCH( data!$JR$52, BC86 )), data!$JQ$52,
ISNUMBER(SEARCH( data!$JR$53, BC86 )), data!$JQ$53,
ISNUMBER(SEARCH( data!$JR$54, BC86 )), data!$JQ$54,
ISNUMBER(SEARCH( data!$JR$55, BC86 )), data!$JQ$55,
ISNUMBER(SEARCH( data!$JR$56, BC86 )), data!$JQ$56,
ISNUMBER(SEARCH( data!$JR$57, BC86 )), data!$JQ$57,
ISNUMBER(SEARCH( data!$JR$58, BC86 )), data!$JQ$58,
ISNUMBER(SEARCH( data!$JR$59, BC86 )), data!$JQ$59,
ISNUMBER(SEARCH( data!$JR$60, BC86 )), data!$JQ$60,
ISNUMBER(SEARCH( data!$JR$61, BC86 )), data!$JQ$61,
ISNUMBER(SEARCH( data!$JR$62, BC86 )), data!$JQ$62,
ISNUMBER(SEARCH( data!$JR$63, BC86 )), data!$JQ$63,
ISNUMBER(SEARCH( data!$JR$64, BC86 )), data!$JQ$64,
ISNUMBER(SEARCH( data!$JR$65, BC86 )), data!$JQ$65,
ISNUMBER(SEARCH( data!$JR$66, BC86 )), data!$JQ$66,
ISNUMBER(SEARCH( data!$JR$67, BC86 )), data!$JQ$67,
ISNUMBER(SEARCH( data!$JR$68, BC86 )), data!$JQ$68,
ISNUMBER(SEARCH( data!$JR$69, BC86 )), data!$JQ$69,
ISNUMBER(SEARCH( data!$JR$70, BC86 )), data!$JQ$70,
ISNUMBER(SEARCH( data!$JR$71, BC86 )), data!$JQ$71,
TRUE,data!$JQ$72))</f>
        <v>🞅</v>
      </c>
      <c r="BF84" s="4523"/>
      <c r="BG84" s="4523"/>
      <c r="BH84" s="4609" t="s">
        <v>68</v>
      </c>
      <c r="BI84" s="4610"/>
      <c r="BJ84" s="801"/>
      <c r="BK84" s="801"/>
      <c r="BL84" s="4613" t="s">
        <v>68</v>
      </c>
      <c r="BM84" s="4609"/>
      <c r="BN84" s="4523" t="str">
        <f>IF(ISBLANK(BL86),data!$JO$72,_xlfn.IFS(
ISNUMBER(SEARCH( data!$JP$23, BL86 )), data!$JO$23,
ISNUMBER(SEARCH( data!$JP$24, BL86 )), data!$JO$24,
ISNUMBER(SEARCH( data!$JP$25, BL86 )), data!$JO$25,
ISNUMBER(SEARCH( data!$JP$26, BL86 )), data!$JO$26,
ISNUMBER(SEARCH( data!$JP$27, BL86 )), data!$JO$27,
ISNUMBER(SEARCH( data!$JP$28, BL86 )), data!$JO$28,
ISNUMBER(SEARCH( data!$JP$29, BL86 )), data!$JO$29,
ISNUMBER(SEARCH( data!$JP$30, BL86 )), data!$JO$30,
ISNUMBER(SEARCH( data!$JP$31, BL86 )), data!$JO$31,
ISNUMBER(SEARCH( data!$JP$32, BL86 )), data!$JO$32,
ISNUMBER(SEARCH( data!$JP$33, BL86 )), data!$JO$33,
ISNUMBER(SEARCH( data!$JP$34, BL86 )), data!$JO$34,
ISNUMBER(SEARCH( data!$JP$35, BL86 )), data!$JO$35,
ISNUMBER(SEARCH( data!$JP$36, BL86 )), data!$JO$36,
ISNUMBER(SEARCH( data!$JP$37, BL86 )), data!$JO$37,
ISNUMBER(SEARCH( data!$JP$38, BL86 )), data!$JO$38,
ISNUMBER(SEARCH( data!$JP$39, BL86 )), data!$JO$39,
ISNUMBER(SEARCH( data!$JP$40, BL86 )), data!$JO$40,
ISNUMBER(SEARCH( data!$JP$41, BL86 )), data!$JO$41,
ISNUMBER(SEARCH( data!$JP$42, BL86 )), data!$JO$42,
ISNUMBER(SEARCH( data!$JP$43, BL86 )), data!$JO$43,
ISNUMBER(SEARCH( data!$JP$44, BL86 )), data!$JO$44,
ISNUMBER(SEARCH( data!$JP$45, BL86 )), data!$JO$45,
ISNUMBER(SEARCH( data!$JP$46, BL86 )), data!$JO$46,
ISNUMBER(SEARCH( data!$JP$47, BL86 )), data!$JO$47,
ISNUMBER(SEARCH( data!$JP$48, BL86 )), data!$JO$48,
ISNUMBER(SEARCH( data!$JP$49, BL86 )), data!$JO$49,
ISNUMBER(SEARCH( data!$JP$50, BL86 )), data!$JO$50,
ISNUMBER(SEARCH( data!$JP$51, BL86 )), data!$JO$51,
ISNUMBER(SEARCH( data!$JP$52, BL86 )), data!$JO$52,
ISNUMBER(SEARCH( data!$JP$53, BL86 )), data!$JO$53,
ISNUMBER(SEARCH( data!$JP$54, BL86 )), data!$JO$54,
ISNUMBER(SEARCH( data!$JP$55, BL86 )), data!$JO$55,
ISNUMBER(SEARCH( data!$JP$56, BL86 )), data!$JO$56,
ISNUMBER(SEARCH( data!$JP$57, BL86 )), data!$JO$57,
ISNUMBER(SEARCH( data!$JP$58, BL86 )), data!$JO$58,
ISNUMBER(SEARCH( data!$JP$59, BL86 )), data!$JO$59,
ISNUMBER(SEARCH( data!$JP$60, BL86 )), data!$JO$60,
ISNUMBER(SEARCH( data!$JP$61, BL86 )), data!$JO$61,
ISNUMBER(SEARCH( data!$JP$62, BL86 )), data!$JO$62,
ISNUMBER(SEARCH( data!$JP$63, BL86 )), data!$JO$63,
ISNUMBER(SEARCH( data!$JP$64, BL86 )), data!$JO$64,
ISNUMBER(SEARCH( data!$JP$65, BL86 )), data!$JO$65,
ISNUMBER(SEARCH( data!$JP$66, BL86 )), data!$JO$66,
ISNUMBER(SEARCH( data!$JP$67, BL86 )), data!$JO$67,
ISNUMBER(SEARCH( data!$JP$68, BL86 )), data!$JO$68,
ISNUMBER(SEARCH( data!$JP$69, BL86 )), data!$JO$69,
ISNUMBER(SEARCH( data!$JP$70, BL86 )), data!$JO$70,
ISNUMBER(SEARCH( data!$JP$71, BL86 )), data!$JO$71,
ISNUMBER(SEARCH( data!$JR$23, BL86 )), data!$JQ$23,
ISNUMBER(SEARCH( data!$JR$24, BL86 )), data!$JQ$24,
ISNUMBER(SEARCH( data!$JR$25, BL86 )), data!$JQ$25,
ISNUMBER(SEARCH( data!$JR$26, BL86 )), data!$JQ$26,
ISNUMBER(SEARCH( data!$JR$27, BL86 )), data!$JQ$27,
ISNUMBER(SEARCH( data!$JR$28, BL86 )), data!$JQ$28,
ISNUMBER(SEARCH( data!$JR$29, BL86 )), data!$JQ$29,
ISNUMBER(SEARCH( data!$JR$30, BL86 )), data!$JQ$30,
ISNUMBER(SEARCH( data!$JR$31, BL86 )), data!$JQ$31,
ISNUMBER(SEARCH( data!$JR$32, BL86 )), data!$JQ$32,
ISNUMBER(SEARCH( data!$JR$33, BL86 )), data!$JQ$33,
ISNUMBER(SEARCH( data!$JR$34, BL86 )), data!$JQ$34,
ISNUMBER(SEARCH( data!$JR$35, BL86 )), data!$JQ$35,
ISNUMBER(SEARCH( data!$JR$36, BL86 )), data!$JQ$36,
ISNUMBER(SEARCH( data!$JR$37, BL86 )), data!$JQ$37,
ISNUMBER(SEARCH( data!$JR$38, BL86 )), data!$JQ$38,
ISNUMBER(SEARCH( data!$JR$39, BL86 )), data!$JQ$39,
ISNUMBER(SEARCH( data!$JR$40, BL86 )), data!$JQ$40,
ISNUMBER(SEARCH( data!$JR$41, BL86 )), data!$JQ$41,
ISNUMBER(SEARCH( data!$JR$42, BL86 )), data!$JQ$42,
ISNUMBER(SEARCH( data!$JR$43, BL86 )), data!$JQ$43,
ISNUMBER(SEARCH( data!$JR$44, BL86 )), data!$JQ$44,
ISNUMBER(SEARCH( data!$JR$45, BL86 )), data!$JQ$45,
ISNUMBER(SEARCH( data!$JR$46, BL86 )), data!$JQ$46,
ISNUMBER(SEARCH( data!$JR$47, BL86 )), data!$JQ$47,
ISNUMBER(SEARCH( data!$JR$48, BL86 )), data!$JQ$48,
ISNUMBER(SEARCH( data!$JR$49, BL86 )), data!$JQ$49,
ISNUMBER(SEARCH( data!$JR$50, BL86 )), data!$JQ$50,
ISNUMBER(SEARCH( data!$JR$51, BL86 )), data!$JQ$51,
ISNUMBER(SEARCH( data!$JR$52, BL86 )), data!$JQ$52,
ISNUMBER(SEARCH( data!$JR$53, BL86 )), data!$JQ$53,
ISNUMBER(SEARCH( data!$JR$54, BL86 )), data!$JQ$54,
ISNUMBER(SEARCH( data!$JR$55, BL86 )), data!$JQ$55,
ISNUMBER(SEARCH( data!$JR$56, BL86 )), data!$JQ$56,
ISNUMBER(SEARCH( data!$JR$57, BL86 )), data!$JQ$57,
ISNUMBER(SEARCH( data!$JR$58, BL86 )), data!$JQ$58,
ISNUMBER(SEARCH( data!$JR$59, BL86 )), data!$JQ$59,
ISNUMBER(SEARCH( data!$JR$60, BL86 )), data!$JQ$60,
ISNUMBER(SEARCH( data!$JR$61, BL86 )), data!$JQ$61,
ISNUMBER(SEARCH( data!$JR$62, BL86 )), data!$JQ$62,
ISNUMBER(SEARCH( data!$JR$63, BL86 )), data!$JQ$63,
ISNUMBER(SEARCH( data!$JR$64, BL86 )), data!$JQ$64,
ISNUMBER(SEARCH( data!$JR$65, BL86 )), data!$JQ$65,
ISNUMBER(SEARCH( data!$JR$66, BL86 )), data!$JQ$66,
ISNUMBER(SEARCH( data!$JR$67, BL86 )), data!$JQ$67,
ISNUMBER(SEARCH( data!$JR$68, BL86 )), data!$JQ$68,
ISNUMBER(SEARCH( data!$JR$69, BL86 )), data!$JQ$69,
ISNUMBER(SEARCH( data!$JR$70, BL86 )), data!$JQ$70,
ISNUMBER(SEARCH( data!$JR$71, BL86 )), data!$JQ$71,
TRUE,data!$JQ$72))</f>
        <v>🞅</v>
      </c>
      <c r="BO84" s="4523"/>
      <c r="BP84" s="4523"/>
      <c r="BQ84" s="4609" t="s">
        <v>68</v>
      </c>
      <c r="BR84" s="4610"/>
      <c r="BS84" s="801"/>
      <c r="BT84" s="801"/>
      <c r="BU84" s="801"/>
      <c r="BV84" s="801"/>
      <c r="BW84" s="1406"/>
      <c r="CK84" s="2773" t="s">
        <v>1721</v>
      </c>
      <c r="CP84" s="297">
        <v>3</v>
      </c>
      <c r="CR84" s="2434" t="str">
        <f>ACTIONS!C46</f>
        <v>MND3</v>
      </c>
      <c r="CU84" s="2779" t="s">
        <v>1735</v>
      </c>
      <c r="CV84" s="297" t="str">
        <f>IF($AD$88&lt;&gt;"",$AD$88,"")</f>
        <v/>
      </c>
      <c r="CW84" s="2780" t="str">
        <f>IF($AD$89&lt;&gt;"",$AD$89,"")</f>
        <v/>
      </c>
      <c r="CX84" s="2781" t="str" cm="1">
        <f t="array" ref="CX84">_xlfn.IFS(
ISNUMBER(SEARCH($CK$82,$AB$86)),$CK$82,
ISNUMBER(SEARCH($CK$83,$AB$86)),$CK$83,
ISNUMBER(SEARCH($CK$84,$AB$86)),$CK$84,
ISNUMBER(SEARCH($CK$85,$AB$86)),$CK$85,
TRUE,"")</f>
        <v/>
      </c>
      <c r="DA84" s="2780" t="str">
        <f>ACTIONS!C46</f>
        <v>MND3</v>
      </c>
      <c r="DB84" s="2780" t="s">
        <v>1332</v>
      </c>
    </row>
    <row r="85" spans="5:106" ht="17.100000000000001" customHeight="1" x14ac:dyDescent="0.2">
      <c r="E85" s="1405"/>
      <c r="F85" s="801"/>
      <c r="G85" s="801"/>
      <c r="H85" s="801"/>
      <c r="I85" s="801"/>
      <c r="J85" s="4614"/>
      <c r="K85" s="4611"/>
      <c r="L85" s="4524"/>
      <c r="M85" s="4524"/>
      <c r="N85" s="4524"/>
      <c r="O85" s="4611"/>
      <c r="P85" s="4612"/>
      <c r="Q85" s="801"/>
      <c r="R85" s="801"/>
      <c r="S85" s="4614"/>
      <c r="T85" s="4611"/>
      <c r="U85" s="4524"/>
      <c r="V85" s="4524"/>
      <c r="W85" s="4524"/>
      <c r="X85" s="4611"/>
      <c r="Y85" s="4612"/>
      <c r="Z85" s="801"/>
      <c r="AA85" s="801"/>
      <c r="AB85" s="4614"/>
      <c r="AC85" s="4611"/>
      <c r="AD85" s="4524"/>
      <c r="AE85" s="4524"/>
      <c r="AF85" s="4524"/>
      <c r="AG85" s="4611"/>
      <c r="AH85" s="4612"/>
      <c r="AI85" s="801"/>
      <c r="AJ85" s="801"/>
      <c r="AK85" s="4614"/>
      <c r="AL85" s="4611"/>
      <c r="AM85" s="4524"/>
      <c r="AN85" s="4524"/>
      <c r="AO85" s="4524"/>
      <c r="AP85" s="4611"/>
      <c r="AQ85" s="4612"/>
      <c r="AR85" s="801"/>
      <c r="AS85" s="801"/>
      <c r="AT85" s="4614"/>
      <c r="AU85" s="4611"/>
      <c r="AV85" s="4524"/>
      <c r="AW85" s="4524"/>
      <c r="AX85" s="4524"/>
      <c r="AY85" s="4611"/>
      <c r="AZ85" s="4612"/>
      <c r="BA85" s="801"/>
      <c r="BB85" s="801"/>
      <c r="BC85" s="4614"/>
      <c r="BD85" s="4611"/>
      <c r="BE85" s="4524"/>
      <c r="BF85" s="4524"/>
      <c r="BG85" s="4524"/>
      <c r="BH85" s="4611"/>
      <c r="BI85" s="4612"/>
      <c r="BJ85" s="801"/>
      <c r="BK85" s="801"/>
      <c r="BL85" s="4614"/>
      <c r="BM85" s="4611"/>
      <c r="BN85" s="4524"/>
      <c r="BO85" s="4524"/>
      <c r="BP85" s="4524"/>
      <c r="BQ85" s="4611"/>
      <c r="BR85" s="4612"/>
      <c r="BS85" s="801"/>
      <c r="BT85" s="801"/>
      <c r="BU85" s="801"/>
      <c r="BV85" s="801"/>
      <c r="BW85" s="1406"/>
      <c r="CC85" s="2774" t="s">
        <v>1729</v>
      </c>
      <c r="CK85" s="2434" t="s">
        <v>1723</v>
      </c>
      <c r="CP85" s="297">
        <v>4</v>
      </c>
      <c r="CR85" s="2434" t="str">
        <f>ACTIONS!C47</f>
        <v>MND4</v>
      </c>
      <c r="CU85" s="2779" t="s">
        <v>1736</v>
      </c>
      <c r="CV85" s="297" t="str">
        <f>IF($AM$88&lt;&gt;"",$AM$88,"")</f>
        <v/>
      </c>
      <c r="CW85" s="2780" t="str">
        <f>IF($AM$89&lt;&gt;"",$AM$89,"")</f>
        <v/>
      </c>
      <c r="CX85" s="2781" t="str" cm="1">
        <f t="array" ref="CX85">_xlfn.IFS(
ISNUMBER(SEARCH($CK$82,$AK$86)),$CK$82,
ISNUMBER(SEARCH($CK$83,$AK$86)),$CK$83,
ISNUMBER(SEARCH($CK$84,$AK$86)),$CK$84,
ISNUMBER(SEARCH($CK$85,$AK$86)),$CK$85,
TRUE,"")</f>
        <v/>
      </c>
      <c r="DA85" s="2780" t="str">
        <f>ACTIONS!C47</f>
        <v>MND4</v>
      </c>
      <c r="DB85" s="2780" t="s">
        <v>1332</v>
      </c>
    </row>
    <row r="86" spans="5:106" ht="17.100000000000001" customHeight="1" x14ac:dyDescent="0.2">
      <c r="E86" s="1405"/>
      <c r="F86" s="801"/>
      <c r="G86" s="801"/>
      <c r="H86" s="801"/>
      <c r="I86" s="801"/>
      <c r="J86" s="4527"/>
      <c r="K86" s="4528"/>
      <c r="L86" s="4528"/>
      <c r="M86" s="4528"/>
      <c r="N86" s="4528"/>
      <c r="O86" s="4528"/>
      <c r="P86" s="4529"/>
      <c r="Q86" s="1411"/>
      <c r="R86" s="801"/>
      <c r="S86" s="4527"/>
      <c r="T86" s="4528"/>
      <c r="U86" s="4528"/>
      <c r="V86" s="4528"/>
      <c r="W86" s="4528"/>
      <c r="X86" s="4528"/>
      <c r="Y86" s="4529"/>
      <c r="Z86" s="1411"/>
      <c r="AA86" s="801"/>
      <c r="AB86" s="4527"/>
      <c r="AC86" s="4528"/>
      <c r="AD86" s="4528"/>
      <c r="AE86" s="4528"/>
      <c r="AF86" s="4528"/>
      <c r="AG86" s="4528"/>
      <c r="AH86" s="4529"/>
      <c r="AI86" s="1411"/>
      <c r="AJ86" s="801"/>
      <c r="AK86" s="4527"/>
      <c r="AL86" s="4528"/>
      <c r="AM86" s="4528"/>
      <c r="AN86" s="4528"/>
      <c r="AO86" s="4528"/>
      <c r="AP86" s="4528"/>
      <c r="AQ86" s="4529"/>
      <c r="AR86" s="1411"/>
      <c r="AS86" s="801"/>
      <c r="AT86" s="4527"/>
      <c r="AU86" s="4528"/>
      <c r="AV86" s="4528"/>
      <c r="AW86" s="4528"/>
      <c r="AX86" s="4528"/>
      <c r="AY86" s="4528"/>
      <c r="AZ86" s="4529"/>
      <c r="BA86" s="1411"/>
      <c r="BB86" s="801"/>
      <c r="BC86" s="4527"/>
      <c r="BD86" s="4528"/>
      <c r="BE86" s="4528"/>
      <c r="BF86" s="4528"/>
      <c r="BG86" s="4528"/>
      <c r="BH86" s="4528"/>
      <c r="BI86" s="4529"/>
      <c r="BJ86" s="1411"/>
      <c r="BK86" s="801"/>
      <c r="BL86" s="4527"/>
      <c r="BM86" s="4528"/>
      <c r="BN86" s="4528"/>
      <c r="BO86" s="4528"/>
      <c r="BP86" s="4528"/>
      <c r="BQ86" s="4528"/>
      <c r="BR86" s="4529"/>
      <c r="BS86" s="1411"/>
      <c r="BT86" s="801"/>
      <c r="BU86" s="801"/>
      <c r="BV86" s="801"/>
      <c r="BW86" s="1406"/>
      <c r="CC86" s="2786" t="str">
        <f ca="1">_xlfn.XLOOKUP($CK$80,$CV$82:$CV$88,$CW$82:$CW$88,"NONE")</f>
        <v>NONE</v>
      </c>
      <c r="CD86" s="2785"/>
      <c r="CP86" s="297">
        <v>5</v>
      </c>
      <c r="CR86" s="2434" t="str">
        <f>ACTIONS!C48</f>
        <v>MND5</v>
      </c>
      <c r="CU86" s="2779" t="s">
        <v>1737</v>
      </c>
      <c r="CV86" s="297" t="str">
        <f>IF($AV$88&lt;&gt;"",$AV$88,"")</f>
        <v/>
      </c>
      <c r="CW86" s="2780" t="str">
        <f>IF($AV$89&lt;&gt;"",$AV$89,"")</f>
        <v/>
      </c>
      <c r="CX86" s="2781" t="str" cm="1">
        <f t="array" ref="CX86">_xlfn.IFS(
ISNUMBER(SEARCH($CK$82,$AT$86)),$CK$82,
ISNUMBER(SEARCH($CK$83,$AT$86)),$CK$83,
ISNUMBER(SEARCH($CK$84,$AT$86)),$CK$84,
ISNUMBER(SEARCH($CK$85,$AT$86)),$CK$85,
TRUE,"")</f>
        <v/>
      </c>
      <c r="DA86" s="2780" t="str">
        <f>ACTIONS!C48</f>
        <v>MND5</v>
      </c>
      <c r="DB86" s="2780" t="s">
        <v>1332</v>
      </c>
    </row>
    <row r="87" spans="5:106" ht="17.100000000000001" customHeight="1" thickBot="1" x14ac:dyDescent="0.25">
      <c r="E87" s="1405"/>
      <c r="F87" s="801"/>
      <c r="G87" s="801"/>
      <c r="H87" s="801"/>
      <c r="I87" s="801"/>
      <c r="J87" s="4530"/>
      <c r="K87" s="4531"/>
      <c r="L87" s="4531"/>
      <c r="M87" s="4531"/>
      <c r="N87" s="4531"/>
      <c r="O87" s="4531"/>
      <c r="P87" s="4532"/>
      <c r="Q87" s="801"/>
      <c r="R87" s="801"/>
      <c r="S87" s="4530"/>
      <c r="T87" s="4531"/>
      <c r="U87" s="4531"/>
      <c r="V87" s="4531"/>
      <c r="W87" s="4531"/>
      <c r="X87" s="4531"/>
      <c r="Y87" s="4532"/>
      <c r="Z87" s="801"/>
      <c r="AA87" s="801"/>
      <c r="AB87" s="4530"/>
      <c r="AC87" s="4531"/>
      <c r="AD87" s="4531"/>
      <c r="AE87" s="4531"/>
      <c r="AF87" s="4531"/>
      <c r="AG87" s="4531"/>
      <c r="AH87" s="4532"/>
      <c r="AI87" s="801"/>
      <c r="AJ87" s="801"/>
      <c r="AK87" s="4530"/>
      <c r="AL87" s="4531"/>
      <c r="AM87" s="4531"/>
      <c r="AN87" s="4531"/>
      <c r="AO87" s="4531"/>
      <c r="AP87" s="4531"/>
      <c r="AQ87" s="4532"/>
      <c r="AR87" s="801"/>
      <c r="AS87" s="801"/>
      <c r="AT87" s="4530"/>
      <c r="AU87" s="4531"/>
      <c r="AV87" s="4531"/>
      <c r="AW87" s="4531"/>
      <c r="AX87" s="4531"/>
      <c r="AY87" s="4531"/>
      <c r="AZ87" s="4532"/>
      <c r="BA87" s="801"/>
      <c r="BB87" s="801"/>
      <c r="BC87" s="4530"/>
      <c r="BD87" s="4531"/>
      <c r="BE87" s="4531"/>
      <c r="BF87" s="4531"/>
      <c r="BG87" s="4531"/>
      <c r="BH87" s="4531"/>
      <c r="BI87" s="4532"/>
      <c r="BJ87" s="801"/>
      <c r="BK87" s="801"/>
      <c r="BL87" s="4530"/>
      <c r="BM87" s="4531"/>
      <c r="BN87" s="4531"/>
      <c r="BO87" s="4531"/>
      <c r="BP87" s="4531"/>
      <c r="BQ87" s="4531"/>
      <c r="BR87" s="4532"/>
      <c r="BS87" s="801"/>
      <c r="BT87" s="801"/>
      <c r="BU87" s="801"/>
      <c r="BV87" s="801"/>
      <c r="BW87" s="1406"/>
      <c r="CC87" s="14" t="s">
        <v>1742</v>
      </c>
      <c r="CP87" s="297">
        <v>6</v>
      </c>
      <c r="CR87" s="2434" t="str">
        <f>ACTIONS!C49</f>
        <v>MND6</v>
      </c>
      <c r="CU87" s="2779" t="s">
        <v>1738</v>
      </c>
      <c r="CV87" s="297" t="str">
        <f>IF($BE$88&lt;&gt;"",$BE$88,"")</f>
        <v/>
      </c>
      <c r="CW87" s="2780" t="str">
        <f>IF($BE$89&lt;&gt;"",$BE$89,"")</f>
        <v/>
      </c>
      <c r="CX87" s="2781" t="str" cm="1">
        <f t="array" ref="CX87">_xlfn.IFS(
ISNUMBER(SEARCH($CK$82,$BC$86)),$CK$82,
ISNUMBER(SEARCH($CK$83,$BC$86)),$CK$83,
ISNUMBER(SEARCH($CK$84,$BC$86)),$CK$84,
ISNUMBER(SEARCH($CK$85,$BC$86)),$CK$85,
TRUE,"")</f>
        <v/>
      </c>
      <c r="DA87" s="2780" t="str">
        <f>ACTIONS!C49</f>
        <v>MND6</v>
      </c>
      <c r="DB87" s="2780" t="s">
        <v>1332</v>
      </c>
    </row>
    <row r="88" spans="5:106" ht="17.100000000000001" customHeight="1" thickTop="1" x14ac:dyDescent="0.2">
      <c r="E88" s="1405"/>
      <c r="F88" s="801"/>
      <c r="G88" s="801"/>
      <c r="H88" s="1412"/>
      <c r="I88" s="801"/>
      <c r="J88" s="2803"/>
      <c r="K88" s="2771" t="str">
        <f>IF(P90=1,IF(AND(L88="",J86&lt;&gt;""),"DAY  =",""),"")</f>
        <v/>
      </c>
      <c r="L88" s="4606"/>
      <c r="M88" s="4606"/>
      <c r="N88" s="4606"/>
      <c r="O88" s="2803"/>
      <c r="P88" s="2804">
        <v>1</v>
      </c>
      <c r="Q88" s="2805"/>
      <c r="R88" s="2805"/>
      <c r="S88" s="2803"/>
      <c r="T88" s="2771" t="str">
        <f>IF(Y90=1,IF(AND(U88="",S86&lt;&gt;""),"DAY  =",""),"")</f>
        <v/>
      </c>
      <c r="U88" s="4606"/>
      <c r="V88" s="4606"/>
      <c r="W88" s="4606"/>
      <c r="X88" s="2803"/>
      <c r="Y88" s="2804">
        <f ca="1">IF($L$88&lt;&gt;$CK$80,1,0)</f>
        <v>1</v>
      </c>
      <c r="Z88" s="2805"/>
      <c r="AA88" s="2805"/>
      <c r="AB88" s="2803"/>
      <c r="AC88" s="2771" t="str">
        <f>IF(AH90=1,IF(AND(AD88="",AB86&lt;&gt;""),"DAY  =",""),"")</f>
        <v/>
      </c>
      <c r="AD88" s="4606"/>
      <c r="AE88" s="4606"/>
      <c r="AF88" s="4606"/>
      <c r="AG88" s="2803"/>
      <c r="AH88" s="2804">
        <f ca="1">IF(AND($L$88&lt;&gt;$CK$80,$U$88&lt;&gt;$CK$80),1,0)</f>
        <v>1</v>
      </c>
      <c r="AI88" s="2805"/>
      <c r="AJ88" s="2805"/>
      <c r="AK88" s="2803"/>
      <c r="AL88" s="2771" t="str">
        <f>IF(AQ90=1,IF(AND(AM88="",AK86&lt;&gt;""),"DAY  =",""),"")</f>
        <v/>
      </c>
      <c r="AM88" s="4606"/>
      <c r="AN88" s="4606"/>
      <c r="AO88" s="4606"/>
      <c r="AP88" s="2803"/>
      <c r="AQ88" s="2804">
        <f ca="1">IF(AND($L$88&lt;&gt;$CK$80,$U$88&lt;&gt;$CK$80,$AD$88&lt;&gt;$CK$80),1,0)</f>
        <v>1</v>
      </c>
      <c r="AR88" s="2805"/>
      <c r="AS88" s="2805"/>
      <c r="AT88" s="2803"/>
      <c r="AU88" s="2771" t="str">
        <f>IF(AZ90=1,IF(AND(AV88="",AT86&lt;&gt;""),"DAY  =",""),"")</f>
        <v/>
      </c>
      <c r="AV88" s="4606"/>
      <c r="AW88" s="4606"/>
      <c r="AX88" s="4606"/>
      <c r="AY88" s="2803"/>
      <c r="AZ88" s="2804">
        <f ca="1">IF(AND($L$88&lt;&gt;$CK$80,$U$88&lt;&gt;$CK$80,$AD$88&lt;&gt;$CK$80,$AM$88&lt;&gt;$CK$80),1,0)</f>
        <v>1</v>
      </c>
      <c r="BA88" s="2805"/>
      <c r="BB88" s="2805"/>
      <c r="BC88" s="2803"/>
      <c r="BD88" s="2771" t="str">
        <f>IF(BI90=1,IF(AND(BE88="",BC86&lt;&gt;""),"DAY  =",""),"")</f>
        <v/>
      </c>
      <c r="BE88" s="4606"/>
      <c r="BF88" s="4606"/>
      <c r="BG88" s="4606"/>
      <c r="BH88" s="2803"/>
      <c r="BI88" s="2804">
        <f ca="1">IF(AND($L$88&lt;&gt;$CK$80,$U$88&lt;&gt;$CK$80,$AD$88&lt;&gt;$CK$80,$AM$88&lt;&gt;$CK$80,$AV$88&lt;&gt;$CK$80),1,0)</f>
        <v>1</v>
      </c>
      <c r="BJ88" s="2805"/>
      <c r="BK88" s="2805"/>
      <c r="BL88" s="2803"/>
      <c r="BM88" s="2771" t="str">
        <f>IF(BR90=1,IF(AND(BN88="",BL86&lt;&gt;""),"DAY  =",""),"")</f>
        <v/>
      </c>
      <c r="BN88" s="4606"/>
      <c r="BO88" s="4606"/>
      <c r="BP88" s="4606"/>
      <c r="BQ88" s="2803"/>
      <c r="BR88" s="2804">
        <f ca="1">IF(AND($L$88&lt;&gt;$CK$80,$U$88&lt;&gt;$CK$80,$AD$88&lt;&gt;$CK$80,$AM$88&lt;&gt;$CK$80,$AV$88&lt;&gt;$CK$80,$BE$88&lt;&gt;$CK$80),1,0)</f>
        <v>1</v>
      </c>
      <c r="BS88" s="801"/>
      <c r="BT88" s="801"/>
      <c r="BU88" s="801"/>
      <c r="BV88" s="801"/>
      <c r="BW88" s="1406"/>
      <c r="CC88" s="2800" t="str">
        <f ca="1">_xlfn.XLOOKUP($CC$86,$DA$82:$DA$99,$DB$82:$DB$99,"")</f>
        <v/>
      </c>
      <c r="CD88" s="2785"/>
      <c r="CP88" s="297">
        <v>7</v>
      </c>
      <c r="CR88" s="2434" t="str">
        <f>ACTIONS!C50</f>
        <v>MND7</v>
      </c>
      <c r="CU88" s="2779" t="s">
        <v>1739</v>
      </c>
      <c r="CV88" s="297" t="str">
        <f>IF($BN$88&lt;&gt;"",$BN$88,"")</f>
        <v/>
      </c>
      <c r="CW88" s="2780" t="str">
        <f>IF($BN$89&lt;&gt;"",$BN$89,"")</f>
        <v/>
      </c>
      <c r="CX88" s="2781" t="str" cm="1">
        <f t="array" ref="CX88">_xlfn.IFS(
ISNUMBER(SEARCH($CK$82,$BL$86)),$CK$82,
ISNUMBER(SEARCH($CK$83,$BL$86)),$CK$83,
ISNUMBER(SEARCH($CK$84,$BL$86)),$CK$84,
ISNUMBER(SEARCH($CK$85,$BL$86)),$CK$85,
TRUE,"")</f>
        <v/>
      </c>
      <c r="DA88" s="2780" t="str">
        <f>ACTIONS!C50</f>
        <v>MND7</v>
      </c>
      <c r="DB88" s="2780" t="s">
        <v>1332</v>
      </c>
    </row>
    <row r="89" spans="5:106" ht="17.100000000000001" customHeight="1" x14ac:dyDescent="0.2">
      <c r="E89" s="1405"/>
      <c r="F89" s="1397"/>
      <c r="G89" s="1397"/>
      <c r="H89" s="2929"/>
      <c r="I89" s="1397"/>
      <c r="J89" s="2930"/>
      <c r="K89" s="2770" t="str">
        <f>IF(AND(L89="",J86&lt;&gt;"",ISNUMBER(SEARCH($CK$85,J86))),"SKILL  =","")</f>
        <v/>
      </c>
      <c r="L89" s="4607"/>
      <c r="M89" s="4607"/>
      <c r="N89" s="4607"/>
      <c r="O89" s="2931"/>
      <c r="P89" s="2815">
        <f>IF(ISNUMBER(SEARCH($CK$85,J86)),IF(L89="",0,1),1)</f>
        <v>1</v>
      </c>
      <c r="Q89" s="2931"/>
      <c r="R89" s="2931"/>
      <c r="S89" s="2931"/>
      <c r="T89" s="2778" t="str">
        <f>IF(AND(U89="",S86&lt;&gt;"",ISNUMBER(SEARCH($CK$85,S86))),"SKILL  =","")</f>
        <v/>
      </c>
      <c r="U89" s="4607"/>
      <c r="V89" s="4607"/>
      <c r="W89" s="4607"/>
      <c r="X89" s="2931"/>
      <c r="Y89" s="2815">
        <f>IF(ISNUMBER(SEARCH($CK$85,S86)),IF(U89="",0,1),1)</f>
        <v>1</v>
      </c>
      <c r="Z89" s="2931"/>
      <c r="AA89" s="2931"/>
      <c r="AB89" s="2931"/>
      <c r="AC89" s="2778" t="str">
        <f>IF(AND(AD89="",AB86&lt;&gt;"",ISNUMBER(SEARCH($CK$85,AB86))),"SKILL  =","")</f>
        <v/>
      </c>
      <c r="AD89" s="4607"/>
      <c r="AE89" s="4607"/>
      <c r="AF89" s="4607"/>
      <c r="AG89" s="2931"/>
      <c r="AH89" s="2815">
        <f>IF(ISNUMBER(SEARCH($CK$85,AB86)),IF(AD89="",0,1),1)</f>
        <v>1</v>
      </c>
      <c r="AI89" s="2931"/>
      <c r="AJ89" s="2931"/>
      <c r="AK89" s="2931"/>
      <c r="AL89" s="2778" t="str">
        <f>IF(AND(AM89="",AK86&lt;&gt;"",ISNUMBER(SEARCH($CK$85,AK86))),"SKILL  =","")</f>
        <v/>
      </c>
      <c r="AM89" s="4607"/>
      <c r="AN89" s="4607"/>
      <c r="AO89" s="4607"/>
      <c r="AP89" s="2931"/>
      <c r="AQ89" s="2815">
        <f>IF(ISNUMBER(SEARCH($CK$85,AK86)),IF(AM89="",0,1),1)</f>
        <v>1</v>
      </c>
      <c r="AR89" s="2931"/>
      <c r="AS89" s="2931"/>
      <c r="AT89" s="2931"/>
      <c r="AU89" s="2778" t="str">
        <f>IF(AND(AV89="",AT86&lt;&gt;"",ISNUMBER(SEARCH($CK$85,AT86))),"SKILL  =","")</f>
        <v/>
      </c>
      <c r="AV89" s="4607"/>
      <c r="AW89" s="4607"/>
      <c r="AX89" s="4607"/>
      <c r="AY89" s="2931"/>
      <c r="AZ89" s="2815">
        <f>IF(ISNUMBER(SEARCH($CK$85,AT86)),IF(AV89="",0,1),1)</f>
        <v>1</v>
      </c>
      <c r="BA89" s="2931"/>
      <c r="BB89" s="2931"/>
      <c r="BC89" s="2931"/>
      <c r="BD89" s="2778" t="str">
        <f>IF(AND(BE89="",BC86&lt;&gt;"",ISNUMBER(SEARCH($CK$85,BC86))),"SKILL  =","")</f>
        <v/>
      </c>
      <c r="BE89" s="4607"/>
      <c r="BF89" s="4607"/>
      <c r="BG89" s="4607"/>
      <c r="BH89" s="2931"/>
      <c r="BI89" s="2815">
        <f>IF(ISNUMBER(SEARCH($CK$85,BC86)),IF(BE89="",0,1),1)</f>
        <v>1</v>
      </c>
      <c r="BJ89" s="2931"/>
      <c r="BK89" s="2931"/>
      <c r="BL89" s="2931"/>
      <c r="BM89" s="2778" t="str">
        <f>IF(AND(BN89="",BL86&lt;&gt;"",ISNUMBER(SEARCH($CK$85,BL86))),"SKILL  =","")</f>
        <v/>
      </c>
      <c r="BN89" s="4607"/>
      <c r="BO89" s="4607"/>
      <c r="BP89" s="4607"/>
      <c r="BQ89" s="2931"/>
      <c r="BR89" s="2815">
        <f>IF(ISNUMBER(SEARCH($CK$85,BL86)),IF(BN89="",0,1),1)</f>
        <v>1</v>
      </c>
      <c r="BS89" s="1397"/>
      <c r="BT89" s="1397"/>
      <c r="BU89" s="1397"/>
      <c r="BV89" s="1397"/>
      <c r="BW89" s="1406"/>
      <c r="CP89" s="297">
        <v>8</v>
      </c>
      <c r="CR89" s="2434" t="str">
        <f>ACTIONS!C51</f>
        <v>MND8</v>
      </c>
      <c r="DA89" s="2780" t="str">
        <f>ACTIONS!C51</f>
        <v>MND8</v>
      </c>
      <c r="DB89" s="2780" t="s">
        <v>1332</v>
      </c>
    </row>
    <row r="90" spans="5:106" ht="17.100000000000001" customHeight="1" x14ac:dyDescent="0.2">
      <c r="E90" s="1405"/>
      <c r="F90" s="1397"/>
      <c r="G90" s="1397"/>
      <c r="H90" s="2929"/>
      <c r="I90" s="1397"/>
      <c r="J90" s="1695"/>
      <c r="K90" s="1695"/>
      <c r="L90" s="1695"/>
      <c r="M90" s="1695"/>
      <c r="N90" s="1695"/>
      <c r="O90" s="1695"/>
      <c r="P90" s="2815">
        <f>IF(OR(ISNUMBER(SEARCH($CK$82,J86)),ISNUMBER(SEARCH($CK$83,J86)),ISNUMBER(SEARCH($CK$84,J86)),ISNUMBER(SEARCH($CK$85,J86))),1,0)</f>
        <v>0</v>
      </c>
      <c r="Q90" s="1695"/>
      <c r="R90" s="1695"/>
      <c r="S90" s="1695"/>
      <c r="T90" s="1695"/>
      <c r="U90" s="1695"/>
      <c r="V90" s="1695"/>
      <c r="W90" s="1695"/>
      <c r="X90" s="1695"/>
      <c r="Y90" s="2815">
        <f>IF(OR(ISNUMBER(SEARCH($CK$82,S86)),ISNUMBER(SEARCH($CK$83,S86)),ISNUMBER(SEARCH($CK$84,S86)),ISNUMBER(SEARCH($CK$85,S86))),1,0)</f>
        <v>0</v>
      </c>
      <c r="Z90" s="1695"/>
      <c r="AA90" s="1695"/>
      <c r="AB90" s="1695"/>
      <c r="AC90" s="1695"/>
      <c r="AD90" s="1695"/>
      <c r="AE90" s="1695"/>
      <c r="AF90" s="1695"/>
      <c r="AG90" s="1695"/>
      <c r="AH90" s="2815">
        <f>IF(OR(ISNUMBER(SEARCH($CK$82,AB86)),ISNUMBER(SEARCH($CK$83,AB86)),ISNUMBER(SEARCH($CK$84,AB86)),ISNUMBER(SEARCH($CK$85,AB86))),1,0)</f>
        <v>0</v>
      </c>
      <c r="AI90" s="1695"/>
      <c r="AJ90" s="1695"/>
      <c r="AK90" s="1695"/>
      <c r="AL90" s="1695"/>
      <c r="AM90" s="1695"/>
      <c r="AN90" s="1695"/>
      <c r="AO90" s="1695"/>
      <c r="AP90" s="1695"/>
      <c r="AQ90" s="2815">
        <f>IF(OR(ISNUMBER(SEARCH($CK$82,AK86)),ISNUMBER(SEARCH($CK$83,AK86)),ISNUMBER(SEARCH($CK$84,AK86)),ISNUMBER(SEARCH($CK$85,AK86))),1,0)</f>
        <v>0</v>
      </c>
      <c r="AR90" s="1695"/>
      <c r="AS90" s="1695"/>
      <c r="AT90" s="1695"/>
      <c r="AU90" s="1695"/>
      <c r="AV90" s="1695"/>
      <c r="AW90" s="1695"/>
      <c r="AX90" s="1695"/>
      <c r="AY90" s="1695"/>
      <c r="AZ90" s="2815">
        <f>IF(OR(ISNUMBER(SEARCH($CK$82,AT86)),ISNUMBER(SEARCH($CK$83,AT86)),ISNUMBER(SEARCH($CK$84,AT86)),ISNUMBER(SEARCH($CK$85,AT86))),1,0)</f>
        <v>0</v>
      </c>
      <c r="BA90" s="1695"/>
      <c r="BB90" s="1695"/>
      <c r="BC90" s="1695"/>
      <c r="BD90" s="1695"/>
      <c r="BE90" s="1695"/>
      <c r="BF90" s="1695"/>
      <c r="BG90" s="1695"/>
      <c r="BH90" s="1695"/>
      <c r="BI90" s="2815">
        <f>IF(OR(ISNUMBER(SEARCH($CK$82,BC86)),ISNUMBER(SEARCH($CK$83,BC86)),ISNUMBER(SEARCH($CK$84,BC86)),ISNUMBER(SEARCH($CK$85,BC86))),1,0)</f>
        <v>0</v>
      </c>
      <c r="BJ90" s="1695"/>
      <c r="BK90" s="1695"/>
      <c r="BL90" s="1695"/>
      <c r="BM90" s="1695"/>
      <c r="BN90" s="1695"/>
      <c r="BO90" s="1695"/>
      <c r="BP90" s="1695"/>
      <c r="BQ90" s="1695"/>
      <c r="BR90" s="2815">
        <f>IF(OR(ISNUMBER(SEARCH($CK$82,BL86)),ISNUMBER(SEARCH($CK$83,BL86)),ISNUMBER(SEARCH($CK$84,BL86)),ISNUMBER(SEARCH($CK$85,BL86))),1,0)</f>
        <v>0</v>
      </c>
      <c r="BS90" s="1397"/>
      <c r="BT90" s="1397"/>
      <c r="BU90" s="1397"/>
      <c r="BV90" s="1397"/>
      <c r="BW90" s="1406"/>
      <c r="CC90" s="2774" t="s">
        <v>442</v>
      </c>
      <c r="CD90" s="2775"/>
      <c r="CE90" s="2775"/>
      <c r="CF90" s="2775"/>
      <c r="CG90" s="2775"/>
      <c r="CH90" s="2775"/>
      <c r="CI90" s="2775"/>
      <c r="CJ90" s="2775"/>
      <c r="CK90" s="2774" t="s">
        <v>444</v>
      </c>
      <c r="CP90" s="297">
        <v>9</v>
      </c>
      <c r="CR90" s="2434" t="str">
        <f>ACTIONS!C52</f>
        <v>MND9</v>
      </c>
      <c r="DA90" s="2780" t="str">
        <f>ACTIONS!C52</f>
        <v>MND9</v>
      </c>
      <c r="DB90" s="2780" t="s">
        <v>1332</v>
      </c>
    </row>
    <row r="91" spans="5:106" ht="17.100000000000001" customHeight="1" x14ac:dyDescent="0.2">
      <c r="E91" s="1421"/>
      <c r="F91" s="1397"/>
      <c r="G91" s="1397"/>
      <c r="H91" s="1397"/>
      <c r="I91" s="1397"/>
      <c r="J91" s="1397"/>
      <c r="K91" s="1420"/>
      <c r="L91" s="2801">
        <f>IF(ISNUMBER(SEARCH( "XP", J86 )), 1,0)</f>
        <v>0</v>
      </c>
      <c r="M91" s="2802">
        <f>_xlfn.IFS(ISNUMBER(SEARCH(data!$JP$23,J86)),3, ISNUMBER(SEARCH(data!$JP$24,J86)),2, ISNUMBER(SEARCH(data!$JP$25,J86)),1, ISNUMBER(SEARCH(data!$JP$26,J86)), 0.5,TRUE,0)</f>
        <v>0</v>
      </c>
      <c r="N91" s="1420"/>
      <c r="O91" s="1420"/>
      <c r="P91" s="1397"/>
      <c r="Q91" s="1397"/>
      <c r="R91" s="1397"/>
      <c r="S91" s="1397"/>
      <c r="T91" s="1397"/>
      <c r="U91" s="2801">
        <f>IF(ISNUMBER(SEARCH( "XP", S86 )), 1,0)</f>
        <v>0</v>
      </c>
      <c r="V91" s="2802">
        <f>_xlfn.IFS(ISNUMBER(SEARCH(data!$JP$23,S86)),3, ISNUMBER(SEARCH(data!$JP$24,S86)),2, ISNUMBER(SEARCH(data!$JP$25,S86)),1, ISNUMBER(SEARCH(data!$JP$26,S86)), 0.5,TRUE,0)</f>
        <v>0</v>
      </c>
      <c r="W91" s="1397"/>
      <c r="X91" s="1397"/>
      <c r="Y91" s="1397"/>
      <c r="Z91" s="1397"/>
      <c r="AA91" s="1397"/>
      <c r="AB91" s="1397"/>
      <c r="AC91" s="1397"/>
      <c r="AD91" s="2801">
        <f>IF(ISNUMBER(SEARCH( "XP", AB86 )), 1,0)</f>
        <v>0</v>
      </c>
      <c r="AE91" s="2802">
        <f>_xlfn.IFS(ISNUMBER(SEARCH(data!$JP$23,AB86)),3, ISNUMBER(SEARCH(data!$JP$24,AB86)),2, ISNUMBER(SEARCH(data!$JP$25,AB86)),1, ISNUMBER(SEARCH(data!$JP$26,AB86)), 0.5,TRUE,0)</f>
        <v>0</v>
      </c>
      <c r="AF91" s="1397"/>
      <c r="AG91" s="1397"/>
      <c r="AH91" s="1397"/>
      <c r="AI91" s="1397"/>
      <c r="AJ91" s="1397"/>
      <c r="AK91" s="1397"/>
      <c r="AL91" s="1397"/>
      <c r="AM91" s="2801">
        <f>IF(ISNUMBER(SEARCH( "XP", AK86 )), 1,0)</f>
        <v>0</v>
      </c>
      <c r="AN91" s="2802">
        <f>_xlfn.IFS(ISNUMBER(SEARCH(data!$JP$23,AK86)),3, ISNUMBER(SEARCH(data!$JP$24,AK86)),2, ISNUMBER(SEARCH(data!$JP$25,AK86)),1, ISNUMBER(SEARCH(data!$JP$26,AK86)), 0.5,TRUE,0)</f>
        <v>0</v>
      </c>
      <c r="AO91" s="1397"/>
      <c r="AP91" s="1397"/>
      <c r="AQ91" s="1397"/>
      <c r="AR91" s="1397"/>
      <c r="AS91" s="1397"/>
      <c r="AT91" s="1397"/>
      <c r="AU91" s="1397"/>
      <c r="AV91" s="2801">
        <f>IF(ISNUMBER(SEARCH( "XP", AT86 )), 1,0)</f>
        <v>0</v>
      </c>
      <c r="AW91" s="2802">
        <f>_xlfn.IFS(ISNUMBER(SEARCH(data!$JP$23,AT86)),3, ISNUMBER(SEARCH(data!$JP$24,AT86)),2, ISNUMBER(SEARCH(data!$JP$25,AT86)),1, ISNUMBER(SEARCH(data!$JP$26,AT86)), 0.5,TRUE,0)</f>
        <v>0</v>
      </c>
      <c r="AX91" s="1397"/>
      <c r="AY91" s="1397"/>
      <c r="AZ91" s="1397"/>
      <c r="BA91" s="1397"/>
      <c r="BB91" s="1397"/>
      <c r="BC91" s="1397"/>
      <c r="BD91" s="1397"/>
      <c r="BE91" s="2801">
        <f>IF(ISNUMBER(SEARCH( "XP", BC86 )), 1,0)</f>
        <v>0</v>
      </c>
      <c r="BF91" s="2802">
        <f>_xlfn.IFS(ISNUMBER(SEARCH(data!$JP$23,BC86)),3, ISNUMBER(SEARCH(data!$JP$24,BC86)),2, ISNUMBER(SEARCH(data!$JP$25,BC86)),1, ISNUMBER(SEARCH(data!$JP$26,BC86)), 0.5,TRUE,0)</f>
        <v>0</v>
      </c>
      <c r="BG91" s="1397"/>
      <c r="BH91" s="1397"/>
      <c r="BI91" s="1397"/>
      <c r="BJ91" s="1397"/>
      <c r="BK91" s="1397"/>
      <c r="BL91" s="1397"/>
      <c r="BM91" s="1397"/>
      <c r="BN91" s="2801">
        <f>IF(ISNUMBER(SEARCH( "XP", BL86 )), 1,0)</f>
        <v>0</v>
      </c>
      <c r="BO91" s="2802">
        <f>_xlfn.IFS(ISNUMBER(SEARCH(data!$JP$23,BL86)),3, ISNUMBER(SEARCH(data!$JP$24,BL86)),2, ISNUMBER(SEARCH(data!$JP$25,BL86)),1, ISNUMBER(SEARCH(data!$JP$26,BL86)), 0.5,TRUE,0)</f>
        <v>0</v>
      </c>
      <c r="BP91" s="1397"/>
      <c r="BQ91" s="1397"/>
      <c r="BR91" s="1397"/>
      <c r="BS91" s="1397"/>
      <c r="BT91" s="1397"/>
      <c r="BU91" s="1397"/>
      <c r="BV91" s="1397"/>
      <c r="BW91" s="1406"/>
      <c r="CC91" s="2776">
        <f>SUM(L91,U91,AD91,AM91,AV91,BE91,BN91)</f>
        <v>0</v>
      </c>
      <c r="CD91" s="2775"/>
      <c r="CE91" s="2775"/>
      <c r="CF91" s="2775"/>
      <c r="CG91" s="2775"/>
      <c r="CH91" s="2775"/>
      <c r="CI91" s="2775"/>
      <c r="CJ91" s="2775"/>
      <c r="CK91" s="2777">
        <f>SUM($M$91,$V$91,$AE$91,$AN$91,$AW$91,$BF$91,$BO$91)</f>
        <v>0</v>
      </c>
      <c r="CP91" s="297">
        <v>10</v>
      </c>
      <c r="CR91" s="2434" t="str">
        <f>ACTIONS!BQ44</f>
        <v>BDY1</v>
      </c>
      <c r="DA91" s="2780" t="str">
        <f>ACTIONS!BQ44</f>
        <v>BDY1</v>
      </c>
      <c r="DB91" s="2780" t="s">
        <v>1341</v>
      </c>
    </row>
    <row r="92" spans="5:106" ht="17.100000000000001" customHeight="1" thickBot="1" x14ac:dyDescent="0.25">
      <c r="E92" s="1407"/>
      <c r="F92" s="1408"/>
      <c r="G92" s="1408"/>
      <c r="H92" s="1408"/>
      <c r="I92" s="1408"/>
      <c r="J92" s="1408"/>
      <c r="K92" s="1408"/>
      <c r="L92" s="1408"/>
      <c r="M92" s="1408"/>
      <c r="N92" s="1408"/>
      <c r="O92" s="1408"/>
      <c r="P92" s="1408"/>
      <c r="Q92" s="1408"/>
      <c r="R92" s="1408"/>
      <c r="S92" s="1408"/>
      <c r="T92" s="1408"/>
      <c r="U92" s="1408"/>
      <c r="V92" s="1408"/>
      <c r="W92" s="1408"/>
      <c r="X92" s="1408"/>
      <c r="Y92" s="1408"/>
      <c r="Z92" s="1408"/>
      <c r="AA92" s="1408"/>
      <c r="AB92" s="1408"/>
      <c r="AC92" s="1408"/>
      <c r="AD92" s="1408"/>
      <c r="AE92" s="1408"/>
      <c r="AF92" s="1408"/>
      <c r="AG92" s="1408"/>
      <c r="AH92" s="1408"/>
      <c r="AI92" s="1408"/>
      <c r="AJ92" s="1408"/>
      <c r="AK92" s="1408"/>
      <c r="AL92" s="1408"/>
      <c r="AM92" s="1408"/>
      <c r="AN92" s="1408"/>
      <c r="AO92" s="1408"/>
      <c r="AP92" s="1408"/>
      <c r="AQ92" s="1408"/>
      <c r="AR92" s="1408"/>
      <c r="AS92" s="1408"/>
      <c r="AT92" s="1408"/>
      <c r="AU92" s="1408"/>
      <c r="AV92" s="1408"/>
      <c r="AW92" s="1408"/>
      <c r="AX92" s="1408"/>
      <c r="AY92" s="1408"/>
      <c r="AZ92" s="1408"/>
      <c r="BA92" s="1408"/>
      <c r="BB92" s="1408"/>
      <c r="BC92" s="1408"/>
      <c r="BD92" s="1408"/>
      <c r="BE92" s="1408"/>
      <c r="BF92" s="1408"/>
      <c r="BG92" s="1408"/>
      <c r="BH92" s="1408"/>
      <c r="BI92" s="1408"/>
      <c r="BJ92" s="1408"/>
      <c r="BK92" s="1408"/>
      <c r="BL92" s="1408"/>
      <c r="BM92" s="1408"/>
      <c r="BN92" s="1408"/>
      <c r="BO92" s="1408"/>
      <c r="BP92" s="1408"/>
      <c r="BQ92" s="1408"/>
      <c r="BR92" s="1408"/>
      <c r="BS92" s="1408"/>
      <c r="BT92" s="1408"/>
      <c r="BU92" s="1408"/>
      <c r="BV92" s="1408"/>
      <c r="BW92" s="1409"/>
      <c r="CP92" s="297">
        <v>11</v>
      </c>
      <c r="CR92" s="2434" t="str">
        <f>ACTIONS!BQ45</f>
        <v>BDY2</v>
      </c>
      <c r="DA92" s="2780" t="str">
        <f>ACTIONS!BQ45</f>
        <v>BDY2</v>
      </c>
      <c r="DB92" s="2780" t="s">
        <v>1341</v>
      </c>
    </row>
    <row r="93" spans="5:106" ht="17.100000000000001" customHeight="1" thickTop="1" x14ac:dyDescent="0.15">
      <c r="CP93" s="297">
        <v>12</v>
      </c>
      <c r="CR93" s="2434" t="str">
        <f>ACTIONS!BQ46</f>
        <v>BDY3</v>
      </c>
      <c r="DA93" s="2780" t="str">
        <f>ACTIONS!BQ46</f>
        <v>BDY3</v>
      </c>
      <c r="DB93" s="2780" t="s">
        <v>1341</v>
      </c>
    </row>
    <row r="94" spans="5:106" ht="17.100000000000001" customHeight="1" x14ac:dyDescent="0.2">
      <c r="E94" s="33"/>
      <c r="H94" s="33"/>
      <c r="J94" s="33"/>
      <c r="L94" s="34"/>
      <c r="M94" s="34"/>
      <c r="AN94" s="34" t="s">
        <v>9</v>
      </c>
      <c r="AO94" s="34"/>
      <c r="CC94" s="2768"/>
      <c r="CD94" s="2768"/>
      <c r="CE94" s="2768"/>
      <c r="CF94" s="2768"/>
      <c r="CG94" s="2768"/>
      <c r="CH94" s="2768"/>
      <c r="CI94" s="2768"/>
      <c r="CJ94" s="2768"/>
      <c r="CK94" s="2768"/>
      <c r="CL94" s="2768"/>
      <c r="CM94" s="2768"/>
      <c r="CN94" s="2768"/>
      <c r="CO94" s="2768"/>
      <c r="CP94" s="297">
        <v>13</v>
      </c>
      <c r="CQ94" s="2768"/>
      <c r="CR94" s="2434" t="str">
        <f>ACTIONS!BQ47</f>
        <v>BDY4</v>
      </c>
      <c r="CS94" s="2768"/>
      <c r="CT94" s="2768"/>
      <c r="DA94" s="2780" t="str">
        <f>ACTIONS!BQ47</f>
        <v>BDY4</v>
      </c>
      <c r="DB94" s="2780" t="s">
        <v>1341</v>
      </c>
    </row>
    <row r="95" spans="5:106" ht="17.100000000000001" customHeight="1" thickBot="1" x14ac:dyDescent="0.25">
      <c r="E95" s="33"/>
      <c r="H95" s="33"/>
      <c r="J95" s="33"/>
      <c r="L95" s="34"/>
      <c r="M95" s="34"/>
      <c r="AN95" s="34" t="s">
        <v>9</v>
      </c>
      <c r="AO95" s="34"/>
      <c r="CC95" s="2768"/>
      <c r="CD95" s="2768"/>
      <c r="CE95" s="2768"/>
      <c r="CF95" s="2768"/>
      <c r="CG95" s="2768"/>
      <c r="CH95" s="2768"/>
      <c r="CI95" s="2768"/>
      <c r="CJ95" s="2768"/>
      <c r="CK95" s="2768"/>
      <c r="CL95" s="2768"/>
      <c r="CM95" s="2768"/>
      <c r="CN95" s="2768"/>
      <c r="CO95" s="2768"/>
      <c r="CP95" s="297">
        <v>14</v>
      </c>
      <c r="CQ95" s="2768"/>
      <c r="CR95" s="2434" t="str">
        <f>ACTIONS!BQ48</f>
        <v>BDY5</v>
      </c>
      <c r="CS95" s="2768"/>
      <c r="CT95" s="2768"/>
      <c r="DA95" s="2780" t="str">
        <f>ACTIONS!BQ48</f>
        <v>BDY5</v>
      </c>
      <c r="DB95" s="2780" t="s">
        <v>1341</v>
      </c>
    </row>
    <row r="96" spans="5:106" ht="17.100000000000001" customHeight="1" thickTop="1" x14ac:dyDescent="0.2">
      <c r="E96" s="3032"/>
      <c r="F96" s="3033"/>
      <c r="G96" s="3033"/>
      <c r="H96" s="3033"/>
      <c r="I96" s="3033"/>
      <c r="J96" s="3033"/>
      <c r="K96" s="3033"/>
      <c r="L96" s="3033"/>
      <c r="M96" s="3033"/>
      <c r="N96" s="3033"/>
      <c r="O96" s="3033"/>
      <c r="P96" s="3033"/>
      <c r="Q96" s="3033"/>
      <c r="R96" s="3033"/>
      <c r="S96" s="3033"/>
      <c r="T96" s="3033"/>
      <c r="U96" s="3033"/>
      <c r="V96" s="3033"/>
      <c r="W96" s="3033"/>
      <c r="X96" s="3033"/>
      <c r="Y96" s="3033"/>
      <c r="Z96" s="3033"/>
      <c r="AA96" s="3033"/>
      <c r="AB96" s="3033"/>
      <c r="AC96" s="3033"/>
      <c r="AD96" s="3033"/>
      <c r="AE96" s="3033"/>
      <c r="AF96" s="3033"/>
      <c r="AG96" s="3033"/>
      <c r="AH96" s="3033"/>
      <c r="AI96" s="3033"/>
      <c r="AJ96" s="3033"/>
      <c r="AK96" s="3033"/>
      <c r="AL96" s="3033"/>
      <c r="AM96" s="3033"/>
      <c r="AN96" s="3033"/>
      <c r="AO96" s="3033"/>
      <c r="AP96" s="3033"/>
      <c r="AQ96" s="3033"/>
      <c r="AR96" s="3033"/>
      <c r="AS96" s="3033"/>
      <c r="AT96" s="3033"/>
      <c r="AU96" s="3033"/>
      <c r="AV96" s="3033"/>
      <c r="AW96" s="3033"/>
      <c r="AX96" s="3033"/>
      <c r="AY96" s="3033"/>
      <c r="AZ96" s="3033"/>
      <c r="BA96" s="3033"/>
      <c r="BB96" s="3033"/>
      <c r="BC96" s="3033"/>
      <c r="BD96" s="3033"/>
      <c r="BE96" s="3033"/>
      <c r="BF96" s="3033"/>
      <c r="BG96" s="3033"/>
      <c r="BH96" s="3033"/>
      <c r="BI96" s="3033"/>
      <c r="BJ96" s="3033"/>
      <c r="BK96" s="3033"/>
      <c r="BL96" s="3033"/>
      <c r="BM96" s="3033"/>
      <c r="BN96" s="3033"/>
      <c r="BO96" s="3033"/>
      <c r="BP96" s="3033"/>
      <c r="BQ96" s="3033"/>
      <c r="BR96" s="3033"/>
      <c r="BS96" s="3033"/>
      <c r="BT96" s="3033"/>
      <c r="BU96" s="3033"/>
      <c r="BV96" s="3033"/>
      <c r="BW96" s="3034"/>
      <c r="CC96" s="2768"/>
      <c r="CD96" s="2768"/>
      <c r="CE96" s="2768"/>
      <c r="CF96" s="2768"/>
      <c r="CG96" s="2768"/>
      <c r="CH96" s="2768"/>
      <c r="CI96" s="2768"/>
      <c r="CJ96" s="2768"/>
      <c r="CK96" s="2768"/>
      <c r="CL96" s="2768"/>
      <c r="CM96" s="2768"/>
      <c r="CN96" s="2768"/>
      <c r="CO96" s="2768"/>
      <c r="CP96" s="297">
        <v>15</v>
      </c>
      <c r="CQ96" s="2768"/>
      <c r="CR96" s="2434" t="str">
        <f>ACTIONS!BQ49</f>
        <v>BDY6</v>
      </c>
      <c r="CS96" s="2768"/>
      <c r="CT96" s="2768"/>
      <c r="DA96" s="2780" t="str">
        <f>ACTIONS!BQ49</f>
        <v>BDY6</v>
      </c>
      <c r="DB96" s="2780" t="s">
        <v>1341</v>
      </c>
    </row>
    <row r="97" spans="5:106" ht="17.100000000000001" customHeight="1" x14ac:dyDescent="0.2">
      <c r="E97" s="3035"/>
      <c r="BW97" s="3036"/>
      <c r="CC97" s="2768"/>
      <c r="CD97" s="2768"/>
      <c r="CE97" s="2768"/>
      <c r="CF97" s="2768"/>
      <c r="CG97" s="2768"/>
      <c r="CH97" s="2768"/>
      <c r="CI97" s="2768"/>
      <c r="CJ97" s="2768"/>
      <c r="CK97" s="2768"/>
      <c r="CL97" s="2768"/>
      <c r="CM97" s="2768"/>
      <c r="CN97" s="2768"/>
      <c r="CO97" s="2768"/>
      <c r="CP97" s="297">
        <v>16</v>
      </c>
      <c r="CQ97" s="2768"/>
      <c r="CR97" s="2434" t="str">
        <f>ACTIONS!BQ50</f>
        <v>BDY7</v>
      </c>
      <c r="CS97" s="2768"/>
      <c r="CT97" s="2768"/>
      <c r="DA97" s="2780" t="str">
        <f>ACTIONS!BQ50</f>
        <v>BDY7</v>
      </c>
      <c r="DB97" s="2780" t="s">
        <v>1341</v>
      </c>
    </row>
    <row r="98" spans="5:106" ht="17.100000000000001" customHeight="1" x14ac:dyDescent="0.2">
      <c r="E98" s="3035"/>
      <c r="AG98" s="4405" t="s">
        <v>1876</v>
      </c>
      <c r="AH98" s="4405"/>
      <c r="AI98" s="4405"/>
      <c r="AJ98" s="4405"/>
      <c r="AK98" s="4405"/>
      <c r="AL98" s="4405"/>
      <c r="AM98" s="4405"/>
      <c r="AN98" s="4405"/>
      <c r="AO98" s="4405"/>
      <c r="AP98" s="4405"/>
      <c r="AQ98" s="4405"/>
      <c r="AR98" s="4405"/>
      <c r="AS98" s="4405"/>
      <c r="AT98" s="4405"/>
      <c r="AU98" s="4405"/>
      <c r="BW98" s="3036"/>
      <c r="CC98" s="2768"/>
      <c r="CD98" s="2768"/>
      <c r="CE98" s="2768"/>
      <c r="CF98" s="2768"/>
      <c r="CG98" s="2768"/>
      <c r="CH98" s="2768"/>
      <c r="CI98" s="2768"/>
      <c r="CJ98" s="2768"/>
      <c r="CK98" s="2768"/>
      <c r="CL98" s="2768"/>
      <c r="CM98" s="2768"/>
      <c r="CN98" s="2768"/>
      <c r="CO98" s="2768"/>
      <c r="CP98" s="297">
        <v>17</v>
      </c>
      <c r="CQ98" s="2768"/>
      <c r="CR98" s="2434" t="str">
        <f>ACTIONS!BQ51</f>
        <v>BDY8</v>
      </c>
      <c r="CS98" s="2768"/>
      <c r="CT98" s="2768"/>
      <c r="DA98" s="2780" t="str">
        <f>ACTIONS!BQ51</f>
        <v>BDY8</v>
      </c>
      <c r="DB98" s="2780" t="s">
        <v>1341</v>
      </c>
    </row>
    <row r="99" spans="5:106" ht="17.100000000000001" customHeight="1" x14ac:dyDescent="0.2">
      <c r="E99" s="3035"/>
      <c r="BW99" s="3036"/>
      <c r="CC99" s="2768"/>
      <c r="CD99" s="2768"/>
      <c r="CE99" s="2768"/>
      <c r="CF99" s="2768"/>
      <c r="CG99" s="2768"/>
      <c r="CH99" s="2768"/>
      <c r="CI99" s="2768"/>
      <c r="CJ99" s="2768"/>
      <c r="CK99" s="2768"/>
      <c r="CL99" s="2768"/>
      <c r="CM99" s="2768"/>
      <c r="CN99" s="2768"/>
      <c r="CO99" s="2768"/>
      <c r="CP99" s="297">
        <v>18</v>
      </c>
      <c r="CQ99" s="2768"/>
      <c r="CR99" s="2434" t="str">
        <f>ACTIONS!BQ52</f>
        <v>BDY9</v>
      </c>
      <c r="CS99" s="2768"/>
      <c r="CT99" s="2768"/>
      <c r="DA99" s="2780" t="str">
        <f>ACTIONS!BQ52</f>
        <v>BDY9</v>
      </c>
      <c r="DB99" s="2780" t="s">
        <v>1341</v>
      </c>
    </row>
    <row r="100" spans="5:106" ht="17.100000000000001" customHeight="1" x14ac:dyDescent="0.2">
      <c r="E100" s="3035"/>
      <c r="BW100" s="3036"/>
      <c r="CC100" s="2768"/>
      <c r="CD100" s="2768"/>
      <c r="CE100" s="2768"/>
      <c r="CF100" s="2768"/>
      <c r="CG100" s="2768"/>
      <c r="CH100" s="2768"/>
      <c r="CI100" s="2768"/>
      <c r="CJ100" s="2768"/>
      <c r="CK100" s="2768"/>
      <c r="CL100" s="2768"/>
      <c r="CM100" s="2768"/>
      <c r="CN100" s="2768"/>
      <c r="CO100" s="2768"/>
      <c r="CP100" s="297">
        <v>19</v>
      </c>
      <c r="CQ100" s="2768"/>
      <c r="CR100" s="2768"/>
      <c r="CS100" s="2768"/>
      <c r="CT100" s="2768"/>
    </row>
    <row r="101" spans="5:106" ht="17.100000000000001" customHeight="1" x14ac:dyDescent="0.2">
      <c r="E101" s="3035"/>
      <c r="F101" s="3021"/>
      <c r="X101" s="28"/>
      <c r="Y101" s="3021"/>
      <c r="Z101" s="28"/>
      <c r="AA101" s="28"/>
      <c r="AB101" s="28"/>
      <c r="AC101" s="28"/>
      <c r="AD101" s="28"/>
      <c r="AE101" s="28"/>
      <c r="AF101" s="28"/>
      <c r="AG101" s="28"/>
      <c r="AM101" s="3025"/>
      <c r="AN101" s="3026" t="s">
        <v>1877</v>
      </c>
      <c r="AO101" s="3025"/>
      <c r="AP101" s="3025"/>
      <c r="AQ101" s="3025"/>
      <c r="AR101" s="3025"/>
      <c r="AS101" s="3025"/>
      <c r="AT101" s="3025"/>
      <c r="AU101" s="3025"/>
      <c r="AV101" s="3025"/>
      <c r="AW101" s="3025"/>
      <c r="AX101" s="3025"/>
      <c r="BC101" s="3021"/>
      <c r="BV101" s="3021"/>
      <c r="BW101" s="3036"/>
      <c r="CC101" s="2768"/>
      <c r="CD101" s="2768"/>
      <c r="CE101" s="2768"/>
      <c r="CF101" s="2768"/>
      <c r="CG101" s="2768"/>
      <c r="CH101" s="2768"/>
      <c r="CI101" s="2768"/>
      <c r="CJ101" s="2768"/>
      <c r="CK101" s="2768"/>
      <c r="CL101" s="2768"/>
      <c r="CM101" s="2768"/>
      <c r="CN101" s="2768"/>
      <c r="CO101" s="2768"/>
      <c r="CP101" s="297">
        <v>20</v>
      </c>
      <c r="CQ101" s="2768"/>
      <c r="CR101" s="2768"/>
      <c r="CS101" s="2768"/>
      <c r="CT101" s="2768"/>
    </row>
    <row r="102" spans="5:106" ht="17.100000000000001" customHeight="1" x14ac:dyDescent="0.2">
      <c r="E102" s="3035"/>
      <c r="F102" s="820"/>
      <c r="G102" s="820"/>
      <c r="H102" s="820"/>
      <c r="I102" s="820"/>
      <c r="J102" s="820"/>
      <c r="K102" s="820"/>
      <c r="L102" s="820"/>
      <c r="M102" s="820"/>
      <c r="N102" s="820"/>
      <c r="O102" s="820"/>
      <c r="P102" s="820"/>
      <c r="Q102" s="820"/>
      <c r="R102" s="820"/>
      <c r="S102" s="820"/>
      <c r="X102" s="28"/>
      <c r="Y102" s="820"/>
      <c r="Z102" s="28"/>
      <c r="AA102" s="28"/>
      <c r="AB102" s="28"/>
      <c r="AC102" s="28"/>
      <c r="AD102" s="28"/>
      <c r="AE102" s="28"/>
      <c r="AF102" s="28"/>
      <c r="AG102" s="28"/>
      <c r="AN102" s="3027" t="s">
        <v>1878</v>
      </c>
      <c r="BW102" s="3036"/>
      <c r="CC102" s="2768"/>
      <c r="CD102" s="2768"/>
      <c r="CE102" s="2768"/>
      <c r="CF102" s="2768"/>
      <c r="CG102" s="2768"/>
      <c r="CH102" s="2768"/>
      <c r="CI102" s="2768"/>
      <c r="CJ102" s="2768"/>
      <c r="CK102" s="2768"/>
      <c r="CL102" s="2768"/>
      <c r="CM102" s="2768"/>
      <c r="CN102" s="2768"/>
      <c r="CO102" s="2768"/>
      <c r="CP102" s="297">
        <v>21</v>
      </c>
      <c r="CQ102" s="2768"/>
      <c r="CR102" s="2768"/>
      <c r="CS102" s="2768"/>
      <c r="CT102" s="2768"/>
    </row>
    <row r="103" spans="5:106" ht="17.100000000000001" customHeight="1" x14ac:dyDescent="0.2">
      <c r="E103" s="3035"/>
      <c r="BW103" s="3036"/>
      <c r="CC103" s="2768"/>
      <c r="CD103" s="2768"/>
      <c r="CE103" s="2768"/>
      <c r="CF103" s="2768"/>
      <c r="CG103" s="2768"/>
      <c r="CH103" s="2768"/>
      <c r="CI103" s="2768"/>
      <c r="CJ103" s="2768"/>
      <c r="CK103" s="2768"/>
      <c r="CL103" s="2768"/>
      <c r="CM103" s="2768"/>
      <c r="CN103" s="2768"/>
      <c r="CO103" s="2768"/>
      <c r="CP103" s="297">
        <v>22</v>
      </c>
      <c r="CQ103" s="2768"/>
      <c r="CR103" s="2768"/>
      <c r="CS103" s="2768"/>
      <c r="CT103" s="2768"/>
    </row>
    <row r="104" spans="5:106" ht="17.100000000000001" customHeight="1" x14ac:dyDescent="0.25">
      <c r="E104" s="3035"/>
      <c r="H104" s="4600" t="s">
        <v>1809</v>
      </c>
      <c r="I104" s="4600"/>
      <c r="J104" s="4600"/>
      <c r="K104" s="4600"/>
      <c r="L104" s="4600"/>
      <c r="M104" s="4600"/>
      <c r="N104" s="4600"/>
      <c r="O104" s="4600"/>
      <c r="P104" s="4600"/>
      <c r="Q104" s="4600"/>
      <c r="R104" s="4600"/>
      <c r="S104" s="4600"/>
      <c r="U104" s="4600" t="s">
        <v>1810</v>
      </c>
      <c r="V104" s="4600"/>
      <c r="W104" s="4600"/>
      <c r="X104" s="4600"/>
      <c r="Y104" s="4600"/>
      <c r="Z104" s="4600"/>
      <c r="AA104" s="4600"/>
      <c r="AB104" s="4600"/>
      <c r="AC104" s="4600"/>
      <c r="AD104" s="4600"/>
      <c r="AE104" s="4600"/>
      <c r="AF104" s="4600"/>
      <c r="AG104" s="2458"/>
      <c r="AH104" s="4600" t="s">
        <v>1808</v>
      </c>
      <c r="AI104" s="4600"/>
      <c r="AJ104" s="4600"/>
      <c r="AK104" s="4600"/>
      <c r="AL104" s="4600"/>
      <c r="AM104" s="4600"/>
      <c r="AN104" s="4600"/>
      <c r="AO104" s="4600"/>
      <c r="AP104" s="4600"/>
      <c r="AQ104" s="4600"/>
      <c r="AR104" s="4600"/>
      <c r="AS104" s="4600"/>
      <c r="AT104" s="4600"/>
      <c r="AU104" s="3028"/>
      <c r="AV104" s="4600" t="s">
        <v>1857</v>
      </c>
      <c r="AW104" s="4600"/>
      <c r="AX104" s="4600"/>
      <c r="AY104" s="4600"/>
      <c r="AZ104" s="4600"/>
      <c r="BA104" s="4600"/>
      <c r="BB104" s="4600"/>
      <c r="BC104" s="4600"/>
      <c r="BD104" s="4600"/>
      <c r="BE104" s="4600"/>
      <c r="BF104" s="4600"/>
      <c r="BG104" s="4600"/>
      <c r="BI104" s="4600" t="s">
        <v>1811</v>
      </c>
      <c r="BJ104" s="4600"/>
      <c r="BK104" s="4600"/>
      <c r="BL104" s="4600"/>
      <c r="BM104" s="4600"/>
      <c r="BN104" s="4600"/>
      <c r="BO104" s="4600"/>
      <c r="BP104" s="4600"/>
      <c r="BQ104" s="4600"/>
      <c r="BR104" s="4600"/>
      <c r="BS104" s="4600"/>
      <c r="BT104" s="4600"/>
      <c r="BW104" s="3036"/>
      <c r="CC104" s="2768"/>
      <c r="CD104" s="2768"/>
      <c r="CE104" s="2768"/>
      <c r="CF104" s="2768"/>
      <c r="CG104" s="2768"/>
      <c r="CH104" s="2768"/>
      <c r="CI104" s="2768"/>
      <c r="CJ104" s="2768"/>
      <c r="CK104" s="2768"/>
      <c r="CL104" s="2768"/>
      <c r="CM104" s="2768"/>
      <c r="CN104" s="2768"/>
      <c r="CO104" s="2768"/>
      <c r="CP104" s="297">
        <v>23</v>
      </c>
      <c r="CQ104" s="2768"/>
      <c r="CR104" s="2768"/>
      <c r="CS104" s="2768"/>
      <c r="CT104" s="2768"/>
    </row>
    <row r="105" spans="5:106" ht="17.100000000000001" customHeight="1" x14ac:dyDescent="0.2">
      <c r="E105" s="3035"/>
      <c r="H105" s="4601" t="str">
        <f>data!JT26</f>
        <v>Books</v>
      </c>
      <c r="I105" s="4601"/>
      <c r="J105" s="4601"/>
      <c r="K105" s="4601"/>
      <c r="L105" s="4601"/>
      <c r="M105" s="4601"/>
      <c r="N105" s="4601"/>
      <c r="O105" s="4601"/>
      <c r="P105" s="4601"/>
      <c r="Q105" s="4601"/>
      <c r="R105" s="4601"/>
      <c r="S105" s="4601"/>
      <c r="U105" s="4601" t="str">
        <f>data!JV26</f>
        <v>Games</v>
      </c>
      <c r="V105" s="4601"/>
      <c r="W105" s="4601"/>
      <c r="X105" s="4601"/>
      <c r="Y105" s="4601"/>
      <c r="Z105" s="4601"/>
      <c r="AA105" s="4601"/>
      <c r="AB105" s="4601"/>
      <c r="AC105" s="4601"/>
      <c r="AD105" s="4601"/>
      <c r="AE105" s="4601"/>
      <c r="AF105" s="4601"/>
      <c r="AG105" s="418"/>
      <c r="AH105" s="4601" t="str">
        <f>data!JX26</f>
        <v>Activities</v>
      </c>
      <c r="AI105" s="4601"/>
      <c r="AJ105" s="4601"/>
      <c r="AK105" s="4601"/>
      <c r="AL105" s="4601"/>
      <c r="AM105" s="4601"/>
      <c r="AN105" s="4601"/>
      <c r="AO105" s="4601"/>
      <c r="AP105" s="4601"/>
      <c r="AQ105" s="4601"/>
      <c r="AR105" s="4601"/>
      <c r="AS105" s="4601"/>
      <c r="AT105" s="4601"/>
      <c r="AU105" s="3030"/>
      <c r="AV105" s="4601" t="str">
        <f>data!JZ26</f>
        <v>Clothes</v>
      </c>
      <c r="AW105" s="4601"/>
      <c r="AX105" s="4601"/>
      <c r="AY105" s="4601"/>
      <c r="AZ105" s="4601"/>
      <c r="BA105" s="4601"/>
      <c r="BB105" s="4601"/>
      <c r="BC105" s="4601"/>
      <c r="BD105" s="4601"/>
      <c r="BE105" s="4601"/>
      <c r="BF105" s="4601"/>
      <c r="BG105" s="4601"/>
      <c r="BI105" s="4601" t="str">
        <f>data!KB26</f>
        <v>Media</v>
      </c>
      <c r="BJ105" s="4601"/>
      <c r="BK105" s="4601"/>
      <c r="BL105" s="4601"/>
      <c r="BM105" s="4601"/>
      <c r="BN105" s="4601"/>
      <c r="BO105" s="4601"/>
      <c r="BP105" s="4601"/>
      <c r="BQ105" s="4601"/>
      <c r="BR105" s="4601"/>
      <c r="BS105" s="4601"/>
      <c r="BT105" s="4601"/>
      <c r="BW105" s="3036"/>
      <c r="CC105" s="2768"/>
      <c r="CD105" s="2768"/>
      <c r="CE105" s="2768"/>
      <c r="CF105" s="2768"/>
      <c r="CG105" s="2768"/>
      <c r="CH105" s="2768"/>
      <c r="CI105" s="2768"/>
      <c r="CJ105" s="2768"/>
      <c r="CK105" s="2768"/>
      <c r="CL105" s="2768"/>
      <c r="CM105" s="2768"/>
      <c r="CN105" s="2768"/>
      <c r="CO105" s="2768"/>
      <c r="CP105" s="297">
        <v>24</v>
      </c>
      <c r="CQ105" s="2768"/>
      <c r="CR105" s="2768"/>
      <c r="CS105" s="2768"/>
      <c r="CT105" s="2768"/>
    </row>
    <row r="106" spans="5:106" ht="17.100000000000001" customHeight="1" x14ac:dyDescent="0.2">
      <c r="E106" s="3035"/>
      <c r="H106" s="40"/>
      <c r="I106" s="40"/>
      <c r="J106" s="40"/>
      <c r="K106" s="40"/>
      <c r="L106" s="40"/>
      <c r="M106" s="40"/>
      <c r="N106" s="40"/>
      <c r="O106" s="40"/>
      <c r="P106" s="40"/>
      <c r="Q106" s="40"/>
      <c r="R106" s="40"/>
      <c r="S106" s="40"/>
      <c r="U106" s="40"/>
      <c r="V106" s="40"/>
      <c r="W106" s="40"/>
      <c r="X106" s="40"/>
      <c r="Y106" s="40"/>
      <c r="Z106" s="40"/>
      <c r="AA106" s="40"/>
      <c r="AB106" s="40"/>
      <c r="AC106" s="40"/>
      <c r="AD106" s="40"/>
      <c r="AE106" s="40"/>
      <c r="AF106" s="40"/>
      <c r="AV106" s="40"/>
      <c r="AW106" s="40"/>
      <c r="AX106" s="40"/>
      <c r="AY106" s="40"/>
      <c r="AZ106" s="40"/>
      <c r="BA106" s="40"/>
      <c r="BB106" s="40"/>
      <c r="BC106" s="40"/>
      <c r="BD106" s="40"/>
      <c r="BE106" s="40"/>
      <c r="BF106" s="40"/>
      <c r="BG106" s="40"/>
      <c r="BI106" s="40"/>
      <c r="BJ106" s="40"/>
      <c r="BK106" s="40"/>
      <c r="BL106" s="40"/>
      <c r="BM106" s="40"/>
      <c r="BN106" s="40"/>
      <c r="BO106" s="40"/>
      <c r="BP106" s="40"/>
      <c r="BQ106" s="40"/>
      <c r="BR106" s="40"/>
      <c r="BS106" s="40"/>
      <c r="BT106" s="40"/>
      <c r="BW106" s="3036"/>
      <c r="CC106" s="2768"/>
      <c r="CD106" s="2768"/>
      <c r="CE106" s="2768"/>
      <c r="CF106" s="2768"/>
      <c r="CG106" s="2768"/>
      <c r="CH106" s="2768"/>
      <c r="CI106" s="2768"/>
      <c r="CJ106" s="2768"/>
      <c r="CK106" s="2768"/>
      <c r="CL106" s="2768"/>
      <c r="CM106" s="2768"/>
      <c r="CN106" s="2768"/>
      <c r="CO106" s="2768"/>
      <c r="CP106" s="297">
        <v>25</v>
      </c>
      <c r="CQ106" s="2768"/>
      <c r="CR106" s="2768"/>
      <c r="CS106" s="2768"/>
      <c r="CT106" s="2768"/>
    </row>
    <row r="107" spans="5:106" ht="17.100000000000001" customHeight="1" x14ac:dyDescent="0.2">
      <c r="E107" s="3035"/>
      <c r="G107" s="2128">
        <f>_xlfn.XLOOKUP(H107,$CD$65:$CD$71,$CC$65:$CC$71,0,0)</f>
        <v>0</v>
      </c>
      <c r="H107" s="4598" t="s">
        <v>2340</v>
      </c>
      <c r="I107" s="4598"/>
      <c r="J107" s="4598"/>
      <c r="K107" s="4598"/>
      <c r="L107" s="4598"/>
      <c r="M107" s="4598"/>
      <c r="N107" s="4598"/>
      <c r="O107" s="4598"/>
      <c r="P107" s="4598"/>
      <c r="Q107" s="4598"/>
      <c r="R107" s="4598"/>
      <c r="S107" s="4598"/>
      <c r="T107" s="2128">
        <f>_xlfn.XLOOKUP(U107,$CD$65:$CD$71,$CC$65:$CC$71,0,0)</f>
        <v>0</v>
      </c>
      <c r="U107" s="4598" t="s">
        <v>2341</v>
      </c>
      <c r="V107" s="4598"/>
      <c r="W107" s="4598"/>
      <c r="X107" s="4598"/>
      <c r="Y107" s="4598"/>
      <c r="Z107" s="4598"/>
      <c r="AA107" s="4598"/>
      <c r="AB107" s="4598"/>
      <c r="AC107" s="4598"/>
      <c r="AD107" s="4598"/>
      <c r="AE107" s="4598"/>
      <c r="AF107" s="4598"/>
      <c r="AG107" s="2128">
        <f>_xlfn.XLOOKUP(AH107,$CD$65:$CD$71,$CC$65:$CC$71,0,0)</f>
        <v>0</v>
      </c>
      <c r="AH107" s="4598" t="s">
        <v>2342</v>
      </c>
      <c r="AI107" s="4598"/>
      <c r="AJ107" s="4598"/>
      <c r="AK107" s="4598"/>
      <c r="AL107" s="4598"/>
      <c r="AM107" s="4598"/>
      <c r="AN107" s="4598"/>
      <c r="AO107" s="4598"/>
      <c r="AP107" s="4598"/>
      <c r="AQ107" s="4598"/>
      <c r="AR107" s="4598"/>
      <c r="AS107" s="4598"/>
      <c r="AT107" s="4598"/>
      <c r="AU107" s="2128">
        <f>_xlfn.XLOOKUP(AV107,$CD$65:$CD$71,$CC$65:$CC$71,0,0)</f>
        <v>0</v>
      </c>
      <c r="AV107" s="4598" t="s">
        <v>2343</v>
      </c>
      <c r="AW107" s="4598"/>
      <c r="AX107" s="4598"/>
      <c r="AY107" s="4598"/>
      <c r="AZ107" s="4598"/>
      <c r="BA107" s="4598"/>
      <c r="BB107" s="4598"/>
      <c r="BC107" s="4598"/>
      <c r="BD107" s="4598"/>
      <c r="BE107" s="4598"/>
      <c r="BF107" s="4598"/>
      <c r="BG107" s="4598"/>
      <c r="BH107" s="2128">
        <f>_xlfn.XLOOKUP(BI107,$CD$65:$CD$71,$CC$65:$CC$71,0,0)</f>
        <v>0</v>
      </c>
      <c r="BI107" s="4598" t="s">
        <v>2344</v>
      </c>
      <c r="BJ107" s="4598"/>
      <c r="BK107" s="4598"/>
      <c r="BL107" s="4598"/>
      <c r="BM107" s="4598"/>
      <c r="BN107" s="4598"/>
      <c r="BO107" s="4598"/>
      <c r="BP107" s="4598"/>
      <c r="BQ107" s="4598"/>
      <c r="BR107" s="4598"/>
      <c r="BS107" s="4598"/>
      <c r="BT107" s="4598"/>
      <c r="BW107" s="3036"/>
      <c r="CC107" s="2768"/>
      <c r="CD107" s="2768"/>
      <c r="CE107" s="2768"/>
      <c r="CF107" s="2768"/>
      <c r="CG107" s="2768"/>
      <c r="CH107" s="2768"/>
      <c r="CI107" s="2768"/>
      <c r="CJ107" s="2768"/>
      <c r="CK107" s="2768"/>
      <c r="CL107" s="2768"/>
      <c r="CM107" s="2768"/>
      <c r="CN107" s="2768"/>
      <c r="CO107" s="2768"/>
      <c r="CP107" s="297">
        <v>26</v>
      </c>
      <c r="CQ107" s="2768"/>
      <c r="CR107" s="2768"/>
      <c r="CS107" s="2768"/>
      <c r="CT107" s="2768"/>
    </row>
    <row r="108" spans="5:106" ht="17.100000000000001" customHeight="1" x14ac:dyDescent="0.2">
      <c r="E108" s="3035"/>
      <c r="G108" s="2128"/>
      <c r="H108" s="4599" t="str">
        <f>data!JT27</f>
        <v>Fiction Book</v>
      </c>
      <c r="I108" s="4599"/>
      <c r="J108" s="4599"/>
      <c r="K108" s="4599"/>
      <c r="L108" s="4599"/>
      <c r="M108" s="4599"/>
      <c r="N108" s="4599"/>
      <c r="O108" s="4599"/>
      <c r="P108" s="4599"/>
      <c r="Q108" s="4599"/>
      <c r="R108" s="4599"/>
      <c r="S108" s="4599"/>
      <c r="T108" s="2128"/>
      <c r="U108" s="4599" t="str">
        <f>data!JV27</f>
        <v>Digital Download of Video Game of Choice</v>
      </c>
      <c r="V108" s="4599"/>
      <c r="W108" s="4599"/>
      <c r="X108" s="4599"/>
      <c r="Y108" s="4599"/>
      <c r="Z108" s="4599"/>
      <c r="AA108" s="4599"/>
      <c r="AB108" s="4599"/>
      <c r="AC108" s="4599"/>
      <c r="AD108" s="4599"/>
      <c r="AE108" s="4599"/>
      <c r="AF108" s="4599"/>
      <c r="AG108" s="2128"/>
      <c r="AH108" s="4602" t="str">
        <f>data!JX27</f>
        <v>Ticket for Any Event</v>
      </c>
      <c r="AI108" s="4602"/>
      <c r="AJ108" s="4602"/>
      <c r="AK108" s="4602"/>
      <c r="AL108" s="4602"/>
      <c r="AM108" s="4602"/>
      <c r="AN108" s="4602"/>
      <c r="AO108" s="4602"/>
      <c r="AP108" s="4602"/>
      <c r="AQ108" s="4602"/>
      <c r="AR108" s="4602"/>
      <c r="AS108" s="4602"/>
      <c r="AT108" s="4602"/>
      <c r="AU108" s="2128"/>
      <c r="AV108" s="4599" t="str">
        <f>data!JZ27</f>
        <v>Hat</v>
      </c>
      <c r="AW108" s="4599"/>
      <c r="AX108" s="4599"/>
      <c r="AY108" s="4599"/>
      <c r="AZ108" s="4599"/>
      <c r="BA108" s="4599"/>
      <c r="BB108" s="4599"/>
      <c r="BC108" s="4599"/>
      <c r="BD108" s="4599"/>
      <c r="BE108" s="4599"/>
      <c r="BF108" s="4599"/>
      <c r="BG108" s="4599"/>
      <c r="BH108" s="2128"/>
      <c r="BI108" s="4599" t="str">
        <f>data!KB27</f>
        <v>TV Series Full Season Digital Download</v>
      </c>
      <c r="BJ108" s="4599"/>
      <c r="BK108" s="4599"/>
      <c r="BL108" s="4599"/>
      <c r="BM108" s="4599"/>
      <c r="BN108" s="4599"/>
      <c r="BO108" s="4599"/>
      <c r="BP108" s="4599"/>
      <c r="BQ108" s="4599"/>
      <c r="BR108" s="4599"/>
      <c r="BS108" s="4599"/>
      <c r="BT108" s="4599"/>
      <c r="BW108" s="3036"/>
      <c r="CC108" s="2768"/>
      <c r="CD108" s="2768"/>
      <c r="CE108" s="2768"/>
      <c r="CF108" s="2768"/>
      <c r="CG108" s="2768"/>
      <c r="CH108" s="2768"/>
      <c r="CI108" s="2768"/>
      <c r="CJ108" s="2768"/>
      <c r="CK108" s="2768"/>
      <c r="CL108" s="2768"/>
      <c r="CM108" s="2768"/>
      <c r="CN108" s="2768"/>
      <c r="CO108" s="2768"/>
      <c r="CP108" s="297">
        <v>27</v>
      </c>
      <c r="CQ108" s="2768"/>
      <c r="CR108" s="2768"/>
      <c r="CS108" s="2768"/>
      <c r="CT108" s="2768"/>
    </row>
    <row r="109" spans="5:106" ht="17.100000000000001" customHeight="1" x14ac:dyDescent="0.2">
      <c r="E109" s="3035"/>
      <c r="G109" s="2128">
        <f t="shared" ref="G109" si="35">_xlfn.XLOOKUP(H109,$CD$65:$CD$71,$CC$65:$CC$71,0,0)</f>
        <v>0</v>
      </c>
      <c r="H109" s="4598"/>
      <c r="I109" s="4598"/>
      <c r="J109" s="4598"/>
      <c r="K109" s="4598"/>
      <c r="L109" s="4598"/>
      <c r="M109" s="4598"/>
      <c r="N109" s="4598"/>
      <c r="O109" s="4598"/>
      <c r="P109" s="4598"/>
      <c r="Q109" s="4598"/>
      <c r="R109" s="4598"/>
      <c r="S109" s="4598"/>
      <c r="T109" s="2128">
        <f t="shared" ref="T109" si="36">_xlfn.XLOOKUP(U109,$CD$65:$CD$71,$CC$65:$CC$71,0,0)</f>
        <v>0</v>
      </c>
      <c r="U109" s="4598"/>
      <c r="V109" s="4598"/>
      <c r="W109" s="4598"/>
      <c r="X109" s="4598"/>
      <c r="Y109" s="4598"/>
      <c r="Z109" s="4598"/>
      <c r="AA109" s="4598"/>
      <c r="AB109" s="4598"/>
      <c r="AC109" s="4598"/>
      <c r="AD109" s="4598"/>
      <c r="AE109" s="4598"/>
      <c r="AF109" s="4598"/>
      <c r="AG109" s="2128">
        <f t="shared" ref="AG109" si="37">_xlfn.XLOOKUP(AH109,$CD$65:$CD$71,$CC$65:$CC$71,0,0)</f>
        <v>0</v>
      </c>
      <c r="AH109" s="4598"/>
      <c r="AI109" s="4598"/>
      <c r="AJ109" s="4598"/>
      <c r="AK109" s="4598"/>
      <c r="AL109" s="4598"/>
      <c r="AM109" s="4598"/>
      <c r="AN109" s="4598"/>
      <c r="AO109" s="4598"/>
      <c r="AP109" s="4598"/>
      <c r="AQ109" s="4598"/>
      <c r="AR109" s="4598"/>
      <c r="AS109" s="4598"/>
      <c r="AT109" s="4598"/>
      <c r="AU109" s="2128">
        <f t="shared" ref="AU109" si="38">_xlfn.XLOOKUP(AV109,$CD$65:$CD$71,$CC$65:$CC$71,0,0)</f>
        <v>0</v>
      </c>
      <c r="AV109" s="4598"/>
      <c r="AW109" s="4598"/>
      <c r="AX109" s="4598"/>
      <c r="AY109" s="4598"/>
      <c r="AZ109" s="4598"/>
      <c r="BA109" s="4598"/>
      <c r="BB109" s="4598"/>
      <c r="BC109" s="4598"/>
      <c r="BD109" s="4598"/>
      <c r="BE109" s="4598"/>
      <c r="BF109" s="4598"/>
      <c r="BG109" s="4598"/>
      <c r="BH109" s="2128">
        <f t="shared" ref="BH109" si="39">_xlfn.XLOOKUP(BI109,$CD$65:$CD$71,$CC$65:$CC$71,0,0)</f>
        <v>0</v>
      </c>
      <c r="BI109" s="4598"/>
      <c r="BJ109" s="4598"/>
      <c r="BK109" s="4598"/>
      <c r="BL109" s="4598"/>
      <c r="BM109" s="4598"/>
      <c r="BN109" s="4598"/>
      <c r="BO109" s="4598"/>
      <c r="BP109" s="4598"/>
      <c r="BQ109" s="4598"/>
      <c r="BR109" s="4598"/>
      <c r="BS109" s="4598"/>
      <c r="BT109" s="4598"/>
      <c r="BW109" s="3036"/>
      <c r="CC109" s="2768"/>
      <c r="CD109" s="2768"/>
      <c r="CE109" s="2768"/>
      <c r="CF109" s="2768"/>
      <c r="CG109" s="2768"/>
      <c r="CH109" s="2768"/>
      <c r="CI109" s="2768"/>
      <c r="CJ109" s="2768"/>
      <c r="CK109" s="2768"/>
      <c r="CL109" s="2768"/>
      <c r="CM109" s="2768"/>
      <c r="CN109" s="2768"/>
      <c r="CO109" s="2768"/>
      <c r="CP109" s="297">
        <v>28</v>
      </c>
      <c r="CQ109" s="2768"/>
      <c r="CR109" s="2768"/>
      <c r="CS109" s="2768"/>
      <c r="CT109" s="2768"/>
    </row>
    <row r="110" spans="5:106" ht="17.100000000000001" customHeight="1" x14ac:dyDescent="0.2">
      <c r="E110" s="3035"/>
      <c r="G110" s="2128"/>
      <c r="H110" s="4599" t="str">
        <f>data!JT28</f>
        <v>Non-fiction Book</v>
      </c>
      <c r="I110" s="4599"/>
      <c r="J110" s="4599"/>
      <c r="K110" s="4599"/>
      <c r="L110" s="4599"/>
      <c r="M110" s="4599"/>
      <c r="N110" s="4599"/>
      <c r="O110" s="4599"/>
      <c r="P110" s="4599"/>
      <c r="Q110" s="4599"/>
      <c r="R110" s="4599"/>
      <c r="S110" s="4599"/>
      <c r="T110" s="2128"/>
      <c r="U110" s="4599" t="str">
        <f>data!JV28</f>
        <v>Digital Download of Video Game of Choice</v>
      </c>
      <c r="V110" s="4599"/>
      <c r="W110" s="4599"/>
      <c r="X110" s="4599"/>
      <c r="Y110" s="4599"/>
      <c r="Z110" s="4599"/>
      <c r="AA110" s="4599"/>
      <c r="AB110" s="4599"/>
      <c r="AC110" s="4599"/>
      <c r="AD110" s="4599"/>
      <c r="AE110" s="4599"/>
      <c r="AF110" s="4599"/>
      <c r="AG110" s="2128"/>
      <c r="AH110" s="4602" t="str">
        <f>data!JX28</f>
        <v>Museum Ticket</v>
      </c>
      <c r="AI110" s="4602"/>
      <c r="AJ110" s="4602"/>
      <c r="AK110" s="4602"/>
      <c r="AL110" s="4602"/>
      <c r="AM110" s="4602"/>
      <c r="AN110" s="4602"/>
      <c r="AO110" s="4602"/>
      <c r="AP110" s="4602"/>
      <c r="AQ110" s="4602"/>
      <c r="AR110" s="4602"/>
      <c r="AS110" s="4602"/>
      <c r="AT110" s="4602"/>
      <c r="AU110" s="2128"/>
      <c r="AV110" s="4599" t="str">
        <f>data!JZ28</f>
        <v>Winter Coat</v>
      </c>
      <c r="AW110" s="4599"/>
      <c r="AX110" s="4599"/>
      <c r="AY110" s="4599"/>
      <c r="AZ110" s="4599"/>
      <c r="BA110" s="4599"/>
      <c r="BB110" s="4599"/>
      <c r="BC110" s="4599"/>
      <c r="BD110" s="4599"/>
      <c r="BE110" s="4599"/>
      <c r="BF110" s="4599"/>
      <c r="BG110" s="4599"/>
      <c r="BH110" s="2128"/>
      <c r="BI110" s="4599" t="str">
        <f>data!KB28</f>
        <v>Film Digital Download</v>
      </c>
      <c r="BJ110" s="4599"/>
      <c r="BK110" s="4599"/>
      <c r="BL110" s="4599"/>
      <c r="BM110" s="4599"/>
      <c r="BN110" s="4599"/>
      <c r="BO110" s="4599"/>
      <c r="BP110" s="4599"/>
      <c r="BQ110" s="4599"/>
      <c r="BR110" s="4599"/>
      <c r="BS110" s="4599"/>
      <c r="BT110" s="4599"/>
      <c r="BW110" s="3036"/>
      <c r="CC110" s="2768"/>
      <c r="CD110" s="2768"/>
      <c r="CE110" s="2768"/>
      <c r="CF110" s="2768"/>
      <c r="CG110" s="2768"/>
      <c r="CH110" s="2768"/>
      <c r="CI110" s="2768"/>
      <c r="CJ110" s="2768"/>
      <c r="CK110" s="2768"/>
      <c r="CL110" s="2768"/>
      <c r="CM110" s="2768"/>
      <c r="CN110" s="2768"/>
      <c r="CO110" s="2768"/>
      <c r="CP110" s="2769">
        <f>IF(OR('^'!$BK$52&lt;&gt;2,PLANS!$CD$57=1),29,"")</f>
        <v>29</v>
      </c>
      <c r="CQ110" s="2768"/>
      <c r="CR110" s="2768"/>
      <c r="CS110" s="2768"/>
      <c r="CT110" s="2768"/>
    </row>
    <row r="111" spans="5:106" ht="17.100000000000001" customHeight="1" x14ac:dyDescent="0.2">
      <c r="E111" s="3035"/>
      <c r="G111" s="2128">
        <f t="shared" ref="G111" si="40">_xlfn.XLOOKUP(H111,$CD$65:$CD$71,$CC$65:$CC$71,0,0)</f>
        <v>0</v>
      </c>
      <c r="H111" s="4598"/>
      <c r="I111" s="4598"/>
      <c r="J111" s="4598"/>
      <c r="K111" s="4598"/>
      <c r="L111" s="4598"/>
      <c r="M111" s="4598"/>
      <c r="N111" s="4598"/>
      <c r="O111" s="4598"/>
      <c r="P111" s="4598"/>
      <c r="Q111" s="4598"/>
      <c r="R111" s="4598"/>
      <c r="S111" s="4598"/>
      <c r="T111" s="2128">
        <f t="shared" ref="T111" si="41">_xlfn.XLOOKUP(U111,$CD$65:$CD$71,$CC$65:$CC$71,0,0)</f>
        <v>0</v>
      </c>
      <c r="U111" s="4598"/>
      <c r="V111" s="4598"/>
      <c r="W111" s="4598"/>
      <c r="X111" s="4598"/>
      <c r="Y111" s="4598"/>
      <c r="Z111" s="4598"/>
      <c r="AA111" s="4598"/>
      <c r="AB111" s="4598"/>
      <c r="AC111" s="4598"/>
      <c r="AD111" s="4598"/>
      <c r="AE111" s="4598"/>
      <c r="AF111" s="4598"/>
      <c r="AG111" s="2128">
        <f t="shared" ref="AG111" si="42">_xlfn.XLOOKUP(AH111,$CD$65:$CD$71,$CC$65:$CC$71,0,0)</f>
        <v>0</v>
      </c>
      <c r="AH111" s="4598"/>
      <c r="AI111" s="4598"/>
      <c r="AJ111" s="4598"/>
      <c r="AK111" s="4598"/>
      <c r="AL111" s="4598"/>
      <c r="AM111" s="4598"/>
      <c r="AN111" s="4598"/>
      <c r="AO111" s="4598"/>
      <c r="AP111" s="4598"/>
      <c r="AQ111" s="4598"/>
      <c r="AR111" s="4598"/>
      <c r="AS111" s="4598"/>
      <c r="AT111" s="4598"/>
      <c r="AU111" s="2128">
        <f t="shared" ref="AU111" si="43">_xlfn.XLOOKUP(AV111,$CD$65:$CD$71,$CC$65:$CC$71,0,0)</f>
        <v>0</v>
      </c>
      <c r="AV111" s="4598"/>
      <c r="AW111" s="4598"/>
      <c r="AX111" s="4598"/>
      <c r="AY111" s="4598"/>
      <c r="AZ111" s="4598"/>
      <c r="BA111" s="4598"/>
      <c r="BB111" s="4598"/>
      <c r="BC111" s="4598"/>
      <c r="BD111" s="4598"/>
      <c r="BE111" s="4598"/>
      <c r="BF111" s="4598"/>
      <c r="BG111" s="4598"/>
      <c r="BH111" s="2128">
        <f t="shared" ref="BH111" si="44">_xlfn.XLOOKUP(BI111,$CD$65:$CD$71,$CC$65:$CC$71,0,0)</f>
        <v>0</v>
      </c>
      <c r="BI111" s="4598"/>
      <c r="BJ111" s="4598"/>
      <c r="BK111" s="4598"/>
      <c r="BL111" s="4598"/>
      <c r="BM111" s="4598"/>
      <c r="BN111" s="4598"/>
      <c r="BO111" s="4598"/>
      <c r="BP111" s="4598"/>
      <c r="BQ111" s="4598"/>
      <c r="BR111" s="4598"/>
      <c r="BS111" s="4598"/>
      <c r="BT111" s="4598"/>
      <c r="BW111" s="3036"/>
      <c r="CP111" s="2769">
        <f>IF('^'!$BK$52&lt;&gt;2,30,"")</f>
        <v>30</v>
      </c>
    </row>
    <row r="112" spans="5:106" ht="17.100000000000001" customHeight="1" x14ac:dyDescent="0.15">
      <c r="E112" s="3035"/>
      <c r="G112" s="2128"/>
      <c r="H112" s="4599" t="str">
        <f>data!JT29</f>
        <v>Audiobook</v>
      </c>
      <c r="I112" s="4599"/>
      <c r="J112" s="4599"/>
      <c r="K112" s="4599"/>
      <c r="L112" s="4599"/>
      <c r="M112" s="4599"/>
      <c r="N112" s="4599"/>
      <c r="O112" s="4599"/>
      <c r="P112" s="4599"/>
      <c r="Q112" s="4599"/>
      <c r="R112" s="4599"/>
      <c r="S112" s="4599"/>
      <c r="T112" s="2128"/>
      <c r="U112" s="4599" t="str">
        <f>data!JV29</f>
        <v>Physical Copy of Video Game of Choice</v>
      </c>
      <c r="V112" s="4599"/>
      <c r="W112" s="4599"/>
      <c r="X112" s="4599"/>
      <c r="Y112" s="4599"/>
      <c r="Z112" s="4599"/>
      <c r="AA112" s="4599"/>
      <c r="AB112" s="4599"/>
      <c r="AC112" s="4599"/>
      <c r="AD112" s="4599"/>
      <c r="AE112" s="4599"/>
      <c r="AF112" s="4599"/>
      <c r="AG112" s="2128"/>
      <c r="AH112" s="4602" t="str">
        <f>data!JX29</f>
        <v>Art Gallery Ticket</v>
      </c>
      <c r="AI112" s="4602"/>
      <c r="AJ112" s="4602"/>
      <c r="AK112" s="4602"/>
      <c r="AL112" s="4602"/>
      <c r="AM112" s="4602"/>
      <c r="AN112" s="4602"/>
      <c r="AO112" s="4602"/>
      <c r="AP112" s="4602"/>
      <c r="AQ112" s="4602"/>
      <c r="AR112" s="4602"/>
      <c r="AS112" s="4602"/>
      <c r="AT112" s="4602"/>
      <c r="AU112" s="2128"/>
      <c r="AV112" s="4599" t="str">
        <f>data!JZ29</f>
        <v>Casual Jacket</v>
      </c>
      <c r="AW112" s="4599"/>
      <c r="AX112" s="4599"/>
      <c r="AY112" s="4599"/>
      <c r="AZ112" s="4599"/>
      <c r="BA112" s="4599"/>
      <c r="BB112" s="4599"/>
      <c r="BC112" s="4599"/>
      <c r="BD112" s="4599"/>
      <c r="BE112" s="4599"/>
      <c r="BF112" s="4599"/>
      <c r="BG112" s="4599"/>
      <c r="BH112" s="2128"/>
      <c r="BI112" s="4599" t="str">
        <f>data!KB29</f>
        <v>Music Album Digital Download</v>
      </c>
      <c r="BJ112" s="4599"/>
      <c r="BK112" s="4599"/>
      <c r="BL112" s="4599"/>
      <c r="BM112" s="4599"/>
      <c r="BN112" s="4599"/>
      <c r="BO112" s="4599"/>
      <c r="BP112" s="4599"/>
      <c r="BQ112" s="4599"/>
      <c r="BR112" s="4599"/>
      <c r="BS112" s="4599"/>
      <c r="BT112" s="4599"/>
      <c r="BW112" s="3036"/>
      <c r="CP112" s="2769" t="str">
        <f>IF(OR('^'!$BK$52=1,'^'!$BK$52=3,'^'!$BK$52=5,'^'!$BK$52=7,'^'!$BK$52=8,'^'!$BK$52=10,'^'!$BK$52=12),31,"")</f>
        <v/>
      </c>
    </row>
    <row r="113" spans="5:75" ht="17.100000000000001" customHeight="1" x14ac:dyDescent="0.2">
      <c r="E113" s="3035"/>
      <c r="G113" s="2128">
        <f t="shared" ref="G113" si="45">_xlfn.XLOOKUP(H113,$CD$65:$CD$71,$CC$65:$CC$71,0,0)</f>
        <v>0</v>
      </c>
      <c r="H113" s="4598"/>
      <c r="I113" s="4598"/>
      <c r="J113" s="4598"/>
      <c r="K113" s="4598"/>
      <c r="L113" s="4598"/>
      <c r="M113" s="4598"/>
      <c r="N113" s="4598"/>
      <c r="O113" s="4598"/>
      <c r="P113" s="4598"/>
      <c r="Q113" s="4598"/>
      <c r="R113" s="4598"/>
      <c r="S113" s="4598"/>
      <c r="T113" s="2128">
        <f t="shared" ref="T113" si="46">_xlfn.XLOOKUP(U113,$CD$65:$CD$71,$CC$65:$CC$71,0,0)</f>
        <v>0</v>
      </c>
      <c r="U113" s="4598"/>
      <c r="V113" s="4598"/>
      <c r="W113" s="4598"/>
      <c r="X113" s="4598"/>
      <c r="Y113" s="4598"/>
      <c r="Z113" s="4598"/>
      <c r="AA113" s="4598"/>
      <c r="AB113" s="4598"/>
      <c r="AC113" s="4598"/>
      <c r="AD113" s="4598"/>
      <c r="AE113" s="4598"/>
      <c r="AF113" s="4598"/>
      <c r="AG113" s="2128">
        <f t="shared" ref="AG113" si="47">_xlfn.XLOOKUP(AH113,$CD$65:$CD$71,$CC$65:$CC$71,0,0)</f>
        <v>0</v>
      </c>
      <c r="AH113" s="4598"/>
      <c r="AI113" s="4598"/>
      <c r="AJ113" s="4598"/>
      <c r="AK113" s="4598"/>
      <c r="AL113" s="4598"/>
      <c r="AM113" s="4598"/>
      <c r="AN113" s="4598"/>
      <c r="AO113" s="4598"/>
      <c r="AP113" s="4598"/>
      <c r="AQ113" s="4598"/>
      <c r="AR113" s="4598"/>
      <c r="AS113" s="4598"/>
      <c r="AT113" s="4598"/>
      <c r="AU113" s="2128">
        <f t="shared" ref="AU113" si="48">_xlfn.XLOOKUP(AV113,$CD$65:$CD$71,$CC$65:$CC$71,0,0)</f>
        <v>0</v>
      </c>
      <c r="AV113" s="4598"/>
      <c r="AW113" s="4598"/>
      <c r="AX113" s="4598"/>
      <c r="AY113" s="4598"/>
      <c r="AZ113" s="4598"/>
      <c r="BA113" s="4598"/>
      <c r="BB113" s="4598"/>
      <c r="BC113" s="4598"/>
      <c r="BD113" s="4598"/>
      <c r="BE113" s="4598"/>
      <c r="BF113" s="4598"/>
      <c r="BG113" s="4598"/>
      <c r="BH113" s="2128">
        <f t="shared" ref="BH113" si="49">_xlfn.XLOOKUP(BI113,$CD$65:$CD$71,$CC$65:$CC$71,0,0)</f>
        <v>0</v>
      </c>
      <c r="BI113" s="4598"/>
      <c r="BJ113" s="4598"/>
      <c r="BK113" s="4598"/>
      <c r="BL113" s="4598"/>
      <c r="BM113" s="4598"/>
      <c r="BN113" s="4598"/>
      <c r="BO113" s="4598"/>
      <c r="BP113" s="4598"/>
      <c r="BQ113" s="4598"/>
      <c r="BR113" s="4598"/>
      <c r="BS113" s="4598"/>
      <c r="BT113" s="4598"/>
      <c r="BW113" s="3036"/>
    </row>
    <row r="114" spans="5:75" ht="17.100000000000001" customHeight="1" x14ac:dyDescent="0.15">
      <c r="E114" s="3035"/>
      <c r="G114" s="2128"/>
      <c r="H114" s="4599" t="str">
        <f>data!JT30</f>
        <v>Art Book</v>
      </c>
      <c r="I114" s="4599"/>
      <c r="J114" s="4599"/>
      <c r="K114" s="4599"/>
      <c r="L114" s="4599"/>
      <c r="M114" s="4599"/>
      <c r="N114" s="4599"/>
      <c r="O114" s="4599"/>
      <c r="P114" s="4599"/>
      <c r="Q114" s="4599"/>
      <c r="R114" s="4599"/>
      <c r="S114" s="4599"/>
      <c r="T114" s="2128"/>
      <c r="U114" s="4599" t="str">
        <f>data!JV30</f>
        <v>Physical Copy of Video Game of Choice</v>
      </c>
      <c r="V114" s="4599"/>
      <c r="W114" s="4599"/>
      <c r="X114" s="4599"/>
      <c r="Y114" s="4599"/>
      <c r="Z114" s="4599"/>
      <c r="AA114" s="4599"/>
      <c r="AB114" s="4599"/>
      <c r="AC114" s="4599"/>
      <c r="AD114" s="4599"/>
      <c r="AE114" s="4599"/>
      <c r="AF114" s="4599"/>
      <c r="AG114" s="2128"/>
      <c r="AH114" s="4602" t="str">
        <f>data!JX30</f>
        <v>Music Concert Ticket</v>
      </c>
      <c r="AI114" s="4602"/>
      <c r="AJ114" s="4602"/>
      <c r="AK114" s="4602"/>
      <c r="AL114" s="4602"/>
      <c r="AM114" s="4602"/>
      <c r="AN114" s="4602"/>
      <c r="AO114" s="4602"/>
      <c r="AP114" s="4602"/>
      <c r="AQ114" s="4602"/>
      <c r="AR114" s="4602"/>
      <c r="AS114" s="4602"/>
      <c r="AT114" s="4602"/>
      <c r="AU114" s="2128"/>
      <c r="AV114" s="4599" t="str">
        <f>data!JZ30</f>
        <v>Smart Jacket</v>
      </c>
      <c r="AW114" s="4599"/>
      <c r="AX114" s="4599"/>
      <c r="AY114" s="4599"/>
      <c r="AZ114" s="4599"/>
      <c r="BA114" s="4599"/>
      <c r="BB114" s="4599"/>
      <c r="BC114" s="4599"/>
      <c r="BD114" s="4599"/>
      <c r="BE114" s="4599"/>
      <c r="BF114" s="4599"/>
      <c r="BG114" s="4599"/>
      <c r="BH114" s="2128"/>
      <c r="BI114" s="4599" t="str">
        <f>data!KB30</f>
        <v>TV Series Full Season Blu-ray</v>
      </c>
      <c r="BJ114" s="4599"/>
      <c r="BK114" s="4599"/>
      <c r="BL114" s="4599"/>
      <c r="BM114" s="4599"/>
      <c r="BN114" s="4599"/>
      <c r="BO114" s="4599"/>
      <c r="BP114" s="4599"/>
      <c r="BQ114" s="4599"/>
      <c r="BR114" s="4599"/>
      <c r="BS114" s="4599"/>
      <c r="BT114" s="4599"/>
      <c r="BW114" s="3036"/>
    </row>
    <row r="115" spans="5:75" ht="17.100000000000001" customHeight="1" x14ac:dyDescent="0.2">
      <c r="E115" s="3035"/>
      <c r="G115" s="2128">
        <f t="shared" ref="G115" si="50">_xlfn.XLOOKUP(H115,$CD$65:$CD$71,$CC$65:$CC$71,0,0)</f>
        <v>0</v>
      </c>
      <c r="H115" s="4598"/>
      <c r="I115" s="4598"/>
      <c r="J115" s="4598"/>
      <c r="K115" s="4598"/>
      <c r="L115" s="4598"/>
      <c r="M115" s="4598"/>
      <c r="N115" s="4598"/>
      <c r="O115" s="4598"/>
      <c r="P115" s="4598"/>
      <c r="Q115" s="4598"/>
      <c r="R115" s="4598"/>
      <c r="S115" s="4598"/>
      <c r="T115" s="2128">
        <f t="shared" ref="T115" si="51">_xlfn.XLOOKUP(U115,$CD$65:$CD$71,$CC$65:$CC$71,0,0)</f>
        <v>0</v>
      </c>
      <c r="U115" s="4598"/>
      <c r="V115" s="4598"/>
      <c r="W115" s="4598"/>
      <c r="X115" s="4598"/>
      <c r="Y115" s="4598"/>
      <c r="Z115" s="4598"/>
      <c r="AA115" s="4598"/>
      <c r="AB115" s="4598"/>
      <c r="AC115" s="4598"/>
      <c r="AD115" s="4598"/>
      <c r="AE115" s="4598"/>
      <c r="AF115" s="4598"/>
      <c r="AG115" s="2128">
        <f t="shared" ref="AG115" si="52">_xlfn.XLOOKUP(AH115,$CD$65:$CD$71,$CC$65:$CC$71,0,0)</f>
        <v>0</v>
      </c>
      <c r="AH115" s="4598"/>
      <c r="AI115" s="4598"/>
      <c r="AJ115" s="4598"/>
      <c r="AK115" s="4598"/>
      <c r="AL115" s="4598"/>
      <c r="AM115" s="4598"/>
      <c r="AN115" s="4598"/>
      <c r="AO115" s="4598"/>
      <c r="AP115" s="4598"/>
      <c r="AQ115" s="4598"/>
      <c r="AR115" s="4598"/>
      <c r="AS115" s="4598"/>
      <c r="AT115" s="4598"/>
      <c r="AU115" s="2128">
        <f t="shared" ref="AU115" si="53">_xlfn.XLOOKUP(AV115,$CD$65:$CD$71,$CC$65:$CC$71,0,0)</f>
        <v>0</v>
      </c>
      <c r="AV115" s="4598"/>
      <c r="AW115" s="4598"/>
      <c r="AX115" s="4598"/>
      <c r="AY115" s="4598"/>
      <c r="AZ115" s="4598"/>
      <c r="BA115" s="4598"/>
      <c r="BB115" s="4598"/>
      <c r="BC115" s="4598"/>
      <c r="BD115" s="4598"/>
      <c r="BE115" s="4598"/>
      <c r="BF115" s="4598"/>
      <c r="BG115" s="4598"/>
      <c r="BH115" s="2128">
        <f t="shared" ref="BH115" si="54">_xlfn.XLOOKUP(BI115,$CD$65:$CD$71,$CC$65:$CC$71,0,0)</f>
        <v>0</v>
      </c>
      <c r="BI115" s="4598"/>
      <c r="BJ115" s="4598"/>
      <c r="BK115" s="4598"/>
      <c r="BL115" s="4598"/>
      <c r="BM115" s="4598"/>
      <c r="BN115" s="4598"/>
      <c r="BO115" s="4598"/>
      <c r="BP115" s="4598"/>
      <c r="BQ115" s="4598"/>
      <c r="BR115" s="4598"/>
      <c r="BS115" s="4598"/>
      <c r="BT115" s="4598"/>
      <c r="BW115" s="3036"/>
    </row>
    <row r="116" spans="5:75" ht="17.100000000000001" customHeight="1" x14ac:dyDescent="0.15">
      <c r="E116" s="3035"/>
      <c r="G116" s="2128"/>
      <c r="H116" s="4599" t="str">
        <f>data!JT31</f>
        <v>Photography Book</v>
      </c>
      <c r="I116" s="4599"/>
      <c r="J116" s="4599"/>
      <c r="K116" s="4599"/>
      <c r="L116" s="4599"/>
      <c r="M116" s="4599"/>
      <c r="N116" s="4599"/>
      <c r="O116" s="4599"/>
      <c r="P116" s="4599"/>
      <c r="Q116" s="4599"/>
      <c r="R116" s="4599"/>
      <c r="S116" s="4599"/>
      <c r="T116" s="2128"/>
      <c r="U116" s="4599" t="str">
        <f>data!JV31</f>
        <v>Digital Download of Any Video Game on Sale</v>
      </c>
      <c r="V116" s="4599"/>
      <c r="W116" s="4599"/>
      <c r="X116" s="4599"/>
      <c r="Y116" s="4599"/>
      <c r="Z116" s="4599"/>
      <c r="AA116" s="4599"/>
      <c r="AB116" s="4599"/>
      <c r="AC116" s="4599"/>
      <c r="AD116" s="4599"/>
      <c r="AE116" s="4599"/>
      <c r="AF116" s="4599"/>
      <c r="AG116" s="2128"/>
      <c r="AH116" s="4602" t="str">
        <f>data!JX31</f>
        <v>Cinema Ticket</v>
      </c>
      <c r="AI116" s="4602"/>
      <c r="AJ116" s="4602"/>
      <c r="AK116" s="4602"/>
      <c r="AL116" s="4602"/>
      <c r="AM116" s="4602"/>
      <c r="AN116" s="4602"/>
      <c r="AO116" s="4602"/>
      <c r="AP116" s="4602"/>
      <c r="AQ116" s="4602"/>
      <c r="AR116" s="4602"/>
      <c r="AS116" s="4602"/>
      <c r="AT116" s="4602"/>
      <c r="AU116" s="2128"/>
      <c r="AV116" s="4599" t="str">
        <f>data!JZ31</f>
        <v>T-shirt</v>
      </c>
      <c r="AW116" s="4599"/>
      <c r="AX116" s="4599"/>
      <c r="AY116" s="4599"/>
      <c r="AZ116" s="4599"/>
      <c r="BA116" s="4599"/>
      <c r="BB116" s="4599"/>
      <c r="BC116" s="4599"/>
      <c r="BD116" s="4599"/>
      <c r="BE116" s="4599"/>
      <c r="BF116" s="4599"/>
      <c r="BG116" s="4599"/>
      <c r="BH116" s="2128"/>
      <c r="BI116" s="4599" t="str">
        <f>data!KB31</f>
        <v>Film Blu-ray</v>
      </c>
      <c r="BJ116" s="4599"/>
      <c r="BK116" s="4599"/>
      <c r="BL116" s="4599"/>
      <c r="BM116" s="4599"/>
      <c r="BN116" s="4599"/>
      <c r="BO116" s="4599"/>
      <c r="BP116" s="4599"/>
      <c r="BQ116" s="4599"/>
      <c r="BR116" s="4599"/>
      <c r="BS116" s="4599"/>
      <c r="BT116" s="4599"/>
      <c r="BW116" s="3036"/>
    </row>
    <row r="117" spans="5:75" ht="17.100000000000001" customHeight="1" x14ac:dyDescent="0.2">
      <c r="E117" s="3035"/>
      <c r="G117" s="2128">
        <f t="shared" ref="G117" si="55">_xlfn.XLOOKUP(H117,$CD$65:$CD$71,$CC$65:$CC$71,0,0)</f>
        <v>0</v>
      </c>
      <c r="H117" s="4598"/>
      <c r="I117" s="4598"/>
      <c r="J117" s="4598"/>
      <c r="K117" s="4598"/>
      <c r="L117" s="4598"/>
      <c r="M117" s="4598"/>
      <c r="N117" s="4598"/>
      <c r="O117" s="4598"/>
      <c r="P117" s="4598"/>
      <c r="Q117" s="4598"/>
      <c r="R117" s="4598"/>
      <c r="S117" s="4598"/>
      <c r="T117" s="2128">
        <f t="shared" ref="T117" si="56">_xlfn.XLOOKUP(U117,$CD$65:$CD$71,$CC$65:$CC$71,0,0)</f>
        <v>0</v>
      </c>
      <c r="U117" s="4598"/>
      <c r="V117" s="4598"/>
      <c r="W117" s="4598"/>
      <c r="X117" s="4598"/>
      <c r="Y117" s="4598"/>
      <c r="Z117" s="4598"/>
      <c r="AA117" s="4598"/>
      <c r="AB117" s="4598"/>
      <c r="AC117" s="4598"/>
      <c r="AD117" s="4598"/>
      <c r="AE117" s="4598"/>
      <c r="AF117" s="4598"/>
      <c r="AG117" s="2128">
        <f t="shared" ref="AG117" si="57">_xlfn.XLOOKUP(AH117,$CD$65:$CD$71,$CC$65:$CC$71,0,0)</f>
        <v>0</v>
      </c>
      <c r="AH117" s="4598"/>
      <c r="AI117" s="4598"/>
      <c r="AJ117" s="4598"/>
      <c r="AK117" s="4598"/>
      <c r="AL117" s="4598"/>
      <c r="AM117" s="4598"/>
      <c r="AN117" s="4598"/>
      <c r="AO117" s="4598"/>
      <c r="AP117" s="4598"/>
      <c r="AQ117" s="4598"/>
      <c r="AR117" s="4598"/>
      <c r="AS117" s="4598"/>
      <c r="AT117" s="4598"/>
      <c r="AU117" s="2128">
        <f t="shared" ref="AU117" si="58">_xlfn.XLOOKUP(AV117,$CD$65:$CD$71,$CC$65:$CC$71,0,0)</f>
        <v>0</v>
      </c>
      <c r="AV117" s="4598"/>
      <c r="AW117" s="4598"/>
      <c r="AX117" s="4598"/>
      <c r="AY117" s="4598"/>
      <c r="AZ117" s="4598"/>
      <c r="BA117" s="4598"/>
      <c r="BB117" s="4598"/>
      <c r="BC117" s="4598"/>
      <c r="BD117" s="4598"/>
      <c r="BE117" s="4598"/>
      <c r="BF117" s="4598"/>
      <c r="BG117" s="4598"/>
      <c r="BH117" s="2128">
        <f t="shared" ref="BH117" si="59">_xlfn.XLOOKUP(BI117,$CD$65:$CD$71,$CC$65:$CC$71,0,0)</f>
        <v>0</v>
      </c>
      <c r="BI117" s="4598"/>
      <c r="BJ117" s="4598"/>
      <c r="BK117" s="4598"/>
      <c r="BL117" s="4598"/>
      <c r="BM117" s="4598"/>
      <c r="BN117" s="4598"/>
      <c r="BO117" s="4598"/>
      <c r="BP117" s="4598"/>
      <c r="BQ117" s="4598"/>
      <c r="BR117" s="4598"/>
      <c r="BS117" s="4598"/>
      <c r="BT117" s="4598"/>
      <c r="BW117" s="3036"/>
    </row>
    <row r="118" spans="5:75" ht="17.100000000000001" customHeight="1" x14ac:dyDescent="0.15">
      <c r="E118" s="3035"/>
      <c r="G118" s="2128"/>
      <c r="H118" s="4599" t="str">
        <f>data!JT32</f>
        <v>Graphic Novel</v>
      </c>
      <c r="I118" s="4599"/>
      <c r="J118" s="4599"/>
      <c r="K118" s="4599"/>
      <c r="L118" s="4599"/>
      <c r="M118" s="4599"/>
      <c r="N118" s="4599"/>
      <c r="O118" s="4599"/>
      <c r="P118" s="4599"/>
      <c r="Q118" s="4599"/>
      <c r="R118" s="4599"/>
      <c r="S118" s="4599"/>
      <c r="T118" s="2128"/>
      <c r="U118" s="4599" t="str">
        <f>data!JV32</f>
        <v>Digital Download of Any Video Game on Sale</v>
      </c>
      <c r="V118" s="4599"/>
      <c r="W118" s="4599"/>
      <c r="X118" s="4599"/>
      <c r="Y118" s="4599"/>
      <c r="Z118" s="4599"/>
      <c r="AA118" s="4599"/>
      <c r="AB118" s="4599"/>
      <c r="AC118" s="4599"/>
      <c r="AD118" s="4599"/>
      <c r="AE118" s="4599"/>
      <c r="AF118" s="4599"/>
      <c r="AG118" s="2128"/>
      <c r="AH118" s="4602" t="str">
        <f>data!JX32</f>
        <v>Theatre Ticket</v>
      </c>
      <c r="AI118" s="4602"/>
      <c r="AJ118" s="4602"/>
      <c r="AK118" s="4602"/>
      <c r="AL118" s="4602"/>
      <c r="AM118" s="4602"/>
      <c r="AN118" s="4602"/>
      <c r="AO118" s="4602"/>
      <c r="AP118" s="4602"/>
      <c r="AQ118" s="4602"/>
      <c r="AR118" s="4602"/>
      <c r="AS118" s="4602"/>
      <c r="AT118" s="4602"/>
      <c r="AU118" s="2128"/>
      <c r="AV118" s="4599" t="str">
        <f>data!JZ32</f>
        <v>Shirt</v>
      </c>
      <c r="AW118" s="4599"/>
      <c r="AX118" s="4599"/>
      <c r="AY118" s="4599"/>
      <c r="AZ118" s="4599"/>
      <c r="BA118" s="4599"/>
      <c r="BB118" s="4599"/>
      <c r="BC118" s="4599"/>
      <c r="BD118" s="4599"/>
      <c r="BE118" s="4599"/>
      <c r="BF118" s="4599"/>
      <c r="BG118" s="4599"/>
      <c r="BH118" s="2128"/>
      <c r="BI118" s="4599" t="str">
        <f>data!KB32</f>
        <v>Music Album CD</v>
      </c>
      <c r="BJ118" s="4599"/>
      <c r="BK118" s="4599"/>
      <c r="BL118" s="4599"/>
      <c r="BM118" s="4599"/>
      <c r="BN118" s="4599"/>
      <c r="BO118" s="4599"/>
      <c r="BP118" s="4599"/>
      <c r="BQ118" s="4599"/>
      <c r="BR118" s="4599"/>
      <c r="BS118" s="4599"/>
      <c r="BT118" s="4599"/>
      <c r="BW118" s="3036"/>
    </row>
    <row r="119" spans="5:75" ht="17.100000000000001" customHeight="1" x14ac:dyDescent="0.2">
      <c r="E119" s="3035"/>
      <c r="G119" s="2128">
        <f t="shared" ref="G119" si="60">_xlfn.XLOOKUP(H119,$CD$65:$CD$71,$CC$65:$CC$71,0,0)</f>
        <v>0</v>
      </c>
      <c r="H119" s="4598"/>
      <c r="I119" s="4598"/>
      <c r="J119" s="4598"/>
      <c r="K119" s="4598"/>
      <c r="L119" s="4598"/>
      <c r="M119" s="4598"/>
      <c r="N119" s="4598"/>
      <c r="O119" s="4598"/>
      <c r="P119" s="4598"/>
      <c r="Q119" s="4598"/>
      <c r="R119" s="4598"/>
      <c r="S119" s="4598"/>
      <c r="T119" s="2128">
        <f t="shared" ref="T119" si="61">_xlfn.XLOOKUP(U119,$CD$65:$CD$71,$CC$65:$CC$71,0,0)</f>
        <v>0</v>
      </c>
      <c r="U119" s="4598"/>
      <c r="V119" s="4598"/>
      <c r="W119" s="4598"/>
      <c r="X119" s="4598"/>
      <c r="Y119" s="4598"/>
      <c r="Z119" s="4598"/>
      <c r="AA119" s="4598"/>
      <c r="AB119" s="4598"/>
      <c r="AC119" s="4598"/>
      <c r="AD119" s="4598"/>
      <c r="AE119" s="4598"/>
      <c r="AF119" s="4598"/>
      <c r="AG119" s="2128">
        <f t="shared" ref="AG119" si="62">_xlfn.XLOOKUP(AH119,$CD$65:$CD$71,$CC$65:$CC$71,0,0)</f>
        <v>0</v>
      </c>
      <c r="AH119" s="4598"/>
      <c r="AI119" s="4598"/>
      <c r="AJ119" s="4598"/>
      <c r="AK119" s="4598"/>
      <c r="AL119" s="4598"/>
      <c r="AM119" s="4598"/>
      <c r="AN119" s="4598"/>
      <c r="AO119" s="4598"/>
      <c r="AP119" s="4598"/>
      <c r="AQ119" s="4598"/>
      <c r="AR119" s="4598"/>
      <c r="AS119" s="4598"/>
      <c r="AT119" s="4598"/>
      <c r="AU119" s="2128">
        <f t="shared" ref="AU119" si="63">_xlfn.XLOOKUP(AV119,$CD$65:$CD$71,$CC$65:$CC$71,0,0)</f>
        <v>0</v>
      </c>
      <c r="AV119" s="4598"/>
      <c r="AW119" s="4598"/>
      <c r="AX119" s="4598"/>
      <c r="AY119" s="4598"/>
      <c r="AZ119" s="4598"/>
      <c r="BA119" s="4598"/>
      <c r="BB119" s="4598"/>
      <c r="BC119" s="4598"/>
      <c r="BD119" s="4598"/>
      <c r="BE119" s="4598"/>
      <c r="BF119" s="4598"/>
      <c r="BG119" s="4598"/>
      <c r="BH119" s="2128">
        <f t="shared" ref="BH119" si="64">_xlfn.XLOOKUP(BI119,$CD$65:$CD$71,$CC$65:$CC$71,0,0)</f>
        <v>0</v>
      </c>
      <c r="BI119" s="4598"/>
      <c r="BJ119" s="4598"/>
      <c r="BK119" s="4598"/>
      <c r="BL119" s="4598"/>
      <c r="BM119" s="4598"/>
      <c r="BN119" s="4598"/>
      <c r="BO119" s="4598"/>
      <c r="BP119" s="4598"/>
      <c r="BQ119" s="4598"/>
      <c r="BR119" s="4598"/>
      <c r="BS119" s="4598"/>
      <c r="BT119" s="4598"/>
      <c r="BW119" s="3036"/>
    </row>
    <row r="120" spans="5:75" ht="17.100000000000001" customHeight="1" x14ac:dyDescent="0.15">
      <c r="E120" s="3035"/>
      <c r="G120" s="2128"/>
      <c r="H120" s="4599" t="str">
        <f>data!JT33</f>
        <v>Comic Book</v>
      </c>
      <c r="I120" s="4599"/>
      <c r="J120" s="4599"/>
      <c r="K120" s="4599"/>
      <c r="L120" s="4599"/>
      <c r="M120" s="4599"/>
      <c r="N120" s="4599"/>
      <c r="O120" s="4599"/>
      <c r="P120" s="4599"/>
      <c r="Q120" s="4599"/>
      <c r="R120" s="4599"/>
      <c r="S120" s="4599"/>
      <c r="T120" s="2128"/>
      <c r="U120" s="4599" t="str">
        <f>data!JV33</f>
        <v>Digital Video Game Dowload Funds of 5</v>
      </c>
      <c r="V120" s="4599"/>
      <c r="W120" s="4599"/>
      <c r="X120" s="4599"/>
      <c r="Y120" s="4599"/>
      <c r="Z120" s="4599"/>
      <c r="AA120" s="4599"/>
      <c r="AB120" s="4599"/>
      <c r="AC120" s="4599"/>
      <c r="AD120" s="4599"/>
      <c r="AE120" s="4599"/>
      <c r="AF120" s="4599"/>
      <c r="AG120" s="2128"/>
      <c r="AH120" s="4602" t="str">
        <f>data!JX33</f>
        <v>Opera Ticket</v>
      </c>
      <c r="AI120" s="4602"/>
      <c r="AJ120" s="4602"/>
      <c r="AK120" s="4602"/>
      <c r="AL120" s="4602"/>
      <c r="AM120" s="4602"/>
      <c r="AN120" s="4602"/>
      <c r="AO120" s="4602"/>
      <c r="AP120" s="4602"/>
      <c r="AQ120" s="4602"/>
      <c r="AR120" s="4602"/>
      <c r="AS120" s="4602"/>
      <c r="AT120" s="4602"/>
      <c r="AU120" s="2128"/>
      <c r="AV120" s="4599" t="str">
        <f>data!JZ33</f>
        <v>Trousers</v>
      </c>
      <c r="AW120" s="4599"/>
      <c r="AX120" s="4599"/>
      <c r="AY120" s="4599"/>
      <c r="AZ120" s="4599"/>
      <c r="BA120" s="4599"/>
      <c r="BB120" s="4599"/>
      <c r="BC120" s="4599"/>
      <c r="BD120" s="4599"/>
      <c r="BE120" s="4599"/>
      <c r="BF120" s="4599"/>
      <c r="BG120" s="4599"/>
      <c r="BH120" s="2128"/>
      <c r="BI120" s="4599" t="str">
        <f>data!KB33</f>
        <v>Music Album Vinyl</v>
      </c>
      <c r="BJ120" s="4599"/>
      <c r="BK120" s="4599"/>
      <c r="BL120" s="4599"/>
      <c r="BM120" s="4599"/>
      <c r="BN120" s="4599"/>
      <c r="BO120" s="4599"/>
      <c r="BP120" s="4599"/>
      <c r="BQ120" s="4599"/>
      <c r="BR120" s="4599"/>
      <c r="BS120" s="4599"/>
      <c r="BT120" s="4599"/>
      <c r="BW120" s="3036"/>
    </row>
    <row r="121" spans="5:75" ht="17.100000000000001" customHeight="1" x14ac:dyDescent="0.2">
      <c r="E121" s="3035"/>
      <c r="G121" s="2128">
        <f t="shared" ref="G121" si="65">_xlfn.XLOOKUP(H121,$CD$65:$CD$71,$CC$65:$CC$71,0,0)</f>
        <v>0</v>
      </c>
      <c r="H121" s="4598"/>
      <c r="I121" s="4598"/>
      <c r="J121" s="4598"/>
      <c r="K121" s="4598"/>
      <c r="L121" s="4598"/>
      <c r="M121" s="4598"/>
      <c r="N121" s="4598"/>
      <c r="O121" s="4598"/>
      <c r="P121" s="4598"/>
      <c r="Q121" s="4598"/>
      <c r="R121" s="4598"/>
      <c r="S121" s="4598"/>
      <c r="T121" s="2128">
        <f t="shared" ref="T121" si="66">_xlfn.XLOOKUP(U121,$CD$65:$CD$71,$CC$65:$CC$71,0,0)</f>
        <v>0</v>
      </c>
      <c r="U121" s="4598"/>
      <c r="V121" s="4598"/>
      <c r="W121" s="4598"/>
      <c r="X121" s="4598"/>
      <c r="Y121" s="4598"/>
      <c r="Z121" s="4598"/>
      <c r="AA121" s="4598"/>
      <c r="AB121" s="4598"/>
      <c r="AC121" s="4598"/>
      <c r="AD121" s="4598"/>
      <c r="AE121" s="4598"/>
      <c r="AF121" s="4598"/>
      <c r="AG121" s="2128">
        <f t="shared" ref="AG121" si="67">_xlfn.XLOOKUP(AH121,$CD$65:$CD$71,$CC$65:$CC$71,0,0)</f>
        <v>0</v>
      </c>
      <c r="AH121" s="4598"/>
      <c r="AI121" s="4598"/>
      <c r="AJ121" s="4598"/>
      <c r="AK121" s="4598"/>
      <c r="AL121" s="4598"/>
      <c r="AM121" s="4598"/>
      <c r="AN121" s="4598"/>
      <c r="AO121" s="4598"/>
      <c r="AP121" s="4598"/>
      <c r="AQ121" s="4598"/>
      <c r="AR121" s="4598"/>
      <c r="AS121" s="4598"/>
      <c r="AT121" s="4598"/>
      <c r="AU121" s="2128">
        <f t="shared" ref="AU121" si="68">_xlfn.XLOOKUP(AV121,$CD$65:$CD$71,$CC$65:$CC$71,0,0)</f>
        <v>0</v>
      </c>
      <c r="AV121" s="4598"/>
      <c r="AW121" s="4598"/>
      <c r="AX121" s="4598"/>
      <c r="AY121" s="4598"/>
      <c r="AZ121" s="4598"/>
      <c r="BA121" s="4598"/>
      <c r="BB121" s="4598"/>
      <c r="BC121" s="4598"/>
      <c r="BD121" s="4598"/>
      <c r="BE121" s="4598"/>
      <c r="BF121" s="4598"/>
      <c r="BG121" s="4598"/>
      <c r="BH121" s="2128">
        <f t="shared" ref="BH121" si="69">_xlfn.XLOOKUP(BI121,$CD$65:$CD$71,$CC$65:$CC$71,0,0)</f>
        <v>0</v>
      </c>
      <c r="BI121" s="4598"/>
      <c r="BJ121" s="4598"/>
      <c r="BK121" s="4598"/>
      <c r="BL121" s="4598"/>
      <c r="BM121" s="4598"/>
      <c r="BN121" s="4598"/>
      <c r="BO121" s="4598"/>
      <c r="BP121" s="4598"/>
      <c r="BQ121" s="4598"/>
      <c r="BR121" s="4598"/>
      <c r="BS121" s="4598"/>
      <c r="BT121" s="4598"/>
      <c r="BW121" s="3036"/>
    </row>
    <row r="122" spans="5:75" ht="17.100000000000001" customHeight="1" x14ac:dyDescent="0.15">
      <c r="E122" s="3035"/>
      <c r="G122" s="2128"/>
      <c r="H122" s="4599" t="str">
        <f>data!JT34</f>
        <v>Educational Book</v>
      </c>
      <c r="I122" s="4599"/>
      <c r="J122" s="4599"/>
      <c r="K122" s="4599"/>
      <c r="L122" s="4599"/>
      <c r="M122" s="4599"/>
      <c r="N122" s="4599"/>
      <c r="O122" s="4599"/>
      <c r="P122" s="4599"/>
      <c r="Q122" s="4599"/>
      <c r="R122" s="4599"/>
      <c r="S122" s="4599"/>
      <c r="T122" s="2128"/>
      <c r="U122" s="4599" t="str">
        <f>data!JV34</f>
        <v>Digital Video Game Dowload Funds of 10</v>
      </c>
      <c r="V122" s="4599"/>
      <c r="W122" s="4599"/>
      <c r="X122" s="4599"/>
      <c r="Y122" s="4599"/>
      <c r="Z122" s="4599"/>
      <c r="AA122" s="4599"/>
      <c r="AB122" s="4599"/>
      <c r="AC122" s="4599"/>
      <c r="AD122" s="4599"/>
      <c r="AE122" s="4599"/>
      <c r="AF122" s="4599"/>
      <c r="AG122" s="2128"/>
      <c r="AH122" s="4602" t="str">
        <f>data!JX34</f>
        <v>Stand-up Comedy Ticket</v>
      </c>
      <c r="AI122" s="4602"/>
      <c r="AJ122" s="4602"/>
      <c r="AK122" s="4602"/>
      <c r="AL122" s="4602"/>
      <c r="AM122" s="4602"/>
      <c r="AN122" s="4602"/>
      <c r="AO122" s="4602"/>
      <c r="AP122" s="4602"/>
      <c r="AQ122" s="4602"/>
      <c r="AR122" s="4602"/>
      <c r="AS122" s="4602"/>
      <c r="AT122" s="4602"/>
      <c r="AU122" s="2128"/>
      <c r="AV122" s="4599" t="str">
        <f>data!JZ34</f>
        <v>Shoes</v>
      </c>
      <c r="AW122" s="4599"/>
      <c r="AX122" s="4599"/>
      <c r="AY122" s="4599"/>
      <c r="AZ122" s="4599"/>
      <c r="BA122" s="4599"/>
      <c r="BB122" s="4599"/>
      <c r="BC122" s="4599"/>
      <c r="BD122" s="4599"/>
      <c r="BE122" s="4599"/>
      <c r="BF122" s="4599"/>
      <c r="BG122" s="4599"/>
      <c r="BH122" s="2128"/>
      <c r="BI122" s="4599" t="str">
        <f>data!KB34</f>
        <v>Streaming Service One Month Subscription</v>
      </c>
      <c r="BJ122" s="4599"/>
      <c r="BK122" s="4599"/>
      <c r="BL122" s="4599"/>
      <c r="BM122" s="4599"/>
      <c r="BN122" s="4599"/>
      <c r="BO122" s="4599"/>
      <c r="BP122" s="4599"/>
      <c r="BQ122" s="4599"/>
      <c r="BR122" s="4599"/>
      <c r="BS122" s="4599"/>
      <c r="BT122" s="4599"/>
      <c r="BW122" s="3036"/>
    </row>
    <row r="123" spans="5:75" ht="17.100000000000001" customHeight="1" x14ac:dyDescent="0.2">
      <c r="E123" s="3035"/>
      <c r="G123" s="2128">
        <f t="shared" ref="G123" si="70">_xlfn.XLOOKUP(H123,$CD$65:$CD$71,$CC$65:$CC$71,0,0)</f>
        <v>0</v>
      </c>
      <c r="H123" s="4598"/>
      <c r="I123" s="4598"/>
      <c r="J123" s="4598"/>
      <c r="K123" s="4598"/>
      <c r="L123" s="4598"/>
      <c r="M123" s="4598"/>
      <c r="N123" s="4598"/>
      <c r="O123" s="4598"/>
      <c r="P123" s="4598"/>
      <c r="Q123" s="4598"/>
      <c r="R123" s="4598"/>
      <c r="S123" s="4598"/>
      <c r="T123" s="2128">
        <f t="shared" ref="T123" si="71">_xlfn.XLOOKUP(U123,$CD$65:$CD$71,$CC$65:$CC$71,0,0)</f>
        <v>0</v>
      </c>
      <c r="U123" s="4598"/>
      <c r="V123" s="4598"/>
      <c r="W123" s="4598"/>
      <c r="X123" s="4598"/>
      <c r="Y123" s="4598"/>
      <c r="Z123" s="4598"/>
      <c r="AA123" s="4598"/>
      <c r="AB123" s="4598"/>
      <c r="AC123" s="4598"/>
      <c r="AD123" s="4598"/>
      <c r="AE123" s="4598"/>
      <c r="AF123" s="4598"/>
      <c r="AG123" s="2128">
        <f t="shared" ref="AG123" si="72">_xlfn.XLOOKUP(AH123,$CD$65:$CD$71,$CC$65:$CC$71,0,0)</f>
        <v>0</v>
      </c>
      <c r="AH123" s="4598"/>
      <c r="AI123" s="4598"/>
      <c r="AJ123" s="4598"/>
      <c r="AK123" s="4598"/>
      <c r="AL123" s="4598"/>
      <c r="AM123" s="4598"/>
      <c r="AN123" s="4598"/>
      <c r="AO123" s="4598"/>
      <c r="AP123" s="4598"/>
      <c r="AQ123" s="4598"/>
      <c r="AR123" s="4598"/>
      <c r="AS123" s="4598"/>
      <c r="AT123" s="4598"/>
      <c r="AU123" s="2128">
        <f t="shared" ref="AU123" si="73">_xlfn.XLOOKUP(AV123,$CD$65:$CD$71,$CC$65:$CC$71,0,0)</f>
        <v>0</v>
      </c>
      <c r="AV123" s="4598"/>
      <c r="AW123" s="4598"/>
      <c r="AX123" s="4598"/>
      <c r="AY123" s="4598"/>
      <c r="AZ123" s="4598"/>
      <c r="BA123" s="4598"/>
      <c r="BB123" s="4598"/>
      <c r="BC123" s="4598"/>
      <c r="BD123" s="4598"/>
      <c r="BE123" s="4598"/>
      <c r="BF123" s="4598"/>
      <c r="BG123" s="4598"/>
      <c r="BH123" s="2128">
        <f t="shared" ref="BH123" si="74">_xlfn.XLOOKUP(BI123,$CD$65:$CD$71,$CC$65:$CC$71,0,0)</f>
        <v>0</v>
      </c>
      <c r="BI123" s="4598"/>
      <c r="BJ123" s="4598"/>
      <c r="BK123" s="4598"/>
      <c r="BL123" s="4598"/>
      <c r="BM123" s="4598"/>
      <c r="BN123" s="4598"/>
      <c r="BO123" s="4598"/>
      <c r="BP123" s="4598"/>
      <c r="BQ123" s="4598"/>
      <c r="BR123" s="4598"/>
      <c r="BS123" s="4598"/>
      <c r="BT123" s="4598"/>
      <c r="BW123" s="3036"/>
    </row>
    <row r="124" spans="5:75" ht="17.100000000000001" customHeight="1" x14ac:dyDescent="0.15">
      <c r="E124" s="3035"/>
      <c r="G124" s="2128"/>
      <c r="H124" s="4599" t="str">
        <f>data!JT35</f>
        <v>Digital Book</v>
      </c>
      <c r="I124" s="4599"/>
      <c r="J124" s="4599"/>
      <c r="K124" s="4599"/>
      <c r="L124" s="4599"/>
      <c r="M124" s="4599"/>
      <c r="N124" s="4599"/>
      <c r="O124" s="4599"/>
      <c r="P124" s="4599"/>
      <c r="Q124" s="4599"/>
      <c r="R124" s="4599"/>
      <c r="S124" s="4599"/>
      <c r="T124" s="2128"/>
      <c r="U124" s="4599" t="str">
        <f>data!JV35</f>
        <v>Digital Video Game Dowload Funds of 20</v>
      </c>
      <c r="V124" s="4599"/>
      <c r="W124" s="4599"/>
      <c r="X124" s="4599"/>
      <c r="Y124" s="4599"/>
      <c r="Z124" s="4599"/>
      <c r="AA124" s="4599"/>
      <c r="AB124" s="4599"/>
      <c r="AC124" s="4599"/>
      <c r="AD124" s="4599"/>
      <c r="AE124" s="4599"/>
      <c r="AF124" s="4599"/>
      <c r="AG124" s="2128"/>
      <c r="AH124" s="4602" t="str">
        <f>data!JX35</f>
        <v>Sports Game Ticket</v>
      </c>
      <c r="AI124" s="4602"/>
      <c r="AJ124" s="4602"/>
      <c r="AK124" s="4602"/>
      <c r="AL124" s="4602"/>
      <c r="AM124" s="4602"/>
      <c r="AN124" s="4602"/>
      <c r="AO124" s="4602"/>
      <c r="AP124" s="4602"/>
      <c r="AQ124" s="4602"/>
      <c r="AR124" s="4602"/>
      <c r="AS124" s="4602"/>
      <c r="AT124" s="4602"/>
      <c r="AU124" s="2128"/>
      <c r="AV124" s="4599" t="str">
        <f>data!JZ35</f>
        <v>Jewelery</v>
      </c>
      <c r="AW124" s="4599"/>
      <c r="AX124" s="4599"/>
      <c r="AY124" s="4599"/>
      <c r="AZ124" s="4599"/>
      <c r="BA124" s="4599"/>
      <c r="BB124" s="4599"/>
      <c r="BC124" s="4599"/>
      <c r="BD124" s="4599"/>
      <c r="BE124" s="4599"/>
      <c r="BF124" s="4599"/>
      <c r="BG124" s="4599"/>
      <c r="BH124" s="2128"/>
      <c r="BI124" s="4599" t="str">
        <f>data!KB35</f>
        <v>Streaming Service Two Month Subscription</v>
      </c>
      <c r="BJ124" s="4599"/>
      <c r="BK124" s="4599"/>
      <c r="BL124" s="4599"/>
      <c r="BM124" s="4599"/>
      <c r="BN124" s="4599"/>
      <c r="BO124" s="4599"/>
      <c r="BP124" s="4599"/>
      <c r="BQ124" s="4599"/>
      <c r="BR124" s="4599"/>
      <c r="BS124" s="4599"/>
      <c r="BT124" s="4599"/>
      <c r="BW124" s="3036"/>
    </row>
    <row r="125" spans="5:75" ht="17.100000000000001" customHeight="1" x14ac:dyDescent="0.2">
      <c r="E125" s="3035"/>
      <c r="G125" s="2128">
        <f t="shared" ref="G125" si="75">_xlfn.XLOOKUP(H125,$CD$65:$CD$71,$CC$65:$CC$71,0,0)</f>
        <v>0</v>
      </c>
      <c r="H125" s="4598"/>
      <c r="I125" s="4598"/>
      <c r="J125" s="4598"/>
      <c r="K125" s="4598"/>
      <c r="L125" s="4598"/>
      <c r="M125" s="4598"/>
      <c r="N125" s="4598"/>
      <c r="O125" s="4598"/>
      <c r="P125" s="4598"/>
      <c r="Q125" s="4598"/>
      <c r="R125" s="4598"/>
      <c r="S125" s="4598"/>
      <c r="T125" s="2128">
        <f t="shared" ref="T125" si="76">_xlfn.XLOOKUP(U125,$CD$65:$CD$71,$CC$65:$CC$71,0,0)</f>
        <v>0</v>
      </c>
      <c r="U125" s="4598"/>
      <c r="V125" s="4598"/>
      <c r="W125" s="4598"/>
      <c r="X125" s="4598"/>
      <c r="Y125" s="4598"/>
      <c r="Z125" s="4598"/>
      <c r="AA125" s="4598"/>
      <c r="AB125" s="4598"/>
      <c r="AC125" s="4598"/>
      <c r="AD125" s="4598"/>
      <c r="AE125" s="4598"/>
      <c r="AF125" s="4598"/>
      <c r="AG125" s="2128">
        <f t="shared" ref="AG125" si="77">_xlfn.XLOOKUP(AH125,$CD$65:$CD$71,$CC$65:$CC$71,0,0)</f>
        <v>0</v>
      </c>
      <c r="AH125" s="4598"/>
      <c r="AI125" s="4598"/>
      <c r="AJ125" s="4598"/>
      <c r="AK125" s="4598"/>
      <c r="AL125" s="4598"/>
      <c r="AM125" s="4598"/>
      <c r="AN125" s="4598"/>
      <c r="AO125" s="4598"/>
      <c r="AP125" s="4598"/>
      <c r="AQ125" s="4598"/>
      <c r="AR125" s="4598"/>
      <c r="AS125" s="4598"/>
      <c r="AT125" s="4598"/>
      <c r="AU125" s="2128">
        <f t="shared" ref="AU125" si="78">_xlfn.XLOOKUP(AV125,$CD$65:$CD$71,$CC$65:$CC$71,0,0)</f>
        <v>0</v>
      </c>
      <c r="AV125" s="4598"/>
      <c r="AW125" s="4598"/>
      <c r="AX125" s="4598"/>
      <c r="AY125" s="4598"/>
      <c r="AZ125" s="4598"/>
      <c r="BA125" s="4598"/>
      <c r="BB125" s="4598"/>
      <c r="BC125" s="4598"/>
      <c r="BD125" s="4598"/>
      <c r="BE125" s="4598"/>
      <c r="BF125" s="4598"/>
      <c r="BG125" s="4598"/>
      <c r="BH125" s="2128">
        <f t="shared" ref="BH125" si="79">_xlfn.XLOOKUP(BI125,$CD$65:$CD$71,$CC$65:$CC$71,0,0)</f>
        <v>0</v>
      </c>
      <c r="BI125" s="4598"/>
      <c r="BJ125" s="4598"/>
      <c r="BK125" s="4598"/>
      <c r="BL125" s="4598"/>
      <c r="BM125" s="4598"/>
      <c r="BN125" s="4598"/>
      <c r="BO125" s="4598"/>
      <c r="BP125" s="4598"/>
      <c r="BQ125" s="4598"/>
      <c r="BR125" s="4598"/>
      <c r="BS125" s="4598"/>
      <c r="BT125" s="4598"/>
      <c r="BW125" s="3036"/>
    </row>
    <row r="126" spans="5:75" ht="17.100000000000001" customHeight="1" x14ac:dyDescent="0.15">
      <c r="E126" s="3035"/>
      <c r="H126" s="4599" t="str">
        <f>data!JT36</f>
        <v>Book of Any Type</v>
      </c>
      <c r="I126" s="4599"/>
      <c r="J126" s="4599"/>
      <c r="K126" s="4599"/>
      <c r="L126" s="4599"/>
      <c r="M126" s="4599"/>
      <c r="N126" s="4599"/>
      <c r="O126" s="4599"/>
      <c r="P126" s="4599"/>
      <c r="Q126" s="4599"/>
      <c r="R126" s="4599"/>
      <c r="S126" s="4599"/>
      <c r="U126" s="4599" t="str">
        <f>data!JV36</f>
        <v>One Year Subscription to Online Gaming of Choice</v>
      </c>
      <c r="V126" s="4599"/>
      <c r="W126" s="4599"/>
      <c r="X126" s="4599"/>
      <c r="Y126" s="4599"/>
      <c r="Z126" s="4599"/>
      <c r="AA126" s="4599"/>
      <c r="AB126" s="4599"/>
      <c r="AC126" s="4599"/>
      <c r="AD126" s="4599"/>
      <c r="AE126" s="4599"/>
      <c r="AF126" s="4599"/>
      <c r="AH126" s="4602" t="str">
        <f>data!JX36</f>
        <v>Ticket for Any Event</v>
      </c>
      <c r="AI126" s="4602"/>
      <c r="AJ126" s="4602"/>
      <c r="AK126" s="4602"/>
      <c r="AL126" s="4602"/>
      <c r="AM126" s="4602"/>
      <c r="AN126" s="4602"/>
      <c r="AO126" s="4602"/>
      <c r="AP126" s="4602"/>
      <c r="AQ126" s="4602"/>
      <c r="AR126" s="4602"/>
      <c r="AS126" s="4602"/>
      <c r="AT126" s="4602"/>
      <c r="AU126" s="497"/>
      <c r="AV126" s="4599" t="str">
        <f>data!JZ36</f>
        <v>Scarf</v>
      </c>
      <c r="AW126" s="4599"/>
      <c r="AX126" s="4599"/>
      <c r="AY126" s="4599"/>
      <c r="AZ126" s="4599"/>
      <c r="BA126" s="4599"/>
      <c r="BB126" s="4599"/>
      <c r="BC126" s="4599"/>
      <c r="BD126" s="4599"/>
      <c r="BE126" s="4599"/>
      <c r="BF126" s="4599"/>
      <c r="BG126" s="4599"/>
      <c r="BI126" s="4599" t="str">
        <f>data!KB36</f>
        <v>Streaming Service Three Month Subscription</v>
      </c>
      <c r="BJ126" s="4599"/>
      <c r="BK126" s="4599"/>
      <c r="BL126" s="4599"/>
      <c r="BM126" s="4599"/>
      <c r="BN126" s="4599"/>
      <c r="BO126" s="4599"/>
      <c r="BP126" s="4599"/>
      <c r="BQ126" s="4599"/>
      <c r="BR126" s="4599"/>
      <c r="BS126" s="4599"/>
      <c r="BT126" s="4599"/>
      <c r="BW126" s="3036"/>
    </row>
    <row r="127" spans="5:75" ht="17.100000000000001" customHeight="1" x14ac:dyDescent="0.15">
      <c r="E127" s="3035"/>
      <c r="H127" s="26"/>
      <c r="I127" s="26"/>
      <c r="J127" s="26"/>
      <c r="K127" s="26"/>
      <c r="L127" s="26"/>
      <c r="M127" s="26"/>
      <c r="N127" s="26"/>
      <c r="O127" s="26"/>
      <c r="P127" s="26"/>
      <c r="Q127" s="26"/>
      <c r="R127" s="26"/>
      <c r="S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I127" s="26"/>
      <c r="BJ127" s="26"/>
      <c r="BK127" s="26"/>
      <c r="BL127" s="26"/>
      <c r="BM127" s="26"/>
      <c r="BN127" s="26"/>
      <c r="BO127" s="26"/>
      <c r="BP127" s="26"/>
      <c r="BQ127" s="26"/>
      <c r="BR127" s="26"/>
      <c r="BS127" s="26"/>
      <c r="BT127" s="26"/>
      <c r="BW127" s="3036"/>
    </row>
    <row r="128" spans="5:75" ht="17.100000000000001" customHeight="1" x14ac:dyDescent="0.15">
      <c r="E128" s="3035"/>
      <c r="H128" s="26"/>
      <c r="I128" s="26"/>
      <c r="J128" s="26"/>
      <c r="K128" s="26"/>
      <c r="L128" s="26"/>
      <c r="M128" s="26"/>
      <c r="N128" s="26"/>
      <c r="O128" s="26"/>
      <c r="P128" s="26"/>
      <c r="Q128" s="26"/>
      <c r="R128" s="26"/>
      <c r="S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I128" s="26"/>
      <c r="BJ128" s="26"/>
      <c r="BK128" s="26"/>
      <c r="BL128" s="26"/>
      <c r="BM128" s="26"/>
      <c r="BN128" s="26"/>
      <c r="BO128" s="26"/>
      <c r="BP128" s="26"/>
      <c r="BQ128" s="26"/>
      <c r="BR128" s="26"/>
      <c r="BS128" s="26"/>
      <c r="BT128" s="26"/>
      <c r="BW128" s="3036"/>
    </row>
    <row r="129" spans="5:75" ht="17.100000000000001" customHeight="1" x14ac:dyDescent="0.25">
      <c r="E129" s="3035"/>
      <c r="H129" s="4600" t="s">
        <v>1812</v>
      </c>
      <c r="I129" s="4600"/>
      <c r="J129" s="4600"/>
      <c r="K129" s="4600"/>
      <c r="L129" s="4600"/>
      <c r="M129" s="4600"/>
      <c r="N129" s="4600"/>
      <c r="O129" s="4600"/>
      <c r="P129" s="4600"/>
      <c r="Q129" s="4600"/>
      <c r="R129" s="4600"/>
      <c r="S129" s="4600"/>
      <c r="U129" s="4600" t="s">
        <v>1858</v>
      </c>
      <c r="V129" s="4600"/>
      <c r="W129" s="4600"/>
      <c r="X129" s="4600"/>
      <c r="Y129" s="4600"/>
      <c r="Z129" s="4600"/>
      <c r="AA129" s="4600"/>
      <c r="AB129" s="4600"/>
      <c r="AC129" s="4600"/>
      <c r="AD129" s="4600"/>
      <c r="AE129" s="4600"/>
      <c r="AF129" s="4600"/>
      <c r="AG129" s="2458"/>
      <c r="AH129" s="4600" t="s">
        <v>1859</v>
      </c>
      <c r="AI129" s="4600"/>
      <c r="AJ129" s="4600"/>
      <c r="AK129" s="4600"/>
      <c r="AL129" s="4600"/>
      <c r="AM129" s="4600"/>
      <c r="AN129" s="4600"/>
      <c r="AO129" s="4600"/>
      <c r="AP129" s="4600"/>
      <c r="AQ129" s="4600"/>
      <c r="AR129" s="4600"/>
      <c r="AS129" s="4600"/>
      <c r="AT129" s="4600"/>
      <c r="AU129" s="3028"/>
      <c r="AV129" s="4600" t="s">
        <v>1860</v>
      </c>
      <c r="AW129" s="4600"/>
      <c r="AX129" s="4600"/>
      <c r="AY129" s="4600"/>
      <c r="AZ129" s="4600"/>
      <c r="BA129" s="4600"/>
      <c r="BB129" s="4600"/>
      <c r="BC129" s="4600"/>
      <c r="BD129" s="4600"/>
      <c r="BE129" s="4600"/>
      <c r="BF129" s="4600"/>
      <c r="BG129" s="4600"/>
      <c r="BI129" s="4600" t="s">
        <v>1813</v>
      </c>
      <c r="BJ129" s="4600"/>
      <c r="BK129" s="4600"/>
      <c r="BL129" s="4600"/>
      <c r="BM129" s="4600"/>
      <c r="BN129" s="4600"/>
      <c r="BO129" s="4600"/>
      <c r="BP129" s="4600"/>
      <c r="BQ129" s="4600"/>
      <c r="BR129" s="4600"/>
      <c r="BS129" s="4600"/>
      <c r="BT129" s="4600"/>
      <c r="BW129" s="3036"/>
    </row>
    <row r="130" spans="5:75" ht="17.100000000000001" customHeight="1" x14ac:dyDescent="0.2">
      <c r="E130" s="3035"/>
      <c r="H130" s="4601" t="str">
        <f>data!JT39</f>
        <v>Tools</v>
      </c>
      <c r="I130" s="4601"/>
      <c r="J130" s="4601"/>
      <c r="K130" s="4601"/>
      <c r="L130" s="4601"/>
      <c r="M130" s="4601"/>
      <c r="N130" s="4601"/>
      <c r="O130" s="4601"/>
      <c r="P130" s="4601"/>
      <c r="Q130" s="4601"/>
      <c r="R130" s="4601"/>
      <c r="S130" s="4601"/>
      <c r="U130" s="4601" t="str">
        <f>data!JV39</f>
        <v>Gadgets</v>
      </c>
      <c r="V130" s="4601"/>
      <c r="W130" s="4601"/>
      <c r="X130" s="4601"/>
      <c r="Y130" s="4601"/>
      <c r="Z130" s="4601"/>
      <c r="AA130" s="4601"/>
      <c r="AB130" s="4601"/>
      <c r="AC130" s="4601"/>
      <c r="AD130" s="4601"/>
      <c r="AE130" s="4601"/>
      <c r="AF130" s="4601"/>
      <c r="AG130" s="418"/>
      <c r="AH130" s="4601" t="str">
        <f>data!JX39</f>
        <v>Miscellaneous</v>
      </c>
      <c r="AI130" s="4601"/>
      <c r="AJ130" s="4601"/>
      <c r="AK130" s="4601"/>
      <c r="AL130" s="4601"/>
      <c r="AM130" s="4601"/>
      <c r="AN130" s="4601"/>
      <c r="AO130" s="4601"/>
      <c r="AP130" s="4601"/>
      <c r="AQ130" s="4601"/>
      <c r="AR130" s="4601"/>
      <c r="AS130" s="4601"/>
      <c r="AT130" s="4601"/>
      <c r="AU130" s="3030"/>
      <c r="AV130" s="4601" t="str">
        <f>data!JZ39</f>
        <v>Treats</v>
      </c>
      <c r="AW130" s="4601"/>
      <c r="AX130" s="4601"/>
      <c r="AY130" s="4601"/>
      <c r="AZ130" s="4601"/>
      <c r="BA130" s="4601"/>
      <c r="BB130" s="4601"/>
      <c r="BC130" s="4601"/>
      <c r="BD130" s="4601"/>
      <c r="BE130" s="4601"/>
      <c r="BF130" s="4601"/>
      <c r="BG130" s="4601"/>
      <c r="BI130" s="4601" t="str">
        <f>data!KB39</f>
        <v>Useful</v>
      </c>
      <c r="BJ130" s="4601"/>
      <c r="BK130" s="4601"/>
      <c r="BL130" s="4601"/>
      <c r="BM130" s="4601"/>
      <c r="BN130" s="4601"/>
      <c r="BO130" s="4601"/>
      <c r="BP130" s="4601"/>
      <c r="BQ130" s="4601"/>
      <c r="BR130" s="4601"/>
      <c r="BS130" s="4601"/>
      <c r="BT130" s="4601"/>
      <c r="BW130" s="3036"/>
    </row>
    <row r="131" spans="5:75" ht="17.100000000000001" customHeight="1" x14ac:dyDescent="0.15">
      <c r="E131" s="3035"/>
      <c r="H131" s="40"/>
      <c r="I131" s="40"/>
      <c r="J131" s="40"/>
      <c r="K131" s="40"/>
      <c r="L131" s="40"/>
      <c r="M131" s="40"/>
      <c r="N131" s="40"/>
      <c r="O131" s="40"/>
      <c r="P131" s="40"/>
      <c r="Q131" s="40"/>
      <c r="R131" s="40"/>
      <c r="S131" s="40"/>
      <c r="U131" s="40"/>
      <c r="V131" s="40"/>
      <c r="W131" s="40"/>
      <c r="X131" s="40"/>
      <c r="Y131" s="40"/>
      <c r="Z131" s="40"/>
      <c r="AA131" s="40"/>
      <c r="AB131" s="40"/>
      <c r="AC131" s="40"/>
      <c r="AD131" s="40"/>
      <c r="AE131" s="40"/>
      <c r="AF131" s="40"/>
      <c r="AV131" s="40"/>
      <c r="AW131" s="40"/>
      <c r="AX131" s="40"/>
      <c r="AY131" s="40"/>
      <c r="AZ131" s="40"/>
      <c r="BA131" s="40"/>
      <c r="BB131" s="40"/>
      <c r="BC131" s="40"/>
      <c r="BD131" s="40"/>
      <c r="BE131" s="40"/>
      <c r="BF131" s="40"/>
      <c r="BG131" s="40"/>
      <c r="BI131" s="40"/>
      <c r="BJ131" s="40"/>
      <c r="BK131" s="40"/>
      <c r="BL131" s="40"/>
      <c r="BM131" s="40"/>
      <c r="BN131" s="40"/>
      <c r="BO131" s="40"/>
      <c r="BP131" s="40"/>
      <c r="BQ131" s="40"/>
      <c r="BR131" s="40"/>
      <c r="BS131" s="40"/>
      <c r="BT131" s="40"/>
      <c r="BW131" s="3036"/>
    </row>
    <row r="132" spans="5:75" ht="17.100000000000001" customHeight="1" x14ac:dyDescent="0.2">
      <c r="E132" s="3035"/>
      <c r="G132" s="2128">
        <f>_xlfn.XLOOKUP(H132,$CD$65:$CD$71,$CC$65:$CC$71,0,0)</f>
        <v>0</v>
      </c>
      <c r="H132" s="4598" t="s">
        <v>2345</v>
      </c>
      <c r="I132" s="4598"/>
      <c r="J132" s="4598"/>
      <c r="K132" s="4598"/>
      <c r="L132" s="4598"/>
      <c r="M132" s="4598"/>
      <c r="N132" s="4598"/>
      <c r="O132" s="4598"/>
      <c r="P132" s="4598"/>
      <c r="Q132" s="4598"/>
      <c r="R132" s="4598"/>
      <c r="S132" s="4598"/>
      <c r="T132" s="2128">
        <f>_xlfn.XLOOKUP(U132,$CD$65:$CD$71,$CC$65:$CC$71,0,0)</f>
        <v>0</v>
      </c>
      <c r="U132" s="4598" t="s">
        <v>2346</v>
      </c>
      <c r="V132" s="4598"/>
      <c r="W132" s="4598"/>
      <c r="X132" s="4598"/>
      <c r="Y132" s="4598"/>
      <c r="Z132" s="4598"/>
      <c r="AA132" s="4598"/>
      <c r="AB132" s="4598"/>
      <c r="AC132" s="4598"/>
      <c r="AD132" s="4598"/>
      <c r="AE132" s="4598"/>
      <c r="AF132" s="4598"/>
      <c r="AG132" s="2128">
        <f>_xlfn.XLOOKUP(AH132,$CD$65:$CD$71,$CC$65:$CC$71,0,0)</f>
        <v>0</v>
      </c>
      <c r="AH132" s="4598" t="s">
        <v>2347</v>
      </c>
      <c r="AI132" s="4598"/>
      <c r="AJ132" s="4598"/>
      <c r="AK132" s="4598"/>
      <c r="AL132" s="4598"/>
      <c r="AM132" s="4598"/>
      <c r="AN132" s="4598"/>
      <c r="AO132" s="4598"/>
      <c r="AP132" s="4598"/>
      <c r="AQ132" s="4598"/>
      <c r="AR132" s="4598"/>
      <c r="AS132" s="4598"/>
      <c r="AT132" s="4598"/>
      <c r="AU132" s="2128">
        <f>_xlfn.XLOOKUP(AV132,$CD$65:$CD$71,$CC$65:$CC$71,0,0)</f>
        <v>0</v>
      </c>
      <c r="AV132" s="4598" t="s">
        <v>2348</v>
      </c>
      <c r="AW132" s="4598"/>
      <c r="AX132" s="4598"/>
      <c r="AY132" s="4598"/>
      <c r="AZ132" s="4598"/>
      <c r="BA132" s="4598"/>
      <c r="BB132" s="4598"/>
      <c r="BC132" s="4598"/>
      <c r="BD132" s="4598"/>
      <c r="BE132" s="4598"/>
      <c r="BF132" s="4598"/>
      <c r="BG132" s="4598"/>
      <c r="BH132" s="2128">
        <f>_xlfn.XLOOKUP(BI132,$CD$65:$CD$71,$CC$65:$CC$71,0,0)</f>
        <v>0</v>
      </c>
      <c r="BI132" s="4598" t="s">
        <v>2349</v>
      </c>
      <c r="BJ132" s="4598"/>
      <c r="BK132" s="4598"/>
      <c r="BL132" s="4598"/>
      <c r="BM132" s="4598"/>
      <c r="BN132" s="4598"/>
      <c r="BO132" s="4598"/>
      <c r="BP132" s="4598"/>
      <c r="BQ132" s="4598"/>
      <c r="BR132" s="4598"/>
      <c r="BS132" s="4598"/>
      <c r="BT132" s="4598"/>
      <c r="BW132" s="3036"/>
    </row>
    <row r="133" spans="5:75" ht="17.100000000000001" customHeight="1" x14ac:dyDescent="0.15">
      <c r="E133" s="3035"/>
      <c r="G133" s="2128"/>
      <c r="H133" s="4599" t="str">
        <f>data!JT40</f>
        <v>Yoga Equipment</v>
      </c>
      <c r="I133" s="4599"/>
      <c r="J133" s="4599"/>
      <c r="K133" s="4599"/>
      <c r="L133" s="4599"/>
      <c r="M133" s="4599"/>
      <c r="N133" s="4599"/>
      <c r="O133" s="4599"/>
      <c r="P133" s="4599"/>
      <c r="Q133" s="4599"/>
      <c r="R133" s="4599"/>
      <c r="S133" s="4599"/>
      <c r="T133" s="2128"/>
      <c r="U133" s="4599" t="str">
        <f>data!JV40</f>
        <v>Polaroid Camera</v>
      </c>
      <c r="V133" s="4599"/>
      <c r="W133" s="4599"/>
      <c r="X133" s="4599"/>
      <c r="Y133" s="4599"/>
      <c r="Z133" s="4599"/>
      <c r="AA133" s="4599"/>
      <c r="AB133" s="4599"/>
      <c r="AC133" s="4599"/>
      <c r="AD133" s="4599"/>
      <c r="AE133" s="4599"/>
      <c r="AF133" s="4599"/>
      <c r="AG133" s="2128"/>
      <c r="AH133" s="4602" t="str">
        <f>data!JX40</f>
        <v>Perfume</v>
      </c>
      <c r="AI133" s="4602"/>
      <c r="AJ133" s="4602"/>
      <c r="AK133" s="4602"/>
      <c r="AL133" s="4602"/>
      <c r="AM133" s="4602"/>
      <c r="AN133" s="4602"/>
      <c r="AO133" s="4602"/>
      <c r="AP133" s="4602"/>
      <c r="AQ133" s="4602"/>
      <c r="AR133" s="4602"/>
      <c r="AS133" s="4602"/>
      <c r="AT133" s="4602"/>
      <c r="AU133" s="2128"/>
      <c r="AV133" s="4599" t="str">
        <f>data!JZ40</f>
        <v>Any Charity Shop Item</v>
      </c>
      <c r="AW133" s="4599"/>
      <c r="AX133" s="4599"/>
      <c r="AY133" s="4599"/>
      <c r="AZ133" s="4599"/>
      <c r="BA133" s="4599"/>
      <c r="BB133" s="4599"/>
      <c r="BC133" s="4599"/>
      <c r="BD133" s="4599"/>
      <c r="BE133" s="4599"/>
      <c r="BF133" s="4599"/>
      <c r="BG133" s="4599"/>
      <c r="BH133" s="2128"/>
      <c r="BI133" s="4599" t="str">
        <f>data!KB40</f>
        <v>Ornament</v>
      </c>
      <c r="BJ133" s="4599"/>
      <c r="BK133" s="4599"/>
      <c r="BL133" s="4599"/>
      <c r="BM133" s="4599"/>
      <c r="BN133" s="4599"/>
      <c r="BO133" s="4599"/>
      <c r="BP133" s="4599"/>
      <c r="BQ133" s="4599"/>
      <c r="BR133" s="4599"/>
      <c r="BS133" s="4599"/>
      <c r="BT133" s="4599"/>
      <c r="BW133" s="3036"/>
    </row>
    <row r="134" spans="5:75" ht="17.100000000000001" customHeight="1" x14ac:dyDescent="0.2">
      <c r="E134" s="3035"/>
      <c r="G134" s="2128">
        <f t="shared" ref="G134" si="80">_xlfn.XLOOKUP(H134,$CD$65:$CD$71,$CC$65:$CC$71,0,0)</f>
        <v>0</v>
      </c>
      <c r="H134" s="4598"/>
      <c r="I134" s="4598"/>
      <c r="J134" s="4598"/>
      <c r="K134" s="4598"/>
      <c r="L134" s="4598"/>
      <c r="M134" s="4598"/>
      <c r="N134" s="4598"/>
      <c r="O134" s="4598"/>
      <c r="P134" s="4598"/>
      <c r="Q134" s="4598"/>
      <c r="R134" s="4598"/>
      <c r="S134" s="4598"/>
      <c r="T134" s="2128">
        <f t="shared" ref="T134" si="81">_xlfn.XLOOKUP(U134,$CD$65:$CD$71,$CC$65:$CC$71,0,0)</f>
        <v>0</v>
      </c>
      <c r="U134" s="4598"/>
      <c r="V134" s="4598"/>
      <c r="W134" s="4598"/>
      <c r="X134" s="4598"/>
      <c r="Y134" s="4598"/>
      <c r="Z134" s="4598"/>
      <c r="AA134" s="4598"/>
      <c r="AB134" s="4598"/>
      <c r="AC134" s="4598"/>
      <c r="AD134" s="4598"/>
      <c r="AE134" s="4598"/>
      <c r="AF134" s="4598"/>
      <c r="AG134" s="2128">
        <f t="shared" ref="AG134" si="82">_xlfn.XLOOKUP(AH134,$CD$65:$CD$71,$CC$65:$CC$71,0,0)</f>
        <v>0</v>
      </c>
      <c r="AH134" s="4598"/>
      <c r="AI134" s="4598"/>
      <c r="AJ134" s="4598"/>
      <c r="AK134" s="4598"/>
      <c r="AL134" s="4598"/>
      <c r="AM134" s="4598"/>
      <c r="AN134" s="4598"/>
      <c r="AO134" s="4598"/>
      <c r="AP134" s="4598"/>
      <c r="AQ134" s="4598"/>
      <c r="AR134" s="4598"/>
      <c r="AS134" s="4598"/>
      <c r="AT134" s="4598"/>
      <c r="AU134" s="2128">
        <f t="shared" ref="AU134" si="83">_xlfn.XLOOKUP(AV134,$CD$65:$CD$71,$CC$65:$CC$71,0,0)</f>
        <v>0</v>
      </c>
      <c r="AV134" s="4598"/>
      <c r="AW134" s="4598"/>
      <c r="AX134" s="4598"/>
      <c r="AY134" s="4598"/>
      <c r="AZ134" s="4598"/>
      <c r="BA134" s="4598"/>
      <c r="BB134" s="4598"/>
      <c r="BC134" s="4598"/>
      <c r="BD134" s="4598"/>
      <c r="BE134" s="4598"/>
      <c r="BF134" s="4598"/>
      <c r="BG134" s="4598"/>
      <c r="BH134" s="2128">
        <f t="shared" ref="BH134" si="84">_xlfn.XLOOKUP(BI134,$CD$65:$CD$71,$CC$65:$CC$71,0,0)</f>
        <v>0</v>
      </c>
      <c r="BI134" s="4598"/>
      <c r="BJ134" s="4598"/>
      <c r="BK134" s="4598"/>
      <c r="BL134" s="4598"/>
      <c r="BM134" s="4598"/>
      <c r="BN134" s="4598"/>
      <c r="BO134" s="4598"/>
      <c r="BP134" s="4598"/>
      <c r="BQ134" s="4598"/>
      <c r="BR134" s="4598"/>
      <c r="BS134" s="4598"/>
      <c r="BT134" s="4598"/>
      <c r="BW134" s="3036"/>
    </row>
    <row r="135" spans="5:75" ht="17.100000000000001" customHeight="1" x14ac:dyDescent="0.15">
      <c r="E135" s="3035"/>
      <c r="G135" s="2128"/>
      <c r="H135" s="4599" t="str">
        <f>data!JT41</f>
        <v>Gym Equipment</v>
      </c>
      <c r="I135" s="4599"/>
      <c r="J135" s="4599"/>
      <c r="K135" s="4599"/>
      <c r="L135" s="4599"/>
      <c r="M135" s="4599"/>
      <c r="N135" s="4599"/>
      <c r="O135" s="4599"/>
      <c r="P135" s="4599"/>
      <c r="Q135" s="4599"/>
      <c r="R135" s="4599"/>
      <c r="S135" s="4599"/>
      <c r="T135" s="2128"/>
      <c r="U135" s="4599" t="str">
        <f>data!JV41</f>
        <v>Headphones</v>
      </c>
      <c r="V135" s="4599"/>
      <c r="W135" s="4599"/>
      <c r="X135" s="4599"/>
      <c r="Y135" s="4599"/>
      <c r="Z135" s="4599"/>
      <c r="AA135" s="4599"/>
      <c r="AB135" s="4599"/>
      <c r="AC135" s="4599"/>
      <c r="AD135" s="4599"/>
      <c r="AE135" s="4599"/>
      <c r="AF135" s="4599"/>
      <c r="AG135" s="2128"/>
      <c r="AH135" s="4602" t="str">
        <f>data!JX41</f>
        <v>Makeup</v>
      </c>
      <c r="AI135" s="4602"/>
      <c r="AJ135" s="4602"/>
      <c r="AK135" s="4602"/>
      <c r="AL135" s="4602"/>
      <c r="AM135" s="4602"/>
      <c r="AN135" s="4602"/>
      <c r="AO135" s="4602"/>
      <c r="AP135" s="4602"/>
      <c r="AQ135" s="4602"/>
      <c r="AR135" s="4602"/>
      <c r="AS135" s="4602"/>
      <c r="AT135" s="4602"/>
      <c r="AU135" s="2128"/>
      <c r="AV135" s="4599" t="str">
        <f>data!JZ41</f>
        <v>Any Item on Sale</v>
      </c>
      <c r="AW135" s="4599"/>
      <c r="AX135" s="4599"/>
      <c r="AY135" s="4599"/>
      <c r="AZ135" s="4599"/>
      <c r="BA135" s="4599"/>
      <c r="BB135" s="4599"/>
      <c r="BC135" s="4599"/>
      <c r="BD135" s="4599"/>
      <c r="BE135" s="4599"/>
      <c r="BF135" s="4599"/>
      <c r="BG135" s="4599"/>
      <c r="BH135" s="2128"/>
      <c r="BI135" s="4599" t="str">
        <f>data!KB41</f>
        <v>Photography Wall Art</v>
      </c>
      <c r="BJ135" s="4599"/>
      <c r="BK135" s="4599"/>
      <c r="BL135" s="4599"/>
      <c r="BM135" s="4599"/>
      <c r="BN135" s="4599"/>
      <c r="BO135" s="4599"/>
      <c r="BP135" s="4599"/>
      <c r="BQ135" s="4599"/>
      <c r="BR135" s="4599"/>
      <c r="BS135" s="4599"/>
      <c r="BT135" s="4599"/>
      <c r="BW135" s="3036"/>
    </row>
    <row r="136" spans="5:75" ht="17.100000000000001" customHeight="1" x14ac:dyDescent="0.2">
      <c r="E136" s="3035"/>
      <c r="G136" s="2128">
        <f t="shared" ref="G136" si="85">_xlfn.XLOOKUP(H136,$CD$65:$CD$71,$CC$65:$CC$71,0,0)</f>
        <v>0</v>
      </c>
      <c r="H136" s="4598"/>
      <c r="I136" s="4598"/>
      <c r="J136" s="4598"/>
      <c r="K136" s="4598"/>
      <c r="L136" s="4598"/>
      <c r="M136" s="4598"/>
      <c r="N136" s="4598"/>
      <c r="O136" s="4598"/>
      <c r="P136" s="4598"/>
      <c r="Q136" s="4598"/>
      <c r="R136" s="4598"/>
      <c r="S136" s="4598"/>
      <c r="T136" s="2128">
        <f t="shared" ref="T136" si="86">_xlfn.XLOOKUP(U136,$CD$65:$CD$71,$CC$65:$CC$71,0,0)</f>
        <v>0</v>
      </c>
      <c r="U136" s="4598"/>
      <c r="V136" s="4598"/>
      <c r="W136" s="4598"/>
      <c r="X136" s="4598"/>
      <c r="Y136" s="4598"/>
      <c r="Z136" s="4598"/>
      <c r="AA136" s="4598"/>
      <c r="AB136" s="4598"/>
      <c r="AC136" s="4598"/>
      <c r="AD136" s="4598"/>
      <c r="AE136" s="4598"/>
      <c r="AF136" s="4598"/>
      <c r="AG136" s="2128">
        <f t="shared" ref="AG136" si="87">_xlfn.XLOOKUP(AH136,$CD$65:$CD$71,$CC$65:$CC$71,0,0)</f>
        <v>0</v>
      </c>
      <c r="AH136" s="4598"/>
      <c r="AI136" s="4598"/>
      <c r="AJ136" s="4598"/>
      <c r="AK136" s="4598"/>
      <c r="AL136" s="4598"/>
      <c r="AM136" s="4598"/>
      <c r="AN136" s="4598"/>
      <c r="AO136" s="4598"/>
      <c r="AP136" s="4598"/>
      <c r="AQ136" s="4598"/>
      <c r="AR136" s="4598"/>
      <c r="AS136" s="4598"/>
      <c r="AT136" s="4598"/>
      <c r="AU136" s="2128">
        <f t="shared" ref="AU136" si="88">_xlfn.XLOOKUP(AV136,$CD$65:$CD$71,$CC$65:$CC$71,0,0)</f>
        <v>0</v>
      </c>
      <c r="AV136" s="4598"/>
      <c r="AW136" s="4598"/>
      <c r="AX136" s="4598"/>
      <c r="AY136" s="4598"/>
      <c r="AZ136" s="4598"/>
      <c r="BA136" s="4598"/>
      <c r="BB136" s="4598"/>
      <c r="BC136" s="4598"/>
      <c r="BD136" s="4598"/>
      <c r="BE136" s="4598"/>
      <c r="BF136" s="4598"/>
      <c r="BG136" s="4598"/>
      <c r="BH136" s="2128">
        <f t="shared" ref="BH136" si="89">_xlfn.XLOOKUP(BI136,$CD$65:$CD$71,$CC$65:$CC$71,0,0)</f>
        <v>0</v>
      </c>
      <c r="BI136" s="4598"/>
      <c r="BJ136" s="4598"/>
      <c r="BK136" s="4598"/>
      <c r="BL136" s="4598"/>
      <c r="BM136" s="4598"/>
      <c r="BN136" s="4598"/>
      <c r="BO136" s="4598"/>
      <c r="BP136" s="4598"/>
      <c r="BQ136" s="4598"/>
      <c r="BR136" s="4598"/>
      <c r="BS136" s="4598"/>
      <c r="BT136" s="4598"/>
      <c r="BW136" s="3036"/>
    </row>
    <row r="137" spans="5:75" ht="17.100000000000001" customHeight="1" x14ac:dyDescent="0.15">
      <c r="E137" s="3035"/>
      <c r="G137" s="2128"/>
      <c r="H137" s="4599" t="str">
        <f>data!JT42</f>
        <v>Weight Training Equipment</v>
      </c>
      <c r="I137" s="4599"/>
      <c r="J137" s="4599"/>
      <c r="K137" s="4599"/>
      <c r="L137" s="4599"/>
      <c r="M137" s="4599"/>
      <c r="N137" s="4599"/>
      <c r="O137" s="4599"/>
      <c r="P137" s="4599"/>
      <c r="Q137" s="4599"/>
      <c r="R137" s="4599"/>
      <c r="S137" s="4599"/>
      <c r="T137" s="2128"/>
      <c r="U137" s="4599" t="str">
        <f>data!JV42</f>
        <v>Binocculars</v>
      </c>
      <c r="V137" s="4599"/>
      <c r="W137" s="4599"/>
      <c r="X137" s="4599"/>
      <c r="Y137" s="4599"/>
      <c r="Z137" s="4599"/>
      <c r="AA137" s="4599"/>
      <c r="AB137" s="4599"/>
      <c r="AC137" s="4599"/>
      <c r="AD137" s="4599"/>
      <c r="AE137" s="4599"/>
      <c r="AF137" s="4599"/>
      <c r="AG137" s="2128"/>
      <c r="AH137" s="4602" t="str">
        <f>data!JX42</f>
        <v>Scented Candle</v>
      </c>
      <c r="AI137" s="4602"/>
      <c r="AJ137" s="4602"/>
      <c r="AK137" s="4602"/>
      <c r="AL137" s="4602"/>
      <c r="AM137" s="4602"/>
      <c r="AN137" s="4602"/>
      <c r="AO137" s="4602"/>
      <c r="AP137" s="4602"/>
      <c r="AQ137" s="4602"/>
      <c r="AR137" s="4602"/>
      <c r="AS137" s="4602"/>
      <c r="AT137" s="4602"/>
      <c r="AU137" s="2128"/>
      <c r="AV137" s="4599" t="str">
        <f>data!JZ42</f>
        <v>Any Item on Sale</v>
      </c>
      <c r="AW137" s="4599"/>
      <c r="AX137" s="4599"/>
      <c r="AY137" s="4599"/>
      <c r="AZ137" s="4599"/>
      <c r="BA137" s="4599"/>
      <c r="BB137" s="4599"/>
      <c r="BC137" s="4599"/>
      <c r="BD137" s="4599"/>
      <c r="BE137" s="4599"/>
      <c r="BF137" s="4599"/>
      <c r="BG137" s="4599"/>
      <c r="BH137" s="2128"/>
      <c r="BI137" s="4599" t="str">
        <f>data!KB42</f>
        <v>Painting Wall Art</v>
      </c>
      <c r="BJ137" s="4599"/>
      <c r="BK137" s="4599"/>
      <c r="BL137" s="4599"/>
      <c r="BM137" s="4599"/>
      <c r="BN137" s="4599"/>
      <c r="BO137" s="4599"/>
      <c r="BP137" s="4599"/>
      <c r="BQ137" s="4599"/>
      <c r="BR137" s="4599"/>
      <c r="BS137" s="4599"/>
      <c r="BT137" s="4599"/>
      <c r="BW137" s="3036"/>
    </row>
    <row r="138" spans="5:75" ht="17.100000000000001" customHeight="1" x14ac:dyDescent="0.2">
      <c r="E138" s="3035"/>
      <c r="G138" s="2128">
        <f t="shared" ref="G138" si="90">_xlfn.XLOOKUP(H138,$CD$65:$CD$71,$CC$65:$CC$71,0,0)</f>
        <v>0</v>
      </c>
      <c r="H138" s="4598"/>
      <c r="I138" s="4598"/>
      <c r="J138" s="4598"/>
      <c r="K138" s="4598"/>
      <c r="L138" s="4598"/>
      <c r="M138" s="4598"/>
      <c r="N138" s="4598"/>
      <c r="O138" s="4598"/>
      <c r="P138" s="4598"/>
      <c r="Q138" s="4598"/>
      <c r="R138" s="4598"/>
      <c r="S138" s="4598"/>
      <c r="T138" s="2128">
        <f t="shared" ref="T138" si="91">_xlfn.XLOOKUP(U138,$CD$65:$CD$71,$CC$65:$CC$71,0,0)</f>
        <v>0</v>
      </c>
      <c r="U138" s="4598"/>
      <c r="V138" s="4598"/>
      <c r="W138" s="4598"/>
      <c r="X138" s="4598"/>
      <c r="Y138" s="4598"/>
      <c r="Z138" s="4598"/>
      <c r="AA138" s="4598"/>
      <c r="AB138" s="4598"/>
      <c r="AC138" s="4598"/>
      <c r="AD138" s="4598"/>
      <c r="AE138" s="4598"/>
      <c r="AF138" s="4598"/>
      <c r="AG138" s="2128">
        <f t="shared" ref="AG138" si="92">_xlfn.XLOOKUP(AH138,$CD$65:$CD$71,$CC$65:$CC$71,0,0)</f>
        <v>0</v>
      </c>
      <c r="AH138" s="4598"/>
      <c r="AI138" s="4598"/>
      <c r="AJ138" s="4598"/>
      <c r="AK138" s="4598"/>
      <c r="AL138" s="4598"/>
      <c r="AM138" s="4598"/>
      <c r="AN138" s="4598"/>
      <c r="AO138" s="4598"/>
      <c r="AP138" s="4598"/>
      <c r="AQ138" s="4598"/>
      <c r="AR138" s="4598"/>
      <c r="AS138" s="4598"/>
      <c r="AT138" s="4598"/>
      <c r="AU138" s="2128">
        <f t="shared" ref="AU138" si="93">_xlfn.XLOOKUP(AV138,$CD$65:$CD$71,$CC$65:$CC$71,0,0)</f>
        <v>0</v>
      </c>
      <c r="AV138" s="4598"/>
      <c r="AW138" s="4598"/>
      <c r="AX138" s="4598"/>
      <c r="AY138" s="4598"/>
      <c r="AZ138" s="4598"/>
      <c r="BA138" s="4598"/>
      <c r="BB138" s="4598"/>
      <c r="BC138" s="4598"/>
      <c r="BD138" s="4598"/>
      <c r="BE138" s="4598"/>
      <c r="BF138" s="4598"/>
      <c r="BG138" s="4598"/>
      <c r="BH138" s="2128">
        <f t="shared" ref="BH138" si="94">_xlfn.XLOOKUP(BI138,$CD$65:$CD$71,$CC$65:$CC$71,0,0)</f>
        <v>0</v>
      </c>
      <c r="BI138" s="4598"/>
      <c r="BJ138" s="4598"/>
      <c r="BK138" s="4598"/>
      <c r="BL138" s="4598"/>
      <c r="BM138" s="4598"/>
      <c r="BN138" s="4598"/>
      <c r="BO138" s="4598"/>
      <c r="BP138" s="4598"/>
      <c r="BQ138" s="4598"/>
      <c r="BR138" s="4598"/>
      <c r="BS138" s="4598"/>
      <c r="BT138" s="4598"/>
      <c r="BW138" s="3036"/>
    </row>
    <row r="139" spans="5:75" ht="17.100000000000001" customHeight="1" x14ac:dyDescent="0.15">
      <c r="E139" s="3035"/>
      <c r="G139" s="2128"/>
      <c r="H139" s="4599" t="str">
        <f>data!JT43</f>
        <v>Running Equipment</v>
      </c>
      <c r="I139" s="4599"/>
      <c r="J139" s="4599"/>
      <c r="K139" s="4599"/>
      <c r="L139" s="4599"/>
      <c r="M139" s="4599"/>
      <c r="N139" s="4599"/>
      <c r="O139" s="4599"/>
      <c r="P139" s="4599"/>
      <c r="Q139" s="4599"/>
      <c r="R139" s="4599"/>
      <c r="S139" s="4599"/>
      <c r="T139" s="2128"/>
      <c r="U139" s="4599" t="str">
        <f>data!JV43</f>
        <v>Projector</v>
      </c>
      <c r="V139" s="4599"/>
      <c r="W139" s="4599"/>
      <c r="X139" s="4599"/>
      <c r="Y139" s="4599"/>
      <c r="Z139" s="4599"/>
      <c r="AA139" s="4599"/>
      <c r="AB139" s="4599"/>
      <c r="AC139" s="4599"/>
      <c r="AD139" s="4599"/>
      <c r="AE139" s="4599"/>
      <c r="AF139" s="4599"/>
      <c r="AG139" s="2128"/>
      <c r="AH139" s="4602" t="str">
        <f>data!JX43</f>
        <v>Houseplant</v>
      </c>
      <c r="AI139" s="4602"/>
      <c r="AJ139" s="4602"/>
      <c r="AK139" s="4602"/>
      <c r="AL139" s="4602"/>
      <c r="AM139" s="4602"/>
      <c r="AN139" s="4602"/>
      <c r="AO139" s="4602"/>
      <c r="AP139" s="4602"/>
      <c r="AQ139" s="4602"/>
      <c r="AR139" s="4602"/>
      <c r="AS139" s="4602"/>
      <c r="AT139" s="4602"/>
      <c r="AU139" s="2128"/>
      <c r="AV139" s="4599" t="str">
        <f>data!JZ43</f>
        <v>Any hot drink in a Café</v>
      </c>
      <c r="AW139" s="4599"/>
      <c r="AX139" s="4599"/>
      <c r="AY139" s="4599"/>
      <c r="AZ139" s="4599"/>
      <c r="BA139" s="4599"/>
      <c r="BB139" s="4599"/>
      <c r="BC139" s="4599"/>
      <c r="BD139" s="4599"/>
      <c r="BE139" s="4599"/>
      <c r="BF139" s="4599"/>
      <c r="BG139" s="4599"/>
      <c r="BH139" s="2128"/>
      <c r="BI139" s="4599" t="str">
        <f>data!KB43</f>
        <v>Piece of Furniture</v>
      </c>
      <c r="BJ139" s="4599"/>
      <c r="BK139" s="4599"/>
      <c r="BL139" s="4599"/>
      <c r="BM139" s="4599"/>
      <c r="BN139" s="4599"/>
      <c r="BO139" s="4599"/>
      <c r="BP139" s="4599"/>
      <c r="BQ139" s="4599"/>
      <c r="BR139" s="4599"/>
      <c r="BS139" s="4599"/>
      <c r="BT139" s="4599"/>
      <c r="BW139" s="3036"/>
    </row>
    <row r="140" spans="5:75" ht="17.100000000000001" customHeight="1" x14ac:dyDescent="0.2">
      <c r="E140" s="3035"/>
      <c r="G140" s="2128">
        <f t="shared" ref="G140" si="95">_xlfn.XLOOKUP(H140,$CD$65:$CD$71,$CC$65:$CC$71,0,0)</f>
        <v>0</v>
      </c>
      <c r="H140" s="4598"/>
      <c r="I140" s="4598"/>
      <c r="J140" s="4598"/>
      <c r="K140" s="4598"/>
      <c r="L140" s="4598"/>
      <c r="M140" s="4598"/>
      <c r="N140" s="4598"/>
      <c r="O140" s="4598"/>
      <c r="P140" s="4598"/>
      <c r="Q140" s="4598"/>
      <c r="R140" s="4598"/>
      <c r="S140" s="4598"/>
      <c r="T140" s="2128">
        <f t="shared" ref="T140" si="96">_xlfn.XLOOKUP(U140,$CD$65:$CD$71,$CC$65:$CC$71,0,0)</f>
        <v>0</v>
      </c>
      <c r="U140" s="4598"/>
      <c r="V140" s="4598"/>
      <c r="W140" s="4598"/>
      <c r="X140" s="4598"/>
      <c r="Y140" s="4598"/>
      <c r="Z140" s="4598"/>
      <c r="AA140" s="4598"/>
      <c r="AB140" s="4598"/>
      <c r="AC140" s="4598"/>
      <c r="AD140" s="4598"/>
      <c r="AE140" s="4598"/>
      <c r="AF140" s="4598"/>
      <c r="AG140" s="2128">
        <f t="shared" ref="AG140" si="97">_xlfn.XLOOKUP(AH140,$CD$65:$CD$71,$CC$65:$CC$71,0,0)</f>
        <v>0</v>
      </c>
      <c r="AH140" s="4598"/>
      <c r="AI140" s="4598"/>
      <c r="AJ140" s="4598"/>
      <c r="AK140" s="4598"/>
      <c r="AL140" s="4598"/>
      <c r="AM140" s="4598"/>
      <c r="AN140" s="4598"/>
      <c r="AO140" s="4598"/>
      <c r="AP140" s="4598"/>
      <c r="AQ140" s="4598"/>
      <c r="AR140" s="4598"/>
      <c r="AS140" s="4598"/>
      <c r="AT140" s="4598"/>
      <c r="AU140" s="2128">
        <f t="shared" ref="AU140" si="98">_xlfn.XLOOKUP(AV140,$CD$65:$CD$71,$CC$65:$CC$71,0,0)</f>
        <v>0</v>
      </c>
      <c r="AV140" s="4598"/>
      <c r="AW140" s="4598"/>
      <c r="AX140" s="4598"/>
      <c r="AY140" s="4598"/>
      <c r="AZ140" s="4598"/>
      <c r="BA140" s="4598"/>
      <c r="BB140" s="4598"/>
      <c r="BC140" s="4598"/>
      <c r="BD140" s="4598"/>
      <c r="BE140" s="4598"/>
      <c r="BF140" s="4598"/>
      <c r="BG140" s="4598"/>
      <c r="BH140" s="2128">
        <f t="shared" ref="BH140" si="99">_xlfn.XLOOKUP(BI140,$CD$65:$CD$71,$CC$65:$CC$71,0,0)</f>
        <v>0</v>
      </c>
      <c r="BI140" s="4598"/>
      <c r="BJ140" s="4598"/>
      <c r="BK140" s="4598"/>
      <c r="BL140" s="4598"/>
      <c r="BM140" s="4598"/>
      <c r="BN140" s="4598"/>
      <c r="BO140" s="4598"/>
      <c r="BP140" s="4598"/>
      <c r="BQ140" s="4598"/>
      <c r="BR140" s="4598"/>
      <c r="BS140" s="4598"/>
      <c r="BT140" s="4598"/>
      <c r="BW140" s="3036"/>
    </row>
    <row r="141" spans="5:75" ht="17.100000000000001" customHeight="1" x14ac:dyDescent="0.15">
      <c r="E141" s="3035"/>
      <c r="G141" s="2128"/>
      <c r="H141" s="4599" t="str">
        <f>data!JT44</f>
        <v>Yoga Gear</v>
      </c>
      <c r="I141" s="4599"/>
      <c r="J141" s="4599"/>
      <c r="K141" s="4599"/>
      <c r="L141" s="4599"/>
      <c r="M141" s="4599"/>
      <c r="N141" s="4599"/>
      <c r="O141" s="4599"/>
      <c r="P141" s="4599"/>
      <c r="Q141" s="4599"/>
      <c r="R141" s="4599"/>
      <c r="S141" s="4599"/>
      <c r="T141" s="2128"/>
      <c r="U141" s="4599" t="str">
        <f>data!JV44</f>
        <v>Drone</v>
      </c>
      <c r="V141" s="4599"/>
      <c r="W141" s="4599"/>
      <c r="X141" s="4599"/>
      <c r="Y141" s="4599"/>
      <c r="Z141" s="4599"/>
      <c r="AA141" s="4599"/>
      <c r="AB141" s="4599"/>
      <c r="AC141" s="4599"/>
      <c r="AD141" s="4599"/>
      <c r="AE141" s="4599"/>
      <c r="AF141" s="4599"/>
      <c r="AG141" s="2128"/>
      <c r="AH141" s="4602" t="str">
        <f>data!JX44</f>
        <v>Bag</v>
      </c>
      <c r="AI141" s="4602"/>
      <c r="AJ141" s="4602"/>
      <c r="AK141" s="4602"/>
      <c r="AL141" s="4602"/>
      <c r="AM141" s="4602"/>
      <c r="AN141" s="4602"/>
      <c r="AO141" s="4602"/>
      <c r="AP141" s="4602"/>
      <c r="AQ141" s="4602"/>
      <c r="AR141" s="4602"/>
      <c r="AS141" s="4602"/>
      <c r="AT141" s="4602"/>
      <c r="AU141" s="2128"/>
      <c r="AV141" s="4599" t="str">
        <f>data!JZ44</f>
        <v>Any hot drink in a Café</v>
      </c>
      <c r="AW141" s="4599"/>
      <c r="AX141" s="4599"/>
      <c r="AY141" s="4599"/>
      <c r="AZ141" s="4599"/>
      <c r="BA141" s="4599"/>
      <c r="BB141" s="4599"/>
      <c r="BC141" s="4599"/>
      <c r="BD141" s="4599"/>
      <c r="BE141" s="4599"/>
      <c r="BF141" s="4599"/>
      <c r="BG141" s="4599"/>
      <c r="BH141" s="2128"/>
      <c r="BI141" s="4599" t="str">
        <f>data!KB44</f>
        <v>Notepad</v>
      </c>
      <c r="BJ141" s="4599"/>
      <c r="BK141" s="4599"/>
      <c r="BL141" s="4599"/>
      <c r="BM141" s="4599"/>
      <c r="BN141" s="4599"/>
      <c r="BO141" s="4599"/>
      <c r="BP141" s="4599"/>
      <c r="BQ141" s="4599"/>
      <c r="BR141" s="4599"/>
      <c r="BS141" s="4599"/>
      <c r="BT141" s="4599"/>
      <c r="BW141" s="3036"/>
    </row>
    <row r="142" spans="5:75" ht="17.100000000000001" customHeight="1" x14ac:dyDescent="0.2">
      <c r="E142" s="3035"/>
      <c r="G142" s="2128">
        <f t="shared" ref="G142" si="100">_xlfn.XLOOKUP(H142,$CD$65:$CD$71,$CC$65:$CC$71,0,0)</f>
        <v>0</v>
      </c>
      <c r="H142" s="4598"/>
      <c r="I142" s="4598"/>
      <c r="J142" s="4598"/>
      <c r="K142" s="4598"/>
      <c r="L142" s="4598"/>
      <c r="M142" s="4598"/>
      <c r="N142" s="4598"/>
      <c r="O142" s="4598"/>
      <c r="P142" s="4598"/>
      <c r="Q142" s="4598"/>
      <c r="R142" s="4598"/>
      <c r="S142" s="4598"/>
      <c r="T142" s="2128">
        <f t="shared" ref="T142" si="101">_xlfn.XLOOKUP(U142,$CD$65:$CD$71,$CC$65:$CC$71,0,0)</f>
        <v>0</v>
      </c>
      <c r="U142" s="4598"/>
      <c r="V142" s="4598"/>
      <c r="W142" s="4598"/>
      <c r="X142" s="4598"/>
      <c r="Y142" s="4598"/>
      <c r="Z142" s="4598"/>
      <c r="AA142" s="4598"/>
      <c r="AB142" s="4598"/>
      <c r="AC142" s="4598"/>
      <c r="AD142" s="4598"/>
      <c r="AE142" s="4598"/>
      <c r="AF142" s="4598"/>
      <c r="AG142" s="2128">
        <f t="shared" ref="AG142" si="102">_xlfn.XLOOKUP(AH142,$CD$65:$CD$71,$CC$65:$CC$71,0,0)</f>
        <v>0</v>
      </c>
      <c r="AH142" s="4598"/>
      <c r="AI142" s="4598"/>
      <c r="AJ142" s="4598"/>
      <c r="AK142" s="4598"/>
      <c r="AL142" s="4598"/>
      <c r="AM142" s="4598"/>
      <c r="AN142" s="4598"/>
      <c r="AO142" s="4598"/>
      <c r="AP142" s="4598"/>
      <c r="AQ142" s="4598"/>
      <c r="AR142" s="4598"/>
      <c r="AS142" s="4598"/>
      <c r="AT142" s="4598"/>
      <c r="AU142" s="2128">
        <f t="shared" ref="AU142" si="103">_xlfn.XLOOKUP(AV142,$CD$65:$CD$71,$CC$65:$CC$71,0,0)</f>
        <v>0</v>
      </c>
      <c r="AV142" s="4598"/>
      <c r="AW142" s="4598"/>
      <c r="AX142" s="4598"/>
      <c r="AY142" s="4598"/>
      <c r="AZ142" s="4598"/>
      <c r="BA142" s="4598"/>
      <c r="BB142" s="4598"/>
      <c r="BC142" s="4598"/>
      <c r="BD142" s="4598"/>
      <c r="BE142" s="4598"/>
      <c r="BF142" s="4598"/>
      <c r="BG142" s="4598"/>
      <c r="BH142" s="2128">
        <f t="shared" ref="BH142" si="104">_xlfn.XLOOKUP(BI142,$CD$65:$CD$71,$CC$65:$CC$71,0,0)</f>
        <v>0</v>
      </c>
      <c r="BI142" s="4598"/>
      <c r="BJ142" s="4598"/>
      <c r="BK142" s="4598"/>
      <c r="BL142" s="4598"/>
      <c r="BM142" s="4598"/>
      <c r="BN142" s="4598"/>
      <c r="BO142" s="4598"/>
      <c r="BP142" s="4598"/>
      <c r="BQ142" s="4598"/>
      <c r="BR142" s="4598"/>
      <c r="BS142" s="4598"/>
      <c r="BT142" s="4598"/>
      <c r="BW142" s="3036"/>
    </row>
    <row r="143" spans="5:75" ht="17.100000000000001" customHeight="1" x14ac:dyDescent="0.15">
      <c r="E143" s="3035"/>
      <c r="G143" s="2128"/>
      <c r="H143" s="4599" t="str">
        <f>data!JT45</f>
        <v>Gym Gear</v>
      </c>
      <c r="I143" s="4599"/>
      <c r="J143" s="4599"/>
      <c r="K143" s="4599"/>
      <c r="L143" s="4599"/>
      <c r="M143" s="4599"/>
      <c r="N143" s="4599"/>
      <c r="O143" s="4599"/>
      <c r="P143" s="4599"/>
      <c r="Q143" s="4599"/>
      <c r="R143" s="4599"/>
      <c r="S143" s="4599"/>
      <c r="T143" s="2128"/>
      <c r="U143" s="4599" t="str">
        <f>data!JV45</f>
        <v>Watch</v>
      </c>
      <c r="V143" s="4599"/>
      <c r="W143" s="4599"/>
      <c r="X143" s="4599"/>
      <c r="Y143" s="4599"/>
      <c r="Z143" s="4599"/>
      <c r="AA143" s="4599"/>
      <c r="AB143" s="4599"/>
      <c r="AC143" s="4599"/>
      <c r="AD143" s="4599"/>
      <c r="AE143" s="4599"/>
      <c r="AF143" s="4599"/>
      <c r="AG143" s="2128"/>
      <c r="AH143" s="4602" t="str">
        <f>data!JX45</f>
        <v>Phone App</v>
      </c>
      <c r="AI143" s="4602"/>
      <c r="AJ143" s="4602"/>
      <c r="AK143" s="4602"/>
      <c r="AL143" s="4602"/>
      <c r="AM143" s="4602"/>
      <c r="AN143" s="4602"/>
      <c r="AO143" s="4602"/>
      <c r="AP143" s="4602"/>
      <c r="AQ143" s="4602"/>
      <c r="AR143" s="4602"/>
      <c r="AS143" s="4602"/>
      <c r="AT143" s="4602"/>
      <c r="AU143" s="2128"/>
      <c r="AV143" s="4599" t="str">
        <f>data!JZ45</f>
        <v>Breakfast in a Café</v>
      </c>
      <c r="AW143" s="4599"/>
      <c r="AX143" s="4599"/>
      <c r="AY143" s="4599"/>
      <c r="AZ143" s="4599"/>
      <c r="BA143" s="4599"/>
      <c r="BB143" s="4599"/>
      <c r="BC143" s="4599"/>
      <c r="BD143" s="4599"/>
      <c r="BE143" s="4599"/>
      <c r="BF143" s="4599"/>
      <c r="BG143" s="4599"/>
      <c r="BH143" s="2128"/>
      <c r="BI143" s="4599" t="str">
        <f>data!KB45</f>
        <v>Pen</v>
      </c>
      <c r="BJ143" s="4599"/>
      <c r="BK143" s="4599"/>
      <c r="BL143" s="4599"/>
      <c r="BM143" s="4599"/>
      <c r="BN143" s="4599"/>
      <c r="BO143" s="4599"/>
      <c r="BP143" s="4599"/>
      <c r="BQ143" s="4599"/>
      <c r="BR143" s="4599"/>
      <c r="BS143" s="4599"/>
      <c r="BT143" s="4599"/>
      <c r="BW143" s="3036"/>
    </row>
    <row r="144" spans="5:75" ht="17.100000000000001" customHeight="1" x14ac:dyDescent="0.2">
      <c r="E144" s="3035"/>
      <c r="G144" s="2128">
        <f t="shared" ref="G144" si="105">_xlfn.XLOOKUP(H144,$CD$65:$CD$71,$CC$65:$CC$71,0,0)</f>
        <v>0</v>
      </c>
      <c r="H144" s="4598"/>
      <c r="I144" s="4598"/>
      <c r="J144" s="4598"/>
      <c r="K144" s="4598"/>
      <c r="L144" s="4598"/>
      <c r="M144" s="4598"/>
      <c r="N144" s="4598"/>
      <c r="O144" s="4598"/>
      <c r="P144" s="4598"/>
      <c r="Q144" s="4598"/>
      <c r="R144" s="4598"/>
      <c r="S144" s="4598"/>
      <c r="T144" s="2128">
        <f t="shared" ref="T144" si="106">_xlfn.XLOOKUP(U144,$CD$65:$CD$71,$CC$65:$CC$71,0,0)</f>
        <v>0</v>
      </c>
      <c r="U144" s="4598"/>
      <c r="V144" s="4598"/>
      <c r="W144" s="4598"/>
      <c r="X144" s="4598"/>
      <c r="Y144" s="4598"/>
      <c r="Z144" s="4598"/>
      <c r="AA144" s="4598"/>
      <c r="AB144" s="4598"/>
      <c r="AC144" s="4598"/>
      <c r="AD144" s="4598"/>
      <c r="AE144" s="4598"/>
      <c r="AF144" s="4598"/>
      <c r="AG144" s="2128">
        <f t="shared" ref="AG144" si="107">_xlfn.XLOOKUP(AH144,$CD$65:$CD$71,$CC$65:$CC$71,0,0)</f>
        <v>0</v>
      </c>
      <c r="AH144" s="4598"/>
      <c r="AI144" s="4598"/>
      <c r="AJ144" s="4598"/>
      <c r="AK144" s="4598"/>
      <c r="AL144" s="4598"/>
      <c r="AM144" s="4598"/>
      <c r="AN144" s="4598"/>
      <c r="AO144" s="4598"/>
      <c r="AP144" s="4598"/>
      <c r="AQ144" s="4598"/>
      <c r="AR144" s="4598"/>
      <c r="AS144" s="4598"/>
      <c r="AT144" s="4598"/>
      <c r="AU144" s="2128">
        <f t="shared" ref="AU144" si="108">_xlfn.XLOOKUP(AV144,$CD$65:$CD$71,$CC$65:$CC$71,0,0)</f>
        <v>0</v>
      </c>
      <c r="AV144" s="4598"/>
      <c r="AW144" s="4598"/>
      <c r="AX144" s="4598"/>
      <c r="AY144" s="4598"/>
      <c r="AZ144" s="4598"/>
      <c r="BA144" s="4598"/>
      <c r="BB144" s="4598"/>
      <c r="BC144" s="4598"/>
      <c r="BD144" s="4598"/>
      <c r="BE144" s="4598"/>
      <c r="BF144" s="4598"/>
      <c r="BG144" s="4598"/>
      <c r="BH144" s="2128">
        <f t="shared" ref="BH144" si="109">_xlfn.XLOOKUP(BI144,$CD$65:$CD$71,$CC$65:$CC$71,0,0)</f>
        <v>0</v>
      </c>
      <c r="BI144" s="4598"/>
      <c r="BJ144" s="4598"/>
      <c r="BK144" s="4598"/>
      <c r="BL144" s="4598"/>
      <c r="BM144" s="4598"/>
      <c r="BN144" s="4598"/>
      <c r="BO144" s="4598"/>
      <c r="BP144" s="4598"/>
      <c r="BQ144" s="4598"/>
      <c r="BR144" s="4598"/>
      <c r="BS144" s="4598"/>
      <c r="BT144" s="4598"/>
      <c r="BW144" s="3036"/>
    </row>
    <row r="145" spans="5:75" ht="17.100000000000001" customHeight="1" x14ac:dyDescent="0.15">
      <c r="E145" s="3035"/>
      <c r="G145" s="2128"/>
      <c r="H145" s="4599" t="str">
        <f>data!JT46</f>
        <v>Running Gear</v>
      </c>
      <c r="I145" s="4599"/>
      <c r="J145" s="4599"/>
      <c r="K145" s="4599"/>
      <c r="L145" s="4599"/>
      <c r="M145" s="4599"/>
      <c r="N145" s="4599"/>
      <c r="O145" s="4599"/>
      <c r="P145" s="4599"/>
      <c r="Q145" s="4599"/>
      <c r="R145" s="4599"/>
      <c r="S145" s="4599"/>
      <c r="T145" s="2128"/>
      <c r="U145" s="4599" t="str">
        <f>data!JV46</f>
        <v>Speaker</v>
      </c>
      <c r="V145" s="4599"/>
      <c r="W145" s="4599"/>
      <c r="X145" s="4599"/>
      <c r="Y145" s="4599"/>
      <c r="Z145" s="4599"/>
      <c r="AA145" s="4599"/>
      <c r="AB145" s="4599"/>
      <c r="AC145" s="4599"/>
      <c r="AD145" s="4599"/>
      <c r="AE145" s="4599"/>
      <c r="AF145" s="4599"/>
      <c r="AG145" s="2128"/>
      <c r="AH145" s="4602" t="str">
        <f>data!JX46</f>
        <v>Puzzle</v>
      </c>
      <c r="AI145" s="4602"/>
      <c r="AJ145" s="4602"/>
      <c r="AK145" s="4602"/>
      <c r="AL145" s="4602"/>
      <c r="AM145" s="4602"/>
      <c r="AN145" s="4602"/>
      <c r="AO145" s="4602"/>
      <c r="AP145" s="4602"/>
      <c r="AQ145" s="4602"/>
      <c r="AR145" s="4602"/>
      <c r="AS145" s="4602"/>
      <c r="AT145" s="4602"/>
      <c r="AU145" s="2128"/>
      <c r="AV145" s="4599" t="str">
        <f>data!JZ46</f>
        <v>Lunch in a Pub</v>
      </c>
      <c r="AW145" s="4599"/>
      <c r="AX145" s="4599"/>
      <c r="AY145" s="4599"/>
      <c r="AZ145" s="4599"/>
      <c r="BA145" s="4599"/>
      <c r="BB145" s="4599"/>
      <c r="BC145" s="4599"/>
      <c r="BD145" s="4599"/>
      <c r="BE145" s="4599"/>
      <c r="BF145" s="4599"/>
      <c r="BG145" s="4599"/>
      <c r="BH145" s="2128"/>
      <c r="BI145" s="4599" t="str">
        <f>data!KB46</f>
        <v>Lamp</v>
      </c>
      <c r="BJ145" s="4599"/>
      <c r="BK145" s="4599"/>
      <c r="BL145" s="4599"/>
      <c r="BM145" s="4599"/>
      <c r="BN145" s="4599"/>
      <c r="BO145" s="4599"/>
      <c r="BP145" s="4599"/>
      <c r="BQ145" s="4599"/>
      <c r="BR145" s="4599"/>
      <c r="BS145" s="4599"/>
      <c r="BT145" s="4599"/>
      <c r="BW145" s="3036"/>
    </row>
    <row r="146" spans="5:75" ht="17.100000000000001" customHeight="1" x14ac:dyDescent="0.2">
      <c r="E146" s="3035"/>
      <c r="G146" s="2128">
        <f t="shared" ref="G146" si="110">_xlfn.XLOOKUP(H146,$CD$65:$CD$71,$CC$65:$CC$71,0,0)</f>
        <v>0</v>
      </c>
      <c r="H146" s="4598"/>
      <c r="I146" s="4598"/>
      <c r="J146" s="4598"/>
      <c r="K146" s="4598"/>
      <c r="L146" s="4598"/>
      <c r="M146" s="4598"/>
      <c r="N146" s="4598"/>
      <c r="O146" s="4598"/>
      <c r="P146" s="4598"/>
      <c r="Q146" s="4598"/>
      <c r="R146" s="4598"/>
      <c r="S146" s="4598"/>
      <c r="T146" s="2128">
        <f t="shared" ref="T146" si="111">_xlfn.XLOOKUP(U146,$CD$65:$CD$71,$CC$65:$CC$71,0,0)</f>
        <v>0</v>
      </c>
      <c r="U146" s="4598"/>
      <c r="V146" s="4598"/>
      <c r="W146" s="4598"/>
      <c r="X146" s="4598"/>
      <c r="Y146" s="4598"/>
      <c r="Z146" s="4598"/>
      <c r="AA146" s="4598"/>
      <c r="AB146" s="4598"/>
      <c r="AC146" s="4598"/>
      <c r="AD146" s="4598"/>
      <c r="AE146" s="4598"/>
      <c r="AF146" s="4598"/>
      <c r="AG146" s="2128">
        <f t="shared" ref="AG146" si="112">_xlfn.XLOOKUP(AH146,$CD$65:$CD$71,$CC$65:$CC$71,0,0)</f>
        <v>0</v>
      </c>
      <c r="AH146" s="4598"/>
      <c r="AI146" s="4598"/>
      <c r="AJ146" s="4598"/>
      <c r="AK146" s="4598"/>
      <c r="AL146" s="4598"/>
      <c r="AM146" s="4598"/>
      <c r="AN146" s="4598"/>
      <c r="AO146" s="4598"/>
      <c r="AP146" s="4598"/>
      <c r="AQ146" s="4598"/>
      <c r="AR146" s="4598"/>
      <c r="AS146" s="4598"/>
      <c r="AT146" s="4598"/>
      <c r="AU146" s="2128">
        <f t="shared" ref="AU146" si="113">_xlfn.XLOOKUP(AV146,$CD$65:$CD$71,$CC$65:$CC$71,0,0)</f>
        <v>0</v>
      </c>
      <c r="AV146" s="4598"/>
      <c r="AW146" s="4598"/>
      <c r="AX146" s="4598"/>
      <c r="AY146" s="4598"/>
      <c r="AZ146" s="4598"/>
      <c r="BA146" s="4598"/>
      <c r="BB146" s="4598"/>
      <c r="BC146" s="4598"/>
      <c r="BD146" s="4598"/>
      <c r="BE146" s="4598"/>
      <c r="BF146" s="4598"/>
      <c r="BG146" s="4598"/>
      <c r="BH146" s="2128">
        <f t="shared" ref="BH146" si="114">_xlfn.XLOOKUP(BI146,$CD$65:$CD$71,$CC$65:$CC$71,0,0)</f>
        <v>0</v>
      </c>
      <c r="BI146" s="4598"/>
      <c r="BJ146" s="4598"/>
      <c r="BK146" s="4598"/>
      <c r="BL146" s="4598"/>
      <c r="BM146" s="4598"/>
      <c r="BN146" s="4598"/>
      <c r="BO146" s="4598"/>
      <c r="BP146" s="4598"/>
      <c r="BQ146" s="4598"/>
      <c r="BR146" s="4598"/>
      <c r="BS146" s="4598"/>
      <c r="BT146" s="4598"/>
      <c r="BW146" s="3036"/>
    </row>
    <row r="147" spans="5:75" ht="17.100000000000001" customHeight="1" x14ac:dyDescent="0.15">
      <c r="E147" s="3035"/>
      <c r="G147" s="2128"/>
      <c r="H147" s="4599" t="str">
        <f>data!JT47</f>
        <v>Skateboard</v>
      </c>
      <c r="I147" s="4599"/>
      <c r="J147" s="4599"/>
      <c r="K147" s="4599"/>
      <c r="L147" s="4599"/>
      <c r="M147" s="4599"/>
      <c r="N147" s="4599"/>
      <c r="O147" s="4599"/>
      <c r="P147" s="4599"/>
      <c r="Q147" s="4599"/>
      <c r="R147" s="4599"/>
      <c r="S147" s="4599"/>
      <c r="T147" s="2128"/>
      <c r="U147" s="4599" t="str">
        <f>data!JV47</f>
        <v>Lights</v>
      </c>
      <c r="V147" s="4599"/>
      <c r="W147" s="4599"/>
      <c r="X147" s="4599"/>
      <c r="Y147" s="4599"/>
      <c r="Z147" s="4599"/>
      <c r="AA147" s="4599"/>
      <c r="AB147" s="4599"/>
      <c r="AC147" s="4599"/>
      <c r="AD147" s="4599"/>
      <c r="AE147" s="4599"/>
      <c r="AF147" s="4599"/>
      <c r="AG147" s="2128"/>
      <c r="AH147" s="4602" t="str">
        <f>data!JX47</f>
        <v>Model Kit</v>
      </c>
      <c r="AI147" s="4602"/>
      <c r="AJ147" s="4602"/>
      <c r="AK147" s="4602"/>
      <c r="AL147" s="4602"/>
      <c r="AM147" s="4602"/>
      <c r="AN147" s="4602"/>
      <c r="AO147" s="4602"/>
      <c r="AP147" s="4602"/>
      <c r="AQ147" s="4602"/>
      <c r="AR147" s="4602"/>
      <c r="AS147" s="4602"/>
      <c r="AT147" s="4602"/>
      <c r="AU147" s="2128"/>
      <c r="AV147" s="4599" t="str">
        <f>data!JZ47</f>
        <v>Dinner in a Restaurant</v>
      </c>
      <c r="AW147" s="4599"/>
      <c r="AX147" s="4599"/>
      <c r="AY147" s="4599"/>
      <c r="AZ147" s="4599"/>
      <c r="BA147" s="4599"/>
      <c r="BB147" s="4599"/>
      <c r="BC147" s="4599"/>
      <c r="BD147" s="4599"/>
      <c r="BE147" s="4599"/>
      <c r="BF147" s="4599"/>
      <c r="BG147" s="4599"/>
      <c r="BH147" s="2128"/>
      <c r="BI147" s="4599" t="str">
        <f>data!KB47</f>
        <v>Set of Cups</v>
      </c>
      <c r="BJ147" s="4599"/>
      <c r="BK147" s="4599"/>
      <c r="BL147" s="4599"/>
      <c r="BM147" s="4599"/>
      <c r="BN147" s="4599"/>
      <c r="BO147" s="4599"/>
      <c r="BP147" s="4599"/>
      <c r="BQ147" s="4599"/>
      <c r="BR147" s="4599"/>
      <c r="BS147" s="4599"/>
      <c r="BT147" s="4599"/>
      <c r="BW147" s="3036"/>
    </row>
    <row r="148" spans="5:75" ht="17.100000000000001" customHeight="1" x14ac:dyDescent="0.2">
      <c r="E148" s="3035"/>
      <c r="G148" s="2128">
        <f t="shared" ref="G148" si="115">_xlfn.XLOOKUP(H148,$CD$65:$CD$71,$CC$65:$CC$71,0,0)</f>
        <v>0</v>
      </c>
      <c r="H148" s="4598"/>
      <c r="I148" s="4598"/>
      <c r="J148" s="4598"/>
      <c r="K148" s="4598"/>
      <c r="L148" s="4598"/>
      <c r="M148" s="4598"/>
      <c r="N148" s="4598"/>
      <c r="O148" s="4598"/>
      <c r="P148" s="4598"/>
      <c r="Q148" s="4598"/>
      <c r="R148" s="4598"/>
      <c r="S148" s="4598"/>
      <c r="T148" s="2128">
        <f t="shared" ref="T148" si="116">_xlfn.XLOOKUP(U148,$CD$65:$CD$71,$CC$65:$CC$71,0,0)</f>
        <v>0</v>
      </c>
      <c r="U148" s="4598"/>
      <c r="V148" s="4598"/>
      <c r="W148" s="4598"/>
      <c r="X148" s="4598"/>
      <c r="Y148" s="4598"/>
      <c r="Z148" s="4598"/>
      <c r="AA148" s="4598"/>
      <c r="AB148" s="4598"/>
      <c r="AC148" s="4598"/>
      <c r="AD148" s="4598"/>
      <c r="AE148" s="4598"/>
      <c r="AF148" s="4598"/>
      <c r="AG148" s="2128">
        <f t="shared" ref="AG148" si="117">_xlfn.XLOOKUP(AH148,$CD$65:$CD$71,$CC$65:$CC$71,0,0)</f>
        <v>0</v>
      </c>
      <c r="AH148" s="4598"/>
      <c r="AI148" s="4598"/>
      <c r="AJ148" s="4598"/>
      <c r="AK148" s="4598"/>
      <c r="AL148" s="4598"/>
      <c r="AM148" s="4598"/>
      <c r="AN148" s="4598"/>
      <c r="AO148" s="4598"/>
      <c r="AP148" s="4598"/>
      <c r="AQ148" s="4598"/>
      <c r="AR148" s="4598"/>
      <c r="AS148" s="4598"/>
      <c r="AT148" s="4598"/>
      <c r="AU148" s="2128">
        <f t="shared" ref="AU148" si="118">_xlfn.XLOOKUP(AV148,$CD$65:$CD$71,$CC$65:$CC$71,0,0)</f>
        <v>0</v>
      </c>
      <c r="AV148" s="4598"/>
      <c r="AW148" s="4598"/>
      <c r="AX148" s="4598"/>
      <c r="AY148" s="4598"/>
      <c r="AZ148" s="4598"/>
      <c r="BA148" s="4598"/>
      <c r="BB148" s="4598"/>
      <c r="BC148" s="4598"/>
      <c r="BD148" s="4598"/>
      <c r="BE148" s="4598"/>
      <c r="BF148" s="4598"/>
      <c r="BG148" s="4598"/>
      <c r="BH148" s="2128">
        <f t="shared" ref="BH148" si="119">_xlfn.XLOOKUP(BI148,$CD$65:$CD$71,$CC$65:$CC$71,0,0)</f>
        <v>0</v>
      </c>
      <c r="BI148" s="4598"/>
      <c r="BJ148" s="4598"/>
      <c r="BK148" s="4598"/>
      <c r="BL148" s="4598"/>
      <c r="BM148" s="4598"/>
      <c r="BN148" s="4598"/>
      <c r="BO148" s="4598"/>
      <c r="BP148" s="4598"/>
      <c r="BQ148" s="4598"/>
      <c r="BR148" s="4598"/>
      <c r="BS148" s="4598"/>
      <c r="BT148" s="4598"/>
      <c r="BW148" s="3036"/>
    </row>
    <row r="149" spans="5:75" ht="17.100000000000001" customHeight="1" x14ac:dyDescent="0.15">
      <c r="E149" s="3035"/>
      <c r="G149" s="2128"/>
      <c r="H149" s="4599" t="str">
        <f>data!JT48</f>
        <v>Bicycle</v>
      </c>
      <c r="I149" s="4599"/>
      <c r="J149" s="4599"/>
      <c r="K149" s="4599"/>
      <c r="L149" s="4599"/>
      <c r="M149" s="4599"/>
      <c r="N149" s="4599"/>
      <c r="O149" s="4599"/>
      <c r="P149" s="4599"/>
      <c r="Q149" s="4599"/>
      <c r="R149" s="4599"/>
      <c r="S149" s="4599"/>
      <c r="T149" s="2128"/>
      <c r="U149" s="4599" t="str">
        <f>data!JV48</f>
        <v>Night Vision Goggles</v>
      </c>
      <c r="V149" s="4599"/>
      <c r="W149" s="4599"/>
      <c r="X149" s="4599"/>
      <c r="Y149" s="4599"/>
      <c r="Z149" s="4599"/>
      <c r="AA149" s="4599"/>
      <c r="AB149" s="4599"/>
      <c r="AC149" s="4599"/>
      <c r="AD149" s="4599"/>
      <c r="AE149" s="4599"/>
      <c r="AF149" s="4599"/>
      <c r="AG149" s="2128"/>
      <c r="AH149" s="4602" t="str">
        <f>data!JX48</f>
        <v>Rubix Cube</v>
      </c>
      <c r="AI149" s="4602"/>
      <c r="AJ149" s="4602"/>
      <c r="AK149" s="4602"/>
      <c r="AL149" s="4602"/>
      <c r="AM149" s="4602"/>
      <c r="AN149" s="4602"/>
      <c r="AO149" s="4602"/>
      <c r="AP149" s="4602"/>
      <c r="AQ149" s="4602"/>
      <c r="AR149" s="4602"/>
      <c r="AS149" s="4602"/>
      <c r="AT149" s="4602"/>
      <c r="AU149" s="2128"/>
      <c r="AV149" s="4599" t="str">
        <f>data!JZ48</f>
        <v>Other Treat</v>
      </c>
      <c r="AW149" s="4599"/>
      <c r="AX149" s="4599"/>
      <c r="AY149" s="4599"/>
      <c r="AZ149" s="4599"/>
      <c r="BA149" s="4599"/>
      <c r="BB149" s="4599"/>
      <c r="BC149" s="4599"/>
      <c r="BD149" s="4599"/>
      <c r="BE149" s="4599"/>
      <c r="BF149" s="4599"/>
      <c r="BG149" s="4599"/>
      <c r="BH149" s="2128"/>
      <c r="BI149" s="4599" t="str">
        <f>data!KB48</f>
        <v>Set of Glasses</v>
      </c>
      <c r="BJ149" s="4599"/>
      <c r="BK149" s="4599"/>
      <c r="BL149" s="4599"/>
      <c r="BM149" s="4599"/>
      <c r="BN149" s="4599"/>
      <c r="BO149" s="4599"/>
      <c r="BP149" s="4599"/>
      <c r="BQ149" s="4599"/>
      <c r="BR149" s="4599"/>
      <c r="BS149" s="4599"/>
      <c r="BT149" s="4599"/>
      <c r="BW149" s="3036"/>
    </row>
    <row r="150" spans="5:75" ht="17.100000000000001" customHeight="1" x14ac:dyDescent="0.2">
      <c r="E150" s="3035"/>
      <c r="G150" s="2128">
        <f t="shared" ref="G150" si="120">_xlfn.XLOOKUP(H150,$CD$65:$CD$71,$CC$65:$CC$71,0,0)</f>
        <v>0</v>
      </c>
      <c r="H150" s="4598"/>
      <c r="I150" s="4598"/>
      <c r="J150" s="4598"/>
      <c r="K150" s="4598"/>
      <c r="L150" s="4598"/>
      <c r="M150" s="4598"/>
      <c r="N150" s="4598"/>
      <c r="O150" s="4598"/>
      <c r="P150" s="4598"/>
      <c r="Q150" s="4598"/>
      <c r="R150" s="4598"/>
      <c r="S150" s="4598"/>
      <c r="T150" s="2128">
        <f t="shared" ref="T150" si="121">_xlfn.XLOOKUP(U150,$CD$65:$CD$71,$CC$65:$CC$71,0,0)</f>
        <v>0</v>
      </c>
      <c r="U150" s="4598"/>
      <c r="V150" s="4598"/>
      <c r="W150" s="4598"/>
      <c r="X150" s="4598"/>
      <c r="Y150" s="4598"/>
      <c r="Z150" s="4598"/>
      <c r="AA150" s="4598"/>
      <c r="AB150" s="4598"/>
      <c r="AC150" s="4598"/>
      <c r="AD150" s="4598"/>
      <c r="AE150" s="4598"/>
      <c r="AF150" s="4598"/>
      <c r="AG150" s="2128">
        <f t="shared" ref="AG150" si="122">_xlfn.XLOOKUP(AH150,$CD$65:$CD$71,$CC$65:$CC$71,0,0)</f>
        <v>0</v>
      </c>
      <c r="AH150" s="4598"/>
      <c r="AI150" s="4598"/>
      <c r="AJ150" s="4598"/>
      <c r="AK150" s="4598"/>
      <c r="AL150" s="4598"/>
      <c r="AM150" s="4598"/>
      <c r="AN150" s="4598"/>
      <c r="AO150" s="4598"/>
      <c r="AP150" s="4598"/>
      <c r="AQ150" s="4598"/>
      <c r="AR150" s="4598"/>
      <c r="AS150" s="4598"/>
      <c r="AT150" s="4598"/>
      <c r="AU150" s="2128">
        <f t="shared" ref="AU150" si="123">_xlfn.XLOOKUP(AV150,$CD$65:$CD$71,$CC$65:$CC$71,0,0)</f>
        <v>0</v>
      </c>
      <c r="AV150" s="4598"/>
      <c r="AW150" s="4598"/>
      <c r="AX150" s="4598"/>
      <c r="AY150" s="4598"/>
      <c r="AZ150" s="4598"/>
      <c r="BA150" s="4598"/>
      <c r="BB150" s="4598"/>
      <c r="BC150" s="4598"/>
      <c r="BD150" s="4598"/>
      <c r="BE150" s="4598"/>
      <c r="BF150" s="4598"/>
      <c r="BG150" s="4598"/>
      <c r="BH150" s="2128">
        <f t="shared" ref="BH150" si="124">_xlfn.XLOOKUP(BI150,$CD$65:$CD$71,$CC$65:$CC$71,0,0)</f>
        <v>0</v>
      </c>
      <c r="BI150" s="4598"/>
      <c r="BJ150" s="4598"/>
      <c r="BK150" s="4598"/>
      <c r="BL150" s="4598"/>
      <c r="BM150" s="4598"/>
      <c r="BN150" s="4598"/>
      <c r="BO150" s="4598"/>
      <c r="BP150" s="4598"/>
      <c r="BQ150" s="4598"/>
      <c r="BR150" s="4598"/>
      <c r="BS150" s="4598"/>
      <c r="BT150" s="4598"/>
      <c r="BW150" s="3036"/>
    </row>
    <row r="151" spans="5:75" ht="17.100000000000001" customHeight="1" x14ac:dyDescent="0.15">
      <c r="E151" s="3035"/>
      <c r="H151" s="4599" t="str">
        <f>data!JT49</f>
        <v>Scooter</v>
      </c>
      <c r="I151" s="4599"/>
      <c r="J151" s="4599"/>
      <c r="K151" s="4599"/>
      <c r="L151" s="4599"/>
      <c r="M151" s="4599"/>
      <c r="N151" s="4599"/>
      <c r="O151" s="4599"/>
      <c r="P151" s="4599"/>
      <c r="Q151" s="4599"/>
      <c r="R151" s="4599"/>
      <c r="S151" s="4599"/>
      <c r="U151" s="4599" t="str">
        <f>data!JV49</f>
        <v>Any Gadget of Choice</v>
      </c>
      <c r="V151" s="4599"/>
      <c r="W151" s="4599"/>
      <c r="X151" s="4599"/>
      <c r="Y151" s="4599"/>
      <c r="Z151" s="4599"/>
      <c r="AA151" s="4599"/>
      <c r="AB151" s="4599"/>
      <c r="AC151" s="4599"/>
      <c r="AD151" s="4599"/>
      <c r="AE151" s="4599"/>
      <c r="AF151" s="4599"/>
      <c r="AH151" s="4602" t="str">
        <f>data!JX49</f>
        <v>Chess Set</v>
      </c>
      <c r="AI151" s="4602"/>
      <c r="AJ151" s="4602"/>
      <c r="AK151" s="4602"/>
      <c r="AL151" s="4602"/>
      <c r="AM151" s="4602"/>
      <c r="AN151" s="4602"/>
      <c r="AO151" s="4602"/>
      <c r="AP151" s="4602"/>
      <c r="AQ151" s="4602"/>
      <c r="AR151" s="4602"/>
      <c r="AS151" s="4602"/>
      <c r="AT151" s="4602"/>
      <c r="AU151" s="497"/>
      <c r="AV151" s="4599" t="str">
        <f>data!JZ49</f>
        <v>Other Treat</v>
      </c>
      <c r="AW151" s="4599"/>
      <c r="AX151" s="4599"/>
      <c r="AY151" s="4599"/>
      <c r="AZ151" s="4599"/>
      <c r="BA151" s="4599"/>
      <c r="BB151" s="4599"/>
      <c r="BC151" s="4599"/>
      <c r="BD151" s="4599"/>
      <c r="BE151" s="4599"/>
      <c r="BF151" s="4599"/>
      <c r="BG151" s="4599"/>
      <c r="BI151" s="4599" t="str">
        <f>data!KB49</f>
        <v>Any Item of Homeware</v>
      </c>
      <c r="BJ151" s="4599"/>
      <c r="BK151" s="4599"/>
      <c r="BL151" s="4599"/>
      <c r="BM151" s="4599"/>
      <c r="BN151" s="4599"/>
      <c r="BO151" s="4599"/>
      <c r="BP151" s="4599"/>
      <c r="BQ151" s="4599"/>
      <c r="BR151" s="4599"/>
      <c r="BS151" s="4599"/>
      <c r="BT151" s="4599"/>
      <c r="BW151" s="3036"/>
    </row>
    <row r="152" spans="5:75" ht="17.100000000000001" customHeight="1" x14ac:dyDescent="0.15">
      <c r="E152" s="3035"/>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3036"/>
    </row>
    <row r="153" spans="5:75" ht="17.100000000000001" customHeight="1" x14ac:dyDescent="0.15">
      <c r="E153" s="3035"/>
      <c r="BW153" s="3036"/>
    </row>
    <row r="154" spans="5:75" ht="17.100000000000001" customHeight="1" x14ac:dyDescent="0.15">
      <c r="E154" s="3035"/>
      <c r="BW154" s="3036"/>
    </row>
    <row r="155" spans="5:75" ht="17.100000000000001" customHeight="1" thickBot="1" x14ac:dyDescent="0.2">
      <c r="E155" s="3037"/>
      <c r="F155" s="3038"/>
      <c r="G155" s="3038"/>
      <c r="H155" s="3038"/>
      <c r="I155" s="3038"/>
      <c r="J155" s="3038"/>
      <c r="K155" s="3038"/>
      <c r="L155" s="3038"/>
      <c r="M155" s="3038"/>
      <c r="N155" s="3038"/>
      <c r="O155" s="3038"/>
      <c r="P155" s="3038"/>
      <c r="Q155" s="3038"/>
      <c r="R155" s="3038"/>
      <c r="S155" s="3038"/>
      <c r="T155" s="3038"/>
      <c r="U155" s="3038"/>
      <c r="V155" s="3038"/>
      <c r="W155" s="3038"/>
      <c r="X155" s="3038"/>
      <c r="Y155" s="3038"/>
      <c r="Z155" s="3038"/>
      <c r="AA155" s="3038"/>
      <c r="AB155" s="3038"/>
      <c r="AC155" s="3038"/>
      <c r="AD155" s="3038"/>
      <c r="AE155" s="3038"/>
      <c r="AF155" s="3038"/>
      <c r="AG155" s="3038"/>
      <c r="AH155" s="3038"/>
      <c r="AI155" s="3038"/>
      <c r="AJ155" s="3038"/>
      <c r="AK155" s="3038"/>
      <c r="AL155" s="3038"/>
      <c r="AM155" s="3038"/>
      <c r="AN155" s="3038"/>
      <c r="AO155" s="3038"/>
      <c r="AP155" s="3038"/>
      <c r="AQ155" s="3038"/>
      <c r="AR155" s="3038"/>
      <c r="AS155" s="3038"/>
      <c r="AT155" s="3038"/>
      <c r="AU155" s="3038"/>
      <c r="AV155" s="3038"/>
      <c r="AW155" s="3038"/>
      <c r="AX155" s="3038"/>
      <c r="AY155" s="3038"/>
      <c r="AZ155" s="3038"/>
      <c r="BA155" s="3038"/>
      <c r="BB155" s="3038"/>
      <c r="BC155" s="3038"/>
      <c r="BD155" s="3038"/>
      <c r="BE155" s="3038"/>
      <c r="BF155" s="3038"/>
      <c r="BG155" s="3038"/>
      <c r="BH155" s="3038"/>
      <c r="BI155" s="3038"/>
      <c r="BJ155" s="3038"/>
      <c r="BK155" s="3038"/>
      <c r="BL155" s="3038"/>
      <c r="BM155" s="3038"/>
      <c r="BN155" s="3038"/>
      <c r="BO155" s="3038"/>
      <c r="BP155" s="3038"/>
      <c r="BQ155" s="3038"/>
      <c r="BR155" s="3038"/>
      <c r="BS155" s="3038"/>
      <c r="BT155" s="3038"/>
      <c r="BU155" s="3038"/>
      <c r="BV155" s="3038"/>
      <c r="BW155" s="3039"/>
    </row>
    <row r="156" spans="5:75" ht="17.100000000000001" customHeight="1" thickTop="1" x14ac:dyDescent="0.15">
      <c r="F156" s="3023"/>
      <c r="G156" s="3023"/>
      <c r="H156" s="3023"/>
      <c r="I156" s="3023"/>
      <c r="J156" s="3023"/>
      <c r="K156" s="3023"/>
      <c r="L156" s="3023"/>
      <c r="M156" s="3023"/>
      <c r="N156" s="3023"/>
      <c r="O156" s="3023"/>
      <c r="P156" s="3023"/>
      <c r="Q156" s="3023"/>
      <c r="R156" s="3023"/>
      <c r="S156" s="3023"/>
    </row>
    <row r="158" spans="5:75" ht="17.100000000000001" customHeight="1" x14ac:dyDescent="0.25">
      <c r="F158" s="10"/>
      <c r="G158" s="10"/>
      <c r="T158" s="3028"/>
      <c r="U158" s="3029"/>
      <c r="AN158" s="10"/>
      <c r="BI158" s="3028"/>
      <c r="BJ158" s="3029"/>
    </row>
    <row r="159" spans="5:75" ht="17.100000000000001" customHeight="1" x14ac:dyDescent="0.2">
      <c r="F159" s="10"/>
      <c r="G159" s="10"/>
      <c r="T159" s="3030"/>
      <c r="U159" s="3031"/>
      <c r="AN159" s="10"/>
      <c r="BI159" s="3030"/>
      <c r="BJ159" s="3031"/>
    </row>
    <row r="160" spans="5:75" ht="17.100000000000001" customHeight="1" x14ac:dyDescent="0.2">
      <c r="F160" s="10"/>
      <c r="G160" s="10"/>
      <c r="T160" s="40"/>
      <c r="U160" s="820"/>
      <c r="AN160" s="10"/>
      <c r="BI160" s="40"/>
      <c r="BJ160" s="820"/>
    </row>
    <row r="161" spans="3:62" ht="17.100000000000001" customHeight="1" x14ac:dyDescent="0.2">
      <c r="F161" s="10"/>
      <c r="G161" s="10"/>
      <c r="T161" s="3022"/>
      <c r="U161" s="820"/>
      <c r="AN161" s="10"/>
      <c r="BI161" s="3022"/>
      <c r="BJ161" s="10"/>
    </row>
    <row r="162" spans="3:62" ht="17.100000000000001" customHeight="1" x14ac:dyDescent="0.2">
      <c r="F162" s="10"/>
      <c r="G162" s="10"/>
      <c r="T162" s="497"/>
      <c r="AN162" s="10"/>
      <c r="BI162" s="497"/>
      <c r="BJ162" s="10"/>
    </row>
    <row r="163" spans="3:62" ht="17.100000000000001" customHeight="1" x14ac:dyDescent="0.2">
      <c r="F163" s="10"/>
      <c r="G163" s="10"/>
      <c r="T163" s="3022"/>
      <c r="U163" s="820"/>
      <c r="AN163" s="10"/>
      <c r="BI163" s="3022"/>
      <c r="BJ163" s="10"/>
    </row>
    <row r="164" spans="3:62" ht="17.100000000000001" customHeight="1" x14ac:dyDescent="0.2">
      <c r="F164" s="10"/>
      <c r="G164" s="10"/>
      <c r="T164" s="497"/>
      <c r="U164" s="10"/>
      <c r="AN164" s="10"/>
      <c r="BI164" s="497"/>
      <c r="BJ164" s="10"/>
    </row>
    <row r="165" spans="3:62" ht="17.100000000000001" customHeight="1" x14ac:dyDescent="0.2">
      <c r="F165" s="10"/>
      <c r="G165" s="10"/>
      <c r="T165" s="3022"/>
      <c r="U165" s="10"/>
      <c r="AN165" s="10"/>
      <c r="BI165" s="3022"/>
      <c r="BJ165" s="10"/>
    </row>
    <row r="166" spans="3:62" ht="17.100000000000001" customHeight="1" x14ac:dyDescent="0.2">
      <c r="F166" s="10"/>
      <c r="G166" s="10"/>
      <c r="T166" s="497"/>
      <c r="U166" s="10"/>
      <c r="AH166" s="3024"/>
      <c r="AI166" s="3024"/>
      <c r="AJ166" s="3024"/>
      <c r="AK166" s="3024"/>
      <c r="AL166" s="3024"/>
      <c r="AM166" s="3024"/>
      <c r="AN166" s="10"/>
      <c r="AO166" s="3024"/>
      <c r="AP166" s="3024"/>
      <c r="AQ166" s="3024"/>
      <c r="AR166" s="3024"/>
      <c r="AS166" s="3024"/>
      <c r="AT166" s="3024"/>
      <c r="AU166" s="3024"/>
      <c r="AV166" s="3024"/>
      <c r="BI166" s="497"/>
    </row>
    <row r="167" spans="3:62" ht="17.100000000000001" customHeight="1" x14ac:dyDescent="0.2">
      <c r="F167" s="10"/>
      <c r="G167" s="10"/>
      <c r="T167" s="3022"/>
      <c r="U167" s="10"/>
      <c r="AH167" s="3024"/>
      <c r="AI167" s="3024"/>
      <c r="AJ167" s="3024"/>
      <c r="AK167" s="3024"/>
      <c r="AL167" s="3024"/>
      <c r="AM167" s="3024"/>
      <c r="AN167" s="10"/>
      <c r="AO167" s="3024"/>
      <c r="AP167" s="3024"/>
      <c r="AQ167" s="3024"/>
      <c r="AR167" s="3024"/>
      <c r="AS167" s="3024"/>
      <c r="AT167" s="3024"/>
      <c r="AU167" s="3024"/>
      <c r="AV167" s="3024"/>
      <c r="BI167" s="3022"/>
      <c r="BJ167" s="820"/>
    </row>
    <row r="168" spans="3:62" ht="17.100000000000001" customHeight="1" x14ac:dyDescent="0.2">
      <c r="F168" s="10"/>
      <c r="G168" s="10"/>
      <c r="T168" s="497"/>
      <c r="U168" s="10"/>
      <c r="AH168" s="3024"/>
      <c r="AI168" s="3024"/>
      <c r="AJ168" s="3024"/>
      <c r="AK168" s="3024"/>
      <c r="AL168" s="3024"/>
      <c r="AM168" s="3024"/>
      <c r="AN168" s="3024"/>
      <c r="AO168" s="3024"/>
      <c r="AP168" s="3024"/>
      <c r="AQ168" s="3024"/>
      <c r="AR168" s="3024"/>
      <c r="AS168" s="3024"/>
      <c r="AT168" s="3024"/>
      <c r="AU168" s="3024"/>
      <c r="AV168" s="3024"/>
      <c r="BI168" s="497"/>
    </row>
    <row r="169" spans="3:62" ht="17.100000000000001" customHeight="1" x14ac:dyDescent="0.2">
      <c r="F169" s="10"/>
      <c r="G169" s="10"/>
      <c r="T169" s="3022"/>
      <c r="U169" s="10"/>
      <c r="AH169" s="3024"/>
      <c r="AI169" s="3024"/>
      <c r="AJ169" s="3024"/>
      <c r="AK169" s="3024"/>
      <c r="AL169" s="3024"/>
      <c r="AM169" s="3024"/>
      <c r="AN169" s="3024"/>
      <c r="AO169" s="3024"/>
      <c r="AP169" s="3024"/>
      <c r="AQ169" s="3024"/>
      <c r="AR169" s="3024"/>
      <c r="AS169" s="3024"/>
      <c r="AT169" s="3024"/>
      <c r="AU169" s="3024"/>
      <c r="AV169" s="3024"/>
      <c r="BI169" s="3022"/>
      <c r="BJ169" s="820"/>
    </row>
    <row r="170" spans="3:62" ht="17.100000000000001" customHeight="1" x14ac:dyDescent="0.2">
      <c r="F170" s="10"/>
      <c r="G170" s="10"/>
      <c r="T170" s="497"/>
      <c r="U170" s="10"/>
      <c r="BI170" s="497"/>
    </row>
    <row r="171" spans="3:62" ht="17.100000000000001" customHeight="1" x14ac:dyDescent="0.2">
      <c r="F171" s="10"/>
      <c r="G171" s="10"/>
      <c r="T171" s="3022"/>
      <c r="U171" s="10"/>
      <c r="BI171" s="3022"/>
      <c r="BJ171" s="820"/>
    </row>
    <row r="172" spans="3:62" ht="17.100000000000001" customHeight="1" x14ac:dyDescent="0.2">
      <c r="F172" s="10"/>
      <c r="G172" s="10"/>
      <c r="T172" s="497"/>
      <c r="U172" s="10"/>
      <c r="BI172" s="497"/>
    </row>
    <row r="173" spans="3:62" ht="17.100000000000001" customHeight="1" x14ac:dyDescent="0.2">
      <c r="F173" s="10"/>
      <c r="G173" s="10"/>
      <c r="T173" s="3022"/>
      <c r="U173" s="10"/>
      <c r="BI173" s="3022"/>
      <c r="BJ173" s="820"/>
    </row>
    <row r="174" spans="3:62" ht="17.100000000000001" customHeight="1" x14ac:dyDescent="0.2">
      <c r="F174" s="10"/>
      <c r="G174" s="10"/>
      <c r="T174" s="497"/>
      <c r="BI174" s="497"/>
    </row>
    <row r="175" spans="3:62" ht="17.100000000000001" customHeight="1" x14ac:dyDescent="0.2">
      <c r="C175" s="10"/>
      <c r="D175" s="10"/>
      <c r="E175" s="10"/>
      <c r="F175" s="10"/>
      <c r="G175" s="10"/>
      <c r="T175" s="3022"/>
      <c r="U175" s="820"/>
      <c r="BI175" s="3022"/>
      <c r="BJ175" s="820"/>
    </row>
    <row r="176" spans="3:62" ht="17.100000000000001" customHeight="1" x14ac:dyDescent="0.15">
      <c r="T176" s="497"/>
      <c r="BI176" s="497"/>
    </row>
    <row r="177" spans="20:62" ht="17.100000000000001" customHeight="1" x14ac:dyDescent="0.2">
      <c r="T177" s="3022"/>
      <c r="U177" s="820"/>
      <c r="BI177" s="3022"/>
      <c r="BJ177" s="820"/>
    </row>
    <row r="178" spans="20:62" ht="17.100000000000001" customHeight="1" x14ac:dyDescent="0.15">
      <c r="T178" s="497"/>
      <c r="BI178" s="497"/>
    </row>
    <row r="179" spans="20:62" ht="17.100000000000001" customHeight="1" x14ac:dyDescent="0.2">
      <c r="T179" s="3022"/>
      <c r="U179" s="820"/>
      <c r="BI179" s="3022"/>
      <c r="BJ179" s="820"/>
    </row>
    <row r="180" spans="20:62" ht="17.100000000000001" customHeight="1" x14ac:dyDescent="0.15">
      <c r="T180" s="497"/>
      <c r="BI180" s="497"/>
    </row>
    <row r="181" spans="20:62" ht="17.100000000000001" customHeight="1" x14ac:dyDescent="0.15">
      <c r="T181" s="26"/>
      <c r="U181" s="26"/>
      <c r="BI181" s="26"/>
      <c r="BJ181" s="26"/>
    </row>
    <row r="182" spans="20:62" ht="17.100000000000001" customHeight="1" x14ac:dyDescent="0.15">
      <c r="T182" s="26"/>
      <c r="U182" s="26"/>
      <c r="BI182" s="26"/>
      <c r="BJ182" s="26"/>
    </row>
    <row r="183" spans="20:62" ht="17.100000000000001" customHeight="1" x14ac:dyDescent="0.25">
      <c r="T183" s="3028"/>
      <c r="U183" s="3029"/>
      <c r="BI183" s="3028"/>
      <c r="BJ183" s="3029"/>
    </row>
    <row r="184" spans="20:62" ht="17.100000000000001" customHeight="1" x14ac:dyDescent="0.15">
      <c r="T184" s="3030"/>
      <c r="U184" s="3031"/>
      <c r="BI184" s="3030"/>
      <c r="BJ184" s="3031"/>
    </row>
    <row r="185" spans="20:62" ht="17.100000000000001" customHeight="1" x14ac:dyDescent="0.15">
      <c r="T185" s="40"/>
      <c r="U185" s="820"/>
      <c r="BI185" s="40"/>
      <c r="BJ185" s="820"/>
    </row>
    <row r="186" spans="20:62" ht="17.100000000000001" customHeight="1" x14ac:dyDescent="0.2">
      <c r="T186" s="10"/>
      <c r="U186" s="10"/>
      <c r="BI186" s="3022"/>
      <c r="BJ186" s="820"/>
    </row>
    <row r="187" spans="20:62" ht="17.100000000000001" customHeight="1" x14ac:dyDescent="0.2">
      <c r="T187" s="10"/>
      <c r="U187" s="10"/>
      <c r="BI187" s="497"/>
    </row>
    <row r="188" spans="20:62" ht="17.100000000000001" customHeight="1" x14ac:dyDescent="0.2">
      <c r="T188" s="10"/>
      <c r="U188" s="10"/>
      <c r="BI188" s="3022"/>
      <c r="BJ188" s="820"/>
    </row>
    <row r="189" spans="20:62" ht="17.100000000000001" customHeight="1" x14ac:dyDescent="0.2">
      <c r="T189" s="10"/>
      <c r="U189" s="10"/>
      <c r="BI189" s="497"/>
    </row>
    <row r="190" spans="20:62" ht="17.100000000000001" customHeight="1" x14ac:dyDescent="0.2">
      <c r="T190" s="10"/>
      <c r="U190" s="10"/>
      <c r="BI190" s="3022"/>
      <c r="BJ190" s="820"/>
    </row>
    <row r="191" spans="20:62" ht="17.100000000000001" customHeight="1" x14ac:dyDescent="0.2">
      <c r="T191" s="10"/>
      <c r="U191" s="10"/>
      <c r="BI191" s="497"/>
    </row>
    <row r="192" spans="20:62" ht="17.100000000000001" customHeight="1" x14ac:dyDescent="0.2">
      <c r="T192" s="10"/>
      <c r="U192" s="10"/>
      <c r="BI192" s="3022"/>
      <c r="BJ192" s="820"/>
    </row>
    <row r="193" spans="20:62" ht="17.100000000000001" customHeight="1" x14ac:dyDescent="0.2">
      <c r="T193" s="10"/>
      <c r="U193" s="10"/>
      <c r="BI193" s="497"/>
    </row>
    <row r="194" spans="20:62" ht="17.100000000000001" customHeight="1" x14ac:dyDescent="0.2">
      <c r="T194" s="10"/>
      <c r="U194" s="10"/>
      <c r="BI194" s="3022"/>
      <c r="BJ194" s="820"/>
    </row>
    <row r="195" spans="20:62" ht="17.100000000000001" customHeight="1" x14ac:dyDescent="0.2">
      <c r="T195" s="10"/>
      <c r="U195" s="10"/>
      <c r="BI195" s="497"/>
    </row>
    <row r="196" spans="20:62" ht="17.100000000000001" customHeight="1" x14ac:dyDescent="0.2">
      <c r="T196" s="3022"/>
      <c r="U196" s="820"/>
      <c r="BI196" s="3022"/>
      <c r="BJ196" s="820"/>
    </row>
    <row r="197" spans="20:62" ht="17.100000000000001" customHeight="1" x14ac:dyDescent="0.15">
      <c r="T197" s="497"/>
      <c r="BI197" s="497"/>
    </row>
    <row r="198" spans="20:62" ht="17.100000000000001" customHeight="1" x14ac:dyDescent="0.2">
      <c r="T198" s="3022"/>
      <c r="U198" s="820"/>
      <c r="BI198" s="3022"/>
      <c r="BJ198" s="820"/>
    </row>
    <row r="199" spans="20:62" ht="17.100000000000001" customHeight="1" x14ac:dyDescent="0.15">
      <c r="T199" s="497"/>
      <c r="BI199" s="497"/>
    </row>
    <row r="200" spans="20:62" ht="17.100000000000001" customHeight="1" x14ac:dyDescent="0.2">
      <c r="T200" s="3022"/>
      <c r="U200" s="820"/>
      <c r="BI200" s="3022"/>
      <c r="BJ200" s="820"/>
    </row>
    <row r="201" spans="20:62" ht="17.100000000000001" customHeight="1" x14ac:dyDescent="0.15">
      <c r="T201" s="497"/>
      <c r="BI201" s="497"/>
    </row>
    <row r="202" spans="20:62" ht="17.100000000000001" customHeight="1" x14ac:dyDescent="0.2">
      <c r="T202" s="3022"/>
      <c r="U202" s="820"/>
      <c r="BI202" s="3022"/>
      <c r="BJ202" s="820"/>
    </row>
    <row r="203" spans="20:62" ht="17.100000000000001" customHeight="1" x14ac:dyDescent="0.15">
      <c r="T203" s="497"/>
      <c r="BI203" s="497"/>
    </row>
    <row r="204" spans="20:62" ht="17.100000000000001" customHeight="1" x14ac:dyDescent="0.2">
      <c r="T204" s="3022"/>
      <c r="U204" s="820"/>
      <c r="BI204" s="3022"/>
      <c r="BJ204" s="820"/>
    </row>
  </sheetData>
  <sheetProtection sheet="1" objects="1" scenarios="1"/>
  <mergeCells count="427">
    <mergeCell ref="BL69:BR70"/>
    <mergeCell ref="CC57:CE57"/>
    <mergeCell ref="N8:O8"/>
    <mergeCell ref="BM8:BN8"/>
    <mergeCell ref="L88:N88"/>
    <mergeCell ref="L89:N89"/>
    <mergeCell ref="CI57:CK57"/>
    <mergeCell ref="BC71:BI71"/>
    <mergeCell ref="BH67:BI68"/>
    <mergeCell ref="BO23:BP24"/>
    <mergeCell ref="BF51:BU51"/>
    <mergeCell ref="BO25:BU26"/>
    <mergeCell ref="BF29:BG30"/>
    <mergeCell ref="BF25:BL26"/>
    <mergeCell ref="BK29:BL30"/>
    <mergeCell ref="BH29:BJ30"/>
    <mergeCell ref="BT23:BU24"/>
    <mergeCell ref="BO29:BP30"/>
    <mergeCell ref="BF42:BL43"/>
    <mergeCell ref="BF45:BL46"/>
    <mergeCell ref="BQ67:BR68"/>
    <mergeCell ref="BF54:BU54"/>
    <mergeCell ref="BF56:BU56"/>
    <mergeCell ref="BM38:BN38"/>
    <mergeCell ref="BO45:BU46"/>
    <mergeCell ref="BF53:BU53"/>
    <mergeCell ref="CC19:CE20"/>
    <mergeCell ref="CF19:CH20"/>
    <mergeCell ref="CI19:CK20"/>
    <mergeCell ref="CL19:CN20"/>
    <mergeCell ref="CO19:CQ20"/>
    <mergeCell ref="CO5:CQ5"/>
    <mergeCell ref="CC5:CE5"/>
    <mergeCell ref="BF19:BL20"/>
    <mergeCell ref="BO19:BU20"/>
    <mergeCell ref="BO6:BU7"/>
    <mergeCell ref="BQ23:BS24"/>
    <mergeCell ref="BQ29:BS30"/>
    <mergeCell ref="BT29:BU30"/>
    <mergeCell ref="BK23:BL24"/>
    <mergeCell ref="BF23:BG24"/>
    <mergeCell ref="BH23:BJ24"/>
    <mergeCell ref="CJ5:CL5"/>
    <mergeCell ref="G57:V57"/>
    <mergeCell ref="P42:V43"/>
    <mergeCell ref="AB71:AH71"/>
    <mergeCell ref="S86:Y87"/>
    <mergeCell ref="AB86:AH87"/>
    <mergeCell ref="AD84:AF85"/>
    <mergeCell ref="G51:V51"/>
    <mergeCell ref="AG64:AU64"/>
    <mergeCell ref="P45:V46"/>
    <mergeCell ref="AG74:AU74"/>
    <mergeCell ref="AK71:AQ71"/>
    <mergeCell ref="S69:Y70"/>
    <mergeCell ref="S71:Y71"/>
    <mergeCell ref="AB67:AC68"/>
    <mergeCell ref="AD67:AF68"/>
    <mergeCell ref="L67:N68"/>
    <mergeCell ref="J71:P71"/>
    <mergeCell ref="S67:T68"/>
    <mergeCell ref="U67:W68"/>
    <mergeCell ref="AK86:AQ87"/>
    <mergeCell ref="AT86:AZ87"/>
    <mergeCell ref="S84:T85"/>
    <mergeCell ref="AG81:AU81"/>
    <mergeCell ref="J86:P87"/>
    <mergeCell ref="AV84:AX85"/>
    <mergeCell ref="AP84:AQ85"/>
    <mergeCell ref="AG84:AH85"/>
    <mergeCell ref="X84:Y85"/>
    <mergeCell ref="O84:P85"/>
    <mergeCell ref="J84:K85"/>
    <mergeCell ref="L84:N85"/>
    <mergeCell ref="AY84:AZ85"/>
    <mergeCell ref="AT84:AU85"/>
    <mergeCell ref="AK84:AL85"/>
    <mergeCell ref="AM84:AO85"/>
    <mergeCell ref="U84:W85"/>
    <mergeCell ref="AM24:AO24"/>
    <mergeCell ref="AC31:AD32"/>
    <mergeCell ref="M15:P15"/>
    <mergeCell ref="U17:V18"/>
    <mergeCell ref="P19:V20"/>
    <mergeCell ref="AM20:AO20"/>
    <mergeCell ref="AC29:AD30"/>
    <mergeCell ref="AV18:AZ18"/>
    <mergeCell ref="G6:M7"/>
    <mergeCell ref="P6:V7"/>
    <mergeCell ref="G8:M8"/>
    <mergeCell ref="P8:V8"/>
    <mergeCell ref="G9:M10"/>
    <mergeCell ref="P9:V10"/>
    <mergeCell ref="G11:M11"/>
    <mergeCell ref="P11:V11"/>
    <mergeCell ref="AB8:AD8"/>
    <mergeCell ref="G17:H18"/>
    <mergeCell ref="I17:K18"/>
    <mergeCell ref="L17:M18"/>
    <mergeCell ref="G19:M20"/>
    <mergeCell ref="P17:Q18"/>
    <mergeCell ref="R23:T24"/>
    <mergeCell ref="G31:M32"/>
    <mergeCell ref="O67:P68"/>
    <mergeCell ref="AG67:AH68"/>
    <mergeCell ref="R17:T18"/>
    <mergeCell ref="U29:V30"/>
    <mergeCell ref="U23:V24"/>
    <mergeCell ref="G53:V53"/>
    <mergeCell ref="G54:V54"/>
    <mergeCell ref="P31:V32"/>
    <mergeCell ref="G23:H24"/>
    <mergeCell ref="I23:K24"/>
    <mergeCell ref="L23:M24"/>
    <mergeCell ref="G25:M26"/>
    <mergeCell ref="G29:H30"/>
    <mergeCell ref="I29:K30"/>
    <mergeCell ref="L29:M30"/>
    <mergeCell ref="P29:Q30"/>
    <mergeCell ref="P23:Q24"/>
    <mergeCell ref="P25:V26"/>
    <mergeCell ref="R29:T30"/>
    <mergeCell ref="G42:M43"/>
    <mergeCell ref="G45:M46"/>
    <mergeCell ref="N40:O40"/>
    <mergeCell ref="J67:K68"/>
    <mergeCell ref="G56:V56"/>
    <mergeCell ref="J69:P70"/>
    <mergeCell ref="AY4:AZ4"/>
    <mergeCell ref="AB4:AC4"/>
    <mergeCell ref="AG19:AU19"/>
    <mergeCell ref="AG18:AU18"/>
    <mergeCell ref="AX8:AZ8"/>
    <mergeCell ref="BO8:BU8"/>
    <mergeCell ref="BF9:BL10"/>
    <mergeCell ref="BO9:BU10"/>
    <mergeCell ref="BF11:BL11"/>
    <mergeCell ref="BO11:BU11"/>
    <mergeCell ref="BF6:BL7"/>
    <mergeCell ref="BO17:BP18"/>
    <mergeCell ref="BQ17:BS18"/>
    <mergeCell ref="BT17:BU18"/>
    <mergeCell ref="BH17:BJ18"/>
    <mergeCell ref="BK17:BL18"/>
    <mergeCell ref="BL15:BO15"/>
    <mergeCell ref="AM8:AO8"/>
    <mergeCell ref="BF8:BL8"/>
    <mergeCell ref="BF17:BG18"/>
    <mergeCell ref="X67:Y68"/>
    <mergeCell ref="N39:O39"/>
    <mergeCell ref="N38:O38"/>
    <mergeCell ref="AK67:AL68"/>
    <mergeCell ref="AM67:AO68"/>
    <mergeCell ref="BF57:BU57"/>
    <mergeCell ref="BF31:BL32"/>
    <mergeCell ref="BO31:BU32"/>
    <mergeCell ref="AC49:AD50"/>
    <mergeCell ref="AX49:AY50"/>
    <mergeCell ref="BE67:BG68"/>
    <mergeCell ref="BC69:BI70"/>
    <mergeCell ref="AG35:AU35"/>
    <mergeCell ref="AT69:AZ70"/>
    <mergeCell ref="AT67:AU68"/>
    <mergeCell ref="AK69:AQ70"/>
    <mergeCell ref="AP67:AQ68"/>
    <mergeCell ref="BC67:BD68"/>
    <mergeCell ref="AG57:AU57"/>
    <mergeCell ref="AG56:AU56"/>
    <mergeCell ref="AB69:AH70"/>
    <mergeCell ref="BN67:BP68"/>
    <mergeCell ref="BL67:BM68"/>
    <mergeCell ref="BM40:BN40"/>
    <mergeCell ref="BO42:BU43"/>
    <mergeCell ref="BM39:BN39"/>
    <mergeCell ref="AM36:AO36"/>
    <mergeCell ref="U88:W88"/>
    <mergeCell ref="U89:W89"/>
    <mergeCell ref="AD88:AF88"/>
    <mergeCell ref="AD89:AF89"/>
    <mergeCell ref="AM88:AO88"/>
    <mergeCell ref="AM89:AO89"/>
    <mergeCell ref="AV88:AX88"/>
    <mergeCell ref="AV89:AX89"/>
    <mergeCell ref="BE88:BG88"/>
    <mergeCell ref="BE89:BG89"/>
    <mergeCell ref="AH129:AT129"/>
    <mergeCell ref="AH121:AT121"/>
    <mergeCell ref="AH122:AT122"/>
    <mergeCell ref="AB18:AF18"/>
    <mergeCell ref="AB19:AF19"/>
    <mergeCell ref="AV19:AZ19"/>
    <mergeCell ref="BN88:BP88"/>
    <mergeCell ref="BN89:BP89"/>
    <mergeCell ref="AT71:AZ71"/>
    <mergeCell ref="BL86:BR87"/>
    <mergeCell ref="BN84:BP85"/>
    <mergeCell ref="BQ84:BR85"/>
    <mergeCell ref="BL84:BM85"/>
    <mergeCell ref="BC86:BI87"/>
    <mergeCell ref="BC84:BD85"/>
    <mergeCell ref="BE84:BG85"/>
    <mergeCell ref="BH84:BI85"/>
    <mergeCell ref="AB84:AC85"/>
    <mergeCell ref="BL71:BR71"/>
    <mergeCell ref="AX31:AY32"/>
    <mergeCell ref="AX29:AY30"/>
    <mergeCell ref="AV67:AX68"/>
    <mergeCell ref="AY67:AZ68"/>
    <mergeCell ref="AG34:AU34"/>
    <mergeCell ref="AV119:BG119"/>
    <mergeCell ref="BI119:BT119"/>
    <mergeCell ref="AH111:AT111"/>
    <mergeCell ref="AH112:AT112"/>
    <mergeCell ref="AH114:AT114"/>
    <mergeCell ref="AH115:AT115"/>
    <mergeCell ref="AH113:AT113"/>
    <mergeCell ref="AH123:AT123"/>
    <mergeCell ref="AH124:AT124"/>
    <mergeCell ref="AV124:BG124"/>
    <mergeCell ref="BI124:BT124"/>
    <mergeCell ref="AH120:AT120"/>
    <mergeCell ref="AV116:BG116"/>
    <mergeCell ref="BI116:BT116"/>
    <mergeCell ref="BI114:BT114"/>
    <mergeCell ref="AV115:BG115"/>
    <mergeCell ref="BI115:BT115"/>
    <mergeCell ref="AV118:BG118"/>
    <mergeCell ref="BI118:BT118"/>
    <mergeCell ref="BI112:BT112"/>
    <mergeCell ref="BI113:BT113"/>
    <mergeCell ref="BI117:BT117"/>
    <mergeCell ref="U148:AF148"/>
    <mergeCell ref="U149:AF149"/>
    <mergeCell ref="U150:AF150"/>
    <mergeCell ref="U151:AF151"/>
    <mergeCell ref="H147:S147"/>
    <mergeCell ref="H148:S148"/>
    <mergeCell ref="H149:S149"/>
    <mergeCell ref="H150:S150"/>
    <mergeCell ref="H151:S151"/>
    <mergeCell ref="U147:AF147"/>
    <mergeCell ref="AH126:AT126"/>
    <mergeCell ref="AH118:AT118"/>
    <mergeCell ref="AH125:AT125"/>
    <mergeCell ref="U124:AF124"/>
    <mergeCell ref="U123:AF123"/>
    <mergeCell ref="H118:S118"/>
    <mergeCell ref="U118:AF118"/>
    <mergeCell ref="H125:S125"/>
    <mergeCell ref="U125:AF125"/>
    <mergeCell ref="H119:S119"/>
    <mergeCell ref="U119:AF119"/>
    <mergeCell ref="H121:S121"/>
    <mergeCell ref="U121:AF121"/>
    <mergeCell ref="H124:S124"/>
    <mergeCell ref="AH104:AT104"/>
    <mergeCell ref="AH108:AT108"/>
    <mergeCell ref="AH107:AT107"/>
    <mergeCell ref="AH105:AT105"/>
    <mergeCell ref="AH116:AT116"/>
    <mergeCell ref="AH109:AT109"/>
    <mergeCell ref="AH110:AT110"/>
    <mergeCell ref="AH117:AT117"/>
    <mergeCell ref="AH119:AT119"/>
    <mergeCell ref="AH132:AT132"/>
    <mergeCell ref="AH133:AT133"/>
    <mergeCell ref="H130:S130"/>
    <mergeCell ref="U130:AF130"/>
    <mergeCell ref="H133:S133"/>
    <mergeCell ref="U133:AF133"/>
    <mergeCell ref="AV133:BG133"/>
    <mergeCell ref="BI133:BT133"/>
    <mergeCell ref="AV130:BG130"/>
    <mergeCell ref="BI130:BT130"/>
    <mergeCell ref="H132:S132"/>
    <mergeCell ref="U132:AF132"/>
    <mergeCell ref="AV132:BG132"/>
    <mergeCell ref="BI132:BT132"/>
    <mergeCell ref="AH130:AT130"/>
    <mergeCell ref="AH139:AT139"/>
    <mergeCell ref="AH140:AT140"/>
    <mergeCell ref="AV139:BG139"/>
    <mergeCell ref="BI139:BT139"/>
    <mergeCell ref="H140:S140"/>
    <mergeCell ref="U140:AF140"/>
    <mergeCell ref="AV140:BG140"/>
    <mergeCell ref="BI140:BT140"/>
    <mergeCell ref="AH137:AT137"/>
    <mergeCell ref="AH138:AT138"/>
    <mergeCell ref="U146:AF146"/>
    <mergeCell ref="BI144:BT144"/>
    <mergeCell ref="H145:S145"/>
    <mergeCell ref="AV145:BG145"/>
    <mergeCell ref="BI145:BT145"/>
    <mergeCell ref="AH141:AT141"/>
    <mergeCell ref="AH142:AT142"/>
    <mergeCell ref="AH143:AT143"/>
    <mergeCell ref="H141:S141"/>
    <mergeCell ref="AV141:BG141"/>
    <mergeCell ref="BI141:BT141"/>
    <mergeCell ref="H142:S142"/>
    <mergeCell ref="AV142:BG142"/>
    <mergeCell ref="BI142:BT142"/>
    <mergeCell ref="H143:S143"/>
    <mergeCell ref="AV143:BG143"/>
    <mergeCell ref="BI143:BT143"/>
    <mergeCell ref="AH144:AT144"/>
    <mergeCell ref="AH145:AT145"/>
    <mergeCell ref="AH146:AT146"/>
    <mergeCell ref="H146:S146"/>
    <mergeCell ref="BI146:BT146"/>
    <mergeCell ref="U144:AF144"/>
    <mergeCell ref="U145:AF145"/>
    <mergeCell ref="AH150:AT150"/>
    <mergeCell ref="AH151:AT151"/>
    <mergeCell ref="AH147:AT147"/>
    <mergeCell ref="AH148:AT148"/>
    <mergeCell ref="AH149:AT149"/>
    <mergeCell ref="BI150:BT150"/>
    <mergeCell ref="AV151:BG151"/>
    <mergeCell ref="BI151:BT151"/>
    <mergeCell ref="AV147:BG147"/>
    <mergeCell ref="BI147:BT147"/>
    <mergeCell ref="AV148:BG148"/>
    <mergeCell ref="BI148:BT148"/>
    <mergeCell ref="AV149:BG149"/>
    <mergeCell ref="BI149:BT149"/>
    <mergeCell ref="U104:AF104"/>
    <mergeCell ref="U107:AF107"/>
    <mergeCell ref="U108:AF108"/>
    <mergeCell ref="AV129:BG129"/>
    <mergeCell ref="BI129:BT129"/>
    <mergeCell ref="H129:S129"/>
    <mergeCell ref="U129:AF129"/>
    <mergeCell ref="AV126:BG126"/>
    <mergeCell ref="BI126:BT126"/>
    <mergeCell ref="AV125:BG125"/>
    <mergeCell ref="BI125:BT125"/>
    <mergeCell ref="H120:S120"/>
    <mergeCell ref="U120:AF120"/>
    <mergeCell ref="AV120:BG120"/>
    <mergeCell ref="BI120:BT120"/>
    <mergeCell ref="AV121:BG121"/>
    <mergeCell ref="BI121:BT121"/>
    <mergeCell ref="H122:S122"/>
    <mergeCell ref="U122:AF122"/>
    <mergeCell ref="AV122:BG122"/>
    <mergeCell ref="BI122:BT122"/>
    <mergeCell ref="H123:S123"/>
    <mergeCell ref="AV123:BG123"/>
    <mergeCell ref="BI123:BT123"/>
    <mergeCell ref="AV104:BG104"/>
    <mergeCell ref="BI104:BT104"/>
    <mergeCell ref="AV111:BG111"/>
    <mergeCell ref="BI111:BT111"/>
    <mergeCell ref="AV107:BG107"/>
    <mergeCell ref="BI107:BT107"/>
    <mergeCell ref="AV108:BG108"/>
    <mergeCell ref="BI108:BT108"/>
    <mergeCell ref="AV109:BG109"/>
    <mergeCell ref="BI109:BT109"/>
    <mergeCell ref="AV110:BG110"/>
    <mergeCell ref="BI110:BT110"/>
    <mergeCell ref="AV105:BG105"/>
    <mergeCell ref="BI105:BT105"/>
    <mergeCell ref="U110:AF110"/>
    <mergeCell ref="U111:AF111"/>
    <mergeCell ref="U114:AF114"/>
    <mergeCell ref="AV114:BG114"/>
    <mergeCell ref="U113:AF113"/>
    <mergeCell ref="H117:S117"/>
    <mergeCell ref="U117:AF117"/>
    <mergeCell ref="U112:AF112"/>
    <mergeCell ref="H113:S113"/>
    <mergeCell ref="U115:AF115"/>
    <mergeCell ref="H116:S116"/>
    <mergeCell ref="U116:AF116"/>
    <mergeCell ref="AV112:BG112"/>
    <mergeCell ref="AV113:BG113"/>
    <mergeCell ref="AV117:BG117"/>
    <mergeCell ref="BI135:BT135"/>
    <mergeCell ref="H134:S134"/>
    <mergeCell ref="U134:AF134"/>
    <mergeCell ref="H138:S138"/>
    <mergeCell ref="U138:AF138"/>
    <mergeCell ref="AV138:BG138"/>
    <mergeCell ref="BI138:BT138"/>
    <mergeCell ref="H137:S137"/>
    <mergeCell ref="U137:AF137"/>
    <mergeCell ref="AV137:BG137"/>
    <mergeCell ref="BI137:BT137"/>
    <mergeCell ref="AH134:AT134"/>
    <mergeCell ref="AH135:AT135"/>
    <mergeCell ref="AH136:AT136"/>
    <mergeCell ref="H136:S136"/>
    <mergeCell ref="U136:AF136"/>
    <mergeCell ref="AV136:BG136"/>
    <mergeCell ref="BI136:BT136"/>
    <mergeCell ref="AV134:BG134"/>
    <mergeCell ref="BI134:BT134"/>
    <mergeCell ref="H135:S135"/>
    <mergeCell ref="U135:AF135"/>
    <mergeCell ref="AV135:BG135"/>
    <mergeCell ref="AG98:AU98"/>
    <mergeCell ref="AV150:BG150"/>
    <mergeCell ref="H144:S144"/>
    <mergeCell ref="AV144:BG144"/>
    <mergeCell ref="AV146:BG146"/>
    <mergeCell ref="U141:AF141"/>
    <mergeCell ref="U142:AF142"/>
    <mergeCell ref="U143:AF143"/>
    <mergeCell ref="H139:S139"/>
    <mergeCell ref="U139:AF139"/>
    <mergeCell ref="H104:S104"/>
    <mergeCell ref="H107:S107"/>
    <mergeCell ref="H108:S108"/>
    <mergeCell ref="H115:S115"/>
    <mergeCell ref="U109:AF109"/>
    <mergeCell ref="H114:S114"/>
    <mergeCell ref="H109:S109"/>
    <mergeCell ref="H110:S110"/>
    <mergeCell ref="H105:S105"/>
    <mergeCell ref="U105:AF105"/>
    <mergeCell ref="H126:S126"/>
    <mergeCell ref="U126:AF126"/>
    <mergeCell ref="H111:S111"/>
    <mergeCell ref="H112:S112"/>
  </mergeCells>
  <phoneticPr fontId="39" type="noConversion"/>
  <conditionalFormatting sqref="CC16:CI16 CK11 CE15:CI15 CK16:CQ16 CF14:CI14 CK15:CO15 CG13:CI13 CK14:CN14 CH12:CI12 CK13:CM13 CI11 CK12:CL12">
    <cfRule type="expression" dxfId="1503" priority="1686">
      <formula>CC11=0</formula>
    </cfRule>
  </conditionalFormatting>
  <conditionalFormatting sqref="CP15">
    <cfRule type="expression" dxfId="1502" priority="1680">
      <formula>CP15=0</formula>
    </cfRule>
  </conditionalFormatting>
  <conditionalFormatting sqref="CD15">
    <cfRule type="expression" dxfId="1501" priority="1679">
      <formula>CD15=0</formula>
    </cfRule>
  </conditionalFormatting>
  <conditionalFormatting sqref="CO14">
    <cfRule type="expression" dxfId="1500" priority="1668">
      <formula>CO14=0</formula>
    </cfRule>
  </conditionalFormatting>
  <conditionalFormatting sqref="CN13">
    <cfRule type="expression" dxfId="1499" priority="1667">
      <formula>CN13=0</formula>
    </cfRule>
  </conditionalFormatting>
  <conditionalFormatting sqref="CM12">
    <cfRule type="expression" dxfId="1498" priority="1666">
      <formula>CM12=0</formula>
    </cfRule>
  </conditionalFormatting>
  <conditionalFormatting sqref="CL11">
    <cfRule type="expression" dxfId="1497" priority="1665">
      <formula>CL11=0</formula>
    </cfRule>
  </conditionalFormatting>
  <conditionalFormatting sqref="CK10">
    <cfRule type="expression" dxfId="1496" priority="1664">
      <formula>CK10=0</formula>
    </cfRule>
  </conditionalFormatting>
  <conditionalFormatting sqref="CE14">
    <cfRule type="expression" dxfId="1495" priority="1662">
      <formula>CE14=0</formula>
    </cfRule>
  </conditionalFormatting>
  <conditionalFormatting sqref="CF13">
    <cfRule type="expression" dxfId="1494" priority="1661">
      <formula>CF13=0</formula>
    </cfRule>
  </conditionalFormatting>
  <conditionalFormatting sqref="CG12">
    <cfRule type="expression" dxfId="1493" priority="1660">
      <formula>CG12=0</formula>
    </cfRule>
  </conditionalFormatting>
  <conditionalFormatting sqref="CH11">
    <cfRule type="expression" dxfId="1492" priority="1659">
      <formula>CH11=0</formula>
    </cfRule>
  </conditionalFormatting>
  <conditionalFormatting sqref="CI10">
    <cfRule type="expression" dxfId="1491" priority="1658">
      <formula>CI10=0</formula>
    </cfRule>
  </conditionalFormatting>
  <conditionalFormatting sqref="CJ9">
    <cfRule type="expression" dxfId="1490" priority="1657">
      <formula>CJ9=0</formula>
    </cfRule>
  </conditionalFormatting>
  <conditionalFormatting sqref="CD54:CM54 CE53:CM53 CO53:CW53 CF52:CV52 CG51:CU51 CH50:CT50 CI49:CS49 CO54:CX54">
    <cfRule type="expression" dxfId="1489" priority="1656">
      <formula>CD49=0</formula>
    </cfRule>
  </conditionalFormatting>
  <conditionalFormatting sqref="CH53">
    <cfRule type="expression" dxfId="1488" priority="1654">
      <formula>CH53=0</formula>
    </cfRule>
  </conditionalFormatting>
  <conditionalFormatting sqref="CC54">
    <cfRule type="expression" dxfId="1487" priority="1642">
      <formula>CC54=0</formula>
    </cfRule>
  </conditionalFormatting>
  <conditionalFormatting sqref="CD53">
    <cfRule type="expression" dxfId="1486" priority="1641">
      <formula>CD53=0</formula>
    </cfRule>
  </conditionalFormatting>
  <conditionalFormatting sqref="CE52">
    <cfRule type="expression" dxfId="1485" priority="1640">
      <formula>CE52=0</formula>
    </cfRule>
  </conditionalFormatting>
  <conditionalFormatting sqref="CF51">
    <cfRule type="expression" dxfId="1484" priority="1639">
      <formula>CF51=0</formula>
    </cfRule>
  </conditionalFormatting>
  <conditionalFormatting sqref="CG50">
    <cfRule type="expression" dxfId="1483" priority="1638">
      <formula>CG50=0</formula>
    </cfRule>
  </conditionalFormatting>
  <conditionalFormatting sqref="CH49">
    <cfRule type="expression" dxfId="1482" priority="1637">
      <formula>CH49=0</formula>
    </cfRule>
  </conditionalFormatting>
  <conditionalFormatting sqref="CI48">
    <cfRule type="expression" dxfId="1481" priority="1636">
      <formula>CI48=0</formula>
    </cfRule>
  </conditionalFormatting>
  <conditionalFormatting sqref="CJ47">
    <cfRule type="expression" dxfId="1480" priority="1635">
      <formula>CJ47=0</formula>
    </cfRule>
  </conditionalFormatting>
  <conditionalFormatting sqref="CK46">
    <cfRule type="expression" dxfId="1479" priority="1634">
      <formula>CK46=0</formula>
    </cfRule>
  </conditionalFormatting>
  <conditionalFormatting sqref="CL45">
    <cfRule type="expression" dxfId="1478" priority="1633">
      <formula>CL45=0</formula>
    </cfRule>
  </conditionalFormatting>
  <conditionalFormatting sqref="CM44">
    <cfRule type="expression" dxfId="1477" priority="1632">
      <formula>CM44=0</formula>
    </cfRule>
  </conditionalFormatting>
  <conditionalFormatting sqref="CY54">
    <cfRule type="expression" dxfId="1476" priority="1630">
      <formula>CY54=0</formula>
    </cfRule>
  </conditionalFormatting>
  <conditionalFormatting sqref="CN43">
    <cfRule type="expression" dxfId="1475" priority="1629">
      <formula>CN43=0</formula>
    </cfRule>
  </conditionalFormatting>
  <conditionalFormatting sqref="CO44">
    <cfRule type="expression" dxfId="1474" priority="1628">
      <formula>CO44=0</formula>
    </cfRule>
  </conditionalFormatting>
  <conditionalFormatting sqref="CP45">
    <cfRule type="expression" dxfId="1473" priority="1627">
      <formula>CP45=0</formula>
    </cfRule>
  </conditionalFormatting>
  <conditionalFormatting sqref="CQ46">
    <cfRule type="expression" dxfId="1472" priority="1626">
      <formula>CQ46=0</formula>
    </cfRule>
  </conditionalFormatting>
  <conditionalFormatting sqref="CR47">
    <cfRule type="expression" dxfId="1471" priority="1625">
      <formula>CR47=0</formula>
    </cfRule>
  </conditionalFormatting>
  <conditionalFormatting sqref="CS48">
    <cfRule type="expression" dxfId="1470" priority="1624">
      <formula>CS48=0</formula>
    </cfRule>
  </conditionalFormatting>
  <conditionalFormatting sqref="CT49">
    <cfRule type="expression" dxfId="1469" priority="1623">
      <formula>CT49=0</formula>
    </cfRule>
  </conditionalFormatting>
  <conditionalFormatting sqref="CU50">
    <cfRule type="expression" dxfId="1468" priority="1622">
      <formula>CU50=0</formula>
    </cfRule>
  </conditionalFormatting>
  <conditionalFormatting sqref="CV51">
    <cfRule type="expression" dxfId="1467" priority="1621">
      <formula>CV51=0</formula>
    </cfRule>
  </conditionalFormatting>
  <conditionalFormatting sqref="CW52">
    <cfRule type="expression" dxfId="1466" priority="1620">
      <formula>CW52=0</formula>
    </cfRule>
  </conditionalFormatting>
  <conditionalFormatting sqref="CX53">
    <cfRule type="expression" dxfId="1465" priority="1619">
      <formula>CX53=0</formula>
    </cfRule>
  </conditionalFormatting>
  <conditionalFormatting sqref="CJ48:CN48">
    <cfRule type="expression" dxfId="1464" priority="1618">
      <formula>CJ48=0</formula>
    </cfRule>
  </conditionalFormatting>
  <conditionalFormatting sqref="CK47:CM47">
    <cfRule type="expression" dxfId="1463" priority="1617">
      <formula>CK47=0</formula>
    </cfRule>
  </conditionalFormatting>
  <conditionalFormatting sqref="CL46:CP46">
    <cfRule type="expression" dxfId="1462" priority="1616">
      <formula>CL46=0</formula>
    </cfRule>
  </conditionalFormatting>
  <conditionalFormatting sqref="CM45:CO45">
    <cfRule type="expression" dxfId="1461" priority="1615">
      <formula>CM45=0</formula>
    </cfRule>
  </conditionalFormatting>
  <conditionalFormatting sqref="CN44">
    <cfRule type="expression" dxfId="1460" priority="1614">
      <formula>CN44=0</formula>
    </cfRule>
  </conditionalFormatting>
  <conditionalFormatting sqref="CO48:CR48">
    <cfRule type="expression" dxfId="1459" priority="1613">
      <formula>CO48=0</formula>
    </cfRule>
  </conditionalFormatting>
  <conditionalFormatting sqref="CN47:CQ47">
    <cfRule type="expression" dxfId="1458" priority="1612">
      <formula>CN47=0</formula>
    </cfRule>
  </conditionalFormatting>
  <conditionalFormatting sqref="CI25:CI32 CK25:CK32">
    <cfRule type="expression" dxfId="1457" priority="1611">
      <formula>CI25=0</formula>
    </cfRule>
  </conditionalFormatting>
  <conditionalFormatting sqref="CL25:CP32">
    <cfRule type="expression" dxfId="1456" priority="1610">
      <formula>CL25=0</formula>
    </cfRule>
  </conditionalFormatting>
  <conditionalFormatting sqref="CD25:CH32">
    <cfRule type="expression" dxfId="1455" priority="1609">
      <formula>CD25=0</formula>
    </cfRule>
  </conditionalFormatting>
  <conditionalFormatting sqref="CC25:CC32">
    <cfRule type="expression" dxfId="1454" priority="1600">
      <formula>CC25=0</formula>
    </cfRule>
  </conditionalFormatting>
  <conditionalFormatting sqref="CQ25:CQ32">
    <cfRule type="expression" dxfId="1453" priority="1599">
      <formula>CQ25=0</formula>
    </cfRule>
  </conditionalFormatting>
  <conditionalFormatting sqref="G9:M10 G6:M7 P6:V7 P9:V10 BF9:BL10 BF6:BL7 BO6:BU7 BO9:BU10">
    <cfRule type="expression" dxfId="1452" priority="1409">
      <formula>G6=""</formula>
    </cfRule>
    <cfRule type="expression" dxfId="1451" priority="1413">
      <formula>G8&lt;&gt;""</formula>
    </cfRule>
  </conditionalFormatting>
  <conditionalFormatting sqref="AL22:AN22 AL21:AO21">
    <cfRule type="expression" dxfId="1450" priority="1266">
      <formula>AL21&lt;0</formula>
    </cfRule>
  </conditionalFormatting>
  <conditionalFormatting sqref="G25:M26">
    <cfRule type="expression" dxfId="1449" priority="1012">
      <formula>ISBLANK(G25)</formula>
    </cfRule>
  </conditionalFormatting>
  <conditionalFormatting sqref="L23:M24 L17:M18 L29:M30 U17:V18 U23:V24 U29:V30 BK23:BL24 BK17:BL18 BK29:BL30 BT17:BU18 BT23:BU24 BT29:BU30">
    <cfRule type="expression" dxfId="1448" priority="1011">
      <formula>ISBLANK(G19)</formula>
    </cfRule>
  </conditionalFormatting>
  <conditionalFormatting sqref="G23:H24 G17:H18 G29:H30 P17:Q18 P23:Q24 P29:Q30 BF23:BG24 BF17:BG18 BF29:BG30 BO17:BP18 BO23:BP24 BO29:BP30">
    <cfRule type="expression" dxfId="1447" priority="1010">
      <formula>ISBLANK(G19)</formula>
    </cfRule>
  </conditionalFormatting>
  <conditionalFormatting sqref="G19:M20">
    <cfRule type="expression" dxfId="1446" priority="978">
      <formula>ISBLANK(G19)</formula>
    </cfRule>
  </conditionalFormatting>
  <conditionalFormatting sqref="I17:K18 R17:T18 I23:K24 R23:T24 I29:K30 R29:T30 BH17:BJ18 BQ17:BS18 BH23:BJ24 BQ23:BS24 BH29:BJ30 BQ29:BS30">
    <cfRule type="expression" dxfId="1445" priority="975">
      <formula>ISBLANK(G19)</formula>
    </cfRule>
  </conditionalFormatting>
  <conditionalFormatting sqref="G31:M32">
    <cfRule type="expression" dxfId="1444" priority="974">
      <formula>ISBLANK(G31)</formula>
    </cfRule>
  </conditionalFormatting>
  <conditionalFormatting sqref="P19:V20">
    <cfRule type="expression" dxfId="1443" priority="970">
      <formula>ISBLANK(P19)</formula>
    </cfRule>
  </conditionalFormatting>
  <conditionalFormatting sqref="P25:V26">
    <cfRule type="expression" dxfId="1442" priority="966">
      <formula>ISBLANK(P25)</formula>
    </cfRule>
  </conditionalFormatting>
  <conditionalFormatting sqref="P31:V32">
    <cfRule type="expression" dxfId="1441" priority="962">
      <formula>ISBLANK(P31)</formula>
    </cfRule>
  </conditionalFormatting>
  <conditionalFormatting sqref="J69:P70">
    <cfRule type="expression" dxfId="1440" priority="922">
      <formula>ISBLANK(J69)</formula>
    </cfRule>
  </conditionalFormatting>
  <conditionalFormatting sqref="O67:P68 X67:Y68 AG67:AH68 AP67:AQ68 AY67:AZ68 BH67:BI68 BQ67:BR68">
    <cfRule type="expression" dxfId="1439" priority="921">
      <formula>ISBLANK(J69)</formula>
    </cfRule>
  </conditionalFormatting>
  <conditionalFormatting sqref="J67:K68 S67:T68 AB67:AC68 AK67:AL68 AT67:AU68 BC67:BD68 BL67:BM68">
    <cfRule type="expression" dxfId="1438" priority="920">
      <formula>ISBLANK(J69)</formula>
    </cfRule>
  </conditionalFormatting>
  <conditionalFormatting sqref="L67:N68 U67:W68 AD67:AF68 AM67:AO68 AV67:AX68 BE67:BG68 BN67:BP68">
    <cfRule type="expression" dxfId="1437" priority="919">
      <formula>ISBLANK(J69)</formula>
    </cfRule>
  </conditionalFormatting>
  <conditionalFormatting sqref="BF25:BL26">
    <cfRule type="expression" dxfId="1436" priority="783">
      <formula>ISBLANK(BF25)</formula>
    </cfRule>
  </conditionalFormatting>
  <conditionalFormatting sqref="BF19:BL20">
    <cfRule type="expression" dxfId="1435" priority="780">
      <formula>ISBLANK(BF19)</formula>
    </cfRule>
  </conditionalFormatting>
  <conditionalFormatting sqref="BF31:BL32">
    <cfRule type="expression" dxfId="1434" priority="776">
      <formula>ISBLANK(BF31)</formula>
    </cfRule>
  </conditionalFormatting>
  <conditionalFormatting sqref="BO19:BU20">
    <cfRule type="expression" dxfId="1433" priority="773">
      <formula>ISBLANK(BO19)</formula>
    </cfRule>
  </conditionalFormatting>
  <conditionalFormatting sqref="BO25:BU26">
    <cfRule type="expression" dxfId="1432" priority="770">
      <formula>ISBLANK(BO25)</formula>
    </cfRule>
  </conditionalFormatting>
  <conditionalFormatting sqref="BO31:BU32">
    <cfRule type="expression" dxfId="1431" priority="767">
      <formula>ISBLANK(BO31)</formula>
    </cfRule>
  </conditionalFormatting>
  <conditionalFormatting sqref="J73:P73 S73:Y73 AB73:AH73 AK73:AQ73 AT73:AZ73 BC73:BI73 BL73:BR73">
    <cfRule type="expression" dxfId="1430" priority="19244">
      <formula>ISBLANK(#REF!)</formula>
    </cfRule>
  </conditionalFormatting>
  <conditionalFormatting sqref="AL23:AP23">
    <cfRule type="expression" dxfId="1429" priority="524">
      <formula>$AL$23=0</formula>
    </cfRule>
  </conditionalFormatting>
  <conditionalFormatting sqref="AM8:AO8">
    <cfRule type="expression" dxfId="1428" priority="518">
      <formula>$AM$8&lt;0</formula>
    </cfRule>
  </conditionalFormatting>
  <conditionalFormatting sqref="S72:U72 W72:Y72 AF72:AH72 AO72:AQ72 AX72:AZ72 BG72:BI72">
    <cfRule type="expression" dxfId="1427" priority="502">
      <formula>ISBLANK(#REF!)</formula>
    </cfRule>
  </conditionalFormatting>
  <conditionalFormatting sqref="AB72:AD72">
    <cfRule type="expression" dxfId="1426" priority="501">
      <formula>ISBLANK(#REF!)</formula>
    </cfRule>
  </conditionalFormatting>
  <conditionalFormatting sqref="AK72:AM72">
    <cfRule type="expression" dxfId="1425" priority="500">
      <formula>ISBLANK(#REF!)</formula>
    </cfRule>
  </conditionalFormatting>
  <conditionalFormatting sqref="AT72:AV72">
    <cfRule type="expression" dxfId="1424" priority="499">
      <formula>ISBLANK(#REF!)</formula>
    </cfRule>
  </conditionalFormatting>
  <conditionalFormatting sqref="BC72:BE72">
    <cfRule type="expression" dxfId="1423" priority="498">
      <formula>ISBLANK(#REF!)</formula>
    </cfRule>
  </conditionalFormatting>
  <conditionalFormatting sqref="BL72:BN72">
    <cfRule type="expression" dxfId="1422" priority="497">
      <formula>ISBLANK(#REF!)</formula>
    </cfRule>
  </conditionalFormatting>
  <conditionalFormatting sqref="AM20:AO20">
    <cfRule type="expression" dxfId="1421" priority="457">
      <formula>$AM$20&lt;=0</formula>
    </cfRule>
  </conditionalFormatting>
  <conditionalFormatting sqref="G42:M43 P42:V43 G45:M46 P45:V46 BF42:BL43 BO42:BU43 BF45:BL46 BO45:BU46">
    <cfRule type="expression" dxfId="1420" priority="456">
      <formula>J41=1</formula>
    </cfRule>
  </conditionalFormatting>
  <conditionalFormatting sqref="J83">
    <cfRule type="expression" dxfId="1419" priority="448">
      <formula>J83="ACTIVE"</formula>
    </cfRule>
  </conditionalFormatting>
  <conditionalFormatting sqref="J71:P71 S71:Y71 AB71:AH71 AK71:AQ71 AT71:AZ71 BC71:BI71 BL71:BR71">
    <cfRule type="expression" dxfId="1418" priority="398">
      <formula>J69=""</formula>
    </cfRule>
  </conditionalFormatting>
  <conditionalFormatting sqref="J86:P87">
    <cfRule type="expression" dxfId="1417" priority="199">
      <formula>ISBLANK(J86)</formula>
    </cfRule>
  </conditionalFormatting>
  <conditionalFormatting sqref="O84:P85 X84:Y85 AG84:AH85 AP84:AQ85 AY84:AZ85 BH84:BI85 BQ84:BR85">
    <cfRule type="expression" dxfId="1416" priority="196">
      <formula>ISBLANK(J86)</formula>
    </cfRule>
  </conditionalFormatting>
  <conditionalFormatting sqref="J84:K85 S84:T85 AB84:AC85 AK84:AL85 AT84:AU85 BC84:BD85 BL84:BM85">
    <cfRule type="expression" dxfId="1415" priority="198">
      <formula>ISBLANK(J86)</formula>
    </cfRule>
  </conditionalFormatting>
  <conditionalFormatting sqref="L84:N85 U84:W85 AD84:AF85 AM84:AO85 AV84:AX85 BE84:BG85 BN84:BP85">
    <cfRule type="expression" dxfId="1414" priority="197">
      <formula>ISBLANK(J86)</formula>
    </cfRule>
  </conditionalFormatting>
  <conditionalFormatting sqref="S83:Y83">
    <cfRule type="expression" dxfId="1413" priority="327">
      <formula>S83="ACTIVE"</formula>
    </cfRule>
  </conditionalFormatting>
  <conditionalFormatting sqref="AB83:AH83">
    <cfRule type="expression" dxfId="1412" priority="321">
      <formula>AB83="ACTIVE"</formula>
    </cfRule>
  </conditionalFormatting>
  <conditionalFormatting sqref="AK83:AQ83">
    <cfRule type="expression" dxfId="1411" priority="315">
      <formula>AK83="ACTIVE"</formula>
    </cfRule>
  </conditionalFormatting>
  <conditionalFormatting sqref="AT83:AZ83">
    <cfRule type="expression" dxfId="1410" priority="309">
      <formula>AT83="ACTIVE"</formula>
    </cfRule>
  </conditionalFormatting>
  <conditionalFormatting sqref="BC83:BI83">
    <cfRule type="expression" dxfId="1409" priority="303">
      <formula>BC83="ACTIVE"</formula>
    </cfRule>
  </conditionalFormatting>
  <conditionalFormatting sqref="BL83:BR83">
    <cfRule type="expression" dxfId="1408" priority="297">
      <formula>BL83="ACTIVE"</formula>
    </cfRule>
  </conditionalFormatting>
  <conditionalFormatting sqref="S69:Y70">
    <cfRule type="expression" dxfId="1407" priority="261">
      <formula>ISBLANK(S69)</formula>
    </cfRule>
  </conditionalFormatting>
  <conditionalFormatting sqref="AB69:AH70">
    <cfRule type="expression" dxfId="1406" priority="256">
      <formula>ISBLANK(AB69)</formula>
    </cfRule>
  </conditionalFormatting>
  <conditionalFormatting sqref="AK69:AQ70">
    <cfRule type="expression" dxfId="1405" priority="251">
      <formula>ISBLANK(AK69)</formula>
    </cfRule>
  </conditionalFormatting>
  <conditionalFormatting sqref="AT69:AZ70">
    <cfRule type="expression" dxfId="1404" priority="246">
      <formula>ISBLANK(AT69)</formula>
    </cfRule>
  </conditionalFormatting>
  <conditionalFormatting sqref="BC69:BI70">
    <cfRule type="expression" dxfId="1403" priority="241">
      <formula>ISBLANK(BC69)</formula>
    </cfRule>
  </conditionalFormatting>
  <conditionalFormatting sqref="BL69:BR70">
    <cfRule type="expression" dxfId="1402" priority="236">
      <formula>ISBLANK(BL69)</formula>
    </cfRule>
  </conditionalFormatting>
  <conditionalFormatting sqref="AM24:AO24">
    <cfRule type="expression" dxfId="1401" priority="221">
      <formula>OR($AM$24&lt;0,$AL$24="x")</formula>
    </cfRule>
  </conditionalFormatting>
  <conditionalFormatting sqref="P84:P85 O84 X84:Y85 AG84:AH85 AP84:AQ85 AY84:AZ85 BH84:BI85 BQ84:BR85">
    <cfRule type="expression" dxfId="1400" priority="330">
      <formula>AND(L88=$CK$80,P88=1,P89=1)</formula>
    </cfRule>
  </conditionalFormatting>
  <conditionalFormatting sqref="K84:K85 J84 S84:T85 AB84:AC85 AK84:AL85 AT84:AU85 BC84:BD85 BL84:BM85">
    <cfRule type="expression" dxfId="1399" priority="329">
      <formula>AND(L88=$CK$80,P88=1,P89=1)</formula>
    </cfRule>
  </conditionalFormatting>
  <conditionalFormatting sqref="M84:N85 L84 U84:W85 AD84:AF85 AM84:AO85 AV84:AX85 BE84:BG85 BN84:BP85">
    <cfRule type="expression" dxfId="1398" priority="328">
      <formula>AND(L88=$CK$80,P88=1,P89=1)</formula>
    </cfRule>
  </conditionalFormatting>
  <conditionalFormatting sqref="K86:P87 J86 S86:Y87 AB86:AH87 AK86:AQ87 AT86:AZ87 BC86:BI87 BL86:BR87">
    <cfRule type="expression" dxfId="1397" priority="331">
      <formula>AND(L88=$CK$80,P88=1,P89=1)</formula>
    </cfRule>
  </conditionalFormatting>
  <conditionalFormatting sqref="AG81:AU81">
    <cfRule type="expression" dxfId="1396" priority="51">
      <formula>$CC$80=1</formula>
    </cfRule>
  </conditionalFormatting>
  <conditionalFormatting sqref="S86:Y87">
    <cfRule type="expression" dxfId="1395" priority="46">
      <formula>ISBLANK(S86)</formula>
    </cfRule>
  </conditionalFormatting>
  <conditionalFormatting sqref="AB86:AH87">
    <cfRule type="expression" dxfId="1394" priority="38">
      <formula>ISBLANK(AB86)</formula>
    </cfRule>
  </conditionalFormatting>
  <conditionalFormatting sqref="AK86:AQ87">
    <cfRule type="expression" dxfId="1393" priority="30">
      <formula>ISBLANK(AK86)</formula>
    </cfRule>
  </conditionalFormatting>
  <conditionalFormatting sqref="AT86:AZ87">
    <cfRule type="expression" dxfId="1392" priority="22">
      <formula>ISBLANK(AT86)</formula>
    </cfRule>
  </conditionalFormatting>
  <conditionalFormatting sqref="BC86:BI87">
    <cfRule type="expression" dxfId="1391" priority="14">
      <formula>ISBLANK(BC86)</formula>
    </cfRule>
  </conditionalFormatting>
  <conditionalFormatting sqref="BL86:BR87">
    <cfRule type="expression" dxfId="1390" priority="6">
      <formula>ISBLANK(BL86)</formula>
    </cfRule>
  </conditionalFormatting>
  <conditionalFormatting sqref="O85">
    <cfRule type="expression" dxfId="1389" priority="55332">
      <formula>AND(L89=$CK$80,P89=1,#REF!=1)</formula>
    </cfRule>
  </conditionalFormatting>
  <conditionalFormatting sqref="J85">
    <cfRule type="expression" dxfId="1388" priority="55334">
      <formula>AND(L89=$CK$80,P89=1,#REF!=1)</formula>
    </cfRule>
  </conditionalFormatting>
  <conditionalFormatting sqref="L85">
    <cfRule type="expression" dxfId="1387" priority="55336">
      <formula>AND(L89=$CK$80,P89=1,#REF!=1)</formula>
    </cfRule>
  </conditionalFormatting>
  <conditionalFormatting sqref="J87">
    <cfRule type="expression" dxfId="1386" priority="55338">
      <formula>AND(L89=$CK$80,P89=1,#REF!=1)</formula>
    </cfRule>
  </conditionalFormatting>
  <conditionalFormatting sqref="AG98:AU98">
    <cfRule type="expression" dxfId="1385" priority="2">
      <formula>$CC$80=1</formula>
    </cfRule>
  </conditionalFormatting>
  <conditionalFormatting sqref="H107 H109 H111 H113 H115 H117 H119 H121 H123 H125 U107 U109 U111 U113 U115 U117 U119 U121 U123 U125 AH107 AH109 AH111 AH113 AH115 AH117 AH119 AH121 AH123 AH125 AV107 AV109 AV111 AV113 AV115 AV117 AV119 AV121 AV123 AV125 BI107 BI109 BI111 BI113 BI115 BI117 BI119 BI121 BI123 BI125 H132 H134 H136 H138 H140 H142 H144 H146 H148 H150 U132 U134 U136 U138 U140 U142 U144 U146 U148 U150 AH132 AH134 AH136 AH138 AH140 AH142 AH144 AH146 AH148 AH150 AV132 AV134 AV136 AV138 AV140 AV142 AV144 AV146 AV148 AV150 BI132 BI134 BI136 BI138 BI140 BI142 BI144 BI146 BI148 BI150">
    <cfRule type="expression" dxfId="1384" priority="1">
      <formula>G107=1</formula>
    </cfRule>
  </conditionalFormatting>
  <conditionalFormatting sqref="G54 G57 BF54 BF57 AG19 AG35 AG74 J71 S71 AB71 AK71 AT71 BC71 BL71 AG57">
    <cfRule type="expression" dxfId="1383" priority="58072">
      <formula>$AB$19="£"</formula>
    </cfRule>
    <cfRule type="expression" dxfId="1382" priority="58073">
      <formula>$AB$19="$"</formula>
    </cfRule>
    <cfRule type="expression" dxfId="1381" priority="58074">
      <formula>$AB$19="€"</formula>
    </cfRule>
    <cfRule type="expression" dxfId="1380" priority="58075">
      <formula>$AB$19="¥"</formula>
    </cfRule>
    <cfRule type="expression" dxfId="1379" priority="58076">
      <formula>$AB$19="₹"</formula>
    </cfRule>
  </conditionalFormatting>
  <conditionalFormatting sqref="G51:V51">
    <cfRule type="expression" dxfId="1378" priority="48206">
      <formula>$CD$60=1</formula>
    </cfRule>
  </conditionalFormatting>
  <conditionalFormatting sqref="BF51:BU51">
    <cfRule type="expression" dxfId="1377" priority="48207">
      <formula>$CJ$60=1</formula>
    </cfRule>
  </conditionalFormatting>
  <conditionalFormatting sqref="G53:V54">
    <cfRule type="expression" dxfId="1376" priority="48208">
      <formula>$CD$60=1</formula>
    </cfRule>
  </conditionalFormatting>
  <conditionalFormatting sqref="G56:V57">
    <cfRule type="expression" dxfId="1375" priority="48209">
      <formula>$CD$60=1</formula>
    </cfRule>
  </conditionalFormatting>
  <conditionalFormatting sqref="BF53:BU54">
    <cfRule type="expression" dxfId="1374" priority="48210">
      <formula>$CJ$60=1</formula>
    </cfRule>
  </conditionalFormatting>
  <conditionalFormatting sqref="BF56:BU57">
    <cfRule type="expression" dxfId="1373" priority="48211">
      <formula>$CJ$60=1</formula>
    </cfRule>
  </conditionalFormatting>
  <conditionalFormatting sqref="AC29:AD30 AX29:AY30">
    <cfRule type="expression" dxfId="1372" priority="48220">
      <formula>AND($AG$35&gt;0,OR($CD$60=1,$CJ$60=1))</formula>
    </cfRule>
  </conditionalFormatting>
  <dataValidations count="36">
    <dataValidation allowBlank="1" showInputMessage="1" showErrorMessage="1" promptTitle="♥ = 0" prompt="Delete all Booty below. " sqref="BG15 BT15 H15 U15" xr:uid="{4E49A29D-83DA-4D62-AF86-8B086B9001D3}"/>
    <dataValidation allowBlank="1" showInputMessage="1" showErrorMessage="1" promptTitle="Booty XP Bonus / 1Ups" prompt="Paste details here. " sqref="J86:P87 AT86:AZ87 BC86:BI87 S86:Y87 AB86:AH87 AK86:AQ87 BL86:BR87" xr:uid="{C9A17A39-545C-4F78-A9EB-82160C29D654}"/>
    <dataValidation allowBlank="1" showInputMessage="1" showErrorMessage="1" prompt="Enter item cost " sqref="J71:P71 S71:Y71 AB71:AH71 AK71:AQ71 AT71:AZ71 BC71:BI71 BL71:BR71" xr:uid="{87D8D94D-1A14-4B83-A3D1-2375BA625BB6}"/>
    <dataValidation type="list" allowBlank="1" showInputMessage="1" showErrorMessage="1" sqref="G11:M11 G8:M8 P8:V8 P11:V11 BF8:BL8 BO8:BU8 BF11:BL11 BO11:BU11" xr:uid="{C098E8D1-0C16-4DC7-BC9A-F1AA88B3619E}">
      <formula1>$CC$2</formula1>
    </dataValidation>
    <dataValidation allowBlank="1" showInputMessage="1" showErrorMessage="1" promptTitle="Booty" prompt="Inventory of items that have been rewarded and claimed. " sqref="BL15:BO15 M15:P15" xr:uid="{13F0693C-67E8-4058-9A58-420ECD200DB4}"/>
    <dataValidation allowBlank="1" showInputMessage="1" showErrorMessage="1" promptTitle="Loot" prompt="Funds rewarded for level ups and complete objectives and challenges." sqref="AG9:AU19" xr:uid="{FA41C497-CEE4-4D44-8150-F5B3E55039FF}"/>
    <dataValidation allowBlank="1" showInputMessage="1" showErrorMessage="1" promptTitle="Objectives Loot" prompt="Amount rewarded for completing objectives based on the individual difficulty level chosen." sqref="AB6:AJ6 AR6:AZ6" xr:uid="{62DF02DC-C1CB-4CEF-97B9-1E7BFB112DFB}"/>
    <dataValidation allowBlank="1" showInputMessage="1" showErrorMessage="1" promptTitle="Challenges Loot" prompt="Amount rewarded for completing challenges based on the individual difficulty level chosen." sqref="AL6:AP6" xr:uid="{7A859538-F847-4748-9B7E-4D2519FA1216}"/>
    <dataValidation allowBlank="1" showInputMessage="1" showErrorMessage="1" promptTitle="Level Ups Loot" prompt="Amount rewarded for levelling up skills based on the level number reached. " sqref="AE4:AM4 AO4:AW4" xr:uid="{D2D562A8-FDC4-43E1-8A2A-D4777EAF0DC8}"/>
    <dataValidation allowBlank="1" showInputMessage="1" showErrorMessage="1" promptTitle="Reward Chest" prompt="Loot stored from previous months. " sqref="AG25:AU35" xr:uid="{E6ABC5C7-CE74-4436-89DC-E543F4CD4D18}"/>
    <dataValidation allowBlank="1" showInputMessage="1" showErrorMessage="1" promptTitle="Booty Rewards" prompt="Details of randomised targets that have been reached." sqref="E41:X47 BD41:BW47" xr:uid="{E1E71BB6-5D6A-40CC-B3AF-68A44D48C6CB}"/>
    <dataValidation allowBlank="1" showInputMessage="1" showErrorMessage="1" promptTitle="Booty Item" prompt="Copy and paste item details here." sqref="J69:P70 S69:Y70 AB69:AH70 AK69:AQ70 AT69:AZ70 BC69:BI70 BL69:BR70" xr:uid="{435F7804-6248-48E0-B080-8D80B1474654}"/>
    <dataValidation allowBlank="1" showInputMessage="1" showErrorMessage="1" promptTitle="Procurement" prompt="Enter details of booty items purchased._x000a__x000a_Total spent is taken from current reward chest._x000a__x000a_For a personlised and specific booty item, that is not to be repeated, delete it from the Amendment section below (item will be highlighted)." sqref="AG64:AU64" xr:uid="{D1F8D92D-E1A5-4C00-80E2-633459AA6773}"/>
    <dataValidation allowBlank="1" showInputMessage="1" showErrorMessage="1" promptTitle="Total" prompt="Cost of booty items to be deducted from the reward chest." sqref="AG74:AU74" xr:uid="{AAEB5ACD-1055-4472-85CC-1F33CCFF86F5}"/>
    <dataValidation allowBlank="1" showInputMessage="1" showErrorMessage="1" promptTitle="Enhancement" prompt="Booty items used to enhance skill XP or give extra lives." sqref="AG81:AU81" xr:uid="{C5A48D0B-60F0-409C-BAFC-8BDC4EC13183}"/>
    <dataValidation allowBlank="1" showInputMessage="1" showErrorMessage="1" promptTitle="♥ = 0  &amp;  x + 1" prompt="Select the negative Reward Chest sum." sqref="AL24 AP24" xr:uid="{9801F552-39D7-4C73-8456-9E070E33B4A2}"/>
    <dataValidation type="list" allowBlank="1" showInputMessage="1" showErrorMessage="1" promptTitle="♥ = 0" prompt="Select the negative Loot sum." sqref="AM8:AO8" xr:uid="{A9960000-9F6A-4CD4-BA5D-6230E7DBDFB3}">
      <formula1>$CC$8:$CC$9</formula1>
    </dataValidation>
    <dataValidation allowBlank="1" showInputMessage="1" showErrorMessage="1" promptTitle="♥ = 0" prompt="Select the negative Loot sum." sqref="AP8 AL8" xr:uid="{DA566204-3FC7-49DD-84FC-4AB8E1060AA9}"/>
    <dataValidation type="list" allowBlank="1" showInputMessage="1" showErrorMessage="1" prompt="Enter ✕ here." sqref="I15:K15 R15:T15 BH15:BJ15 BQ15:BS15" xr:uid="{F9FC196A-34D8-435C-804A-4BEEB8D37905}">
      <formula1>$CG$2</formula1>
    </dataValidation>
    <dataValidation type="list" allowBlank="1" showInputMessage="1" showErrorMessage="1" promptTitle="♥ = 0  &amp;  ✕ + 1" prompt="Select the negative Reward Chest sum." sqref="AM24:AO24" xr:uid="{66141315-B61B-4A53-937D-88D4B46DDDF1}">
      <formula1>$CO$8:$CO$9</formula1>
    </dataValidation>
    <dataValidation allowBlank="1" showInputMessage="1" showErrorMessage="1" promptTitle="✕ + 1" prompt="Delete one Booty item, then add ✕ to left or right. " sqref="L15 Q15 BK15 BP15" xr:uid="{FE0F1244-CD64-495E-ADF0-E00AAA1D1E28}"/>
    <dataValidation allowBlank="1" showInputMessage="1" showErrorMessage="1" promptTitle="Treasury" prompt="All loot remaining from reward chests for this playthrough._x000a__x000a_Once LVL 414 is reached spend anything in the treasury." sqref="AG43:AU57" xr:uid="{500E6705-AAF9-411E-B7F8-855432B2A7E6}"/>
    <dataValidation allowBlank="1" showInputMessage="1" showErrorMessage="1" promptTitle="Reward Chest!" prompt="Funds available to spend!_x000a__x000a_Enter amount desired to spend in section below, sending anything remaining to the Treasury." sqref="AX29:AY30 AC29:AD30" xr:uid="{85EE5D8F-299D-4B41-9AF8-F0E75E09AABA}"/>
    <dataValidation allowBlank="1" showInputMessage="1" showErrorMessage="1" promptTitle="Treasury!" prompt="Spend any and all funds in Treasury!" sqref="AX49:AY50 AC49:AD50" xr:uid="{4839056C-1A00-4096-8236-1327C1B77B04}"/>
    <dataValidation type="list" allowBlank="1" showInputMessage="1" showErrorMessage="1" sqref="L88:N88 U88:W88 AD88:AF88 AM88:AO88 AV88:AX88 BE88:BG88 BN88:BP88" xr:uid="{1869E90E-EFA9-425D-9855-7501565EF69A}">
      <formula1>$CP$82:$CP$112</formula1>
    </dataValidation>
    <dataValidation type="list" allowBlank="1" showInputMessage="1" showErrorMessage="1" sqref="L89:N89 U89:W89 AD89:AF89 AM89:AO89 AV89:AX89 BE89:BG89 BN89:BP89" xr:uid="{BC2A02C4-4779-4CB7-A0E0-A892B64BEEE1}">
      <formula1>$CR$82:$CR$99</formula1>
    </dataValidation>
    <dataValidation allowBlank="1" showInputMessage="1" showErrorMessage="1" promptTitle=" BOUNTY" prompt="This is for rewards, items and using enhancements._x000a_ _x000a_Here you can:_x000a_• see loot collected this month_x000a_• claim rewarded booty items_x000a_• enhance XP or get lives with items_x000a__x000a_Select individual cells for specific information and instructions._x000a_" sqref="CA1" xr:uid="{5AF163D3-0254-487C-9798-AF93E3042D77}"/>
    <dataValidation allowBlank="1" showInputMessage="1" showErrorMessage="1" promptTitle=" HUD = Overview" prompt=" LOGS = Journal           PLANS = Calendar_x000a_ NOTES = Ideas            TIMINGS = Schedule_x000a__x000a_ MISSIONS = Tasks_x000a_ ACTIONS = Input_x000a_ PROGRESS = Output_x000a_ JOURNEY = Status_x000a__x000a_[BOUNTY = Rewards]  MONEY = Finance_x000a_ VICTORY = Success    RESPITE = Media_x000a_ GUIDE = History" sqref="A1" xr:uid="{359D3F83-B9FD-4498-A11E-29BBD4E9D9C0}"/>
    <dataValidation allowBlank="1" showInputMessage="1" showErrorMessage="1" promptTitle="Merchant Gift!" prompt="Go to the merchant in MONEY to claim a Christmas gift." sqref="BM8:BN8" xr:uid="{C5E7ABC0-6DF2-4F5C-830B-0DA42462F871}"/>
    <dataValidation allowBlank="1" showInputMessage="1" showErrorMessage="1" promptTitle="Merchant Gift!" prompt="Go to the merchant in MONEY to claim a birthday gift." sqref="N8:O8" xr:uid="{B74F811E-BE14-4993-B737-CEDC0442BE0F}"/>
    <dataValidation type="list" showInputMessage="1" showErrorMessage="1" prompt="Select a symbol" sqref="AB19:AF19" xr:uid="{7FD1719F-AF26-4158-8D1F-8828674A28B9}">
      <formula1>$CX$5:$CX$9</formula1>
    </dataValidation>
    <dataValidation allowBlank="1" showInputMessage="1" showErrorMessage="1" promptTitle="Currency Symbol" prompt="Select from dropdown list below._x000a__x000a_Choose the desired symbol to display throughout the gameplan." sqref="AB18:AF18" xr:uid="{3A0393AF-E91B-4761-841F-E45ECC6DBEFE}"/>
    <dataValidation allowBlank="1" showInputMessage="1" showErrorMessage="1" promptTitle="Loot Calculation" prompt="Select from dropdown list below._x000a__x000a_Adjust to allow fair loot rewards according to currency._x000a__x000a_The loot sum is the result of level numbers and objective/challenge difficulty numbers multiplied by the chosen number. Loot = LVL + DLVL x #._x000a__x000a_Default = 0.50" sqref="AV18:AZ18" xr:uid="{351C09AC-AFF5-4C7D-942E-5DDB11D29754}"/>
    <dataValidation type="list" allowBlank="1" showInputMessage="1" showErrorMessage="1" prompt="Select a number" sqref="AV19:AZ19" xr:uid="{3F930CAA-5F71-47D7-AF9D-1151EEF25692}">
      <formula1>$CV$3:$CV$42</formula1>
    </dataValidation>
    <dataValidation allowBlank="1" showInputMessage="1" showErrorMessage="1" promptTitle="Personalisation" prompt="Choose or update the booty items appearing throughout the playthrough:_x000a_• Change the booty item section titles and add item details._x000a_• Update with new booty items once items have been claimed._x000a_• If item details are left blank, defaults will appear._x000a__x000a_" sqref="AG98:AU98" xr:uid="{9A6A40C1-76AD-4054-9D16-B89DE32F38FB}"/>
    <dataValidation allowBlank="1" showInputMessage="1" showErrorMessage="1" promptTitle="New Booty!" prompt="From here copy item details into an available slot in the Booty section below. _x000a__x000a_Then mark the item as claimed in cell directly below." sqref="G6:M7 P6:V7 G9:M10 P9:V10 BF9:BL10 BF6:BL7 BO6:BU7 BO9:BU10" xr:uid="{4AAC76EF-B14D-41C8-8A03-0320699AB853}"/>
  </dataValidations>
  <printOptions horizontalCentered="1" verticalCentered="1" gridLines="1"/>
  <pageMargins left="0.39370078740157483" right="0.39370078740157483" top="0.39370078740157483" bottom="0.39370078740157483" header="0" footer="0"/>
  <pageSetup paperSize="9" scale="50" fitToWidth="0" fitToHeight="0" orientation="landscape" r:id="rId1"/>
  <headerFooter>
    <oddHeader>&amp;C&amp;"Lucida Console,Bold"GAMEPLAN</oddHeader>
  </headerFooter>
  <extLst>
    <ext xmlns:x14="http://schemas.microsoft.com/office/spreadsheetml/2009/9/main" uri="{78C0D931-6437-407d-A8EE-F0AAD7539E65}">
      <x14:conditionalFormattings>
        <x14:conditionalFormatting xmlns:xm="http://schemas.microsoft.com/office/excel/2006/main">
          <x14:cfRule type="expression" priority="445" id="{00000000-000E-0000-0900-000023000000}">
            <xm:f>OR(J86="",J86=data!$JP$23,J86=data!$JP$24,J86=data!$JP$25,J86=data!$JP$26)</xm:f>
            <x14:dxf>
              <font>
                <color theme="0" tint="-0.14996795556505021"/>
              </font>
            </x14:dxf>
          </x14:cfRule>
          <xm:sqref>J83 S83:Y83 AB83:AH83 AK83:AQ83 AT83:AZ83 BC83:BI83 BL83:BR83</xm:sqref>
        </x14:conditionalFormatting>
        <x14:conditionalFormatting xmlns:xm="http://schemas.microsoft.com/office/excel/2006/main">
          <x14:cfRule type="expression" priority="1783" id="{B3207FD3-A384-4F62-A00C-AEAF60C5A20B}">
            <xm:f>PLANS!$F$3="JUNE"</xm:f>
            <x14:dxf>
              <font>
                <color rgb="FFFFC000"/>
              </font>
            </x14:dxf>
          </x14:cfRule>
          <x14:cfRule type="expression" priority="1784" id="{A90708EE-87DF-451A-8C43-8A3CA3A45275}">
            <xm:f>PLANS!$F$3="MAY"</xm:f>
            <x14:dxf>
              <font>
                <color rgb="FFEBE600"/>
              </font>
            </x14:dxf>
          </x14:cfRule>
          <x14:cfRule type="expression" priority="1785" id="{2F9522AF-F752-44BC-A366-E059546C87D3}">
            <xm:f>PLANS!$F$3="APRIL"</xm:f>
            <x14:dxf>
              <font>
                <color rgb="FF92D050"/>
              </font>
            </x14:dxf>
          </x14:cfRule>
          <x14:cfRule type="expression" priority="1786" id="{5240C825-4372-4DCD-963F-75D6993ED9CA}">
            <xm:f>PLANS!$F$3="MARCH"</xm:f>
            <x14:dxf>
              <font>
                <color rgb="FF00B050"/>
              </font>
            </x14:dxf>
          </x14:cfRule>
          <x14:cfRule type="expression" priority="1787" id="{FB197E57-0C59-420C-9B52-F7BADDAFD388}">
            <xm:f>PLANS!$F$3="FEBRUARY"</xm:f>
            <x14:dxf>
              <font>
                <color rgb="FF00B0F0"/>
              </font>
            </x14:dxf>
          </x14:cfRule>
          <x14:cfRule type="expression" priority="1788" id="{CD7D1909-3B05-4742-9829-34ADF8461A6B}">
            <xm:f>PLANS!$F$3="JANUARY"</xm:f>
            <x14:dxf>
              <font>
                <color rgb="FF0070C0"/>
              </font>
            </x14:dxf>
          </x14:cfRule>
          <x14:cfRule type="expression" priority="1789" id="{4B142BAA-D8D3-4AFA-BF8B-74516EFC2032}">
            <xm:f>PLANS!$F$3="DECEMBER"</xm:f>
            <x14:dxf>
              <font>
                <color rgb="FF6600CC"/>
              </font>
            </x14:dxf>
          </x14:cfRule>
          <x14:cfRule type="expression" priority="1790" id="{B2F9881B-2055-4C7F-B40B-A4E221104DDD}">
            <xm:f>PLANS!$F$3="NOVEMBER"</xm:f>
            <x14:dxf>
              <font>
                <color rgb="FF9900CC"/>
              </font>
            </x14:dxf>
          </x14:cfRule>
          <x14:cfRule type="expression" priority="1791" id="{8CE1B4BE-95B6-472D-9725-17B72346BAD6}">
            <xm:f>PLANS!$F$3="OCTOBER"</xm:f>
            <x14:dxf>
              <font>
                <color rgb="FFFF00FF"/>
              </font>
            </x14:dxf>
          </x14:cfRule>
          <x14:cfRule type="expression" priority="1792" id="{B9D24BEF-79E1-4F21-A386-1DB32CFE09D8}">
            <xm:f>PLANS!$F$3="SEPTEMBER"</xm:f>
            <x14:dxf>
              <font>
                <color rgb="FFFF0000"/>
              </font>
            </x14:dxf>
          </x14:cfRule>
          <x14:cfRule type="expression" priority="1793" id="{1C3AF3A6-0A7A-44CC-A50B-558F9C11AC2C}">
            <xm:f>PLANS!$F$3="AUGUST"</xm:f>
            <x14:dxf>
              <font>
                <color rgb="FFC00000"/>
              </font>
            </x14:dxf>
          </x14:cfRule>
          <x14:cfRule type="expression" priority="1794" id="{F6B3E729-8251-48C7-9F03-60F52A19700F}">
            <xm:f>PLANS!$F$3="JULY"</xm:f>
            <x14:dxf>
              <font>
                <color rgb="FFFF6600"/>
              </font>
            </x14:dxf>
          </x14:cfRule>
          <xm:sqref>AG16:AU16 AH15:AT15 AI14:AS14 AJ13:AR13 AK12:AQ12 AL11:AP11 AM10:AO10 AN9</xm:sqref>
        </x14:conditionalFormatting>
        <x14:conditionalFormatting xmlns:xm="http://schemas.microsoft.com/office/excel/2006/main">
          <x14:cfRule type="expression" priority="1687" id="{810CDD3F-7024-4B0F-95A0-13AEF3642E70}">
            <xm:f>PLANS!$F$3="JUNE"</xm:f>
            <x14:dxf>
              <font>
                <color rgb="FFFFC000"/>
              </font>
            </x14:dxf>
          </x14:cfRule>
          <x14:cfRule type="expression" priority="1688" id="{B81998FC-CA3F-4626-A585-08F4BDE69343}">
            <xm:f>PLANS!$F$3="MAY"</xm:f>
            <x14:dxf>
              <font>
                <color rgb="FFEBE600"/>
              </font>
            </x14:dxf>
          </x14:cfRule>
          <x14:cfRule type="expression" priority="1689" id="{2225D25C-C7D4-4E0D-A55D-072827ED856B}">
            <xm:f>PLANS!$F$3="APRIL"</xm:f>
            <x14:dxf>
              <font>
                <color rgb="FF92D050"/>
              </font>
            </x14:dxf>
          </x14:cfRule>
          <x14:cfRule type="expression" priority="1690" id="{EE01DA2F-77F5-4182-B5FD-5277013E19D2}">
            <xm:f>PLANS!$F$3="MARCH"</xm:f>
            <x14:dxf>
              <font>
                <color rgb="FF00B050"/>
              </font>
            </x14:dxf>
          </x14:cfRule>
          <x14:cfRule type="expression" priority="1691" id="{34EF915E-072A-4E88-BAA6-BCC6448E7E60}">
            <xm:f>PLANS!$F$3="FEBRUARY"</xm:f>
            <x14:dxf>
              <font>
                <color rgb="FF00B0F0"/>
              </font>
            </x14:dxf>
          </x14:cfRule>
          <x14:cfRule type="expression" priority="1692" id="{109F5C1B-0894-418C-A7BF-99F3BD0A0A18}">
            <xm:f>PLANS!$F$3="JANUARY"</xm:f>
            <x14:dxf>
              <font>
                <color rgb="FF0070C0"/>
              </font>
            </x14:dxf>
          </x14:cfRule>
          <x14:cfRule type="expression" priority="1693" id="{EF49D5D3-2898-4F9C-8B83-59E40F425211}">
            <xm:f>PLANS!$F$3="DECEMBER"</xm:f>
            <x14:dxf>
              <font>
                <color rgb="FF6600CC"/>
              </font>
            </x14:dxf>
          </x14:cfRule>
          <x14:cfRule type="expression" priority="1694" id="{82349F78-84BE-4FCB-AAAA-1F1B53BD16E6}">
            <xm:f>PLANS!$F$3="NOVEMBER"</xm:f>
            <x14:dxf>
              <font>
                <color rgb="FF9900CC"/>
              </font>
            </x14:dxf>
          </x14:cfRule>
          <x14:cfRule type="expression" priority="1695" id="{97F5E61C-1C6A-404D-99C2-4E360B630927}">
            <xm:f>PLANS!$F$3="OCTOBER"</xm:f>
            <x14:dxf>
              <font>
                <color rgb="FFFF00FF"/>
              </font>
            </x14:dxf>
          </x14:cfRule>
          <x14:cfRule type="expression" priority="1696" id="{A8E126C6-46B2-47D8-ABD7-BA018DFE0D38}">
            <xm:f>PLANS!$F$3="SEPTEMBER"</xm:f>
            <x14:dxf>
              <font>
                <color rgb="FFFF0000"/>
              </font>
            </x14:dxf>
          </x14:cfRule>
          <x14:cfRule type="expression" priority="1697" id="{9CEA439C-A726-43A9-9E84-3FB38408A302}">
            <xm:f>PLANS!$F$3="AUGUST"</xm:f>
            <x14:dxf>
              <font>
                <color rgb="FFC00000"/>
              </font>
            </x14:dxf>
          </x14:cfRule>
          <x14:cfRule type="expression" priority="1698" id="{3265B887-CE10-4548-A612-41127844ACB3}">
            <xm:f>PLANS!$F$3="JULY"</xm:f>
            <x14:dxf>
              <font>
                <color rgb="FFFF6600"/>
              </font>
            </x14:dxf>
          </x14:cfRule>
          <xm:sqref>AG19</xm:sqref>
        </x14:conditionalFormatting>
        <x14:conditionalFormatting xmlns:xm="http://schemas.microsoft.com/office/excel/2006/main">
          <x14:cfRule type="expression" priority="1267" id="{37641BAB-4616-4F34-847D-62C2C8877BF1}">
            <xm:f>AND(ACTIONS!$CH$35&gt;=4,ISBLANK($AL$8))</xm:f>
            <x14:dxf>
              <font>
                <color theme="1"/>
              </font>
            </x14:dxf>
          </x14:cfRule>
          <xm:sqref>AL22:AN22 AL21:AO21</xm:sqref>
        </x14:conditionalFormatting>
        <x14:conditionalFormatting xmlns:xm="http://schemas.microsoft.com/office/excel/2006/main">
          <x14:cfRule type="expression" priority="516" id="{A2062E4E-3C11-41C0-BDEB-50D62DB48DA2}">
            <xm:f>AND(ACTIONS!$CI$37&lt;=0,$AP$8="x")</xm:f>
            <x14:dxf>
              <font>
                <color theme="1"/>
              </font>
            </x14:dxf>
          </x14:cfRule>
          <xm:sqref>AM8:AO8</xm:sqref>
        </x14:conditionalFormatting>
        <x14:conditionalFormatting xmlns:xm="http://schemas.microsoft.com/office/excel/2006/main">
          <x14:cfRule type="expression" priority="48212" id="{0459F58B-955A-4832-9D80-87E6BF1DA886}">
            <xm:f>PLANS!$C$1=$AZ$57</xm:f>
            <x14:dxf>
              <border>
                <top style="thin">
                  <color theme="1"/>
                </top>
                <vertical/>
                <horizontal/>
              </border>
            </x14:dxf>
          </x14:cfRule>
          <xm:sqref>BD52:BW52</xm:sqref>
        </x14:conditionalFormatting>
        <x14:conditionalFormatting xmlns:xm="http://schemas.microsoft.com/office/excel/2006/main">
          <x14:cfRule type="expression" priority="48213" id="{348431C0-21FF-441B-977D-A943F91AFB51}">
            <xm:f>PLANS!$C$1=$AZ$57</xm:f>
            <x14:dxf>
              <border>
                <bottom style="thin">
                  <color theme="1"/>
                </bottom>
                <vertical/>
                <horizontal/>
              </border>
            </x14:dxf>
          </x14:cfRule>
          <xm:sqref>BD58:BW58</xm:sqref>
        </x14:conditionalFormatting>
        <x14:conditionalFormatting xmlns:xm="http://schemas.microsoft.com/office/excel/2006/main">
          <x14:cfRule type="expression" priority="48214" id="{F2FEF3DA-8E3E-4A03-A4E2-B139BB357BA6}">
            <xm:f>PLANS!$C$1=$AZ$57</xm:f>
            <x14:dxf>
              <border>
                <left style="thin">
                  <color theme="1"/>
                </left>
                <vertical/>
                <horizontal/>
              </border>
            </x14:dxf>
          </x14:cfRule>
          <xm:sqref>BD52:BD58</xm:sqref>
        </x14:conditionalFormatting>
        <x14:conditionalFormatting xmlns:xm="http://schemas.microsoft.com/office/excel/2006/main">
          <x14:cfRule type="expression" priority="48215" id="{E26B8128-1C9F-4D43-8100-319BFE4C48EE}">
            <xm:f>PLANS!$C$1=$AZ$57</xm:f>
            <x14:dxf>
              <border>
                <right style="thin">
                  <color theme="1"/>
                </right>
                <vertical/>
                <horizontal/>
              </border>
            </x14:dxf>
          </x14:cfRule>
          <xm:sqref>BW52:BW58</xm:sqref>
        </x14:conditionalFormatting>
        <x14:conditionalFormatting xmlns:xm="http://schemas.microsoft.com/office/excel/2006/main">
          <x14:cfRule type="expression" priority="48216" id="{18D3DAFF-887B-4EAF-AAA1-FF3F7EFF4B11}">
            <xm:f>PLANS!$C$1=$AB$57</xm:f>
            <x14:dxf>
              <border>
                <top style="thin">
                  <color theme="1"/>
                </top>
                <vertical/>
                <horizontal/>
              </border>
            </x14:dxf>
          </x14:cfRule>
          <xm:sqref>E52:X52</xm:sqref>
        </x14:conditionalFormatting>
        <x14:conditionalFormatting xmlns:xm="http://schemas.microsoft.com/office/excel/2006/main">
          <x14:cfRule type="expression" priority="48217" id="{A5B9C2B7-3B37-486A-9A4D-3D6A35A04F33}">
            <xm:f>PLANS!$C$1=$AB$57</xm:f>
            <x14:dxf>
              <border>
                <bottom style="thin">
                  <color theme="1"/>
                </bottom>
                <vertical/>
                <horizontal/>
              </border>
            </x14:dxf>
          </x14:cfRule>
          <xm:sqref>E58:X58</xm:sqref>
        </x14:conditionalFormatting>
        <x14:conditionalFormatting xmlns:xm="http://schemas.microsoft.com/office/excel/2006/main">
          <x14:cfRule type="expression" priority="48218" id="{9EA9528A-EAA7-4FA3-9924-17469E9DA3B0}">
            <xm:f>PLANS!$C$1=$AB$57</xm:f>
            <x14:dxf>
              <border>
                <left style="thin">
                  <color theme="1"/>
                </left>
                <vertical/>
                <horizontal/>
              </border>
            </x14:dxf>
          </x14:cfRule>
          <xm:sqref>E52:E58</xm:sqref>
        </x14:conditionalFormatting>
        <x14:conditionalFormatting xmlns:xm="http://schemas.microsoft.com/office/excel/2006/main">
          <x14:cfRule type="expression" priority="48219" id="{B0740E93-D540-4533-A3FA-5619EFC975A9}">
            <xm:f>PLANS!$C$1=$AB$57</xm:f>
            <x14:dxf>
              <border>
                <right style="thin">
                  <color theme="1"/>
                </right>
                <vertical/>
                <horizontal/>
              </border>
            </x14:dxf>
          </x14:cfRule>
          <xm:sqref>X52:X58</xm:sqref>
        </x14:conditionalFormatting>
        <x14:conditionalFormatting xmlns:xm="http://schemas.microsoft.com/office/excel/2006/main">
          <x14:cfRule type="expression" priority="58385" id="{C4E60A73-4839-4183-B243-6136D5E7EA12}">
            <xm:f>data!$BZ$36&gt;=414</xm:f>
            <x14:dxf>
              <font>
                <color theme="0"/>
              </font>
            </x14:dxf>
          </x14:cfRule>
          <xm:sqref>AC49:AD50 AX49:AY50</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F16052-94B2-4ECF-B5C3-14A3611EC688}">
  <sheetPr codeName="Sheet11"/>
  <dimension ref="A1:DI137"/>
  <sheetViews>
    <sheetView showGridLines="0" showRowColHeaders="0" zoomScaleNormal="100" workbookViewId="0"/>
  </sheetViews>
  <sheetFormatPr defaultColWidth="3.42578125" defaultRowHeight="17.100000000000001" customHeight="1" x14ac:dyDescent="0.2"/>
  <cols>
    <col min="1" max="1" width="3.42578125" style="613"/>
    <col min="2" max="33" width="3.42578125" style="613" customWidth="1"/>
    <col min="34" max="39" width="3.42578125" style="613"/>
    <col min="40" max="40" width="3.42578125" style="613" customWidth="1"/>
    <col min="41" max="41" width="3.42578125" style="613"/>
    <col min="42" max="42" width="3.42578125" style="613" customWidth="1"/>
    <col min="43" max="44" width="3.42578125" style="613"/>
    <col min="45" max="45" width="3.42578125" style="613" customWidth="1"/>
    <col min="46" max="49" width="3.42578125" style="613"/>
    <col min="50" max="53" width="3.42578125" style="613" customWidth="1"/>
    <col min="54" max="54" width="3.42578125" style="613"/>
    <col min="55" max="55" width="3.42578125" style="613" customWidth="1"/>
    <col min="56" max="79" width="3.42578125" style="613"/>
    <col min="80" max="113" width="3.42578125" style="613" hidden="1" customWidth="1"/>
    <col min="114" max="123" width="0" style="613" hidden="1" customWidth="1"/>
    <col min="124" max="16384" width="3.42578125" style="613"/>
  </cols>
  <sheetData>
    <row r="1" spans="1:81" ht="17.100000000000001" customHeight="1" x14ac:dyDescent="0.2">
      <c r="A1" s="2694" t="s">
        <v>1706</v>
      </c>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8" t="s">
        <v>782</v>
      </c>
      <c r="CB1" s="19"/>
      <c r="CC1" s="19"/>
    </row>
    <row r="2" spans="1:81" ht="17.100000000000001" customHeight="1" thickBot="1" x14ac:dyDescent="0.25">
      <c r="A2" s="17"/>
      <c r="B2" s="789"/>
      <c r="C2" s="808"/>
      <c r="D2" s="789"/>
      <c r="E2" s="789"/>
      <c r="F2" s="789"/>
      <c r="G2" s="789"/>
      <c r="H2" s="789"/>
      <c r="I2" s="789"/>
      <c r="J2" s="789"/>
      <c r="K2" s="789"/>
      <c r="L2" s="789"/>
      <c r="M2" s="605"/>
      <c r="N2" s="605"/>
      <c r="O2" s="605"/>
      <c r="P2" s="605"/>
      <c r="Q2" s="605"/>
      <c r="R2" s="605"/>
      <c r="S2" s="17"/>
      <c r="T2" s="605"/>
      <c r="U2" s="605"/>
      <c r="V2" s="605"/>
      <c r="W2" s="605"/>
      <c r="X2" s="605"/>
      <c r="Y2" s="605"/>
      <c r="Z2" s="787"/>
      <c r="AA2" s="787"/>
      <c r="AB2" s="787"/>
      <c r="AC2" s="787"/>
      <c r="AD2" s="787"/>
      <c r="AE2" s="787"/>
      <c r="AF2" s="787"/>
      <c r="AG2" s="787"/>
      <c r="AH2" s="787"/>
      <c r="AI2" s="787"/>
      <c r="AJ2" s="787"/>
      <c r="AK2" s="787"/>
      <c r="AL2" s="787"/>
      <c r="AM2" s="787"/>
      <c r="AN2" s="787"/>
      <c r="AO2" s="787"/>
      <c r="AP2" s="787"/>
      <c r="AQ2" s="787"/>
      <c r="AR2" s="787"/>
      <c r="AS2" s="787"/>
      <c r="AT2" s="787"/>
      <c r="AU2" s="787"/>
      <c r="AV2" s="787"/>
      <c r="AW2" s="787"/>
      <c r="AX2" s="787"/>
      <c r="AY2" s="787"/>
      <c r="AZ2" s="787"/>
      <c r="BA2" s="787"/>
      <c r="BB2" s="787"/>
      <c r="BC2" s="605"/>
      <c r="BD2" s="605"/>
      <c r="BE2" s="605"/>
      <c r="BF2" s="605"/>
      <c r="BG2" s="605"/>
      <c r="BH2" s="605"/>
      <c r="BI2" s="605"/>
      <c r="BJ2" s="605"/>
      <c r="BK2" s="605"/>
      <c r="BL2" s="605"/>
      <c r="BM2" s="605"/>
      <c r="BN2" s="605"/>
      <c r="BO2" s="605"/>
      <c r="BP2" s="789"/>
      <c r="BQ2" s="808"/>
      <c r="BR2" s="789"/>
      <c r="BS2" s="789"/>
      <c r="BT2" s="789"/>
      <c r="BU2" s="789"/>
      <c r="BV2" s="789"/>
      <c r="BW2" s="789"/>
      <c r="BX2" s="789"/>
      <c r="BY2" s="789"/>
      <c r="BZ2" s="789"/>
      <c r="CA2" s="17"/>
      <c r="CB2" s="19"/>
      <c r="CC2" s="19"/>
    </row>
    <row r="3" spans="1:81" ht="17.100000000000001" customHeight="1" thickTop="1" x14ac:dyDescent="0.2">
      <c r="A3" s="17"/>
      <c r="B3" s="1058"/>
      <c r="C3" s="17"/>
      <c r="D3" s="17"/>
      <c r="E3" s="17"/>
      <c r="F3" s="17"/>
      <c r="G3" s="1059"/>
      <c r="H3" s="1059"/>
      <c r="I3" s="1059"/>
      <c r="J3" s="1059"/>
      <c r="K3" s="1059"/>
      <c r="L3" s="1059"/>
      <c r="M3" s="1059"/>
      <c r="N3" s="1059"/>
      <c r="O3" s="1059"/>
      <c r="P3" s="1059"/>
      <c r="Q3" s="1059"/>
      <c r="R3" s="1059"/>
      <c r="S3" s="17"/>
      <c r="T3" s="605"/>
      <c r="U3" s="605"/>
      <c r="V3" s="605"/>
      <c r="W3" s="605"/>
      <c r="X3" s="1060"/>
      <c r="Y3" s="605"/>
      <c r="Z3" s="787"/>
      <c r="AA3" s="1048"/>
      <c r="AB3" s="1049"/>
      <c r="AC3" s="1049"/>
      <c r="AD3" s="1049"/>
      <c r="AE3" s="1049"/>
      <c r="AF3" s="1049"/>
      <c r="AG3" s="1049"/>
      <c r="AH3" s="1049"/>
      <c r="AI3" s="1049"/>
      <c r="AJ3" s="1049"/>
      <c r="AK3" s="1049"/>
      <c r="AL3" s="1049"/>
      <c r="AM3" s="1049"/>
      <c r="AN3" s="1259"/>
      <c r="AO3" s="1049"/>
      <c r="AP3" s="1049"/>
      <c r="AQ3" s="1049"/>
      <c r="AR3" s="1049"/>
      <c r="AS3" s="1049"/>
      <c r="AT3" s="1049"/>
      <c r="AU3" s="1049"/>
      <c r="AV3" s="1049"/>
      <c r="AW3" s="1049"/>
      <c r="AX3" s="1049"/>
      <c r="AY3" s="1049"/>
      <c r="AZ3" s="1049"/>
      <c r="BA3" s="1050"/>
      <c r="BB3" s="787"/>
      <c r="BC3" s="605"/>
      <c r="BD3" s="605"/>
      <c r="BE3" s="605"/>
      <c r="BF3" s="605"/>
      <c r="BG3" s="605"/>
      <c r="BH3" s="605"/>
      <c r="BI3" s="605"/>
      <c r="BJ3" s="605"/>
      <c r="BK3" s="605"/>
      <c r="BL3" s="605"/>
      <c r="BM3" s="605"/>
      <c r="BN3" s="605"/>
      <c r="BO3" s="605"/>
      <c r="BP3" s="605"/>
      <c r="BQ3" s="605"/>
      <c r="BR3" s="605"/>
      <c r="BS3" s="605"/>
      <c r="BT3" s="605"/>
      <c r="BU3" s="605"/>
      <c r="BV3" s="17"/>
      <c r="BW3" s="17"/>
      <c r="BX3" s="17"/>
      <c r="BY3" s="17"/>
      <c r="BZ3" s="1058"/>
      <c r="CA3" s="17"/>
      <c r="CB3" s="19"/>
      <c r="CC3" s="19"/>
    </row>
    <row r="4" spans="1:81" ht="17.100000000000001" customHeight="1" thickBot="1" x14ac:dyDescent="0.35">
      <c r="A4" s="17"/>
      <c r="B4" s="1058"/>
      <c r="C4" s="17"/>
      <c r="D4" s="17"/>
      <c r="E4" s="17"/>
      <c r="F4" s="17"/>
      <c r="G4" s="17"/>
      <c r="H4" s="17"/>
      <c r="I4" s="17"/>
      <c r="J4" s="17"/>
      <c r="K4" s="17"/>
      <c r="L4" s="17"/>
      <c r="M4" s="17"/>
      <c r="N4" s="17"/>
      <c r="O4" s="17"/>
      <c r="P4" s="17"/>
      <c r="Q4" s="17"/>
      <c r="R4" s="17"/>
      <c r="S4" s="17"/>
      <c r="T4" s="17"/>
      <c r="U4" s="17"/>
      <c r="V4" s="17"/>
      <c r="W4" s="17"/>
      <c r="X4" s="17"/>
      <c r="Y4" s="17"/>
      <c r="Z4" s="17"/>
      <c r="AA4" s="1051"/>
      <c r="AB4" s="1063"/>
      <c r="AC4" s="4731" t="s">
        <v>682</v>
      </c>
      <c r="AD4" s="4731"/>
      <c r="AE4" s="4731"/>
      <c r="AF4" s="4731"/>
      <c r="AG4" s="4731"/>
      <c r="AH4" s="4731"/>
      <c r="AI4" s="4731"/>
      <c r="AJ4" s="4731"/>
      <c r="AK4" s="4731"/>
      <c r="AL4" s="4731"/>
      <c r="AM4" s="4731"/>
      <c r="AN4" s="4731"/>
      <c r="AO4" s="4731"/>
      <c r="AP4" s="4731"/>
      <c r="AQ4" s="4731"/>
      <c r="AR4" s="4731"/>
      <c r="AS4" s="4731"/>
      <c r="AT4" s="4731"/>
      <c r="AU4" s="4731"/>
      <c r="AV4" s="4731"/>
      <c r="AW4" s="4731"/>
      <c r="AX4" s="4731"/>
      <c r="AY4" s="4731"/>
      <c r="AZ4" s="1063"/>
      <c r="BA4" s="1052"/>
      <c r="BB4" s="1061"/>
      <c r="BC4" s="1061"/>
      <c r="BD4" s="1061"/>
      <c r="BE4" s="1061"/>
      <c r="BF4" s="1061"/>
      <c r="BG4" s="1061"/>
      <c r="BH4" s="1061"/>
      <c r="BI4" s="1061"/>
      <c r="BJ4" s="605"/>
      <c r="BK4" s="605"/>
      <c r="BL4" s="605"/>
      <c r="BM4" s="605"/>
      <c r="BN4" s="605"/>
      <c r="BO4" s="605"/>
      <c r="BP4" s="605"/>
      <c r="BQ4" s="605"/>
      <c r="BR4" s="605"/>
      <c r="BS4" s="605"/>
      <c r="BT4" s="605"/>
      <c r="BU4" s="605"/>
      <c r="BV4" s="17"/>
      <c r="BW4" s="17"/>
      <c r="BX4" s="17"/>
      <c r="BY4" s="17"/>
      <c r="BZ4" s="1058"/>
      <c r="CA4" s="17"/>
      <c r="CB4" s="19"/>
      <c r="CC4" s="335" t="s">
        <v>397</v>
      </c>
    </row>
    <row r="5" spans="1:81" ht="17.100000000000001" customHeight="1" thickTop="1" x14ac:dyDescent="0.2">
      <c r="A5" s="17"/>
      <c r="B5" s="1058"/>
      <c r="C5" s="17"/>
      <c r="D5" s="17"/>
      <c r="E5" s="610"/>
      <c r="F5" s="1292"/>
      <c r="G5" s="1293"/>
      <c r="H5" s="1293"/>
      <c r="I5" s="1293"/>
      <c r="J5" s="1293"/>
      <c r="K5" s="1293"/>
      <c r="L5" s="1293"/>
      <c r="M5" s="1293"/>
      <c r="N5" s="1293"/>
      <c r="O5" s="1293"/>
      <c r="P5" s="1293"/>
      <c r="Q5" s="1293"/>
      <c r="R5" s="1293"/>
      <c r="S5" s="1293"/>
      <c r="T5" s="1293"/>
      <c r="U5" s="1293"/>
      <c r="V5" s="1293"/>
      <c r="W5" s="1293"/>
      <c r="X5" s="1293"/>
      <c r="Y5" s="1293"/>
      <c r="Z5" s="1293"/>
      <c r="AA5" s="1063"/>
      <c r="AB5" s="1063"/>
      <c r="AC5" s="4731"/>
      <c r="AD5" s="4731"/>
      <c r="AE5" s="4731"/>
      <c r="AF5" s="4731"/>
      <c r="AG5" s="4731"/>
      <c r="AH5" s="4731"/>
      <c r="AI5" s="4731"/>
      <c r="AJ5" s="4731"/>
      <c r="AK5" s="4731"/>
      <c r="AL5" s="4731"/>
      <c r="AM5" s="4731"/>
      <c r="AN5" s="4731"/>
      <c r="AO5" s="4731"/>
      <c r="AP5" s="4731"/>
      <c r="AQ5" s="4731"/>
      <c r="AR5" s="4731"/>
      <c r="AS5" s="4731"/>
      <c r="AT5" s="4731"/>
      <c r="AU5" s="4731"/>
      <c r="AV5" s="4731"/>
      <c r="AW5" s="4731"/>
      <c r="AX5" s="4731"/>
      <c r="AY5" s="4731"/>
      <c r="AZ5" s="1063"/>
      <c r="BA5" s="1063"/>
      <c r="BB5" s="1293"/>
      <c r="BC5" s="1293"/>
      <c r="BD5" s="1293"/>
      <c r="BE5" s="1293"/>
      <c r="BF5" s="1293"/>
      <c r="BG5" s="1293"/>
      <c r="BH5" s="1293"/>
      <c r="BI5" s="1293"/>
      <c r="BJ5" s="1293"/>
      <c r="BK5" s="1293"/>
      <c r="BL5" s="1293"/>
      <c r="BM5" s="1293"/>
      <c r="BN5" s="1293"/>
      <c r="BO5" s="1293"/>
      <c r="BP5" s="1293"/>
      <c r="BQ5" s="1293"/>
      <c r="BR5" s="1293"/>
      <c r="BS5" s="1293"/>
      <c r="BT5" s="1293"/>
      <c r="BU5" s="1293"/>
      <c r="BV5" s="1293"/>
      <c r="BW5" s="612"/>
      <c r="BX5" s="17"/>
      <c r="BY5" s="17"/>
      <c r="BZ5" s="1058"/>
      <c r="CA5" s="17"/>
      <c r="CB5" s="19"/>
      <c r="CC5" s="335" t="s">
        <v>163</v>
      </c>
    </row>
    <row r="6" spans="1:81" ht="17.100000000000001" customHeight="1" x14ac:dyDescent="0.2">
      <c r="A6" s="17"/>
      <c r="B6" s="1058"/>
      <c r="C6" s="17"/>
      <c r="D6" s="17"/>
      <c r="E6" s="615"/>
      <c r="F6" s="617"/>
      <c r="G6" s="617"/>
      <c r="H6" s="617"/>
      <c r="I6" s="617"/>
      <c r="J6" s="617"/>
      <c r="K6" s="617"/>
      <c r="L6" s="617"/>
      <c r="M6" s="617"/>
      <c r="N6" s="617"/>
      <c r="O6" s="617"/>
      <c r="P6" s="617"/>
      <c r="Q6" s="617"/>
      <c r="R6" s="617"/>
      <c r="S6" s="617"/>
      <c r="T6" s="617"/>
      <c r="U6" s="617"/>
      <c r="V6" s="617"/>
      <c r="W6" s="617"/>
      <c r="X6" s="617"/>
      <c r="Y6" s="617"/>
      <c r="Z6" s="617"/>
      <c r="AA6" s="617"/>
      <c r="AB6" s="617"/>
      <c r="AC6" s="617"/>
      <c r="AD6" s="617"/>
      <c r="AE6" s="617"/>
      <c r="AF6" s="617"/>
      <c r="AG6" s="617"/>
      <c r="AH6" s="617"/>
      <c r="AI6" s="617"/>
      <c r="AJ6" s="617"/>
      <c r="AK6" s="617"/>
      <c r="AL6" s="617"/>
      <c r="AM6" s="617"/>
      <c r="AN6" s="617"/>
      <c r="AO6" s="617"/>
      <c r="AP6" s="617"/>
      <c r="AQ6" s="617"/>
      <c r="AR6" s="617"/>
      <c r="AS6" s="617"/>
      <c r="AT6" s="617"/>
      <c r="AU6" s="617"/>
      <c r="AV6" s="617"/>
      <c r="AW6" s="617"/>
      <c r="AX6" s="617"/>
      <c r="AY6" s="617"/>
      <c r="AZ6" s="617"/>
      <c r="BA6" s="617"/>
      <c r="BB6" s="617"/>
      <c r="BC6" s="617"/>
      <c r="BD6" s="617"/>
      <c r="BE6" s="617"/>
      <c r="BF6" s="617"/>
      <c r="BG6" s="617"/>
      <c r="BH6" s="617"/>
      <c r="BI6" s="617"/>
      <c r="BJ6" s="617"/>
      <c r="BK6" s="617"/>
      <c r="BL6" s="617"/>
      <c r="BM6" s="617"/>
      <c r="BN6" s="617"/>
      <c r="BO6" s="617"/>
      <c r="BP6" s="617"/>
      <c r="BQ6" s="617"/>
      <c r="BR6" s="617"/>
      <c r="BS6" s="617"/>
      <c r="BT6" s="617"/>
      <c r="BU6" s="617"/>
      <c r="BV6" s="617"/>
      <c r="BW6" s="616"/>
      <c r="BX6" s="17"/>
      <c r="BY6" s="17"/>
      <c r="BZ6" s="1058"/>
      <c r="CA6" s="17"/>
      <c r="CB6" s="19"/>
      <c r="CC6" s="335" t="s">
        <v>770</v>
      </c>
    </row>
    <row r="7" spans="1:81" ht="17.100000000000001" customHeight="1" x14ac:dyDescent="0.35">
      <c r="A7" s="17"/>
      <c r="B7" s="1058"/>
      <c r="C7" s="1062"/>
      <c r="D7" s="17"/>
      <c r="E7" s="1294"/>
      <c r="F7" s="617"/>
      <c r="G7" s="1371" t="s">
        <v>922</v>
      </c>
      <c r="H7" s="617"/>
      <c r="I7" s="617"/>
      <c r="J7" s="617"/>
      <c r="K7" s="617"/>
      <c r="L7" s="617"/>
      <c r="M7" s="617"/>
      <c r="N7" s="617"/>
      <c r="O7" s="617"/>
      <c r="P7" s="617"/>
      <c r="Q7" s="617"/>
      <c r="R7" s="617"/>
      <c r="S7" s="617"/>
      <c r="T7" s="617"/>
      <c r="U7" s="617"/>
      <c r="V7" s="617"/>
      <c r="W7" s="617"/>
      <c r="X7" s="617"/>
      <c r="Y7" s="617"/>
      <c r="Z7" s="617"/>
      <c r="AA7" s="1308"/>
      <c r="AB7" s="1308"/>
      <c r="AC7" s="1308"/>
      <c r="AD7" s="1308"/>
      <c r="AE7" s="1308"/>
      <c r="AF7" s="1308"/>
      <c r="AG7" s="1308"/>
      <c r="AH7" s="4732" t="s">
        <v>159</v>
      </c>
      <c r="AI7" s="4732"/>
      <c r="AJ7" s="4732"/>
      <c r="AK7" s="4732"/>
      <c r="AL7" s="4732"/>
      <c r="AM7" s="1308"/>
      <c r="AN7" s="1308"/>
      <c r="AO7" s="1308"/>
      <c r="AP7" s="4733">
        <f>AP10-AP17</f>
        <v>0</v>
      </c>
      <c r="AQ7" s="4733"/>
      <c r="AR7" s="4733"/>
      <c r="AS7" s="4733"/>
      <c r="AT7" s="4733"/>
      <c r="AU7" s="1308"/>
      <c r="AV7" s="1308"/>
      <c r="AW7" s="1308"/>
      <c r="AX7" s="1308"/>
      <c r="AY7" s="1308"/>
      <c r="AZ7" s="1308"/>
      <c r="BA7" s="1308"/>
      <c r="BB7" s="1300"/>
      <c r="BC7" s="1300"/>
      <c r="BD7" s="1300"/>
      <c r="BE7" s="1300"/>
      <c r="BF7" s="1300"/>
      <c r="BG7" s="1300"/>
      <c r="BH7" s="617"/>
      <c r="BI7" s="617"/>
      <c r="BJ7" s="617"/>
      <c r="BK7" s="617"/>
      <c r="BL7" s="617"/>
      <c r="BM7" s="617"/>
      <c r="BN7" s="617"/>
      <c r="BO7" s="617"/>
      <c r="BP7" s="617"/>
      <c r="BQ7" s="1370" t="s">
        <v>930</v>
      </c>
      <c r="BR7" s="4728">
        <v>100</v>
      </c>
      <c r="BS7" s="4728"/>
      <c r="BT7" s="4728"/>
      <c r="BU7" s="4728"/>
      <c r="BV7" s="617"/>
      <c r="BW7" s="616"/>
      <c r="BX7" s="605"/>
      <c r="BY7" s="605"/>
      <c r="BZ7" s="1058"/>
      <c r="CA7" s="17"/>
      <c r="CB7" s="19"/>
      <c r="CC7" s="335" t="s">
        <v>816</v>
      </c>
    </row>
    <row r="8" spans="1:81" ht="17.100000000000001" customHeight="1" thickBot="1" x14ac:dyDescent="0.4">
      <c r="A8" s="17"/>
      <c r="B8" s="1058"/>
      <c r="C8" s="1062"/>
      <c r="D8" s="17"/>
      <c r="E8" s="1294"/>
      <c r="F8" s="617"/>
      <c r="G8" s="1372"/>
      <c r="H8" s="617"/>
      <c r="I8" s="617"/>
      <c r="J8" s="617"/>
      <c r="K8" s="617"/>
      <c r="L8" s="617"/>
      <c r="M8" s="617"/>
      <c r="N8" s="617"/>
      <c r="O8" s="617"/>
      <c r="P8" s="617"/>
      <c r="Q8" s="617"/>
      <c r="R8" s="617"/>
      <c r="S8" s="617"/>
      <c r="T8" s="617"/>
      <c r="U8" s="617"/>
      <c r="V8" s="617"/>
      <c r="W8" s="617"/>
      <c r="X8" s="617"/>
      <c r="Y8" s="617"/>
      <c r="Z8" s="617"/>
      <c r="AA8" s="617"/>
      <c r="AB8" s="617"/>
      <c r="AC8" s="617"/>
      <c r="AD8" s="617"/>
      <c r="AE8" s="617"/>
      <c r="AF8" s="617"/>
      <c r="AG8" s="617"/>
      <c r="AH8" s="617"/>
      <c r="AI8" s="617"/>
      <c r="AJ8" s="617"/>
      <c r="AK8" s="617"/>
      <c r="AL8" s="617"/>
      <c r="AM8" s="617"/>
      <c r="AN8" s="617"/>
      <c r="AO8" s="617"/>
      <c r="AP8" s="617"/>
      <c r="AQ8" s="617"/>
      <c r="AR8" s="617"/>
      <c r="AS8" s="617"/>
      <c r="AT8" s="617"/>
      <c r="AU8" s="617"/>
      <c r="AV8" s="617"/>
      <c r="AW8" s="617"/>
      <c r="AX8" s="617"/>
      <c r="AY8" s="617"/>
      <c r="AZ8" s="617"/>
      <c r="BA8" s="617"/>
      <c r="BB8" s="617"/>
      <c r="BC8" s="617"/>
      <c r="BD8" s="617"/>
      <c r="BE8" s="617"/>
      <c r="BF8" s="617"/>
      <c r="BG8" s="617"/>
      <c r="BH8" s="617"/>
      <c r="BI8" s="617"/>
      <c r="BJ8" s="617"/>
      <c r="BK8" s="617"/>
      <c r="BL8" s="617"/>
      <c r="BM8" s="617"/>
      <c r="BN8" s="617"/>
      <c r="BO8" s="617"/>
      <c r="BP8" s="617"/>
      <c r="BQ8" s="617"/>
      <c r="BR8" s="617"/>
      <c r="BS8" s="617"/>
      <c r="BT8" s="617"/>
      <c r="BU8" s="617"/>
      <c r="BV8" s="617"/>
      <c r="BW8" s="616"/>
      <c r="BX8" s="605"/>
      <c r="BY8" s="605"/>
      <c r="BZ8" s="1058"/>
      <c r="CA8" s="17"/>
      <c r="CB8" s="19"/>
      <c r="CC8" s="335" t="s">
        <v>817</v>
      </c>
    </row>
    <row r="9" spans="1:81" ht="17.100000000000001" customHeight="1" thickTop="1" x14ac:dyDescent="0.3">
      <c r="A9" s="17"/>
      <c r="B9" s="1058"/>
      <c r="C9" s="17"/>
      <c r="D9" s="17"/>
      <c r="E9" s="1294"/>
      <c r="F9" s="617"/>
      <c r="G9" s="1371"/>
      <c r="H9" s="913"/>
      <c r="I9" s="913"/>
      <c r="J9" s="913"/>
      <c r="K9" s="1304"/>
      <c r="L9" s="617"/>
      <c r="M9" s="617"/>
      <c r="N9" s="617"/>
      <c r="O9" s="617"/>
      <c r="P9" s="617"/>
      <c r="Q9" s="617"/>
      <c r="R9" s="617"/>
      <c r="S9" s="617"/>
      <c r="T9" s="617"/>
      <c r="U9" s="2522"/>
      <c r="V9" s="2523"/>
      <c r="W9" s="2523"/>
      <c r="X9" s="2524"/>
      <c r="Y9" s="2525"/>
      <c r="Z9" s="2525"/>
      <c r="AA9" s="2525"/>
      <c r="AB9" s="2525"/>
      <c r="AC9" s="2525"/>
      <c r="AD9" s="2525"/>
      <c r="AE9" s="2525"/>
      <c r="AF9" s="2525"/>
      <c r="AG9" s="2525"/>
      <c r="AH9" s="4723"/>
      <c r="AI9" s="4723"/>
      <c r="AJ9" s="4723"/>
      <c r="AK9" s="4723"/>
      <c r="AL9" s="4723"/>
      <c r="AM9" s="2525"/>
      <c r="AN9" s="2525"/>
      <c r="AO9" s="2525"/>
      <c r="AP9" s="4724"/>
      <c r="AQ9" s="4724"/>
      <c r="AR9" s="4724"/>
      <c r="AS9" s="4724"/>
      <c r="AT9" s="4724"/>
      <c r="AU9" s="2525"/>
      <c r="AV9" s="2525"/>
      <c r="AW9" s="2525"/>
      <c r="AX9" s="2525"/>
      <c r="AY9" s="2525"/>
      <c r="AZ9" s="2525"/>
      <c r="BA9" s="2525"/>
      <c r="BB9" s="2505"/>
      <c r="BC9" s="2524"/>
      <c r="BD9" s="2524"/>
      <c r="BE9" s="2524"/>
      <c r="BF9" s="2524"/>
      <c r="BG9" s="2526"/>
      <c r="BH9" s="617"/>
      <c r="BI9" s="617"/>
      <c r="BJ9" s="617"/>
      <c r="BK9" s="617"/>
      <c r="BL9" s="1301"/>
      <c r="BM9" s="1301"/>
      <c r="BN9" s="1301"/>
      <c r="BO9" s="913"/>
      <c r="BP9" s="913"/>
      <c r="BQ9" s="913"/>
      <c r="BR9" s="913"/>
      <c r="BS9" s="913"/>
      <c r="BT9" s="913"/>
      <c r="BU9" s="913"/>
      <c r="BV9" s="1301"/>
      <c r="BW9" s="616"/>
      <c r="BX9" s="605"/>
      <c r="BY9" s="605"/>
      <c r="BZ9" s="1058"/>
      <c r="CA9" s="17"/>
      <c r="CB9" s="19"/>
      <c r="CC9" s="335" t="s">
        <v>818</v>
      </c>
    </row>
    <row r="10" spans="1:81" ht="17.100000000000001" customHeight="1" x14ac:dyDescent="0.3">
      <c r="A10" s="17"/>
      <c r="B10" s="1058"/>
      <c r="C10" s="1064"/>
      <c r="D10" s="17"/>
      <c r="E10" s="1294"/>
      <c r="F10" s="617"/>
      <c r="G10" s="1366" t="str">
        <f>PLANS!$F$3</f>
        <v>MONTH</v>
      </c>
      <c r="H10" s="913"/>
      <c r="I10" s="913"/>
      <c r="J10" s="913"/>
      <c r="K10" s="1304"/>
      <c r="L10" s="617"/>
      <c r="M10" s="617"/>
      <c r="N10" s="617"/>
      <c r="O10" s="617"/>
      <c r="P10" s="617"/>
      <c r="Q10" s="617"/>
      <c r="R10" s="617"/>
      <c r="S10" s="617"/>
      <c r="T10" s="617"/>
      <c r="U10" s="2527"/>
      <c r="V10" s="1431"/>
      <c r="W10" s="1431"/>
      <c r="X10" s="2528"/>
      <c r="Y10" s="1016"/>
      <c r="Z10" s="1016"/>
      <c r="AA10" s="1016"/>
      <c r="AB10" s="1016"/>
      <c r="AC10" s="1016"/>
      <c r="AD10" s="1016"/>
      <c r="AE10" s="1016"/>
      <c r="AF10" s="1016"/>
      <c r="AG10" s="1016"/>
      <c r="AH10" s="4725" t="s">
        <v>404</v>
      </c>
      <c r="AI10" s="4725"/>
      <c r="AJ10" s="4725"/>
      <c r="AK10" s="4725"/>
      <c r="AL10" s="4725"/>
      <c r="AM10" s="1016"/>
      <c r="AN10" s="1016"/>
      <c r="AO10" s="1016"/>
      <c r="AP10" s="4726">
        <f>SUM(AJ12:AL13,AY12:BA13)</f>
        <v>0</v>
      </c>
      <c r="AQ10" s="4726"/>
      <c r="AR10" s="4726"/>
      <c r="AS10" s="4726"/>
      <c r="AT10" s="4726"/>
      <c r="AU10" s="1016"/>
      <c r="AV10" s="1016"/>
      <c r="AW10" s="1016"/>
      <c r="AX10" s="1016"/>
      <c r="AY10" s="1016"/>
      <c r="AZ10" s="1016"/>
      <c r="BA10" s="1016"/>
      <c r="BB10" s="2511"/>
      <c r="BC10" s="2528"/>
      <c r="BD10" s="2528"/>
      <c r="BE10" s="2528"/>
      <c r="BF10" s="2528"/>
      <c r="BG10" s="2529"/>
      <c r="BH10" s="617"/>
      <c r="BI10" s="617"/>
      <c r="BJ10" s="617"/>
      <c r="BK10" s="617"/>
      <c r="BL10" s="1301"/>
      <c r="BM10" s="1301"/>
      <c r="BN10" s="1301"/>
      <c r="BO10" s="913"/>
      <c r="BP10" s="913"/>
      <c r="BQ10" s="1370" t="s">
        <v>842</v>
      </c>
      <c r="BR10" s="4729" t="s">
        <v>2490</v>
      </c>
      <c r="BS10" s="4730"/>
      <c r="BT10" s="4730"/>
      <c r="BU10" s="4730"/>
      <c r="BV10" s="1458" t="e">
        <f>MONTH(BR10)</f>
        <v>#VALUE!</v>
      </c>
      <c r="BW10" s="616"/>
      <c r="BX10" s="605"/>
      <c r="BY10" s="605"/>
      <c r="BZ10" s="1058"/>
      <c r="CA10" s="17"/>
      <c r="CB10" s="19"/>
      <c r="CC10" s="335" t="s">
        <v>819</v>
      </c>
    </row>
    <row r="11" spans="1:81" ht="17.100000000000001" customHeight="1" x14ac:dyDescent="0.3">
      <c r="A11" s="17"/>
      <c r="B11" s="1058"/>
      <c r="C11" s="17"/>
      <c r="D11" s="17"/>
      <c r="E11" s="1294"/>
      <c r="F11" s="617"/>
      <c r="G11" s="1287"/>
      <c r="H11" s="617"/>
      <c r="I11" s="617"/>
      <c r="J11" s="617"/>
      <c r="K11" s="617"/>
      <c r="L11" s="617"/>
      <c r="M11" s="617"/>
      <c r="N11" s="617"/>
      <c r="O11" s="617"/>
      <c r="P11" s="617"/>
      <c r="Q11" s="617"/>
      <c r="R11" s="617"/>
      <c r="S11" s="617"/>
      <c r="T11" s="617"/>
      <c r="U11" s="2527"/>
      <c r="V11" s="1431"/>
      <c r="W11" s="1431"/>
      <c r="X11" s="2530" t="s">
        <v>160</v>
      </c>
      <c r="Y11" s="2530"/>
      <c r="Z11" s="1016"/>
      <c r="AA11" s="2531" t="s">
        <v>840</v>
      </c>
      <c r="AB11" s="2532"/>
      <c r="AC11" s="1016"/>
      <c r="AD11" s="1016"/>
      <c r="AE11" s="1016"/>
      <c r="AF11" s="1016"/>
      <c r="AG11" s="1016"/>
      <c r="AH11" s="1016"/>
      <c r="AI11" s="1016"/>
      <c r="AJ11" s="2511"/>
      <c r="AK11" s="2533"/>
      <c r="AL11" s="2534" t="s">
        <v>841</v>
      </c>
      <c r="AM11" s="2528"/>
      <c r="AN11" s="2528"/>
      <c r="AO11" s="2528"/>
      <c r="AP11" s="2531" t="s">
        <v>840</v>
      </c>
      <c r="AQ11" s="2532"/>
      <c r="AR11" s="1016"/>
      <c r="AS11" s="1016"/>
      <c r="AT11" s="1016"/>
      <c r="AU11" s="1016"/>
      <c r="AV11" s="1016"/>
      <c r="AW11" s="1016"/>
      <c r="AX11" s="1016"/>
      <c r="AY11" s="2511"/>
      <c r="AZ11" s="2533"/>
      <c r="BA11" s="2534" t="s">
        <v>841</v>
      </c>
      <c r="BB11" s="2511"/>
      <c r="BC11" s="2530" t="s">
        <v>160</v>
      </c>
      <c r="BD11" s="2530"/>
      <c r="BE11" s="2528"/>
      <c r="BF11" s="2528"/>
      <c r="BG11" s="2529"/>
      <c r="BH11" s="617"/>
      <c r="BI11" s="617"/>
      <c r="BJ11" s="617"/>
      <c r="BK11" s="617"/>
      <c r="BL11" s="617"/>
      <c r="BM11" s="617"/>
      <c r="BN11" s="617"/>
      <c r="BO11" s="617"/>
      <c r="BP11" s="617"/>
      <c r="BQ11" s="617"/>
      <c r="BR11" s="617"/>
      <c r="BS11" s="617"/>
      <c r="BT11" s="617"/>
      <c r="BU11" s="617"/>
      <c r="BV11" s="617"/>
      <c r="BW11" s="616"/>
      <c r="BX11" s="605"/>
      <c r="BY11" s="605"/>
      <c r="BZ11" s="1058"/>
      <c r="CA11" s="17"/>
      <c r="CB11" s="19"/>
      <c r="CC11" s="335" t="s">
        <v>820</v>
      </c>
    </row>
    <row r="12" spans="1:81" ht="17.100000000000001" customHeight="1" x14ac:dyDescent="0.2">
      <c r="A12" s="17"/>
      <c r="B12" s="1058"/>
      <c r="C12" s="1065"/>
      <c r="D12" s="17"/>
      <c r="E12" s="1294"/>
      <c r="F12" s="617"/>
      <c r="G12" s="617"/>
      <c r="H12" s="617"/>
      <c r="I12" s="617"/>
      <c r="J12" s="617"/>
      <c r="K12" s="617"/>
      <c r="L12" s="617"/>
      <c r="M12" s="617"/>
      <c r="N12" s="617"/>
      <c r="O12" s="617"/>
      <c r="P12" s="617"/>
      <c r="Q12" s="617"/>
      <c r="R12" s="617"/>
      <c r="S12" s="617"/>
      <c r="T12" s="617"/>
      <c r="U12" s="2527"/>
      <c r="V12" s="1431"/>
      <c r="W12" s="1431"/>
      <c r="X12" s="4716"/>
      <c r="Y12" s="4716"/>
      <c r="Z12" s="2511"/>
      <c r="AA12" s="4717"/>
      <c r="AB12" s="4717"/>
      <c r="AC12" s="4717"/>
      <c r="AD12" s="4717"/>
      <c r="AE12" s="4717"/>
      <c r="AF12" s="4717"/>
      <c r="AG12" s="4717"/>
      <c r="AH12" s="4717"/>
      <c r="AI12" s="4717"/>
      <c r="AJ12" s="4718"/>
      <c r="AK12" s="4718"/>
      <c r="AL12" s="4718"/>
      <c r="AM12" s="2535"/>
      <c r="AN12" s="2535"/>
      <c r="AO12" s="2535"/>
      <c r="AP12" s="4717"/>
      <c r="AQ12" s="4717"/>
      <c r="AR12" s="4717"/>
      <c r="AS12" s="4717"/>
      <c r="AT12" s="4717"/>
      <c r="AU12" s="4717"/>
      <c r="AV12" s="4717"/>
      <c r="AW12" s="4717"/>
      <c r="AX12" s="4717"/>
      <c r="AY12" s="4718"/>
      <c r="AZ12" s="4718"/>
      <c r="BA12" s="4718"/>
      <c r="BB12" s="2511"/>
      <c r="BC12" s="4719"/>
      <c r="BD12" s="4719"/>
      <c r="BE12" s="2535"/>
      <c r="BF12" s="2535"/>
      <c r="BG12" s="2536"/>
      <c r="BH12" s="617"/>
      <c r="BI12" s="617"/>
      <c r="BJ12" s="617"/>
      <c r="BK12" s="617"/>
      <c r="BL12" s="617"/>
      <c r="BM12" s="617"/>
      <c r="BN12" s="617"/>
      <c r="BO12" s="617"/>
      <c r="BP12" s="617"/>
      <c r="BQ12" s="617"/>
      <c r="BR12" s="617"/>
      <c r="BS12" s="617"/>
      <c r="BT12" s="617"/>
      <c r="BU12" s="617"/>
      <c r="BV12" s="617"/>
      <c r="BW12" s="616"/>
      <c r="BX12" s="605"/>
      <c r="BY12" s="605"/>
      <c r="BZ12" s="1058"/>
      <c r="CA12" s="17"/>
      <c r="CB12" s="19"/>
      <c r="CC12" s="335" t="s">
        <v>821</v>
      </c>
    </row>
    <row r="13" spans="1:81" ht="17.100000000000001" customHeight="1" x14ac:dyDescent="0.2">
      <c r="A13" s="17"/>
      <c r="B13" s="1058"/>
      <c r="C13" s="17"/>
      <c r="D13" s="17"/>
      <c r="E13" s="1294"/>
      <c r="F13" s="617"/>
      <c r="G13" s="617"/>
      <c r="H13" s="617"/>
      <c r="I13" s="617"/>
      <c r="J13" s="617"/>
      <c r="K13" s="617"/>
      <c r="L13" s="617"/>
      <c r="M13" s="617"/>
      <c r="N13" s="617"/>
      <c r="O13" s="617"/>
      <c r="P13" s="617"/>
      <c r="Q13" s="617"/>
      <c r="R13" s="617"/>
      <c r="S13" s="617"/>
      <c r="T13" s="617"/>
      <c r="U13" s="2527"/>
      <c r="V13" s="1431"/>
      <c r="W13" s="1431"/>
      <c r="X13" s="4716"/>
      <c r="Y13" s="4716"/>
      <c r="Z13" s="2511"/>
      <c r="AA13" s="4717"/>
      <c r="AB13" s="4717"/>
      <c r="AC13" s="4717"/>
      <c r="AD13" s="4717"/>
      <c r="AE13" s="4717"/>
      <c r="AF13" s="4717"/>
      <c r="AG13" s="4717"/>
      <c r="AH13" s="4717"/>
      <c r="AI13" s="4717"/>
      <c r="AJ13" s="4718"/>
      <c r="AK13" s="4718"/>
      <c r="AL13" s="4718"/>
      <c r="AM13" s="2535"/>
      <c r="AN13" s="2535"/>
      <c r="AO13" s="2535"/>
      <c r="AP13" s="4717"/>
      <c r="AQ13" s="4717"/>
      <c r="AR13" s="4717"/>
      <c r="AS13" s="4717"/>
      <c r="AT13" s="4717"/>
      <c r="AU13" s="4717"/>
      <c r="AV13" s="4717"/>
      <c r="AW13" s="4717"/>
      <c r="AX13" s="4717"/>
      <c r="AY13" s="4718"/>
      <c r="AZ13" s="4718"/>
      <c r="BA13" s="4718"/>
      <c r="BB13" s="2511"/>
      <c r="BC13" s="4719"/>
      <c r="BD13" s="4719"/>
      <c r="BE13" s="2535"/>
      <c r="BF13" s="2535"/>
      <c r="BG13" s="2536"/>
      <c r="BH13" s="617"/>
      <c r="BI13" s="617"/>
      <c r="BJ13" s="617"/>
      <c r="BK13" s="617"/>
      <c r="BL13" s="617"/>
      <c r="BM13" s="617"/>
      <c r="BN13" s="617"/>
      <c r="BO13" s="617"/>
      <c r="BP13" s="617"/>
      <c r="BQ13" s="617"/>
      <c r="BR13" s="617"/>
      <c r="BS13" s="617"/>
      <c r="BT13" s="617"/>
      <c r="BU13" s="617"/>
      <c r="BV13" s="1301"/>
      <c r="BW13" s="616"/>
      <c r="BX13" s="605"/>
      <c r="BY13" s="605"/>
      <c r="BZ13" s="1058"/>
      <c r="CA13" s="17"/>
      <c r="CB13" s="19"/>
      <c r="CC13" s="335" t="s">
        <v>822</v>
      </c>
    </row>
    <row r="14" spans="1:81" ht="17.100000000000001" customHeight="1" thickBot="1" x14ac:dyDescent="0.25">
      <c r="A14" s="17"/>
      <c r="B14" s="1058"/>
      <c r="C14" s="1066"/>
      <c r="D14" s="17"/>
      <c r="E14" s="1294"/>
      <c r="F14" s="1295"/>
      <c r="G14" s="617"/>
      <c r="H14" s="617"/>
      <c r="I14" s="617"/>
      <c r="J14" s="617"/>
      <c r="K14" s="617"/>
      <c r="L14" s="617"/>
      <c r="M14" s="617"/>
      <c r="N14" s="617"/>
      <c r="O14" s="617"/>
      <c r="P14" s="617"/>
      <c r="Q14" s="617"/>
      <c r="R14" s="617"/>
      <c r="S14" s="617"/>
      <c r="T14" s="617"/>
      <c r="U14" s="2537"/>
      <c r="V14" s="2520"/>
      <c r="W14" s="2520"/>
      <c r="X14" s="2520"/>
      <c r="Y14" s="2520"/>
      <c r="Z14" s="2520"/>
      <c r="AA14" s="2520"/>
      <c r="AB14" s="2520"/>
      <c r="AC14" s="2520"/>
      <c r="AD14" s="2520"/>
      <c r="AE14" s="2520"/>
      <c r="AF14" s="2520"/>
      <c r="AG14" s="2520"/>
      <c r="AH14" s="2520"/>
      <c r="AI14" s="2520"/>
      <c r="AJ14" s="2520"/>
      <c r="AK14" s="2520"/>
      <c r="AL14" s="2520"/>
      <c r="AM14" s="2520"/>
      <c r="AN14" s="2520"/>
      <c r="AO14" s="2520"/>
      <c r="AP14" s="2520"/>
      <c r="AQ14" s="2520"/>
      <c r="AR14" s="2520"/>
      <c r="AS14" s="2520"/>
      <c r="AT14" s="2520"/>
      <c r="AU14" s="2520"/>
      <c r="AV14" s="2520"/>
      <c r="AW14" s="2520"/>
      <c r="AX14" s="2520"/>
      <c r="AY14" s="2520"/>
      <c r="AZ14" s="2520"/>
      <c r="BA14" s="2520"/>
      <c r="BB14" s="2520"/>
      <c r="BC14" s="2520"/>
      <c r="BD14" s="2520"/>
      <c r="BE14" s="2520"/>
      <c r="BF14" s="2520"/>
      <c r="BG14" s="2538"/>
      <c r="BH14" s="617"/>
      <c r="BI14" s="617"/>
      <c r="BJ14" s="617"/>
      <c r="BK14" s="617"/>
      <c r="BL14" s="1301"/>
      <c r="BM14" s="1301"/>
      <c r="BN14" s="617"/>
      <c r="BO14" s="617"/>
      <c r="BP14" s="1302"/>
      <c r="BQ14" s="1301"/>
      <c r="BR14" s="1301"/>
      <c r="BS14" s="1301"/>
      <c r="BT14" s="1301"/>
      <c r="BU14" s="1301"/>
      <c r="BV14" s="1184"/>
      <c r="BW14" s="616"/>
      <c r="BX14" s="605"/>
      <c r="BY14" s="605"/>
      <c r="BZ14" s="1058"/>
      <c r="CA14" s="17"/>
      <c r="CB14" s="19"/>
      <c r="CC14" s="335" t="s">
        <v>776</v>
      </c>
    </row>
    <row r="15" spans="1:81" ht="17.100000000000001" customHeight="1" thickTop="1" thickBot="1" x14ac:dyDescent="0.25">
      <c r="A15" s="17"/>
      <c r="B15" s="1058"/>
      <c r="C15" s="17"/>
      <c r="D15" s="17"/>
      <c r="E15" s="1294"/>
      <c r="F15" s="1295"/>
      <c r="G15" s="617"/>
      <c r="H15" s="617"/>
      <c r="I15" s="617"/>
      <c r="J15" s="617"/>
      <c r="K15" s="617"/>
      <c r="L15" s="617"/>
      <c r="M15" s="617"/>
      <c r="N15" s="617"/>
      <c r="O15" s="617"/>
      <c r="P15" s="617"/>
      <c r="Q15" s="617"/>
      <c r="R15" s="617"/>
      <c r="S15" s="617"/>
      <c r="T15" s="617"/>
      <c r="U15" s="617"/>
      <c r="V15" s="617"/>
      <c r="W15" s="617"/>
      <c r="X15" s="617"/>
      <c r="Y15" s="617"/>
      <c r="Z15" s="617"/>
      <c r="AA15" s="617"/>
      <c r="AB15" s="617"/>
      <c r="AC15" s="617"/>
      <c r="AD15" s="617"/>
      <c r="AE15" s="617"/>
      <c r="AF15" s="617"/>
      <c r="AG15" s="617"/>
      <c r="AH15" s="617"/>
      <c r="AI15" s="617"/>
      <c r="AJ15" s="617"/>
      <c r="AK15" s="617"/>
      <c r="AL15" s="617"/>
      <c r="AM15" s="617"/>
      <c r="AN15" s="617"/>
      <c r="AO15" s="617"/>
      <c r="AP15" s="617"/>
      <c r="AQ15" s="617"/>
      <c r="AR15" s="617"/>
      <c r="AS15" s="617"/>
      <c r="AT15" s="617"/>
      <c r="AU15" s="617"/>
      <c r="AV15" s="617"/>
      <c r="AW15" s="617"/>
      <c r="AX15" s="617"/>
      <c r="AY15" s="617"/>
      <c r="AZ15" s="617"/>
      <c r="BA15" s="617"/>
      <c r="BB15" s="617"/>
      <c r="BC15" s="617"/>
      <c r="BD15" s="617"/>
      <c r="BE15" s="617"/>
      <c r="BF15" s="617"/>
      <c r="BG15" s="617"/>
      <c r="BH15" s="617"/>
      <c r="BI15" s="1184"/>
      <c r="BJ15" s="1184"/>
      <c r="BK15" s="1184"/>
      <c r="BL15" s="1184"/>
      <c r="BM15" s="1184"/>
      <c r="BN15" s="1184"/>
      <c r="BO15" s="1184"/>
      <c r="BP15" s="1184"/>
      <c r="BQ15" s="1184"/>
      <c r="BR15" s="1184"/>
      <c r="BS15" s="1184"/>
      <c r="BT15" s="1184"/>
      <c r="BU15" s="1184"/>
      <c r="BV15" s="1184"/>
      <c r="BW15" s="616"/>
      <c r="BX15" s="605"/>
      <c r="BY15" s="605"/>
      <c r="BZ15" s="1058"/>
      <c r="CA15" s="17"/>
      <c r="CB15" s="19"/>
      <c r="CC15" s="335" t="s">
        <v>823</v>
      </c>
    </row>
    <row r="16" spans="1:81" ht="17.100000000000001" customHeight="1" thickTop="1" x14ac:dyDescent="0.35">
      <c r="A16" s="17"/>
      <c r="B16" s="1058"/>
      <c r="C16" s="1062"/>
      <c r="D16" s="17"/>
      <c r="E16" s="1294"/>
      <c r="F16" s="1295"/>
      <c r="G16" s="1344"/>
      <c r="H16" s="1345"/>
      <c r="I16" s="1345"/>
      <c r="J16" s="1345"/>
      <c r="K16" s="1345"/>
      <c r="L16" s="1345"/>
      <c r="M16" s="1346"/>
      <c r="N16" s="1345"/>
      <c r="O16" s="1345"/>
      <c r="P16" s="1345"/>
      <c r="Q16" s="1345"/>
      <c r="R16" s="1345"/>
      <c r="S16" s="1345"/>
      <c r="T16" s="1347"/>
      <c r="U16" s="1345"/>
      <c r="V16" s="1345"/>
      <c r="W16" s="1345"/>
      <c r="X16" s="1348"/>
      <c r="Y16" s="1349"/>
      <c r="Z16" s="1349"/>
      <c r="AA16" s="1349"/>
      <c r="AB16" s="1349"/>
      <c r="AC16" s="1349"/>
      <c r="AD16" s="1349"/>
      <c r="AE16" s="1349"/>
      <c r="AF16" s="1349"/>
      <c r="AG16" s="1349"/>
      <c r="AH16" s="1349"/>
      <c r="AI16" s="1349"/>
      <c r="AJ16" s="1349"/>
      <c r="AK16" s="1349"/>
      <c r="AL16" s="1349"/>
      <c r="AM16" s="1349"/>
      <c r="AN16" s="1349"/>
      <c r="AO16" s="1349"/>
      <c r="AP16" s="1349"/>
      <c r="AQ16" s="1349"/>
      <c r="AR16" s="1349"/>
      <c r="AS16" s="1349"/>
      <c r="AT16" s="1349"/>
      <c r="AU16" s="1349"/>
      <c r="AV16" s="1349"/>
      <c r="AW16" s="1349"/>
      <c r="AX16" s="1349"/>
      <c r="AY16" s="1349"/>
      <c r="AZ16" s="1349"/>
      <c r="BA16" s="1349"/>
      <c r="BB16" s="1347"/>
      <c r="BC16" s="1348"/>
      <c r="BD16" s="1348"/>
      <c r="BE16" s="1348"/>
      <c r="BF16" s="1348"/>
      <c r="BG16" s="1348"/>
      <c r="BH16" s="1348"/>
      <c r="BI16" s="1348"/>
      <c r="BJ16" s="1348"/>
      <c r="BK16" s="1348"/>
      <c r="BL16" s="1348"/>
      <c r="BM16" s="1348"/>
      <c r="BN16" s="1348"/>
      <c r="BO16" s="1348"/>
      <c r="BP16" s="1348"/>
      <c r="BQ16" s="1348"/>
      <c r="BR16" s="1348"/>
      <c r="BS16" s="1348"/>
      <c r="BT16" s="1348"/>
      <c r="BU16" s="1350"/>
      <c r="BV16" s="1184"/>
      <c r="BW16" s="616"/>
      <c r="BX16" s="605"/>
      <c r="BY16" s="605"/>
      <c r="BZ16" s="1058"/>
      <c r="CA16" s="17"/>
      <c r="CB16" s="19"/>
      <c r="CC16" s="335" t="s">
        <v>824</v>
      </c>
    </row>
    <row r="17" spans="1:81" ht="17.100000000000001" customHeight="1" x14ac:dyDescent="0.35">
      <c r="A17" s="17"/>
      <c r="B17" s="1058"/>
      <c r="C17" s="1062"/>
      <c r="D17" s="17"/>
      <c r="E17" s="1294"/>
      <c r="F17" s="1295"/>
      <c r="G17" s="1351"/>
      <c r="M17" s="33"/>
      <c r="T17" s="19"/>
      <c r="X17" s="1312"/>
      <c r="Y17" s="812"/>
      <c r="Z17" s="812"/>
      <c r="AA17" s="812"/>
      <c r="AB17" s="812"/>
      <c r="AC17" s="812"/>
      <c r="AD17" s="812"/>
      <c r="AE17" s="812"/>
      <c r="AF17" s="812"/>
      <c r="AG17" s="812"/>
      <c r="AH17" s="4714" t="s">
        <v>405</v>
      </c>
      <c r="AI17" s="4714"/>
      <c r="AJ17" s="4714"/>
      <c r="AK17" s="4714"/>
      <c r="AL17" s="4714"/>
      <c r="AM17" s="812"/>
      <c r="AN17" s="812"/>
      <c r="AO17" s="812"/>
      <c r="AP17" s="4715">
        <f>SUM(AJ19:AL31,AY19:BA31,T19,T23,T27,BQ19,BQ23,BQ27)</f>
        <v>0</v>
      </c>
      <c r="AQ17" s="4715"/>
      <c r="AR17" s="4715"/>
      <c r="AS17" s="4715"/>
      <c r="AT17" s="4715"/>
      <c r="AU17" s="812"/>
      <c r="AV17" s="812"/>
      <c r="AW17" s="812"/>
      <c r="AX17" s="812"/>
      <c r="AY17" s="812"/>
      <c r="AZ17" s="812"/>
      <c r="BA17" s="812"/>
      <c r="BB17" s="19"/>
      <c r="BC17" s="1312"/>
      <c r="BD17" s="1312"/>
      <c r="BE17" s="1312"/>
      <c r="BF17" s="1312"/>
      <c r="BG17" s="1312"/>
      <c r="BH17" s="1312"/>
      <c r="BI17" s="1312"/>
      <c r="BJ17" s="1312"/>
      <c r="BK17" s="1312"/>
      <c r="BL17" s="1312"/>
      <c r="BM17" s="1312"/>
      <c r="BN17" s="1312"/>
      <c r="BO17" s="1312"/>
      <c r="BP17" s="1312"/>
      <c r="BQ17" s="1312"/>
      <c r="BR17" s="1312"/>
      <c r="BS17" s="1312"/>
      <c r="BT17" s="1312"/>
      <c r="BU17" s="1352"/>
      <c r="BV17" s="1184"/>
      <c r="BW17" s="616"/>
      <c r="BX17" s="605"/>
      <c r="BY17" s="605"/>
      <c r="BZ17" s="1058"/>
      <c r="CA17" s="17"/>
      <c r="CB17" s="19"/>
      <c r="CC17" s="335" t="s">
        <v>165</v>
      </c>
    </row>
    <row r="18" spans="1:81" ht="17.100000000000001" customHeight="1" x14ac:dyDescent="0.2">
      <c r="A18" s="17"/>
      <c r="B18" s="1058"/>
      <c r="C18" s="17"/>
      <c r="D18" s="17"/>
      <c r="E18" s="1294"/>
      <c r="F18" s="1295"/>
      <c r="G18" s="1351"/>
      <c r="M18" s="33"/>
      <c r="T18" s="19"/>
      <c r="X18" s="1310" t="s">
        <v>161</v>
      </c>
      <c r="Y18" s="1310"/>
      <c r="Z18" s="812"/>
      <c r="AA18" s="1309" t="s">
        <v>840</v>
      </c>
      <c r="AB18" s="1309"/>
      <c r="AC18" s="812"/>
      <c r="AD18" s="812"/>
      <c r="AE18" s="812"/>
      <c r="AF18" s="812"/>
      <c r="AG18" s="812"/>
      <c r="AH18" s="812"/>
      <c r="AI18" s="812"/>
      <c r="AJ18" s="19"/>
      <c r="AK18" s="1310"/>
      <c r="AL18" s="1311" t="s">
        <v>841</v>
      </c>
      <c r="AM18" s="1312"/>
      <c r="AN18" s="1312"/>
      <c r="AO18" s="1312"/>
      <c r="AP18" s="1309" t="s">
        <v>840</v>
      </c>
      <c r="AQ18" s="812"/>
      <c r="AR18" s="812"/>
      <c r="AS18" s="812"/>
      <c r="AT18" s="812"/>
      <c r="AU18" s="812"/>
      <c r="AV18" s="812"/>
      <c r="AW18" s="812"/>
      <c r="AX18" s="812"/>
      <c r="AY18" s="812"/>
      <c r="AZ18" s="812"/>
      <c r="BA18" s="1311" t="s">
        <v>841</v>
      </c>
      <c r="BB18" s="19"/>
      <c r="BC18" s="1310" t="s">
        <v>161</v>
      </c>
      <c r="BD18" s="1310"/>
      <c r="BE18" s="1312"/>
      <c r="BF18" s="1312"/>
      <c r="BG18" s="1309"/>
      <c r="BH18" s="1312"/>
      <c r="BI18" s="1312"/>
      <c r="BJ18" s="1312"/>
      <c r="BK18" s="1312"/>
      <c r="BL18" s="1312"/>
      <c r="BM18" s="1312"/>
      <c r="BN18" s="1312"/>
      <c r="BO18" s="1312"/>
      <c r="BP18" s="1312"/>
      <c r="BQ18" s="1312"/>
      <c r="BR18" s="1312"/>
      <c r="BS18" s="1312"/>
      <c r="BT18" s="1312"/>
      <c r="BU18" s="1352"/>
      <c r="BV18" s="1184"/>
      <c r="BW18" s="616"/>
      <c r="BX18" s="605"/>
      <c r="BY18" s="605"/>
      <c r="BZ18" s="1058"/>
      <c r="CA18" s="17"/>
      <c r="CB18" s="19"/>
      <c r="CC18" s="335" t="s">
        <v>825</v>
      </c>
    </row>
    <row r="19" spans="1:81" ht="17.100000000000001" customHeight="1" x14ac:dyDescent="0.2">
      <c r="A19" s="17"/>
      <c r="B19" s="1058"/>
      <c r="C19" s="1067"/>
      <c r="D19" s="17"/>
      <c r="E19" s="1294"/>
      <c r="F19" s="1295"/>
      <c r="G19" s="1353"/>
      <c r="H19" s="19"/>
      <c r="I19" s="19"/>
      <c r="J19" s="4708" t="s">
        <v>960</v>
      </c>
      <c r="K19" s="4708"/>
      <c r="L19" s="4708"/>
      <c r="M19" s="4708"/>
      <c r="N19" s="4708"/>
      <c r="O19" s="4708"/>
      <c r="P19" s="4708"/>
      <c r="Q19" s="4708"/>
      <c r="R19" s="1307" t="s">
        <v>956</v>
      </c>
      <c r="S19" s="1307"/>
      <c r="T19" s="4711">
        <f>SUM(J20:U21)</f>
        <v>0</v>
      </c>
      <c r="U19" s="4711"/>
      <c r="X19" s="4707"/>
      <c r="Y19" s="4707"/>
      <c r="Z19" s="19"/>
      <c r="AA19" s="4708"/>
      <c r="AB19" s="4708"/>
      <c r="AC19" s="4708"/>
      <c r="AD19" s="4708"/>
      <c r="AE19" s="4708"/>
      <c r="AF19" s="4708"/>
      <c r="AG19" s="4708"/>
      <c r="AH19" s="4708"/>
      <c r="AI19" s="4708"/>
      <c r="AJ19" s="4709"/>
      <c r="AK19" s="4709"/>
      <c r="AL19" s="4709"/>
      <c r="AM19" s="1367"/>
      <c r="AN19" s="1367"/>
      <c r="AO19" s="1368"/>
      <c r="AP19" s="4708"/>
      <c r="AQ19" s="4708"/>
      <c r="AR19" s="4708"/>
      <c r="AS19" s="4708"/>
      <c r="AT19" s="4708"/>
      <c r="AU19" s="4708"/>
      <c r="AV19" s="4708"/>
      <c r="AW19" s="4708"/>
      <c r="AX19" s="4708"/>
      <c r="AY19" s="4709"/>
      <c r="AZ19" s="4709"/>
      <c r="BA19" s="4709"/>
      <c r="BB19" s="19"/>
      <c r="BC19" s="4702"/>
      <c r="BD19" s="4702"/>
      <c r="BE19" s="813"/>
      <c r="BF19" s="813"/>
      <c r="BG19" s="4708" t="s">
        <v>958</v>
      </c>
      <c r="BH19" s="4708"/>
      <c r="BI19" s="4708"/>
      <c r="BJ19" s="4708"/>
      <c r="BK19" s="4708"/>
      <c r="BL19" s="4708"/>
      <c r="BM19" s="4708"/>
      <c r="BN19" s="4708"/>
      <c r="BO19" s="1307" t="s">
        <v>956</v>
      </c>
      <c r="BP19" s="1307"/>
      <c r="BQ19" s="4711">
        <f>SUM(BG20:BR21)</f>
        <v>0</v>
      </c>
      <c r="BR19" s="4711"/>
      <c r="BS19" s="19"/>
      <c r="BT19" s="418"/>
      <c r="BU19" s="1354"/>
      <c r="BV19" s="1184"/>
      <c r="BW19" s="616"/>
      <c r="BX19" s="605"/>
      <c r="BY19" s="605"/>
      <c r="BZ19" s="1058"/>
      <c r="CA19" s="17"/>
      <c r="CB19" s="19"/>
      <c r="CC19" s="335" t="s">
        <v>826</v>
      </c>
    </row>
    <row r="20" spans="1:81" ht="17.100000000000001" customHeight="1" x14ac:dyDescent="0.2">
      <c r="A20" s="17"/>
      <c r="B20" s="1058"/>
      <c r="C20" s="17"/>
      <c r="D20" s="17"/>
      <c r="E20" s="1294"/>
      <c r="F20" s="1295"/>
      <c r="G20" s="1353"/>
      <c r="H20" s="19"/>
      <c r="I20" s="19"/>
      <c r="J20" s="4712"/>
      <c r="K20" s="4712"/>
      <c r="L20" s="4712"/>
      <c r="M20" s="4712"/>
      <c r="N20" s="4712"/>
      <c r="O20" s="4712"/>
      <c r="P20" s="4712"/>
      <c r="Q20" s="4712"/>
      <c r="R20" s="4712"/>
      <c r="S20" s="4712"/>
      <c r="T20" s="4712"/>
      <c r="U20" s="4712"/>
      <c r="X20" s="4707"/>
      <c r="Y20" s="4707"/>
      <c r="Z20" s="19"/>
      <c r="AA20" s="4708"/>
      <c r="AB20" s="4708"/>
      <c r="AC20" s="4708"/>
      <c r="AD20" s="4708"/>
      <c r="AE20" s="4708"/>
      <c r="AF20" s="4708"/>
      <c r="AG20" s="4708"/>
      <c r="AH20" s="4708"/>
      <c r="AI20" s="4708"/>
      <c r="AJ20" s="4709"/>
      <c r="AK20" s="4709"/>
      <c r="AL20" s="4709"/>
      <c r="AM20" s="1367"/>
      <c r="AN20" s="1367"/>
      <c r="AO20" s="1368"/>
      <c r="AP20" s="4708"/>
      <c r="AQ20" s="4708"/>
      <c r="AR20" s="4708"/>
      <c r="AS20" s="4708"/>
      <c r="AT20" s="4708"/>
      <c r="AU20" s="4708"/>
      <c r="AV20" s="4708"/>
      <c r="AW20" s="4708"/>
      <c r="AX20" s="4708"/>
      <c r="AY20" s="4709"/>
      <c r="AZ20" s="4709"/>
      <c r="BA20" s="4709"/>
      <c r="BB20" s="19"/>
      <c r="BC20" s="4702"/>
      <c r="BD20" s="4702"/>
      <c r="BE20" s="813"/>
      <c r="BF20" s="813"/>
      <c r="BG20" s="4713"/>
      <c r="BH20" s="4713"/>
      <c r="BI20" s="4713"/>
      <c r="BJ20" s="4713"/>
      <c r="BK20" s="4713"/>
      <c r="BL20" s="4713"/>
      <c r="BM20" s="4713"/>
      <c r="BN20" s="4713"/>
      <c r="BO20" s="4713"/>
      <c r="BP20" s="4713"/>
      <c r="BQ20" s="4713"/>
      <c r="BR20" s="4713"/>
      <c r="BS20" s="19"/>
      <c r="BT20" s="418"/>
      <c r="BU20" s="1354"/>
      <c r="BV20" s="1184"/>
      <c r="BW20" s="616"/>
      <c r="BX20" s="605"/>
      <c r="BY20" s="605"/>
      <c r="BZ20" s="1058"/>
      <c r="CA20" s="17"/>
      <c r="CB20" s="19"/>
      <c r="CC20" s="335" t="s">
        <v>802</v>
      </c>
    </row>
    <row r="21" spans="1:81" ht="17.100000000000001" customHeight="1" x14ac:dyDescent="0.2">
      <c r="A21" s="17"/>
      <c r="B21" s="1058"/>
      <c r="C21" s="1068"/>
      <c r="D21" s="17"/>
      <c r="E21" s="1294"/>
      <c r="F21" s="1295"/>
      <c r="G21" s="1353"/>
      <c r="H21" s="19"/>
      <c r="I21" s="19"/>
      <c r="J21" s="4712"/>
      <c r="K21" s="4712"/>
      <c r="L21" s="4712"/>
      <c r="M21" s="4712"/>
      <c r="N21" s="4712"/>
      <c r="O21" s="4712"/>
      <c r="P21" s="4712"/>
      <c r="Q21" s="4712"/>
      <c r="R21" s="4712"/>
      <c r="S21" s="4712"/>
      <c r="T21" s="4712"/>
      <c r="U21" s="4712"/>
      <c r="X21" s="4707"/>
      <c r="Y21" s="4707"/>
      <c r="Z21" s="19"/>
      <c r="AA21" s="4708"/>
      <c r="AB21" s="4708"/>
      <c r="AC21" s="4708"/>
      <c r="AD21" s="4708"/>
      <c r="AE21" s="4708"/>
      <c r="AF21" s="4708"/>
      <c r="AG21" s="4708"/>
      <c r="AH21" s="4708"/>
      <c r="AI21" s="4708"/>
      <c r="AJ21" s="4709"/>
      <c r="AK21" s="4709"/>
      <c r="AL21" s="4709"/>
      <c r="AM21" s="1367"/>
      <c r="AN21" s="1367"/>
      <c r="AO21" s="1367"/>
      <c r="AP21" s="4708"/>
      <c r="AQ21" s="4708"/>
      <c r="AR21" s="4708"/>
      <c r="AS21" s="4708"/>
      <c r="AT21" s="4708"/>
      <c r="AU21" s="4708"/>
      <c r="AV21" s="4708"/>
      <c r="AW21" s="4708"/>
      <c r="AX21" s="4708"/>
      <c r="AY21" s="4709"/>
      <c r="AZ21" s="4709"/>
      <c r="BA21" s="4709"/>
      <c r="BB21" s="19"/>
      <c r="BC21" s="4702"/>
      <c r="BD21" s="4702"/>
      <c r="BE21" s="813"/>
      <c r="BF21" s="813"/>
      <c r="BG21" s="4713"/>
      <c r="BH21" s="4713"/>
      <c r="BI21" s="4713"/>
      <c r="BJ21" s="4713"/>
      <c r="BK21" s="4713"/>
      <c r="BL21" s="4713"/>
      <c r="BM21" s="4713"/>
      <c r="BN21" s="4713"/>
      <c r="BO21" s="4713"/>
      <c r="BP21" s="4713"/>
      <c r="BQ21" s="4713"/>
      <c r="BR21" s="4713"/>
      <c r="BS21" s="19"/>
      <c r="BT21" s="418"/>
      <c r="BU21" s="1354"/>
      <c r="BV21" s="1184"/>
      <c r="BW21" s="616"/>
      <c r="BX21" s="605"/>
      <c r="BY21" s="605"/>
      <c r="BZ21" s="1058"/>
      <c r="CA21" s="17"/>
      <c r="CB21" s="19"/>
      <c r="CC21" s="335" t="s">
        <v>827</v>
      </c>
    </row>
    <row r="22" spans="1:81" ht="17.100000000000001" customHeight="1" x14ac:dyDescent="0.2">
      <c r="A22" s="17"/>
      <c r="B22" s="1058"/>
      <c r="C22" s="17"/>
      <c r="D22" s="17"/>
      <c r="E22" s="1294"/>
      <c r="F22" s="1295"/>
      <c r="G22" s="1353"/>
      <c r="H22" s="19"/>
      <c r="I22" s="19"/>
      <c r="J22" s="1313"/>
      <c r="K22" s="1313"/>
      <c r="L22" s="1313"/>
      <c r="M22" s="1313"/>
      <c r="N22" s="1313"/>
      <c r="O22" s="1313"/>
      <c r="P22" s="1313"/>
      <c r="Q22" s="1313"/>
      <c r="R22" s="1313"/>
      <c r="S22" s="1313"/>
      <c r="T22" s="1313"/>
      <c r="U22" s="1313"/>
      <c r="X22" s="4707"/>
      <c r="Y22" s="4707"/>
      <c r="Z22" s="19"/>
      <c r="AA22" s="4708"/>
      <c r="AB22" s="4708"/>
      <c r="AC22" s="4708"/>
      <c r="AD22" s="4708"/>
      <c r="AE22" s="4708"/>
      <c r="AF22" s="4708"/>
      <c r="AG22" s="4708"/>
      <c r="AH22" s="4708"/>
      <c r="AI22" s="4708"/>
      <c r="AJ22" s="4709"/>
      <c r="AK22" s="4709"/>
      <c r="AL22" s="4709"/>
      <c r="AM22" s="1367"/>
      <c r="AN22" s="1367"/>
      <c r="AO22" s="1367"/>
      <c r="AP22" s="4708"/>
      <c r="AQ22" s="4708"/>
      <c r="AR22" s="4708"/>
      <c r="AS22" s="4708"/>
      <c r="AT22" s="4708"/>
      <c r="AU22" s="4708"/>
      <c r="AV22" s="4708"/>
      <c r="AW22" s="4708"/>
      <c r="AX22" s="4708"/>
      <c r="AY22" s="4709"/>
      <c r="AZ22" s="4709"/>
      <c r="BA22" s="4709"/>
      <c r="BB22" s="19"/>
      <c r="BC22" s="4702"/>
      <c r="BD22" s="4702"/>
      <c r="BE22" s="813"/>
      <c r="BF22" s="813"/>
      <c r="BG22" s="1313"/>
      <c r="BH22" s="1313"/>
      <c r="BI22" s="1313"/>
      <c r="BJ22" s="1313"/>
      <c r="BK22" s="1313"/>
      <c r="BL22" s="1313"/>
      <c r="BM22" s="1313"/>
      <c r="BN22" s="1313"/>
      <c r="BO22" s="1313"/>
      <c r="BP22" s="1313"/>
      <c r="BQ22" s="1313"/>
      <c r="BR22" s="1313"/>
      <c r="BS22" s="19"/>
      <c r="BT22" s="418"/>
      <c r="BU22" s="1354"/>
      <c r="BV22" s="1184"/>
      <c r="BW22" s="616"/>
      <c r="BX22" s="605"/>
      <c r="BY22" s="605"/>
      <c r="BZ22" s="1058"/>
      <c r="CA22" s="17"/>
      <c r="CB22" s="19"/>
      <c r="CC22" s="335" t="s">
        <v>828</v>
      </c>
    </row>
    <row r="23" spans="1:81" ht="17.100000000000001" customHeight="1" x14ac:dyDescent="0.2">
      <c r="A23" s="17"/>
      <c r="B23" s="1058"/>
      <c r="C23" s="1069"/>
      <c r="D23" s="17"/>
      <c r="E23" s="1294"/>
      <c r="F23" s="1295"/>
      <c r="G23" s="1353"/>
      <c r="H23" s="19"/>
      <c r="I23" s="19"/>
      <c r="J23" s="4708" t="s">
        <v>957</v>
      </c>
      <c r="K23" s="4708"/>
      <c r="L23" s="4708"/>
      <c r="M23" s="4708"/>
      <c r="N23" s="4708"/>
      <c r="O23" s="4708"/>
      <c r="P23" s="4708"/>
      <c r="Q23" s="4708"/>
      <c r="R23" s="1307" t="s">
        <v>956</v>
      </c>
      <c r="S23" s="1307"/>
      <c r="T23" s="4711">
        <f>SUM(J24:U25)</f>
        <v>0</v>
      </c>
      <c r="U23" s="4711"/>
      <c r="X23" s="4707"/>
      <c r="Y23" s="4707"/>
      <c r="Z23" s="19"/>
      <c r="AA23" s="4708"/>
      <c r="AB23" s="4708"/>
      <c r="AC23" s="4708"/>
      <c r="AD23" s="4708"/>
      <c r="AE23" s="4708"/>
      <c r="AF23" s="4708"/>
      <c r="AG23" s="4708"/>
      <c r="AH23" s="4708"/>
      <c r="AI23" s="4708"/>
      <c r="AJ23" s="4709"/>
      <c r="AK23" s="4709"/>
      <c r="AL23" s="4709"/>
      <c r="AM23" s="1367"/>
      <c r="AN23" s="1367"/>
      <c r="AO23" s="1367"/>
      <c r="AP23" s="4708"/>
      <c r="AQ23" s="4708"/>
      <c r="AR23" s="4708"/>
      <c r="AS23" s="4708"/>
      <c r="AT23" s="4708"/>
      <c r="AU23" s="4708"/>
      <c r="AV23" s="4708"/>
      <c r="AW23" s="4708"/>
      <c r="AX23" s="4708"/>
      <c r="AY23" s="4709"/>
      <c r="AZ23" s="4709"/>
      <c r="BA23" s="4709"/>
      <c r="BB23" s="19"/>
      <c r="BC23" s="4702"/>
      <c r="BD23" s="4702"/>
      <c r="BE23" s="813"/>
      <c r="BF23" s="813"/>
      <c r="BG23" s="4708" t="s">
        <v>959</v>
      </c>
      <c r="BH23" s="4708"/>
      <c r="BI23" s="4708"/>
      <c r="BJ23" s="4708"/>
      <c r="BK23" s="4708"/>
      <c r="BL23" s="4708"/>
      <c r="BM23" s="4708"/>
      <c r="BN23" s="4708"/>
      <c r="BO23" s="1307" t="s">
        <v>956</v>
      </c>
      <c r="BP23" s="1307"/>
      <c r="BQ23" s="4711">
        <f>SUM(BG24:BR25)</f>
        <v>0</v>
      </c>
      <c r="BR23" s="4711"/>
      <c r="BS23" s="19"/>
      <c r="BT23" s="418"/>
      <c r="BU23" s="1354"/>
      <c r="BV23" s="1184"/>
      <c r="BW23" s="616"/>
      <c r="BX23" s="605"/>
      <c r="BY23" s="605"/>
      <c r="BZ23" s="1058"/>
      <c r="CA23" s="17"/>
      <c r="CB23" s="19"/>
      <c r="CC23" s="335" t="s">
        <v>829</v>
      </c>
    </row>
    <row r="24" spans="1:81" ht="17.100000000000001" customHeight="1" x14ac:dyDescent="0.2">
      <c r="A24" s="17"/>
      <c r="B24" s="1058"/>
      <c r="C24" s="17"/>
      <c r="D24" s="17"/>
      <c r="E24" s="1294"/>
      <c r="F24" s="1295"/>
      <c r="G24" s="1353"/>
      <c r="H24" s="19"/>
      <c r="I24" s="19"/>
      <c r="J24" s="4712"/>
      <c r="K24" s="4712"/>
      <c r="L24" s="4712"/>
      <c r="M24" s="4712"/>
      <c r="N24" s="4712"/>
      <c r="O24" s="4712"/>
      <c r="P24" s="4712"/>
      <c r="Q24" s="4712"/>
      <c r="R24" s="4712"/>
      <c r="S24" s="4712"/>
      <c r="T24" s="4712"/>
      <c r="U24" s="4712"/>
      <c r="X24" s="4707"/>
      <c r="Y24" s="4707"/>
      <c r="Z24" s="19"/>
      <c r="AA24" s="4708"/>
      <c r="AB24" s="4708"/>
      <c r="AC24" s="4708"/>
      <c r="AD24" s="4708"/>
      <c r="AE24" s="4708"/>
      <c r="AF24" s="4708"/>
      <c r="AG24" s="4708"/>
      <c r="AH24" s="4708"/>
      <c r="AI24" s="4708"/>
      <c r="AJ24" s="4709"/>
      <c r="AK24" s="4709"/>
      <c r="AL24" s="4709"/>
      <c r="AM24" s="1367"/>
      <c r="AN24" s="1367"/>
      <c r="AO24" s="1367"/>
      <c r="AP24" s="4708"/>
      <c r="AQ24" s="4708"/>
      <c r="AR24" s="4708"/>
      <c r="AS24" s="4708"/>
      <c r="AT24" s="4708"/>
      <c r="AU24" s="4708"/>
      <c r="AV24" s="4708"/>
      <c r="AW24" s="4708"/>
      <c r="AX24" s="4708"/>
      <c r="AY24" s="4709"/>
      <c r="AZ24" s="4709"/>
      <c r="BA24" s="4709"/>
      <c r="BB24" s="19"/>
      <c r="BC24" s="4702"/>
      <c r="BD24" s="4702"/>
      <c r="BE24" s="813"/>
      <c r="BF24" s="813"/>
      <c r="BG24" s="4712"/>
      <c r="BH24" s="4712"/>
      <c r="BI24" s="4712"/>
      <c r="BJ24" s="4712"/>
      <c r="BK24" s="4712"/>
      <c r="BL24" s="4712"/>
      <c r="BM24" s="4712"/>
      <c r="BN24" s="4712"/>
      <c r="BO24" s="4712"/>
      <c r="BP24" s="4712"/>
      <c r="BQ24" s="4712"/>
      <c r="BR24" s="4712"/>
      <c r="BS24" s="19"/>
      <c r="BT24" s="418"/>
      <c r="BU24" s="1354"/>
      <c r="BV24" s="1184"/>
      <c r="BW24" s="616"/>
      <c r="BX24" s="605"/>
      <c r="BY24" s="605"/>
      <c r="BZ24" s="1058"/>
      <c r="CA24" s="17"/>
      <c r="CB24" s="19"/>
      <c r="CC24" s="335" t="s">
        <v>830</v>
      </c>
    </row>
    <row r="25" spans="1:81" ht="17.100000000000001" customHeight="1" x14ac:dyDescent="0.35">
      <c r="A25" s="17"/>
      <c r="B25" s="1058"/>
      <c r="C25" s="1062"/>
      <c r="D25" s="17"/>
      <c r="E25" s="1294"/>
      <c r="F25" s="1295"/>
      <c r="G25" s="1353"/>
      <c r="H25" s="19"/>
      <c r="I25" s="19"/>
      <c r="J25" s="4712"/>
      <c r="K25" s="4712"/>
      <c r="L25" s="4712"/>
      <c r="M25" s="4712"/>
      <c r="N25" s="4712"/>
      <c r="O25" s="4712"/>
      <c r="P25" s="4712"/>
      <c r="Q25" s="4712"/>
      <c r="R25" s="4712"/>
      <c r="S25" s="4712"/>
      <c r="T25" s="4712"/>
      <c r="U25" s="4712"/>
      <c r="X25" s="4707"/>
      <c r="Y25" s="4707"/>
      <c r="Z25" s="19"/>
      <c r="AA25" s="4708"/>
      <c r="AB25" s="4708"/>
      <c r="AC25" s="4708"/>
      <c r="AD25" s="4708"/>
      <c r="AE25" s="4708"/>
      <c r="AF25" s="4708"/>
      <c r="AG25" s="4708"/>
      <c r="AH25" s="4708"/>
      <c r="AI25" s="4708"/>
      <c r="AJ25" s="4709"/>
      <c r="AK25" s="4709"/>
      <c r="AL25" s="4709"/>
      <c r="AM25" s="1369"/>
      <c r="AN25" s="1367"/>
      <c r="AO25" s="1367"/>
      <c r="AP25" s="4708"/>
      <c r="AQ25" s="4708"/>
      <c r="AR25" s="4708"/>
      <c r="AS25" s="4708"/>
      <c r="AT25" s="4708"/>
      <c r="AU25" s="4708"/>
      <c r="AV25" s="4708"/>
      <c r="AW25" s="4708"/>
      <c r="AX25" s="4708"/>
      <c r="AY25" s="4709"/>
      <c r="AZ25" s="4709"/>
      <c r="BA25" s="4709"/>
      <c r="BB25" s="19"/>
      <c r="BC25" s="4702"/>
      <c r="BD25" s="4702"/>
      <c r="BE25" s="813"/>
      <c r="BF25" s="813"/>
      <c r="BG25" s="4712"/>
      <c r="BH25" s="4712"/>
      <c r="BI25" s="4712"/>
      <c r="BJ25" s="4712"/>
      <c r="BK25" s="4712"/>
      <c r="BL25" s="4712"/>
      <c r="BM25" s="4712"/>
      <c r="BN25" s="4712"/>
      <c r="BO25" s="4712"/>
      <c r="BP25" s="4712"/>
      <c r="BQ25" s="4712"/>
      <c r="BR25" s="4712"/>
      <c r="BS25" s="19"/>
      <c r="BT25" s="418"/>
      <c r="BU25" s="1354"/>
      <c r="BV25" s="1184"/>
      <c r="BW25" s="616"/>
      <c r="BX25" s="605"/>
      <c r="BY25" s="605"/>
      <c r="BZ25" s="1058"/>
      <c r="CA25" s="17"/>
      <c r="CB25" s="19"/>
      <c r="CC25" s="335" t="s">
        <v>831</v>
      </c>
    </row>
    <row r="26" spans="1:81" ht="17.100000000000001" customHeight="1" x14ac:dyDescent="0.35">
      <c r="A26" s="17"/>
      <c r="B26" s="1058"/>
      <c r="C26" s="1062"/>
      <c r="D26" s="17"/>
      <c r="E26" s="1294"/>
      <c r="F26" s="1295"/>
      <c r="G26" s="1353"/>
      <c r="H26" s="19"/>
      <c r="I26" s="19"/>
      <c r="J26" s="1313"/>
      <c r="K26" s="1313"/>
      <c r="L26" s="1313"/>
      <c r="M26" s="1313"/>
      <c r="N26" s="1313"/>
      <c r="O26" s="1313"/>
      <c r="P26" s="1313"/>
      <c r="Q26" s="1313"/>
      <c r="R26" s="1313"/>
      <c r="S26" s="1313"/>
      <c r="T26" s="1313"/>
      <c r="U26" s="1313"/>
      <c r="X26" s="4707"/>
      <c r="Y26" s="4707"/>
      <c r="Z26" s="19"/>
      <c r="AA26" s="4708"/>
      <c r="AB26" s="4708"/>
      <c r="AC26" s="4708"/>
      <c r="AD26" s="4708"/>
      <c r="AE26" s="4708"/>
      <c r="AF26" s="4708"/>
      <c r="AG26" s="4708"/>
      <c r="AH26" s="4708"/>
      <c r="AI26" s="4708"/>
      <c r="AJ26" s="4709"/>
      <c r="AK26" s="4709"/>
      <c r="AL26" s="4709"/>
      <c r="AM26" s="1367"/>
      <c r="AN26" s="1367"/>
      <c r="AO26" s="1367"/>
      <c r="AP26" s="4708"/>
      <c r="AQ26" s="4708"/>
      <c r="AR26" s="4708"/>
      <c r="AS26" s="4708"/>
      <c r="AT26" s="4708"/>
      <c r="AU26" s="4708"/>
      <c r="AV26" s="4708"/>
      <c r="AW26" s="4708"/>
      <c r="AX26" s="4708"/>
      <c r="AY26" s="4709"/>
      <c r="AZ26" s="4709"/>
      <c r="BA26" s="4709"/>
      <c r="BB26" s="19"/>
      <c r="BC26" s="4702"/>
      <c r="BD26" s="4702"/>
      <c r="BE26" s="813"/>
      <c r="BF26" s="813"/>
      <c r="BG26" s="1313"/>
      <c r="BH26" s="1313"/>
      <c r="BI26" s="1313"/>
      <c r="BJ26" s="1313"/>
      <c r="BK26" s="1313"/>
      <c r="BL26" s="1313"/>
      <c r="BM26" s="1313"/>
      <c r="BN26" s="1313"/>
      <c r="BO26" s="1313"/>
      <c r="BP26" s="1313"/>
      <c r="BQ26" s="1313"/>
      <c r="BR26" s="1313"/>
      <c r="BS26" s="19"/>
      <c r="BT26" s="418"/>
      <c r="BU26" s="1354"/>
      <c r="BV26" s="1184"/>
      <c r="BW26" s="616"/>
      <c r="BX26" s="605"/>
      <c r="BY26" s="605"/>
      <c r="BZ26" s="1058"/>
      <c r="CA26" s="17"/>
      <c r="CB26" s="19"/>
      <c r="CC26" s="335" t="s">
        <v>162</v>
      </c>
    </row>
    <row r="27" spans="1:81" ht="17.100000000000001" customHeight="1" x14ac:dyDescent="0.2">
      <c r="A27" s="17"/>
      <c r="B27" s="1058"/>
      <c r="C27" s="17"/>
      <c r="D27" s="17"/>
      <c r="E27" s="1294"/>
      <c r="F27" s="1295"/>
      <c r="G27" s="1353"/>
      <c r="H27" s="19"/>
      <c r="I27" s="19"/>
      <c r="J27" s="4708" t="s">
        <v>470</v>
      </c>
      <c r="K27" s="4708"/>
      <c r="L27" s="4708"/>
      <c r="M27" s="4708"/>
      <c r="N27" s="4708"/>
      <c r="O27" s="4708"/>
      <c r="P27" s="4708"/>
      <c r="Q27" s="4708"/>
      <c r="R27" s="1307" t="s">
        <v>956</v>
      </c>
      <c r="S27" s="1307"/>
      <c r="T27" s="4711">
        <f>SUM(M29:N31,T29:U31)</f>
        <v>0</v>
      </c>
      <c r="U27" s="4711"/>
      <c r="X27" s="4710"/>
      <c r="Y27" s="4707"/>
      <c r="Z27" s="19"/>
      <c r="AA27" s="4708"/>
      <c r="AB27" s="4708"/>
      <c r="AC27" s="4708"/>
      <c r="AD27" s="4708"/>
      <c r="AE27" s="4708"/>
      <c r="AF27" s="4708"/>
      <c r="AG27" s="4708"/>
      <c r="AH27" s="4708"/>
      <c r="AI27" s="4708"/>
      <c r="AJ27" s="4709"/>
      <c r="AK27" s="4709"/>
      <c r="AL27" s="4709"/>
      <c r="AM27" s="1367"/>
      <c r="AN27" s="1367"/>
      <c r="AO27" s="1367"/>
      <c r="AP27" s="4708"/>
      <c r="AQ27" s="4708"/>
      <c r="AR27" s="4708"/>
      <c r="AS27" s="4708"/>
      <c r="AT27" s="4708"/>
      <c r="AU27" s="4708"/>
      <c r="AV27" s="4708"/>
      <c r="AW27" s="4708"/>
      <c r="AX27" s="4708"/>
      <c r="AY27" s="4709"/>
      <c r="AZ27" s="4709"/>
      <c r="BA27" s="4709"/>
      <c r="BB27" s="19"/>
      <c r="BC27" s="4702"/>
      <c r="BD27" s="4702"/>
      <c r="BE27" s="813"/>
      <c r="BF27" s="813"/>
      <c r="BG27" s="4708" t="s">
        <v>470</v>
      </c>
      <c r="BH27" s="4708"/>
      <c r="BI27" s="4708"/>
      <c r="BJ27" s="4708"/>
      <c r="BK27" s="4708"/>
      <c r="BL27" s="4708"/>
      <c r="BM27" s="4708"/>
      <c r="BN27" s="4708"/>
      <c r="BO27" s="1307" t="s">
        <v>956</v>
      </c>
      <c r="BP27" s="1307"/>
      <c r="BQ27" s="4711">
        <f>SUM(BJ29:BK31,BQ29:BR31)</f>
        <v>0</v>
      </c>
      <c r="BR27" s="4711"/>
      <c r="BS27" s="19"/>
      <c r="BT27" s="418"/>
      <c r="BU27" s="1354"/>
      <c r="BV27" s="1184"/>
      <c r="BW27" s="616"/>
      <c r="BX27" s="605"/>
      <c r="BY27" s="605"/>
      <c r="BZ27" s="1058"/>
      <c r="CA27" s="17"/>
      <c r="CB27" s="19"/>
      <c r="CC27" s="335" t="s">
        <v>832</v>
      </c>
    </row>
    <row r="28" spans="1:81" ht="17.100000000000001" customHeight="1" x14ac:dyDescent="0.2">
      <c r="A28" s="17"/>
      <c r="B28" s="1058"/>
      <c r="C28" s="1070"/>
      <c r="D28" s="17"/>
      <c r="E28" s="1294"/>
      <c r="F28" s="1295"/>
      <c r="G28" s="1353"/>
      <c r="H28" s="19"/>
      <c r="I28" s="19"/>
      <c r="J28" s="1305" t="s">
        <v>840</v>
      </c>
      <c r="K28" s="1305"/>
      <c r="L28" s="1305"/>
      <c r="M28" s="1305"/>
      <c r="N28" s="1306" t="s">
        <v>841</v>
      </c>
      <c r="O28" s="1305"/>
      <c r="P28" s="1305"/>
      <c r="Q28" s="1305" t="s">
        <v>840</v>
      </c>
      <c r="R28" s="1305"/>
      <c r="S28" s="1305"/>
      <c r="T28" s="1305"/>
      <c r="U28" s="1306" t="s">
        <v>841</v>
      </c>
      <c r="X28" s="4710"/>
      <c r="Y28" s="4707"/>
      <c r="Z28" s="19"/>
      <c r="AA28" s="4708"/>
      <c r="AB28" s="4708"/>
      <c r="AC28" s="4708"/>
      <c r="AD28" s="4708"/>
      <c r="AE28" s="4708"/>
      <c r="AF28" s="4708"/>
      <c r="AG28" s="4708"/>
      <c r="AH28" s="4708"/>
      <c r="AI28" s="4708"/>
      <c r="AJ28" s="4709"/>
      <c r="AK28" s="4709"/>
      <c r="AL28" s="4709"/>
      <c r="AM28" s="1367"/>
      <c r="AN28" s="1367"/>
      <c r="AO28" s="1367"/>
      <c r="AP28" s="4708"/>
      <c r="AQ28" s="4708"/>
      <c r="AR28" s="4708"/>
      <c r="AS28" s="4708"/>
      <c r="AT28" s="4708"/>
      <c r="AU28" s="4708"/>
      <c r="AV28" s="4708"/>
      <c r="AW28" s="4708"/>
      <c r="AX28" s="4708"/>
      <c r="AY28" s="4709"/>
      <c r="AZ28" s="4709"/>
      <c r="BA28" s="4709"/>
      <c r="BB28" s="19"/>
      <c r="BC28" s="4702"/>
      <c r="BD28" s="4702"/>
      <c r="BE28" s="813"/>
      <c r="BF28" s="813"/>
      <c r="BG28" s="1305" t="s">
        <v>840</v>
      </c>
      <c r="BH28" s="1305"/>
      <c r="BI28" s="1305"/>
      <c r="BJ28" s="1305"/>
      <c r="BK28" s="1306" t="s">
        <v>841</v>
      </c>
      <c r="BL28" s="1305"/>
      <c r="BM28" s="1305"/>
      <c r="BN28" s="1305" t="s">
        <v>840</v>
      </c>
      <c r="BO28" s="1305"/>
      <c r="BP28" s="1305"/>
      <c r="BQ28" s="1305"/>
      <c r="BR28" s="1306" t="s">
        <v>841</v>
      </c>
      <c r="BS28" s="19"/>
      <c r="BT28" s="418"/>
      <c r="BU28" s="1354"/>
      <c r="BV28" s="1184"/>
      <c r="BW28" s="616"/>
      <c r="BX28" s="605"/>
      <c r="BY28" s="605"/>
      <c r="BZ28" s="1058"/>
      <c r="CA28" s="17"/>
      <c r="CB28" s="19"/>
      <c r="CC28" s="335" t="s">
        <v>833</v>
      </c>
    </row>
    <row r="29" spans="1:81" ht="17.100000000000001" customHeight="1" x14ac:dyDescent="0.2">
      <c r="A29" s="17"/>
      <c r="B29" s="1058"/>
      <c r="C29" s="17"/>
      <c r="D29" s="17"/>
      <c r="E29" s="1294"/>
      <c r="F29" s="1295"/>
      <c r="G29" s="1353"/>
      <c r="H29" s="19"/>
      <c r="I29" s="19"/>
      <c r="J29" s="4703"/>
      <c r="K29" s="4703"/>
      <c r="L29" s="4703"/>
      <c r="M29" s="4704"/>
      <c r="N29" s="4704"/>
      <c r="O29" s="1074"/>
      <c r="P29" s="1074"/>
      <c r="Q29" s="4703"/>
      <c r="R29" s="4703"/>
      <c r="S29" s="4703"/>
      <c r="T29" s="4704"/>
      <c r="U29" s="4704"/>
      <c r="X29" s="4710"/>
      <c r="Y29" s="4707"/>
      <c r="Z29" s="19"/>
      <c r="AA29" s="4708"/>
      <c r="AB29" s="4708"/>
      <c r="AC29" s="4708"/>
      <c r="AD29" s="4708"/>
      <c r="AE29" s="4708"/>
      <c r="AF29" s="4708"/>
      <c r="AG29" s="4708"/>
      <c r="AH29" s="4708"/>
      <c r="AI29" s="4708"/>
      <c r="AJ29" s="4709"/>
      <c r="AK29" s="4709"/>
      <c r="AL29" s="4709"/>
      <c r="AM29" s="1367"/>
      <c r="AN29" s="1367"/>
      <c r="AO29" s="1367"/>
      <c r="AP29" s="4708"/>
      <c r="AQ29" s="4708"/>
      <c r="AR29" s="4708"/>
      <c r="AS29" s="4708"/>
      <c r="AT29" s="4708"/>
      <c r="AU29" s="4708"/>
      <c r="AV29" s="4708"/>
      <c r="AW29" s="4708"/>
      <c r="AX29" s="4708"/>
      <c r="AY29" s="4709"/>
      <c r="AZ29" s="4709"/>
      <c r="BA29" s="4709"/>
      <c r="BB29" s="19"/>
      <c r="BC29" s="4702"/>
      <c r="BD29" s="4702"/>
      <c r="BE29" s="813"/>
      <c r="BF29" s="813"/>
      <c r="BG29" s="4703"/>
      <c r="BH29" s="4703"/>
      <c r="BI29" s="4703"/>
      <c r="BJ29" s="4704"/>
      <c r="BK29" s="4704"/>
      <c r="BL29" s="1074"/>
      <c r="BM29" s="1074"/>
      <c r="BN29" s="4703"/>
      <c r="BO29" s="4703"/>
      <c r="BP29" s="4703"/>
      <c r="BQ29" s="4704"/>
      <c r="BR29" s="4704"/>
      <c r="BS29" s="19"/>
      <c r="BT29" s="418"/>
      <c r="BU29" s="1354"/>
      <c r="BV29" s="1184"/>
      <c r="BW29" s="616"/>
      <c r="BX29" s="605"/>
      <c r="BY29" s="605"/>
      <c r="BZ29" s="1058"/>
      <c r="CA29" s="17"/>
      <c r="CB29" s="19"/>
      <c r="CC29" s="335" t="s">
        <v>834</v>
      </c>
    </row>
    <row r="30" spans="1:81" ht="17.100000000000001" customHeight="1" x14ac:dyDescent="0.2">
      <c r="A30" s="17"/>
      <c r="B30" s="1058"/>
      <c r="C30" s="1071"/>
      <c r="D30" s="17"/>
      <c r="E30" s="1294"/>
      <c r="F30" s="1295"/>
      <c r="G30" s="1353"/>
      <c r="H30" s="19"/>
      <c r="I30" s="19"/>
      <c r="J30" s="4703"/>
      <c r="K30" s="4703"/>
      <c r="L30" s="4703"/>
      <c r="M30" s="4704"/>
      <c r="N30" s="4704"/>
      <c r="O30" s="1074"/>
      <c r="P30" s="1074"/>
      <c r="Q30" s="4703"/>
      <c r="R30" s="4703"/>
      <c r="S30" s="4703"/>
      <c r="T30" s="4704"/>
      <c r="U30" s="4704"/>
      <c r="X30" s="4710"/>
      <c r="Y30" s="4707"/>
      <c r="Z30" s="19"/>
      <c r="AA30" s="4708"/>
      <c r="AB30" s="4708"/>
      <c r="AC30" s="4708"/>
      <c r="AD30" s="4708"/>
      <c r="AE30" s="4708"/>
      <c r="AF30" s="4708"/>
      <c r="AG30" s="4708"/>
      <c r="AH30" s="4708"/>
      <c r="AI30" s="4708"/>
      <c r="AJ30" s="4709"/>
      <c r="AK30" s="4709"/>
      <c r="AL30" s="4709"/>
      <c r="AM30" s="1367"/>
      <c r="AN30" s="1367"/>
      <c r="AO30" s="1367"/>
      <c r="AP30" s="4708"/>
      <c r="AQ30" s="4708"/>
      <c r="AR30" s="4708"/>
      <c r="AS30" s="4708"/>
      <c r="AT30" s="4708"/>
      <c r="AU30" s="4708"/>
      <c r="AV30" s="4708"/>
      <c r="AW30" s="4708"/>
      <c r="AX30" s="4708"/>
      <c r="AY30" s="4709"/>
      <c r="AZ30" s="4709"/>
      <c r="BA30" s="4709"/>
      <c r="BB30" s="19"/>
      <c r="BC30" s="4702"/>
      <c r="BD30" s="4702"/>
      <c r="BE30" s="813"/>
      <c r="BF30" s="813"/>
      <c r="BG30" s="4703"/>
      <c r="BH30" s="4703"/>
      <c r="BI30" s="4703"/>
      <c r="BJ30" s="4704"/>
      <c r="BK30" s="4704"/>
      <c r="BL30" s="1074"/>
      <c r="BM30" s="1074"/>
      <c r="BN30" s="4703"/>
      <c r="BO30" s="4703"/>
      <c r="BP30" s="4703"/>
      <c r="BQ30" s="4704"/>
      <c r="BR30" s="4704"/>
      <c r="BS30" s="19"/>
      <c r="BT30" s="418"/>
      <c r="BU30" s="1354"/>
      <c r="BV30" s="1184"/>
      <c r="BW30" s="616"/>
      <c r="BX30" s="605"/>
      <c r="BY30" s="605"/>
      <c r="BZ30" s="1058"/>
      <c r="CA30" s="17"/>
      <c r="CB30" s="19"/>
      <c r="CC30" s="335" t="s">
        <v>835</v>
      </c>
    </row>
    <row r="31" spans="1:81" ht="17.100000000000001" customHeight="1" x14ac:dyDescent="0.2">
      <c r="A31" s="17"/>
      <c r="B31" s="1058"/>
      <c r="C31" s="17"/>
      <c r="D31" s="17"/>
      <c r="E31" s="1294"/>
      <c r="F31" s="1295"/>
      <c r="G31" s="1353"/>
      <c r="H31" s="19"/>
      <c r="I31" s="19"/>
      <c r="J31" s="4703"/>
      <c r="K31" s="4703"/>
      <c r="L31" s="4703"/>
      <c r="M31" s="4704"/>
      <c r="N31" s="4704"/>
      <c r="O31" s="1074"/>
      <c r="P31" s="1074"/>
      <c r="Q31" s="4703"/>
      <c r="R31" s="4703"/>
      <c r="S31" s="4703"/>
      <c r="T31" s="4704"/>
      <c r="U31" s="4704"/>
      <c r="X31" s="4707"/>
      <c r="Y31" s="4707"/>
      <c r="Z31" s="19"/>
      <c r="AA31" s="4708"/>
      <c r="AB31" s="4708"/>
      <c r="AC31" s="4708"/>
      <c r="AD31" s="4708"/>
      <c r="AE31" s="4708"/>
      <c r="AF31" s="4708"/>
      <c r="AG31" s="4708"/>
      <c r="AH31" s="4708"/>
      <c r="AI31" s="4708"/>
      <c r="AJ31" s="4709"/>
      <c r="AK31" s="4709"/>
      <c r="AL31" s="4709"/>
      <c r="AM31" s="1367"/>
      <c r="AN31" s="1367"/>
      <c r="AO31" s="1367"/>
      <c r="AP31" s="4708"/>
      <c r="AQ31" s="4708"/>
      <c r="AR31" s="4708"/>
      <c r="AS31" s="4708"/>
      <c r="AT31" s="4708"/>
      <c r="AU31" s="4708"/>
      <c r="AV31" s="4708"/>
      <c r="AW31" s="4708"/>
      <c r="AX31" s="4708"/>
      <c r="AY31" s="4709"/>
      <c r="AZ31" s="4709"/>
      <c r="BA31" s="4709"/>
      <c r="BB31" s="19"/>
      <c r="BC31" s="4702"/>
      <c r="BD31" s="4702"/>
      <c r="BE31" s="813"/>
      <c r="BF31" s="813"/>
      <c r="BG31" s="4703"/>
      <c r="BH31" s="4703"/>
      <c r="BI31" s="4703"/>
      <c r="BJ31" s="4704"/>
      <c r="BK31" s="4704"/>
      <c r="BL31" s="1074"/>
      <c r="BM31" s="1074"/>
      <c r="BN31" s="4703"/>
      <c r="BO31" s="4703"/>
      <c r="BP31" s="4703"/>
      <c r="BQ31" s="4704"/>
      <c r="BR31" s="4704"/>
      <c r="BS31" s="19"/>
      <c r="BT31" s="418"/>
      <c r="BU31" s="1354"/>
      <c r="BV31" s="1184"/>
      <c r="BW31" s="616"/>
      <c r="BX31" s="605"/>
      <c r="BY31" s="605"/>
      <c r="BZ31" s="1058"/>
      <c r="CA31" s="17"/>
      <c r="CB31" s="19"/>
      <c r="CC31" s="335" t="s">
        <v>836</v>
      </c>
    </row>
    <row r="32" spans="1:81" ht="17.100000000000001" customHeight="1" thickBot="1" x14ac:dyDescent="0.25">
      <c r="A32" s="17"/>
      <c r="B32" s="1058"/>
      <c r="C32" s="1072"/>
      <c r="D32" s="17"/>
      <c r="E32" s="1294"/>
      <c r="F32" s="1295"/>
      <c r="G32" s="1355"/>
      <c r="H32" s="4734"/>
      <c r="I32" s="4734"/>
      <c r="J32" s="4734"/>
      <c r="K32" s="4735"/>
      <c r="L32" s="4735"/>
      <c r="M32" s="1356"/>
      <c r="N32" s="1357"/>
      <c r="O32" s="4734"/>
      <c r="P32" s="4734"/>
      <c r="Q32" s="4734"/>
      <c r="R32" s="4735"/>
      <c r="S32" s="4735"/>
      <c r="T32" s="1358"/>
      <c r="U32" s="1359"/>
      <c r="V32" s="1359"/>
      <c r="W32" s="1359"/>
      <c r="X32" s="1360"/>
      <c r="Y32" s="1360"/>
      <c r="Z32" s="1361"/>
      <c r="AA32" s="1362"/>
      <c r="AB32" s="1362"/>
      <c r="AC32" s="1362"/>
      <c r="AD32" s="1362"/>
      <c r="AE32" s="1362"/>
      <c r="AF32" s="1362"/>
      <c r="AG32" s="1362"/>
      <c r="AH32" s="1362"/>
      <c r="AI32" s="1362"/>
      <c r="AJ32" s="1357"/>
      <c r="AK32" s="1357"/>
      <c r="AL32" s="1357"/>
      <c r="AM32" s="1363"/>
      <c r="AN32" s="1363"/>
      <c r="AO32" s="1363"/>
      <c r="AP32" s="1362"/>
      <c r="AQ32" s="1362"/>
      <c r="AR32" s="1362"/>
      <c r="AS32" s="1362"/>
      <c r="AT32" s="1362"/>
      <c r="AU32" s="1362"/>
      <c r="AV32" s="1362"/>
      <c r="AW32" s="1362"/>
      <c r="AX32" s="1362"/>
      <c r="AY32" s="1357"/>
      <c r="AZ32" s="1357"/>
      <c r="BA32" s="1357"/>
      <c r="BB32" s="1361"/>
      <c r="BC32" s="1360"/>
      <c r="BD32" s="1360"/>
      <c r="BE32" s="1363"/>
      <c r="BF32" s="1363"/>
      <c r="BG32" s="1364"/>
      <c r="BH32" s="1364"/>
      <c r="BI32" s="1364"/>
      <c r="BJ32" s="1364"/>
      <c r="BK32" s="1364"/>
      <c r="BL32" s="1364"/>
      <c r="BM32" s="1364"/>
      <c r="BN32" s="1364"/>
      <c r="BO32" s="1364"/>
      <c r="BP32" s="1364"/>
      <c r="BQ32" s="1364"/>
      <c r="BR32" s="1364"/>
      <c r="BS32" s="1364"/>
      <c r="BT32" s="1364"/>
      <c r="BU32" s="1365"/>
      <c r="BV32" s="1184"/>
      <c r="BW32" s="616"/>
      <c r="BX32" s="605"/>
      <c r="BY32" s="605"/>
      <c r="BZ32" s="1058"/>
      <c r="CA32" s="17"/>
      <c r="CB32" s="19"/>
      <c r="CC32" s="335" t="s">
        <v>296</v>
      </c>
    </row>
    <row r="33" spans="1:81" ht="17.100000000000001" customHeight="1" thickTop="1" x14ac:dyDescent="0.2">
      <c r="A33" s="17"/>
      <c r="B33" s="1058"/>
      <c r="C33" s="17"/>
      <c r="D33" s="17"/>
      <c r="E33" s="1294"/>
      <c r="F33" s="1296"/>
      <c r="G33" s="1297"/>
      <c r="H33" s="1297"/>
      <c r="I33" s="1297"/>
      <c r="J33" s="1297"/>
      <c r="K33" s="1297"/>
      <c r="L33" s="1297"/>
      <c r="M33" s="1297"/>
      <c r="N33" s="1297"/>
      <c r="O33" s="1297"/>
      <c r="P33" s="1297"/>
      <c r="Q33" s="1297"/>
      <c r="R33" s="1288"/>
      <c r="S33" s="617"/>
      <c r="T33" s="1289"/>
      <c r="U33" s="1289"/>
      <c r="V33" s="1289"/>
      <c r="W33" s="1289"/>
      <c r="X33" s="1290"/>
      <c r="Y33" s="1289"/>
      <c r="Z33" s="1289"/>
      <c r="AA33" s="1289"/>
      <c r="AB33" s="1291"/>
      <c r="AC33" s="1289"/>
      <c r="AD33" s="1289"/>
      <c r="AE33" s="1289"/>
      <c r="AF33" s="1289"/>
      <c r="AG33" s="1289"/>
      <c r="AH33" s="1289"/>
      <c r="AI33" s="1289"/>
      <c r="AJ33" s="1289"/>
      <c r="AK33" s="1289"/>
      <c r="AL33" s="1289"/>
      <c r="AM33" s="1289"/>
      <c r="AN33" s="1289"/>
      <c r="AO33" s="1289"/>
      <c r="AP33" s="1289"/>
      <c r="AQ33" s="1289"/>
      <c r="AR33" s="1289"/>
      <c r="AS33" s="1289"/>
      <c r="AT33" s="1288"/>
      <c r="AU33" s="1289"/>
      <c r="AV33" s="1289"/>
      <c r="AW33" s="1289"/>
      <c r="AX33" s="1289"/>
      <c r="AY33" s="1289"/>
      <c r="AZ33" s="1289"/>
      <c r="BA33" s="1289"/>
      <c r="BB33" s="1289"/>
      <c r="BC33" s="1289"/>
      <c r="BD33" s="1289"/>
      <c r="BE33" s="1289"/>
      <c r="BF33" s="1289"/>
      <c r="BG33" s="1289"/>
      <c r="BH33" s="1289"/>
      <c r="BI33" s="1289"/>
      <c r="BJ33" s="1289"/>
      <c r="BK33" s="1289"/>
      <c r="BL33" s="1289"/>
      <c r="BM33" s="1289"/>
      <c r="BN33" s="1289"/>
      <c r="BO33" s="1289"/>
      <c r="BP33" s="1289"/>
      <c r="BQ33" s="1289"/>
      <c r="BR33" s="1289"/>
      <c r="BS33" s="1288"/>
      <c r="BT33" s="1288"/>
      <c r="BU33" s="1288"/>
      <c r="BV33" s="617"/>
      <c r="BW33" s="616"/>
      <c r="BX33" s="17"/>
      <c r="BY33" s="17"/>
      <c r="BZ33" s="1058"/>
      <c r="CA33" s="17"/>
      <c r="CB33" s="19"/>
      <c r="CC33" s="335" t="s">
        <v>837</v>
      </c>
    </row>
    <row r="34" spans="1:81" ht="17.100000000000001" customHeight="1" thickBot="1" x14ac:dyDescent="0.25">
      <c r="A34" s="17"/>
      <c r="B34" s="1058"/>
      <c r="C34" s="17"/>
      <c r="D34" s="17"/>
      <c r="E34" s="1298"/>
      <c r="F34" s="1299"/>
      <c r="G34" s="1299"/>
      <c r="H34" s="1299"/>
      <c r="I34" s="1299"/>
      <c r="J34" s="1299"/>
      <c r="K34" s="1299"/>
      <c r="L34" s="1299"/>
      <c r="M34" s="1299"/>
      <c r="N34" s="1299"/>
      <c r="O34" s="1299"/>
      <c r="P34" s="1299"/>
      <c r="Q34" s="1299"/>
      <c r="R34" s="1299"/>
      <c r="S34" s="1299"/>
      <c r="T34" s="1299"/>
      <c r="U34" s="1299"/>
      <c r="V34" s="1299"/>
      <c r="W34" s="1299"/>
      <c r="X34" s="1299"/>
      <c r="Y34" s="1299"/>
      <c r="Z34" s="1299"/>
      <c r="AA34" s="931"/>
      <c r="AB34" s="931"/>
      <c r="AC34" s="4727" t="s">
        <v>961</v>
      </c>
      <c r="AD34" s="4727"/>
      <c r="AE34" s="4727"/>
      <c r="AF34" s="4727"/>
      <c r="AG34" s="4727"/>
      <c r="AH34" s="4727"/>
      <c r="AI34" s="4727"/>
      <c r="AJ34" s="4727"/>
      <c r="AK34" s="4727"/>
      <c r="AL34" s="4727"/>
      <c r="AM34" s="4727"/>
      <c r="AN34" s="4727"/>
      <c r="AO34" s="4727"/>
      <c r="AP34" s="4727"/>
      <c r="AQ34" s="4727"/>
      <c r="AR34" s="4727"/>
      <c r="AS34" s="4727"/>
      <c r="AT34" s="4727"/>
      <c r="AU34" s="4727"/>
      <c r="AV34" s="4727"/>
      <c r="AW34" s="4727"/>
      <c r="AX34" s="4727"/>
      <c r="AY34" s="4727"/>
      <c r="AZ34" s="931"/>
      <c r="BA34" s="931"/>
      <c r="BB34" s="1299"/>
      <c r="BC34" s="1299"/>
      <c r="BD34" s="1299"/>
      <c r="BE34" s="1299"/>
      <c r="BF34" s="1299"/>
      <c r="BG34" s="1299"/>
      <c r="BH34" s="1299"/>
      <c r="BI34" s="1299"/>
      <c r="BJ34" s="1299"/>
      <c r="BK34" s="1299"/>
      <c r="BL34" s="1299"/>
      <c r="BM34" s="1299"/>
      <c r="BN34" s="1299"/>
      <c r="BO34" s="1299"/>
      <c r="BP34" s="1299"/>
      <c r="BQ34" s="1299"/>
      <c r="BR34" s="1299"/>
      <c r="BS34" s="1299"/>
      <c r="BT34" s="1299"/>
      <c r="BU34" s="1299"/>
      <c r="BV34" s="1299"/>
      <c r="BW34" s="1303"/>
      <c r="BX34" s="17"/>
      <c r="BY34" s="640"/>
      <c r="BZ34" s="1073"/>
      <c r="CA34" s="17"/>
      <c r="CB34" s="19"/>
      <c r="CC34" s="335" t="s">
        <v>838</v>
      </c>
    </row>
    <row r="35" spans="1:81" ht="17.100000000000001" customHeight="1" thickTop="1" x14ac:dyDescent="0.2">
      <c r="A35" s="17"/>
      <c r="B35" s="1058"/>
      <c r="C35" s="17"/>
      <c r="D35" s="17"/>
      <c r="E35" s="17"/>
      <c r="F35" s="17"/>
      <c r="G35" s="17"/>
      <c r="H35" s="17"/>
      <c r="I35" s="17"/>
      <c r="J35" s="17"/>
      <c r="K35" s="17"/>
      <c r="L35" s="17"/>
      <c r="M35" s="17"/>
      <c r="N35" s="17"/>
      <c r="O35" s="17"/>
      <c r="P35" s="17"/>
      <c r="Q35" s="17"/>
      <c r="R35" s="17"/>
      <c r="S35" s="17"/>
      <c r="T35" s="17"/>
      <c r="U35" s="17"/>
      <c r="V35" s="17"/>
      <c r="W35" s="17"/>
      <c r="X35" s="17"/>
      <c r="Y35" s="17"/>
      <c r="Z35" s="17"/>
      <c r="AA35" s="1294"/>
      <c r="AB35" s="1296"/>
      <c r="AC35" s="4727"/>
      <c r="AD35" s="4727"/>
      <c r="AE35" s="4727"/>
      <c r="AF35" s="4727"/>
      <c r="AG35" s="4727"/>
      <c r="AH35" s="4727"/>
      <c r="AI35" s="4727"/>
      <c r="AJ35" s="4727"/>
      <c r="AK35" s="4727"/>
      <c r="AL35" s="4727"/>
      <c r="AM35" s="4727"/>
      <c r="AN35" s="4727"/>
      <c r="AO35" s="4727"/>
      <c r="AP35" s="4727"/>
      <c r="AQ35" s="4727"/>
      <c r="AR35" s="4727"/>
      <c r="AS35" s="4727"/>
      <c r="AT35" s="4727"/>
      <c r="AU35" s="4727"/>
      <c r="AV35" s="4727"/>
      <c r="AW35" s="4727"/>
      <c r="AX35" s="4727"/>
      <c r="AY35" s="4727"/>
      <c r="AZ35" s="617"/>
      <c r="BA35" s="616"/>
      <c r="BB35" s="17"/>
      <c r="BC35" s="17"/>
      <c r="BD35" s="17"/>
      <c r="BE35" s="17"/>
      <c r="BF35" s="17"/>
      <c r="BG35" s="17"/>
      <c r="BH35" s="17"/>
      <c r="BI35" s="17"/>
      <c r="BJ35" s="17"/>
      <c r="BK35" s="17"/>
      <c r="BL35" s="17"/>
      <c r="BM35" s="17"/>
      <c r="BN35" s="17"/>
      <c r="BO35" s="17"/>
      <c r="BP35" s="17"/>
      <c r="BQ35" s="17"/>
      <c r="BR35" s="17"/>
      <c r="BS35" s="17"/>
      <c r="BT35" s="17"/>
      <c r="BU35" s="17"/>
      <c r="BV35" s="17"/>
      <c r="BW35" s="17"/>
      <c r="BX35" s="17"/>
      <c r="BY35" s="639"/>
      <c r="BZ35" s="1073"/>
      <c r="CA35" s="17"/>
      <c r="CB35" s="19"/>
      <c r="CC35" s="335" t="s">
        <v>839</v>
      </c>
    </row>
    <row r="36" spans="1:81" ht="17.100000000000001" customHeight="1" thickBot="1" x14ac:dyDescent="0.25">
      <c r="A36" s="17"/>
      <c r="B36" s="1058"/>
      <c r="C36" s="17"/>
      <c r="D36" s="797"/>
      <c r="E36" s="797"/>
      <c r="F36" s="796"/>
      <c r="G36" s="796"/>
      <c r="H36" s="796"/>
      <c r="I36" s="796"/>
      <c r="J36" s="796"/>
      <c r="K36" s="796"/>
      <c r="L36" s="796"/>
      <c r="M36" s="796"/>
      <c r="N36" s="796"/>
      <c r="O36" s="796"/>
      <c r="P36" s="796"/>
      <c r="Q36" s="17"/>
      <c r="R36" s="17"/>
      <c r="S36" s="17"/>
      <c r="T36" s="17"/>
      <c r="U36" s="796"/>
      <c r="V36" s="796"/>
      <c r="W36" s="796"/>
      <c r="X36" s="796"/>
      <c r="Y36" s="796"/>
      <c r="Z36" s="796"/>
      <c r="AA36" s="1298"/>
      <c r="AB36" s="1299"/>
      <c r="AC36" s="1299"/>
      <c r="AD36" s="1299"/>
      <c r="AE36" s="1299"/>
      <c r="AF36" s="1299"/>
      <c r="AG36" s="1299"/>
      <c r="AH36" s="1299"/>
      <c r="AI36" s="1299"/>
      <c r="AJ36" s="1299"/>
      <c r="AK36" s="1299"/>
      <c r="AL36" s="1299"/>
      <c r="AM36" s="1299"/>
      <c r="AN36" s="1299"/>
      <c r="AO36" s="1299"/>
      <c r="AP36" s="1299"/>
      <c r="AQ36" s="1299"/>
      <c r="AR36" s="1299"/>
      <c r="AS36" s="1299"/>
      <c r="AT36" s="1299"/>
      <c r="AU36" s="1299"/>
      <c r="AV36" s="1299"/>
      <c r="AW36" s="1299"/>
      <c r="AX36" s="1299"/>
      <c r="AY36" s="1299"/>
      <c r="AZ36" s="1299"/>
      <c r="BA36" s="1303"/>
      <c r="BB36" s="796"/>
      <c r="BC36" s="796"/>
      <c r="BD36" s="796"/>
      <c r="BE36" s="796"/>
      <c r="BF36" s="796"/>
      <c r="BG36" s="796"/>
      <c r="BH36" s="796"/>
      <c r="BI36" s="796"/>
      <c r="BJ36" s="796"/>
      <c r="BK36" s="796"/>
      <c r="BL36" s="796"/>
      <c r="BM36" s="796"/>
      <c r="BN36" s="796"/>
      <c r="BO36" s="796"/>
      <c r="BP36" s="796"/>
      <c r="BQ36" s="796"/>
      <c r="BR36" s="796"/>
      <c r="BS36" s="796"/>
      <c r="BT36" s="796"/>
      <c r="BU36" s="796"/>
      <c r="BV36" s="796"/>
      <c r="BW36" s="797"/>
      <c r="BX36" s="797"/>
      <c r="BY36" s="640"/>
      <c r="BZ36" s="1073"/>
      <c r="CA36" s="17"/>
      <c r="CB36" s="19"/>
      <c r="CC36" s="19"/>
    </row>
    <row r="37" spans="1:81" ht="17.100000000000001" customHeight="1" thickTop="1" x14ac:dyDescent="0.2">
      <c r="A37" s="17"/>
      <c r="B37" s="789"/>
      <c r="C37" s="808"/>
      <c r="D37" s="789"/>
      <c r="E37" s="789"/>
      <c r="F37" s="789"/>
      <c r="G37" s="789"/>
      <c r="H37" s="789"/>
      <c r="I37" s="789"/>
      <c r="J37" s="789"/>
      <c r="K37" s="789"/>
      <c r="L37" s="789"/>
      <c r="M37" s="796"/>
      <c r="N37" s="796"/>
      <c r="O37" s="796"/>
      <c r="P37" s="796"/>
      <c r="Q37" s="796"/>
      <c r="R37" s="796"/>
      <c r="S37" s="796"/>
      <c r="T37" s="796"/>
      <c r="U37" s="796"/>
      <c r="V37" s="796"/>
      <c r="W37" s="796"/>
      <c r="X37" s="796"/>
      <c r="Y37" s="796"/>
      <c r="Z37" s="796"/>
      <c r="AA37" s="796"/>
      <c r="AB37" s="796"/>
      <c r="AC37" s="796"/>
      <c r="AD37" s="796"/>
      <c r="AE37" s="796"/>
      <c r="AF37" s="796"/>
      <c r="AG37" s="796"/>
      <c r="AH37" s="796"/>
      <c r="AI37" s="796"/>
      <c r="AJ37" s="796"/>
      <c r="AK37" s="796"/>
      <c r="AL37" s="796"/>
      <c r="AM37" s="796"/>
      <c r="AN37" s="796"/>
      <c r="AO37" s="796"/>
      <c r="AP37" s="796"/>
      <c r="AQ37" s="796"/>
      <c r="AR37" s="796"/>
      <c r="AS37" s="796"/>
      <c r="AT37" s="796"/>
      <c r="AU37" s="796"/>
      <c r="AV37" s="796"/>
      <c r="AW37" s="796"/>
      <c r="AX37" s="796"/>
      <c r="AY37" s="796"/>
      <c r="AZ37" s="796"/>
      <c r="BA37" s="796"/>
      <c r="BB37" s="796"/>
      <c r="BC37" s="796"/>
      <c r="BD37" s="796"/>
      <c r="BE37" s="796"/>
      <c r="BF37" s="796"/>
      <c r="BG37" s="796"/>
      <c r="BH37" s="796"/>
      <c r="BI37" s="796"/>
      <c r="BJ37" s="796"/>
      <c r="BK37" s="796"/>
      <c r="BL37" s="796"/>
      <c r="BM37" s="796"/>
      <c r="BN37" s="796"/>
      <c r="BO37" s="796"/>
      <c r="BP37" s="789"/>
      <c r="BQ37" s="789"/>
      <c r="BR37" s="789"/>
      <c r="BS37" s="789"/>
      <c r="BT37" s="789"/>
      <c r="BU37" s="789"/>
      <c r="BV37" s="789"/>
      <c r="BW37" s="789"/>
      <c r="BX37" s="789"/>
      <c r="BY37" s="789"/>
      <c r="BZ37" s="789"/>
      <c r="CA37" s="17"/>
      <c r="CB37" s="19"/>
      <c r="CC37" s="19"/>
    </row>
    <row r="38" spans="1:81" ht="17.100000000000001" customHeight="1" x14ac:dyDescent="0.2">
      <c r="A38" s="17"/>
      <c r="B38" s="17"/>
      <c r="C38" s="32"/>
      <c r="D38" s="31"/>
      <c r="E38" s="17"/>
      <c r="F38" s="17"/>
      <c r="G38" s="17"/>
      <c r="H38" s="31"/>
      <c r="I38" s="17"/>
      <c r="J38" s="17"/>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31" t="s">
        <v>1</v>
      </c>
      <c r="AO38" s="17"/>
      <c r="AP38" s="17"/>
      <c r="AQ38" s="17"/>
      <c r="AR38" s="17"/>
      <c r="AS38" s="17"/>
      <c r="AT38" s="17"/>
      <c r="AU38" s="17"/>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31"/>
      <c r="BU38" s="17"/>
      <c r="BV38" s="17"/>
      <c r="BW38" s="17"/>
      <c r="BX38" s="31"/>
      <c r="BY38" s="17"/>
      <c r="BZ38" s="17"/>
      <c r="CA38" s="17"/>
      <c r="CB38" s="19"/>
      <c r="CC38" s="19"/>
    </row>
    <row r="39" spans="1:81" ht="17.100000000000001" customHeight="1" x14ac:dyDescent="0.2">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33" t="s">
        <v>1</v>
      </c>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row>
    <row r="40" spans="1:81" ht="17.100000000000001" customHeight="1" thickBot="1" x14ac:dyDescent="0.25">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33" t="s">
        <v>1</v>
      </c>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row>
    <row r="41" spans="1:81" ht="17.100000000000001" customHeight="1" thickTop="1" x14ac:dyDescent="0.2">
      <c r="A41" s="19"/>
      <c r="B41" s="19"/>
      <c r="C41" s="19"/>
      <c r="D41" s="19"/>
      <c r="E41" s="19"/>
      <c r="F41" s="19"/>
      <c r="G41" s="1314"/>
      <c r="H41" s="1314"/>
      <c r="I41" s="1314"/>
      <c r="J41" s="1314"/>
      <c r="K41" s="1314"/>
      <c r="L41" s="1314"/>
      <c r="M41" s="1314"/>
      <c r="N41" s="1314"/>
      <c r="O41" s="1314"/>
      <c r="P41" s="1314"/>
      <c r="Q41" s="1314"/>
      <c r="R41" s="1314"/>
      <c r="S41" s="19"/>
      <c r="T41" s="23"/>
      <c r="U41" s="23"/>
      <c r="V41" s="23"/>
      <c r="W41" s="23"/>
      <c r="X41" s="24"/>
      <c r="Y41" s="23"/>
      <c r="Z41" s="809"/>
      <c r="AA41" s="1317"/>
      <c r="AB41" s="1318"/>
      <c r="AC41" s="1318"/>
      <c r="AD41" s="1318"/>
      <c r="AE41" s="1318"/>
      <c r="AF41" s="1318"/>
      <c r="AG41" s="1318"/>
      <c r="AH41" s="1318"/>
      <c r="AI41" s="1318"/>
      <c r="AJ41" s="1318"/>
      <c r="AK41" s="1318"/>
      <c r="AL41" s="1318"/>
      <c r="AM41" s="1318"/>
      <c r="AN41" s="1319"/>
      <c r="AO41" s="1318"/>
      <c r="AP41" s="1318"/>
      <c r="AQ41" s="1318"/>
      <c r="AR41" s="1318"/>
      <c r="AS41" s="1318"/>
      <c r="AT41" s="1318"/>
      <c r="AU41" s="1318"/>
      <c r="AV41" s="1318"/>
      <c r="AW41" s="1318"/>
      <c r="AX41" s="1318"/>
      <c r="AY41" s="1318"/>
      <c r="AZ41" s="1318"/>
      <c r="BA41" s="1320"/>
      <c r="BB41" s="809"/>
      <c r="BC41" s="23"/>
      <c r="BD41" s="23"/>
      <c r="BE41" s="23"/>
      <c r="BF41" s="23"/>
      <c r="BG41" s="23"/>
      <c r="BH41" s="23"/>
      <c r="BI41" s="23"/>
      <c r="BJ41" s="23"/>
      <c r="BK41" s="23"/>
      <c r="BL41" s="23"/>
      <c r="BM41" s="23"/>
      <c r="BN41" s="23"/>
      <c r="BO41" s="23"/>
      <c r="BP41" s="23"/>
      <c r="BQ41" s="23"/>
      <c r="BR41" s="23"/>
      <c r="BS41" s="23"/>
      <c r="BT41" s="23"/>
      <c r="BU41" s="23"/>
      <c r="BV41" s="19"/>
      <c r="BW41" s="19"/>
      <c r="BX41" s="19"/>
      <c r="BY41" s="19"/>
      <c r="BZ41" s="19"/>
      <c r="CA41" s="19"/>
      <c r="CB41" s="19"/>
      <c r="CC41" s="19"/>
    </row>
    <row r="42" spans="1:81" ht="17.100000000000001" customHeight="1" thickBot="1" x14ac:dyDescent="0.35">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321"/>
      <c r="AB42" s="1059"/>
      <c r="AC42" s="4701" t="s">
        <v>971</v>
      </c>
      <c r="AD42" s="4701"/>
      <c r="AE42" s="4701"/>
      <c r="AF42" s="4701"/>
      <c r="AG42" s="4701"/>
      <c r="AH42" s="4701"/>
      <c r="AI42" s="4701"/>
      <c r="AJ42" s="4701"/>
      <c r="AK42" s="4701"/>
      <c r="AL42" s="4701"/>
      <c r="AM42" s="4701"/>
      <c r="AN42" s="4701"/>
      <c r="AO42" s="4701"/>
      <c r="AP42" s="4701"/>
      <c r="AQ42" s="4701"/>
      <c r="AR42" s="4701"/>
      <c r="AS42" s="4701"/>
      <c r="AT42" s="4701"/>
      <c r="AU42" s="4701"/>
      <c r="AV42" s="4701"/>
      <c r="AW42" s="4701"/>
      <c r="AX42" s="4701"/>
      <c r="AY42" s="4701"/>
      <c r="AZ42" s="1059"/>
      <c r="BA42" s="1322"/>
      <c r="BB42" s="1315"/>
      <c r="BC42" s="1315"/>
      <c r="BD42" s="1315"/>
      <c r="BE42" s="1315"/>
      <c r="BF42" s="1315"/>
      <c r="BG42" s="1315"/>
      <c r="BH42" s="1315"/>
      <c r="BI42" s="1315"/>
      <c r="BJ42" s="23"/>
      <c r="BK42" s="23"/>
      <c r="BL42" s="23"/>
      <c r="BM42" s="23"/>
      <c r="BN42" s="23"/>
      <c r="BO42" s="23"/>
      <c r="BP42" s="23"/>
      <c r="BQ42" s="23"/>
      <c r="BR42" s="23"/>
      <c r="BS42" s="23"/>
      <c r="BT42" s="23"/>
      <c r="BU42" s="23"/>
      <c r="BV42" s="19"/>
      <c r="BW42" s="19"/>
      <c r="BX42" s="19"/>
      <c r="BY42" s="19"/>
      <c r="BZ42" s="19"/>
      <c r="CA42" s="19"/>
      <c r="CB42" s="19"/>
      <c r="CC42" s="19"/>
    </row>
    <row r="43" spans="1:81" ht="17.100000000000001" customHeight="1" thickTop="1" x14ac:dyDescent="0.2">
      <c r="A43" s="19"/>
      <c r="B43" s="19"/>
      <c r="C43" s="19"/>
      <c r="D43" s="19"/>
      <c r="E43" s="1324"/>
      <c r="F43" s="1325"/>
      <c r="G43" s="1326"/>
      <c r="H43" s="1326"/>
      <c r="I43" s="1326"/>
      <c r="J43" s="1326"/>
      <c r="K43" s="1326"/>
      <c r="L43" s="1326"/>
      <c r="M43" s="1326"/>
      <c r="N43" s="1326"/>
      <c r="O43" s="1326"/>
      <c r="P43" s="1326"/>
      <c r="Q43" s="1326"/>
      <c r="R43" s="1326"/>
      <c r="S43" s="1326"/>
      <c r="T43" s="1326"/>
      <c r="U43" s="1326"/>
      <c r="V43" s="1326"/>
      <c r="W43" s="1326"/>
      <c r="X43" s="1326"/>
      <c r="Y43" s="1326"/>
      <c r="Z43" s="1326"/>
      <c r="AA43" s="1059"/>
      <c r="AB43" s="1059"/>
      <c r="AC43" s="4701"/>
      <c r="AD43" s="4701"/>
      <c r="AE43" s="4701"/>
      <c r="AF43" s="4701"/>
      <c r="AG43" s="4701"/>
      <c r="AH43" s="4701"/>
      <c r="AI43" s="4701"/>
      <c r="AJ43" s="4701"/>
      <c r="AK43" s="4701"/>
      <c r="AL43" s="4701"/>
      <c r="AM43" s="4701"/>
      <c r="AN43" s="4701"/>
      <c r="AO43" s="4701"/>
      <c r="AP43" s="4701"/>
      <c r="AQ43" s="4701"/>
      <c r="AR43" s="4701"/>
      <c r="AS43" s="4701"/>
      <c r="AT43" s="4701"/>
      <c r="AU43" s="4701"/>
      <c r="AV43" s="4701"/>
      <c r="AW43" s="4701"/>
      <c r="AX43" s="4701"/>
      <c r="AY43" s="4701"/>
      <c r="AZ43" s="1059"/>
      <c r="BA43" s="1059"/>
      <c r="BB43" s="1326"/>
      <c r="BC43" s="1326"/>
      <c r="BD43" s="1326"/>
      <c r="BE43" s="1326"/>
      <c r="BF43" s="1326"/>
      <c r="BG43" s="1326"/>
      <c r="BH43" s="1326"/>
      <c r="BI43" s="1326"/>
      <c r="BJ43" s="1326"/>
      <c r="BK43" s="1326"/>
      <c r="BL43" s="1326"/>
      <c r="BM43" s="1326"/>
      <c r="BN43" s="1326"/>
      <c r="BO43" s="1326"/>
      <c r="BP43" s="1326"/>
      <c r="BQ43" s="1326"/>
      <c r="BR43" s="1326"/>
      <c r="BS43" s="1326"/>
      <c r="BT43" s="1326"/>
      <c r="BU43" s="1326"/>
      <c r="BV43" s="1326"/>
      <c r="BW43" s="1330"/>
      <c r="BX43" s="19"/>
      <c r="BY43" s="19"/>
      <c r="BZ43" s="19"/>
      <c r="CA43" s="19"/>
      <c r="CB43" s="19"/>
      <c r="CC43" s="19"/>
    </row>
    <row r="44" spans="1:81" ht="17.100000000000001" customHeight="1" x14ac:dyDescent="0.2">
      <c r="A44" s="19"/>
      <c r="B44" s="19"/>
      <c r="C44" s="19"/>
      <c r="D44" s="19"/>
      <c r="E44" s="132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17"/>
      <c r="BK44" s="17"/>
      <c r="BL44" s="17"/>
      <c r="BM44" s="17"/>
      <c r="BN44" s="17"/>
      <c r="BO44" s="17"/>
      <c r="BP44" s="17"/>
      <c r="BQ44" s="17"/>
      <c r="BR44" s="17"/>
      <c r="BS44" s="17"/>
      <c r="BT44" s="17"/>
      <c r="BU44" s="17"/>
      <c r="BV44" s="17"/>
      <c r="BW44" s="1331"/>
      <c r="BX44" s="19"/>
      <c r="BY44" s="19"/>
      <c r="BZ44" s="19"/>
      <c r="CA44" s="19"/>
      <c r="CB44" s="19"/>
      <c r="CC44" s="19"/>
    </row>
    <row r="45" spans="1:81" ht="17.100000000000001" customHeight="1" x14ac:dyDescent="0.3">
      <c r="A45" s="19"/>
      <c r="B45" s="19"/>
      <c r="C45" s="19"/>
      <c r="D45" s="19"/>
      <c r="E45" s="1328"/>
      <c r="F45" s="17"/>
      <c r="G45" s="1329" t="s">
        <v>921</v>
      </c>
      <c r="H45" s="17"/>
      <c r="I45" s="17"/>
      <c r="J45" s="17"/>
      <c r="K45" s="17"/>
      <c r="L45" s="17"/>
      <c r="M45" s="17"/>
      <c r="N45" s="17"/>
      <c r="O45" s="17"/>
      <c r="P45" s="17"/>
      <c r="Q45" s="17"/>
      <c r="R45" s="17"/>
      <c r="S45" s="17"/>
      <c r="T45" s="17"/>
      <c r="U45" s="17"/>
      <c r="V45" s="17"/>
      <c r="W45" s="17"/>
      <c r="X45" s="17"/>
      <c r="Y45" s="17"/>
      <c r="Z45" s="17"/>
      <c r="AA45" s="1323"/>
      <c r="AB45" s="1323"/>
      <c r="AC45" s="1323"/>
      <c r="AD45" s="1323"/>
      <c r="AE45" s="1323"/>
      <c r="AF45" s="1323"/>
      <c r="AG45" s="1323"/>
      <c r="AH45" s="4720" t="s">
        <v>159</v>
      </c>
      <c r="AI45" s="4720"/>
      <c r="AJ45" s="4720"/>
      <c r="AK45" s="4720"/>
      <c r="AL45" s="4720"/>
      <c r="AM45" s="1323"/>
      <c r="AN45" s="1323"/>
      <c r="AO45" s="1323"/>
      <c r="AP45" s="4721">
        <f>SUM(AP48,AP55)</f>
        <v>0</v>
      </c>
      <c r="AQ45" s="4721"/>
      <c r="AR45" s="4721"/>
      <c r="AS45" s="4721"/>
      <c r="AT45" s="4721"/>
      <c r="AU45" s="1323"/>
      <c r="AV45" s="1323"/>
      <c r="AW45" s="1323"/>
      <c r="AX45" s="1323"/>
      <c r="AY45" s="1323"/>
      <c r="AZ45" s="1323"/>
      <c r="BA45" s="1323"/>
      <c r="BB45" s="91"/>
      <c r="BC45" s="91"/>
      <c r="BD45" s="91"/>
      <c r="BE45" s="91"/>
      <c r="BF45" s="91"/>
      <c r="BG45" s="91"/>
      <c r="BH45" s="17"/>
      <c r="BI45" s="17"/>
      <c r="BJ45" s="17"/>
      <c r="BK45" s="17"/>
      <c r="BL45" s="17"/>
      <c r="BM45" s="17"/>
      <c r="BN45" s="17"/>
      <c r="BO45" s="17"/>
      <c r="BP45" s="17"/>
      <c r="BQ45" s="1373" t="s">
        <v>930</v>
      </c>
      <c r="BR45" s="4722">
        <v>0</v>
      </c>
      <c r="BS45" s="4722"/>
      <c r="BT45" s="4722"/>
      <c r="BU45" s="4722"/>
      <c r="BV45" s="17"/>
      <c r="BW45" s="1331"/>
      <c r="BX45" s="19"/>
      <c r="BY45" s="19"/>
      <c r="BZ45" s="19"/>
      <c r="CA45" s="19"/>
      <c r="CB45" s="19"/>
      <c r="CC45" s="19"/>
    </row>
    <row r="46" spans="1:81" ht="17.100000000000001" customHeight="1" thickBot="1" x14ac:dyDescent="0.25">
      <c r="A46" s="19"/>
      <c r="B46" s="19"/>
      <c r="C46" s="19"/>
      <c r="D46" s="19"/>
      <c r="E46" s="1328"/>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17"/>
      <c r="BK46" s="17"/>
      <c r="BL46" s="17"/>
      <c r="BM46" s="17"/>
      <c r="BN46" s="17"/>
      <c r="BO46" s="17"/>
      <c r="BP46" s="17"/>
      <c r="BQ46" s="17"/>
      <c r="BR46" s="17"/>
      <c r="BS46" s="17"/>
      <c r="BT46" s="17"/>
      <c r="BU46" s="17"/>
      <c r="BV46" s="17"/>
      <c r="BW46" s="1331"/>
      <c r="BX46" s="19"/>
      <c r="BY46" s="19"/>
      <c r="BZ46" s="19"/>
      <c r="CA46" s="19"/>
      <c r="CB46" s="19"/>
      <c r="CC46" s="19"/>
    </row>
    <row r="47" spans="1:81" ht="17.100000000000001" customHeight="1" thickTop="1" x14ac:dyDescent="0.3">
      <c r="A47" s="19"/>
      <c r="B47" s="19"/>
      <c r="C47" s="19"/>
      <c r="D47" s="19"/>
      <c r="E47" s="1328"/>
      <c r="F47" s="17"/>
      <c r="G47" s="1329"/>
      <c r="H47" s="1077"/>
      <c r="I47" s="1077"/>
      <c r="J47" s="1077"/>
      <c r="K47" s="1333"/>
      <c r="L47" s="17"/>
      <c r="M47" s="17"/>
      <c r="N47" s="17"/>
      <c r="O47" s="17"/>
      <c r="P47" s="17"/>
      <c r="Q47" s="17"/>
      <c r="R47" s="17"/>
      <c r="S47" s="17"/>
      <c r="T47" s="17"/>
      <c r="U47" s="2522"/>
      <c r="V47" s="2523"/>
      <c r="W47" s="2523"/>
      <c r="X47" s="2524"/>
      <c r="Y47" s="2525"/>
      <c r="Z47" s="2525"/>
      <c r="AA47" s="2525"/>
      <c r="AB47" s="2525"/>
      <c r="AC47" s="2525"/>
      <c r="AD47" s="2525"/>
      <c r="AE47" s="2525"/>
      <c r="AF47" s="2525"/>
      <c r="AG47" s="2525"/>
      <c r="AH47" s="4723"/>
      <c r="AI47" s="4723"/>
      <c r="AJ47" s="4723"/>
      <c r="AK47" s="4723"/>
      <c r="AL47" s="4723"/>
      <c r="AM47" s="2525"/>
      <c r="AN47" s="2525"/>
      <c r="AO47" s="2525"/>
      <c r="AP47" s="4724"/>
      <c r="AQ47" s="4724"/>
      <c r="AR47" s="4724"/>
      <c r="AS47" s="4724"/>
      <c r="AT47" s="4724"/>
      <c r="AU47" s="2525"/>
      <c r="AV47" s="2525"/>
      <c r="AW47" s="2525"/>
      <c r="AX47" s="2525"/>
      <c r="AY47" s="2525"/>
      <c r="AZ47" s="2525"/>
      <c r="BA47" s="2525"/>
      <c r="BB47" s="2505"/>
      <c r="BC47" s="2524"/>
      <c r="BD47" s="2524"/>
      <c r="BE47" s="2524"/>
      <c r="BF47" s="2524"/>
      <c r="BG47" s="2526"/>
      <c r="BH47" s="17"/>
      <c r="BI47" s="17"/>
      <c r="BJ47" s="17"/>
      <c r="BK47" s="17"/>
      <c r="BL47" s="1334"/>
      <c r="BM47" s="1334"/>
      <c r="BN47" s="1334"/>
      <c r="BO47" s="1077"/>
      <c r="BP47" s="1077"/>
      <c r="BQ47" s="1077"/>
      <c r="BR47" s="1077"/>
      <c r="BS47" s="1077"/>
      <c r="BT47" s="1077"/>
      <c r="BU47" s="1077"/>
      <c r="BV47" s="1334"/>
      <c r="BW47" s="1331"/>
      <c r="BX47" s="19"/>
      <c r="BY47" s="19"/>
      <c r="BZ47" s="19"/>
      <c r="CA47" s="19"/>
      <c r="CB47" s="19"/>
      <c r="CC47" s="19"/>
    </row>
    <row r="48" spans="1:81" ht="17.100000000000001" customHeight="1" x14ac:dyDescent="0.3">
      <c r="A48" s="19"/>
      <c r="B48" s="19"/>
      <c r="C48" s="19"/>
      <c r="D48" s="19"/>
      <c r="E48" s="1328"/>
      <c r="F48" s="17"/>
      <c r="G48" s="1329"/>
      <c r="H48" s="1077"/>
      <c r="I48" s="1077"/>
      <c r="J48" s="1077"/>
      <c r="K48" s="1333"/>
      <c r="L48" s="17"/>
      <c r="M48" s="17"/>
      <c r="N48" s="17"/>
      <c r="O48" s="17"/>
      <c r="P48" s="17"/>
      <c r="Q48" s="17"/>
      <c r="R48" s="17"/>
      <c r="S48" s="17"/>
      <c r="T48" s="17"/>
      <c r="U48" s="2527"/>
      <c r="V48" s="1431"/>
      <c r="W48" s="1431"/>
      <c r="X48" s="2528"/>
      <c r="Y48" s="1016"/>
      <c r="Z48" s="1016"/>
      <c r="AA48" s="1016"/>
      <c r="AB48" s="1016"/>
      <c r="AC48" s="1016"/>
      <c r="AD48" s="1016"/>
      <c r="AE48" s="1016"/>
      <c r="AF48" s="1016"/>
      <c r="AG48" s="1016"/>
      <c r="AH48" s="4725" t="s">
        <v>404</v>
      </c>
      <c r="AI48" s="4725"/>
      <c r="AJ48" s="4725"/>
      <c r="AK48" s="4725"/>
      <c r="AL48" s="4725"/>
      <c r="AM48" s="1016"/>
      <c r="AN48" s="1016"/>
      <c r="AO48" s="1016"/>
      <c r="AP48" s="4726">
        <f>SUM(AJ50:AL51,AY50:BA51)</f>
        <v>0</v>
      </c>
      <c r="AQ48" s="4726"/>
      <c r="AR48" s="4726"/>
      <c r="AS48" s="4726"/>
      <c r="AT48" s="4726"/>
      <c r="AU48" s="1016"/>
      <c r="AV48" s="1016"/>
      <c r="AW48" s="1016"/>
      <c r="AX48" s="1016"/>
      <c r="AY48" s="1016"/>
      <c r="AZ48" s="1016"/>
      <c r="BA48" s="1016"/>
      <c r="BB48" s="2511"/>
      <c r="BC48" s="2528"/>
      <c r="BD48" s="2528"/>
      <c r="BE48" s="2528"/>
      <c r="BF48" s="2528"/>
      <c r="BG48" s="2529"/>
      <c r="BH48" s="17"/>
      <c r="BI48" s="17"/>
      <c r="BJ48" s="17"/>
      <c r="BK48" s="17"/>
      <c r="BL48" s="1334"/>
      <c r="BM48" s="1334"/>
      <c r="BN48" s="1334"/>
      <c r="BO48" s="1077"/>
      <c r="BP48" s="1077"/>
      <c r="BQ48" s="1332"/>
      <c r="BR48" s="1376"/>
      <c r="BS48" s="1376"/>
      <c r="BT48" s="1376"/>
      <c r="BU48" s="1376"/>
      <c r="BV48" s="17"/>
      <c r="BW48" s="1331"/>
      <c r="BX48" s="19"/>
      <c r="BY48" s="19"/>
      <c r="BZ48" s="19"/>
      <c r="CA48" s="19"/>
      <c r="CB48" s="19"/>
      <c r="CC48" s="19"/>
    </row>
    <row r="49" spans="1:81" ht="17.100000000000001" customHeight="1" x14ac:dyDescent="0.3">
      <c r="A49" s="19"/>
      <c r="B49" s="19"/>
      <c r="C49" s="19"/>
      <c r="D49" s="19"/>
      <c r="E49" s="1328"/>
      <c r="F49" s="17"/>
      <c r="G49" s="1329"/>
      <c r="H49" s="17"/>
      <c r="I49" s="17"/>
      <c r="J49" s="17"/>
      <c r="K49" s="17"/>
      <c r="L49" s="17"/>
      <c r="M49" s="17"/>
      <c r="N49" s="17"/>
      <c r="O49" s="17"/>
      <c r="P49" s="17"/>
      <c r="Q49" s="17"/>
      <c r="R49" s="17"/>
      <c r="S49" s="17"/>
      <c r="T49" s="17"/>
      <c r="U49" s="2527"/>
      <c r="V49" s="1431"/>
      <c r="W49" s="1431"/>
      <c r="X49" s="2530" t="s">
        <v>160</v>
      </c>
      <c r="Y49" s="2530"/>
      <c r="Z49" s="1016"/>
      <c r="AA49" s="2531" t="s">
        <v>840</v>
      </c>
      <c r="AB49" s="2532"/>
      <c r="AC49" s="1016"/>
      <c r="AD49" s="1016"/>
      <c r="AE49" s="1016"/>
      <c r="AF49" s="1016"/>
      <c r="AG49" s="1016"/>
      <c r="AH49" s="1016"/>
      <c r="AI49" s="1016"/>
      <c r="AJ49" s="2511"/>
      <c r="AK49" s="2533"/>
      <c r="AL49" s="2534" t="s">
        <v>841</v>
      </c>
      <c r="AM49" s="2528"/>
      <c r="AN49" s="2528"/>
      <c r="AO49" s="2528"/>
      <c r="AP49" s="2531" t="s">
        <v>840</v>
      </c>
      <c r="AQ49" s="2532"/>
      <c r="AR49" s="1016"/>
      <c r="AS49" s="1016"/>
      <c r="AT49" s="1016"/>
      <c r="AU49" s="1016"/>
      <c r="AV49" s="1016"/>
      <c r="AW49" s="1016"/>
      <c r="AX49" s="1016"/>
      <c r="AY49" s="2511"/>
      <c r="AZ49" s="2533"/>
      <c r="BA49" s="2534" t="s">
        <v>841</v>
      </c>
      <c r="BB49" s="2511"/>
      <c r="BC49" s="2530" t="s">
        <v>160</v>
      </c>
      <c r="BD49" s="2530"/>
      <c r="BE49" s="2528"/>
      <c r="BF49" s="2528"/>
      <c r="BG49" s="2529"/>
      <c r="BH49" s="17"/>
      <c r="BI49" s="17"/>
      <c r="BJ49" s="17"/>
      <c r="BK49" s="17"/>
      <c r="BL49" s="17"/>
      <c r="BM49" s="17"/>
      <c r="BN49" s="17"/>
      <c r="BO49" s="17"/>
      <c r="BP49" s="17"/>
      <c r="BQ49" s="17"/>
      <c r="BR49" s="17"/>
      <c r="BS49" s="17"/>
      <c r="BT49" s="17"/>
      <c r="BU49" s="17"/>
      <c r="BV49" s="17"/>
      <c r="BW49" s="1331"/>
      <c r="BX49" s="19"/>
      <c r="BY49" s="19"/>
      <c r="BZ49" s="19"/>
      <c r="CA49" s="19"/>
      <c r="CB49" s="19"/>
      <c r="CC49" s="19"/>
    </row>
    <row r="50" spans="1:81" ht="17.100000000000001" customHeight="1" x14ac:dyDescent="0.2">
      <c r="A50" s="19"/>
      <c r="B50" s="19"/>
      <c r="C50" s="19"/>
      <c r="D50" s="19"/>
      <c r="E50" s="1328"/>
      <c r="F50" s="17"/>
      <c r="G50" s="17"/>
      <c r="H50" s="17"/>
      <c r="I50" s="17"/>
      <c r="J50" s="17"/>
      <c r="K50" s="17"/>
      <c r="L50" s="17"/>
      <c r="M50" s="17"/>
      <c r="N50" s="17"/>
      <c r="O50" s="17"/>
      <c r="P50" s="17"/>
      <c r="Q50" s="17"/>
      <c r="R50" s="17"/>
      <c r="S50" s="17"/>
      <c r="T50" s="17"/>
      <c r="U50" s="2527"/>
      <c r="V50" s="1431"/>
      <c r="W50" s="1431"/>
      <c r="X50" s="4716"/>
      <c r="Y50" s="4716"/>
      <c r="Z50" s="2511"/>
      <c r="AA50" s="4717"/>
      <c r="AB50" s="4717"/>
      <c r="AC50" s="4717"/>
      <c r="AD50" s="4717"/>
      <c r="AE50" s="4717"/>
      <c r="AF50" s="4717"/>
      <c r="AG50" s="4717"/>
      <c r="AH50" s="4717"/>
      <c r="AI50" s="4717"/>
      <c r="AJ50" s="4718"/>
      <c r="AK50" s="4718"/>
      <c r="AL50" s="4718"/>
      <c r="AM50" s="2535"/>
      <c r="AN50" s="2535"/>
      <c r="AO50" s="2535"/>
      <c r="AP50" s="4717"/>
      <c r="AQ50" s="4717"/>
      <c r="AR50" s="4717"/>
      <c r="AS50" s="4717"/>
      <c r="AT50" s="4717"/>
      <c r="AU50" s="4717"/>
      <c r="AV50" s="4717"/>
      <c r="AW50" s="4717"/>
      <c r="AX50" s="4717"/>
      <c r="AY50" s="4718"/>
      <c r="AZ50" s="4718"/>
      <c r="BA50" s="4718"/>
      <c r="BB50" s="2511"/>
      <c r="BC50" s="4719"/>
      <c r="BD50" s="4719"/>
      <c r="BE50" s="2535"/>
      <c r="BF50" s="2535"/>
      <c r="BG50" s="2536"/>
      <c r="BH50" s="17"/>
      <c r="BI50" s="17"/>
      <c r="BJ50" s="17"/>
      <c r="BK50" s="17"/>
      <c r="BL50" s="17"/>
      <c r="BM50" s="17"/>
      <c r="BN50" s="17"/>
      <c r="BO50" s="17"/>
      <c r="BP50" s="17"/>
      <c r="BQ50" s="17"/>
      <c r="BR50" s="17"/>
      <c r="BS50" s="17"/>
      <c r="BT50" s="17"/>
      <c r="BU50" s="17"/>
      <c r="BV50" s="17"/>
      <c r="BW50" s="1331"/>
      <c r="BX50" s="19"/>
      <c r="BY50" s="19"/>
      <c r="BZ50" s="19"/>
      <c r="CA50" s="19"/>
      <c r="CB50" s="19"/>
      <c r="CC50" s="19"/>
    </row>
    <row r="51" spans="1:81" ht="17.100000000000001" customHeight="1" x14ac:dyDescent="0.2">
      <c r="A51" s="19"/>
      <c r="B51" s="19"/>
      <c r="C51" s="19"/>
      <c r="D51" s="19"/>
      <c r="E51" s="1328"/>
      <c r="F51" s="17"/>
      <c r="G51" s="17"/>
      <c r="H51" s="17"/>
      <c r="I51" s="17"/>
      <c r="J51" s="17"/>
      <c r="K51" s="17"/>
      <c r="L51" s="17"/>
      <c r="M51" s="17"/>
      <c r="N51" s="17"/>
      <c r="O51" s="17"/>
      <c r="P51" s="17"/>
      <c r="Q51" s="17"/>
      <c r="R51" s="17"/>
      <c r="S51" s="17"/>
      <c r="T51" s="17"/>
      <c r="U51" s="2527"/>
      <c r="V51" s="1431"/>
      <c r="W51" s="1431"/>
      <c r="X51" s="4716"/>
      <c r="Y51" s="4716"/>
      <c r="Z51" s="2511"/>
      <c r="AA51" s="4717"/>
      <c r="AB51" s="4717"/>
      <c r="AC51" s="4717"/>
      <c r="AD51" s="4717"/>
      <c r="AE51" s="4717"/>
      <c r="AF51" s="4717"/>
      <c r="AG51" s="4717"/>
      <c r="AH51" s="4717"/>
      <c r="AI51" s="4717"/>
      <c r="AJ51" s="4718"/>
      <c r="AK51" s="4718"/>
      <c r="AL51" s="4718"/>
      <c r="AM51" s="2535"/>
      <c r="AN51" s="2535"/>
      <c r="AO51" s="2535"/>
      <c r="AP51" s="4717"/>
      <c r="AQ51" s="4717"/>
      <c r="AR51" s="4717"/>
      <c r="AS51" s="4717"/>
      <c r="AT51" s="4717"/>
      <c r="AU51" s="4717"/>
      <c r="AV51" s="4717"/>
      <c r="AW51" s="4717"/>
      <c r="AX51" s="4717"/>
      <c r="AY51" s="4718"/>
      <c r="AZ51" s="4718"/>
      <c r="BA51" s="4718"/>
      <c r="BB51" s="2511"/>
      <c r="BC51" s="4719"/>
      <c r="BD51" s="4719"/>
      <c r="BE51" s="2535"/>
      <c r="BF51" s="2535"/>
      <c r="BG51" s="2536"/>
      <c r="BH51" s="17"/>
      <c r="BI51" s="17"/>
      <c r="BJ51" s="17"/>
      <c r="BK51" s="17"/>
      <c r="BL51" s="17"/>
      <c r="BM51" s="17"/>
      <c r="BN51" s="17"/>
      <c r="BO51" s="17"/>
      <c r="BP51" s="17"/>
      <c r="BQ51" s="17"/>
      <c r="BR51" s="17"/>
      <c r="BS51" s="17"/>
      <c r="BT51" s="17"/>
      <c r="BU51" s="17"/>
      <c r="BV51" s="1334"/>
      <c r="BW51" s="1331"/>
      <c r="BX51" s="19"/>
      <c r="BY51" s="19"/>
      <c r="BZ51" s="19"/>
      <c r="CA51" s="19"/>
      <c r="CB51" s="19"/>
      <c r="CC51" s="19"/>
    </row>
    <row r="52" spans="1:81" ht="17.100000000000001" customHeight="1" thickBot="1" x14ac:dyDescent="0.25">
      <c r="A52" s="19"/>
      <c r="B52" s="19"/>
      <c r="C52" s="19"/>
      <c r="D52" s="19"/>
      <c r="E52" s="1328"/>
      <c r="F52" s="1066"/>
      <c r="G52" s="17"/>
      <c r="H52" s="17"/>
      <c r="I52" s="17"/>
      <c r="J52" s="17"/>
      <c r="K52" s="17"/>
      <c r="L52" s="17"/>
      <c r="M52" s="17"/>
      <c r="N52" s="17"/>
      <c r="O52" s="17"/>
      <c r="P52" s="17"/>
      <c r="Q52" s="17"/>
      <c r="R52" s="17"/>
      <c r="S52" s="17"/>
      <c r="T52" s="17"/>
      <c r="U52" s="2537"/>
      <c r="V52" s="2520"/>
      <c r="W52" s="2520"/>
      <c r="X52" s="2520"/>
      <c r="Y52" s="2520"/>
      <c r="Z52" s="2520"/>
      <c r="AA52" s="2520"/>
      <c r="AB52" s="2520"/>
      <c r="AC52" s="2520"/>
      <c r="AD52" s="2520"/>
      <c r="AE52" s="2520"/>
      <c r="AF52" s="2520"/>
      <c r="AG52" s="2520"/>
      <c r="AH52" s="2520"/>
      <c r="AI52" s="2520"/>
      <c r="AJ52" s="2520"/>
      <c r="AK52" s="2520"/>
      <c r="AL52" s="2520"/>
      <c r="AM52" s="2520"/>
      <c r="AN52" s="2520"/>
      <c r="AO52" s="2520"/>
      <c r="AP52" s="2520"/>
      <c r="AQ52" s="2520"/>
      <c r="AR52" s="2520"/>
      <c r="AS52" s="2520"/>
      <c r="AT52" s="2520"/>
      <c r="AU52" s="2520"/>
      <c r="AV52" s="2520"/>
      <c r="AW52" s="2520"/>
      <c r="AX52" s="2520"/>
      <c r="AY52" s="2520"/>
      <c r="AZ52" s="2520"/>
      <c r="BA52" s="2520"/>
      <c r="BB52" s="2520"/>
      <c r="BC52" s="2520"/>
      <c r="BD52" s="2520"/>
      <c r="BE52" s="2520"/>
      <c r="BF52" s="2520"/>
      <c r="BG52" s="2538"/>
      <c r="BH52" s="17"/>
      <c r="BI52" s="17"/>
      <c r="BJ52" s="17"/>
      <c r="BK52" s="17"/>
      <c r="BL52" s="1334"/>
      <c r="BM52" s="1334"/>
      <c r="BN52" s="17"/>
      <c r="BO52" s="17"/>
      <c r="BP52" s="1335"/>
      <c r="BQ52" s="1334"/>
      <c r="BR52" s="1334"/>
      <c r="BS52" s="1334"/>
      <c r="BT52" s="1334"/>
      <c r="BU52" s="1334"/>
      <c r="BV52" s="120"/>
      <c r="BW52" s="1331"/>
      <c r="BX52" s="19"/>
      <c r="BY52" s="19"/>
      <c r="BZ52" s="19"/>
      <c r="CA52" s="19"/>
      <c r="CB52" s="19"/>
      <c r="CC52" s="19"/>
    </row>
    <row r="53" spans="1:81" ht="17.100000000000001" customHeight="1" thickTop="1" thickBot="1" x14ac:dyDescent="0.25">
      <c r="A53" s="19"/>
      <c r="B53" s="19"/>
      <c r="C53" s="19"/>
      <c r="D53" s="19"/>
      <c r="E53" s="1328"/>
      <c r="F53" s="1066"/>
      <c r="G53" s="17"/>
      <c r="H53" s="17"/>
      <c r="I53" s="17"/>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20"/>
      <c r="BJ53" s="120"/>
      <c r="BK53" s="120"/>
      <c r="BL53" s="120"/>
      <c r="BM53" s="120"/>
      <c r="BN53" s="120"/>
      <c r="BO53" s="120"/>
      <c r="BP53" s="120"/>
      <c r="BQ53" s="120"/>
      <c r="BR53" s="120"/>
      <c r="BS53" s="120"/>
      <c r="BT53" s="120"/>
      <c r="BU53" s="120"/>
      <c r="BV53" s="120"/>
      <c r="BW53" s="1331"/>
      <c r="BX53" s="19"/>
      <c r="BY53" s="19"/>
      <c r="BZ53" s="19"/>
      <c r="CA53" s="19"/>
      <c r="CB53" s="19"/>
      <c r="CC53" s="19"/>
    </row>
    <row r="54" spans="1:81" ht="17.100000000000001" customHeight="1" thickTop="1" x14ac:dyDescent="0.2">
      <c r="A54" s="19"/>
      <c r="B54" s="19"/>
      <c r="C54" s="19"/>
      <c r="D54" s="19"/>
      <c r="E54" s="1328"/>
      <c r="F54" s="1066"/>
      <c r="G54" s="1572"/>
      <c r="H54" s="1573"/>
      <c r="I54" s="1573"/>
      <c r="J54" s="1573"/>
      <c r="K54" s="1573"/>
      <c r="L54" s="1573"/>
      <c r="M54" s="1574"/>
      <c r="N54" s="1573"/>
      <c r="O54" s="1573"/>
      <c r="P54" s="1573"/>
      <c r="Q54" s="1573"/>
      <c r="R54" s="1573"/>
      <c r="S54" s="1573"/>
      <c r="T54" s="1575"/>
      <c r="U54" s="1573"/>
      <c r="V54" s="1573"/>
      <c r="W54" s="1573"/>
      <c r="X54" s="1576"/>
      <c r="Y54" s="1577"/>
      <c r="Z54" s="1577"/>
      <c r="AA54" s="1577"/>
      <c r="AB54" s="1577"/>
      <c r="AC54" s="1577"/>
      <c r="AD54" s="1577"/>
      <c r="AE54" s="1577"/>
      <c r="AF54" s="1577"/>
      <c r="AG54" s="1577"/>
      <c r="AH54" s="1577"/>
      <c r="AI54" s="1577"/>
      <c r="AJ54" s="1577"/>
      <c r="AK54" s="1577"/>
      <c r="AL54" s="1577"/>
      <c r="AM54" s="1577"/>
      <c r="AN54" s="1577"/>
      <c r="AO54" s="1577"/>
      <c r="AP54" s="1577"/>
      <c r="AQ54" s="1577"/>
      <c r="AR54" s="1577"/>
      <c r="AS54" s="1577"/>
      <c r="AT54" s="1577"/>
      <c r="AU54" s="1577"/>
      <c r="AV54" s="1577"/>
      <c r="AW54" s="1577"/>
      <c r="AX54" s="1577"/>
      <c r="AY54" s="1577"/>
      <c r="AZ54" s="1577"/>
      <c r="BA54" s="1577"/>
      <c r="BB54" s="1575"/>
      <c r="BC54" s="1576"/>
      <c r="BD54" s="1576"/>
      <c r="BE54" s="1576"/>
      <c r="BF54" s="1576"/>
      <c r="BG54" s="1576"/>
      <c r="BH54" s="1576"/>
      <c r="BI54" s="1576"/>
      <c r="BJ54" s="1576"/>
      <c r="BK54" s="1576"/>
      <c r="BL54" s="1576"/>
      <c r="BM54" s="1576"/>
      <c r="BN54" s="1576"/>
      <c r="BO54" s="1576"/>
      <c r="BP54" s="1576"/>
      <c r="BQ54" s="1576"/>
      <c r="BR54" s="1576"/>
      <c r="BS54" s="1576"/>
      <c r="BT54" s="1576"/>
      <c r="BU54" s="1578"/>
      <c r="BV54" s="120"/>
      <c r="BW54" s="1331"/>
      <c r="BX54" s="19"/>
      <c r="BY54" s="19"/>
      <c r="BZ54" s="19"/>
      <c r="CA54" s="19"/>
      <c r="CB54" s="19"/>
      <c r="CC54" s="19"/>
    </row>
    <row r="55" spans="1:81" ht="17.100000000000001" customHeight="1" x14ac:dyDescent="0.2">
      <c r="A55" s="19"/>
      <c r="B55" s="19"/>
      <c r="C55" s="19"/>
      <c r="D55" s="19"/>
      <c r="E55" s="1328"/>
      <c r="F55" s="1066"/>
      <c r="G55" s="1579"/>
      <c r="M55" s="33"/>
      <c r="T55" s="19"/>
      <c r="X55" s="1312"/>
      <c r="Y55" s="812"/>
      <c r="Z55" s="812"/>
      <c r="AA55" s="812"/>
      <c r="AB55" s="812"/>
      <c r="AC55" s="812"/>
      <c r="AD55" s="812"/>
      <c r="AE55" s="812"/>
      <c r="AF55" s="812"/>
      <c r="AG55" s="812"/>
      <c r="AH55" s="4714" t="s">
        <v>405</v>
      </c>
      <c r="AI55" s="4714"/>
      <c r="AJ55" s="4714"/>
      <c r="AK55" s="4714"/>
      <c r="AL55" s="4714"/>
      <c r="AM55" s="812"/>
      <c r="AN55" s="812"/>
      <c r="AO55" s="812"/>
      <c r="AP55" s="4715">
        <f>SUM(AJ57:AL69,AY57:BA69,T57,T61,T65,BQ57,BQ61,BQ65)*-1</f>
        <v>0</v>
      </c>
      <c r="AQ55" s="4715"/>
      <c r="AR55" s="4715"/>
      <c r="AS55" s="4715"/>
      <c r="AT55" s="4715"/>
      <c r="AU55" s="812"/>
      <c r="AV55" s="812"/>
      <c r="AW55" s="812"/>
      <c r="AX55" s="812"/>
      <c r="AY55" s="812"/>
      <c r="AZ55" s="812"/>
      <c r="BA55" s="812"/>
      <c r="BB55" s="19"/>
      <c r="BC55" s="1312"/>
      <c r="BD55" s="1312"/>
      <c r="BE55" s="1312"/>
      <c r="BF55" s="1312"/>
      <c r="BG55" s="1312"/>
      <c r="BH55" s="1312"/>
      <c r="BI55" s="1312"/>
      <c r="BJ55" s="1312"/>
      <c r="BK55" s="1312"/>
      <c r="BL55" s="1312"/>
      <c r="BM55" s="1312"/>
      <c r="BN55" s="1312"/>
      <c r="BO55" s="1312"/>
      <c r="BP55" s="1312"/>
      <c r="BQ55" s="1312"/>
      <c r="BR55" s="1312"/>
      <c r="BS55" s="1312"/>
      <c r="BT55" s="1312"/>
      <c r="BU55" s="1580"/>
      <c r="BV55" s="120"/>
      <c r="BW55" s="1331"/>
      <c r="BX55" s="19"/>
      <c r="BY55" s="19"/>
      <c r="BZ55" s="19"/>
      <c r="CA55" s="19"/>
      <c r="CB55" s="19"/>
      <c r="CC55" s="19"/>
    </row>
    <row r="56" spans="1:81" ht="17.100000000000001" customHeight="1" x14ac:dyDescent="0.2">
      <c r="A56" s="19"/>
      <c r="B56" s="19"/>
      <c r="C56" s="19"/>
      <c r="D56" s="19"/>
      <c r="E56" s="1328"/>
      <c r="F56" s="1066"/>
      <c r="G56" s="1579"/>
      <c r="M56" s="33"/>
      <c r="T56" s="19"/>
      <c r="X56" s="1310" t="s">
        <v>161</v>
      </c>
      <c r="Y56" s="1310"/>
      <c r="Z56" s="812"/>
      <c r="AA56" s="1309" t="s">
        <v>840</v>
      </c>
      <c r="AB56" s="1309"/>
      <c r="AC56" s="812"/>
      <c r="AD56" s="812"/>
      <c r="AE56" s="812"/>
      <c r="AF56" s="812"/>
      <c r="AG56" s="812"/>
      <c r="AH56" s="812"/>
      <c r="AI56" s="812"/>
      <c r="AJ56" s="19"/>
      <c r="AK56" s="1310"/>
      <c r="AL56" s="1311" t="s">
        <v>841</v>
      </c>
      <c r="AM56" s="1312"/>
      <c r="AN56" s="1312"/>
      <c r="AO56" s="1312"/>
      <c r="AP56" s="1309" t="s">
        <v>840</v>
      </c>
      <c r="AQ56" s="812"/>
      <c r="AR56" s="812"/>
      <c r="AS56" s="812"/>
      <c r="AT56" s="812"/>
      <c r="AU56" s="812"/>
      <c r="AV56" s="812"/>
      <c r="AW56" s="812"/>
      <c r="AX56" s="812"/>
      <c r="AY56" s="812"/>
      <c r="AZ56" s="812"/>
      <c r="BA56" s="1311" t="s">
        <v>841</v>
      </c>
      <c r="BB56" s="19"/>
      <c r="BC56" s="1310" t="s">
        <v>161</v>
      </c>
      <c r="BD56" s="1310"/>
      <c r="BE56" s="1312"/>
      <c r="BF56" s="1312"/>
      <c r="BG56" s="1309"/>
      <c r="BH56" s="1312"/>
      <c r="BI56" s="1312"/>
      <c r="BJ56" s="1312"/>
      <c r="BK56" s="1312"/>
      <c r="BL56" s="1312"/>
      <c r="BM56" s="1312"/>
      <c r="BN56" s="1312"/>
      <c r="BO56" s="1312"/>
      <c r="BP56" s="1312"/>
      <c r="BQ56" s="1312"/>
      <c r="BR56" s="1312"/>
      <c r="BS56" s="1312"/>
      <c r="BT56" s="1312"/>
      <c r="BU56" s="1580"/>
      <c r="BV56" s="120"/>
      <c r="BW56" s="1331"/>
      <c r="BX56" s="19"/>
      <c r="BY56" s="19"/>
      <c r="BZ56" s="19"/>
      <c r="CA56" s="19"/>
      <c r="CB56" s="19"/>
      <c r="CC56" s="19"/>
    </row>
    <row r="57" spans="1:81" ht="17.100000000000001" customHeight="1" x14ac:dyDescent="0.2">
      <c r="A57" s="19"/>
      <c r="B57" s="19"/>
      <c r="C57" s="19"/>
      <c r="D57" s="19"/>
      <c r="E57" s="1328"/>
      <c r="F57" s="1066"/>
      <c r="G57" s="1581"/>
      <c r="H57" s="19"/>
      <c r="I57" s="19"/>
      <c r="J57" s="4708" t="s">
        <v>960</v>
      </c>
      <c r="K57" s="4708"/>
      <c r="L57" s="4708"/>
      <c r="M57" s="4708"/>
      <c r="N57" s="4708"/>
      <c r="O57" s="4708"/>
      <c r="P57" s="4708"/>
      <c r="Q57" s="4708"/>
      <c r="R57" s="1307" t="s">
        <v>956</v>
      </c>
      <c r="S57" s="1307"/>
      <c r="T57" s="4711">
        <f>SUM(J58:U59)</f>
        <v>0</v>
      </c>
      <c r="U57" s="4711"/>
      <c r="X57" s="4707" t="s">
        <v>397</v>
      </c>
      <c r="Y57" s="4707"/>
      <c r="Z57" s="19"/>
      <c r="AA57" s="4708" t="s">
        <v>2410</v>
      </c>
      <c r="AB57" s="4708"/>
      <c r="AC57" s="4708"/>
      <c r="AD57" s="4708"/>
      <c r="AE57" s="4708"/>
      <c r="AF57" s="4708"/>
      <c r="AG57" s="4708"/>
      <c r="AH57" s="4708"/>
      <c r="AI57" s="4708"/>
      <c r="AJ57" s="4709">
        <f>AJ50/10</f>
        <v>0</v>
      </c>
      <c r="AK57" s="4709"/>
      <c r="AL57" s="4709"/>
      <c r="AM57" s="1367"/>
      <c r="AN57" s="1367"/>
      <c r="AO57" s="1368"/>
      <c r="AP57" s="4708"/>
      <c r="AQ57" s="4708"/>
      <c r="AR57" s="4708"/>
      <c r="AS57" s="4708"/>
      <c r="AT57" s="4708"/>
      <c r="AU57" s="4708"/>
      <c r="AV57" s="4708"/>
      <c r="AW57" s="4708"/>
      <c r="AX57" s="4708"/>
      <c r="AY57" s="4709"/>
      <c r="AZ57" s="4709"/>
      <c r="BA57" s="4709"/>
      <c r="BB57" s="19"/>
      <c r="BC57" s="4702"/>
      <c r="BD57" s="4702"/>
      <c r="BE57" s="813"/>
      <c r="BF57" s="813"/>
      <c r="BG57" s="4708" t="s">
        <v>958</v>
      </c>
      <c r="BH57" s="4708"/>
      <c r="BI57" s="4708"/>
      <c r="BJ57" s="4708"/>
      <c r="BK57" s="4708"/>
      <c r="BL57" s="4708"/>
      <c r="BM57" s="4708"/>
      <c r="BN57" s="4708"/>
      <c r="BO57" s="1307" t="s">
        <v>956</v>
      </c>
      <c r="BP57" s="1307"/>
      <c r="BQ57" s="4711">
        <f>SUM(BG58:BR59)</f>
        <v>0</v>
      </c>
      <c r="BR57" s="4711"/>
      <c r="BS57" s="19"/>
      <c r="BT57" s="418"/>
      <c r="BU57" s="1582"/>
      <c r="BV57" s="120"/>
      <c r="BW57" s="1331"/>
      <c r="BX57" s="19"/>
      <c r="BY57" s="19"/>
      <c r="BZ57" s="19"/>
      <c r="CA57" s="19"/>
      <c r="CB57" s="19"/>
      <c r="CC57" s="19"/>
    </row>
    <row r="58" spans="1:81" ht="17.100000000000001" customHeight="1" x14ac:dyDescent="0.2">
      <c r="A58" s="19"/>
      <c r="B58" s="19"/>
      <c r="C58" s="19"/>
      <c r="D58" s="19"/>
      <c r="E58" s="1328"/>
      <c r="F58" s="1066"/>
      <c r="G58" s="1581"/>
      <c r="H58" s="19"/>
      <c r="I58" s="19"/>
      <c r="J58" s="4712"/>
      <c r="K58" s="4712"/>
      <c r="L58" s="4712"/>
      <c r="M58" s="4712"/>
      <c r="N58" s="4712"/>
      <c r="O58" s="4712"/>
      <c r="P58" s="4712"/>
      <c r="Q58" s="4712"/>
      <c r="R58" s="4712"/>
      <c r="S58" s="4712"/>
      <c r="T58" s="4712"/>
      <c r="U58" s="4712"/>
      <c r="X58" s="4707"/>
      <c r="Y58" s="4707"/>
      <c r="Z58" s="19"/>
      <c r="AA58" s="4708"/>
      <c r="AB58" s="4708"/>
      <c r="AC58" s="4708"/>
      <c r="AD58" s="4708"/>
      <c r="AE58" s="4708"/>
      <c r="AF58" s="4708"/>
      <c r="AG58" s="4708"/>
      <c r="AH58" s="4708"/>
      <c r="AI58" s="4708"/>
      <c r="AJ58" s="4709"/>
      <c r="AK58" s="4709"/>
      <c r="AL58" s="4709"/>
      <c r="AM58" s="1367"/>
      <c r="AN58" s="1367"/>
      <c r="AO58" s="1368"/>
      <c r="AP58" s="4708"/>
      <c r="AQ58" s="4708"/>
      <c r="AR58" s="4708"/>
      <c r="AS58" s="4708"/>
      <c r="AT58" s="4708"/>
      <c r="AU58" s="4708"/>
      <c r="AV58" s="4708"/>
      <c r="AW58" s="4708"/>
      <c r="AX58" s="4708"/>
      <c r="AY58" s="4709"/>
      <c r="AZ58" s="4709"/>
      <c r="BA58" s="4709"/>
      <c r="BB58" s="19"/>
      <c r="BC58" s="4702"/>
      <c r="BD58" s="4702"/>
      <c r="BE58" s="813"/>
      <c r="BF58" s="813"/>
      <c r="BG58" s="4713"/>
      <c r="BH58" s="4713"/>
      <c r="BI58" s="4713"/>
      <c r="BJ58" s="4713"/>
      <c r="BK58" s="4713"/>
      <c r="BL58" s="4713"/>
      <c r="BM58" s="4713"/>
      <c r="BN58" s="4713"/>
      <c r="BO58" s="4713"/>
      <c r="BP58" s="4713"/>
      <c r="BQ58" s="4713"/>
      <c r="BR58" s="4713"/>
      <c r="BS58" s="19"/>
      <c r="BT58" s="418"/>
      <c r="BU58" s="1582"/>
      <c r="BV58" s="120"/>
      <c r="BW58" s="1331"/>
      <c r="BX58" s="19"/>
      <c r="BY58" s="19"/>
      <c r="BZ58" s="19"/>
      <c r="CA58" s="19"/>
      <c r="CB58" s="19"/>
      <c r="CC58" s="19"/>
    </row>
    <row r="59" spans="1:81" ht="17.100000000000001" customHeight="1" x14ac:dyDescent="0.2">
      <c r="A59" s="19"/>
      <c r="B59" s="19"/>
      <c r="C59" s="19"/>
      <c r="D59" s="19"/>
      <c r="E59" s="1328"/>
      <c r="F59" s="1066"/>
      <c r="G59" s="1581"/>
      <c r="H59" s="19"/>
      <c r="I59" s="19"/>
      <c r="J59" s="4712"/>
      <c r="K59" s="4712"/>
      <c r="L59" s="4712"/>
      <c r="M59" s="4712"/>
      <c r="N59" s="4712"/>
      <c r="O59" s="4712"/>
      <c r="P59" s="4712"/>
      <c r="Q59" s="4712"/>
      <c r="R59" s="4712"/>
      <c r="S59" s="4712"/>
      <c r="T59" s="4712"/>
      <c r="U59" s="4712"/>
      <c r="X59" s="4707"/>
      <c r="Y59" s="4707"/>
      <c r="Z59" s="19"/>
      <c r="AA59" s="4708"/>
      <c r="AB59" s="4708"/>
      <c r="AC59" s="4708"/>
      <c r="AD59" s="4708"/>
      <c r="AE59" s="4708"/>
      <c r="AF59" s="4708"/>
      <c r="AG59" s="4708"/>
      <c r="AH59" s="4708"/>
      <c r="AI59" s="4708"/>
      <c r="AJ59" s="4709"/>
      <c r="AK59" s="4709"/>
      <c r="AL59" s="4709"/>
      <c r="AM59" s="1367"/>
      <c r="AN59" s="1367"/>
      <c r="AO59" s="1367"/>
      <c r="AP59" s="4708"/>
      <c r="AQ59" s="4708"/>
      <c r="AR59" s="4708"/>
      <c r="AS59" s="4708"/>
      <c r="AT59" s="4708"/>
      <c r="AU59" s="4708"/>
      <c r="AV59" s="4708"/>
      <c r="AW59" s="4708"/>
      <c r="AX59" s="4708"/>
      <c r="AY59" s="4709"/>
      <c r="AZ59" s="4709"/>
      <c r="BA59" s="4709"/>
      <c r="BB59" s="19"/>
      <c r="BC59" s="4702"/>
      <c r="BD59" s="4702"/>
      <c r="BE59" s="813"/>
      <c r="BF59" s="813"/>
      <c r="BG59" s="4713"/>
      <c r="BH59" s="4713"/>
      <c r="BI59" s="4713"/>
      <c r="BJ59" s="4713"/>
      <c r="BK59" s="4713"/>
      <c r="BL59" s="4713"/>
      <c r="BM59" s="4713"/>
      <c r="BN59" s="4713"/>
      <c r="BO59" s="4713"/>
      <c r="BP59" s="4713"/>
      <c r="BQ59" s="4713"/>
      <c r="BR59" s="4713"/>
      <c r="BS59" s="19"/>
      <c r="BT59" s="418"/>
      <c r="BU59" s="1582"/>
      <c r="BV59" s="120"/>
      <c r="BW59" s="1331"/>
      <c r="BX59" s="19"/>
      <c r="BY59" s="19"/>
      <c r="BZ59" s="19"/>
      <c r="CA59" s="19"/>
      <c r="CB59" s="19"/>
      <c r="CC59" s="19"/>
    </row>
    <row r="60" spans="1:81" ht="17.100000000000001" customHeight="1" x14ac:dyDescent="0.2">
      <c r="A60" s="19"/>
      <c r="B60" s="19"/>
      <c r="C60" s="19"/>
      <c r="D60" s="19"/>
      <c r="E60" s="1328"/>
      <c r="F60" s="1066"/>
      <c r="G60" s="1581"/>
      <c r="H60" s="19"/>
      <c r="I60" s="19"/>
      <c r="J60" s="1313"/>
      <c r="K60" s="1313"/>
      <c r="L60" s="1313"/>
      <c r="M60" s="1313"/>
      <c r="N60" s="1313"/>
      <c r="O60" s="1313"/>
      <c r="P60" s="1313"/>
      <c r="Q60" s="1313"/>
      <c r="R60" s="1313"/>
      <c r="S60" s="1313"/>
      <c r="T60" s="1313"/>
      <c r="U60" s="1313"/>
      <c r="X60" s="4707"/>
      <c r="Y60" s="4707"/>
      <c r="Z60" s="19"/>
      <c r="AA60" s="4708"/>
      <c r="AB60" s="4708"/>
      <c r="AC60" s="4708"/>
      <c r="AD60" s="4708"/>
      <c r="AE60" s="4708"/>
      <c r="AF60" s="4708"/>
      <c r="AG60" s="4708"/>
      <c r="AH60" s="4708"/>
      <c r="AI60" s="4708"/>
      <c r="AJ60" s="4709"/>
      <c r="AK60" s="4709"/>
      <c r="AL60" s="4709"/>
      <c r="AM60" s="1367"/>
      <c r="AN60" s="1367"/>
      <c r="AO60" s="1367"/>
      <c r="AP60" s="4708"/>
      <c r="AQ60" s="4708"/>
      <c r="AR60" s="4708"/>
      <c r="AS60" s="4708"/>
      <c r="AT60" s="4708"/>
      <c r="AU60" s="4708"/>
      <c r="AV60" s="4708"/>
      <c r="AW60" s="4708"/>
      <c r="AX60" s="4708"/>
      <c r="AY60" s="4709"/>
      <c r="AZ60" s="4709"/>
      <c r="BA60" s="4709"/>
      <c r="BB60" s="19"/>
      <c r="BC60" s="4702"/>
      <c r="BD60" s="4702"/>
      <c r="BE60" s="813"/>
      <c r="BF60" s="813"/>
      <c r="BG60" s="1313"/>
      <c r="BH60" s="1313"/>
      <c r="BI60" s="1313"/>
      <c r="BJ60" s="1313"/>
      <c r="BK60" s="1313"/>
      <c r="BL60" s="1313"/>
      <c r="BM60" s="1313"/>
      <c r="BN60" s="1313"/>
      <c r="BO60" s="1313"/>
      <c r="BP60" s="1313"/>
      <c r="BQ60" s="1313"/>
      <c r="BR60" s="1313"/>
      <c r="BS60" s="19"/>
      <c r="BT60" s="418"/>
      <c r="BU60" s="1582"/>
      <c r="BV60" s="120"/>
      <c r="BW60" s="1331"/>
      <c r="BX60" s="19"/>
      <c r="BY60" s="19"/>
      <c r="BZ60" s="19"/>
      <c r="CA60" s="19"/>
      <c r="CB60" s="19"/>
      <c r="CC60" s="19"/>
    </row>
    <row r="61" spans="1:81" ht="17.100000000000001" customHeight="1" x14ac:dyDescent="0.2">
      <c r="A61" s="19"/>
      <c r="B61" s="19"/>
      <c r="C61" s="19"/>
      <c r="D61" s="19"/>
      <c r="E61" s="1328"/>
      <c r="F61" s="1066"/>
      <c r="G61" s="1581"/>
      <c r="H61" s="19"/>
      <c r="I61" s="19"/>
      <c r="J61" s="4708" t="s">
        <v>957</v>
      </c>
      <c r="K61" s="4708"/>
      <c r="L61" s="4708"/>
      <c r="M61" s="4708"/>
      <c r="N61" s="4708"/>
      <c r="O61" s="4708"/>
      <c r="P61" s="4708"/>
      <c r="Q61" s="4708"/>
      <c r="R61" s="1307" t="s">
        <v>956</v>
      </c>
      <c r="S61" s="1307"/>
      <c r="T61" s="4711">
        <f>SUM(J62:U63)</f>
        <v>0</v>
      </c>
      <c r="U61" s="4711"/>
      <c r="X61" s="4707"/>
      <c r="Y61" s="4707"/>
      <c r="Z61" s="19"/>
      <c r="AA61" s="4708"/>
      <c r="AB61" s="4708"/>
      <c r="AC61" s="4708"/>
      <c r="AD61" s="4708"/>
      <c r="AE61" s="4708"/>
      <c r="AF61" s="4708"/>
      <c r="AG61" s="4708"/>
      <c r="AH61" s="4708"/>
      <c r="AI61" s="4708"/>
      <c r="AJ61" s="4709"/>
      <c r="AK61" s="4709"/>
      <c r="AL61" s="4709"/>
      <c r="AM61" s="1367"/>
      <c r="AN61" s="1367"/>
      <c r="AO61" s="1367"/>
      <c r="AP61" s="4708"/>
      <c r="AQ61" s="4708"/>
      <c r="AR61" s="4708"/>
      <c r="AS61" s="4708"/>
      <c r="AT61" s="4708"/>
      <c r="AU61" s="4708"/>
      <c r="AV61" s="4708"/>
      <c r="AW61" s="4708"/>
      <c r="AX61" s="4708"/>
      <c r="AY61" s="4709"/>
      <c r="AZ61" s="4709"/>
      <c r="BA61" s="4709"/>
      <c r="BB61" s="19"/>
      <c r="BC61" s="4702"/>
      <c r="BD61" s="4702"/>
      <c r="BE61" s="813"/>
      <c r="BF61" s="813"/>
      <c r="BG61" s="4708" t="s">
        <v>959</v>
      </c>
      <c r="BH61" s="4708"/>
      <c r="BI61" s="4708"/>
      <c r="BJ61" s="4708"/>
      <c r="BK61" s="4708"/>
      <c r="BL61" s="4708"/>
      <c r="BM61" s="4708"/>
      <c r="BN61" s="4708"/>
      <c r="BO61" s="1307" t="s">
        <v>956</v>
      </c>
      <c r="BP61" s="1307"/>
      <c r="BQ61" s="4711">
        <f>SUM(BG62:BR63)</f>
        <v>0</v>
      </c>
      <c r="BR61" s="4711"/>
      <c r="BS61" s="19"/>
      <c r="BT61" s="418"/>
      <c r="BU61" s="1582"/>
      <c r="BV61" s="120"/>
      <c r="BW61" s="1331"/>
      <c r="BX61" s="19"/>
      <c r="BY61" s="19"/>
      <c r="BZ61" s="19"/>
      <c r="CA61" s="19"/>
      <c r="CB61" s="19"/>
      <c r="CC61" s="19"/>
    </row>
    <row r="62" spans="1:81" ht="17.100000000000001" customHeight="1" x14ac:dyDescent="0.2">
      <c r="A62" s="19"/>
      <c r="B62" s="19"/>
      <c r="C62" s="19"/>
      <c r="D62" s="19"/>
      <c r="E62" s="1328"/>
      <c r="F62" s="1066"/>
      <c r="G62" s="1581"/>
      <c r="H62" s="19"/>
      <c r="I62" s="19"/>
      <c r="J62" s="4712"/>
      <c r="K62" s="4712"/>
      <c r="L62" s="4712"/>
      <c r="M62" s="4712"/>
      <c r="N62" s="4712"/>
      <c r="O62" s="4712"/>
      <c r="P62" s="4712"/>
      <c r="Q62" s="4712"/>
      <c r="R62" s="4712"/>
      <c r="S62" s="4712"/>
      <c r="T62" s="4712"/>
      <c r="U62" s="4712"/>
      <c r="X62" s="4707"/>
      <c r="Y62" s="4707"/>
      <c r="Z62" s="19"/>
      <c r="AA62" s="4708"/>
      <c r="AB62" s="4708"/>
      <c r="AC62" s="4708"/>
      <c r="AD62" s="4708"/>
      <c r="AE62" s="4708"/>
      <c r="AF62" s="4708"/>
      <c r="AG62" s="4708"/>
      <c r="AH62" s="4708"/>
      <c r="AI62" s="4708"/>
      <c r="AJ62" s="4709"/>
      <c r="AK62" s="4709"/>
      <c r="AL62" s="4709"/>
      <c r="AM62" s="1367"/>
      <c r="AN62" s="1367"/>
      <c r="AO62" s="1367"/>
      <c r="AP62" s="4708"/>
      <c r="AQ62" s="4708"/>
      <c r="AR62" s="4708"/>
      <c r="AS62" s="4708"/>
      <c r="AT62" s="4708"/>
      <c r="AU62" s="4708"/>
      <c r="AV62" s="4708"/>
      <c r="AW62" s="4708"/>
      <c r="AX62" s="4708"/>
      <c r="AY62" s="4709"/>
      <c r="AZ62" s="4709"/>
      <c r="BA62" s="4709"/>
      <c r="BB62" s="19"/>
      <c r="BC62" s="4702"/>
      <c r="BD62" s="4702"/>
      <c r="BE62" s="813"/>
      <c r="BF62" s="813"/>
      <c r="BG62" s="4712"/>
      <c r="BH62" s="4712"/>
      <c r="BI62" s="4712"/>
      <c r="BJ62" s="4712"/>
      <c r="BK62" s="4712"/>
      <c r="BL62" s="4712"/>
      <c r="BM62" s="4712"/>
      <c r="BN62" s="4712"/>
      <c r="BO62" s="4712"/>
      <c r="BP62" s="4712"/>
      <c r="BQ62" s="4712"/>
      <c r="BR62" s="4712"/>
      <c r="BS62" s="19"/>
      <c r="BT62" s="418"/>
      <c r="BU62" s="1582"/>
      <c r="BV62" s="120"/>
      <c r="BW62" s="1331"/>
      <c r="BX62" s="19"/>
      <c r="BY62" s="19"/>
      <c r="BZ62" s="19"/>
      <c r="CA62" s="19"/>
      <c r="CB62" s="19"/>
      <c r="CC62" s="19"/>
    </row>
    <row r="63" spans="1:81" ht="17.100000000000001" customHeight="1" x14ac:dyDescent="0.2">
      <c r="A63" s="19"/>
      <c r="B63" s="19"/>
      <c r="C63" s="19"/>
      <c r="D63" s="19"/>
      <c r="E63" s="1328"/>
      <c r="F63" s="1066"/>
      <c r="G63" s="1581"/>
      <c r="H63" s="19"/>
      <c r="I63" s="19"/>
      <c r="J63" s="4712"/>
      <c r="K63" s="4712"/>
      <c r="L63" s="4712"/>
      <c r="M63" s="4712"/>
      <c r="N63" s="4712"/>
      <c r="O63" s="4712"/>
      <c r="P63" s="4712"/>
      <c r="Q63" s="4712"/>
      <c r="R63" s="4712"/>
      <c r="S63" s="4712"/>
      <c r="T63" s="4712"/>
      <c r="U63" s="4712"/>
      <c r="X63" s="4707"/>
      <c r="Y63" s="4707"/>
      <c r="Z63" s="19"/>
      <c r="AA63" s="4708"/>
      <c r="AB63" s="4708"/>
      <c r="AC63" s="4708"/>
      <c r="AD63" s="4708"/>
      <c r="AE63" s="4708"/>
      <c r="AF63" s="4708"/>
      <c r="AG63" s="4708"/>
      <c r="AH63" s="4708"/>
      <c r="AI63" s="4708"/>
      <c r="AJ63" s="4709"/>
      <c r="AK63" s="4709"/>
      <c r="AL63" s="4709"/>
      <c r="AM63" s="1369"/>
      <c r="AN63" s="1367"/>
      <c r="AO63" s="1367"/>
      <c r="AP63" s="4708"/>
      <c r="AQ63" s="4708"/>
      <c r="AR63" s="4708"/>
      <c r="AS63" s="4708"/>
      <c r="AT63" s="4708"/>
      <c r="AU63" s="4708"/>
      <c r="AV63" s="4708"/>
      <c r="AW63" s="4708"/>
      <c r="AX63" s="4708"/>
      <c r="AY63" s="4709"/>
      <c r="AZ63" s="4709"/>
      <c r="BA63" s="4709"/>
      <c r="BB63" s="19"/>
      <c r="BC63" s="4702"/>
      <c r="BD63" s="4702"/>
      <c r="BE63" s="813"/>
      <c r="BF63" s="813"/>
      <c r="BG63" s="4712"/>
      <c r="BH63" s="4712"/>
      <c r="BI63" s="4712"/>
      <c r="BJ63" s="4712"/>
      <c r="BK63" s="4712"/>
      <c r="BL63" s="4712"/>
      <c r="BM63" s="4712"/>
      <c r="BN63" s="4712"/>
      <c r="BO63" s="4712"/>
      <c r="BP63" s="4712"/>
      <c r="BQ63" s="4712"/>
      <c r="BR63" s="4712"/>
      <c r="BS63" s="19"/>
      <c r="BT63" s="418"/>
      <c r="BU63" s="1582"/>
      <c r="BV63" s="120"/>
      <c r="BW63" s="1331"/>
      <c r="BX63" s="19"/>
      <c r="BY63" s="19"/>
      <c r="BZ63" s="19"/>
      <c r="CA63" s="19"/>
      <c r="CB63" s="19"/>
      <c r="CC63" s="19"/>
    </row>
    <row r="64" spans="1:81" ht="17.100000000000001" customHeight="1" x14ac:dyDescent="0.2">
      <c r="A64" s="19"/>
      <c r="B64" s="19"/>
      <c r="C64" s="19"/>
      <c r="D64" s="19"/>
      <c r="E64" s="1328"/>
      <c r="F64" s="1066"/>
      <c r="G64" s="1581"/>
      <c r="H64" s="19"/>
      <c r="I64" s="19"/>
      <c r="J64" s="1313"/>
      <c r="K64" s="1313"/>
      <c r="L64" s="1313"/>
      <c r="M64" s="1313"/>
      <c r="N64" s="1313"/>
      <c r="O64" s="1313"/>
      <c r="P64" s="1313"/>
      <c r="Q64" s="1313"/>
      <c r="R64" s="1313"/>
      <c r="S64" s="1313"/>
      <c r="T64" s="1313"/>
      <c r="U64" s="1313"/>
      <c r="X64" s="4707"/>
      <c r="Y64" s="4707"/>
      <c r="Z64" s="19"/>
      <c r="AA64" s="4708"/>
      <c r="AB64" s="4708"/>
      <c r="AC64" s="4708"/>
      <c r="AD64" s="4708"/>
      <c r="AE64" s="4708"/>
      <c r="AF64" s="4708"/>
      <c r="AG64" s="4708"/>
      <c r="AH64" s="4708"/>
      <c r="AI64" s="4708"/>
      <c r="AJ64" s="4709"/>
      <c r="AK64" s="4709"/>
      <c r="AL64" s="4709"/>
      <c r="AM64" s="1367"/>
      <c r="AN64" s="1367"/>
      <c r="AO64" s="1367"/>
      <c r="AP64" s="4708"/>
      <c r="AQ64" s="4708"/>
      <c r="AR64" s="4708"/>
      <c r="AS64" s="4708"/>
      <c r="AT64" s="4708"/>
      <c r="AU64" s="4708"/>
      <c r="AV64" s="4708"/>
      <c r="AW64" s="4708"/>
      <c r="AX64" s="4708"/>
      <c r="AY64" s="4709"/>
      <c r="AZ64" s="4709"/>
      <c r="BA64" s="4709"/>
      <c r="BB64" s="19"/>
      <c r="BC64" s="4702"/>
      <c r="BD64" s="4702"/>
      <c r="BE64" s="813"/>
      <c r="BF64" s="813"/>
      <c r="BG64" s="1313"/>
      <c r="BH64" s="1313"/>
      <c r="BI64" s="1313"/>
      <c r="BJ64" s="1313"/>
      <c r="BK64" s="1313"/>
      <c r="BL64" s="1313"/>
      <c r="BM64" s="1313"/>
      <c r="BN64" s="1313"/>
      <c r="BO64" s="1313"/>
      <c r="BP64" s="1313"/>
      <c r="BQ64" s="1313"/>
      <c r="BR64" s="1313"/>
      <c r="BS64" s="19"/>
      <c r="BT64" s="418"/>
      <c r="BU64" s="1582"/>
      <c r="BV64" s="120"/>
      <c r="BW64" s="1331"/>
      <c r="BX64" s="19"/>
      <c r="BY64" s="19"/>
      <c r="BZ64" s="19"/>
      <c r="CA64" s="19"/>
      <c r="CB64" s="19"/>
      <c r="CC64" s="19"/>
    </row>
    <row r="65" spans="1:111" ht="17.100000000000001" customHeight="1" x14ac:dyDescent="0.2">
      <c r="A65" s="19"/>
      <c r="B65" s="19"/>
      <c r="C65" s="19"/>
      <c r="D65" s="19"/>
      <c r="E65" s="1328"/>
      <c r="F65" s="1066"/>
      <c r="G65" s="1581"/>
      <c r="H65" s="19"/>
      <c r="I65" s="19"/>
      <c r="J65" s="4708" t="s">
        <v>470</v>
      </c>
      <c r="K65" s="4708"/>
      <c r="L65" s="4708"/>
      <c r="M65" s="4708"/>
      <c r="N65" s="4708"/>
      <c r="O65" s="4708"/>
      <c r="P65" s="4708"/>
      <c r="Q65" s="4708"/>
      <c r="R65" s="1307" t="s">
        <v>956</v>
      </c>
      <c r="S65" s="1307"/>
      <c r="T65" s="4711">
        <f>SUM(M67:N69,T67:U69)</f>
        <v>0</v>
      </c>
      <c r="U65" s="4711"/>
      <c r="X65" s="4710"/>
      <c r="Y65" s="4707"/>
      <c r="Z65" s="19"/>
      <c r="AA65" s="4708"/>
      <c r="AB65" s="4708"/>
      <c r="AC65" s="4708"/>
      <c r="AD65" s="4708"/>
      <c r="AE65" s="4708"/>
      <c r="AF65" s="4708"/>
      <c r="AG65" s="4708"/>
      <c r="AH65" s="4708"/>
      <c r="AI65" s="4708"/>
      <c r="AJ65" s="4709"/>
      <c r="AK65" s="4709"/>
      <c r="AL65" s="4709"/>
      <c r="AM65" s="1367"/>
      <c r="AN65" s="1367"/>
      <c r="AO65" s="1367"/>
      <c r="AP65" s="4708"/>
      <c r="AQ65" s="4708"/>
      <c r="AR65" s="4708"/>
      <c r="AS65" s="4708"/>
      <c r="AT65" s="4708"/>
      <c r="AU65" s="4708"/>
      <c r="AV65" s="4708"/>
      <c r="AW65" s="4708"/>
      <c r="AX65" s="4708"/>
      <c r="AY65" s="4709"/>
      <c r="AZ65" s="4709"/>
      <c r="BA65" s="4709"/>
      <c r="BB65" s="19"/>
      <c r="BC65" s="4702"/>
      <c r="BD65" s="4702"/>
      <c r="BE65" s="813"/>
      <c r="BF65" s="813"/>
      <c r="BG65" s="4708" t="s">
        <v>470</v>
      </c>
      <c r="BH65" s="4708"/>
      <c r="BI65" s="4708"/>
      <c r="BJ65" s="4708"/>
      <c r="BK65" s="4708"/>
      <c r="BL65" s="4708"/>
      <c r="BM65" s="4708"/>
      <c r="BN65" s="4708"/>
      <c r="BO65" s="1307" t="s">
        <v>956</v>
      </c>
      <c r="BP65" s="1307"/>
      <c r="BQ65" s="4711">
        <f>SUM(BJ67:BK69,BQ67:BR69)</f>
        <v>0</v>
      </c>
      <c r="BR65" s="4711"/>
      <c r="BS65" s="19"/>
      <c r="BT65" s="418"/>
      <c r="BU65" s="1582"/>
      <c r="BV65" s="120"/>
      <c r="BW65" s="1331"/>
      <c r="BX65" s="19"/>
      <c r="BY65" s="19"/>
      <c r="BZ65" s="19"/>
      <c r="CA65" s="19"/>
      <c r="CB65" s="19"/>
      <c r="CC65" s="19"/>
    </row>
    <row r="66" spans="1:111" ht="17.100000000000001" customHeight="1" x14ac:dyDescent="0.2">
      <c r="A66" s="19"/>
      <c r="B66" s="19"/>
      <c r="C66" s="19"/>
      <c r="D66" s="19"/>
      <c r="E66" s="1328"/>
      <c r="F66" s="1066"/>
      <c r="G66" s="1581"/>
      <c r="H66" s="19"/>
      <c r="I66" s="19"/>
      <c r="J66" s="1305" t="s">
        <v>840</v>
      </c>
      <c r="K66" s="1305"/>
      <c r="L66" s="1305"/>
      <c r="M66" s="1305"/>
      <c r="N66" s="1306" t="s">
        <v>841</v>
      </c>
      <c r="O66" s="1305"/>
      <c r="P66" s="1305"/>
      <c r="Q66" s="1305" t="s">
        <v>840</v>
      </c>
      <c r="R66" s="1305"/>
      <c r="S66" s="1305"/>
      <c r="T66" s="1305"/>
      <c r="U66" s="1306" t="s">
        <v>841</v>
      </c>
      <c r="X66" s="4710"/>
      <c r="Y66" s="4707"/>
      <c r="Z66" s="19"/>
      <c r="AA66" s="4708"/>
      <c r="AB66" s="4708"/>
      <c r="AC66" s="4708"/>
      <c r="AD66" s="4708"/>
      <c r="AE66" s="4708"/>
      <c r="AF66" s="4708"/>
      <c r="AG66" s="4708"/>
      <c r="AH66" s="4708"/>
      <c r="AI66" s="4708"/>
      <c r="AJ66" s="4709"/>
      <c r="AK66" s="4709"/>
      <c r="AL66" s="4709"/>
      <c r="AM66" s="1367"/>
      <c r="AN66" s="1367"/>
      <c r="AO66" s="1367"/>
      <c r="AP66" s="4708"/>
      <c r="AQ66" s="4708"/>
      <c r="AR66" s="4708"/>
      <c r="AS66" s="4708"/>
      <c r="AT66" s="4708"/>
      <c r="AU66" s="4708"/>
      <c r="AV66" s="4708"/>
      <c r="AW66" s="4708"/>
      <c r="AX66" s="4708"/>
      <c r="AY66" s="4709"/>
      <c r="AZ66" s="4709"/>
      <c r="BA66" s="4709"/>
      <c r="BB66" s="19"/>
      <c r="BC66" s="4702"/>
      <c r="BD66" s="4702"/>
      <c r="BE66" s="813"/>
      <c r="BF66" s="813"/>
      <c r="BG66" s="1305" t="s">
        <v>840</v>
      </c>
      <c r="BH66" s="1305"/>
      <c r="BI66" s="1305"/>
      <c r="BJ66" s="1305"/>
      <c r="BK66" s="1306" t="s">
        <v>841</v>
      </c>
      <c r="BL66" s="1305"/>
      <c r="BM66" s="1305"/>
      <c r="BN66" s="1305" t="s">
        <v>840</v>
      </c>
      <c r="BO66" s="1305"/>
      <c r="BP66" s="1305"/>
      <c r="BQ66" s="1305"/>
      <c r="BR66" s="1306" t="s">
        <v>841</v>
      </c>
      <c r="BS66" s="19"/>
      <c r="BT66" s="418"/>
      <c r="BU66" s="1582"/>
      <c r="BV66" s="120"/>
      <c r="BW66" s="1331"/>
      <c r="BX66" s="19"/>
      <c r="BY66" s="19"/>
      <c r="BZ66" s="19"/>
      <c r="CA66" s="19"/>
      <c r="CB66" s="19"/>
      <c r="CC66" s="19"/>
    </row>
    <row r="67" spans="1:111" ht="17.100000000000001" customHeight="1" x14ac:dyDescent="0.2">
      <c r="A67" s="19"/>
      <c r="B67" s="19"/>
      <c r="C67" s="19"/>
      <c r="D67" s="19"/>
      <c r="E67" s="1328"/>
      <c r="F67" s="1066"/>
      <c r="G67" s="1581"/>
      <c r="H67" s="19"/>
      <c r="I67" s="19"/>
      <c r="J67" s="4703"/>
      <c r="K67" s="4703"/>
      <c r="L67" s="4703"/>
      <c r="M67" s="4704"/>
      <c r="N67" s="4704"/>
      <c r="O67" s="1074"/>
      <c r="P67" s="1074"/>
      <c r="Q67" s="4703"/>
      <c r="R67" s="4703"/>
      <c r="S67" s="4703"/>
      <c r="T67" s="4704"/>
      <c r="U67" s="4704"/>
      <c r="X67" s="4710"/>
      <c r="Y67" s="4707"/>
      <c r="Z67" s="19"/>
      <c r="AA67" s="4708"/>
      <c r="AB67" s="4708"/>
      <c r="AC67" s="4708"/>
      <c r="AD67" s="4708"/>
      <c r="AE67" s="4708"/>
      <c r="AF67" s="4708"/>
      <c r="AG67" s="4708"/>
      <c r="AH67" s="4708"/>
      <c r="AI67" s="4708"/>
      <c r="AJ67" s="4709"/>
      <c r="AK67" s="4709"/>
      <c r="AL67" s="4709"/>
      <c r="AM67" s="1367"/>
      <c r="AN67" s="1367"/>
      <c r="AO67" s="1367"/>
      <c r="AP67" s="4708"/>
      <c r="AQ67" s="4708"/>
      <c r="AR67" s="4708"/>
      <c r="AS67" s="4708"/>
      <c r="AT67" s="4708"/>
      <c r="AU67" s="4708"/>
      <c r="AV67" s="4708"/>
      <c r="AW67" s="4708"/>
      <c r="AX67" s="4708"/>
      <c r="AY67" s="4709"/>
      <c r="AZ67" s="4709"/>
      <c r="BA67" s="4709"/>
      <c r="BB67" s="19"/>
      <c r="BC67" s="4702"/>
      <c r="BD67" s="4702"/>
      <c r="BE67" s="813"/>
      <c r="BF67" s="813"/>
      <c r="BG67" s="4703"/>
      <c r="BH67" s="4703"/>
      <c r="BI67" s="4703"/>
      <c r="BJ67" s="4704"/>
      <c r="BK67" s="4704"/>
      <c r="BL67" s="1074"/>
      <c r="BM67" s="1074"/>
      <c r="BN67" s="4703"/>
      <c r="BO67" s="4703"/>
      <c r="BP67" s="4703"/>
      <c r="BQ67" s="4704"/>
      <c r="BR67" s="4704"/>
      <c r="BS67" s="19"/>
      <c r="BT67" s="418"/>
      <c r="BU67" s="1582"/>
      <c r="BV67" s="120"/>
      <c r="BW67" s="1331"/>
      <c r="BX67" s="19"/>
      <c r="BY67" s="19"/>
      <c r="BZ67" s="19"/>
      <c r="CA67" s="19"/>
      <c r="CB67" s="19"/>
      <c r="CC67" s="19"/>
    </row>
    <row r="68" spans="1:111" ht="17.100000000000001" customHeight="1" x14ac:dyDescent="0.2">
      <c r="A68" s="19"/>
      <c r="B68" s="19"/>
      <c r="C68" s="19"/>
      <c r="D68" s="19"/>
      <c r="E68" s="1328"/>
      <c r="F68" s="1066"/>
      <c r="G68" s="1581"/>
      <c r="H68" s="19"/>
      <c r="I68" s="19"/>
      <c r="J68" s="4703"/>
      <c r="K68" s="4703"/>
      <c r="L68" s="4703"/>
      <c r="M68" s="4704"/>
      <c r="N68" s="4704"/>
      <c r="O68" s="1074"/>
      <c r="P68" s="1074"/>
      <c r="Q68" s="4703"/>
      <c r="R68" s="4703"/>
      <c r="S68" s="4703"/>
      <c r="T68" s="4704"/>
      <c r="U68" s="4704"/>
      <c r="X68" s="4710"/>
      <c r="Y68" s="4707"/>
      <c r="Z68" s="19"/>
      <c r="AA68" s="4708"/>
      <c r="AB68" s="4708"/>
      <c r="AC68" s="4708"/>
      <c r="AD68" s="4708"/>
      <c r="AE68" s="4708"/>
      <c r="AF68" s="4708"/>
      <c r="AG68" s="4708"/>
      <c r="AH68" s="4708"/>
      <c r="AI68" s="4708"/>
      <c r="AJ68" s="4709"/>
      <c r="AK68" s="4709"/>
      <c r="AL68" s="4709"/>
      <c r="AM68" s="1367"/>
      <c r="AN68" s="1367"/>
      <c r="AO68" s="1367"/>
      <c r="AP68" s="4708"/>
      <c r="AQ68" s="4708"/>
      <c r="AR68" s="4708"/>
      <c r="AS68" s="4708"/>
      <c r="AT68" s="4708"/>
      <c r="AU68" s="4708"/>
      <c r="AV68" s="4708"/>
      <c r="AW68" s="4708"/>
      <c r="AX68" s="4708"/>
      <c r="AY68" s="4709"/>
      <c r="AZ68" s="4709"/>
      <c r="BA68" s="4709"/>
      <c r="BB68" s="19"/>
      <c r="BC68" s="4702"/>
      <c r="BD68" s="4702"/>
      <c r="BE68" s="813"/>
      <c r="BF68" s="813"/>
      <c r="BG68" s="4703"/>
      <c r="BH68" s="4703"/>
      <c r="BI68" s="4703"/>
      <c r="BJ68" s="4704"/>
      <c r="BK68" s="4704"/>
      <c r="BL68" s="1074"/>
      <c r="BM68" s="1074"/>
      <c r="BN68" s="4703"/>
      <c r="BO68" s="4703"/>
      <c r="BP68" s="4703"/>
      <c r="BQ68" s="4704"/>
      <c r="BR68" s="4704"/>
      <c r="BS68" s="19"/>
      <c r="BT68" s="418"/>
      <c r="BU68" s="1582"/>
      <c r="BV68" s="120"/>
      <c r="BW68" s="1331"/>
      <c r="BX68" s="19"/>
      <c r="BY68" s="19"/>
      <c r="BZ68" s="19"/>
      <c r="CA68" s="19"/>
      <c r="CB68" s="19"/>
      <c r="CC68" s="19"/>
    </row>
    <row r="69" spans="1:111" ht="17.100000000000001" customHeight="1" x14ac:dyDescent="0.2">
      <c r="A69" s="19"/>
      <c r="B69" s="19"/>
      <c r="C69" s="19"/>
      <c r="D69" s="19"/>
      <c r="E69" s="1328"/>
      <c r="F69" s="1066"/>
      <c r="G69" s="1581"/>
      <c r="H69" s="19"/>
      <c r="I69" s="19"/>
      <c r="J69" s="4703"/>
      <c r="K69" s="4703"/>
      <c r="L69" s="4703"/>
      <c r="M69" s="4704"/>
      <c r="N69" s="4704"/>
      <c r="O69" s="1074"/>
      <c r="P69" s="1074"/>
      <c r="Q69" s="4703"/>
      <c r="R69" s="4703"/>
      <c r="S69" s="4703"/>
      <c r="T69" s="4704"/>
      <c r="U69" s="4704"/>
      <c r="X69" s="4707"/>
      <c r="Y69" s="4707"/>
      <c r="Z69" s="19"/>
      <c r="AA69" s="4708"/>
      <c r="AB69" s="4708"/>
      <c r="AC69" s="4708"/>
      <c r="AD69" s="4708"/>
      <c r="AE69" s="4708"/>
      <c r="AF69" s="4708"/>
      <c r="AG69" s="4708"/>
      <c r="AH69" s="4708"/>
      <c r="AI69" s="4708"/>
      <c r="AJ69" s="4709"/>
      <c r="AK69" s="4709"/>
      <c r="AL69" s="4709"/>
      <c r="AM69" s="1367"/>
      <c r="AN69" s="1367"/>
      <c r="AO69" s="1367"/>
      <c r="AP69" s="4708"/>
      <c r="AQ69" s="4708"/>
      <c r="AR69" s="4708"/>
      <c r="AS69" s="4708"/>
      <c r="AT69" s="4708"/>
      <c r="AU69" s="4708"/>
      <c r="AV69" s="4708"/>
      <c r="AW69" s="4708"/>
      <c r="AX69" s="4708"/>
      <c r="AY69" s="4709"/>
      <c r="AZ69" s="4709"/>
      <c r="BA69" s="4709"/>
      <c r="BB69" s="19"/>
      <c r="BC69" s="4702"/>
      <c r="BD69" s="4702"/>
      <c r="BE69" s="813"/>
      <c r="BF69" s="813"/>
      <c r="BG69" s="4703"/>
      <c r="BH69" s="4703"/>
      <c r="BI69" s="4703"/>
      <c r="BJ69" s="4704"/>
      <c r="BK69" s="4704"/>
      <c r="BL69" s="1074"/>
      <c r="BM69" s="1074"/>
      <c r="BN69" s="4703"/>
      <c r="BO69" s="4703"/>
      <c r="BP69" s="4703"/>
      <c r="BQ69" s="4704"/>
      <c r="BR69" s="4704"/>
      <c r="BS69" s="19"/>
      <c r="BT69" s="418"/>
      <c r="BU69" s="1582"/>
      <c r="BV69" s="120"/>
      <c r="BW69" s="1331"/>
      <c r="BX69" s="19"/>
      <c r="BY69" s="19"/>
      <c r="BZ69" s="19"/>
      <c r="CA69" s="19"/>
      <c r="CB69" s="19"/>
      <c r="CC69" s="19"/>
    </row>
    <row r="70" spans="1:111" ht="17.100000000000001" customHeight="1" thickBot="1" x14ac:dyDescent="0.25">
      <c r="A70" s="19"/>
      <c r="B70" s="19"/>
      <c r="C70" s="19"/>
      <c r="D70" s="19"/>
      <c r="E70" s="1328"/>
      <c r="F70" s="1066"/>
      <c r="G70" s="1583"/>
      <c r="H70" s="4705"/>
      <c r="I70" s="4705"/>
      <c r="J70" s="4705"/>
      <c r="K70" s="4706"/>
      <c r="L70" s="4706"/>
      <c r="M70" s="1584"/>
      <c r="N70" s="1585"/>
      <c r="O70" s="4705"/>
      <c r="P70" s="4705"/>
      <c r="Q70" s="4705"/>
      <c r="R70" s="4706"/>
      <c r="S70" s="4706"/>
      <c r="T70" s="1586"/>
      <c r="U70" s="1587"/>
      <c r="V70" s="1587"/>
      <c r="W70" s="1587"/>
      <c r="X70" s="1588"/>
      <c r="Y70" s="1588"/>
      <c r="Z70" s="1589"/>
      <c r="AA70" s="1590"/>
      <c r="AB70" s="1590"/>
      <c r="AC70" s="1590"/>
      <c r="AD70" s="1590"/>
      <c r="AE70" s="1590"/>
      <c r="AF70" s="1590"/>
      <c r="AG70" s="1590"/>
      <c r="AH70" s="1590"/>
      <c r="AI70" s="1590"/>
      <c r="AJ70" s="1585"/>
      <c r="AK70" s="1585"/>
      <c r="AL70" s="1585"/>
      <c r="AM70" s="1591"/>
      <c r="AN70" s="1591"/>
      <c r="AO70" s="1591"/>
      <c r="AP70" s="1590"/>
      <c r="AQ70" s="1590"/>
      <c r="AR70" s="1590"/>
      <c r="AS70" s="1590"/>
      <c r="AT70" s="1590"/>
      <c r="AU70" s="1590"/>
      <c r="AV70" s="1590"/>
      <c r="AW70" s="1590"/>
      <c r="AX70" s="1590"/>
      <c r="AY70" s="1585"/>
      <c r="AZ70" s="1585"/>
      <c r="BA70" s="1585"/>
      <c r="BB70" s="1589"/>
      <c r="BC70" s="1588"/>
      <c r="BD70" s="1588"/>
      <c r="BE70" s="1591"/>
      <c r="BF70" s="1591"/>
      <c r="BG70" s="1592"/>
      <c r="BH70" s="1592"/>
      <c r="BI70" s="1592"/>
      <c r="BJ70" s="1592"/>
      <c r="BK70" s="1592"/>
      <c r="BL70" s="1592"/>
      <c r="BM70" s="1592"/>
      <c r="BN70" s="1592"/>
      <c r="BO70" s="1592"/>
      <c r="BP70" s="1592"/>
      <c r="BQ70" s="1592"/>
      <c r="BR70" s="1592"/>
      <c r="BS70" s="1592"/>
      <c r="BT70" s="1592"/>
      <c r="BU70" s="1593"/>
      <c r="BV70" s="120"/>
      <c r="BW70" s="1331"/>
      <c r="BX70" s="19"/>
      <c r="BY70" s="19"/>
      <c r="BZ70" s="19"/>
      <c r="CA70" s="19"/>
      <c r="CB70" s="19"/>
      <c r="CC70" s="19"/>
    </row>
    <row r="71" spans="1:111" ht="17.100000000000001" customHeight="1" thickTop="1" x14ac:dyDescent="0.2">
      <c r="A71" s="19"/>
      <c r="B71" s="19"/>
      <c r="C71" s="19"/>
      <c r="D71" s="19"/>
      <c r="E71" s="1328"/>
      <c r="F71" s="1336"/>
      <c r="G71" s="1337"/>
      <c r="H71" s="1337"/>
      <c r="I71" s="1337"/>
      <c r="J71" s="1337"/>
      <c r="K71" s="1337"/>
      <c r="L71" s="1337"/>
      <c r="M71" s="1337"/>
      <c r="N71" s="1337"/>
      <c r="O71" s="1337"/>
      <c r="P71" s="1337"/>
      <c r="Q71" s="1337"/>
      <c r="R71" s="605"/>
      <c r="S71" s="17"/>
      <c r="T71" s="1338"/>
      <c r="U71" s="1338"/>
      <c r="V71" s="1338"/>
      <c r="W71" s="1338"/>
      <c r="X71" s="1339"/>
      <c r="Y71" s="1338"/>
      <c r="Z71" s="1338"/>
      <c r="AA71" s="1338"/>
      <c r="AB71" s="1340"/>
      <c r="AC71" s="1338"/>
      <c r="AD71" s="1338"/>
      <c r="AE71" s="1338"/>
      <c r="AF71" s="1338"/>
      <c r="AG71" s="1338"/>
      <c r="AH71" s="1338"/>
      <c r="AI71" s="1338"/>
      <c r="AJ71" s="1338"/>
      <c r="AK71" s="1338"/>
      <c r="AL71" s="1338"/>
      <c r="AM71" s="1338"/>
      <c r="AN71" s="1338"/>
      <c r="AO71" s="1338"/>
      <c r="AP71" s="1338"/>
      <c r="AQ71" s="1338"/>
      <c r="AR71" s="1338"/>
      <c r="AS71" s="1338"/>
      <c r="AT71" s="605"/>
      <c r="AU71" s="1338"/>
      <c r="AV71" s="1338"/>
      <c r="AW71" s="1338"/>
      <c r="AX71" s="1338"/>
      <c r="AY71" s="1338"/>
      <c r="AZ71" s="1338"/>
      <c r="BA71" s="1338"/>
      <c r="BB71" s="1338"/>
      <c r="BC71" s="1338"/>
      <c r="BD71" s="1338"/>
      <c r="BE71" s="1338"/>
      <c r="BF71" s="1338"/>
      <c r="BG71" s="1338"/>
      <c r="BH71" s="1338"/>
      <c r="BI71" s="1338"/>
      <c r="BJ71" s="1338"/>
      <c r="BK71" s="1338"/>
      <c r="BL71" s="1338"/>
      <c r="BM71" s="1338"/>
      <c r="BN71" s="1338"/>
      <c r="BO71" s="1338"/>
      <c r="BP71" s="1338"/>
      <c r="BQ71" s="1338"/>
      <c r="BR71" s="1338"/>
      <c r="BS71" s="605"/>
      <c r="BT71" s="605"/>
      <c r="BU71" s="605"/>
      <c r="BV71" s="17"/>
      <c r="BW71" s="1331"/>
      <c r="BX71" s="19"/>
      <c r="BY71" s="19"/>
      <c r="BZ71" s="19"/>
      <c r="CA71" s="19"/>
      <c r="CB71" s="19"/>
      <c r="CC71" s="19"/>
    </row>
    <row r="72" spans="1:111" ht="17.100000000000001" customHeight="1" thickBot="1" x14ac:dyDescent="0.25">
      <c r="A72" s="19"/>
      <c r="B72" s="19"/>
      <c r="C72" s="19"/>
      <c r="D72" s="19"/>
      <c r="E72" s="1341"/>
      <c r="F72" s="1342"/>
      <c r="G72" s="1342"/>
      <c r="H72" s="1342"/>
      <c r="I72" s="1342"/>
      <c r="J72" s="1342"/>
      <c r="K72" s="1342"/>
      <c r="L72" s="1342"/>
      <c r="M72" s="1342"/>
      <c r="N72" s="1342"/>
      <c r="O72" s="1342"/>
      <c r="P72" s="1342"/>
      <c r="Q72" s="1342"/>
      <c r="R72" s="1342"/>
      <c r="S72" s="1342"/>
      <c r="T72" s="1342"/>
      <c r="U72" s="1342"/>
      <c r="V72" s="1342"/>
      <c r="W72" s="1342"/>
      <c r="X72" s="1342"/>
      <c r="Y72" s="1342"/>
      <c r="Z72" s="1342"/>
      <c r="AA72" s="796"/>
      <c r="AB72" s="796"/>
      <c r="AC72" s="4701" t="s">
        <v>971</v>
      </c>
      <c r="AD72" s="4701"/>
      <c r="AE72" s="4701"/>
      <c r="AF72" s="4701"/>
      <c r="AG72" s="4701"/>
      <c r="AH72" s="4701"/>
      <c r="AI72" s="4701"/>
      <c r="AJ72" s="4701"/>
      <c r="AK72" s="4701"/>
      <c r="AL72" s="4701"/>
      <c r="AM72" s="4701"/>
      <c r="AN72" s="4701"/>
      <c r="AO72" s="4701"/>
      <c r="AP72" s="4701"/>
      <c r="AQ72" s="4701"/>
      <c r="AR72" s="4701"/>
      <c r="AS72" s="4701"/>
      <c r="AT72" s="4701"/>
      <c r="AU72" s="4701"/>
      <c r="AV72" s="4701"/>
      <c r="AW72" s="4701"/>
      <c r="AX72" s="4701"/>
      <c r="AY72" s="4701"/>
      <c r="AZ72" s="796"/>
      <c r="BA72" s="796"/>
      <c r="BB72" s="1342"/>
      <c r="BC72" s="1342"/>
      <c r="BD72" s="1342"/>
      <c r="BE72" s="1342"/>
      <c r="BF72" s="1342"/>
      <c r="BG72" s="1342"/>
      <c r="BH72" s="1342"/>
      <c r="BI72" s="1342"/>
      <c r="BJ72" s="1342"/>
      <c r="BK72" s="1342"/>
      <c r="BL72" s="1342"/>
      <c r="BM72" s="1342"/>
      <c r="BN72" s="1342"/>
      <c r="BO72" s="1342"/>
      <c r="BP72" s="1342"/>
      <c r="BQ72" s="1342"/>
      <c r="BR72" s="1342"/>
      <c r="BS72" s="1342"/>
      <c r="BT72" s="1342"/>
      <c r="BU72" s="1342"/>
      <c r="BV72" s="1342"/>
      <c r="BW72" s="1343"/>
      <c r="BX72" s="19"/>
      <c r="BY72" s="19"/>
      <c r="BZ72" s="19"/>
      <c r="CA72" s="19"/>
      <c r="CB72" s="19"/>
      <c r="CC72" s="19"/>
      <c r="DG72" s="38"/>
    </row>
    <row r="73" spans="1:111" ht="17.100000000000001" customHeight="1" thickTop="1" x14ac:dyDescent="0.2">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328"/>
      <c r="AB73" s="1336"/>
      <c r="AC73" s="4701"/>
      <c r="AD73" s="4701"/>
      <c r="AE73" s="4701"/>
      <c r="AF73" s="4701"/>
      <c r="AG73" s="4701"/>
      <c r="AH73" s="4701"/>
      <c r="AI73" s="4701"/>
      <c r="AJ73" s="4701"/>
      <c r="AK73" s="4701"/>
      <c r="AL73" s="4701"/>
      <c r="AM73" s="4701"/>
      <c r="AN73" s="4701"/>
      <c r="AO73" s="4701"/>
      <c r="AP73" s="4701"/>
      <c r="AQ73" s="4701"/>
      <c r="AR73" s="4701"/>
      <c r="AS73" s="4701"/>
      <c r="AT73" s="4701"/>
      <c r="AU73" s="4701"/>
      <c r="AV73" s="4701"/>
      <c r="AW73" s="4701"/>
      <c r="AX73" s="4701"/>
      <c r="AY73" s="4701"/>
      <c r="AZ73" s="17"/>
      <c r="BA73" s="1331"/>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DG73" s="38"/>
    </row>
    <row r="74" spans="1:111" ht="17.100000000000001" customHeight="1" thickBot="1" x14ac:dyDescent="0.25">
      <c r="A74" s="19"/>
      <c r="B74" s="19"/>
      <c r="C74" s="19"/>
      <c r="D74" s="19"/>
      <c r="E74" s="1316"/>
      <c r="Q74" s="19"/>
      <c r="R74" s="19"/>
      <c r="S74" s="19"/>
      <c r="T74" s="19"/>
      <c r="AA74" s="1341"/>
      <c r="AB74" s="1342"/>
      <c r="AC74" s="1342"/>
      <c r="AD74" s="1342"/>
      <c r="AE74" s="1342"/>
      <c r="AF74" s="1342"/>
      <c r="AG74" s="1342"/>
      <c r="AH74" s="1342"/>
      <c r="AI74" s="1342"/>
      <c r="AJ74" s="1342"/>
      <c r="AK74" s="1342"/>
      <c r="AL74" s="1342"/>
      <c r="AM74" s="1342"/>
      <c r="AN74" s="1342"/>
      <c r="AO74" s="1342"/>
      <c r="AP74" s="1342"/>
      <c r="AQ74" s="1342"/>
      <c r="AR74" s="1342"/>
      <c r="AS74" s="1342"/>
      <c r="AT74" s="1342"/>
      <c r="AU74" s="1342"/>
      <c r="AV74" s="1342"/>
      <c r="AW74" s="1342"/>
      <c r="AX74" s="1342"/>
      <c r="AY74" s="1342"/>
      <c r="AZ74" s="1342"/>
      <c r="BA74" s="1343"/>
      <c r="BW74" s="1316"/>
      <c r="BX74" s="19"/>
      <c r="BY74" s="19"/>
      <c r="BZ74" s="19"/>
      <c r="CA74" s="19"/>
      <c r="CB74" s="19"/>
      <c r="CC74" s="19"/>
      <c r="DG74" s="38"/>
    </row>
    <row r="75" spans="1:111" ht="17.100000000000001" customHeight="1" thickTop="1" x14ac:dyDescent="0.2">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W75" s="2950"/>
      <c r="CX75" s="2950"/>
      <c r="CY75" s="2950"/>
      <c r="CZ75" s="2950"/>
      <c r="DG75" s="38"/>
    </row>
    <row r="76" spans="1:111" ht="17.100000000000001" customHeight="1" x14ac:dyDescent="0.2">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34" t="s">
        <v>9</v>
      </c>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DG76" s="38"/>
    </row>
    <row r="77" spans="1:111" ht="17.100000000000001" customHeight="1" x14ac:dyDescent="0.2">
      <c r="C77" s="814"/>
      <c r="D77" s="814"/>
      <c r="E77" s="814"/>
      <c r="F77" s="814"/>
      <c r="G77" s="814"/>
      <c r="H77" s="814"/>
      <c r="I77" s="814"/>
      <c r="J77" s="814"/>
      <c r="K77" s="814"/>
      <c r="L77" s="814"/>
      <c r="M77" s="814"/>
      <c r="N77" s="814"/>
      <c r="O77" s="814"/>
      <c r="P77" s="814"/>
      <c r="Q77" s="814"/>
      <c r="R77" s="814"/>
      <c r="S77" s="814"/>
      <c r="T77" s="814"/>
      <c r="U77" s="814"/>
      <c r="V77" s="814"/>
      <c r="W77" s="814"/>
      <c r="X77" s="814"/>
      <c r="Y77" s="814"/>
      <c r="Z77" s="28"/>
      <c r="AA77" s="19"/>
      <c r="AB77" s="19"/>
      <c r="AC77" s="19"/>
      <c r="AD77" s="19"/>
      <c r="AE77" s="19"/>
      <c r="AF77" s="19"/>
      <c r="AG77" s="19"/>
      <c r="AH77" s="19"/>
      <c r="AI77" s="19"/>
      <c r="AJ77" s="19"/>
      <c r="AK77" s="19"/>
      <c r="AL77" s="19"/>
      <c r="AM77" s="19"/>
      <c r="AN77" s="34" t="s">
        <v>9</v>
      </c>
      <c r="AO77" s="19"/>
      <c r="AP77" s="19"/>
      <c r="AQ77" s="19"/>
      <c r="AR77" s="19"/>
      <c r="AS77" s="19"/>
      <c r="AT77" s="19"/>
      <c r="AU77" s="19"/>
      <c r="AV77" s="19"/>
      <c r="AW77" s="19"/>
      <c r="AX77" s="19"/>
      <c r="AY77" s="19"/>
      <c r="AZ77" s="19"/>
      <c r="BA77" s="19"/>
      <c r="BB77" s="28"/>
      <c r="BC77" s="811"/>
      <c r="BD77" s="811"/>
      <c r="BE77" s="811"/>
      <c r="BF77" s="811"/>
      <c r="BG77" s="811"/>
      <c r="BH77" s="811"/>
      <c r="BI77" s="811"/>
      <c r="BJ77" s="811"/>
      <c r="BK77" s="811"/>
      <c r="BL77" s="811"/>
      <c r="BM77" s="811"/>
      <c r="BN77" s="811"/>
      <c r="BO77" s="811"/>
      <c r="BP77" s="811"/>
      <c r="BQ77" s="811"/>
      <c r="BR77" s="811"/>
      <c r="BS77" s="811"/>
      <c r="BT77" s="811"/>
      <c r="BU77" s="811"/>
      <c r="BV77" s="811"/>
      <c r="BW77" s="811"/>
      <c r="BX77" s="811"/>
      <c r="BY77" s="811"/>
      <c r="BZ77" s="811"/>
      <c r="CA77" s="811"/>
      <c r="CB77" s="19"/>
      <c r="CC77" s="19"/>
      <c r="DG77" s="38"/>
    </row>
    <row r="78" spans="1:111" ht="17.100000000000001" customHeight="1" thickBot="1" x14ac:dyDescent="0.25">
      <c r="B78" s="1155"/>
      <c r="C78" s="1156"/>
      <c r="D78" s="1156"/>
      <c r="E78" s="1156"/>
      <c r="F78" s="1156"/>
      <c r="G78" s="1156"/>
      <c r="H78" s="1156"/>
      <c r="I78" s="1156"/>
      <c r="J78" s="1156"/>
      <c r="K78" s="1156"/>
      <c r="L78" s="1156"/>
      <c r="M78" s="1156"/>
      <c r="N78" s="1156"/>
      <c r="O78" s="1156"/>
      <c r="P78" s="1156"/>
      <c r="Q78" s="1156"/>
      <c r="R78" s="1156"/>
      <c r="S78" s="1156"/>
      <c r="T78" s="1156"/>
      <c r="U78" s="1156"/>
      <c r="V78" s="1156"/>
      <c r="W78" s="1156"/>
      <c r="X78" s="1156"/>
      <c r="Y78" s="1156"/>
      <c r="Z78" s="19"/>
      <c r="AA78" s="809"/>
      <c r="AB78" s="809"/>
      <c r="AC78" s="809"/>
      <c r="AD78" s="809"/>
      <c r="AE78" s="809"/>
      <c r="AF78" s="809"/>
      <c r="AG78" s="809"/>
      <c r="AH78" s="809"/>
      <c r="AI78" s="809"/>
      <c r="AJ78" s="809"/>
      <c r="AK78" s="809"/>
      <c r="AL78" s="809"/>
      <c r="AM78" s="809"/>
      <c r="AN78" s="809"/>
      <c r="AO78" s="809"/>
      <c r="AP78" s="809"/>
      <c r="AQ78" s="809"/>
      <c r="AR78" s="809"/>
      <c r="AS78" s="809"/>
      <c r="AT78" s="809"/>
      <c r="AU78" s="809"/>
      <c r="AV78" s="809"/>
      <c r="AW78" s="809"/>
      <c r="AX78" s="809"/>
      <c r="AY78" s="809"/>
      <c r="AZ78" s="809"/>
      <c r="BA78" s="809"/>
      <c r="BB78" s="19"/>
      <c r="BC78" s="1157"/>
      <c r="BD78" s="1157"/>
      <c r="BE78" s="1157"/>
      <c r="BF78" s="1157"/>
      <c r="BG78" s="1157"/>
      <c r="BH78" s="1157"/>
      <c r="BI78" s="1157"/>
      <c r="BJ78" s="1157"/>
      <c r="BK78" s="1157"/>
      <c r="BL78" s="1157"/>
      <c r="BM78" s="1157"/>
      <c r="BN78" s="1157"/>
      <c r="BO78" s="1157"/>
      <c r="BP78" s="1157"/>
      <c r="BQ78" s="1157"/>
      <c r="BR78" s="1157"/>
      <c r="BS78" s="1157"/>
      <c r="BT78" s="1157"/>
      <c r="BU78" s="1157"/>
      <c r="BV78" s="1157"/>
      <c r="BW78" s="1157"/>
      <c r="BX78" s="1157"/>
      <c r="BY78" s="1157"/>
      <c r="BZ78" s="1158"/>
      <c r="CA78" s="811"/>
      <c r="CW78" s="2591"/>
      <c r="CX78" s="2941" t="s">
        <v>1815</v>
      </c>
      <c r="CY78" s="2591"/>
      <c r="CZ78" s="2591"/>
      <c r="DG78" s="38"/>
    </row>
    <row r="79" spans="1:111" ht="17.100000000000001" customHeight="1" thickTop="1" x14ac:dyDescent="0.2">
      <c r="B79" s="1159"/>
      <c r="C79" s="814"/>
      <c r="D79" s="19"/>
      <c r="E79" s="19"/>
      <c r="F79" s="809"/>
      <c r="G79" s="809"/>
      <c r="H79" s="809"/>
      <c r="I79" s="809"/>
      <c r="J79" s="809"/>
      <c r="K79" s="809"/>
      <c r="L79" s="809"/>
      <c r="M79" s="809"/>
      <c r="N79" s="809"/>
      <c r="O79" s="809"/>
      <c r="P79" s="809"/>
      <c r="Q79" s="809"/>
      <c r="R79" s="809"/>
      <c r="S79" s="809"/>
      <c r="T79" s="809"/>
      <c r="U79" s="809"/>
      <c r="V79" s="809"/>
      <c r="W79" s="809"/>
      <c r="X79" s="809"/>
      <c r="Y79" s="809"/>
      <c r="Z79" s="809"/>
      <c r="AA79" s="627"/>
      <c r="AB79" s="628"/>
      <c r="AC79" s="628"/>
      <c r="AD79" s="628"/>
      <c r="AE79" s="628"/>
      <c r="AF79" s="628"/>
      <c r="AG79" s="628"/>
      <c r="AH79" s="628"/>
      <c r="AI79" s="628"/>
      <c r="AJ79" s="628"/>
      <c r="AK79" s="628"/>
      <c r="AL79" s="628"/>
      <c r="AM79" s="628"/>
      <c r="AN79" s="628"/>
      <c r="AO79" s="628"/>
      <c r="AP79" s="628"/>
      <c r="AQ79" s="628"/>
      <c r="AR79" s="628"/>
      <c r="AS79" s="628"/>
      <c r="AT79" s="628"/>
      <c r="AU79" s="628"/>
      <c r="AV79" s="628"/>
      <c r="AW79" s="628"/>
      <c r="AX79" s="628"/>
      <c r="AY79" s="628"/>
      <c r="AZ79" s="628"/>
      <c r="BA79" s="629"/>
      <c r="BB79" s="809"/>
      <c r="BC79" s="809"/>
      <c r="BD79" s="809"/>
      <c r="BE79" s="809"/>
      <c r="BF79" s="809"/>
      <c r="BG79" s="809"/>
      <c r="BH79" s="809"/>
      <c r="BI79" s="809"/>
      <c r="BJ79" s="809"/>
      <c r="BK79" s="809"/>
      <c r="BL79" s="809"/>
      <c r="BM79" s="809"/>
      <c r="BN79" s="809"/>
      <c r="BO79" s="809"/>
      <c r="BP79" s="809"/>
      <c r="BQ79" s="809"/>
      <c r="BR79" s="809"/>
      <c r="BS79" s="809"/>
      <c r="BT79" s="809"/>
      <c r="BU79" s="809"/>
      <c r="BV79" s="809"/>
      <c r="BW79" s="19"/>
      <c r="BX79" s="19"/>
      <c r="BY79" s="811"/>
      <c r="BZ79" s="1160"/>
      <c r="CA79" s="811"/>
      <c r="CW79" s="4736" t="e">
        <f ca="1">IF('^'!$BK$45="A C T I V E",TODAY(),'^'!$CC$58)</f>
        <v>#VALUE!</v>
      </c>
      <c r="CX79" s="4736"/>
      <c r="CY79" s="4736"/>
      <c r="CZ79" s="4736"/>
      <c r="DG79" s="38"/>
    </row>
    <row r="80" spans="1:111" ht="17.100000000000001" customHeight="1" thickBot="1" x14ac:dyDescent="0.25">
      <c r="B80" s="1159"/>
      <c r="C80" s="810"/>
      <c r="D80" s="19"/>
      <c r="E80" s="19"/>
      <c r="F80" s="19"/>
      <c r="G80" s="19"/>
      <c r="H80" s="19"/>
      <c r="I80" s="19"/>
      <c r="J80" s="19"/>
      <c r="K80" s="19"/>
      <c r="L80" s="19"/>
      <c r="M80" s="19"/>
      <c r="N80" s="34"/>
      <c r="O80" s="34"/>
      <c r="P80" s="19"/>
      <c r="Q80" s="19"/>
      <c r="R80" s="19"/>
      <c r="S80" s="19"/>
      <c r="T80" s="19"/>
      <c r="U80" s="19"/>
      <c r="V80" s="19"/>
      <c r="W80" s="19"/>
      <c r="X80" s="19"/>
      <c r="Y80" s="19"/>
      <c r="Z80" s="19"/>
      <c r="AA80" s="630"/>
      <c r="AB80" s="631"/>
      <c r="AC80" s="631"/>
      <c r="AD80" s="631"/>
      <c r="AE80" s="631"/>
      <c r="AF80" s="631"/>
      <c r="AG80" s="631"/>
      <c r="AH80" s="631"/>
      <c r="AI80" s="631"/>
      <c r="AJ80" s="631"/>
      <c r="AK80" s="631"/>
      <c r="AL80" s="631"/>
      <c r="AM80" s="631"/>
      <c r="AN80" s="631"/>
      <c r="AO80" s="631"/>
      <c r="AP80" s="631"/>
      <c r="AQ80" s="631"/>
      <c r="AR80" s="631"/>
      <c r="AS80" s="631"/>
      <c r="AT80" s="631"/>
      <c r="AU80" s="631"/>
      <c r="AV80" s="631"/>
      <c r="AW80" s="631"/>
      <c r="AX80" s="631"/>
      <c r="AY80" s="631"/>
      <c r="AZ80" s="631"/>
      <c r="BA80" s="632"/>
      <c r="BB80" s="19"/>
      <c r="BC80" s="19"/>
      <c r="BD80" s="19"/>
      <c r="BE80" s="19"/>
      <c r="BF80" s="19"/>
      <c r="BG80" s="19"/>
      <c r="BH80" s="19"/>
      <c r="BI80" s="19"/>
      <c r="BJ80" s="19"/>
      <c r="BK80" s="28"/>
      <c r="BL80" s="28"/>
      <c r="BM80" s="34"/>
      <c r="BN80" s="34"/>
      <c r="BO80" s="28"/>
      <c r="BP80" s="19"/>
      <c r="BQ80" s="19"/>
      <c r="BR80" s="19"/>
      <c r="BS80" s="19"/>
      <c r="BT80" s="19"/>
      <c r="BU80" s="19"/>
      <c r="BV80" s="19"/>
      <c r="BW80" s="19"/>
      <c r="BX80" s="19"/>
      <c r="BY80" s="810"/>
      <c r="BZ80" s="1161"/>
      <c r="CW80" s="2944"/>
      <c r="CX80" s="4738" t="s">
        <v>1760</v>
      </c>
      <c r="CY80" s="4738"/>
      <c r="CZ80" s="2944"/>
    </row>
    <row r="81" spans="2:113" ht="17.100000000000001" customHeight="1" thickTop="1" x14ac:dyDescent="0.2">
      <c r="B81" s="1159"/>
      <c r="C81" s="810"/>
      <c r="D81" s="19"/>
      <c r="E81" s="19"/>
      <c r="F81" s="19"/>
      <c r="G81" s="19"/>
      <c r="H81" s="19"/>
      <c r="I81" s="19"/>
      <c r="J81" s="19"/>
      <c r="K81" s="4749" t="str">
        <f>IF(K84=$CI$87,"GIFT","")</f>
        <v/>
      </c>
      <c r="L81" s="4749"/>
      <c r="M81" s="4749"/>
      <c r="N81" s="1374"/>
      <c r="O81" s="1374"/>
      <c r="P81" s="19"/>
      <c r="Q81" s="4613" t="s">
        <v>68</v>
      </c>
      <c r="R81" s="4609"/>
      <c r="S81" s="4523" t="str">
        <f>IF(ISBLANK(Q83),data!$JO$73,_xlfn.IFS(
ISNUMBER(SEARCH( data!$JP$23, Q83 )), data!$JO$23,
ISNUMBER(SEARCH( data!$JP$24, Q83 )), data!$JO$24,
ISNUMBER(SEARCH( data!$JP$25, Q83 )), data!$JO$25,
ISNUMBER(SEARCH( data!$JP$26, Q83 )), data!$JO$26,
ISNUMBER(SEARCH( data!$JP$27, Q83 )), data!$JO$27,
ISNUMBER(SEARCH( data!$JP$28, Q83 )), data!$JO$28,
ISNUMBER(SEARCH( data!$JP$29, Q83 )), data!$JO$29,
ISNUMBER(SEARCH( data!$JP$30, Q83 )), data!$JO$30,
ISNUMBER(SEARCH( data!$JP$31, Q83 )), data!$JO$31,
ISNUMBER(SEARCH( data!$JP$32, Q83 )), data!$JO$32,
ISNUMBER(SEARCH( data!$JP$33, Q83 )), data!$JO$33,
ISNUMBER(SEARCH( data!$JP$34, Q83 )), data!$JO$34,
ISNUMBER(SEARCH( data!$JP$35, Q83 )), data!$JO$35,
ISNUMBER(SEARCH( data!$JP$36, Q83 )), data!$JO$36,
ISNUMBER(SEARCH( data!$JP$37, Q83 )), data!$JO$37,
ISNUMBER(SEARCH( data!$JP$38, Q83 )), data!$JO$38,
ISNUMBER(SEARCH( data!$JP$39, Q83 )), data!$JO$39,
ISNUMBER(SEARCH( data!$JP$40, Q83 )), data!$JO$40,
ISNUMBER(SEARCH( data!$JP$41, Q83 )), data!$JO$41,
ISNUMBER(SEARCH( data!$JP$42, Q83 )), data!$JO$42,
ISNUMBER(SEARCH( data!$JP$43, Q83 )), data!$JO$43,
ISNUMBER(SEARCH( data!$JP$44, Q83 )), data!$JO$44,
ISNUMBER(SEARCH( data!$JP$45, Q83 )), data!$JO$45,
ISNUMBER(SEARCH( data!$JP$46, Q83 )), data!$JO$46,
ISNUMBER(SEARCH( data!$JP$47, Q83 )), data!$JO$47,
ISNUMBER(SEARCH( data!$JP$48, Q83 )), data!$JO$48,
ISNUMBER(SEARCH( data!$JP$49, Q83 )), data!$JO$49,
ISNUMBER(SEARCH( data!$JP$50, Q83 )), data!$JO$50,
ISNUMBER(SEARCH( data!$JP$51, Q83 )), data!$JO$51,
ISNUMBER(SEARCH( data!$JP$52, Q83 )), data!$JO$52,
ISNUMBER(SEARCH( data!$JP$53, Q83 )), data!$JO$53,
ISNUMBER(SEARCH( data!$JP$54, Q83 )), data!$JO$54,
ISNUMBER(SEARCH( data!$JP$55, Q83 )), data!$JO$55,
ISNUMBER(SEARCH( data!$JP$56, Q83 )), data!$JO$56,
ISNUMBER(SEARCH( data!$JP$57, Q83 )), data!$JO$57,
ISNUMBER(SEARCH( data!$JP$58, Q83 )), data!$JO$58,
ISNUMBER(SEARCH( data!$JP$59, Q83 )), data!$JO$59,
ISNUMBER(SEARCH( data!$JP$60, Q83 )), data!$JO$60,
ISNUMBER(SEARCH( data!$JP$61, Q83 )), data!$JO$61,
ISNUMBER(SEARCH( data!$JP$62, Q83 )), data!$JO$62,
ISNUMBER(SEARCH( data!$JP$63, Q83 )), data!$JO$63,
ISNUMBER(SEARCH( data!$JP$64, Q83 )), data!$JO$64,
ISNUMBER(SEARCH( data!$JP$65, Q83 )), data!$JO$65,
ISNUMBER(SEARCH( data!$JP$66, Q83 )), data!$JO$66,
ISNUMBER(SEARCH( data!$JP$67, Q83 )), data!$JO$67,
ISNUMBER(SEARCH( data!$JP$68, Q83 )), data!$JO$68,
ISNUMBER(SEARCH( data!$JP$69, Q83 )), data!$JO$69,
ISNUMBER(SEARCH( data!$JP$70, Q83 )), data!$JO$70,
ISNUMBER(SEARCH( data!$JP$71, Q83 )), data!$JO$71,
ISNUMBER(SEARCH( data!$JR$23, Q83 )), data!$JQ$23,
ISNUMBER(SEARCH( data!$JR$24, Q83 )), data!$JQ$24,
ISNUMBER(SEARCH( data!$JR$25, Q83 )), data!$JQ$25,
ISNUMBER(SEARCH( data!$JR$26, Q83 )), data!$JQ$26,
ISNUMBER(SEARCH( data!$JR$27, Q83 )), data!$JQ$27,
ISNUMBER(SEARCH( data!$JR$28, Q83 )), data!$JQ$28,
ISNUMBER(SEARCH( data!$JR$29, Q83 )), data!$JQ$29,
ISNUMBER(SEARCH( data!$JR$30, Q83 )), data!$JQ$30,
ISNUMBER(SEARCH( data!$JR$31, Q83 )), data!$JQ$31,
ISNUMBER(SEARCH( data!$JR$32, Q83 )), data!$JQ$32,
ISNUMBER(SEARCH( data!$JR$33, Q83 )), data!$JQ$33,
ISNUMBER(SEARCH( data!$JR$34, Q83 )), data!$JQ$34,
ISNUMBER(SEARCH( data!$JR$35, Q83 )), data!$JQ$35,
ISNUMBER(SEARCH( data!$JR$36, Q83 )), data!$JQ$36,
ISNUMBER(SEARCH( data!$JR$37, Q83 )), data!$JQ$37,
ISNUMBER(SEARCH( data!$JR$38, Q83 )), data!$JQ$38,
ISNUMBER(SEARCH( data!$JR$39, Q83 )), data!$JQ$39,
ISNUMBER(SEARCH( data!$JR$40, Q83 )), data!$JQ$40,
ISNUMBER(SEARCH( data!$JR$41, Q83 )), data!$JQ$41,
ISNUMBER(SEARCH( data!$JR$42, Q83 )), data!$JQ$42,
ISNUMBER(SEARCH( data!$JR$43, Q83 )), data!$JQ$43,
ISNUMBER(SEARCH( data!$JR$44, Q83 )), data!$JQ$44,
ISNUMBER(SEARCH( data!$JR$45, Q83 )), data!$JQ$45,
ISNUMBER(SEARCH( data!$JR$46, Q83 )), data!$JQ$46,
ISNUMBER(SEARCH( data!$JR$47, Q83 )), data!$JQ$47,
ISNUMBER(SEARCH( data!$JR$48, Q83 )), data!$JQ$48,
ISNUMBER(SEARCH( data!$JR$49, Q83 )), data!$JQ$49,
ISNUMBER(SEARCH( data!$JR$50, Q83 )), data!$JQ$50,
ISNUMBER(SEARCH( data!$JR$51, Q83 )), data!$JQ$51,
ISNUMBER(SEARCH( data!$JR$52, Q83 )), data!$JQ$52,
ISNUMBER(SEARCH( data!$JR$53, Q83 )), data!$JQ$53,
ISNUMBER(SEARCH( data!$JR$54, Q83 )), data!$JQ$54,
ISNUMBER(SEARCH( data!$JR$55, Q83 )), data!$JQ$55,
ISNUMBER(SEARCH( data!$JR$56, Q83 )), data!$JQ$56,
ISNUMBER(SEARCH( data!$JR$57, Q83 )), data!$JQ$57,
ISNUMBER(SEARCH( data!$JR$58, Q83 )), data!$JQ$58,
ISNUMBER(SEARCH( data!$JR$59, Q83 )), data!$JQ$59,
ISNUMBER(SEARCH( data!$JR$60, Q83 )), data!$JQ$60,
ISNUMBER(SEARCH( data!$JR$61, Q83 )), data!$JQ$61,
ISNUMBER(SEARCH( data!$JR$62, Q83 )), data!$JQ$62,
ISNUMBER(SEARCH( data!$JR$63, Q83 )), data!$JQ$63,
ISNUMBER(SEARCH( data!$JR$64, Q83 )), data!$JQ$64,
ISNUMBER(SEARCH( data!$JR$65, Q83 )), data!$JQ$65,
ISNUMBER(SEARCH( data!$JR$66, Q83 )), data!$JQ$66,
ISNUMBER(SEARCH( data!$JR$67, Q83 )), data!$JQ$67,
ISNUMBER(SEARCH( data!$JR$68, Q83 )), data!$JQ$68,
ISNUMBER(SEARCH( data!$JR$69, Q83 )), data!$JQ$69,
ISNUMBER(SEARCH( data!$JR$70, Q83 )), data!$JQ$70,
ISNUMBER(SEARCH( data!$JR$71, Q83 )), data!$JQ$71,
TRUE,data!$JQ$72))</f>
        <v>🞅</v>
      </c>
      <c r="T81" s="4523"/>
      <c r="U81" s="4523"/>
      <c r="V81" s="4609" t="s">
        <v>68</v>
      </c>
      <c r="W81" s="4610"/>
      <c r="X81" s="19"/>
      <c r="Y81" s="1374"/>
      <c r="Z81" s="1374"/>
      <c r="AA81" s="792"/>
      <c r="AB81" s="793"/>
      <c r="AC81" s="631"/>
      <c r="AD81" s="631"/>
      <c r="AE81" s="631"/>
      <c r="AF81" s="631"/>
      <c r="AG81" s="4739" t="s">
        <v>330</v>
      </c>
      <c r="AH81" s="4740"/>
      <c r="AI81" s="4740"/>
      <c r="AJ81" s="4740"/>
      <c r="AK81" s="4740"/>
      <c r="AL81" s="4740"/>
      <c r="AM81" s="4740"/>
      <c r="AN81" s="4740"/>
      <c r="AO81" s="4740"/>
      <c r="AP81" s="4740"/>
      <c r="AQ81" s="4740"/>
      <c r="AR81" s="4740"/>
      <c r="AS81" s="4740"/>
      <c r="AT81" s="4740"/>
      <c r="AU81" s="4741"/>
      <c r="AV81" s="631"/>
      <c r="AW81" s="631"/>
      <c r="AX81" s="631"/>
      <c r="AY81" s="631"/>
      <c r="AZ81" s="793"/>
      <c r="BA81" s="794"/>
      <c r="BB81" s="1374"/>
      <c r="BC81" s="1374"/>
      <c r="BD81" s="19"/>
      <c r="BE81" s="4613" t="s">
        <v>68</v>
      </c>
      <c r="BF81" s="4609"/>
      <c r="BG81" s="4523" t="str">
        <f>IF(ISBLANK(BE83),data!$JO$73,_xlfn.IFS(
ISNUMBER(SEARCH( data!$JP$23, BE83 )), data!$JO$23,
ISNUMBER(SEARCH( data!$JP$24, BE83 )), data!$JO$24,
ISNUMBER(SEARCH( data!$JP$25, BE83 )), data!$JO$25,
ISNUMBER(SEARCH( data!$JP$26, BE83 )), data!$JO$26,
ISNUMBER(SEARCH( data!$JP$27, BE83 )), data!$JO$27,
ISNUMBER(SEARCH( data!$JP$28, BE83 )), data!$JO$28,
ISNUMBER(SEARCH( data!$JP$29, BE83 )), data!$JO$29,
ISNUMBER(SEARCH( data!$JP$30, BE83 )), data!$JO$30,
ISNUMBER(SEARCH( data!$JP$31, BE83 )), data!$JO$31,
ISNUMBER(SEARCH( data!$JP$32, BE83 )), data!$JO$32,
ISNUMBER(SEARCH( data!$JP$33, BE83 )), data!$JO$33,
ISNUMBER(SEARCH( data!$JP$34, BE83 )), data!$JO$34,
ISNUMBER(SEARCH( data!$JP$35, BE83 )), data!$JO$35,
ISNUMBER(SEARCH( data!$JP$36, BE83 )), data!$JO$36,
ISNUMBER(SEARCH( data!$JP$37, BE83 )), data!$JO$37,
ISNUMBER(SEARCH( data!$JP$38, BE83 )), data!$JO$38,
ISNUMBER(SEARCH( data!$JP$39, BE83 )), data!$JO$39,
ISNUMBER(SEARCH( data!$JP$40, BE83 )), data!$JO$40,
ISNUMBER(SEARCH( data!$JP$41, BE83 )), data!$JO$41,
ISNUMBER(SEARCH( data!$JP$42, BE83 )), data!$JO$42,
ISNUMBER(SEARCH( data!$JP$43, BE83 )), data!$JO$43,
ISNUMBER(SEARCH( data!$JP$44, BE83 )), data!$JO$44,
ISNUMBER(SEARCH( data!$JP$45, BE83 )), data!$JO$45,
ISNUMBER(SEARCH( data!$JP$46, BE83 )), data!$JO$46,
ISNUMBER(SEARCH( data!$JP$47, BE83 )), data!$JO$47,
ISNUMBER(SEARCH( data!$JP$48, BE83 )), data!$JO$48,
ISNUMBER(SEARCH( data!$JP$49, BE83 )), data!$JO$49,
ISNUMBER(SEARCH( data!$JP$50, BE83 )), data!$JO$50,
ISNUMBER(SEARCH( data!$JP$51, BE83 )), data!$JO$51,
ISNUMBER(SEARCH( data!$JP$52, BE83 )), data!$JO$52,
ISNUMBER(SEARCH( data!$JP$53, BE83 )), data!$JO$53,
ISNUMBER(SEARCH( data!$JP$54, BE83 )), data!$JO$54,
ISNUMBER(SEARCH( data!$JP$55, BE83 )), data!$JO$55,
ISNUMBER(SEARCH( data!$JP$56, BE83 )), data!$JO$56,
ISNUMBER(SEARCH( data!$JP$57, BE83 )), data!$JO$57,
ISNUMBER(SEARCH( data!$JP$58, BE83 )), data!$JO$58,
ISNUMBER(SEARCH( data!$JP$59, BE83 )), data!$JO$59,
ISNUMBER(SEARCH( data!$JP$60, BE83 )), data!$JO$60,
ISNUMBER(SEARCH( data!$JP$61, BE83 )), data!$JO$61,
ISNUMBER(SEARCH( data!$JP$62, BE83 )), data!$JO$62,
ISNUMBER(SEARCH( data!$JP$63, BE83 )), data!$JO$63,
ISNUMBER(SEARCH( data!$JP$64, BE83 )), data!$JO$64,
ISNUMBER(SEARCH( data!$JP$65, BE83 )), data!$JO$65,
ISNUMBER(SEARCH( data!$JP$66, BE83 )), data!$JO$66,
ISNUMBER(SEARCH( data!$JP$67, BE83 )), data!$JO$67,
ISNUMBER(SEARCH( data!$JP$68, BE83 )), data!$JO$68,
ISNUMBER(SEARCH( data!$JP$69, BE83 )), data!$JO$69,
ISNUMBER(SEARCH( data!$JP$70, BE83 )), data!$JO$70,
ISNUMBER(SEARCH( data!$JP$71, BE83 )), data!$JO$71,
ISNUMBER(SEARCH( data!$JR$23, BE83 )), data!$JQ$23,
ISNUMBER(SEARCH( data!$JR$24, BE83 )), data!$JQ$24,
ISNUMBER(SEARCH( data!$JR$25, BE83 )), data!$JQ$25,
ISNUMBER(SEARCH( data!$JR$26, BE83 )), data!$JQ$26,
ISNUMBER(SEARCH( data!$JR$27, BE83 )), data!$JQ$27,
ISNUMBER(SEARCH( data!$JR$28, BE83 )), data!$JQ$28,
ISNUMBER(SEARCH( data!$JR$29, BE83 )), data!$JQ$29,
ISNUMBER(SEARCH( data!$JR$30, BE83 )), data!$JQ$30,
ISNUMBER(SEARCH( data!$JR$31, BE83 )), data!$JQ$31,
ISNUMBER(SEARCH( data!$JR$32, BE83 )), data!$JQ$32,
ISNUMBER(SEARCH( data!$JR$33, BE83 )), data!$JQ$33,
ISNUMBER(SEARCH( data!$JR$34, BE83 )), data!$JQ$34,
ISNUMBER(SEARCH( data!$JR$35, BE83 )), data!$JQ$35,
ISNUMBER(SEARCH( data!$JR$36, BE83 )), data!$JQ$36,
ISNUMBER(SEARCH( data!$JR$37, BE83 )), data!$JQ$37,
ISNUMBER(SEARCH( data!$JR$38, BE83 )), data!$JQ$38,
ISNUMBER(SEARCH( data!$JR$39, BE83 )), data!$JQ$39,
ISNUMBER(SEARCH( data!$JR$40, BE83 )), data!$JQ$40,
ISNUMBER(SEARCH( data!$JR$41, BE83 )), data!$JQ$41,
ISNUMBER(SEARCH( data!$JR$42, BE83 )), data!$JQ$42,
ISNUMBER(SEARCH( data!$JR$43, BE83 )), data!$JQ$43,
ISNUMBER(SEARCH( data!$JR$44, BE83 )), data!$JQ$44,
ISNUMBER(SEARCH( data!$JR$45, BE83 )), data!$JQ$45,
ISNUMBER(SEARCH( data!$JR$46, BE83 )), data!$JQ$46,
ISNUMBER(SEARCH( data!$JR$47, BE83 )), data!$JQ$47,
ISNUMBER(SEARCH( data!$JR$48, BE83 )), data!$JQ$48,
ISNUMBER(SEARCH( data!$JR$49, BE83 )), data!$JQ$49,
ISNUMBER(SEARCH( data!$JR$50, BE83 )), data!$JQ$50,
ISNUMBER(SEARCH( data!$JR$51, BE83 )), data!$JQ$51,
ISNUMBER(SEARCH( data!$JR$52, BE83 )), data!$JQ$52,
ISNUMBER(SEARCH( data!$JR$53, BE83 )), data!$JQ$53,
ISNUMBER(SEARCH( data!$JR$54, BE83 )), data!$JQ$54,
ISNUMBER(SEARCH( data!$JR$55, BE83 )), data!$JQ$55,
ISNUMBER(SEARCH( data!$JR$56, BE83 )), data!$JQ$56,
ISNUMBER(SEARCH( data!$JR$57, BE83 )), data!$JQ$57,
ISNUMBER(SEARCH( data!$JR$58, BE83 )), data!$JQ$58,
ISNUMBER(SEARCH( data!$JR$59, BE83 )), data!$JQ$59,
ISNUMBER(SEARCH( data!$JR$60, BE83 )), data!$JQ$60,
ISNUMBER(SEARCH( data!$JR$61, BE83 )), data!$JQ$61,
ISNUMBER(SEARCH( data!$JR$62, BE83 )), data!$JQ$62,
ISNUMBER(SEARCH( data!$JR$63, BE83 )), data!$JQ$63,
ISNUMBER(SEARCH( data!$JR$64, BE83 )), data!$JQ$64,
ISNUMBER(SEARCH( data!$JR$65, BE83 )), data!$JQ$65,
ISNUMBER(SEARCH( data!$JR$66, BE83 )), data!$JQ$66,
ISNUMBER(SEARCH( data!$JR$67, BE83 )), data!$JQ$67,
ISNUMBER(SEARCH( data!$JR$68, BE83 )), data!$JQ$68,
ISNUMBER(SEARCH( data!$JR$69, BE83 )), data!$JQ$69,
ISNUMBER(SEARCH( data!$JR$70, BE83 )), data!$JQ$70,
ISNUMBER(SEARCH( data!$JR$71, BE83 )), data!$JQ$71,
TRUE,data!$JQ$72))</f>
        <v>🞅</v>
      </c>
      <c r="BH81" s="4523"/>
      <c r="BI81" s="4523"/>
      <c r="BJ81" s="4609" t="s">
        <v>68</v>
      </c>
      <c r="BK81" s="4610"/>
      <c r="BL81" s="19"/>
      <c r="BM81" s="1374"/>
      <c r="BN81" s="1374"/>
      <c r="BO81" s="4749" t="str">
        <f>IF(BO84=$CI$87,"GIFT","")</f>
        <v/>
      </c>
      <c r="BP81" s="4749"/>
      <c r="BQ81" s="4749"/>
      <c r="BR81" s="19"/>
      <c r="BS81" s="19"/>
      <c r="BT81" s="19"/>
      <c r="BU81" s="19"/>
      <c r="BV81" s="19"/>
      <c r="BW81" s="19"/>
      <c r="BX81" s="19"/>
      <c r="BY81" s="810"/>
      <c r="BZ81" s="1161"/>
      <c r="CF81" s="4689"/>
      <c r="CG81" s="4690"/>
      <c r="CH81" s="4690"/>
      <c r="CI81" s="4690"/>
      <c r="CJ81" s="4690"/>
      <c r="CK81" s="4690"/>
      <c r="CL81" s="4691"/>
      <c r="CT81" s="2948" t="e">
        <f ca="1">IF(AND($CW$79&gt;=$CS$83,$CW$79&lt;$CS$85),1,0)</f>
        <v>#VALUE!</v>
      </c>
      <c r="CW81" s="2944"/>
      <c r="CX81" s="4738"/>
      <c r="CY81" s="4738"/>
      <c r="CZ81" s="2944"/>
      <c r="DC81" s="2948" t="e">
        <f ca="1">IF(AND($CW$79&gt;=$DB$83,$CW$79&lt;$DB$85),1,0)</f>
        <v>#VALUE!</v>
      </c>
    </row>
    <row r="82" spans="2:113" ht="17.100000000000001" customHeight="1" x14ac:dyDescent="0.2">
      <c r="B82" s="1159"/>
      <c r="C82" s="810"/>
      <c r="D82" s="19"/>
      <c r="E82" s="19"/>
      <c r="F82" s="19"/>
      <c r="G82" s="19"/>
      <c r="H82" s="2943"/>
      <c r="I82" s="2943"/>
      <c r="K82" s="4748" t="str">
        <f ca="1">IFERROR(IF(AND($CT$81=1,$CT$87=0),$CX$80,""),"")</f>
        <v/>
      </c>
      <c r="L82" s="4748"/>
      <c r="M82" s="4748"/>
      <c r="N82" s="2944"/>
      <c r="O82" s="4687" t="s">
        <v>83</v>
      </c>
      <c r="P82" s="4688"/>
      <c r="Q82" s="4614"/>
      <c r="R82" s="4611"/>
      <c r="S82" s="4524"/>
      <c r="T82" s="4524"/>
      <c r="U82" s="4524"/>
      <c r="V82" s="4611"/>
      <c r="W82" s="4612"/>
      <c r="X82" s="4686" t="s">
        <v>82</v>
      </c>
      <c r="Y82" s="4686"/>
      <c r="Z82" s="1375"/>
      <c r="AA82" s="792"/>
      <c r="AB82" s="793"/>
      <c r="AC82" s="4753" t="s">
        <v>68</v>
      </c>
      <c r="AD82" s="4753"/>
      <c r="AE82" s="795"/>
      <c r="AF82" s="631"/>
      <c r="AG82" s="4742"/>
      <c r="AH82" s="4743"/>
      <c r="AI82" s="4743"/>
      <c r="AJ82" s="4743"/>
      <c r="AK82" s="4743"/>
      <c r="AL82" s="4743"/>
      <c r="AM82" s="4743"/>
      <c r="AN82" s="4743"/>
      <c r="AO82" s="4743"/>
      <c r="AP82" s="4743"/>
      <c r="AQ82" s="4743"/>
      <c r="AR82" s="4743"/>
      <c r="AS82" s="4743"/>
      <c r="AT82" s="4743"/>
      <c r="AU82" s="4744"/>
      <c r="AV82" s="631"/>
      <c r="AW82" s="631"/>
      <c r="AX82" s="4754" t="s">
        <v>68</v>
      </c>
      <c r="AY82" s="4754"/>
      <c r="AZ82" s="793"/>
      <c r="BA82" s="794"/>
      <c r="BC82" s="4687" t="s">
        <v>83</v>
      </c>
      <c r="BD82" s="4688"/>
      <c r="BE82" s="4614"/>
      <c r="BF82" s="4611"/>
      <c r="BG82" s="4524"/>
      <c r="BH82" s="4524"/>
      <c r="BI82" s="4524"/>
      <c r="BJ82" s="4611"/>
      <c r="BK82" s="4612"/>
      <c r="BL82" s="4686" t="s">
        <v>82</v>
      </c>
      <c r="BM82" s="4686"/>
      <c r="BO82" s="4748" t="str">
        <f ca="1">IFERROR(IF(AND($DC$81=1,$DC$87=0),$CX$80,""),"")</f>
        <v/>
      </c>
      <c r="BP82" s="4748"/>
      <c r="BQ82" s="4748"/>
      <c r="BR82" s="2943"/>
      <c r="BS82" s="2943"/>
      <c r="BT82" s="2943"/>
      <c r="BU82" s="19"/>
      <c r="BV82" s="19"/>
      <c r="BW82" s="19"/>
      <c r="BX82" s="19"/>
      <c r="BY82" s="19"/>
      <c r="BZ82" s="1161"/>
      <c r="CF82" s="4692"/>
      <c r="CG82" s="4693"/>
      <c r="CH82" s="4693"/>
      <c r="CI82" s="4693"/>
      <c r="CJ82" s="4693"/>
      <c r="CK82" s="4693"/>
      <c r="CL82" s="4694"/>
      <c r="CT82" s="388" t="s">
        <v>1781</v>
      </c>
      <c r="CW82" s="2564" t="s">
        <v>1817</v>
      </c>
      <c r="CX82" s="329"/>
      <c r="DC82" s="388" t="s">
        <v>1823</v>
      </c>
    </row>
    <row r="83" spans="2:113" ht="17.100000000000001" customHeight="1" x14ac:dyDescent="0.2">
      <c r="B83" s="1159"/>
      <c r="C83" s="810"/>
      <c r="D83" s="19"/>
      <c r="E83" s="19"/>
      <c r="F83" s="19"/>
      <c r="G83" s="19"/>
      <c r="H83" s="2943"/>
      <c r="I83" s="2943"/>
      <c r="J83" s="2944"/>
      <c r="K83" s="4748"/>
      <c r="L83" s="4748"/>
      <c r="M83" s="4748"/>
      <c r="N83" s="2944"/>
      <c r="O83" s="4687"/>
      <c r="P83" s="4688"/>
      <c r="Q83" s="4527"/>
      <c r="R83" s="4528"/>
      <c r="S83" s="4528"/>
      <c r="T83" s="4528"/>
      <c r="U83" s="4528"/>
      <c r="V83" s="4528"/>
      <c r="W83" s="4529"/>
      <c r="X83" s="4686"/>
      <c r="Y83" s="4686"/>
      <c r="Z83" s="1375"/>
      <c r="AA83" s="792"/>
      <c r="AB83" s="793"/>
      <c r="AC83" s="4753"/>
      <c r="AD83" s="4753"/>
      <c r="AE83" s="795"/>
      <c r="AF83" s="631"/>
      <c r="AG83" s="4742"/>
      <c r="AH83" s="4743"/>
      <c r="AI83" s="4743"/>
      <c r="AJ83" s="4743"/>
      <c r="AK83" s="4743"/>
      <c r="AL83" s="4743"/>
      <c r="AM83" s="4743"/>
      <c r="AN83" s="4743"/>
      <c r="AO83" s="4743"/>
      <c r="AP83" s="4743"/>
      <c r="AQ83" s="4743"/>
      <c r="AR83" s="4743"/>
      <c r="AS83" s="4743"/>
      <c r="AT83" s="4743"/>
      <c r="AU83" s="4744"/>
      <c r="AV83" s="631"/>
      <c r="AW83" s="631"/>
      <c r="AX83" s="4754"/>
      <c r="AY83" s="4754"/>
      <c r="AZ83" s="793"/>
      <c r="BA83" s="794"/>
      <c r="BC83" s="4687"/>
      <c r="BD83" s="4688"/>
      <c r="BE83" s="4527"/>
      <c r="BF83" s="4528"/>
      <c r="BG83" s="4528"/>
      <c r="BH83" s="4528"/>
      <c r="BI83" s="4528"/>
      <c r="BJ83" s="4528"/>
      <c r="BK83" s="4529"/>
      <c r="BL83" s="4686"/>
      <c r="BM83" s="4686"/>
      <c r="BO83" s="4748"/>
      <c r="BP83" s="4748"/>
      <c r="BQ83" s="4748"/>
      <c r="BR83" s="2943"/>
      <c r="BS83" s="2943"/>
      <c r="BT83" s="2943"/>
      <c r="BU83" s="19"/>
      <c r="BV83" s="19"/>
      <c r="BW83" s="19"/>
      <c r="BX83" s="19"/>
      <c r="BY83" s="19"/>
      <c r="BZ83" s="1161"/>
      <c r="CF83" s="4695"/>
      <c r="CG83" s="4696"/>
      <c r="CH83" s="4696"/>
      <c r="CI83" s="4696"/>
      <c r="CJ83" s="4696"/>
      <c r="CK83" s="4696"/>
      <c r="CL83" s="4697"/>
      <c r="CS83" s="4750" t="str">
        <f>IF(GUIDE!$C$9="","",DATE('^'!$BK$55,MONTH(GUIDE!$C$9),DAY(GUIDE!$C$9)))</f>
        <v/>
      </c>
      <c r="CT83" s="4751"/>
      <c r="CU83" s="4752"/>
      <c r="CX83" s="4685" t="e">
        <f ca="1">IF(OR(AND($CT$81=1,$CT$87=0),AND($DC$81=1,$DC$87=0)),1,0)</f>
        <v>#VALUE!</v>
      </c>
      <c r="CY83" s="4685"/>
      <c r="DB83" s="4750" t="e">
        <f>DATE('^'!$BK$55,12,24)</f>
        <v>#VALUE!</v>
      </c>
      <c r="DC83" s="4751"/>
      <c r="DD83" s="4752"/>
    </row>
    <row r="84" spans="2:113" ht="17.100000000000001" customHeight="1" thickBot="1" x14ac:dyDescent="0.25">
      <c r="B84" s="1159"/>
      <c r="C84" s="19"/>
      <c r="D84" s="19"/>
      <c r="E84" s="19"/>
      <c r="F84" s="19"/>
      <c r="G84" s="19"/>
      <c r="H84" s="19"/>
      <c r="I84" s="19"/>
      <c r="J84" s="326"/>
      <c r="K84" s="4683"/>
      <c r="L84" s="4683"/>
      <c r="M84" s="4683"/>
      <c r="N84" s="326"/>
      <c r="O84" s="1374"/>
      <c r="P84" s="19"/>
      <c r="Q84" s="4530"/>
      <c r="R84" s="4531"/>
      <c r="S84" s="4531"/>
      <c r="T84" s="4531"/>
      <c r="U84" s="4531"/>
      <c r="V84" s="4531"/>
      <c r="W84" s="4532"/>
      <c r="X84" s="19"/>
      <c r="Y84" s="1374"/>
      <c r="Z84" s="1374"/>
      <c r="AA84" s="792"/>
      <c r="AB84" s="793"/>
      <c r="AC84" s="631"/>
      <c r="AD84" s="631"/>
      <c r="AE84" s="631"/>
      <c r="AF84" s="631"/>
      <c r="AG84" s="4745"/>
      <c r="AH84" s="4746"/>
      <c r="AI84" s="4746"/>
      <c r="AJ84" s="4746"/>
      <c r="AK84" s="4746"/>
      <c r="AL84" s="4746"/>
      <c r="AM84" s="4746"/>
      <c r="AN84" s="4746"/>
      <c r="AO84" s="4746"/>
      <c r="AP84" s="4746"/>
      <c r="AQ84" s="4746"/>
      <c r="AR84" s="4746"/>
      <c r="AS84" s="4746"/>
      <c r="AT84" s="4746"/>
      <c r="AU84" s="4747"/>
      <c r="AV84" s="631"/>
      <c r="AW84" s="631"/>
      <c r="AX84" s="631"/>
      <c r="AY84" s="631"/>
      <c r="AZ84" s="793"/>
      <c r="BA84" s="794"/>
      <c r="BB84" s="1374"/>
      <c r="BC84" s="1374"/>
      <c r="BD84" s="19"/>
      <c r="BE84" s="4530"/>
      <c r="BF84" s="4531"/>
      <c r="BG84" s="4531"/>
      <c r="BH84" s="4531"/>
      <c r="BI84" s="4531"/>
      <c r="BJ84" s="4531"/>
      <c r="BK84" s="4532"/>
      <c r="BL84" s="19"/>
      <c r="BM84" s="1374"/>
      <c r="BN84" s="1374"/>
      <c r="BO84" s="4683"/>
      <c r="BP84" s="4683"/>
      <c r="BQ84" s="4683"/>
      <c r="BR84" s="19"/>
      <c r="BS84" s="19"/>
      <c r="BT84" s="19"/>
      <c r="BU84" s="19"/>
      <c r="BV84" s="19"/>
      <c r="BW84" s="19"/>
      <c r="BX84" s="19"/>
      <c r="BY84" s="19"/>
      <c r="BZ84" s="1161"/>
      <c r="CF84" s="4698"/>
      <c r="CG84" s="4699"/>
      <c r="CH84" s="4699"/>
      <c r="CI84" s="4699"/>
      <c r="CJ84" s="4699"/>
      <c r="CK84" s="4699"/>
      <c r="CL84" s="4700"/>
      <c r="CS84" s="788"/>
      <c r="CT84" s="382" t="s">
        <v>1816</v>
      </c>
      <c r="CU84" s="788"/>
      <c r="CW84" s="2715"/>
      <c r="CX84" s="377"/>
      <c r="CY84" s="38"/>
      <c r="DB84" s="788"/>
      <c r="DC84" s="382" t="s">
        <v>1816</v>
      </c>
      <c r="DD84" s="788"/>
      <c r="DG84" s="38" t="s">
        <v>1818</v>
      </c>
    </row>
    <row r="85" spans="2:113" ht="17.100000000000001" customHeight="1" thickTop="1" x14ac:dyDescent="0.2">
      <c r="B85" s="1159"/>
      <c r="C85" s="1316"/>
      <c r="D85" s="1316"/>
      <c r="E85" s="19"/>
      <c r="F85" s="19"/>
      <c r="G85" s="19"/>
      <c r="H85" s="19"/>
      <c r="I85" s="19"/>
      <c r="J85" s="19"/>
      <c r="K85" s="19"/>
      <c r="L85" s="19"/>
      <c r="M85" s="19"/>
      <c r="N85" s="34"/>
      <c r="O85" s="34"/>
      <c r="P85" s="19"/>
      <c r="Q85" s="19"/>
      <c r="R85" s="19"/>
      <c r="S85" s="19"/>
      <c r="T85" s="19"/>
      <c r="U85" s="19"/>
      <c r="V85" s="19"/>
      <c r="W85" s="19"/>
      <c r="X85" s="19"/>
      <c r="Y85" s="19"/>
      <c r="Z85" s="19"/>
      <c r="AA85" s="792"/>
      <c r="AB85" s="631"/>
      <c r="AC85" s="631"/>
      <c r="AD85" s="795"/>
      <c r="AE85" s="795"/>
      <c r="AF85" s="631"/>
      <c r="AG85" s="631"/>
      <c r="AH85" s="631"/>
      <c r="AI85" s="631"/>
      <c r="AJ85" s="631"/>
      <c r="AK85" s="631"/>
      <c r="AL85" s="631"/>
      <c r="AM85" s="631"/>
      <c r="AN85" s="631"/>
      <c r="AO85" s="631"/>
      <c r="AP85" s="631"/>
      <c r="AQ85" s="631"/>
      <c r="AR85" s="631"/>
      <c r="AS85" s="631"/>
      <c r="AT85" s="631"/>
      <c r="AU85" s="631"/>
      <c r="AV85" s="631"/>
      <c r="AW85" s="631"/>
      <c r="AX85" s="795"/>
      <c r="AY85" s="795"/>
      <c r="AZ85" s="631"/>
      <c r="BA85" s="794"/>
      <c r="BB85" s="19"/>
      <c r="BC85" s="19"/>
      <c r="BD85" s="19"/>
      <c r="BE85" s="19"/>
      <c r="BF85" s="19"/>
      <c r="BG85" s="19"/>
      <c r="BH85" s="19"/>
      <c r="BI85" s="19"/>
      <c r="BJ85" s="19"/>
      <c r="BK85" s="19"/>
      <c r="BL85" s="19"/>
      <c r="BM85" s="19"/>
      <c r="BN85" s="19"/>
      <c r="BO85" s="19"/>
      <c r="BP85" s="19"/>
      <c r="BQ85" s="19"/>
      <c r="BR85" s="19"/>
      <c r="BS85" s="19"/>
      <c r="BT85" s="19"/>
      <c r="BU85" s="19"/>
      <c r="BV85" s="19"/>
      <c r="BW85" s="19"/>
      <c r="BX85" s="1316"/>
      <c r="BY85" s="1316"/>
      <c r="BZ85" s="1161"/>
      <c r="CS85" s="4737" t="str">
        <f>IF(CS83="","",CS83+7)</f>
        <v/>
      </c>
      <c r="CT85" s="4737"/>
      <c r="CU85" s="4737"/>
      <c r="CX85" s="743"/>
      <c r="CY85" s="743"/>
      <c r="DB85" s="4737" t="e">
        <f>DB83+7</f>
        <v>#VALUE!</v>
      </c>
      <c r="DC85" s="4737"/>
      <c r="DD85" s="4737"/>
      <c r="DG85" s="38" t="s">
        <v>1819</v>
      </c>
    </row>
    <row r="86" spans="2:113" ht="17.100000000000001" customHeight="1" thickBot="1" x14ac:dyDescent="0.3">
      <c r="B86" s="1159"/>
      <c r="C86" s="1316"/>
      <c r="D86" s="19"/>
      <c r="E86" s="19"/>
      <c r="F86" s="19"/>
      <c r="G86" s="19"/>
      <c r="H86" s="19"/>
      <c r="I86" s="19"/>
      <c r="J86" s="19"/>
      <c r="K86" s="19"/>
      <c r="L86" s="19"/>
      <c r="M86" s="19"/>
      <c r="N86" s="34"/>
      <c r="O86" s="34"/>
      <c r="P86" s="19"/>
      <c r="Q86" s="19"/>
      <c r="R86" s="19"/>
      <c r="S86" s="19"/>
      <c r="T86" s="19"/>
      <c r="U86" s="19"/>
      <c r="V86" s="19"/>
      <c r="W86" s="19"/>
      <c r="X86" s="19"/>
      <c r="Y86" s="19"/>
      <c r="Z86" s="19"/>
      <c r="AA86" s="792"/>
      <c r="AB86" s="631"/>
      <c r="AC86" s="631"/>
      <c r="AD86" s="795"/>
      <c r="AE86" s="795"/>
      <c r="AF86" s="631"/>
      <c r="AG86" s="4684" t="str" cm="1">
        <f t="array" aca="1" ref="AG86" ca="1">IFERROR(
_xlfn.IFS(
AND(AND($DC$81=1,$DC$87=0),AND($CT$81=1,$CT$87=0)),$DG$86,
AND($CT$81=1,$CT$87=0),$DG$84,
AND($DC$81=1,$DC$87=0),$DG$85,
TRUE,""),
"")</f>
        <v/>
      </c>
      <c r="AH86" s="4684"/>
      <c r="AI86" s="4684"/>
      <c r="AJ86" s="4684"/>
      <c r="AK86" s="4684"/>
      <c r="AL86" s="4684"/>
      <c r="AM86" s="4684"/>
      <c r="AN86" s="4684"/>
      <c r="AO86" s="4684"/>
      <c r="AP86" s="4684"/>
      <c r="AQ86" s="4684"/>
      <c r="AR86" s="4684"/>
      <c r="AS86" s="4684"/>
      <c r="AT86" s="4684"/>
      <c r="AU86" s="4684"/>
      <c r="AV86" s="631"/>
      <c r="AW86" s="631"/>
      <c r="AX86" s="795"/>
      <c r="AY86" s="795"/>
      <c r="AZ86" s="631"/>
      <c r="BA86" s="794"/>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316"/>
      <c r="BZ86" s="1161"/>
      <c r="CT86" s="492" t="s">
        <v>1820</v>
      </c>
      <c r="DC86" s="492" t="s">
        <v>1820</v>
      </c>
      <c r="DG86" s="38" t="s">
        <v>1821</v>
      </c>
    </row>
    <row r="87" spans="2:113" ht="17.100000000000001" customHeight="1" thickTop="1" x14ac:dyDescent="0.2">
      <c r="B87" s="1159"/>
      <c r="C87" s="1316"/>
      <c r="D87" s="19"/>
      <c r="E87" s="627"/>
      <c r="F87" s="798"/>
      <c r="G87" s="799"/>
      <c r="H87" s="799"/>
      <c r="I87" s="628"/>
      <c r="J87" s="628"/>
      <c r="K87" s="628"/>
      <c r="L87" s="628"/>
      <c r="M87" s="628"/>
      <c r="N87" s="628"/>
      <c r="O87" s="628"/>
      <c r="P87" s="628"/>
      <c r="Q87" s="628"/>
      <c r="R87" s="628"/>
      <c r="S87" s="628"/>
      <c r="T87" s="628"/>
      <c r="U87" s="628"/>
      <c r="V87" s="628"/>
      <c r="W87" s="628"/>
      <c r="X87" s="628"/>
      <c r="Y87" s="628"/>
      <c r="Z87" s="628"/>
      <c r="AA87" s="795"/>
      <c r="AB87" s="795"/>
      <c r="AC87" s="795"/>
      <c r="AD87" s="795"/>
      <c r="AE87" s="795"/>
      <c r="AF87" s="795"/>
      <c r="AG87" s="795"/>
      <c r="AH87" s="795"/>
      <c r="AI87" s="795"/>
      <c r="AJ87" s="795"/>
      <c r="AK87" s="2949"/>
      <c r="AL87" s="2949"/>
      <c r="AM87" s="2949"/>
      <c r="AN87" s="2947"/>
      <c r="AO87" s="2949"/>
      <c r="AP87" s="2949"/>
      <c r="AQ87" s="2949"/>
      <c r="AR87" s="795"/>
      <c r="AS87" s="795"/>
      <c r="AT87" s="795"/>
      <c r="AU87" s="795"/>
      <c r="AV87" s="795"/>
      <c r="AW87" s="795"/>
      <c r="AX87" s="795"/>
      <c r="AY87" s="795"/>
      <c r="AZ87" s="795"/>
      <c r="BA87" s="795"/>
      <c r="BB87" s="628"/>
      <c r="BC87" s="628"/>
      <c r="BD87" s="628"/>
      <c r="BE87" s="798"/>
      <c r="BF87" s="799"/>
      <c r="BG87" s="628"/>
      <c r="BH87" s="628"/>
      <c r="BI87" s="628"/>
      <c r="BJ87" s="628"/>
      <c r="BK87" s="628"/>
      <c r="BL87" s="628"/>
      <c r="BM87" s="628"/>
      <c r="BN87" s="628"/>
      <c r="BO87" s="628"/>
      <c r="BP87" s="628"/>
      <c r="BQ87" s="628"/>
      <c r="BR87" s="628"/>
      <c r="BS87" s="628"/>
      <c r="BT87" s="628"/>
      <c r="BU87" s="628"/>
      <c r="BV87" s="628"/>
      <c r="BW87" s="629"/>
      <c r="BX87" s="19"/>
      <c r="BY87" s="1316"/>
      <c r="BZ87" s="1161"/>
      <c r="CE87" s="36" t="s">
        <v>1814</v>
      </c>
      <c r="CF87" s="1750"/>
      <c r="CG87" s="1750"/>
      <c r="CH87" s="1750"/>
      <c r="CI87" s="36" t="s">
        <v>851</v>
      </c>
      <c r="CJ87" s="1750"/>
      <c r="CT87" s="2699">
        <f>IF($K$84=$CI$87,1,0)</f>
        <v>0</v>
      </c>
      <c r="DC87" s="2699">
        <f>IF($BO$84=$CI$87,1,0)</f>
        <v>0</v>
      </c>
    </row>
    <row r="88" spans="2:113" ht="17.100000000000001" customHeight="1" x14ac:dyDescent="0.2">
      <c r="B88" s="1159"/>
      <c r="C88" s="19"/>
      <c r="D88" s="19"/>
      <c r="E88" s="630"/>
      <c r="F88" s="800"/>
      <c r="G88" s="801"/>
      <c r="H88" s="801"/>
      <c r="I88" s="631"/>
      <c r="J88" s="631"/>
      <c r="K88" s="631"/>
      <c r="L88" s="631"/>
      <c r="M88" s="631"/>
      <c r="N88" s="631"/>
      <c r="O88" s="631"/>
      <c r="P88" s="631"/>
      <c r="Q88" s="802"/>
      <c r="R88" s="802"/>
      <c r="S88" s="802"/>
      <c r="T88" s="802"/>
      <c r="U88" s="802"/>
      <c r="V88" s="802"/>
      <c r="W88" s="802"/>
      <c r="X88" s="802"/>
      <c r="Y88" s="802"/>
      <c r="Z88" s="802"/>
      <c r="AA88" s="802"/>
      <c r="AB88" s="802"/>
      <c r="AC88" s="802"/>
      <c r="AD88" s="802"/>
      <c r="AE88" s="802"/>
      <c r="AF88" s="631"/>
      <c r="AG88" s="631"/>
      <c r="AH88" s="631"/>
      <c r="AI88" s="631"/>
      <c r="AJ88" s="802"/>
      <c r="AK88" s="802"/>
      <c r="AL88" s="802"/>
      <c r="AM88" s="802"/>
      <c r="AN88" s="802"/>
      <c r="AO88" s="802"/>
      <c r="AP88" s="802"/>
      <c r="AQ88" s="802"/>
      <c r="AR88" s="802"/>
      <c r="AS88" s="802"/>
      <c r="AT88" s="802"/>
      <c r="AU88" s="802"/>
      <c r="AV88" s="631"/>
      <c r="AW88" s="631"/>
      <c r="AX88" s="631"/>
      <c r="AY88" s="631"/>
      <c r="AZ88" s="631"/>
      <c r="BA88" s="631"/>
      <c r="BB88" s="631"/>
      <c r="BC88" s="631"/>
      <c r="BD88" s="631"/>
      <c r="BE88" s="800"/>
      <c r="BF88" s="801"/>
      <c r="BG88" s="631"/>
      <c r="BH88" s="631"/>
      <c r="BI88" s="631"/>
      <c r="BJ88" s="631"/>
      <c r="BK88" s="631"/>
      <c r="BL88" s="631"/>
      <c r="BM88" s="631"/>
      <c r="BN88" s="631"/>
      <c r="BO88" s="631"/>
      <c r="BP88" s="631"/>
      <c r="BQ88" s="631"/>
      <c r="BR88" s="631"/>
      <c r="BS88" s="631"/>
      <c r="BT88" s="631"/>
      <c r="BU88" s="631"/>
      <c r="BV88" s="631"/>
      <c r="BW88" s="632"/>
      <c r="BX88" s="19"/>
      <c r="BZ88" s="1161"/>
    </row>
    <row r="89" spans="2:113" ht="17.100000000000001" customHeight="1" thickBot="1" x14ac:dyDescent="0.25">
      <c r="B89" s="1159"/>
      <c r="C89" s="19"/>
      <c r="D89" s="19"/>
      <c r="E89" s="792"/>
      <c r="F89" s="801"/>
      <c r="G89" s="801"/>
      <c r="H89" s="801"/>
      <c r="I89" s="801"/>
      <c r="J89" s="801"/>
      <c r="K89" s="801"/>
      <c r="L89" s="3256">
        <v>1</v>
      </c>
      <c r="M89" s="3256"/>
      <c r="N89" s="3256"/>
      <c r="O89" s="3256"/>
      <c r="P89" s="3256"/>
      <c r="Q89" s="3256"/>
      <c r="R89" s="3256"/>
      <c r="S89" s="3256"/>
      <c r="T89" s="3256">
        <v>3</v>
      </c>
      <c r="U89" s="3256"/>
      <c r="V89" s="3256"/>
      <c r="W89" s="3256"/>
      <c r="X89" s="3256"/>
      <c r="Y89" s="3256"/>
      <c r="Z89" s="3256"/>
      <c r="AA89" s="3256"/>
      <c r="AB89" s="3256">
        <v>5</v>
      </c>
      <c r="AC89" s="3256"/>
      <c r="AD89" s="3256"/>
      <c r="AE89" s="3256"/>
      <c r="AF89" s="3256"/>
      <c r="AG89" s="3256"/>
      <c r="AH89" s="3256"/>
      <c r="AI89" s="3256"/>
      <c r="AJ89" s="3256">
        <v>7</v>
      </c>
      <c r="AK89" s="3256"/>
      <c r="AL89" s="3256"/>
      <c r="AM89" s="3256"/>
      <c r="AN89" s="3256"/>
      <c r="AO89" s="3256"/>
      <c r="AP89" s="3256"/>
      <c r="AQ89" s="3256"/>
      <c r="AR89" s="3256">
        <v>8</v>
      </c>
      <c r="AS89" s="3256"/>
      <c r="AT89" s="3256"/>
      <c r="AU89" s="3256"/>
      <c r="AV89" s="3256"/>
      <c r="AW89" s="3256"/>
      <c r="AX89" s="3256"/>
      <c r="AY89" s="3256"/>
      <c r="AZ89" s="3256">
        <v>6</v>
      </c>
      <c r="BA89" s="3256"/>
      <c r="BB89" s="3256"/>
      <c r="BC89" s="3256"/>
      <c r="BD89" s="3256"/>
      <c r="BE89" s="3256"/>
      <c r="BF89" s="3256"/>
      <c r="BG89" s="3256"/>
      <c r="BH89" s="3256">
        <v>4</v>
      </c>
      <c r="BI89" s="3256"/>
      <c r="BJ89" s="3256"/>
      <c r="BK89" s="3256"/>
      <c r="BL89" s="3256"/>
      <c r="BM89" s="3256"/>
      <c r="BN89" s="3256"/>
      <c r="BO89" s="3256"/>
      <c r="BP89" s="3256">
        <v>2</v>
      </c>
      <c r="BQ89" s="3256"/>
      <c r="BR89" s="801"/>
      <c r="BS89" s="801"/>
      <c r="BT89" s="801"/>
      <c r="BU89" s="801"/>
      <c r="BV89" s="801"/>
      <c r="BW89" s="794"/>
      <c r="BX89" s="19"/>
      <c r="BZ89" s="1161"/>
      <c r="CE89" s="3255"/>
      <c r="CF89" s="3255"/>
      <c r="CG89" s="3255"/>
      <c r="CH89" s="3255"/>
      <c r="CI89" s="3255"/>
      <c r="CJ89" s="3255"/>
      <c r="CK89" s="3255"/>
      <c r="CL89" s="3255"/>
      <c r="CM89" s="3255"/>
      <c r="CN89" s="3255"/>
      <c r="CO89" s="3255"/>
      <c r="CP89" s="3255"/>
      <c r="CQ89" s="3255"/>
      <c r="CR89" s="3255"/>
      <c r="CS89" s="3255"/>
      <c r="CT89" s="3255"/>
      <c r="CU89" s="3255"/>
      <c r="CV89" s="3255"/>
      <c r="CW89" s="3255"/>
      <c r="CX89" s="3255"/>
      <c r="CY89" s="3255"/>
      <c r="CZ89" s="3255"/>
      <c r="DA89" s="3255"/>
      <c r="DB89" s="3255"/>
      <c r="DC89" s="3255"/>
      <c r="DD89" s="3255"/>
      <c r="DE89" s="3255"/>
      <c r="DF89" s="3255"/>
      <c r="DG89" s="3255"/>
      <c r="DH89" s="3255"/>
      <c r="DI89" s="3255"/>
    </row>
    <row r="90" spans="2:113" ht="17.100000000000001" customHeight="1" thickTop="1" x14ac:dyDescent="0.2">
      <c r="B90" s="1159"/>
      <c r="C90" s="19"/>
      <c r="D90" s="19"/>
      <c r="E90" s="792"/>
      <c r="F90" s="801"/>
      <c r="G90" s="801"/>
      <c r="H90" s="801"/>
      <c r="I90" s="4672" t="s">
        <v>68</v>
      </c>
      <c r="J90" s="4668"/>
      <c r="K90" s="4674" t="str">
        <f>IF(ISBLANK(I92),data!$JO$72,_xlfn.IFS(
ISNUMBER(SEARCH( data!$JP$23, I92 )), data!$JO$23,
ISNUMBER(SEARCH( data!$JP$24, I92 )), data!$JO$24,
ISNUMBER(SEARCH( data!$JP$25, I92 )), data!$JO$25,
ISNUMBER(SEARCH( data!$JP$26, I92 )), data!$JO$26,
ISNUMBER(SEARCH( data!$JP$27, I92 )), data!$JO$27,
ISNUMBER(SEARCH( data!$JP$28, I92 )), data!$JO$28,
ISNUMBER(SEARCH( data!$JP$29, I92 )), data!$JO$29,
ISNUMBER(SEARCH( data!$JP$30, I92 )), data!$JO$30,
ISNUMBER(SEARCH( data!$JP$31, I92 )), data!$JO$31,
ISNUMBER(SEARCH( data!$JP$32, I92 )), data!$JO$32,
ISNUMBER(SEARCH( data!$JP$33, I92 )), data!$JO$33,
ISNUMBER(SEARCH( data!$JP$34, I92 )), data!$JO$34,
ISNUMBER(SEARCH( data!$JP$35, I92 )), data!$JO$35,
ISNUMBER(SEARCH( data!$JP$36, I92 )), data!$JO$36,
ISNUMBER(SEARCH( data!$JP$37, I92 )), data!$JO$37,
ISNUMBER(SEARCH( data!$JP$38, I92 )), data!$JO$38,
ISNUMBER(SEARCH( data!$JP$39, I92 )), data!$JO$39,
ISNUMBER(SEARCH( data!$JP$40, I92 )), data!$JO$40,
ISNUMBER(SEARCH( data!$JP$41, I92 )), data!$JO$41,
ISNUMBER(SEARCH( data!$JP$42, I92 )), data!$JO$42,
ISNUMBER(SEARCH( data!$JP$43, I92 )), data!$JO$43,
ISNUMBER(SEARCH( data!$JP$44, I92 )), data!$JO$44,
ISNUMBER(SEARCH( data!$JP$45, I92 )), data!$JO$45,
ISNUMBER(SEARCH( data!$JP$46, I92 )), data!$JO$46,
ISNUMBER(SEARCH( data!$JP$47, I92 )), data!$JO$47,
ISNUMBER(SEARCH( data!$JP$48, I92 )), data!$JO$48,
ISNUMBER(SEARCH( data!$JP$49, I92 )), data!$JO$49,
ISNUMBER(SEARCH( data!$JP$50, I92 )), data!$JO$50,
ISNUMBER(SEARCH( data!$JP$51, I92 )), data!$JO$51,
ISNUMBER(SEARCH( data!$JP$52, I92 )), data!$JO$52,
ISNUMBER(SEARCH( data!$JP$53, I92 )), data!$JO$53,
ISNUMBER(SEARCH( data!$JP$54, I92 )), data!$JO$54,
ISNUMBER(SEARCH( data!$JP$55, I92 )), data!$JO$55,
ISNUMBER(SEARCH( data!$JP$56, I92 )), data!$JO$56,
ISNUMBER(SEARCH( data!$JP$57, I92 )), data!$JO$57,
ISNUMBER(SEARCH( data!$JP$58, I92 )), data!$JO$58,
ISNUMBER(SEARCH( data!$JP$59, I92 )), data!$JO$59,
ISNUMBER(SEARCH( data!$JP$60, I92 )), data!$JO$60,
ISNUMBER(SEARCH( data!$JP$61, I92 )), data!$JO$61,
ISNUMBER(SEARCH( data!$JP$62, I92 )), data!$JO$62,
ISNUMBER(SEARCH( data!$JP$63, I92 )), data!$JO$63,
ISNUMBER(SEARCH( data!$JP$64, I92 )), data!$JO$64,
ISNUMBER(SEARCH( data!$JP$65, I92 )), data!$JO$65,
ISNUMBER(SEARCH( data!$JP$66, I92 )), data!$JO$66,
ISNUMBER(SEARCH( data!$JP$67, I92 )), data!$JO$67,
ISNUMBER(SEARCH( data!$JP$68, I92 )), data!$JO$68,
ISNUMBER(SEARCH( data!$JP$69, I92 )), data!$JO$69,
ISNUMBER(SEARCH( data!$JP$70, I92 )), data!$JO$70,
ISNUMBER(SEARCH( data!$JP$71, I92 )), data!$JO$71,
ISNUMBER(SEARCH( data!$JR$23, I92 )), data!$JQ$23,
ISNUMBER(SEARCH( data!$JR$24, I92 )), data!$JQ$24,
ISNUMBER(SEARCH( data!$JR$25, I92 )), data!$JQ$25,
ISNUMBER(SEARCH( data!$JR$26, I92 )), data!$JQ$26,
ISNUMBER(SEARCH( data!$JR$27, I92 )), data!$JQ$27,
ISNUMBER(SEARCH( data!$JR$28, I92 )), data!$JQ$28,
ISNUMBER(SEARCH( data!$JR$29, I92 )), data!$JQ$29,
ISNUMBER(SEARCH( data!$JR$30, I92 )), data!$JQ$30,
ISNUMBER(SEARCH( data!$JR$31, I92 )), data!$JQ$31,
ISNUMBER(SEARCH( data!$JR$32, I92 )), data!$JQ$32,
ISNUMBER(SEARCH( data!$JR$33, I92 )), data!$JQ$33,
ISNUMBER(SEARCH( data!$JR$34, I92 )), data!$JQ$34,
ISNUMBER(SEARCH( data!$JR$35, I92 )), data!$JQ$35,
ISNUMBER(SEARCH( data!$JR$36, I92 )), data!$JQ$36,
ISNUMBER(SEARCH( data!$JR$37, I92 )), data!$JQ$37,
ISNUMBER(SEARCH( data!$JR$38, I92 )), data!$JQ$38,
ISNUMBER(SEARCH( data!$JR$39, I92 )), data!$JQ$39,
ISNUMBER(SEARCH( data!$JR$40, I92 )), data!$JQ$40,
ISNUMBER(SEARCH( data!$JR$41, I92 )), data!$JQ$41,
ISNUMBER(SEARCH( data!$JR$42, I92 )), data!$JQ$42,
ISNUMBER(SEARCH( data!$JR$43, I92 )), data!$JQ$43,
ISNUMBER(SEARCH( data!$JR$44, I92 )), data!$JQ$44,
ISNUMBER(SEARCH( data!$JR$45, I92 )), data!$JQ$45,
ISNUMBER(SEARCH( data!$JR$46, I92 )), data!$JQ$46,
ISNUMBER(SEARCH( data!$JR$47, I92 )), data!$JQ$47,
ISNUMBER(SEARCH( data!$JR$48, I92 )), data!$JQ$48,
ISNUMBER(SEARCH( data!$JR$49, I92 )), data!$JQ$49,
ISNUMBER(SEARCH( data!$JR$50, I92 )), data!$JQ$50,
ISNUMBER(SEARCH( data!$JR$51, I92 )), data!$JQ$51,
ISNUMBER(SEARCH( data!$JR$52, I92 )), data!$JQ$52,
ISNUMBER(SEARCH( data!$JR$53, I92 )), data!$JQ$53,
ISNUMBER(SEARCH( data!$JR$54, I92 )), data!$JQ$54,
ISNUMBER(SEARCH( data!$JR$55, I92 )), data!$JQ$55,
ISNUMBER(SEARCH( data!$JR$56, I92 )), data!$JQ$56,
ISNUMBER(SEARCH( data!$JR$57, I92 )), data!$JQ$57,
ISNUMBER(SEARCH( data!$JR$58, I92 )), data!$JQ$58,
ISNUMBER(SEARCH( data!$JR$59, I92 )), data!$JQ$59,
ISNUMBER(SEARCH( data!$JR$60, I92 )), data!$JQ$60,
ISNUMBER(SEARCH( data!$JR$61, I92 )), data!$JQ$61,
ISNUMBER(SEARCH( data!$JR$62, I92 )), data!$JQ$62,
ISNUMBER(SEARCH( data!$JR$63, I92 )), data!$JQ$63,
ISNUMBER(SEARCH( data!$JR$64, I92 )), data!$JQ$64,
ISNUMBER(SEARCH( data!$JR$65, I92 )), data!$JQ$65,
ISNUMBER(SEARCH( data!$JR$66, I92 )), data!$JQ$66,
ISNUMBER(SEARCH( data!$JR$67, I92 )), data!$JQ$67,
ISNUMBER(SEARCH( data!$JR$68, I92 )), data!$JQ$68,
ISNUMBER(SEARCH( data!$JR$69, I92 )), data!$JQ$69,
ISNUMBER(SEARCH( data!$JR$70, I92 )), data!$JQ$70,
ISNUMBER(SEARCH( data!$JR$71, I92 )), data!$JQ$71,
TRUE,data!$JQ$72))</f>
        <v>⠐❖⠂</v>
      </c>
      <c r="L90" s="4674"/>
      <c r="M90" s="4674"/>
      <c r="N90" s="4668" t="s">
        <v>68</v>
      </c>
      <c r="O90" s="4669"/>
      <c r="P90" s="801"/>
      <c r="Q90" s="4672" t="s">
        <v>68</v>
      </c>
      <c r="R90" s="4668"/>
      <c r="S90" s="4674" t="str">
        <f>IF(ISBLANK(Q92),data!$JO$72,_xlfn.IFS(
ISNUMBER(SEARCH( data!$JP$23, Q92 )), data!$JO$23,
ISNUMBER(SEARCH( data!$JP$24, Q92 )), data!$JO$24,
ISNUMBER(SEARCH( data!$JP$25, Q92 )), data!$JO$25,
ISNUMBER(SEARCH( data!$JP$26, Q92 )), data!$JO$26,
ISNUMBER(SEARCH( data!$JP$27, Q92 )), data!$JO$27,
ISNUMBER(SEARCH( data!$JP$28, Q92 )), data!$JO$28,
ISNUMBER(SEARCH( data!$JP$29, Q92 )), data!$JO$29,
ISNUMBER(SEARCH( data!$JP$30, Q92 )), data!$JO$30,
ISNUMBER(SEARCH( data!$JP$31, Q92 )), data!$JO$31,
ISNUMBER(SEARCH( data!$JP$32, Q92 )), data!$JO$32,
ISNUMBER(SEARCH( data!$JP$33, Q92 )), data!$JO$33,
ISNUMBER(SEARCH( data!$JP$34, Q92 )), data!$JO$34,
ISNUMBER(SEARCH( data!$JP$35, Q92 )), data!$JO$35,
ISNUMBER(SEARCH( data!$JP$36, Q92 )), data!$JO$36,
ISNUMBER(SEARCH( data!$JP$37, Q92 )), data!$JO$37,
ISNUMBER(SEARCH( data!$JP$38, Q92 )), data!$JO$38,
ISNUMBER(SEARCH( data!$JP$39, Q92 )), data!$JO$39,
ISNUMBER(SEARCH( data!$JP$40, Q92 )), data!$JO$40,
ISNUMBER(SEARCH( data!$JP$41, Q92 )), data!$JO$41,
ISNUMBER(SEARCH( data!$JP$42, Q92 )), data!$JO$42,
ISNUMBER(SEARCH( data!$JP$43, Q92 )), data!$JO$43,
ISNUMBER(SEARCH( data!$JP$44, Q92 )), data!$JO$44,
ISNUMBER(SEARCH( data!$JP$45, Q92 )), data!$JO$45,
ISNUMBER(SEARCH( data!$JP$46, Q92 )), data!$JO$46,
ISNUMBER(SEARCH( data!$JP$47, Q92 )), data!$JO$47,
ISNUMBER(SEARCH( data!$JP$48, Q92 )), data!$JO$48,
ISNUMBER(SEARCH( data!$JP$49, Q92 )), data!$JO$49,
ISNUMBER(SEARCH( data!$JP$50, Q92 )), data!$JO$50,
ISNUMBER(SEARCH( data!$JP$51, Q92 )), data!$JO$51,
ISNUMBER(SEARCH( data!$JP$52, Q92 )), data!$JO$52,
ISNUMBER(SEARCH( data!$JP$53, Q92 )), data!$JO$53,
ISNUMBER(SEARCH( data!$JP$54, Q92 )), data!$JO$54,
ISNUMBER(SEARCH( data!$JP$55, Q92 )), data!$JO$55,
ISNUMBER(SEARCH( data!$JP$56, Q92 )), data!$JO$56,
ISNUMBER(SEARCH( data!$JP$57, Q92 )), data!$JO$57,
ISNUMBER(SEARCH( data!$JP$58, Q92 )), data!$JO$58,
ISNUMBER(SEARCH( data!$JP$59, Q92 )), data!$JO$59,
ISNUMBER(SEARCH( data!$JP$60, Q92 )), data!$JO$60,
ISNUMBER(SEARCH( data!$JP$61, Q92 )), data!$JO$61,
ISNUMBER(SEARCH( data!$JP$62, Q92 )), data!$JO$62,
ISNUMBER(SEARCH( data!$JP$63, Q92 )), data!$JO$63,
ISNUMBER(SEARCH( data!$JP$64, Q92 )), data!$JO$64,
ISNUMBER(SEARCH( data!$JP$65, Q92 )), data!$JO$65,
ISNUMBER(SEARCH( data!$JP$66, Q92 )), data!$JO$66,
ISNUMBER(SEARCH( data!$JP$67, Q92 )), data!$JO$67,
ISNUMBER(SEARCH( data!$JP$68, Q92 )), data!$JO$68,
ISNUMBER(SEARCH( data!$JP$69, Q92 )), data!$JO$69,
ISNUMBER(SEARCH( data!$JP$70, Q92 )), data!$JO$70,
ISNUMBER(SEARCH( data!$JP$71, Q92 )), data!$JO$71,
ISNUMBER(SEARCH( data!$JR$23, Q92 )), data!$JQ$23,
ISNUMBER(SEARCH( data!$JR$24, Q92 )), data!$JQ$24,
ISNUMBER(SEARCH( data!$JR$25, Q92 )), data!$JQ$25,
ISNUMBER(SEARCH( data!$JR$26, Q92 )), data!$JQ$26,
ISNUMBER(SEARCH( data!$JR$27, Q92 )), data!$JQ$27,
ISNUMBER(SEARCH( data!$JR$28, Q92 )), data!$JQ$28,
ISNUMBER(SEARCH( data!$JR$29, Q92 )), data!$JQ$29,
ISNUMBER(SEARCH( data!$JR$30, Q92 )), data!$JQ$30,
ISNUMBER(SEARCH( data!$JR$31, Q92 )), data!$JQ$31,
ISNUMBER(SEARCH( data!$JR$32, Q92 )), data!$JQ$32,
ISNUMBER(SEARCH( data!$JR$33, Q92 )), data!$JQ$33,
ISNUMBER(SEARCH( data!$JR$34, Q92 )), data!$JQ$34,
ISNUMBER(SEARCH( data!$JR$35, Q92 )), data!$JQ$35,
ISNUMBER(SEARCH( data!$JR$36, Q92 )), data!$JQ$36,
ISNUMBER(SEARCH( data!$JR$37, Q92 )), data!$JQ$37,
ISNUMBER(SEARCH( data!$JR$38, Q92 )), data!$JQ$38,
ISNUMBER(SEARCH( data!$JR$39, Q92 )), data!$JQ$39,
ISNUMBER(SEARCH( data!$JR$40, Q92 )), data!$JQ$40,
ISNUMBER(SEARCH( data!$JR$41, Q92 )), data!$JQ$41,
ISNUMBER(SEARCH( data!$JR$42, Q92 )), data!$JQ$42,
ISNUMBER(SEARCH( data!$JR$43, Q92 )), data!$JQ$43,
ISNUMBER(SEARCH( data!$JR$44, Q92 )), data!$JQ$44,
ISNUMBER(SEARCH( data!$JR$45, Q92 )), data!$JQ$45,
ISNUMBER(SEARCH( data!$JR$46, Q92 )), data!$JQ$46,
ISNUMBER(SEARCH( data!$JR$47, Q92 )), data!$JQ$47,
ISNUMBER(SEARCH( data!$JR$48, Q92 )), data!$JQ$48,
ISNUMBER(SEARCH( data!$JR$49, Q92 )), data!$JQ$49,
ISNUMBER(SEARCH( data!$JR$50, Q92 )), data!$JQ$50,
ISNUMBER(SEARCH( data!$JR$51, Q92 )), data!$JQ$51,
ISNUMBER(SEARCH( data!$JR$52, Q92 )), data!$JQ$52,
ISNUMBER(SEARCH( data!$JR$53, Q92 )), data!$JQ$53,
ISNUMBER(SEARCH( data!$JR$54, Q92 )), data!$JQ$54,
ISNUMBER(SEARCH( data!$JR$55, Q92 )), data!$JQ$55,
ISNUMBER(SEARCH( data!$JR$56, Q92 )), data!$JQ$56,
ISNUMBER(SEARCH( data!$JR$57, Q92 )), data!$JQ$57,
ISNUMBER(SEARCH( data!$JR$58, Q92 )), data!$JQ$58,
ISNUMBER(SEARCH( data!$JR$59, Q92 )), data!$JQ$59,
ISNUMBER(SEARCH( data!$JR$60, Q92 )), data!$JQ$60,
ISNUMBER(SEARCH( data!$JR$61, Q92 )), data!$JQ$61,
ISNUMBER(SEARCH( data!$JR$62, Q92 )), data!$JQ$62,
ISNUMBER(SEARCH( data!$JR$63, Q92 )), data!$JQ$63,
ISNUMBER(SEARCH( data!$JR$64, Q92 )), data!$JQ$64,
ISNUMBER(SEARCH( data!$JR$65, Q92 )), data!$JQ$65,
ISNUMBER(SEARCH( data!$JR$66, Q92 )), data!$JQ$66,
ISNUMBER(SEARCH( data!$JR$67, Q92 )), data!$JQ$67,
ISNUMBER(SEARCH( data!$JR$68, Q92 )), data!$JQ$68,
ISNUMBER(SEARCH( data!$JR$69, Q92 )), data!$JQ$69,
ISNUMBER(SEARCH( data!$JR$70, Q92 )), data!$JQ$70,
ISNUMBER(SEARCH( data!$JR$71, Q92 )), data!$JQ$71,
TRUE,data!$JQ$72))</f>
        <v>❉❖❉</v>
      </c>
      <c r="T90" s="4674"/>
      <c r="U90" s="4674"/>
      <c r="V90" s="4668" t="s">
        <v>68</v>
      </c>
      <c r="W90" s="4669"/>
      <c r="X90" s="801"/>
      <c r="Y90" s="4672" t="s">
        <v>68</v>
      </c>
      <c r="Z90" s="4668"/>
      <c r="AA90" s="4674" t="str">
        <f>IF(ISBLANK(Y92),data!$JO$72,_xlfn.IFS(
ISNUMBER(SEARCH( data!$JP$23, Y92 )), data!$JO$23,
ISNUMBER(SEARCH( data!$JP$24, Y92 )), data!$JO$24,
ISNUMBER(SEARCH( data!$JP$25, Y92 )), data!$JO$25,
ISNUMBER(SEARCH( data!$JP$26, Y92 )), data!$JO$26,
ISNUMBER(SEARCH( data!$JP$27, Y92 )), data!$JO$27,
ISNUMBER(SEARCH( data!$JP$28, Y92 )), data!$JO$28,
ISNUMBER(SEARCH( data!$JP$29, Y92 )), data!$JO$29,
ISNUMBER(SEARCH( data!$JP$30, Y92 )), data!$JO$30,
ISNUMBER(SEARCH( data!$JP$31, Y92 )), data!$JO$31,
ISNUMBER(SEARCH( data!$JP$32, Y92 )), data!$JO$32,
ISNUMBER(SEARCH( data!$JP$33, Y92 )), data!$JO$33,
ISNUMBER(SEARCH( data!$JP$34, Y92 )), data!$JO$34,
ISNUMBER(SEARCH( data!$JP$35, Y92 )), data!$JO$35,
ISNUMBER(SEARCH( data!$JP$36, Y92 )), data!$JO$36,
ISNUMBER(SEARCH( data!$JP$37, Y92 )), data!$JO$37,
ISNUMBER(SEARCH( data!$JP$38, Y92 )), data!$JO$38,
ISNUMBER(SEARCH( data!$JP$39, Y92 )), data!$JO$39,
ISNUMBER(SEARCH( data!$JP$40, Y92 )), data!$JO$40,
ISNUMBER(SEARCH( data!$JP$41, Y92 )), data!$JO$41,
ISNUMBER(SEARCH( data!$JP$42, Y92 )), data!$JO$42,
ISNUMBER(SEARCH( data!$JP$43, Y92 )), data!$JO$43,
ISNUMBER(SEARCH( data!$JP$44, Y92 )), data!$JO$44,
ISNUMBER(SEARCH( data!$JP$45, Y92 )), data!$JO$45,
ISNUMBER(SEARCH( data!$JP$46, Y92 )), data!$JO$46,
ISNUMBER(SEARCH( data!$JP$47, Y92 )), data!$JO$47,
ISNUMBER(SEARCH( data!$JP$48, Y92 )), data!$JO$48,
ISNUMBER(SEARCH( data!$JP$49, Y92 )), data!$JO$49,
ISNUMBER(SEARCH( data!$JP$50, Y92 )), data!$JO$50,
ISNUMBER(SEARCH( data!$JP$51, Y92 )), data!$JO$51,
ISNUMBER(SEARCH( data!$JP$52, Y92 )), data!$JO$52,
ISNUMBER(SEARCH( data!$JP$53, Y92 )), data!$JO$53,
ISNUMBER(SEARCH( data!$JP$54, Y92 )), data!$JO$54,
ISNUMBER(SEARCH( data!$JP$55, Y92 )), data!$JO$55,
ISNUMBER(SEARCH( data!$JP$56, Y92 )), data!$JO$56,
ISNUMBER(SEARCH( data!$JP$57, Y92 )), data!$JO$57,
ISNUMBER(SEARCH( data!$JP$58, Y92 )), data!$JO$58,
ISNUMBER(SEARCH( data!$JP$59, Y92 )), data!$JO$59,
ISNUMBER(SEARCH( data!$JP$60, Y92 )), data!$JO$60,
ISNUMBER(SEARCH( data!$JP$61, Y92 )), data!$JO$61,
ISNUMBER(SEARCH( data!$JP$62, Y92 )), data!$JO$62,
ISNUMBER(SEARCH( data!$JP$63, Y92 )), data!$JO$63,
ISNUMBER(SEARCH( data!$JP$64, Y92 )), data!$JO$64,
ISNUMBER(SEARCH( data!$JP$65, Y92 )), data!$JO$65,
ISNUMBER(SEARCH( data!$JP$66, Y92 )), data!$JO$66,
ISNUMBER(SEARCH( data!$JP$67, Y92 )), data!$JO$67,
ISNUMBER(SEARCH( data!$JP$68, Y92 )), data!$JO$68,
ISNUMBER(SEARCH( data!$JP$69, Y92 )), data!$JO$69,
ISNUMBER(SEARCH( data!$JP$70, Y92 )), data!$JO$70,
ISNUMBER(SEARCH( data!$JP$71, Y92 )), data!$JO$71,
ISNUMBER(SEARCH( data!$JR$23, Y92 )), data!$JQ$23,
ISNUMBER(SEARCH( data!$JR$24, Y92 )), data!$JQ$24,
ISNUMBER(SEARCH( data!$JR$25, Y92 )), data!$JQ$25,
ISNUMBER(SEARCH( data!$JR$26, Y92 )), data!$JQ$26,
ISNUMBER(SEARCH( data!$JR$27, Y92 )), data!$JQ$27,
ISNUMBER(SEARCH( data!$JR$28, Y92 )), data!$JQ$28,
ISNUMBER(SEARCH( data!$JR$29, Y92 )), data!$JQ$29,
ISNUMBER(SEARCH( data!$JR$30, Y92 )), data!$JQ$30,
ISNUMBER(SEARCH( data!$JR$31, Y92 )), data!$JQ$31,
ISNUMBER(SEARCH( data!$JR$32, Y92 )), data!$JQ$32,
ISNUMBER(SEARCH( data!$JR$33, Y92 )), data!$JQ$33,
ISNUMBER(SEARCH( data!$JR$34, Y92 )), data!$JQ$34,
ISNUMBER(SEARCH( data!$JR$35, Y92 )), data!$JQ$35,
ISNUMBER(SEARCH( data!$JR$36, Y92 )), data!$JQ$36,
ISNUMBER(SEARCH( data!$JR$37, Y92 )), data!$JQ$37,
ISNUMBER(SEARCH( data!$JR$38, Y92 )), data!$JQ$38,
ISNUMBER(SEARCH( data!$JR$39, Y92 )), data!$JQ$39,
ISNUMBER(SEARCH( data!$JR$40, Y92 )), data!$JQ$40,
ISNUMBER(SEARCH( data!$JR$41, Y92 )), data!$JQ$41,
ISNUMBER(SEARCH( data!$JR$42, Y92 )), data!$JQ$42,
ISNUMBER(SEARCH( data!$JR$43, Y92 )), data!$JQ$43,
ISNUMBER(SEARCH( data!$JR$44, Y92 )), data!$JQ$44,
ISNUMBER(SEARCH( data!$JR$45, Y92 )), data!$JQ$45,
ISNUMBER(SEARCH( data!$JR$46, Y92 )), data!$JQ$46,
ISNUMBER(SEARCH( data!$JR$47, Y92 )), data!$JQ$47,
ISNUMBER(SEARCH( data!$JR$48, Y92 )), data!$JQ$48,
ISNUMBER(SEARCH( data!$JR$49, Y92 )), data!$JQ$49,
ISNUMBER(SEARCH( data!$JR$50, Y92 )), data!$JQ$50,
ISNUMBER(SEARCH( data!$JR$51, Y92 )), data!$JQ$51,
ISNUMBER(SEARCH( data!$JR$52, Y92 )), data!$JQ$52,
ISNUMBER(SEARCH( data!$JR$53, Y92 )), data!$JQ$53,
ISNUMBER(SEARCH( data!$JR$54, Y92 )), data!$JQ$54,
ISNUMBER(SEARCH( data!$JR$55, Y92 )), data!$JQ$55,
ISNUMBER(SEARCH( data!$JR$56, Y92 )), data!$JQ$56,
ISNUMBER(SEARCH( data!$JR$57, Y92 )), data!$JQ$57,
ISNUMBER(SEARCH( data!$JR$58, Y92 )), data!$JQ$58,
ISNUMBER(SEARCH( data!$JR$59, Y92 )), data!$JQ$59,
ISNUMBER(SEARCH( data!$JR$60, Y92 )), data!$JQ$60,
ISNUMBER(SEARCH( data!$JR$61, Y92 )), data!$JQ$61,
ISNUMBER(SEARCH( data!$JR$62, Y92 )), data!$JQ$62,
ISNUMBER(SEARCH( data!$JR$63, Y92 )), data!$JQ$63,
ISNUMBER(SEARCH( data!$JR$64, Y92 )), data!$JQ$64,
ISNUMBER(SEARCH( data!$JR$65, Y92 )), data!$JQ$65,
ISNUMBER(SEARCH( data!$JR$66, Y92 )), data!$JQ$66,
ISNUMBER(SEARCH( data!$JR$67, Y92 )), data!$JQ$67,
ISNUMBER(SEARCH( data!$JR$68, Y92 )), data!$JQ$68,
ISNUMBER(SEARCH( data!$JR$69, Y92 )), data!$JQ$69,
ISNUMBER(SEARCH( data!$JR$70, Y92 )), data!$JQ$70,
ISNUMBER(SEARCH( data!$JR$71, Y92 )), data!$JQ$71,
TRUE,data!$JQ$72))</f>
        <v>🕯</v>
      </c>
      <c r="AB90" s="4674"/>
      <c r="AC90" s="4674"/>
      <c r="AD90" s="4668" t="s">
        <v>68</v>
      </c>
      <c r="AE90" s="4669"/>
      <c r="AF90" s="801"/>
      <c r="AG90" s="4672" t="s">
        <v>68</v>
      </c>
      <c r="AH90" s="4668"/>
      <c r="AI90" s="4674" t="str">
        <f>IF(ISBLANK(AG92),data!$JO$72,_xlfn.IFS(
ISNUMBER(SEARCH( data!$JP$23, AG92 )), data!$JO$23,
ISNUMBER(SEARCH( data!$JP$24, AG92 )), data!$JO$24,
ISNUMBER(SEARCH( data!$JP$25, AG92 )), data!$JO$25,
ISNUMBER(SEARCH( data!$JP$26, AG92 )), data!$JO$26,
ISNUMBER(SEARCH( data!$JP$27, AG92 )), data!$JO$27,
ISNUMBER(SEARCH( data!$JP$28, AG92 )), data!$JO$28,
ISNUMBER(SEARCH( data!$JP$29, AG92 )), data!$JO$29,
ISNUMBER(SEARCH( data!$JP$30, AG92 )), data!$JO$30,
ISNUMBER(SEARCH( data!$JP$31, AG92 )), data!$JO$31,
ISNUMBER(SEARCH( data!$JP$32, AG92 )), data!$JO$32,
ISNUMBER(SEARCH( data!$JP$33, AG92 )), data!$JO$33,
ISNUMBER(SEARCH( data!$JP$34, AG92 )), data!$JO$34,
ISNUMBER(SEARCH( data!$JP$35, AG92 )), data!$JO$35,
ISNUMBER(SEARCH( data!$JP$36, AG92 )), data!$JO$36,
ISNUMBER(SEARCH( data!$JP$37, AG92 )), data!$JO$37,
ISNUMBER(SEARCH( data!$JP$38, AG92 )), data!$JO$38,
ISNUMBER(SEARCH( data!$JP$39, AG92 )), data!$JO$39,
ISNUMBER(SEARCH( data!$JP$40, AG92 )), data!$JO$40,
ISNUMBER(SEARCH( data!$JP$41, AG92 )), data!$JO$41,
ISNUMBER(SEARCH( data!$JP$42, AG92 )), data!$JO$42,
ISNUMBER(SEARCH( data!$JP$43, AG92 )), data!$JO$43,
ISNUMBER(SEARCH( data!$JP$44, AG92 )), data!$JO$44,
ISNUMBER(SEARCH( data!$JP$45, AG92 )), data!$JO$45,
ISNUMBER(SEARCH( data!$JP$46, AG92 )), data!$JO$46,
ISNUMBER(SEARCH( data!$JP$47, AG92 )), data!$JO$47,
ISNUMBER(SEARCH( data!$JP$48, AG92 )), data!$JO$48,
ISNUMBER(SEARCH( data!$JP$49, AG92 )), data!$JO$49,
ISNUMBER(SEARCH( data!$JP$50, AG92 )), data!$JO$50,
ISNUMBER(SEARCH( data!$JP$51, AG92 )), data!$JO$51,
ISNUMBER(SEARCH( data!$JP$52, AG92 )), data!$JO$52,
ISNUMBER(SEARCH( data!$JP$53, AG92 )), data!$JO$53,
ISNUMBER(SEARCH( data!$JP$54, AG92 )), data!$JO$54,
ISNUMBER(SEARCH( data!$JP$55, AG92 )), data!$JO$55,
ISNUMBER(SEARCH( data!$JP$56, AG92 )), data!$JO$56,
ISNUMBER(SEARCH( data!$JP$57, AG92 )), data!$JO$57,
ISNUMBER(SEARCH( data!$JP$58, AG92 )), data!$JO$58,
ISNUMBER(SEARCH( data!$JP$59, AG92 )), data!$JO$59,
ISNUMBER(SEARCH( data!$JP$60, AG92 )), data!$JO$60,
ISNUMBER(SEARCH( data!$JP$61, AG92 )), data!$JO$61,
ISNUMBER(SEARCH( data!$JP$62, AG92 )), data!$JO$62,
ISNUMBER(SEARCH( data!$JP$63, AG92 )), data!$JO$63,
ISNUMBER(SEARCH( data!$JP$64, AG92 )), data!$JO$64,
ISNUMBER(SEARCH( data!$JP$65, AG92 )), data!$JO$65,
ISNUMBER(SEARCH( data!$JP$66, AG92 )), data!$JO$66,
ISNUMBER(SEARCH( data!$JP$67, AG92 )), data!$JO$67,
ISNUMBER(SEARCH( data!$JP$68, AG92 )), data!$JO$68,
ISNUMBER(SEARCH( data!$JP$69, AG92 )), data!$JO$69,
ISNUMBER(SEARCH( data!$JP$70, AG92 )), data!$JO$70,
ISNUMBER(SEARCH( data!$JP$71, AG92 )), data!$JO$71,
ISNUMBER(SEARCH( data!$JR$23, AG92 )), data!$JQ$23,
ISNUMBER(SEARCH( data!$JR$24, AG92 )), data!$JQ$24,
ISNUMBER(SEARCH( data!$JR$25, AG92 )), data!$JQ$25,
ISNUMBER(SEARCH( data!$JR$26, AG92 )), data!$JQ$26,
ISNUMBER(SEARCH( data!$JR$27, AG92 )), data!$JQ$27,
ISNUMBER(SEARCH( data!$JR$28, AG92 )), data!$JQ$28,
ISNUMBER(SEARCH( data!$JR$29, AG92 )), data!$JQ$29,
ISNUMBER(SEARCH( data!$JR$30, AG92 )), data!$JQ$30,
ISNUMBER(SEARCH( data!$JR$31, AG92 )), data!$JQ$31,
ISNUMBER(SEARCH( data!$JR$32, AG92 )), data!$JQ$32,
ISNUMBER(SEARCH( data!$JR$33, AG92 )), data!$JQ$33,
ISNUMBER(SEARCH( data!$JR$34, AG92 )), data!$JQ$34,
ISNUMBER(SEARCH( data!$JR$35, AG92 )), data!$JQ$35,
ISNUMBER(SEARCH( data!$JR$36, AG92 )), data!$JQ$36,
ISNUMBER(SEARCH( data!$JR$37, AG92 )), data!$JQ$37,
ISNUMBER(SEARCH( data!$JR$38, AG92 )), data!$JQ$38,
ISNUMBER(SEARCH( data!$JR$39, AG92 )), data!$JQ$39,
ISNUMBER(SEARCH( data!$JR$40, AG92 )), data!$JQ$40,
ISNUMBER(SEARCH( data!$JR$41, AG92 )), data!$JQ$41,
ISNUMBER(SEARCH( data!$JR$42, AG92 )), data!$JQ$42,
ISNUMBER(SEARCH( data!$JR$43, AG92 )), data!$JQ$43,
ISNUMBER(SEARCH( data!$JR$44, AG92 )), data!$JQ$44,
ISNUMBER(SEARCH( data!$JR$45, AG92 )), data!$JQ$45,
ISNUMBER(SEARCH( data!$JR$46, AG92 )), data!$JQ$46,
ISNUMBER(SEARCH( data!$JR$47, AG92 )), data!$JQ$47,
ISNUMBER(SEARCH( data!$JR$48, AG92 )), data!$JQ$48,
ISNUMBER(SEARCH( data!$JR$49, AG92 )), data!$JQ$49,
ISNUMBER(SEARCH( data!$JR$50, AG92 )), data!$JQ$50,
ISNUMBER(SEARCH( data!$JR$51, AG92 )), data!$JQ$51,
ISNUMBER(SEARCH( data!$JR$52, AG92 )), data!$JQ$52,
ISNUMBER(SEARCH( data!$JR$53, AG92 )), data!$JQ$53,
ISNUMBER(SEARCH( data!$JR$54, AG92 )), data!$JQ$54,
ISNUMBER(SEARCH( data!$JR$55, AG92 )), data!$JQ$55,
ISNUMBER(SEARCH( data!$JR$56, AG92 )), data!$JQ$56,
ISNUMBER(SEARCH( data!$JR$57, AG92 )), data!$JQ$57,
ISNUMBER(SEARCH( data!$JR$58, AG92 )), data!$JQ$58,
ISNUMBER(SEARCH( data!$JR$59, AG92 )), data!$JQ$59,
ISNUMBER(SEARCH( data!$JR$60, AG92 )), data!$JQ$60,
ISNUMBER(SEARCH( data!$JR$61, AG92 )), data!$JQ$61,
ISNUMBER(SEARCH( data!$JR$62, AG92 )), data!$JQ$62,
ISNUMBER(SEARCH( data!$JR$63, AG92 )), data!$JQ$63,
ISNUMBER(SEARCH( data!$JR$64, AG92 )), data!$JQ$64,
ISNUMBER(SEARCH( data!$JR$65, AG92 )), data!$JQ$65,
ISNUMBER(SEARCH( data!$JR$66, AG92 )), data!$JQ$66,
ISNUMBER(SEARCH( data!$JR$67, AG92 )), data!$JQ$67,
ISNUMBER(SEARCH( data!$JR$68, AG92 )), data!$JQ$68,
ISNUMBER(SEARCH( data!$JR$69, AG92 )), data!$JQ$69,
ISNUMBER(SEARCH( data!$JR$70, AG92 )), data!$JQ$70,
ISNUMBER(SEARCH( data!$JR$71, AG92 )), data!$JQ$71,
TRUE,data!$JQ$72))</f>
        <v>🖸</v>
      </c>
      <c r="AJ90" s="4674"/>
      <c r="AK90" s="4674"/>
      <c r="AL90" s="4668" t="s">
        <v>68</v>
      </c>
      <c r="AM90" s="4669"/>
      <c r="AN90" s="801"/>
      <c r="AO90" s="4672" t="s">
        <v>68</v>
      </c>
      <c r="AP90" s="4668"/>
      <c r="AQ90" s="4674" t="str">
        <f>IF(ISBLANK(AO92),data!$JO$72,_xlfn.IFS(
ISNUMBER(SEARCH( data!$JP$23, AO92 )), data!$JO$23,
ISNUMBER(SEARCH( data!$JP$24, AO92 )), data!$JO$24,
ISNUMBER(SEARCH( data!$JP$25, AO92 )), data!$JO$25,
ISNUMBER(SEARCH( data!$JP$26, AO92 )), data!$JO$26,
ISNUMBER(SEARCH( data!$JP$27, AO92 )), data!$JO$27,
ISNUMBER(SEARCH( data!$JP$28, AO92 )), data!$JO$28,
ISNUMBER(SEARCH( data!$JP$29, AO92 )), data!$JO$29,
ISNUMBER(SEARCH( data!$JP$30, AO92 )), data!$JO$30,
ISNUMBER(SEARCH( data!$JP$31, AO92 )), data!$JO$31,
ISNUMBER(SEARCH( data!$JP$32, AO92 )), data!$JO$32,
ISNUMBER(SEARCH( data!$JP$33, AO92 )), data!$JO$33,
ISNUMBER(SEARCH( data!$JP$34, AO92 )), data!$JO$34,
ISNUMBER(SEARCH( data!$JP$35, AO92 )), data!$JO$35,
ISNUMBER(SEARCH( data!$JP$36, AO92 )), data!$JO$36,
ISNUMBER(SEARCH( data!$JP$37, AO92 )), data!$JO$37,
ISNUMBER(SEARCH( data!$JP$38, AO92 )), data!$JO$38,
ISNUMBER(SEARCH( data!$JP$39, AO92 )), data!$JO$39,
ISNUMBER(SEARCH( data!$JP$40, AO92 )), data!$JO$40,
ISNUMBER(SEARCH( data!$JP$41, AO92 )), data!$JO$41,
ISNUMBER(SEARCH( data!$JP$42, AO92 )), data!$JO$42,
ISNUMBER(SEARCH( data!$JP$43, AO92 )), data!$JO$43,
ISNUMBER(SEARCH( data!$JP$44, AO92 )), data!$JO$44,
ISNUMBER(SEARCH( data!$JP$45, AO92 )), data!$JO$45,
ISNUMBER(SEARCH( data!$JP$46, AO92 )), data!$JO$46,
ISNUMBER(SEARCH( data!$JP$47, AO92 )), data!$JO$47,
ISNUMBER(SEARCH( data!$JP$48, AO92 )), data!$JO$48,
ISNUMBER(SEARCH( data!$JP$49, AO92 )), data!$JO$49,
ISNUMBER(SEARCH( data!$JP$50, AO92 )), data!$JO$50,
ISNUMBER(SEARCH( data!$JP$51, AO92 )), data!$JO$51,
ISNUMBER(SEARCH( data!$JP$52, AO92 )), data!$JO$52,
ISNUMBER(SEARCH( data!$JP$53, AO92 )), data!$JO$53,
ISNUMBER(SEARCH( data!$JP$54, AO92 )), data!$JO$54,
ISNUMBER(SEARCH( data!$JP$55, AO92 )), data!$JO$55,
ISNUMBER(SEARCH( data!$JP$56, AO92 )), data!$JO$56,
ISNUMBER(SEARCH( data!$JP$57, AO92 )), data!$JO$57,
ISNUMBER(SEARCH( data!$JP$58, AO92 )), data!$JO$58,
ISNUMBER(SEARCH( data!$JP$59, AO92 )), data!$JO$59,
ISNUMBER(SEARCH( data!$JP$60, AO92 )), data!$JO$60,
ISNUMBER(SEARCH( data!$JP$61, AO92 )), data!$JO$61,
ISNUMBER(SEARCH( data!$JP$62, AO92 )), data!$JO$62,
ISNUMBER(SEARCH( data!$JP$63, AO92 )), data!$JO$63,
ISNUMBER(SEARCH( data!$JP$64, AO92 )), data!$JO$64,
ISNUMBER(SEARCH( data!$JP$65, AO92 )), data!$JO$65,
ISNUMBER(SEARCH( data!$JP$66, AO92 )), data!$JO$66,
ISNUMBER(SEARCH( data!$JP$67, AO92 )), data!$JO$67,
ISNUMBER(SEARCH( data!$JP$68, AO92 )), data!$JO$68,
ISNUMBER(SEARCH( data!$JP$69, AO92 )), data!$JO$69,
ISNUMBER(SEARCH( data!$JP$70, AO92 )), data!$JO$70,
ISNUMBER(SEARCH( data!$JP$71, AO92 )), data!$JO$71,
ISNUMBER(SEARCH( data!$JR$23, AO92 )), data!$JQ$23,
ISNUMBER(SEARCH( data!$JR$24, AO92 )), data!$JQ$24,
ISNUMBER(SEARCH( data!$JR$25, AO92 )), data!$JQ$25,
ISNUMBER(SEARCH( data!$JR$26, AO92 )), data!$JQ$26,
ISNUMBER(SEARCH( data!$JR$27, AO92 )), data!$JQ$27,
ISNUMBER(SEARCH( data!$JR$28, AO92 )), data!$JQ$28,
ISNUMBER(SEARCH( data!$JR$29, AO92 )), data!$JQ$29,
ISNUMBER(SEARCH( data!$JR$30, AO92 )), data!$JQ$30,
ISNUMBER(SEARCH( data!$JR$31, AO92 )), data!$JQ$31,
ISNUMBER(SEARCH( data!$JR$32, AO92 )), data!$JQ$32,
ISNUMBER(SEARCH( data!$JR$33, AO92 )), data!$JQ$33,
ISNUMBER(SEARCH( data!$JR$34, AO92 )), data!$JQ$34,
ISNUMBER(SEARCH( data!$JR$35, AO92 )), data!$JQ$35,
ISNUMBER(SEARCH( data!$JR$36, AO92 )), data!$JQ$36,
ISNUMBER(SEARCH( data!$JR$37, AO92 )), data!$JQ$37,
ISNUMBER(SEARCH( data!$JR$38, AO92 )), data!$JQ$38,
ISNUMBER(SEARCH( data!$JR$39, AO92 )), data!$JQ$39,
ISNUMBER(SEARCH( data!$JR$40, AO92 )), data!$JQ$40,
ISNUMBER(SEARCH( data!$JR$41, AO92 )), data!$JQ$41,
ISNUMBER(SEARCH( data!$JR$42, AO92 )), data!$JQ$42,
ISNUMBER(SEARCH( data!$JR$43, AO92 )), data!$JQ$43,
ISNUMBER(SEARCH( data!$JR$44, AO92 )), data!$JQ$44,
ISNUMBER(SEARCH( data!$JR$45, AO92 )), data!$JQ$45,
ISNUMBER(SEARCH( data!$JR$46, AO92 )), data!$JQ$46,
ISNUMBER(SEARCH( data!$JR$47, AO92 )), data!$JQ$47,
ISNUMBER(SEARCH( data!$JR$48, AO92 )), data!$JQ$48,
ISNUMBER(SEARCH( data!$JR$49, AO92 )), data!$JQ$49,
ISNUMBER(SEARCH( data!$JR$50, AO92 )), data!$JQ$50,
ISNUMBER(SEARCH( data!$JR$51, AO92 )), data!$JQ$51,
ISNUMBER(SEARCH( data!$JR$52, AO92 )), data!$JQ$52,
ISNUMBER(SEARCH( data!$JR$53, AO92 )), data!$JQ$53,
ISNUMBER(SEARCH( data!$JR$54, AO92 )), data!$JQ$54,
ISNUMBER(SEARCH( data!$JR$55, AO92 )), data!$JQ$55,
ISNUMBER(SEARCH( data!$JR$56, AO92 )), data!$JQ$56,
ISNUMBER(SEARCH( data!$JR$57, AO92 )), data!$JQ$57,
ISNUMBER(SEARCH( data!$JR$58, AO92 )), data!$JQ$58,
ISNUMBER(SEARCH( data!$JR$59, AO92 )), data!$JQ$59,
ISNUMBER(SEARCH( data!$JR$60, AO92 )), data!$JQ$60,
ISNUMBER(SEARCH( data!$JR$61, AO92 )), data!$JQ$61,
ISNUMBER(SEARCH( data!$JR$62, AO92 )), data!$JQ$62,
ISNUMBER(SEARCH( data!$JR$63, AO92 )), data!$JQ$63,
ISNUMBER(SEARCH( data!$JR$64, AO92 )), data!$JQ$64,
ISNUMBER(SEARCH( data!$JR$65, AO92 )), data!$JQ$65,
ISNUMBER(SEARCH( data!$JR$66, AO92 )), data!$JQ$66,
ISNUMBER(SEARCH( data!$JR$67, AO92 )), data!$JQ$67,
ISNUMBER(SEARCH( data!$JR$68, AO92 )), data!$JQ$68,
ISNUMBER(SEARCH( data!$JR$69, AO92 )), data!$JQ$69,
ISNUMBER(SEARCH( data!$JR$70, AO92 )), data!$JQ$70,
ISNUMBER(SEARCH( data!$JR$71, AO92 )), data!$JQ$71,
TRUE,data!$JQ$72))</f>
        <v>🗠</v>
      </c>
      <c r="AR90" s="4674"/>
      <c r="AS90" s="4674"/>
      <c r="AT90" s="4668" t="s">
        <v>68</v>
      </c>
      <c r="AU90" s="4669"/>
      <c r="AV90" s="801"/>
      <c r="AW90" s="4672" t="s">
        <v>68</v>
      </c>
      <c r="AX90" s="4668"/>
      <c r="AY90" s="4674" t="str">
        <f>IF(ISBLANK(AW92),data!$JO$72,_xlfn.IFS(
ISNUMBER(SEARCH( data!$JP$23, AW92 )), data!$JO$23,
ISNUMBER(SEARCH( data!$JP$24, AW92 )), data!$JO$24,
ISNUMBER(SEARCH( data!$JP$25, AW92 )), data!$JO$25,
ISNUMBER(SEARCH( data!$JP$26, AW92 )), data!$JO$26,
ISNUMBER(SEARCH( data!$JP$27, AW92 )), data!$JO$27,
ISNUMBER(SEARCH( data!$JP$28, AW92 )), data!$JO$28,
ISNUMBER(SEARCH( data!$JP$29, AW92 )), data!$JO$29,
ISNUMBER(SEARCH( data!$JP$30, AW92 )), data!$JO$30,
ISNUMBER(SEARCH( data!$JP$31, AW92 )), data!$JO$31,
ISNUMBER(SEARCH( data!$JP$32, AW92 )), data!$JO$32,
ISNUMBER(SEARCH( data!$JP$33, AW92 )), data!$JO$33,
ISNUMBER(SEARCH( data!$JP$34, AW92 )), data!$JO$34,
ISNUMBER(SEARCH( data!$JP$35, AW92 )), data!$JO$35,
ISNUMBER(SEARCH( data!$JP$36, AW92 )), data!$JO$36,
ISNUMBER(SEARCH( data!$JP$37, AW92 )), data!$JO$37,
ISNUMBER(SEARCH( data!$JP$38, AW92 )), data!$JO$38,
ISNUMBER(SEARCH( data!$JP$39, AW92 )), data!$JO$39,
ISNUMBER(SEARCH( data!$JP$40, AW92 )), data!$JO$40,
ISNUMBER(SEARCH( data!$JP$41, AW92 )), data!$JO$41,
ISNUMBER(SEARCH( data!$JP$42, AW92 )), data!$JO$42,
ISNUMBER(SEARCH( data!$JP$43, AW92 )), data!$JO$43,
ISNUMBER(SEARCH( data!$JP$44, AW92 )), data!$JO$44,
ISNUMBER(SEARCH( data!$JP$45, AW92 )), data!$JO$45,
ISNUMBER(SEARCH( data!$JP$46, AW92 )), data!$JO$46,
ISNUMBER(SEARCH( data!$JP$47, AW92 )), data!$JO$47,
ISNUMBER(SEARCH( data!$JP$48, AW92 )), data!$JO$48,
ISNUMBER(SEARCH( data!$JP$49, AW92 )), data!$JO$49,
ISNUMBER(SEARCH( data!$JP$50, AW92 )), data!$JO$50,
ISNUMBER(SEARCH( data!$JP$51, AW92 )), data!$JO$51,
ISNUMBER(SEARCH( data!$JP$52, AW92 )), data!$JO$52,
ISNUMBER(SEARCH( data!$JP$53, AW92 )), data!$JO$53,
ISNUMBER(SEARCH( data!$JP$54, AW92 )), data!$JO$54,
ISNUMBER(SEARCH( data!$JP$55, AW92 )), data!$JO$55,
ISNUMBER(SEARCH( data!$JP$56, AW92 )), data!$JO$56,
ISNUMBER(SEARCH( data!$JP$57, AW92 )), data!$JO$57,
ISNUMBER(SEARCH( data!$JP$58, AW92 )), data!$JO$58,
ISNUMBER(SEARCH( data!$JP$59, AW92 )), data!$JO$59,
ISNUMBER(SEARCH( data!$JP$60, AW92 )), data!$JO$60,
ISNUMBER(SEARCH( data!$JP$61, AW92 )), data!$JO$61,
ISNUMBER(SEARCH( data!$JP$62, AW92 )), data!$JO$62,
ISNUMBER(SEARCH( data!$JP$63, AW92 )), data!$JO$63,
ISNUMBER(SEARCH( data!$JP$64, AW92 )), data!$JO$64,
ISNUMBER(SEARCH( data!$JP$65, AW92 )), data!$JO$65,
ISNUMBER(SEARCH( data!$JP$66, AW92 )), data!$JO$66,
ISNUMBER(SEARCH( data!$JP$67, AW92 )), data!$JO$67,
ISNUMBER(SEARCH( data!$JP$68, AW92 )), data!$JO$68,
ISNUMBER(SEARCH( data!$JP$69, AW92 )), data!$JO$69,
ISNUMBER(SEARCH( data!$JP$70, AW92 )), data!$JO$70,
ISNUMBER(SEARCH( data!$JP$71, AW92 )), data!$JO$71,
ISNUMBER(SEARCH( data!$JR$23, AW92 )), data!$JQ$23,
ISNUMBER(SEARCH( data!$JR$24, AW92 )), data!$JQ$24,
ISNUMBER(SEARCH( data!$JR$25, AW92 )), data!$JQ$25,
ISNUMBER(SEARCH( data!$JR$26, AW92 )), data!$JQ$26,
ISNUMBER(SEARCH( data!$JR$27, AW92 )), data!$JQ$27,
ISNUMBER(SEARCH( data!$JR$28, AW92 )), data!$JQ$28,
ISNUMBER(SEARCH( data!$JR$29, AW92 )), data!$JQ$29,
ISNUMBER(SEARCH( data!$JR$30, AW92 )), data!$JQ$30,
ISNUMBER(SEARCH( data!$JR$31, AW92 )), data!$JQ$31,
ISNUMBER(SEARCH( data!$JR$32, AW92 )), data!$JQ$32,
ISNUMBER(SEARCH( data!$JR$33, AW92 )), data!$JQ$33,
ISNUMBER(SEARCH( data!$JR$34, AW92 )), data!$JQ$34,
ISNUMBER(SEARCH( data!$JR$35, AW92 )), data!$JQ$35,
ISNUMBER(SEARCH( data!$JR$36, AW92 )), data!$JQ$36,
ISNUMBER(SEARCH( data!$JR$37, AW92 )), data!$JQ$37,
ISNUMBER(SEARCH( data!$JR$38, AW92 )), data!$JQ$38,
ISNUMBER(SEARCH( data!$JR$39, AW92 )), data!$JQ$39,
ISNUMBER(SEARCH( data!$JR$40, AW92 )), data!$JQ$40,
ISNUMBER(SEARCH( data!$JR$41, AW92 )), data!$JQ$41,
ISNUMBER(SEARCH( data!$JR$42, AW92 )), data!$JQ$42,
ISNUMBER(SEARCH( data!$JR$43, AW92 )), data!$JQ$43,
ISNUMBER(SEARCH( data!$JR$44, AW92 )), data!$JQ$44,
ISNUMBER(SEARCH( data!$JR$45, AW92 )), data!$JQ$45,
ISNUMBER(SEARCH( data!$JR$46, AW92 )), data!$JQ$46,
ISNUMBER(SEARCH( data!$JR$47, AW92 )), data!$JQ$47,
ISNUMBER(SEARCH( data!$JR$48, AW92 )), data!$JQ$48,
ISNUMBER(SEARCH( data!$JR$49, AW92 )), data!$JQ$49,
ISNUMBER(SEARCH( data!$JR$50, AW92 )), data!$JQ$50,
ISNUMBER(SEARCH( data!$JR$51, AW92 )), data!$JQ$51,
ISNUMBER(SEARCH( data!$JR$52, AW92 )), data!$JQ$52,
ISNUMBER(SEARCH( data!$JR$53, AW92 )), data!$JQ$53,
ISNUMBER(SEARCH( data!$JR$54, AW92 )), data!$JQ$54,
ISNUMBER(SEARCH( data!$JR$55, AW92 )), data!$JQ$55,
ISNUMBER(SEARCH( data!$JR$56, AW92 )), data!$JQ$56,
ISNUMBER(SEARCH( data!$JR$57, AW92 )), data!$JQ$57,
ISNUMBER(SEARCH( data!$JR$58, AW92 )), data!$JQ$58,
ISNUMBER(SEARCH( data!$JR$59, AW92 )), data!$JQ$59,
ISNUMBER(SEARCH( data!$JR$60, AW92 )), data!$JQ$60,
ISNUMBER(SEARCH( data!$JR$61, AW92 )), data!$JQ$61,
ISNUMBER(SEARCH( data!$JR$62, AW92 )), data!$JQ$62,
ISNUMBER(SEARCH( data!$JR$63, AW92 )), data!$JQ$63,
ISNUMBER(SEARCH( data!$JR$64, AW92 )), data!$JQ$64,
ISNUMBER(SEARCH( data!$JR$65, AW92 )), data!$JQ$65,
ISNUMBER(SEARCH( data!$JR$66, AW92 )), data!$JQ$66,
ISNUMBER(SEARCH( data!$JR$67, AW92 )), data!$JQ$67,
ISNUMBER(SEARCH( data!$JR$68, AW92 )), data!$JQ$68,
ISNUMBER(SEARCH( data!$JR$69, AW92 )), data!$JQ$69,
ISNUMBER(SEARCH( data!$JR$70, AW92 )), data!$JQ$70,
ISNUMBER(SEARCH( data!$JR$71, AW92 )), data!$JQ$71,
TRUE,data!$JQ$72))</f>
        <v>🚀</v>
      </c>
      <c r="AZ90" s="4674"/>
      <c r="BA90" s="4674"/>
      <c r="BB90" s="4668" t="s">
        <v>68</v>
      </c>
      <c r="BC90" s="4669"/>
      <c r="BD90" s="801"/>
      <c r="BE90" s="4672" t="s">
        <v>68</v>
      </c>
      <c r="BF90" s="4668"/>
      <c r="BG90" s="4674" t="str">
        <f>IF(ISBLANK(BE92),data!$JO$72,_xlfn.IFS(
ISNUMBER(SEARCH( data!$JP$23, BE92 )), data!$JO$23,
ISNUMBER(SEARCH( data!$JP$24, BE92 )), data!$JO$24,
ISNUMBER(SEARCH( data!$JP$25, BE92 )), data!$JO$25,
ISNUMBER(SEARCH( data!$JP$26, BE92 )), data!$JO$26,
ISNUMBER(SEARCH( data!$JP$27, BE92 )), data!$JO$27,
ISNUMBER(SEARCH( data!$JP$28, BE92 )), data!$JO$28,
ISNUMBER(SEARCH( data!$JP$29, BE92 )), data!$JO$29,
ISNUMBER(SEARCH( data!$JP$30, BE92 )), data!$JO$30,
ISNUMBER(SEARCH( data!$JP$31, BE92 )), data!$JO$31,
ISNUMBER(SEARCH( data!$JP$32, BE92 )), data!$JO$32,
ISNUMBER(SEARCH( data!$JP$33, BE92 )), data!$JO$33,
ISNUMBER(SEARCH( data!$JP$34, BE92 )), data!$JO$34,
ISNUMBER(SEARCH( data!$JP$35, BE92 )), data!$JO$35,
ISNUMBER(SEARCH( data!$JP$36, BE92 )), data!$JO$36,
ISNUMBER(SEARCH( data!$JP$37, BE92 )), data!$JO$37,
ISNUMBER(SEARCH( data!$JP$38, BE92 )), data!$JO$38,
ISNUMBER(SEARCH( data!$JP$39, BE92 )), data!$JO$39,
ISNUMBER(SEARCH( data!$JP$40, BE92 )), data!$JO$40,
ISNUMBER(SEARCH( data!$JP$41, BE92 )), data!$JO$41,
ISNUMBER(SEARCH( data!$JP$42, BE92 )), data!$JO$42,
ISNUMBER(SEARCH( data!$JP$43, BE92 )), data!$JO$43,
ISNUMBER(SEARCH( data!$JP$44, BE92 )), data!$JO$44,
ISNUMBER(SEARCH( data!$JP$45, BE92 )), data!$JO$45,
ISNUMBER(SEARCH( data!$JP$46, BE92 )), data!$JO$46,
ISNUMBER(SEARCH( data!$JP$47, BE92 )), data!$JO$47,
ISNUMBER(SEARCH( data!$JP$48, BE92 )), data!$JO$48,
ISNUMBER(SEARCH( data!$JP$49, BE92 )), data!$JO$49,
ISNUMBER(SEARCH( data!$JP$50, BE92 )), data!$JO$50,
ISNUMBER(SEARCH( data!$JP$51, BE92 )), data!$JO$51,
ISNUMBER(SEARCH( data!$JP$52, BE92 )), data!$JO$52,
ISNUMBER(SEARCH( data!$JP$53, BE92 )), data!$JO$53,
ISNUMBER(SEARCH( data!$JP$54, BE92 )), data!$JO$54,
ISNUMBER(SEARCH( data!$JP$55, BE92 )), data!$JO$55,
ISNUMBER(SEARCH( data!$JP$56, BE92 )), data!$JO$56,
ISNUMBER(SEARCH( data!$JP$57, BE92 )), data!$JO$57,
ISNUMBER(SEARCH( data!$JP$58, BE92 )), data!$JO$58,
ISNUMBER(SEARCH( data!$JP$59, BE92 )), data!$JO$59,
ISNUMBER(SEARCH( data!$JP$60, BE92 )), data!$JO$60,
ISNUMBER(SEARCH( data!$JP$61, BE92 )), data!$JO$61,
ISNUMBER(SEARCH( data!$JP$62, BE92 )), data!$JO$62,
ISNUMBER(SEARCH( data!$JP$63, BE92 )), data!$JO$63,
ISNUMBER(SEARCH( data!$JP$64, BE92 )), data!$JO$64,
ISNUMBER(SEARCH( data!$JP$65, BE92 )), data!$JO$65,
ISNUMBER(SEARCH( data!$JP$66, BE92 )), data!$JO$66,
ISNUMBER(SEARCH( data!$JP$67, BE92 )), data!$JO$67,
ISNUMBER(SEARCH( data!$JP$68, BE92 )), data!$JO$68,
ISNUMBER(SEARCH( data!$JP$69, BE92 )), data!$JO$69,
ISNUMBER(SEARCH( data!$JP$70, BE92 )), data!$JO$70,
ISNUMBER(SEARCH( data!$JP$71, BE92 )), data!$JO$71,
ISNUMBER(SEARCH( data!$JR$23, BE92 )), data!$JQ$23,
ISNUMBER(SEARCH( data!$JR$24, BE92 )), data!$JQ$24,
ISNUMBER(SEARCH( data!$JR$25, BE92 )), data!$JQ$25,
ISNUMBER(SEARCH( data!$JR$26, BE92 )), data!$JQ$26,
ISNUMBER(SEARCH( data!$JR$27, BE92 )), data!$JQ$27,
ISNUMBER(SEARCH( data!$JR$28, BE92 )), data!$JQ$28,
ISNUMBER(SEARCH( data!$JR$29, BE92 )), data!$JQ$29,
ISNUMBER(SEARCH( data!$JR$30, BE92 )), data!$JQ$30,
ISNUMBER(SEARCH( data!$JR$31, BE92 )), data!$JQ$31,
ISNUMBER(SEARCH( data!$JR$32, BE92 )), data!$JQ$32,
ISNUMBER(SEARCH( data!$JR$33, BE92 )), data!$JQ$33,
ISNUMBER(SEARCH( data!$JR$34, BE92 )), data!$JQ$34,
ISNUMBER(SEARCH( data!$JR$35, BE92 )), data!$JQ$35,
ISNUMBER(SEARCH( data!$JR$36, BE92 )), data!$JQ$36,
ISNUMBER(SEARCH( data!$JR$37, BE92 )), data!$JQ$37,
ISNUMBER(SEARCH( data!$JR$38, BE92 )), data!$JQ$38,
ISNUMBER(SEARCH( data!$JR$39, BE92 )), data!$JQ$39,
ISNUMBER(SEARCH( data!$JR$40, BE92 )), data!$JQ$40,
ISNUMBER(SEARCH( data!$JR$41, BE92 )), data!$JQ$41,
ISNUMBER(SEARCH( data!$JR$42, BE92 )), data!$JQ$42,
ISNUMBER(SEARCH( data!$JR$43, BE92 )), data!$JQ$43,
ISNUMBER(SEARCH( data!$JR$44, BE92 )), data!$JQ$44,
ISNUMBER(SEARCH( data!$JR$45, BE92 )), data!$JQ$45,
ISNUMBER(SEARCH( data!$JR$46, BE92 )), data!$JQ$46,
ISNUMBER(SEARCH( data!$JR$47, BE92 )), data!$JQ$47,
ISNUMBER(SEARCH( data!$JR$48, BE92 )), data!$JQ$48,
ISNUMBER(SEARCH( data!$JR$49, BE92 )), data!$JQ$49,
ISNUMBER(SEARCH( data!$JR$50, BE92 )), data!$JQ$50,
ISNUMBER(SEARCH( data!$JR$51, BE92 )), data!$JQ$51,
ISNUMBER(SEARCH( data!$JR$52, BE92 )), data!$JQ$52,
ISNUMBER(SEARCH( data!$JR$53, BE92 )), data!$JQ$53,
ISNUMBER(SEARCH( data!$JR$54, BE92 )), data!$JQ$54,
ISNUMBER(SEARCH( data!$JR$55, BE92 )), data!$JQ$55,
ISNUMBER(SEARCH( data!$JR$56, BE92 )), data!$JQ$56,
ISNUMBER(SEARCH( data!$JR$57, BE92 )), data!$JQ$57,
ISNUMBER(SEARCH( data!$JR$58, BE92 )), data!$JQ$58,
ISNUMBER(SEARCH( data!$JR$59, BE92 )), data!$JQ$59,
ISNUMBER(SEARCH( data!$JR$60, BE92 )), data!$JQ$60,
ISNUMBER(SEARCH( data!$JR$61, BE92 )), data!$JQ$61,
ISNUMBER(SEARCH( data!$JR$62, BE92 )), data!$JQ$62,
ISNUMBER(SEARCH( data!$JR$63, BE92 )), data!$JQ$63,
ISNUMBER(SEARCH( data!$JR$64, BE92 )), data!$JQ$64,
ISNUMBER(SEARCH( data!$JR$65, BE92 )), data!$JQ$65,
ISNUMBER(SEARCH( data!$JR$66, BE92 )), data!$JQ$66,
ISNUMBER(SEARCH( data!$JR$67, BE92 )), data!$JQ$67,
ISNUMBER(SEARCH( data!$JR$68, BE92 )), data!$JQ$68,
ISNUMBER(SEARCH( data!$JR$69, BE92 )), data!$JQ$69,
ISNUMBER(SEARCH( data!$JR$70, BE92 )), data!$JQ$70,
ISNUMBER(SEARCH( data!$JR$71, BE92 )), data!$JQ$71,
TRUE,data!$JQ$72))</f>
        <v>⠒❖⠒</v>
      </c>
      <c r="BH90" s="4674"/>
      <c r="BI90" s="4674"/>
      <c r="BJ90" s="4668" t="s">
        <v>68</v>
      </c>
      <c r="BK90" s="4669"/>
      <c r="BL90" s="801"/>
      <c r="BM90" s="4672" t="s">
        <v>68</v>
      </c>
      <c r="BN90" s="4668"/>
      <c r="BO90" s="4674" t="str">
        <f>IF(ISBLANK(BM92),data!$JO$72,_xlfn.IFS(
ISNUMBER(SEARCH( data!$JP$23, BM92 )), data!$JO$23,
ISNUMBER(SEARCH( data!$JP$24, BM92 )), data!$JO$24,
ISNUMBER(SEARCH( data!$JP$25, BM92 )), data!$JO$25,
ISNUMBER(SEARCH( data!$JP$26, BM92 )), data!$JO$26,
ISNUMBER(SEARCH( data!$JP$27, BM92 )), data!$JO$27,
ISNUMBER(SEARCH( data!$JP$28, BM92 )), data!$JO$28,
ISNUMBER(SEARCH( data!$JP$29, BM92 )), data!$JO$29,
ISNUMBER(SEARCH( data!$JP$30, BM92 )), data!$JO$30,
ISNUMBER(SEARCH( data!$JP$31, BM92 )), data!$JO$31,
ISNUMBER(SEARCH( data!$JP$32, BM92 )), data!$JO$32,
ISNUMBER(SEARCH( data!$JP$33, BM92 )), data!$JO$33,
ISNUMBER(SEARCH( data!$JP$34, BM92 )), data!$JO$34,
ISNUMBER(SEARCH( data!$JP$35, BM92 )), data!$JO$35,
ISNUMBER(SEARCH( data!$JP$36, BM92 )), data!$JO$36,
ISNUMBER(SEARCH( data!$JP$37, BM92 )), data!$JO$37,
ISNUMBER(SEARCH( data!$JP$38, BM92 )), data!$JO$38,
ISNUMBER(SEARCH( data!$JP$39, BM92 )), data!$JO$39,
ISNUMBER(SEARCH( data!$JP$40, BM92 )), data!$JO$40,
ISNUMBER(SEARCH( data!$JP$41, BM92 )), data!$JO$41,
ISNUMBER(SEARCH( data!$JP$42, BM92 )), data!$JO$42,
ISNUMBER(SEARCH( data!$JP$43, BM92 )), data!$JO$43,
ISNUMBER(SEARCH( data!$JP$44, BM92 )), data!$JO$44,
ISNUMBER(SEARCH( data!$JP$45, BM92 )), data!$JO$45,
ISNUMBER(SEARCH( data!$JP$46, BM92 )), data!$JO$46,
ISNUMBER(SEARCH( data!$JP$47, BM92 )), data!$JO$47,
ISNUMBER(SEARCH( data!$JP$48, BM92 )), data!$JO$48,
ISNUMBER(SEARCH( data!$JP$49, BM92 )), data!$JO$49,
ISNUMBER(SEARCH( data!$JP$50, BM92 )), data!$JO$50,
ISNUMBER(SEARCH( data!$JP$51, BM92 )), data!$JO$51,
ISNUMBER(SEARCH( data!$JP$52, BM92 )), data!$JO$52,
ISNUMBER(SEARCH( data!$JP$53, BM92 )), data!$JO$53,
ISNUMBER(SEARCH( data!$JP$54, BM92 )), data!$JO$54,
ISNUMBER(SEARCH( data!$JP$55, BM92 )), data!$JO$55,
ISNUMBER(SEARCH( data!$JP$56, BM92 )), data!$JO$56,
ISNUMBER(SEARCH( data!$JP$57, BM92 )), data!$JO$57,
ISNUMBER(SEARCH( data!$JP$58, BM92 )), data!$JO$58,
ISNUMBER(SEARCH( data!$JP$59, BM92 )), data!$JO$59,
ISNUMBER(SEARCH( data!$JP$60, BM92 )), data!$JO$60,
ISNUMBER(SEARCH( data!$JP$61, BM92 )), data!$JO$61,
ISNUMBER(SEARCH( data!$JP$62, BM92 )), data!$JO$62,
ISNUMBER(SEARCH( data!$JP$63, BM92 )), data!$JO$63,
ISNUMBER(SEARCH( data!$JP$64, BM92 )), data!$JO$64,
ISNUMBER(SEARCH( data!$JP$65, BM92 )), data!$JO$65,
ISNUMBER(SEARCH( data!$JP$66, BM92 )), data!$JO$66,
ISNUMBER(SEARCH( data!$JP$67, BM92 )), data!$JO$67,
ISNUMBER(SEARCH( data!$JP$68, BM92 )), data!$JO$68,
ISNUMBER(SEARCH( data!$JP$69, BM92 )), data!$JO$69,
ISNUMBER(SEARCH( data!$JP$70, BM92 )), data!$JO$70,
ISNUMBER(SEARCH( data!$JP$71, BM92 )), data!$JO$71,
ISNUMBER(SEARCH( data!$JR$23, BM92 )), data!$JQ$23,
ISNUMBER(SEARCH( data!$JR$24, BM92 )), data!$JQ$24,
ISNUMBER(SEARCH( data!$JR$25, BM92 )), data!$JQ$25,
ISNUMBER(SEARCH( data!$JR$26, BM92 )), data!$JQ$26,
ISNUMBER(SEARCH( data!$JR$27, BM92 )), data!$JQ$27,
ISNUMBER(SEARCH( data!$JR$28, BM92 )), data!$JQ$28,
ISNUMBER(SEARCH( data!$JR$29, BM92 )), data!$JQ$29,
ISNUMBER(SEARCH( data!$JR$30, BM92 )), data!$JQ$30,
ISNUMBER(SEARCH( data!$JR$31, BM92 )), data!$JQ$31,
ISNUMBER(SEARCH( data!$JR$32, BM92 )), data!$JQ$32,
ISNUMBER(SEARCH( data!$JR$33, BM92 )), data!$JQ$33,
ISNUMBER(SEARCH( data!$JR$34, BM92 )), data!$JQ$34,
ISNUMBER(SEARCH( data!$JR$35, BM92 )), data!$JQ$35,
ISNUMBER(SEARCH( data!$JR$36, BM92 )), data!$JQ$36,
ISNUMBER(SEARCH( data!$JR$37, BM92 )), data!$JQ$37,
ISNUMBER(SEARCH( data!$JR$38, BM92 )), data!$JQ$38,
ISNUMBER(SEARCH( data!$JR$39, BM92 )), data!$JQ$39,
ISNUMBER(SEARCH( data!$JR$40, BM92 )), data!$JQ$40,
ISNUMBER(SEARCH( data!$JR$41, BM92 )), data!$JQ$41,
ISNUMBER(SEARCH( data!$JR$42, BM92 )), data!$JQ$42,
ISNUMBER(SEARCH( data!$JR$43, BM92 )), data!$JQ$43,
ISNUMBER(SEARCH( data!$JR$44, BM92 )), data!$JQ$44,
ISNUMBER(SEARCH( data!$JR$45, BM92 )), data!$JQ$45,
ISNUMBER(SEARCH( data!$JR$46, BM92 )), data!$JQ$46,
ISNUMBER(SEARCH( data!$JR$47, BM92 )), data!$JQ$47,
ISNUMBER(SEARCH( data!$JR$48, BM92 )), data!$JQ$48,
ISNUMBER(SEARCH( data!$JR$49, BM92 )), data!$JQ$49,
ISNUMBER(SEARCH( data!$JR$50, BM92 )), data!$JQ$50,
ISNUMBER(SEARCH( data!$JR$51, BM92 )), data!$JQ$51,
ISNUMBER(SEARCH( data!$JR$52, BM92 )), data!$JQ$52,
ISNUMBER(SEARCH( data!$JR$53, BM92 )), data!$JQ$53,
ISNUMBER(SEARCH( data!$JR$54, BM92 )), data!$JQ$54,
ISNUMBER(SEARCH( data!$JR$55, BM92 )), data!$JQ$55,
ISNUMBER(SEARCH( data!$JR$56, BM92 )), data!$JQ$56,
ISNUMBER(SEARCH( data!$JR$57, BM92 )), data!$JQ$57,
ISNUMBER(SEARCH( data!$JR$58, BM92 )), data!$JQ$58,
ISNUMBER(SEARCH( data!$JR$59, BM92 )), data!$JQ$59,
ISNUMBER(SEARCH( data!$JR$60, BM92 )), data!$JQ$60,
ISNUMBER(SEARCH( data!$JR$61, BM92 )), data!$JQ$61,
ISNUMBER(SEARCH( data!$JR$62, BM92 )), data!$JQ$62,
ISNUMBER(SEARCH( data!$JR$63, BM92 )), data!$JQ$63,
ISNUMBER(SEARCH( data!$JR$64, BM92 )), data!$JQ$64,
ISNUMBER(SEARCH( data!$JR$65, BM92 )), data!$JQ$65,
ISNUMBER(SEARCH( data!$JR$66, BM92 )), data!$JQ$66,
ISNUMBER(SEARCH( data!$JR$67, BM92 )), data!$JQ$67,
ISNUMBER(SEARCH( data!$JR$68, BM92 )), data!$JQ$68,
ISNUMBER(SEARCH( data!$JR$69, BM92 )), data!$JQ$69,
ISNUMBER(SEARCH( data!$JR$70, BM92 )), data!$JQ$70,
ISNUMBER(SEARCH( data!$JR$71, BM92 )), data!$JQ$71,
TRUE,data!$JQ$72))</f>
        <v>⠐❖⠂</v>
      </c>
      <c r="BP90" s="4674"/>
      <c r="BQ90" s="4674"/>
      <c r="BR90" s="4668" t="s">
        <v>68</v>
      </c>
      <c r="BS90" s="4669"/>
      <c r="BT90" s="801"/>
      <c r="BU90" s="801"/>
      <c r="BV90" s="801"/>
      <c r="BW90" s="794"/>
      <c r="BX90" s="19"/>
      <c r="BZ90" s="1161"/>
      <c r="CE90" s="3255"/>
      <c r="CF90" s="3241" t="str">
        <f>INDEX(data!$JD$23:$JM$42,data!$JH91,data!$JH115)</f>
        <v>Bonus 10 XP in a Light Blue Skill - Do Any Action</v>
      </c>
      <c r="CG90" s="3242"/>
      <c r="CH90" s="3242"/>
      <c r="CI90" s="3242"/>
      <c r="CJ90" s="3242"/>
      <c r="CK90" s="3242"/>
      <c r="CL90" s="3242"/>
      <c r="CM90" s="3242"/>
      <c r="CN90" s="3242"/>
      <c r="CO90" s="3242"/>
      <c r="CP90" s="3242"/>
      <c r="CQ90" s="3243"/>
      <c r="CR90" s="2300">
        <v>1</v>
      </c>
      <c r="CS90" s="3247" t="str" cm="1">
        <f t="array" ref="CS90:CS118">_xlfn.UNIQUE($CF$90:$CF$125,FALSE,FALSE)</f>
        <v>Bonus 10 XP in a Light Blue Skill - Do Any Action</v>
      </c>
      <c r="CT90" s="3248"/>
      <c r="CU90" s="3248"/>
      <c r="CV90" s="3248"/>
      <c r="CW90" s="3248"/>
      <c r="CX90" s="3248"/>
      <c r="CY90" s="3248"/>
      <c r="CZ90" s="3248"/>
      <c r="DA90" s="3248"/>
      <c r="DB90" s="3248"/>
      <c r="DC90" s="3248"/>
      <c r="DD90" s="3249"/>
      <c r="DE90" s="3255"/>
      <c r="DF90" s="3255"/>
      <c r="DG90" s="3255"/>
      <c r="DH90" s="3255"/>
      <c r="DI90" s="3255"/>
    </row>
    <row r="91" spans="2:113" ht="17.100000000000001" customHeight="1" x14ac:dyDescent="0.2">
      <c r="B91" s="1159"/>
      <c r="C91" s="19"/>
      <c r="D91" s="19"/>
      <c r="E91" s="792"/>
      <c r="F91" s="801"/>
      <c r="G91" s="801"/>
      <c r="H91" s="801"/>
      <c r="I91" s="4673"/>
      <c r="J91" s="4670"/>
      <c r="K91" s="4675"/>
      <c r="L91" s="4675"/>
      <c r="M91" s="4675"/>
      <c r="N91" s="4670"/>
      <c r="O91" s="4671"/>
      <c r="P91" s="801"/>
      <c r="Q91" s="4673"/>
      <c r="R91" s="4670"/>
      <c r="S91" s="4675"/>
      <c r="T91" s="4675"/>
      <c r="U91" s="4675"/>
      <c r="V91" s="4670"/>
      <c r="W91" s="4671"/>
      <c r="X91" s="801"/>
      <c r="Y91" s="4673"/>
      <c r="Z91" s="4670"/>
      <c r="AA91" s="4675"/>
      <c r="AB91" s="4675"/>
      <c r="AC91" s="4675"/>
      <c r="AD91" s="4670"/>
      <c r="AE91" s="4671"/>
      <c r="AF91" s="801"/>
      <c r="AG91" s="4673"/>
      <c r="AH91" s="4670"/>
      <c r="AI91" s="4675"/>
      <c r="AJ91" s="4675"/>
      <c r="AK91" s="4675"/>
      <c r="AL91" s="4670"/>
      <c r="AM91" s="4671"/>
      <c r="AN91" s="801"/>
      <c r="AO91" s="4673"/>
      <c r="AP91" s="4670"/>
      <c r="AQ91" s="4675"/>
      <c r="AR91" s="4675"/>
      <c r="AS91" s="4675"/>
      <c r="AT91" s="4670"/>
      <c r="AU91" s="4671"/>
      <c r="AV91" s="801"/>
      <c r="AW91" s="4673"/>
      <c r="AX91" s="4670"/>
      <c r="AY91" s="4675"/>
      <c r="AZ91" s="4675"/>
      <c r="BA91" s="4675"/>
      <c r="BB91" s="4670"/>
      <c r="BC91" s="4671"/>
      <c r="BD91" s="801"/>
      <c r="BE91" s="4673"/>
      <c r="BF91" s="4670"/>
      <c r="BG91" s="4675"/>
      <c r="BH91" s="4675"/>
      <c r="BI91" s="4675"/>
      <c r="BJ91" s="4670"/>
      <c r="BK91" s="4671"/>
      <c r="BL91" s="801"/>
      <c r="BM91" s="4673"/>
      <c r="BN91" s="4670"/>
      <c r="BO91" s="4675"/>
      <c r="BP91" s="4675"/>
      <c r="BQ91" s="4675"/>
      <c r="BR91" s="4670"/>
      <c r="BS91" s="4671"/>
      <c r="BT91" s="801"/>
      <c r="BU91" s="801"/>
      <c r="BV91" s="801"/>
      <c r="BW91" s="794"/>
      <c r="BX91" s="19"/>
      <c r="BZ91" s="1161"/>
      <c r="CE91" s="3255"/>
      <c r="CF91" s="2674" t="str">
        <f>INDEX(data!$JD$23:$JM$42,data!$JH92,data!$JH116)</f>
        <v>Bonus 10 XP in Mind Skill of Choice - Do Any Action</v>
      </c>
      <c r="CQ91" s="1161"/>
      <c r="CR91" s="2300">
        <v>2</v>
      </c>
      <c r="CS91" s="3250" t="str">
        <v>Bonus 10 XP in Mind Skill of Choice - Do Any Action</v>
      </c>
      <c r="CT91" s="795"/>
      <c r="CU91" s="795"/>
      <c r="CV91" s="795"/>
      <c r="CW91" s="795"/>
      <c r="CX91" s="795"/>
      <c r="CY91" s="795"/>
      <c r="CZ91" s="795"/>
      <c r="DA91" s="795"/>
      <c r="DB91" s="795"/>
      <c r="DC91" s="795"/>
      <c r="DD91" s="3251"/>
      <c r="DE91" s="3255"/>
      <c r="DF91" s="3255"/>
      <c r="DG91" s="3255"/>
      <c r="DH91" s="3255"/>
      <c r="DI91" s="3255"/>
    </row>
    <row r="92" spans="2:113" ht="17.100000000000001" customHeight="1" x14ac:dyDescent="0.2">
      <c r="B92" s="1159"/>
      <c r="C92" s="19"/>
      <c r="D92" s="19"/>
      <c r="E92" s="792"/>
      <c r="F92" s="801"/>
      <c r="G92" s="801"/>
      <c r="H92" s="801"/>
      <c r="I92" s="4677" t="str">
        <f>_xlfn.XLOOKUP(L89,$CR$90:$CR$113,$CS$90:$CS$113,0)</f>
        <v>Bonus 10 XP in a Light Blue Skill - Do Any Action</v>
      </c>
      <c r="J92" s="4678"/>
      <c r="K92" s="4678"/>
      <c r="L92" s="4678"/>
      <c r="M92" s="4678"/>
      <c r="N92" s="4678"/>
      <c r="O92" s="4679"/>
      <c r="P92" s="801"/>
      <c r="Q92" s="4677" t="str">
        <f>_xlfn.XLOOKUP(T89,$CR$90:$CR$113,$CS$90:$CS$113,0)</f>
        <v>Supermind Day - Double XP Gained in Mind Skills</v>
      </c>
      <c r="R92" s="4678"/>
      <c r="S92" s="4678"/>
      <c r="T92" s="4678"/>
      <c r="U92" s="4678"/>
      <c r="V92" s="4678"/>
      <c r="W92" s="4679"/>
      <c r="X92" s="801"/>
      <c r="Y92" s="4677" t="str">
        <f>_xlfn.XLOOKUP(AB89,$CR$90:$CR$113,$CS$90:$CS$113,0)</f>
        <v>Scented Candle</v>
      </c>
      <c r="Z92" s="4678"/>
      <c r="AA92" s="4678"/>
      <c r="AB92" s="4678"/>
      <c r="AC92" s="4678"/>
      <c r="AD92" s="4678"/>
      <c r="AE92" s="4679"/>
      <c r="AF92" s="801"/>
      <c r="AG92" s="4677" t="str">
        <f>_xlfn.XLOOKUP(AJ89,$CR$90:$CR$113,$CS$90:$CS$113,0)</f>
        <v>Film Blu-ray</v>
      </c>
      <c r="AH92" s="4678"/>
      <c r="AI92" s="4678"/>
      <c r="AJ92" s="4678"/>
      <c r="AK92" s="4678"/>
      <c r="AL92" s="4678"/>
      <c r="AM92" s="4679"/>
      <c r="AN92" s="803"/>
      <c r="AO92" s="4677" t="str">
        <f>_xlfn.XLOOKUP(AR89,$CR$90:$CR$113,$CS$90:$CS$113,0)</f>
        <v>Puzzle</v>
      </c>
      <c r="AP92" s="4678"/>
      <c r="AQ92" s="4678"/>
      <c r="AR92" s="4678"/>
      <c r="AS92" s="4678"/>
      <c r="AT92" s="4678"/>
      <c r="AU92" s="4679"/>
      <c r="AV92" s="803"/>
      <c r="AW92" s="4677" t="str">
        <f>_xlfn.XLOOKUP(AZ89,$CR$90:$CR$113,$CS$90:$CS$113,0)</f>
        <v>Model Kit</v>
      </c>
      <c r="AX92" s="4678"/>
      <c r="AY92" s="4678"/>
      <c r="AZ92" s="4678"/>
      <c r="BA92" s="4678"/>
      <c r="BB92" s="4678"/>
      <c r="BC92" s="4679"/>
      <c r="BD92" s="803"/>
      <c r="BE92" s="4677" t="str">
        <f>_xlfn.XLOOKUP(BH89,$CR$90:$CR$113,$CS$90:$CS$113,0)</f>
        <v>Bonus 20 XP in a Bright Red Skill - Do Any Action</v>
      </c>
      <c r="BF92" s="4678"/>
      <c r="BG92" s="4678"/>
      <c r="BH92" s="4678"/>
      <c r="BI92" s="4678"/>
      <c r="BJ92" s="4678"/>
      <c r="BK92" s="4679"/>
      <c r="BL92" s="803"/>
      <c r="BM92" s="4677" t="str">
        <f>_xlfn.XLOOKUP(BP89,$CR$90:$CR$113,$CS$90:$CS$113,0)</f>
        <v>Bonus 10 XP in Mind Skill of Choice - Do Any Action</v>
      </c>
      <c r="BN92" s="4678"/>
      <c r="BO92" s="4678"/>
      <c r="BP92" s="4678"/>
      <c r="BQ92" s="4678"/>
      <c r="BR92" s="4678"/>
      <c r="BS92" s="4679"/>
      <c r="BT92" s="801"/>
      <c r="BU92" s="801"/>
      <c r="BV92" s="801"/>
      <c r="BW92" s="794"/>
      <c r="BX92" s="19"/>
      <c r="BZ92" s="1161"/>
      <c r="CE92" s="3255"/>
      <c r="CF92" s="2674" t="str">
        <f>INDEX(data!$JD$23:$JM$42,data!$JH93,data!$JH117)</f>
        <v>Supermind Day - Double XP Gained in Mind Skills</v>
      </c>
      <c r="CQ92" s="1161"/>
      <c r="CR92" s="2300">
        <v>3</v>
      </c>
      <c r="CS92" s="3250" t="str">
        <v>Supermind Day - Double XP Gained in Mind Skills</v>
      </c>
      <c r="CT92" s="795"/>
      <c r="CU92" s="795"/>
      <c r="CV92" s="795"/>
      <c r="CW92" s="795"/>
      <c r="CX92" s="795"/>
      <c r="CY92" s="795"/>
      <c r="CZ92" s="795"/>
      <c r="DA92" s="795"/>
      <c r="DB92" s="795"/>
      <c r="DC92" s="795"/>
      <c r="DD92" s="3251"/>
      <c r="DE92" s="3255"/>
      <c r="DF92" s="3255"/>
      <c r="DG92" s="3255"/>
      <c r="DH92" s="3255"/>
      <c r="DI92" s="3255"/>
    </row>
    <row r="93" spans="2:113" ht="17.100000000000001" customHeight="1" thickBot="1" x14ac:dyDescent="0.25">
      <c r="B93" s="1159"/>
      <c r="C93" s="19"/>
      <c r="D93" s="19"/>
      <c r="E93" s="792"/>
      <c r="F93" s="801"/>
      <c r="G93" s="801"/>
      <c r="H93" s="801"/>
      <c r="I93" s="4680"/>
      <c r="J93" s="4681"/>
      <c r="K93" s="4681"/>
      <c r="L93" s="4681"/>
      <c r="M93" s="4681"/>
      <c r="N93" s="4681"/>
      <c r="O93" s="4682"/>
      <c r="P93" s="801"/>
      <c r="Q93" s="4680"/>
      <c r="R93" s="4681"/>
      <c r="S93" s="4681"/>
      <c r="T93" s="4681"/>
      <c r="U93" s="4681"/>
      <c r="V93" s="4681"/>
      <c r="W93" s="4682"/>
      <c r="X93" s="801"/>
      <c r="Y93" s="4680"/>
      <c r="Z93" s="4681"/>
      <c r="AA93" s="4681"/>
      <c r="AB93" s="4681"/>
      <c r="AC93" s="4681"/>
      <c r="AD93" s="4681"/>
      <c r="AE93" s="4682"/>
      <c r="AF93" s="801"/>
      <c r="AG93" s="4680"/>
      <c r="AH93" s="4681"/>
      <c r="AI93" s="4681"/>
      <c r="AJ93" s="4681"/>
      <c r="AK93" s="4681"/>
      <c r="AL93" s="4681"/>
      <c r="AM93" s="4682"/>
      <c r="AN93" s="803"/>
      <c r="AO93" s="4680"/>
      <c r="AP93" s="4681"/>
      <c r="AQ93" s="4681"/>
      <c r="AR93" s="4681"/>
      <c r="AS93" s="4681"/>
      <c r="AT93" s="4681"/>
      <c r="AU93" s="4682"/>
      <c r="AV93" s="803"/>
      <c r="AW93" s="4680"/>
      <c r="AX93" s="4681"/>
      <c r="AY93" s="4681"/>
      <c r="AZ93" s="4681"/>
      <c r="BA93" s="4681"/>
      <c r="BB93" s="4681"/>
      <c r="BC93" s="4682"/>
      <c r="BD93" s="803"/>
      <c r="BE93" s="4680"/>
      <c r="BF93" s="4681"/>
      <c r="BG93" s="4681"/>
      <c r="BH93" s="4681"/>
      <c r="BI93" s="4681"/>
      <c r="BJ93" s="4681"/>
      <c r="BK93" s="4682"/>
      <c r="BL93" s="803"/>
      <c r="BM93" s="4680"/>
      <c r="BN93" s="4681"/>
      <c r="BO93" s="4681"/>
      <c r="BP93" s="4681"/>
      <c r="BQ93" s="4681"/>
      <c r="BR93" s="4681"/>
      <c r="BS93" s="4682"/>
      <c r="BT93" s="801"/>
      <c r="BU93" s="801"/>
      <c r="BV93" s="801"/>
      <c r="BW93" s="794"/>
      <c r="BX93" s="19"/>
      <c r="BZ93" s="1161"/>
      <c r="CE93" s="3255"/>
      <c r="CF93" s="2674" t="str">
        <f>INDEX(data!$JD$23:$JM$42,data!$JH94,data!$JH118)</f>
        <v>Bonus 20 XP in a Bright Red Skill - Do Any Action</v>
      </c>
      <c r="CQ93" s="1161"/>
      <c r="CR93" s="2300">
        <v>4</v>
      </c>
      <c r="CS93" s="3250" t="str">
        <v>Bonus 20 XP in a Bright Red Skill - Do Any Action</v>
      </c>
      <c r="CT93" s="795"/>
      <c r="CU93" s="795"/>
      <c r="CV93" s="795"/>
      <c r="CW93" s="795"/>
      <c r="CX93" s="795"/>
      <c r="CY93" s="795"/>
      <c r="CZ93" s="795"/>
      <c r="DA93" s="795"/>
      <c r="DB93" s="795"/>
      <c r="DC93" s="795"/>
      <c r="DD93" s="3251"/>
      <c r="DE93" s="3255"/>
      <c r="DF93" s="3255"/>
      <c r="DG93" s="3255"/>
      <c r="DH93" s="3255"/>
      <c r="DI93" s="3255"/>
    </row>
    <row r="94" spans="2:113" ht="17.100000000000001" customHeight="1" thickTop="1" x14ac:dyDescent="0.2">
      <c r="B94" s="1159"/>
      <c r="C94" s="19"/>
      <c r="D94" s="19"/>
      <c r="E94" s="792"/>
      <c r="F94" s="801"/>
      <c r="G94" s="801"/>
      <c r="H94" s="801"/>
      <c r="I94" s="4676"/>
      <c r="J94" s="4676"/>
      <c r="K94" s="4676"/>
      <c r="L94" s="4676"/>
      <c r="M94" s="4676"/>
      <c r="N94" s="4676"/>
      <c r="O94" s="4676"/>
      <c r="P94" s="801"/>
      <c r="Q94" s="4676"/>
      <c r="R94" s="4676"/>
      <c r="S94" s="4676"/>
      <c r="T94" s="4676"/>
      <c r="U94" s="4676"/>
      <c r="V94" s="4676"/>
      <c r="W94" s="4676"/>
      <c r="X94" s="801"/>
      <c r="Y94" s="4676"/>
      <c r="Z94" s="4676"/>
      <c r="AA94" s="4676"/>
      <c r="AB94" s="4676"/>
      <c r="AC94" s="4676"/>
      <c r="AD94" s="4676"/>
      <c r="AE94" s="4676"/>
      <c r="AF94" s="801"/>
      <c r="AG94" s="4676"/>
      <c r="AH94" s="4676"/>
      <c r="AI94" s="4676"/>
      <c r="AJ94" s="4676"/>
      <c r="AK94" s="4676"/>
      <c r="AL94" s="4676"/>
      <c r="AM94" s="4676"/>
      <c r="AN94" s="801"/>
      <c r="AO94" s="4676"/>
      <c r="AP94" s="4676"/>
      <c r="AQ94" s="4676"/>
      <c r="AR94" s="4676"/>
      <c r="AS94" s="4676"/>
      <c r="AT94" s="4676"/>
      <c r="AU94" s="4676"/>
      <c r="AV94" s="801"/>
      <c r="AW94" s="4676"/>
      <c r="AX94" s="4676"/>
      <c r="AY94" s="4676"/>
      <c r="AZ94" s="4676"/>
      <c r="BA94" s="4676"/>
      <c r="BB94" s="4676"/>
      <c r="BC94" s="4676"/>
      <c r="BD94" s="801"/>
      <c r="BE94" s="4676"/>
      <c r="BF94" s="4676"/>
      <c r="BG94" s="4676"/>
      <c r="BH94" s="4676"/>
      <c r="BI94" s="4676"/>
      <c r="BJ94" s="4676"/>
      <c r="BK94" s="4676"/>
      <c r="BL94" s="801"/>
      <c r="BM94" s="4676"/>
      <c r="BN94" s="4676"/>
      <c r="BO94" s="4676"/>
      <c r="BP94" s="4676"/>
      <c r="BQ94" s="4676"/>
      <c r="BR94" s="4676"/>
      <c r="BS94" s="4676"/>
      <c r="BT94" s="801"/>
      <c r="BU94" s="801"/>
      <c r="BV94" s="801"/>
      <c r="BW94" s="794"/>
      <c r="BX94" s="19"/>
      <c r="BZ94" s="1161"/>
      <c r="CE94" s="3255"/>
      <c r="CF94" s="2674" t="str">
        <f>INDEX(data!$JD$23:$JM$42,data!$JH95,data!$JH119)</f>
        <v>Scented Candle</v>
      </c>
      <c r="CQ94" s="1161"/>
      <c r="CR94" s="2300">
        <v>5</v>
      </c>
      <c r="CS94" s="3250" t="str">
        <v>Scented Candle</v>
      </c>
      <c r="CT94" s="795"/>
      <c r="CU94" s="795"/>
      <c r="CV94" s="795"/>
      <c r="CW94" s="795"/>
      <c r="CX94" s="795"/>
      <c r="CY94" s="795"/>
      <c r="CZ94" s="795"/>
      <c r="DA94" s="795"/>
      <c r="DB94" s="795"/>
      <c r="DC94" s="795"/>
      <c r="DD94" s="3251"/>
      <c r="DE94" s="3255"/>
      <c r="DF94" s="3255"/>
      <c r="DG94" s="3255"/>
      <c r="DH94" s="3255"/>
      <c r="DI94" s="3255"/>
    </row>
    <row r="95" spans="2:113" ht="17.100000000000001" customHeight="1" x14ac:dyDescent="0.2">
      <c r="B95" s="1159"/>
      <c r="C95" s="19"/>
      <c r="D95" s="19"/>
      <c r="E95" s="792"/>
      <c r="F95" s="801"/>
      <c r="G95" s="801"/>
      <c r="H95" s="801"/>
      <c r="I95" s="801"/>
      <c r="J95" s="801"/>
      <c r="K95" s="801"/>
      <c r="L95" s="804"/>
      <c r="M95" s="801"/>
      <c r="N95" s="801"/>
      <c r="O95" s="801"/>
      <c r="P95" s="801"/>
      <c r="Q95" s="801"/>
      <c r="R95" s="801"/>
      <c r="S95" s="801"/>
      <c r="T95" s="804"/>
      <c r="U95" s="801"/>
      <c r="V95" s="801"/>
      <c r="W95" s="801"/>
      <c r="X95" s="801"/>
      <c r="Y95" s="801"/>
      <c r="Z95" s="801"/>
      <c r="AA95" s="801"/>
      <c r="AB95" s="804"/>
      <c r="AC95" s="801"/>
      <c r="AD95" s="801"/>
      <c r="AE95" s="801"/>
      <c r="AF95" s="801"/>
      <c r="AG95" s="801"/>
      <c r="AH95" s="801"/>
      <c r="AI95" s="801"/>
      <c r="AJ95" s="804"/>
      <c r="AK95" s="801"/>
      <c r="AL95" s="801"/>
      <c r="AM95" s="801"/>
      <c r="AN95" s="801"/>
      <c r="AO95" s="801"/>
      <c r="AP95" s="801"/>
      <c r="AQ95" s="801"/>
      <c r="AR95" s="804"/>
      <c r="AS95" s="801"/>
      <c r="AT95" s="801"/>
      <c r="AU95" s="801"/>
      <c r="AV95" s="801"/>
      <c r="AW95" s="801"/>
      <c r="AX95" s="801"/>
      <c r="AY95" s="801"/>
      <c r="AZ95" s="804"/>
      <c r="BA95" s="801"/>
      <c r="BB95" s="801"/>
      <c r="BC95" s="801"/>
      <c r="BD95" s="801"/>
      <c r="BE95" s="801"/>
      <c r="BF95" s="801"/>
      <c r="BG95" s="801"/>
      <c r="BH95" s="804"/>
      <c r="BI95" s="801"/>
      <c r="BJ95" s="801"/>
      <c r="BK95" s="801"/>
      <c r="BL95" s="801"/>
      <c r="BM95" s="801"/>
      <c r="BN95" s="801"/>
      <c r="BO95" s="801"/>
      <c r="BP95" s="804"/>
      <c r="BQ95" s="801"/>
      <c r="BR95" s="801"/>
      <c r="BS95" s="801"/>
      <c r="BT95" s="801"/>
      <c r="BU95" s="801"/>
      <c r="BV95" s="801"/>
      <c r="BW95" s="794"/>
      <c r="BX95" s="19"/>
      <c r="BZ95" s="1161"/>
      <c r="CE95" s="3255"/>
      <c r="CF95" s="2674" t="str">
        <f>INDEX(data!$JD$23:$JM$42,data!$JH96,data!$JH120)</f>
        <v>Model Kit</v>
      </c>
      <c r="CQ95" s="1161"/>
      <c r="CR95" s="2300">
        <v>6</v>
      </c>
      <c r="CS95" s="3250" t="str">
        <v>Model Kit</v>
      </c>
      <c r="CT95" s="795"/>
      <c r="CU95" s="795"/>
      <c r="CV95" s="795"/>
      <c r="CW95" s="795"/>
      <c r="CX95" s="795"/>
      <c r="CY95" s="795"/>
      <c r="CZ95" s="795"/>
      <c r="DA95" s="795"/>
      <c r="DB95" s="795"/>
      <c r="DC95" s="795"/>
      <c r="DD95" s="3251"/>
      <c r="DE95" s="3255"/>
      <c r="DF95" s="3255"/>
      <c r="DG95" s="3255"/>
      <c r="DH95" s="3255"/>
      <c r="DI95" s="3255"/>
    </row>
    <row r="96" spans="2:113" ht="17.100000000000001" customHeight="1" thickBot="1" x14ac:dyDescent="0.25">
      <c r="B96" s="1159"/>
      <c r="C96" s="19"/>
      <c r="D96" s="19"/>
      <c r="E96" s="792"/>
      <c r="F96" s="801"/>
      <c r="G96" s="801"/>
      <c r="H96" s="801"/>
      <c r="I96" s="801"/>
      <c r="J96" s="801"/>
      <c r="K96" s="801"/>
      <c r="L96" s="3256">
        <v>17</v>
      </c>
      <c r="M96" s="3256"/>
      <c r="N96" s="3256"/>
      <c r="O96" s="3256"/>
      <c r="P96" s="3256"/>
      <c r="Q96" s="3256"/>
      <c r="R96" s="3256"/>
      <c r="S96" s="3256"/>
      <c r="T96" s="3256">
        <v>19</v>
      </c>
      <c r="U96" s="3256"/>
      <c r="V96" s="3256"/>
      <c r="W96" s="3256"/>
      <c r="X96" s="3256"/>
      <c r="Y96" s="3256"/>
      <c r="Z96" s="3256"/>
      <c r="AA96" s="3256"/>
      <c r="AB96" s="3256">
        <v>21</v>
      </c>
      <c r="AC96" s="3256"/>
      <c r="AD96" s="3256"/>
      <c r="AE96" s="3256"/>
      <c r="AF96" s="3256"/>
      <c r="AG96" s="3256"/>
      <c r="AH96" s="3256"/>
      <c r="AI96" s="3256"/>
      <c r="AJ96" s="3256">
        <v>23</v>
      </c>
      <c r="AK96" s="3256"/>
      <c r="AL96" s="3256"/>
      <c r="AM96" s="3256"/>
      <c r="AN96" s="3256"/>
      <c r="AO96" s="3256"/>
      <c r="AP96" s="3256"/>
      <c r="AQ96" s="3256"/>
      <c r="AR96" s="3256">
        <v>24</v>
      </c>
      <c r="AS96" s="3256"/>
      <c r="AT96" s="3256"/>
      <c r="AU96" s="3256"/>
      <c r="AV96" s="3256"/>
      <c r="AW96" s="3256"/>
      <c r="AX96" s="3256"/>
      <c r="AY96" s="3256"/>
      <c r="AZ96" s="3256">
        <v>22</v>
      </c>
      <c r="BA96" s="3256"/>
      <c r="BB96" s="3256"/>
      <c r="BC96" s="3256"/>
      <c r="BD96" s="3256"/>
      <c r="BE96" s="3256"/>
      <c r="BF96" s="3256"/>
      <c r="BG96" s="3256"/>
      <c r="BH96" s="3256">
        <v>20</v>
      </c>
      <c r="BI96" s="3256"/>
      <c r="BJ96" s="3256"/>
      <c r="BK96" s="3256"/>
      <c r="BL96" s="3256"/>
      <c r="BM96" s="3256"/>
      <c r="BN96" s="3256"/>
      <c r="BO96" s="3256"/>
      <c r="BP96" s="3256">
        <v>18</v>
      </c>
      <c r="BQ96" s="801"/>
      <c r="BR96" s="801"/>
      <c r="BS96" s="801"/>
      <c r="BT96" s="801"/>
      <c r="BU96" s="801"/>
      <c r="BV96" s="801"/>
      <c r="BW96" s="794"/>
      <c r="BX96" s="19"/>
      <c r="BZ96" s="1161"/>
      <c r="CE96" s="3255"/>
      <c r="CF96" s="2674" t="str">
        <f>INDEX(data!$JD$23:$JM$42,data!$JH97,data!$JH121)</f>
        <v>Film Blu-ray</v>
      </c>
      <c r="CQ96" s="1161"/>
      <c r="CR96" s="2300">
        <v>7</v>
      </c>
      <c r="CS96" s="3250" t="str">
        <v>Film Blu-ray</v>
      </c>
      <c r="CT96" s="795"/>
      <c r="CU96" s="795"/>
      <c r="CV96" s="795"/>
      <c r="CW96" s="795"/>
      <c r="CX96" s="795"/>
      <c r="CY96" s="795"/>
      <c r="CZ96" s="795"/>
      <c r="DA96" s="795"/>
      <c r="DB96" s="795"/>
      <c r="DC96" s="795"/>
      <c r="DD96" s="3251"/>
      <c r="DE96" s="3255"/>
      <c r="DF96" s="3255"/>
      <c r="DG96" s="3255"/>
      <c r="DH96" s="3255"/>
      <c r="DI96" s="3255"/>
    </row>
    <row r="97" spans="2:113" ht="17.100000000000001" customHeight="1" thickTop="1" x14ac:dyDescent="0.2">
      <c r="B97" s="1159"/>
      <c r="C97" s="19"/>
      <c r="D97" s="19"/>
      <c r="E97" s="792"/>
      <c r="F97" s="801"/>
      <c r="G97" s="801"/>
      <c r="H97" s="801"/>
      <c r="I97" s="4672" t="s">
        <v>68</v>
      </c>
      <c r="J97" s="4668"/>
      <c r="K97" s="4674" t="str">
        <f>IF(ISBLANK(I99),data!$JO$72,_xlfn.IFS(
ISNUMBER(SEARCH( data!$JP$23, I99 )), data!$JO$23,
ISNUMBER(SEARCH( data!$JP$24, I99 )), data!$JO$24,
ISNUMBER(SEARCH( data!$JP$25, I99 )), data!$JO$25,
ISNUMBER(SEARCH( data!$JP$26, I99 )), data!$JO$26,
ISNUMBER(SEARCH( data!$JP$27, I99 )), data!$JO$27,
ISNUMBER(SEARCH( data!$JP$28, I99 )), data!$JO$28,
ISNUMBER(SEARCH( data!$JP$29, I99 )), data!$JO$29,
ISNUMBER(SEARCH( data!$JP$30, I99 )), data!$JO$30,
ISNUMBER(SEARCH( data!$JP$31, I99 )), data!$JO$31,
ISNUMBER(SEARCH( data!$JP$32, I99 )), data!$JO$32,
ISNUMBER(SEARCH( data!$JP$33, I99 )), data!$JO$33,
ISNUMBER(SEARCH( data!$JP$34, I99 )), data!$JO$34,
ISNUMBER(SEARCH( data!$JP$35, I99 )), data!$JO$35,
ISNUMBER(SEARCH( data!$JP$36, I99 )), data!$JO$36,
ISNUMBER(SEARCH( data!$JP$37, I99 )), data!$JO$37,
ISNUMBER(SEARCH( data!$JP$38, I99 )), data!$JO$38,
ISNUMBER(SEARCH( data!$JP$39, I99 )), data!$JO$39,
ISNUMBER(SEARCH( data!$JP$40, I99 )), data!$JO$40,
ISNUMBER(SEARCH( data!$JP$41, I99 )), data!$JO$41,
ISNUMBER(SEARCH( data!$JP$42, I99 )), data!$JO$42,
ISNUMBER(SEARCH( data!$JP$43, I99 )), data!$JO$43,
ISNUMBER(SEARCH( data!$JP$44, I99 )), data!$JO$44,
ISNUMBER(SEARCH( data!$JP$45, I99 )), data!$JO$45,
ISNUMBER(SEARCH( data!$JP$46, I99 )), data!$JO$46,
ISNUMBER(SEARCH( data!$JP$47, I99 )), data!$JO$47,
ISNUMBER(SEARCH( data!$JP$48, I99 )), data!$JO$48,
ISNUMBER(SEARCH( data!$JP$49, I99 )), data!$JO$49,
ISNUMBER(SEARCH( data!$JP$50, I99 )), data!$JO$50,
ISNUMBER(SEARCH( data!$JP$51, I99 )), data!$JO$51,
ISNUMBER(SEARCH( data!$JP$52, I99 )), data!$JO$52,
ISNUMBER(SEARCH( data!$JP$53, I99 )), data!$JO$53,
ISNUMBER(SEARCH( data!$JP$54, I99 )), data!$JO$54,
ISNUMBER(SEARCH( data!$JP$55, I99 )), data!$JO$55,
ISNUMBER(SEARCH( data!$JP$56, I99 )), data!$JO$56,
ISNUMBER(SEARCH( data!$JP$57, I99 )), data!$JO$57,
ISNUMBER(SEARCH( data!$JP$58, I99 )), data!$JO$58,
ISNUMBER(SEARCH( data!$JP$59, I99 )), data!$JO$59,
ISNUMBER(SEARCH( data!$JP$60, I99 )), data!$JO$60,
ISNUMBER(SEARCH( data!$JP$61, I99 )), data!$JO$61,
ISNUMBER(SEARCH( data!$JP$62, I99 )), data!$JO$62,
ISNUMBER(SEARCH( data!$JP$63, I99 )), data!$JO$63,
ISNUMBER(SEARCH( data!$JP$64, I99 )), data!$JO$64,
ISNUMBER(SEARCH( data!$JP$65, I99 )), data!$JO$65,
ISNUMBER(SEARCH( data!$JP$66, I99 )), data!$JO$66,
ISNUMBER(SEARCH( data!$JP$67, I99 )), data!$JO$67,
ISNUMBER(SEARCH( data!$JP$68, I99 )), data!$JO$68,
ISNUMBER(SEARCH( data!$JP$69, I99 )), data!$JO$69,
ISNUMBER(SEARCH( data!$JP$70, I99 )), data!$JO$70,
ISNUMBER(SEARCH( data!$JP$71, I99 )), data!$JO$71,
ISNUMBER(SEARCH( data!$JR$23, I99 )), data!$JQ$23,
ISNUMBER(SEARCH( data!$JR$24, I99 )), data!$JQ$24,
ISNUMBER(SEARCH( data!$JR$25, I99 )), data!$JQ$25,
ISNUMBER(SEARCH( data!$JR$26, I99 )), data!$JQ$26,
ISNUMBER(SEARCH( data!$JR$27, I99 )), data!$JQ$27,
ISNUMBER(SEARCH( data!$JR$28, I99 )), data!$JQ$28,
ISNUMBER(SEARCH( data!$JR$29, I99 )), data!$JQ$29,
ISNUMBER(SEARCH( data!$JR$30, I99 )), data!$JQ$30,
ISNUMBER(SEARCH( data!$JR$31, I99 )), data!$JQ$31,
ISNUMBER(SEARCH( data!$JR$32, I99 )), data!$JQ$32,
ISNUMBER(SEARCH( data!$JR$33, I99 )), data!$JQ$33,
ISNUMBER(SEARCH( data!$JR$34, I99 )), data!$JQ$34,
ISNUMBER(SEARCH( data!$JR$35, I99 )), data!$JQ$35,
ISNUMBER(SEARCH( data!$JR$36, I99 )), data!$JQ$36,
ISNUMBER(SEARCH( data!$JR$37, I99 )), data!$JQ$37,
ISNUMBER(SEARCH( data!$JR$38, I99 )), data!$JQ$38,
ISNUMBER(SEARCH( data!$JR$39, I99 )), data!$JQ$39,
ISNUMBER(SEARCH( data!$JR$40, I99 )), data!$JQ$40,
ISNUMBER(SEARCH( data!$JR$41, I99 )), data!$JQ$41,
ISNUMBER(SEARCH( data!$JR$42, I99 )), data!$JQ$42,
ISNUMBER(SEARCH( data!$JR$43, I99 )), data!$JQ$43,
ISNUMBER(SEARCH( data!$JR$44, I99 )), data!$JQ$44,
ISNUMBER(SEARCH( data!$JR$45, I99 )), data!$JQ$45,
ISNUMBER(SEARCH( data!$JR$46, I99 )), data!$JQ$46,
ISNUMBER(SEARCH( data!$JR$47, I99 )), data!$JQ$47,
ISNUMBER(SEARCH( data!$JR$48, I99 )), data!$JQ$48,
ISNUMBER(SEARCH( data!$JR$49, I99 )), data!$JQ$49,
ISNUMBER(SEARCH( data!$JR$50, I99 )), data!$JQ$50,
ISNUMBER(SEARCH( data!$JR$51, I99 )), data!$JQ$51,
ISNUMBER(SEARCH( data!$JR$52, I99 )), data!$JQ$52,
ISNUMBER(SEARCH( data!$JR$53, I99 )), data!$JQ$53,
ISNUMBER(SEARCH( data!$JR$54, I99 )), data!$JQ$54,
ISNUMBER(SEARCH( data!$JR$55, I99 )), data!$JQ$55,
ISNUMBER(SEARCH( data!$JR$56, I99 )), data!$JQ$56,
ISNUMBER(SEARCH( data!$JR$57, I99 )), data!$JQ$57,
ISNUMBER(SEARCH( data!$JR$58, I99 )), data!$JQ$58,
ISNUMBER(SEARCH( data!$JR$59, I99 )), data!$JQ$59,
ISNUMBER(SEARCH( data!$JR$60, I99 )), data!$JQ$60,
ISNUMBER(SEARCH( data!$JR$61, I99 )), data!$JQ$61,
ISNUMBER(SEARCH( data!$JR$62, I99 )), data!$JQ$62,
ISNUMBER(SEARCH( data!$JR$63, I99 )), data!$JQ$63,
ISNUMBER(SEARCH( data!$JR$64, I99 )), data!$JQ$64,
ISNUMBER(SEARCH( data!$JR$65, I99 )), data!$JQ$65,
ISNUMBER(SEARCH( data!$JR$66, I99 )), data!$JQ$66,
ISNUMBER(SEARCH( data!$JR$67, I99 )), data!$JQ$67,
ISNUMBER(SEARCH( data!$JR$68, I99 )), data!$JQ$68,
ISNUMBER(SEARCH( data!$JR$69, I99 )), data!$JQ$69,
ISNUMBER(SEARCH( data!$JR$70, I99 )), data!$JQ$70,
ISNUMBER(SEARCH( data!$JR$71, I99 )), data!$JQ$71,
TRUE,data!$JQ$72))</f>
        <v>🎛</v>
      </c>
      <c r="L97" s="4674"/>
      <c r="M97" s="4674"/>
      <c r="N97" s="4668" t="s">
        <v>68</v>
      </c>
      <c r="O97" s="4669"/>
      <c r="P97" s="801"/>
      <c r="Q97" s="4672" t="s">
        <v>68</v>
      </c>
      <c r="R97" s="4668"/>
      <c r="S97" s="4674" t="str">
        <f>IF(ISBLANK(Q99),data!$JO$72,_xlfn.IFS(
ISNUMBER(SEARCH( data!$JP$23, Q99 )), data!$JO$23,
ISNUMBER(SEARCH( data!$JP$24, Q99 )), data!$JO$24,
ISNUMBER(SEARCH( data!$JP$25, Q99 )), data!$JO$25,
ISNUMBER(SEARCH( data!$JP$26, Q99 )), data!$JO$26,
ISNUMBER(SEARCH( data!$JP$27, Q99 )), data!$JO$27,
ISNUMBER(SEARCH( data!$JP$28, Q99 )), data!$JO$28,
ISNUMBER(SEARCH( data!$JP$29, Q99 )), data!$JO$29,
ISNUMBER(SEARCH( data!$JP$30, Q99 )), data!$JO$30,
ISNUMBER(SEARCH( data!$JP$31, Q99 )), data!$JO$31,
ISNUMBER(SEARCH( data!$JP$32, Q99 )), data!$JO$32,
ISNUMBER(SEARCH( data!$JP$33, Q99 )), data!$JO$33,
ISNUMBER(SEARCH( data!$JP$34, Q99 )), data!$JO$34,
ISNUMBER(SEARCH( data!$JP$35, Q99 )), data!$JO$35,
ISNUMBER(SEARCH( data!$JP$36, Q99 )), data!$JO$36,
ISNUMBER(SEARCH( data!$JP$37, Q99 )), data!$JO$37,
ISNUMBER(SEARCH( data!$JP$38, Q99 )), data!$JO$38,
ISNUMBER(SEARCH( data!$JP$39, Q99 )), data!$JO$39,
ISNUMBER(SEARCH( data!$JP$40, Q99 )), data!$JO$40,
ISNUMBER(SEARCH( data!$JP$41, Q99 )), data!$JO$41,
ISNUMBER(SEARCH( data!$JP$42, Q99 )), data!$JO$42,
ISNUMBER(SEARCH( data!$JP$43, Q99 )), data!$JO$43,
ISNUMBER(SEARCH( data!$JP$44, Q99 )), data!$JO$44,
ISNUMBER(SEARCH( data!$JP$45, Q99 )), data!$JO$45,
ISNUMBER(SEARCH( data!$JP$46, Q99 )), data!$JO$46,
ISNUMBER(SEARCH( data!$JP$47, Q99 )), data!$JO$47,
ISNUMBER(SEARCH( data!$JP$48, Q99 )), data!$JO$48,
ISNUMBER(SEARCH( data!$JP$49, Q99 )), data!$JO$49,
ISNUMBER(SEARCH( data!$JP$50, Q99 )), data!$JO$50,
ISNUMBER(SEARCH( data!$JP$51, Q99 )), data!$JO$51,
ISNUMBER(SEARCH( data!$JP$52, Q99 )), data!$JO$52,
ISNUMBER(SEARCH( data!$JP$53, Q99 )), data!$JO$53,
ISNUMBER(SEARCH( data!$JP$54, Q99 )), data!$JO$54,
ISNUMBER(SEARCH( data!$JP$55, Q99 )), data!$JO$55,
ISNUMBER(SEARCH( data!$JP$56, Q99 )), data!$JO$56,
ISNUMBER(SEARCH( data!$JP$57, Q99 )), data!$JO$57,
ISNUMBER(SEARCH( data!$JP$58, Q99 )), data!$JO$58,
ISNUMBER(SEARCH( data!$JP$59, Q99 )), data!$JO$59,
ISNUMBER(SEARCH( data!$JP$60, Q99 )), data!$JO$60,
ISNUMBER(SEARCH( data!$JP$61, Q99 )), data!$JO$61,
ISNUMBER(SEARCH( data!$JP$62, Q99 )), data!$JO$62,
ISNUMBER(SEARCH( data!$JP$63, Q99 )), data!$JO$63,
ISNUMBER(SEARCH( data!$JP$64, Q99 )), data!$JO$64,
ISNUMBER(SEARCH( data!$JP$65, Q99 )), data!$JO$65,
ISNUMBER(SEARCH( data!$JP$66, Q99 )), data!$JO$66,
ISNUMBER(SEARCH( data!$JP$67, Q99 )), data!$JO$67,
ISNUMBER(SEARCH( data!$JP$68, Q99 )), data!$JO$68,
ISNUMBER(SEARCH( data!$JP$69, Q99 )), data!$JO$69,
ISNUMBER(SEARCH( data!$JP$70, Q99 )), data!$JO$70,
ISNUMBER(SEARCH( data!$JP$71, Q99 )), data!$JO$71,
ISNUMBER(SEARCH( data!$JR$23, Q99 )), data!$JQ$23,
ISNUMBER(SEARCH( data!$JR$24, Q99 )), data!$JQ$24,
ISNUMBER(SEARCH( data!$JR$25, Q99 )), data!$JQ$25,
ISNUMBER(SEARCH( data!$JR$26, Q99 )), data!$JQ$26,
ISNUMBER(SEARCH( data!$JR$27, Q99 )), data!$JQ$27,
ISNUMBER(SEARCH( data!$JR$28, Q99 )), data!$JQ$28,
ISNUMBER(SEARCH( data!$JR$29, Q99 )), data!$JQ$29,
ISNUMBER(SEARCH( data!$JR$30, Q99 )), data!$JQ$30,
ISNUMBER(SEARCH( data!$JR$31, Q99 )), data!$JQ$31,
ISNUMBER(SEARCH( data!$JR$32, Q99 )), data!$JQ$32,
ISNUMBER(SEARCH( data!$JR$33, Q99 )), data!$JQ$33,
ISNUMBER(SEARCH( data!$JR$34, Q99 )), data!$JQ$34,
ISNUMBER(SEARCH( data!$JR$35, Q99 )), data!$JQ$35,
ISNUMBER(SEARCH( data!$JR$36, Q99 )), data!$JQ$36,
ISNUMBER(SEARCH( data!$JR$37, Q99 )), data!$JQ$37,
ISNUMBER(SEARCH( data!$JR$38, Q99 )), data!$JQ$38,
ISNUMBER(SEARCH( data!$JR$39, Q99 )), data!$JQ$39,
ISNUMBER(SEARCH( data!$JR$40, Q99 )), data!$JQ$40,
ISNUMBER(SEARCH( data!$JR$41, Q99 )), data!$JQ$41,
ISNUMBER(SEARCH( data!$JR$42, Q99 )), data!$JQ$42,
ISNUMBER(SEARCH( data!$JR$43, Q99 )), data!$JQ$43,
ISNUMBER(SEARCH( data!$JR$44, Q99 )), data!$JQ$44,
ISNUMBER(SEARCH( data!$JR$45, Q99 )), data!$JQ$45,
ISNUMBER(SEARCH( data!$JR$46, Q99 )), data!$JQ$46,
ISNUMBER(SEARCH( data!$JR$47, Q99 )), data!$JQ$47,
ISNUMBER(SEARCH( data!$JR$48, Q99 )), data!$JQ$48,
ISNUMBER(SEARCH( data!$JR$49, Q99 )), data!$JQ$49,
ISNUMBER(SEARCH( data!$JR$50, Q99 )), data!$JQ$50,
ISNUMBER(SEARCH( data!$JR$51, Q99 )), data!$JQ$51,
ISNUMBER(SEARCH( data!$JR$52, Q99 )), data!$JQ$52,
ISNUMBER(SEARCH( data!$JR$53, Q99 )), data!$JQ$53,
ISNUMBER(SEARCH( data!$JR$54, Q99 )), data!$JQ$54,
ISNUMBER(SEARCH( data!$JR$55, Q99 )), data!$JQ$55,
ISNUMBER(SEARCH( data!$JR$56, Q99 )), data!$JQ$56,
ISNUMBER(SEARCH( data!$JR$57, Q99 )), data!$JQ$57,
ISNUMBER(SEARCH( data!$JR$58, Q99 )), data!$JQ$58,
ISNUMBER(SEARCH( data!$JR$59, Q99 )), data!$JQ$59,
ISNUMBER(SEARCH( data!$JR$60, Q99 )), data!$JQ$60,
ISNUMBER(SEARCH( data!$JR$61, Q99 )), data!$JQ$61,
ISNUMBER(SEARCH( data!$JR$62, Q99 )), data!$JQ$62,
ISNUMBER(SEARCH( data!$JR$63, Q99 )), data!$JQ$63,
ISNUMBER(SEARCH( data!$JR$64, Q99 )), data!$JQ$64,
ISNUMBER(SEARCH( data!$JR$65, Q99 )), data!$JQ$65,
ISNUMBER(SEARCH( data!$JR$66, Q99 )), data!$JQ$66,
ISNUMBER(SEARCH( data!$JR$67, Q99 )), data!$JQ$67,
ISNUMBER(SEARCH( data!$JR$68, Q99 )), data!$JQ$68,
ISNUMBER(SEARCH( data!$JR$69, Q99 )), data!$JQ$69,
ISNUMBER(SEARCH( data!$JR$70, Q99 )), data!$JQ$70,
ISNUMBER(SEARCH( data!$JR$71, Q99 )), data!$JQ$71,
TRUE,data!$JQ$72))</f>
        <v>🛒</v>
      </c>
      <c r="T97" s="4674"/>
      <c r="U97" s="4674"/>
      <c r="V97" s="4668" t="s">
        <v>68</v>
      </c>
      <c r="W97" s="4669"/>
      <c r="X97" s="801"/>
      <c r="Y97" s="4672" t="s">
        <v>68</v>
      </c>
      <c r="Z97" s="4668"/>
      <c r="AA97" s="4674" t="str">
        <f>IF(ISBLANK(Y99),data!$JO$72,_xlfn.IFS(
ISNUMBER(SEARCH( data!$JP$23, Y99 )), data!$JO$23,
ISNUMBER(SEARCH( data!$JP$24, Y99 )), data!$JO$24,
ISNUMBER(SEARCH( data!$JP$25, Y99 )), data!$JO$25,
ISNUMBER(SEARCH( data!$JP$26, Y99 )), data!$JO$26,
ISNUMBER(SEARCH( data!$JP$27, Y99 )), data!$JO$27,
ISNUMBER(SEARCH( data!$JP$28, Y99 )), data!$JO$28,
ISNUMBER(SEARCH( data!$JP$29, Y99 )), data!$JO$29,
ISNUMBER(SEARCH( data!$JP$30, Y99 )), data!$JO$30,
ISNUMBER(SEARCH( data!$JP$31, Y99 )), data!$JO$31,
ISNUMBER(SEARCH( data!$JP$32, Y99 )), data!$JO$32,
ISNUMBER(SEARCH( data!$JP$33, Y99 )), data!$JO$33,
ISNUMBER(SEARCH( data!$JP$34, Y99 )), data!$JO$34,
ISNUMBER(SEARCH( data!$JP$35, Y99 )), data!$JO$35,
ISNUMBER(SEARCH( data!$JP$36, Y99 )), data!$JO$36,
ISNUMBER(SEARCH( data!$JP$37, Y99 )), data!$JO$37,
ISNUMBER(SEARCH( data!$JP$38, Y99 )), data!$JO$38,
ISNUMBER(SEARCH( data!$JP$39, Y99 )), data!$JO$39,
ISNUMBER(SEARCH( data!$JP$40, Y99 )), data!$JO$40,
ISNUMBER(SEARCH( data!$JP$41, Y99 )), data!$JO$41,
ISNUMBER(SEARCH( data!$JP$42, Y99 )), data!$JO$42,
ISNUMBER(SEARCH( data!$JP$43, Y99 )), data!$JO$43,
ISNUMBER(SEARCH( data!$JP$44, Y99 )), data!$JO$44,
ISNUMBER(SEARCH( data!$JP$45, Y99 )), data!$JO$45,
ISNUMBER(SEARCH( data!$JP$46, Y99 )), data!$JO$46,
ISNUMBER(SEARCH( data!$JP$47, Y99 )), data!$JO$47,
ISNUMBER(SEARCH( data!$JP$48, Y99 )), data!$JO$48,
ISNUMBER(SEARCH( data!$JP$49, Y99 )), data!$JO$49,
ISNUMBER(SEARCH( data!$JP$50, Y99 )), data!$JO$50,
ISNUMBER(SEARCH( data!$JP$51, Y99 )), data!$JO$51,
ISNUMBER(SEARCH( data!$JP$52, Y99 )), data!$JO$52,
ISNUMBER(SEARCH( data!$JP$53, Y99 )), data!$JO$53,
ISNUMBER(SEARCH( data!$JP$54, Y99 )), data!$JO$54,
ISNUMBER(SEARCH( data!$JP$55, Y99 )), data!$JO$55,
ISNUMBER(SEARCH( data!$JP$56, Y99 )), data!$JO$56,
ISNUMBER(SEARCH( data!$JP$57, Y99 )), data!$JO$57,
ISNUMBER(SEARCH( data!$JP$58, Y99 )), data!$JO$58,
ISNUMBER(SEARCH( data!$JP$59, Y99 )), data!$JO$59,
ISNUMBER(SEARCH( data!$JP$60, Y99 )), data!$JO$60,
ISNUMBER(SEARCH( data!$JP$61, Y99 )), data!$JO$61,
ISNUMBER(SEARCH( data!$JP$62, Y99 )), data!$JO$62,
ISNUMBER(SEARCH( data!$JP$63, Y99 )), data!$JO$63,
ISNUMBER(SEARCH( data!$JP$64, Y99 )), data!$JO$64,
ISNUMBER(SEARCH( data!$JP$65, Y99 )), data!$JO$65,
ISNUMBER(SEARCH( data!$JP$66, Y99 )), data!$JO$66,
ISNUMBER(SEARCH( data!$JP$67, Y99 )), data!$JO$67,
ISNUMBER(SEARCH( data!$JP$68, Y99 )), data!$JO$68,
ISNUMBER(SEARCH( data!$JP$69, Y99 )), data!$JO$69,
ISNUMBER(SEARCH( data!$JP$70, Y99 )), data!$JO$70,
ISNUMBER(SEARCH( data!$JP$71, Y99 )), data!$JO$71,
ISNUMBER(SEARCH( data!$JR$23, Y99 )), data!$JQ$23,
ISNUMBER(SEARCH( data!$JR$24, Y99 )), data!$JQ$24,
ISNUMBER(SEARCH( data!$JR$25, Y99 )), data!$JQ$25,
ISNUMBER(SEARCH( data!$JR$26, Y99 )), data!$JQ$26,
ISNUMBER(SEARCH( data!$JR$27, Y99 )), data!$JQ$27,
ISNUMBER(SEARCH( data!$JR$28, Y99 )), data!$JQ$28,
ISNUMBER(SEARCH( data!$JR$29, Y99 )), data!$JQ$29,
ISNUMBER(SEARCH( data!$JR$30, Y99 )), data!$JQ$30,
ISNUMBER(SEARCH( data!$JR$31, Y99 )), data!$JQ$31,
ISNUMBER(SEARCH( data!$JR$32, Y99 )), data!$JQ$32,
ISNUMBER(SEARCH( data!$JR$33, Y99 )), data!$JQ$33,
ISNUMBER(SEARCH( data!$JR$34, Y99 )), data!$JQ$34,
ISNUMBER(SEARCH( data!$JR$35, Y99 )), data!$JQ$35,
ISNUMBER(SEARCH( data!$JR$36, Y99 )), data!$JQ$36,
ISNUMBER(SEARCH( data!$JR$37, Y99 )), data!$JQ$37,
ISNUMBER(SEARCH( data!$JR$38, Y99 )), data!$JQ$38,
ISNUMBER(SEARCH( data!$JR$39, Y99 )), data!$JQ$39,
ISNUMBER(SEARCH( data!$JR$40, Y99 )), data!$JQ$40,
ISNUMBER(SEARCH( data!$JR$41, Y99 )), data!$JQ$41,
ISNUMBER(SEARCH( data!$JR$42, Y99 )), data!$JQ$42,
ISNUMBER(SEARCH( data!$JR$43, Y99 )), data!$JQ$43,
ISNUMBER(SEARCH( data!$JR$44, Y99 )), data!$JQ$44,
ISNUMBER(SEARCH( data!$JR$45, Y99 )), data!$JQ$45,
ISNUMBER(SEARCH( data!$JR$46, Y99 )), data!$JQ$46,
ISNUMBER(SEARCH( data!$JR$47, Y99 )), data!$JQ$47,
ISNUMBER(SEARCH( data!$JR$48, Y99 )), data!$JQ$48,
ISNUMBER(SEARCH( data!$JR$49, Y99 )), data!$JQ$49,
ISNUMBER(SEARCH( data!$JR$50, Y99 )), data!$JQ$50,
ISNUMBER(SEARCH( data!$JR$51, Y99 )), data!$JQ$51,
ISNUMBER(SEARCH( data!$JR$52, Y99 )), data!$JQ$52,
ISNUMBER(SEARCH( data!$JR$53, Y99 )), data!$JQ$53,
ISNUMBER(SEARCH( data!$JR$54, Y99 )), data!$JQ$54,
ISNUMBER(SEARCH( data!$JR$55, Y99 )), data!$JQ$55,
ISNUMBER(SEARCH( data!$JR$56, Y99 )), data!$JQ$56,
ISNUMBER(SEARCH( data!$JR$57, Y99 )), data!$JQ$57,
ISNUMBER(SEARCH( data!$JR$58, Y99 )), data!$JQ$58,
ISNUMBER(SEARCH( data!$JR$59, Y99 )), data!$JQ$59,
ISNUMBER(SEARCH( data!$JR$60, Y99 )), data!$JQ$60,
ISNUMBER(SEARCH( data!$JR$61, Y99 )), data!$JQ$61,
ISNUMBER(SEARCH( data!$JR$62, Y99 )), data!$JQ$62,
ISNUMBER(SEARCH( data!$JR$63, Y99 )), data!$JQ$63,
ISNUMBER(SEARCH( data!$JR$64, Y99 )), data!$JQ$64,
ISNUMBER(SEARCH( data!$JR$65, Y99 )), data!$JQ$65,
ISNUMBER(SEARCH( data!$JR$66, Y99 )), data!$JQ$66,
ISNUMBER(SEARCH( data!$JR$67, Y99 )), data!$JQ$67,
ISNUMBER(SEARCH( data!$JR$68, Y99 )), data!$JQ$68,
ISNUMBER(SEARCH( data!$JR$69, Y99 )), data!$JQ$69,
ISNUMBER(SEARCH( data!$JR$70, Y99 )), data!$JQ$70,
ISNUMBER(SEARCH( data!$JR$71, Y99 )), data!$JQ$71,
TRUE,data!$JQ$72))</f>
        <v>◎</v>
      </c>
      <c r="AB97" s="4674"/>
      <c r="AC97" s="4674"/>
      <c r="AD97" s="4668" t="s">
        <v>68</v>
      </c>
      <c r="AE97" s="4669"/>
      <c r="AF97" s="801"/>
      <c r="AG97" s="4672" t="s">
        <v>68</v>
      </c>
      <c r="AH97" s="4668"/>
      <c r="AI97" s="4674" t="str">
        <f>IF(ISBLANK(AG99),data!$JO$72,_xlfn.IFS(
ISNUMBER(SEARCH( data!$JP$23, AG99 )), data!$JO$23,
ISNUMBER(SEARCH( data!$JP$24, AG99 )), data!$JO$24,
ISNUMBER(SEARCH( data!$JP$25, AG99 )), data!$JO$25,
ISNUMBER(SEARCH( data!$JP$26, AG99 )), data!$JO$26,
ISNUMBER(SEARCH( data!$JP$27, AG99 )), data!$JO$27,
ISNUMBER(SEARCH( data!$JP$28, AG99 )), data!$JO$28,
ISNUMBER(SEARCH( data!$JP$29, AG99 )), data!$JO$29,
ISNUMBER(SEARCH( data!$JP$30, AG99 )), data!$JO$30,
ISNUMBER(SEARCH( data!$JP$31, AG99 )), data!$JO$31,
ISNUMBER(SEARCH( data!$JP$32, AG99 )), data!$JO$32,
ISNUMBER(SEARCH( data!$JP$33, AG99 )), data!$JO$33,
ISNUMBER(SEARCH( data!$JP$34, AG99 )), data!$JO$34,
ISNUMBER(SEARCH( data!$JP$35, AG99 )), data!$JO$35,
ISNUMBER(SEARCH( data!$JP$36, AG99 )), data!$JO$36,
ISNUMBER(SEARCH( data!$JP$37, AG99 )), data!$JO$37,
ISNUMBER(SEARCH( data!$JP$38, AG99 )), data!$JO$38,
ISNUMBER(SEARCH( data!$JP$39, AG99 )), data!$JO$39,
ISNUMBER(SEARCH( data!$JP$40, AG99 )), data!$JO$40,
ISNUMBER(SEARCH( data!$JP$41, AG99 )), data!$JO$41,
ISNUMBER(SEARCH( data!$JP$42, AG99 )), data!$JO$42,
ISNUMBER(SEARCH( data!$JP$43, AG99 )), data!$JO$43,
ISNUMBER(SEARCH( data!$JP$44, AG99 )), data!$JO$44,
ISNUMBER(SEARCH( data!$JP$45, AG99 )), data!$JO$45,
ISNUMBER(SEARCH( data!$JP$46, AG99 )), data!$JO$46,
ISNUMBER(SEARCH( data!$JP$47, AG99 )), data!$JO$47,
ISNUMBER(SEARCH( data!$JP$48, AG99 )), data!$JO$48,
ISNUMBER(SEARCH( data!$JP$49, AG99 )), data!$JO$49,
ISNUMBER(SEARCH( data!$JP$50, AG99 )), data!$JO$50,
ISNUMBER(SEARCH( data!$JP$51, AG99 )), data!$JO$51,
ISNUMBER(SEARCH( data!$JP$52, AG99 )), data!$JO$52,
ISNUMBER(SEARCH( data!$JP$53, AG99 )), data!$JO$53,
ISNUMBER(SEARCH( data!$JP$54, AG99 )), data!$JO$54,
ISNUMBER(SEARCH( data!$JP$55, AG99 )), data!$JO$55,
ISNUMBER(SEARCH( data!$JP$56, AG99 )), data!$JO$56,
ISNUMBER(SEARCH( data!$JP$57, AG99 )), data!$JO$57,
ISNUMBER(SEARCH( data!$JP$58, AG99 )), data!$JO$58,
ISNUMBER(SEARCH( data!$JP$59, AG99 )), data!$JO$59,
ISNUMBER(SEARCH( data!$JP$60, AG99 )), data!$JO$60,
ISNUMBER(SEARCH( data!$JP$61, AG99 )), data!$JO$61,
ISNUMBER(SEARCH( data!$JP$62, AG99 )), data!$JO$62,
ISNUMBER(SEARCH( data!$JP$63, AG99 )), data!$JO$63,
ISNUMBER(SEARCH( data!$JP$64, AG99 )), data!$JO$64,
ISNUMBER(SEARCH( data!$JP$65, AG99 )), data!$JO$65,
ISNUMBER(SEARCH( data!$JP$66, AG99 )), data!$JO$66,
ISNUMBER(SEARCH( data!$JP$67, AG99 )), data!$JO$67,
ISNUMBER(SEARCH( data!$JP$68, AG99 )), data!$JO$68,
ISNUMBER(SEARCH( data!$JP$69, AG99 )), data!$JO$69,
ISNUMBER(SEARCH( data!$JP$70, AG99 )), data!$JO$70,
ISNUMBER(SEARCH( data!$JP$71, AG99 )), data!$JO$71,
ISNUMBER(SEARCH( data!$JR$23, AG99 )), data!$JQ$23,
ISNUMBER(SEARCH( data!$JR$24, AG99 )), data!$JQ$24,
ISNUMBER(SEARCH( data!$JR$25, AG99 )), data!$JQ$25,
ISNUMBER(SEARCH( data!$JR$26, AG99 )), data!$JQ$26,
ISNUMBER(SEARCH( data!$JR$27, AG99 )), data!$JQ$27,
ISNUMBER(SEARCH( data!$JR$28, AG99 )), data!$JQ$28,
ISNUMBER(SEARCH( data!$JR$29, AG99 )), data!$JQ$29,
ISNUMBER(SEARCH( data!$JR$30, AG99 )), data!$JQ$30,
ISNUMBER(SEARCH( data!$JR$31, AG99 )), data!$JQ$31,
ISNUMBER(SEARCH( data!$JR$32, AG99 )), data!$JQ$32,
ISNUMBER(SEARCH( data!$JR$33, AG99 )), data!$JQ$33,
ISNUMBER(SEARCH( data!$JR$34, AG99 )), data!$JQ$34,
ISNUMBER(SEARCH( data!$JR$35, AG99 )), data!$JQ$35,
ISNUMBER(SEARCH( data!$JR$36, AG99 )), data!$JQ$36,
ISNUMBER(SEARCH( data!$JR$37, AG99 )), data!$JQ$37,
ISNUMBER(SEARCH( data!$JR$38, AG99 )), data!$JQ$38,
ISNUMBER(SEARCH( data!$JR$39, AG99 )), data!$JQ$39,
ISNUMBER(SEARCH( data!$JR$40, AG99 )), data!$JQ$40,
ISNUMBER(SEARCH( data!$JR$41, AG99 )), data!$JQ$41,
ISNUMBER(SEARCH( data!$JR$42, AG99 )), data!$JQ$42,
ISNUMBER(SEARCH( data!$JR$43, AG99 )), data!$JQ$43,
ISNUMBER(SEARCH( data!$JR$44, AG99 )), data!$JQ$44,
ISNUMBER(SEARCH( data!$JR$45, AG99 )), data!$JQ$45,
ISNUMBER(SEARCH( data!$JR$46, AG99 )), data!$JQ$46,
ISNUMBER(SEARCH( data!$JR$47, AG99 )), data!$JQ$47,
ISNUMBER(SEARCH( data!$JR$48, AG99 )), data!$JQ$48,
ISNUMBER(SEARCH( data!$JR$49, AG99 )), data!$JQ$49,
ISNUMBER(SEARCH( data!$JR$50, AG99 )), data!$JQ$50,
ISNUMBER(SEARCH( data!$JR$51, AG99 )), data!$JQ$51,
ISNUMBER(SEARCH( data!$JR$52, AG99 )), data!$JQ$52,
ISNUMBER(SEARCH( data!$JR$53, AG99 )), data!$JQ$53,
ISNUMBER(SEARCH( data!$JR$54, AG99 )), data!$JQ$54,
ISNUMBER(SEARCH( data!$JR$55, AG99 )), data!$JQ$55,
ISNUMBER(SEARCH( data!$JR$56, AG99 )), data!$JQ$56,
ISNUMBER(SEARCH( data!$JR$57, AG99 )), data!$JQ$57,
ISNUMBER(SEARCH( data!$JR$58, AG99 )), data!$JQ$58,
ISNUMBER(SEARCH( data!$JR$59, AG99 )), data!$JQ$59,
ISNUMBER(SEARCH( data!$JR$60, AG99 )), data!$JQ$60,
ISNUMBER(SEARCH( data!$JR$61, AG99 )), data!$JQ$61,
ISNUMBER(SEARCH( data!$JR$62, AG99 )), data!$JQ$62,
ISNUMBER(SEARCH( data!$JR$63, AG99 )), data!$JQ$63,
ISNUMBER(SEARCH( data!$JR$64, AG99 )), data!$JQ$64,
ISNUMBER(SEARCH( data!$JR$65, AG99 )), data!$JQ$65,
ISNUMBER(SEARCH( data!$JR$66, AG99 )), data!$JQ$66,
ISNUMBER(SEARCH( data!$JR$67, AG99 )), data!$JQ$67,
ISNUMBER(SEARCH( data!$JR$68, AG99 )), data!$JQ$68,
ISNUMBER(SEARCH( data!$JR$69, AG99 )), data!$JQ$69,
ISNUMBER(SEARCH( data!$JR$70, AG99 )), data!$JQ$70,
ISNUMBER(SEARCH( data!$JR$71, AG99 )), data!$JQ$71,
TRUE,data!$JQ$72))</f>
        <v>⏪❖⏩</v>
      </c>
      <c r="AJ97" s="4674"/>
      <c r="AK97" s="4674"/>
      <c r="AL97" s="4668" t="s">
        <v>68</v>
      </c>
      <c r="AM97" s="4669"/>
      <c r="AN97" s="801"/>
      <c r="AO97" s="4672" t="s">
        <v>68</v>
      </c>
      <c r="AP97" s="4668"/>
      <c r="AQ97" s="4674" t="str">
        <f>IF(ISBLANK(AO99),data!$JO$72,_xlfn.IFS(
ISNUMBER(SEARCH( data!$JP$23, AO99 )), data!$JO$23,
ISNUMBER(SEARCH( data!$JP$24, AO99 )), data!$JO$24,
ISNUMBER(SEARCH( data!$JP$25, AO99 )), data!$JO$25,
ISNUMBER(SEARCH( data!$JP$26, AO99 )), data!$JO$26,
ISNUMBER(SEARCH( data!$JP$27, AO99 )), data!$JO$27,
ISNUMBER(SEARCH( data!$JP$28, AO99 )), data!$JO$28,
ISNUMBER(SEARCH( data!$JP$29, AO99 )), data!$JO$29,
ISNUMBER(SEARCH( data!$JP$30, AO99 )), data!$JO$30,
ISNUMBER(SEARCH( data!$JP$31, AO99 )), data!$JO$31,
ISNUMBER(SEARCH( data!$JP$32, AO99 )), data!$JO$32,
ISNUMBER(SEARCH( data!$JP$33, AO99 )), data!$JO$33,
ISNUMBER(SEARCH( data!$JP$34, AO99 )), data!$JO$34,
ISNUMBER(SEARCH( data!$JP$35, AO99 )), data!$JO$35,
ISNUMBER(SEARCH( data!$JP$36, AO99 )), data!$JO$36,
ISNUMBER(SEARCH( data!$JP$37, AO99 )), data!$JO$37,
ISNUMBER(SEARCH( data!$JP$38, AO99 )), data!$JO$38,
ISNUMBER(SEARCH( data!$JP$39, AO99 )), data!$JO$39,
ISNUMBER(SEARCH( data!$JP$40, AO99 )), data!$JO$40,
ISNUMBER(SEARCH( data!$JP$41, AO99 )), data!$JO$41,
ISNUMBER(SEARCH( data!$JP$42, AO99 )), data!$JO$42,
ISNUMBER(SEARCH( data!$JP$43, AO99 )), data!$JO$43,
ISNUMBER(SEARCH( data!$JP$44, AO99 )), data!$JO$44,
ISNUMBER(SEARCH( data!$JP$45, AO99 )), data!$JO$45,
ISNUMBER(SEARCH( data!$JP$46, AO99 )), data!$JO$46,
ISNUMBER(SEARCH( data!$JP$47, AO99 )), data!$JO$47,
ISNUMBER(SEARCH( data!$JP$48, AO99 )), data!$JO$48,
ISNUMBER(SEARCH( data!$JP$49, AO99 )), data!$JO$49,
ISNUMBER(SEARCH( data!$JP$50, AO99 )), data!$JO$50,
ISNUMBER(SEARCH( data!$JP$51, AO99 )), data!$JO$51,
ISNUMBER(SEARCH( data!$JP$52, AO99 )), data!$JO$52,
ISNUMBER(SEARCH( data!$JP$53, AO99 )), data!$JO$53,
ISNUMBER(SEARCH( data!$JP$54, AO99 )), data!$JO$54,
ISNUMBER(SEARCH( data!$JP$55, AO99 )), data!$JO$55,
ISNUMBER(SEARCH( data!$JP$56, AO99 )), data!$JO$56,
ISNUMBER(SEARCH( data!$JP$57, AO99 )), data!$JO$57,
ISNUMBER(SEARCH( data!$JP$58, AO99 )), data!$JO$58,
ISNUMBER(SEARCH( data!$JP$59, AO99 )), data!$JO$59,
ISNUMBER(SEARCH( data!$JP$60, AO99 )), data!$JO$60,
ISNUMBER(SEARCH( data!$JP$61, AO99 )), data!$JO$61,
ISNUMBER(SEARCH( data!$JP$62, AO99 )), data!$JO$62,
ISNUMBER(SEARCH( data!$JP$63, AO99 )), data!$JO$63,
ISNUMBER(SEARCH( data!$JP$64, AO99 )), data!$JO$64,
ISNUMBER(SEARCH( data!$JP$65, AO99 )), data!$JO$65,
ISNUMBER(SEARCH( data!$JP$66, AO99 )), data!$JO$66,
ISNUMBER(SEARCH( data!$JP$67, AO99 )), data!$JO$67,
ISNUMBER(SEARCH( data!$JP$68, AO99 )), data!$JO$68,
ISNUMBER(SEARCH( data!$JP$69, AO99 )), data!$JO$69,
ISNUMBER(SEARCH( data!$JP$70, AO99 )), data!$JO$70,
ISNUMBER(SEARCH( data!$JP$71, AO99 )), data!$JO$71,
ISNUMBER(SEARCH( data!$JR$23, AO99 )), data!$JQ$23,
ISNUMBER(SEARCH( data!$JR$24, AO99 )), data!$JQ$24,
ISNUMBER(SEARCH( data!$JR$25, AO99 )), data!$JQ$25,
ISNUMBER(SEARCH( data!$JR$26, AO99 )), data!$JQ$26,
ISNUMBER(SEARCH( data!$JR$27, AO99 )), data!$JQ$27,
ISNUMBER(SEARCH( data!$JR$28, AO99 )), data!$JQ$28,
ISNUMBER(SEARCH( data!$JR$29, AO99 )), data!$JQ$29,
ISNUMBER(SEARCH( data!$JR$30, AO99 )), data!$JQ$30,
ISNUMBER(SEARCH( data!$JR$31, AO99 )), data!$JQ$31,
ISNUMBER(SEARCH( data!$JR$32, AO99 )), data!$JQ$32,
ISNUMBER(SEARCH( data!$JR$33, AO99 )), data!$JQ$33,
ISNUMBER(SEARCH( data!$JR$34, AO99 )), data!$JQ$34,
ISNUMBER(SEARCH( data!$JR$35, AO99 )), data!$JQ$35,
ISNUMBER(SEARCH( data!$JR$36, AO99 )), data!$JQ$36,
ISNUMBER(SEARCH( data!$JR$37, AO99 )), data!$JQ$37,
ISNUMBER(SEARCH( data!$JR$38, AO99 )), data!$JQ$38,
ISNUMBER(SEARCH( data!$JR$39, AO99 )), data!$JQ$39,
ISNUMBER(SEARCH( data!$JR$40, AO99 )), data!$JQ$40,
ISNUMBER(SEARCH( data!$JR$41, AO99 )), data!$JQ$41,
ISNUMBER(SEARCH( data!$JR$42, AO99 )), data!$JQ$42,
ISNUMBER(SEARCH( data!$JR$43, AO99 )), data!$JQ$43,
ISNUMBER(SEARCH( data!$JR$44, AO99 )), data!$JQ$44,
ISNUMBER(SEARCH( data!$JR$45, AO99 )), data!$JQ$45,
ISNUMBER(SEARCH( data!$JR$46, AO99 )), data!$JQ$46,
ISNUMBER(SEARCH( data!$JR$47, AO99 )), data!$JQ$47,
ISNUMBER(SEARCH( data!$JR$48, AO99 )), data!$JQ$48,
ISNUMBER(SEARCH( data!$JR$49, AO99 )), data!$JQ$49,
ISNUMBER(SEARCH( data!$JR$50, AO99 )), data!$JQ$50,
ISNUMBER(SEARCH( data!$JR$51, AO99 )), data!$JQ$51,
ISNUMBER(SEARCH( data!$JR$52, AO99 )), data!$JQ$52,
ISNUMBER(SEARCH( data!$JR$53, AO99 )), data!$JQ$53,
ISNUMBER(SEARCH( data!$JR$54, AO99 )), data!$JQ$54,
ISNUMBER(SEARCH( data!$JR$55, AO99 )), data!$JQ$55,
ISNUMBER(SEARCH( data!$JR$56, AO99 )), data!$JQ$56,
ISNUMBER(SEARCH( data!$JR$57, AO99 )), data!$JQ$57,
ISNUMBER(SEARCH( data!$JR$58, AO99 )), data!$JQ$58,
ISNUMBER(SEARCH( data!$JR$59, AO99 )), data!$JQ$59,
ISNUMBER(SEARCH( data!$JR$60, AO99 )), data!$JQ$60,
ISNUMBER(SEARCH( data!$JR$61, AO99 )), data!$JQ$61,
ISNUMBER(SEARCH( data!$JR$62, AO99 )), data!$JQ$62,
ISNUMBER(SEARCH( data!$JR$63, AO99 )), data!$JQ$63,
ISNUMBER(SEARCH( data!$JR$64, AO99 )), data!$JQ$64,
ISNUMBER(SEARCH( data!$JR$65, AO99 )), data!$JQ$65,
ISNUMBER(SEARCH( data!$JR$66, AO99 )), data!$JQ$66,
ISNUMBER(SEARCH( data!$JR$67, AO99 )), data!$JQ$67,
ISNUMBER(SEARCH( data!$JR$68, AO99 )), data!$JQ$68,
ISNUMBER(SEARCH( data!$JR$69, AO99 )), data!$JQ$69,
ISNUMBER(SEARCH( data!$JR$70, AO99 )), data!$JQ$70,
ISNUMBER(SEARCH( data!$JR$71, AO99 )), data!$JQ$71,
TRUE,data!$JQ$72))</f>
        <v>⏏❖⏏</v>
      </c>
      <c r="AR97" s="4674"/>
      <c r="AS97" s="4674"/>
      <c r="AT97" s="4668" t="s">
        <v>68</v>
      </c>
      <c r="AU97" s="4669"/>
      <c r="AV97" s="801"/>
      <c r="AW97" s="4672" t="s">
        <v>68</v>
      </c>
      <c r="AX97" s="4668"/>
      <c r="AY97" s="4674" t="str">
        <f>IF(ISBLANK(AW99),data!$JO$72,_xlfn.IFS(
ISNUMBER(SEARCH( data!$JP$23, AW99 )), data!$JO$23,
ISNUMBER(SEARCH( data!$JP$24, AW99 )), data!$JO$24,
ISNUMBER(SEARCH( data!$JP$25, AW99 )), data!$JO$25,
ISNUMBER(SEARCH( data!$JP$26, AW99 )), data!$JO$26,
ISNUMBER(SEARCH( data!$JP$27, AW99 )), data!$JO$27,
ISNUMBER(SEARCH( data!$JP$28, AW99 )), data!$JO$28,
ISNUMBER(SEARCH( data!$JP$29, AW99 )), data!$JO$29,
ISNUMBER(SEARCH( data!$JP$30, AW99 )), data!$JO$30,
ISNUMBER(SEARCH( data!$JP$31, AW99 )), data!$JO$31,
ISNUMBER(SEARCH( data!$JP$32, AW99 )), data!$JO$32,
ISNUMBER(SEARCH( data!$JP$33, AW99 )), data!$JO$33,
ISNUMBER(SEARCH( data!$JP$34, AW99 )), data!$JO$34,
ISNUMBER(SEARCH( data!$JP$35, AW99 )), data!$JO$35,
ISNUMBER(SEARCH( data!$JP$36, AW99 )), data!$JO$36,
ISNUMBER(SEARCH( data!$JP$37, AW99 )), data!$JO$37,
ISNUMBER(SEARCH( data!$JP$38, AW99 )), data!$JO$38,
ISNUMBER(SEARCH( data!$JP$39, AW99 )), data!$JO$39,
ISNUMBER(SEARCH( data!$JP$40, AW99 )), data!$JO$40,
ISNUMBER(SEARCH( data!$JP$41, AW99 )), data!$JO$41,
ISNUMBER(SEARCH( data!$JP$42, AW99 )), data!$JO$42,
ISNUMBER(SEARCH( data!$JP$43, AW99 )), data!$JO$43,
ISNUMBER(SEARCH( data!$JP$44, AW99 )), data!$JO$44,
ISNUMBER(SEARCH( data!$JP$45, AW99 )), data!$JO$45,
ISNUMBER(SEARCH( data!$JP$46, AW99 )), data!$JO$46,
ISNUMBER(SEARCH( data!$JP$47, AW99 )), data!$JO$47,
ISNUMBER(SEARCH( data!$JP$48, AW99 )), data!$JO$48,
ISNUMBER(SEARCH( data!$JP$49, AW99 )), data!$JO$49,
ISNUMBER(SEARCH( data!$JP$50, AW99 )), data!$JO$50,
ISNUMBER(SEARCH( data!$JP$51, AW99 )), data!$JO$51,
ISNUMBER(SEARCH( data!$JP$52, AW99 )), data!$JO$52,
ISNUMBER(SEARCH( data!$JP$53, AW99 )), data!$JO$53,
ISNUMBER(SEARCH( data!$JP$54, AW99 )), data!$JO$54,
ISNUMBER(SEARCH( data!$JP$55, AW99 )), data!$JO$55,
ISNUMBER(SEARCH( data!$JP$56, AW99 )), data!$JO$56,
ISNUMBER(SEARCH( data!$JP$57, AW99 )), data!$JO$57,
ISNUMBER(SEARCH( data!$JP$58, AW99 )), data!$JO$58,
ISNUMBER(SEARCH( data!$JP$59, AW99 )), data!$JO$59,
ISNUMBER(SEARCH( data!$JP$60, AW99 )), data!$JO$60,
ISNUMBER(SEARCH( data!$JP$61, AW99 )), data!$JO$61,
ISNUMBER(SEARCH( data!$JP$62, AW99 )), data!$JO$62,
ISNUMBER(SEARCH( data!$JP$63, AW99 )), data!$JO$63,
ISNUMBER(SEARCH( data!$JP$64, AW99 )), data!$JO$64,
ISNUMBER(SEARCH( data!$JP$65, AW99 )), data!$JO$65,
ISNUMBER(SEARCH( data!$JP$66, AW99 )), data!$JO$66,
ISNUMBER(SEARCH( data!$JP$67, AW99 )), data!$JO$67,
ISNUMBER(SEARCH( data!$JP$68, AW99 )), data!$JO$68,
ISNUMBER(SEARCH( data!$JP$69, AW99 )), data!$JO$69,
ISNUMBER(SEARCH( data!$JP$70, AW99 )), data!$JO$70,
ISNUMBER(SEARCH( data!$JP$71, AW99 )), data!$JO$71,
ISNUMBER(SEARCH( data!$JR$23, AW99 )), data!$JQ$23,
ISNUMBER(SEARCH( data!$JR$24, AW99 )), data!$JQ$24,
ISNUMBER(SEARCH( data!$JR$25, AW99 )), data!$JQ$25,
ISNUMBER(SEARCH( data!$JR$26, AW99 )), data!$JQ$26,
ISNUMBER(SEARCH( data!$JR$27, AW99 )), data!$JQ$27,
ISNUMBER(SEARCH( data!$JR$28, AW99 )), data!$JQ$28,
ISNUMBER(SEARCH( data!$JR$29, AW99 )), data!$JQ$29,
ISNUMBER(SEARCH( data!$JR$30, AW99 )), data!$JQ$30,
ISNUMBER(SEARCH( data!$JR$31, AW99 )), data!$JQ$31,
ISNUMBER(SEARCH( data!$JR$32, AW99 )), data!$JQ$32,
ISNUMBER(SEARCH( data!$JR$33, AW99 )), data!$JQ$33,
ISNUMBER(SEARCH( data!$JR$34, AW99 )), data!$JQ$34,
ISNUMBER(SEARCH( data!$JR$35, AW99 )), data!$JQ$35,
ISNUMBER(SEARCH( data!$JR$36, AW99 )), data!$JQ$36,
ISNUMBER(SEARCH( data!$JR$37, AW99 )), data!$JQ$37,
ISNUMBER(SEARCH( data!$JR$38, AW99 )), data!$JQ$38,
ISNUMBER(SEARCH( data!$JR$39, AW99 )), data!$JQ$39,
ISNUMBER(SEARCH( data!$JR$40, AW99 )), data!$JQ$40,
ISNUMBER(SEARCH( data!$JR$41, AW99 )), data!$JQ$41,
ISNUMBER(SEARCH( data!$JR$42, AW99 )), data!$JQ$42,
ISNUMBER(SEARCH( data!$JR$43, AW99 )), data!$JQ$43,
ISNUMBER(SEARCH( data!$JR$44, AW99 )), data!$JQ$44,
ISNUMBER(SEARCH( data!$JR$45, AW99 )), data!$JQ$45,
ISNUMBER(SEARCH( data!$JR$46, AW99 )), data!$JQ$46,
ISNUMBER(SEARCH( data!$JR$47, AW99 )), data!$JQ$47,
ISNUMBER(SEARCH( data!$JR$48, AW99 )), data!$JQ$48,
ISNUMBER(SEARCH( data!$JR$49, AW99 )), data!$JQ$49,
ISNUMBER(SEARCH( data!$JR$50, AW99 )), data!$JQ$50,
ISNUMBER(SEARCH( data!$JR$51, AW99 )), data!$JQ$51,
ISNUMBER(SEARCH( data!$JR$52, AW99 )), data!$JQ$52,
ISNUMBER(SEARCH( data!$JR$53, AW99 )), data!$JQ$53,
ISNUMBER(SEARCH( data!$JR$54, AW99 )), data!$JQ$54,
ISNUMBER(SEARCH( data!$JR$55, AW99 )), data!$JQ$55,
ISNUMBER(SEARCH( data!$JR$56, AW99 )), data!$JQ$56,
ISNUMBER(SEARCH( data!$JR$57, AW99 )), data!$JQ$57,
ISNUMBER(SEARCH( data!$JR$58, AW99 )), data!$JQ$58,
ISNUMBER(SEARCH( data!$JR$59, AW99 )), data!$JQ$59,
ISNUMBER(SEARCH( data!$JR$60, AW99 )), data!$JQ$60,
ISNUMBER(SEARCH( data!$JR$61, AW99 )), data!$JQ$61,
ISNUMBER(SEARCH( data!$JR$62, AW99 )), data!$JQ$62,
ISNUMBER(SEARCH( data!$JR$63, AW99 )), data!$JQ$63,
ISNUMBER(SEARCH( data!$JR$64, AW99 )), data!$JQ$64,
ISNUMBER(SEARCH( data!$JR$65, AW99 )), data!$JQ$65,
ISNUMBER(SEARCH( data!$JR$66, AW99 )), data!$JQ$66,
ISNUMBER(SEARCH( data!$JR$67, AW99 )), data!$JQ$67,
ISNUMBER(SEARCH( data!$JR$68, AW99 )), data!$JQ$68,
ISNUMBER(SEARCH( data!$JR$69, AW99 )), data!$JQ$69,
ISNUMBER(SEARCH( data!$JR$70, AW99 )), data!$JQ$70,
ISNUMBER(SEARCH( data!$JR$71, AW99 )), data!$JQ$71,
TRUE,data!$JQ$72))</f>
        <v>🖐</v>
      </c>
      <c r="AZ97" s="4674"/>
      <c r="BA97" s="4674"/>
      <c r="BB97" s="4668" t="s">
        <v>68</v>
      </c>
      <c r="BC97" s="4669"/>
      <c r="BD97" s="801"/>
      <c r="BE97" s="4672" t="s">
        <v>68</v>
      </c>
      <c r="BF97" s="4668"/>
      <c r="BG97" s="4674" t="str">
        <f>IF(ISBLANK(BE99),data!$JO$72,_xlfn.IFS(
ISNUMBER(SEARCH( data!$JP$23, BE99 )), data!$JO$23,
ISNUMBER(SEARCH( data!$JP$24, BE99 )), data!$JO$24,
ISNUMBER(SEARCH( data!$JP$25, BE99 )), data!$JO$25,
ISNUMBER(SEARCH( data!$JP$26, BE99 )), data!$JO$26,
ISNUMBER(SEARCH( data!$JP$27, BE99 )), data!$JO$27,
ISNUMBER(SEARCH( data!$JP$28, BE99 )), data!$JO$28,
ISNUMBER(SEARCH( data!$JP$29, BE99 )), data!$JO$29,
ISNUMBER(SEARCH( data!$JP$30, BE99 )), data!$JO$30,
ISNUMBER(SEARCH( data!$JP$31, BE99 )), data!$JO$31,
ISNUMBER(SEARCH( data!$JP$32, BE99 )), data!$JO$32,
ISNUMBER(SEARCH( data!$JP$33, BE99 )), data!$JO$33,
ISNUMBER(SEARCH( data!$JP$34, BE99 )), data!$JO$34,
ISNUMBER(SEARCH( data!$JP$35, BE99 )), data!$JO$35,
ISNUMBER(SEARCH( data!$JP$36, BE99 )), data!$JO$36,
ISNUMBER(SEARCH( data!$JP$37, BE99 )), data!$JO$37,
ISNUMBER(SEARCH( data!$JP$38, BE99 )), data!$JO$38,
ISNUMBER(SEARCH( data!$JP$39, BE99 )), data!$JO$39,
ISNUMBER(SEARCH( data!$JP$40, BE99 )), data!$JO$40,
ISNUMBER(SEARCH( data!$JP$41, BE99 )), data!$JO$41,
ISNUMBER(SEARCH( data!$JP$42, BE99 )), data!$JO$42,
ISNUMBER(SEARCH( data!$JP$43, BE99 )), data!$JO$43,
ISNUMBER(SEARCH( data!$JP$44, BE99 )), data!$JO$44,
ISNUMBER(SEARCH( data!$JP$45, BE99 )), data!$JO$45,
ISNUMBER(SEARCH( data!$JP$46, BE99 )), data!$JO$46,
ISNUMBER(SEARCH( data!$JP$47, BE99 )), data!$JO$47,
ISNUMBER(SEARCH( data!$JP$48, BE99 )), data!$JO$48,
ISNUMBER(SEARCH( data!$JP$49, BE99 )), data!$JO$49,
ISNUMBER(SEARCH( data!$JP$50, BE99 )), data!$JO$50,
ISNUMBER(SEARCH( data!$JP$51, BE99 )), data!$JO$51,
ISNUMBER(SEARCH( data!$JP$52, BE99 )), data!$JO$52,
ISNUMBER(SEARCH( data!$JP$53, BE99 )), data!$JO$53,
ISNUMBER(SEARCH( data!$JP$54, BE99 )), data!$JO$54,
ISNUMBER(SEARCH( data!$JP$55, BE99 )), data!$JO$55,
ISNUMBER(SEARCH( data!$JP$56, BE99 )), data!$JO$56,
ISNUMBER(SEARCH( data!$JP$57, BE99 )), data!$JO$57,
ISNUMBER(SEARCH( data!$JP$58, BE99 )), data!$JO$58,
ISNUMBER(SEARCH( data!$JP$59, BE99 )), data!$JO$59,
ISNUMBER(SEARCH( data!$JP$60, BE99 )), data!$JO$60,
ISNUMBER(SEARCH( data!$JP$61, BE99 )), data!$JO$61,
ISNUMBER(SEARCH( data!$JP$62, BE99 )), data!$JO$62,
ISNUMBER(SEARCH( data!$JP$63, BE99 )), data!$JO$63,
ISNUMBER(SEARCH( data!$JP$64, BE99 )), data!$JO$64,
ISNUMBER(SEARCH( data!$JP$65, BE99 )), data!$JO$65,
ISNUMBER(SEARCH( data!$JP$66, BE99 )), data!$JO$66,
ISNUMBER(SEARCH( data!$JP$67, BE99 )), data!$JO$67,
ISNUMBER(SEARCH( data!$JP$68, BE99 )), data!$JO$68,
ISNUMBER(SEARCH( data!$JP$69, BE99 )), data!$JO$69,
ISNUMBER(SEARCH( data!$JP$70, BE99 )), data!$JO$70,
ISNUMBER(SEARCH( data!$JP$71, BE99 )), data!$JO$71,
ISNUMBER(SEARCH( data!$JR$23, BE99 )), data!$JQ$23,
ISNUMBER(SEARCH( data!$JR$24, BE99 )), data!$JQ$24,
ISNUMBER(SEARCH( data!$JR$25, BE99 )), data!$JQ$25,
ISNUMBER(SEARCH( data!$JR$26, BE99 )), data!$JQ$26,
ISNUMBER(SEARCH( data!$JR$27, BE99 )), data!$JQ$27,
ISNUMBER(SEARCH( data!$JR$28, BE99 )), data!$JQ$28,
ISNUMBER(SEARCH( data!$JR$29, BE99 )), data!$JQ$29,
ISNUMBER(SEARCH( data!$JR$30, BE99 )), data!$JQ$30,
ISNUMBER(SEARCH( data!$JR$31, BE99 )), data!$JQ$31,
ISNUMBER(SEARCH( data!$JR$32, BE99 )), data!$JQ$32,
ISNUMBER(SEARCH( data!$JR$33, BE99 )), data!$JQ$33,
ISNUMBER(SEARCH( data!$JR$34, BE99 )), data!$JQ$34,
ISNUMBER(SEARCH( data!$JR$35, BE99 )), data!$JQ$35,
ISNUMBER(SEARCH( data!$JR$36, BE99 )), data!$JQ$36,
ISNUMBER(SEARCH( data!$JR$37, BE99 )), data!$JQ$37,
ISNUMBER(SEARCH( data!$JR$38, BE99 )), data!$JQ$38,
ISNUMBER(SEARCH( data!$JR$39, BE99 )), data!$JQ$39,
ISNUMBER(SEARCH( data!$JR$40, BE99 )), data!$JQ$40,
ISNUMBER(SEARCH( data!$JR$41, BE99 )), data!$JQ$41,
ISNUMBER(SEARCH( data!$JR$42, BE99 )), data!$JQ$42,
ISNUMBER(SEARCH( data!$JR$43, BE99 )), data!$JQ$43,
ISNUMBER(SEARCH( data!$JR$44, BE99 )), data!$JQ$44,
ISNUMBER(SEARCH( data!$JR$45, BE99 )), data!$JQ$45,
ISNUMBER(SEARCH( data!$JR$46, BE99 )), data!$JQ$46,
ISNUMBER(SEARCH( data!$JR$47, BE99 )), data!$JQ$47,
ISNUMBER(SEARCH( data!$JR$48, BE99 )), data!$JQ$48,
ISNUMBER(SEARCH( data!$JR$49, BE99 )), data!$JQ$49,
ISNUMBER(SEARCH( data!$JR$50, BE99 )), data!$JQ$50,
ISNUMBER(SEARCH( data!$JR$51, BE99 )), data!$JQ$51,
ISNUMBER(SEARCH( data!$JR$52, BE99 )), data!$JQ$52,
ISNUMBER(SEARCH( data!$JR$53, BE99 )), data!$JQ$53,
ISNUMBER(SEARCH( data!$JR$54, BE99 )), data!$JQ$54,
ISNUMBER(SEARCH( data!$JR$55, BE99 )), data!$JQ$55,
ISNUMBER(SEARCH( data!$JR$56, BE99 )), data!$JQ$56,
ISNUMBER(SEARCH( data!$JR$57, BE99 )), data!$JQ$57,
ISNUMBER(SEARCH( data!$JR$58, BE99 )), data!$JQ$58,
ISNUMBER(SEARCH( data!$JR$59, BE99 )), data!$JQ$59,
ISNUMBER(SEARCH( data!$JR$60, BE99 )), data!$JQ$60,
ISNUMBER(SEARCH( data!$JR$61, BE99 )), data!$JQ$61,
ISNUMBER(SEARCH( data!$JR$62, BE99 )), data!$JQ$62,
ISNUMBER(SEARCH( data!$JR$63, BE99 )), data!$JQ$63,
ISNUMBER(SEARCH( data!$JR$64, BE99 )), data!$JQ$64,
ISNUMBER(SEARCH( data!$JR$65, BE99 )), data!$JQ$65,
ISNUMBER(SEARCH( data!$JR$66, BE99 )), data!$JQ$66,
ISNUMBER(SEARCH( data!$JR$67, BE99 )), data!$JQ$67,
ISNUMBER(SEARCH( data!$JR$68, BE99 )), data!$JQ$68,
ISNUMBER(SEARCH( data!$JR$69, BE99 )), data!$JQ$69,
ISNUMBER(SEARCH( data!$JR$70, BE99 )), data!$JQ$70,
ISNUMBER(SEARCH( data!$JR$71, BE99 )), data!$JQ$71,
TRUE,data!$JQ$72))</f>
        <v>⠸❖⠇</v>
      </c>
      <c r="BH97" s="4674"/>
      <c r="BI97" s="4674"/>
      <c r="BJ97" s="4668" t="s">
        <v>68</v>
      </c>
      <c r="BK97" s="4669"/>
      <c r="BL97" s="801"/>
      <c r="BM97" s="4672" t="s">
        <v>68</v>
      </c>
      <c r="BN97" s="4668"/>
      <c r="BO97" s="4674" t="str">
        <f>IF(ISBLANK(BM99),data!$JO$72,_xlfn.IFS(
ISNUMBER(SEARCH( data!$JP$23, BM99 )), data!$JO$23,
ISNUMBER(SEARCH( data!$JP$24, BM99 )), data!$JO$24,
ISNUMBER(SEARCH( data!$JP$25, BM99 )), data!$JO$25,
ISNUMBER(SEARCH( data!$JP$26, BM99 )), data!$JO$26,
ISNUMBER(SEARCH( data!$JP$27, BM99 )), data!$JO$27,
ISNUMBER(SEARCH( data!$JP$28, BM99 )), data!$JO$28,
ISNUMBER(SEARCH( data!$JP$29, BM99 )), data!$JO$29,
ISNUMBER(SEARCH( data!$JP$30, BM99 )), data!$JO$30,
ISNUMBER(SEARCH( data!$JP$31, BM99 )), data!$JO$31,
ISNUMBER(SEARCH( data!$JP$32, BM99 )), data!$JO$32,
ISNUMBER(SEARCH( data!$JP$33, BM99 )), data!$JO$33,
ISNUMBER(SEARCH( data!$JP$34, BM99 )), data!$JO$34,
ISNUMBER(SEARCH( data!$JP$35, BM99 )), data!$JO$35,
ISNUMBER(SEARCH( data!$JP$36, BM99 )), data!$JO$36,
ISNUMBER(SEARCH( data!$JP$37, BM99 )), data!$JO$37,
ISNUMBER(SEARCH( data!$JP$38, BM99 )), data!$JO$38,
ISNUMBER(SEARCH( data!$JP$39, BM99 )), data!$JO$39,
ISNUMBER(SEARCH( data!$JP$40, BM99 )), data!$JO$40,
ISNUMBER(SEARCH( data!$JP$41, BM99 )), data!$JO$41,
ISNUMBER(SEARCH( data!$JP$42, BM99 )), data!$JO$42,
ISNUMBER(SEARCH( data!$JP$43, BM99 )), data!$JO$43,
ISNUMBER(SEARCH( data!$JP$44, BM99 )), data!$JO$44,
ISNUMBER(SEARCH( data!$JP$45, BM99 )), data!$JO$45,
ISNUMBER(SEARCH( data!$JP$46, BM99 )), data!$JO$46,
ISNUMBER(SEARCH( data!$JP$47, BM99 )), data!$JO$47,
ISNUMBER(SEARCH( data!$JP$48, BM99 )), data!$JO$48,
ISNUMBER(SEARCH( data!$JP$49, BM99 )), data!$JO$49,
ISNUMBER(SEARCH( data!$JP$50, BM99 )), data!$JO$50,
ISNUMBER(SEARCH( data!$JP$51, BM99 )), data!$JO$51,
ISNUMBER(SEARCH( data!$JP$52, BM99 )), data!$JO$52,
ISNUMBER(SEARCH( data!$JP$53, BM99 )), data!$JO$53,
ISNUMBER(SEARCH( data!$JP$54, BM99 )), data!$JO$54,
ISNUMBER(SEARCH( data!$JP$55, BM99 )), data!$JO$55,
ISNUMBER(SEARCH( data!$JP$56, BM99 )), data!$JO$56,
ISNUMBER(SEARCH( data!$JP$57, BM99 )), data!$JO$57,
ISNUMBER(SEARCH( data!$JP$58, BM99 )), data!$JO$58,
ISNUMBER(SEARCH( data!$JP$59, BM99 )), data!$JO$59,
ISNUMBER(SEARCH( data!$JP$60, BM99 )), data!$JO$60,
ISNUMBER(SEARCH( data!$JP$61, BM99 )), data!$JO$61,
ISNUMBER(SEARCH( data!$JP$62, BM99 )), data!$JO$62,
ISNUMBER(SEARCH( data!$JP$63, BM99 )), data!$JO$63,
ISNUMBER(SEARCH( data!$JP$64, BM99 )), data!$JO$64,
ISNUMBER(SEARCH( data!$JP$65, BM99 )), data!$JO$65,
ISNUMBER(SEARCH( data!$JP$66, BM99 )), data!$JO$66,
ISNUMBER(SEARCH( data!$JP$67, BM99 )), data!$JO$67,
ISNUMBER(SEARCH( data!$JP$68, BM99 )), data!$JO$68,
ISNUMBER(SEARCH( data!$JP$69, BM99 )), data!$JO$69,
ISNUMBER(SEARCH( data!$JP$70, BM99 )), data!$JO$70,
ISNUMBER(SEARCH( data!$JP$71, BM99 )), data!$JO$71,
ISNUMBER(SEARCH( data!$JR$23, BM99 )), data!$JQ$23,
ISNUMBER(SEARCH( data!$JR$24, BM99 )), data!$JQ$24,
ISNUMBER(SEARCH( data!$JR$25, BM99 )), data!$JQ$25,
ISNUMBER(SEARCH( data!$JR$26, BM99 )), data!$JQ$26,
ISNUMBER(SEARCH( data!$JR$27, BM99 )), data!$JQ$27,
ISNUMBER(SEARCH( data!$JR$28, BM99 )), data!$JQ$28,
ISNUMBER(SEARCH( data!$JR$29, BM99 )), data!$JQ$29,
ISNUMBER(SEARCH( data!$JR$30, BM99 )), data!$JQ$30,
ISNUMBER(SEARCH( data!$JR$31, BM99 )), data!$JQ$31,
ISNUMBER(SEARCH( data!$JR$32, BM99 )), data!$JQ$32,
ISNUMBER(SEARCH( data!$JR$33, BM99 )), data!$JQ$33,
ISNUMBER(SEARCH( data!$JR$34, BM99 )), data!$JQ$34,
ISNUMBER(SEARCH( data!$JR$35, BM99 )), data!$JQ$35,
ISNUMBER(SEARCH( data!$JR$36, BM99 )), data!$JQ$36,
ISNUMBER(SEARCH( data!$JR$37, BM99 )), data!$JQ$37,
ISNUMBER(SEARCH( data!$JR$38, BM99 )), data!$JQ$38,
ISNUMBER(SEARCH( data!$JR$39, BM99 )), data!$JQ$39,
ISNUMBER(SEARCH( data!$JR$40, BM99 )), data!$JQ$40,
ISNUMBER(SEARCH( data!$JR$41, BM99 )), data!$JQ$41,
ISNUMBER(SEARCH( data!$JR$42, BM99 )), data!$JQ$42,
ISNUMBER(SEARCH( data!$JR$43, BM99 )), data!$JQ$43,
ISNUMBER(SEARCH( data!$JR$44, BM99 )), data!$JQ$44,
ISNUMBER(SEARCH( data!$JR$45, BM99 )), data!$JQ$45,
ISNUMBER(SEARCH( data!$JR$46, BM99 )), data!$JQ$46,
ISNUMBER(SEARCH( data!$JR$47, BM99 )), data!$JQ$47,
ISNUMBER(SEARCH( data!$JR$48, BM99 )), data!$JQ$48,
ISNUMBER(SEARCH( data!$JR$49, BM99 )), data!$JQ$49,
ISNUMBER(SEARCH( data!$JR$50, BM99 )), data!$JQ$50,
ISNUMBER(SEARCH( data!$JR$51, BM99 )), data!$JQ$51,
ISNUMBER(SEARCH( data!$JR$52, BM99 )), data!$JQ$52,
ISNUMBER(SEARCH( data!$JR$53, BM99 )), data!$JQ$53,
ISNUMBER(SEARCH( data!$JR$54, BM99 )), data!$JQ$54,
ISNUMBER(SEARCH( data!$JR$55, BM99 )), data!$JQ$55,
ISNUMBER(SEARCH( data!$JR$56, BM99 )), data!$JQ$56,
ISNUMBER(SEARCH( data!$JR$57, BM99 )), data!$JQ$57,
ISNUMBER(SEARCH( data!$JR$58, BM99 )), data!$JQ$58,
ISNUMBER(SEARCH( data!$JR$59, BM99 )), data!$JQ$59,
ISNUMBER(SEARCH( data!$JR$60, BM99 )), data!$JQ$60,
ISNUMBER(SEARCH( data!$JR$61, BM99 )), data!$JQ$61,
ISNUMBER(SEARCH( data!$JR$62, BM99 )), data!$JQ$62,
ISNUMBER(SEARCH( data!$JR$63, BM99 )), data!$JQ$63,
ISNUMBER(SEARCH( data!$JR$64, BM99 )), data!$JQ$64,
ISNUMBER(SEARCH( data!$JR$65, BM99 )), data!$JQ$65,
ISNUMBER(SEARCH( data!$JR$66, BM99 )), data!$JQ$66,
ISNUMBER(SEARCH( data!$JR$67, BM99 )), data!$JQ$67,
ISNUMBER(SEARCH( data!$JR$68, BM99 )), data!$JQ$68,
ISNUMBER(SEARCH( data!$JR$69, BM99 )), data!$JQ$69,
ISNUMBER(SEARCH( data!$JR$70, BM99 )), data!$JQ$70,
ISNUMBER(SEARCH( data!$JR$71, BM99 )), data!$JQ$71,
TRUE,data!$JQ$72))</f>
        <v>⠸❖⠇</v>
      </c>
      <c r="BP97" s="4674"/>
      <c r="BQ97" s="4674"/>
      <c r="BR97" s="4668" t="s">
        <v>68</v>
      </c>
      <c r="BS97" s="4669"/>
      <c r="BT97" s="801"/>
      <c r="BU97" s="801"/>
      <c r="BV97" s="801"/>
      <c r="BW97" s="794"/>
      <c r="BX97" s="19"/>
      <c r="BZ97" s="1161"/>
      <c r="CE97" s="3255"/>
      <c r="CF97" s="2674" t="str">
        <f>INDEX(data!$JD$23:$JM$42,data!$JH98,data!$JH122)</f>
        <v>Puzzle</v>
      </c>
      <c r="CQ97" s="1161"/>
      <c r="CR97" s="2300">
        <v>8</v>
      </c>
      <c r="CS97" s="3250" t="str">
        <v>Puzzle</v>
      </c>
      <c r="CT97" s="795"/>
      <c r="CU97" s="795"/>
      <c r="CV97" s="795"/>
      <c r="CW97" s="795"/>
      <c r="CX97" s="795"/>
      <c r="CY97" s="795"/>
      <c r="CZ97" s="795"/>
      <c r="DA97" s="795"/>
      <c r="DB97" s="795"/>
      <c r="DC97" s="795"/>
      <c r="DD97" s="3251"/>
      <c r="DE97" s="3255"/>
      <c r="DF97" s="3255"/>
      <c r="DG97" s="3255"/>
      <c r="DH97" s="3255"/>
      <c r="DI97" s="3255"/>
    </row>
    <row r="98" spans="2:113" ht="17.100000000000001" customHeight="1" x14ac:dyDescent="0.2">
      <c r="B98" s="1159"/>
      <c r="C98" s="19"/>
      <c r="D98" s="19"/>
      <c r="E98" s="792"/>
      <c r="F98" s="801"/>
      <c r="G98" s="801"/>
      <c r="H98" s="801"/>
      <c r="I98" s="4673"/>
      <c r="J98" s="4670"/>
      <c r="K98" s="4675"/>
      <c r="L98" s="4675"/>
      <c r="M98" s="4675"/>
      <c r="N98" s="4670"/>
      <c r="O98" s="4671"/>
      <c r="P98" s="801"/>
      <c r="Q98" s="4673"/>
      <c r="R98" s="4670"/>
      <c r="S98" s="4675"/>
      <c r="T98" s="4675"/>
      <c r="U98" s="4675"/>
      <c r="V98" s="4670"/>
      <c r="W98" s="4671"/>
      <c r="X98" s="801"/>
      <c r="Y98" s="4673"/>
      <c r="Z98" s="4670"/>
      <c r="AA98" s="4675"/>
      <c r="AB98" s="4675"/>
      <c r="AC98" s="4675"/>
      <c r="AD98" s="4670"/>
      <c r="AE98" s="4671"/>
      <c r="AF98" s="801"/>
      <c r="AG98" s="4673"/>
      <c r="AH98" s="4670"/>
      <c r="AI98" s="4675"/>
      <c r="AJ98" s="4675"/>
      <c r="AK98" s="4675"/>
      <c r="AL98" s="4670"/>
      <c r="AM98" s="4671"/>
      <c r="AN98" s="801"/>
      <c r="AO98" s="4673"/>
      <c r="AP98" s="4670"/>
      <c r="AQ98" s="4675"/>
      <c r="AR98" s="4675"/>
      <c r="AS98" s="4675"/>
      <c r="AT98" s="4670"/>
      <c r="AU98" s="4671"/>
      <c r="AV98" s="801"/>
      <c r="AW98" s="4673"/>
      <c r="AX98" s="4670"/>
      <c r="AY98" s="4675"/>
      <c r="AZ98" s="4675"/>
      <c r="BA98" s="4675"/>
      <c r="BB98" s="4670"/>
      <c r="BC98" s="4671"/>
      <c r="BD98" s="801"/>
      <c r="BE98" s="4673"/>
      <c r="BF98" s="4670"/>
      <c r="BG98" s="4675"/>
      <c r="BH98" s="4675"/>
      <c r="BI98" s="4675"/>
      <c r="BJ98" s="4670"/>
      <c r="BK98" s="4671"/>
      <c r="BL98" s="801"/>
      <c r="BM98" s="4673"/>
      <c r="BN98" s="4670"/>
      <c r="BO98" s="4675"/>
      <c r="BP98" s="4675"/>
      <c r="BQ98" s="4675"/>
      <c r="BR98" s="4670"/>
      <c r="BS98" s="4671"/>
      <c r="BT98" s="801"/>
      <c r="BU98" s="801"/>
      <c r="BV98" s="801"/>
      <c r="BW98" s="794"/>
      <c r="BX98" s="19"/>
      <c r="BZ98" s="1161"/>
      <c r="CE98" s="3255"/>
      <c r="CF98" s="2674" t="str">
        <f>INDEX(data!$JD$23:$JM$42,data!$JH99,data!$JH123)</f>
        <v>Bonus 10 XP in Mind Skill of Choice - Do Any Action</v>
      </c>
      <c r="CQ98" s="1161"/>
      <c r="CR98" s="2300">
        <v>9</v>
      </c>
      <c r="CS98" s="3250" t="str">
        <v>Bonus 30 XP in Related Skill - Do Wildcard Dice Roll Action</v>
      </c>
      <c r="CT98" s="795"/>
      <c r="CU98" s="795"/>
      <c r="CV98" s="795"/>
      <c r="CW98" s="795"/>
      <c r="CX98" s="795"/>
      <c r="CY98" s="795"/>
      <c r="CZ98" s="795"/>
      <c r="DA98" s="795"/>
      <c r="DB98" s="795"/>
      <c r="DC98" s="795"/>
      <c r="DD98" s="3251"/>
      <c r="DE98" s="3255"/>
      <c r="DF98" s="3255"/>
      <c r="DG98" s="3255"/>
      <c r="DH98" s="3255"/>
      <c r="DI98" s="3255"/>
    </row>
    <row r="99" spans="2:113" ht="17.100000000000001" customHeight="1" x14ac:dyDescent="0.2">
      <c r="B99" s="1159"/>
      <c r="C99" s="19"/>
      <c r="D99" s="19"/>
      <c r="E99" s="792"/>
      <c r="F99" s="801"/>
      <c r="G99" s="801"/>
      <c r="H99" s="801"/>
      <c r="I99" s="4677" t="str">
        <f>_xlfn.XLOOKUP(L96,$CR$90:$CR$113,$CS$90:$CS$113,0)</f>
        <v>Theatre Ticket</v>
      </c>
      <c r="J99" s="4678"/>
      <c r="K99" s="4678"/>
      <c r="L99" s="4678"/>
      <c r="M99" s="4678"/>
      <c r="N99" s="4678"/>
      <c r="O99" s="4679"/>
      <c r="P99" s="801"/>
      <c r="Q99" s="4677" t="str">
        <f>_xlfn.XLOOKUP(T96,$CR$90:$CR$113,$CS$90:$CS$113,0)</f>
        <v>Any Item on Sale</v>
      </c>
      <c r="R99" s="4678"/>
      <c r="S99" s="4678"/>
      <c r="T99" s="4678"/>
      <c r="U99" s="4678"/>
      <c r="V99" s="4678"/>
      <c r="W99" s="4679"/>
      <c r="X99" s="801"/>
      <c r="Y99" s="4677" t="str">
        <f>_xlfn.XLOOKUP(AB96,$CR$90:$CR$113,$CS$90:$CS$113,0)</f>
        <v>Merchant Trade Token</v>
      </c>
      <c r="Z99" s="4678"/>
      <c r="AA99" s="4678"/>
      <c r="AB99" s="4678"/>
      <c r="AC99" s="4678"/>
      <c r="AD99" s="4678"/>
      <c r="AE99" s="4679"/>
      <c r="AF99" s="801"/>
      <c r="AG99" s="4677" t="str">
        <f>_xlfn.XLOOKUP(AJ96,$CR$90:$CR$113,$CS$90:$CS$113,0)</f>
        <v>Start Button - Bonus 100 XP in Skill If Begin Something</v>
      </c>
      <c r="AH99" s="4678"/>
      <c r="AI99" s="4678"/>
      <c r="AJ99" s="4678"/>
      <c r="AK99" s="4678"/>
      <c r="AL99" s="4678"/>
      <c r="AM99" s="4679"/>
      <c r="AN99" s="803"/>
      <c r="AO99" s="4677" t="str">
        <f>_xlfn.XLOOKUP(AR96,$CR$90:$CR$113,$CS$90:$CS$113,0)</f>
        <v>Stop Button - Bonus 100 XP in Skill If Finish Something</v>
      </c>
      <c r="AP99" s="4678"/>
      <c r="AQ99" s="4678"/>
      <c r="AR99" s="4678"/>
      <c r="AS99" s="4678"/>
      <c r="AT99" s="4678"/>
      <c r="AU99" s="4679"/>
      <c r="AV99" s="803"/>
      <c r="AW99" s="4677" t="str">
        <f>_xlfn.XLOOKUP(AZ96,$CR$90:$CR$113,$CS$90:$CS$113,0)</f>
        <v>Free Choice Item</v>
      </c>
      <c r="AX99" s="4678"/>
      <c r="AY99" s="4678"/>
      <c r="AZ99" s="4678"/>
      <c r="BA99" s="4678"/>
      <c r="BB99" s="4678"/>
      <c r="BC99" s="4679"/>
      <c r="BD99" s="803"/>
      <c r="BE99" s="4677" t="str">
        <f>_xlfn.XLOOKUP(BH96,$CR$90:$CR$113,$CS$90:$CS$113,0)</f>
        <v>Bonus 30 XP in an Orange Skill - Do Any Action</v>
      </c>
      <c r="BF99" s="4678"/>
      <c r="BG99" s="4678"/>
      <c r="BH99" s="4678"/>
      <c r="BI99" s="4678"/>
      <c r="BJ99" s="4678"/>
      <c r="BK99" s="4679"/>
      <c r="BL99" s="803"/>
      <c r="BM99" s="4677" t="str">
        <f>_xlfn.XLOOKUP(BP96,$CR$90:$CR$113,$CS$90:$CS$113,0)</f>
        <v>Bonus 30 XP in a Dark Red Skill - Do Any Action</v>
      </c>
      <c r="BN99" s="4678"/>
      <c r="BO99" s="4678"/>
      <c r="BP99" s="4678"/>
      <c r="BQ99" s="4678"/>
      <c r="BR99" s="4678"/>
      <c r="BS99" s="4679"/>
      <c r="BT99" s="801"/>
      <c r="BU99" s="801"/>
      <c r="BV99" s="801"/>
      <c r="BW99" s="794"/>
      <c r="BX99" s="19"/>
      <c r="BZ99" s="1161"/>
      <c r="CE99" s="3255"/>
      <c r="CF99" s="2674" t="str">
        <f>INDEX(data!$JD$23:$JM$42,data!$JH100,data!$JH124)</f>
        <v>Supermind Day - Double XP Gained in Mind Skills</v>
      </c>
      <c r="CQ99" s="1161"/>
      <c r="CR99" s="2300">
        <v>10</v>
      </c>
      <c r="CS99" s="3250" t="str">
        <v>Example Tool</v>
      </c>
      <c r="CT99" s="795"/>
      <c r="CU99" s="795"/>
      <c r="CV99" s="795"/>
      <c r="CW99" s="795"/>
      <c r="CX99" s="795"/>
      <c r="CY99" s="795"/>
      <c r="CZ99" s="795"/>
      <c r="DA99" s="795"/>
      <c r="DB99" s="795"/>
      <c r="DC99" s="795"/>
      <c r="DD99" s="3251"/>
      <c r="DE99" s="3255"/>
      <c r="DF99" s="3255"/>
      <c r="DG99" s="3255"/>
      <c r="DH99" s="3255"/>
      <c r="DI99" s="3255"/>
    </row>
    <row r="100" spans="2:113" ht="17.100000000000001" customHeight="1" thickBot="1" x14ac:dyDescent="0.25">
      <c r="B100" s="1159"/>
      <c r="C100" s="19"/>
      <c r="D100" s="19"/>
      <c r="E100" s="792"/>
      <c r="F100" s="801"/>
      <c r="G100" s="801"/>
      <c r="H100" s="801"/>
      <c r="I100" s="4680"/>
      <c r="J100" s="4681"/>
      <c r="K100" s="4681"/>
      <c r="L100" s="4681"/>
      <c r="M100" s="4681"/>
      <c r="N100" s="4681"/>
      <c r="O100" s="4682"/>
      <c r="P100" s="801"/>
      <c r="Q100" s="4680"/>
      <c r="R100" s="4681"/>
      <c r="S100" s="4681"/>
      <c r="T100" s="4681"/>
      <c r="U100" s="4681"/>
      <c r="V100" s="4681"/>
      <c r="W100" s="4682"/>
      <c r="X100" s="801"/>
      <c r="Y100" s="4680"/>
      <c r="Z100" s="4681"/>
      <c r="AA100" s="4681"/>
      <c r="AB100" s="4681"/>
      <c r="AC100" s="4681"/>
      <c r="AD100" s="4681"/>
      <c r="AE100" s="4682"/>
      <c r="AF100" s="801"/>
      <c r="AG100" s="4680"/>
      <c r="AH100" s="4681"/>
      <c r="AI100" s="4681"/>
      <c r="AJ100" s="4681"/>
      <c r="AK100" s="4681"/>
      <c r="AL100" s="4681"/>
      <c r="AM100" s="4682"/>
      <c r="AN100" s="803"/>
      <c r="AO100" s="4680"/>
      <c r="AP100" s="4681"/>
      <c r="AQ100" s="4681"/>
      <c r="AR100" s="4681"/>
      <c r="AS100" s="4681"/>
      <c r="AT100" s="4681"/>
      <c r="AU100" s="4682"/>
      <c r="AV100" s="803"/>
      <c r="AW100" s="4680"/>
      <c r="AX100" s="4681"/>
      <c r="AY100" s="4681"/>
      <c r="AZ100" s="4681"/>
      <c r="BA100" s="4681"/>
      <c r="BB100" s="4681"/>
      <c r="BC100" s="4682"/>
      <c r="BD100" s="803"/>
      <c r="BE100" s="4680"/>
      <c r="BF100" s="4681"/>
      <c r="BG100" s="4681"/>
      <c r="BH100" s="4681"/>
      <c r="BI100" s="4681"/>
      <c r="BJ100" s="4681"/>
      <c r="BK100" s="4682"/>
      <c r="BL100" s="803"/>
      <c r="BM100" s="4680"/>
      <c r="BN100" s="4681"/>
      <c r="BO100" s="4681"/>
      <c r="BP100" s="4681"/>
      <c r="BQ100" s="4681"/>
      <c r="BR100" s="4681"/>
      <c r="BS100" s="4682"/>
      <c r="BT100" s="801"/>
      <c r="BU100" s="801"/>
      <c r="BV100" s="801"/>
      <c r="BW100" s="794"/>
      <c r="BX100" s="19"/>
      <c r="BZ100" s="1161"/>
      <c r="CE100" s="3255"/>
      <c r="CF100" s="2674" t="str">
        <f>INDEX(data!$JD$23:$JM$42,data!$JH101,data!$JH125)</f>
        <v>Bonus 30 XP in Related Skill - Do Wildcard Dice Roll Action</v>
      </c>
      <c r="CQ100" s="1161"/>
      <c r="CR100" s="2300">
        <v>11</v>
      </c>
      <c r="CS100" s="3250" t="str">
        <v>Bonus 20 XP in Mind Skill of Choice - Do Any Action</v>
      </c>
      <c r="CT100" s="795"/>
      <c r="CU100" s="795"/>
      <c r="CV100" s="795"/>
      <c r="CW100" s="795"/>
      <c r="CX100" s="795"/>
      <c r="CY100" s="795"/>
      <c r="CZ100" s="795"/>
      <c r="DA100" s="795"/>
      <c r="DB100" s="795"/>
      <c r="DC100" s="795"/>
      <c r="DD100" s="3251"/>
      <c r="DE100" s="3255"/>
      <c r="DF100" s="3255"/>
      <c r="DG100" s="3255"/>
      <c r="DH100" s="3255"/>
      <c r="DI100" s="3255"/>
    </row>
    <row r="101" spans="2:113" ht="17.100000000000001" customHeight="1" thickTop="1" x14ac:dyDescent="0.2">
      <c r="B101" s="1159"/>
      <c r="C101" s="19"/>
      <c r="D101" s="19"/>
      <c r="E101" s="792"/>
      <c r="F101" s="801"/>
      <c r="G101" s="801"/>
      <c r="H101" s="801"/>
      <c r="I101" s="4676"/>
      <c r="J101" s="4676"/>
      <c r="K101" s="4676"/>
      <c r="L101" s="4676"/>
      <c r="M101" s="4676"/>
      <c r="N101" s="4676"/>
      <c r="O101" s="4676"/>
      <c r="P101" s="801"/>
      <c r="Q101" s="4676"/>
      <c r="R101" s="4676"/>
      <c r="S101" s="4676"/>
      <c r="T101" s="4676"/>
      <c r="U101" s="4676"/>
      <c r="V101" s="4676"/>
      <c r="W101" s="4676"/>
      <c r="X101" s="801"/>
      <c r="Y101" s="4676"/>
      <c r="Z101" s="4676"/>
      <c r="AA101" s="4676"/>
      <c r="AB101" s="4676"/>
      <c r="AC101" s="4676"/>
      <c r="AD101" s="4676"/>
      <c r="AE101" s="4676"/>
      <c r="AF101" s="801"/>
      <c r="AG101" s="4676"/>
      <c r="AH101" s="4676"/>
      <c r="AI101" s="4676"/>
      <c r="AJ101" s="4676"/>
      <c r="AK101" s="4676"/>
      <c r="AL101" s="4676"/>
      <c r="AM101" s="4676"/>
      <c r="AN101" s="801"/>
      <c r="AO101" s="4676"/>
      <c r="AP101" s="4676"/>
      <c r="AQ101" s="4676"/>
      <c r="AR101" s="4676"/>
      <c r="AS101" s="4676"/>
      <c r="AT101" s="4676"/>
      <c r="AU101" s="4676"/>
      <c r="AV101" s="801"/>
      <c r="AW101" s="4676"/>
      <c r="AX101" s="4676"/>
      <c r="AY101" s="4676"/>
      <c r="AZ101" s="4676"/>
      <c r="BA101" s="4676"/>
      <c r="BB101" s="4676"/>
      <c r="BC101" s="4676"/>
      <c r="BD101" s="801"/>
      <c r="BE101" s="4676"/>
      <c r="BF101" s="4676"/>
      <c r="BG101" s="4676"/>
      <c r="BH101" s="4676"/>
      <c r="BI101" s="4676"/>
      <c r="BJ101" s="4676"/>
      <c r="BK101" s="4676"/>
      <c r="BL101" s="801"/>
      <c r="BM101" s="4676"/>
      <c r="BN101" s="4676"/>
      <c r="BO101" s="4676"/>
      <c r="BP101" s="4676"/>
      <c r="BQ101" s="4676"/>
      <c r="BR101" s="4676"/>
      <c r="BS101" s="4676"/>
      <c r="BT101" s="801"/>
      <c r="BU101" s="801"/>
      <c r="BV101" s="801"/>
      <c r="BW101" s="794"/>
      <c r="BX101" s="19"/>
      <c r="BZ101" s="1161"/>
      <c r="CE101" s="3255"/>
      <c r="CF101" s="2674" t="str">
        <f>INDEX(data!$JD$23:$JM$42,data!$JH102,data!$JH126)</f>
        <v>Example Tool</v>
      </c>
      <c r="CQ101" s="1161"/>
      <c r="CR101" s="2300">
        <v>12</v>
      </c>
      <c r="CS101" s="3250" t="str">
        <v>Bonus 20 XP in an Orange Skill - Do Any Action</v>
      </c>
      <c r="CT101" s="795"/>
      <c r="CU101" s="795"/>
      <c r="CV101" s="795"/>
      <c r="CW101" s="795"/>
      <c r="CX101" s="795"/>
      <c r="CY101" s="795"/>
      <c r="CZ101" s="795"/>
      <c r="DA101" s="795"/>
      <c r="DB101" s="795"/>
      <c r="DC101" s="795"/>
      <c r="DD101" s="3251"/>
      <c r="DE101" s="3255"/>
      <c r="DF101" s="3255"/>
      <c r="DG101" s="3255"/>
      <c r="DH101" s="3255"/>
      <c r="DI101" s="3255"/>
    </row>
    <row r="102" spans="2:113" ht="17.100000000000001" customHeight="1" x14ac:dyDescent="0.2">
      <c r="B102" s="1159"/>
      <c r="C102" s="19"/>
      <c r="D102" s="19"/>
      <c r="E102" s="792"/>
      <c r="F102" s="801"/>
      <c r="G102" s="801"/>
      <c r="H102" s="801"/>
      <c r="I102" s="801"/>
      <c r="J102" s="801"/>
      <c r="K102" s="801"/>
      <c r="L102" s="801"/>
      <c r="M102" s="801"/>
      <c r="N102" s="801"/>
      <c r="O102" s="801"/>
      <c r="P102" s="801"/>
      <c r="Q102" s="801"/>
      <c r="R102" s="801"/>
      <c r="S102" s="801"/>
      <c r="T102" s="801"/>
      <c r="U102" s="801"/>
      <c r="V102" s="801"/>
      <c r="W102" s="801"/>
      <c r="X102" s="801"/>
      <c r="Y102" s="801"/>
      <c r="Z102" s="801"/>
      <c r="AA102" s="801"/>
      <c r="AB102" s="801"/>
      <c r="AC102" s="801"/>
      <c r="AD102" s="801"/>
      <c r="AE102" s="801"/>
      <c r="AF102" s="801"/>
      <c r="AG102" s="801"/>
      <c r="AH102" s="801"/>
      <c r="AI102" s="801"/>
      <c r="AJ102" s="801"/>
      <c r="AK102" s="801"/>
      <c r="AL102" s="801"/>
      <c r="AM102" s="801"/>
      <c r="AN102" s="801"/>
      <c r="AO102" s="801"/>
      <c r="AP102" s="801"/>
      <c r="AQ102" s="801"/>
      <c r="AR102" s="801"/>
      <c r="AS102" s="801"/>
      <c r="AT102" s="801"/>
      <c r="AU102" s="801"/>
      <c r="AV102" s="801"/>
      <c r="AW102" s="801"/>
      <c r="AX102" s="801"/>
      <c r="AY102" s="801"/>
      <c r="AZ102" s="801"/>
      <c r="BA102" s="801"/>
      <c r="BB102" s="801"/>
      <c r="BC102" s="801"/>
      <c r="BD102" s="801"/>
      <c r="BE102" s="801"/>
      <c r="BF102" s="801"/>
      <c r="BG102" s="801"/>
      <c r="BH102" s="801"/>
      <c r="BI102" s="801"/>
      <c r="BJ102" s="801"/>
      <c r="BK102" s="801"/>
      <c r="BL102" s="801"/>
      <c r="BM102" s="801"/>
      <c r="BN102" s="801"/>
      <c r="BO102" s="801"/>
      <c r="BP102" s="801"/>
      <c r="BQ102" s="801"/>
      <c r="BR102" s="801"/>
      <c r="BS102" s="801"/>
      <c r="BT102" s="801"/>
      <c r="BU102" s="801"/>
      <c r="BV102" s="801"/>
      <c r="BW102" s="794"/>
      <c r="BX102" s="19"/>
      <c r="BZ102" s="1161"/>
      <c r="CE102" s="3255"/>
      <c r="CF102" s="2674" t="str">
        <f>INDEX(data!$JD$23:$JM$42,data!$JH103,data!$JH127)</f>
        <v>Bonus 30 XP in Related Skill - Do Wildcard Dice Roll Action</v>
      </c>
      <c r="CQ102" s="1161"/>
      <c r="CR102" s="2300">
        <v>13</v>
      </c>
      <c r="CS102" s="3250" t="str">
        <v>2UP - Get Two Whole Life Hearts</v>
      </c>
      <c r="CT102" s="795"/>
      <c r="CU102" s="795"/>
      <c r="CV102" s="795"/>
      <c r="CW102" s="795"/>
      <c r="CX102" s="795"/>
      <c r="CY102" s="795"/>
      <c r="CZ102" s="795"/>
      <c r="DA102" s="795"/>
      <c r="DB102" s="795"/>
      <c r="DC102" s="795"/>
      <c r="DD102" s="3251"/>
      <c r="DE102" s="3255"/>
      <c r="DF102" s="3255"/>
      <c r="DG102" s="3255"/>
      <c r="DH102" s="3255"/>
      <c r="DI102" s="3255"/>
    </row>
    <row r="103" spans="2:113" ht="17.100000000000001" customHeight="1" thickBot="1" x14ac:dyDescent="0.25">
      <c r="B103" s="1159"/>
      <c r="C103" s="19"/>
      <c r="D103" s="19"/>
      <c r="E103" s="792"/>
      <c r="F103" s="801"/>
      <c r="G103" s="801"/>
      <c r="H103" s="801"/>
      <c r="I103" s="801"/>
      <c r="J103" s="801"/>
      <c r="K103" s="801"/>
      <c r="L103" s="3256">
        <v>9</v>
      </c>
      <c r="M103" s="3256"/>
      <c r="N103" s="3256"/>
      <c r="O103" s="3256"/>
      <c r="P103" s="3256"/>
      <c r="Q103" s="3256"/>
      <c r="R103" s="3256"/>
      <c r="S103" s="3256"/>
      <c r="T103" s="3256">
        <v>11</v>
      </c>
      <c r="U103" s="3256"/>
      <c r="V103" s="3256"/>
      <c r="W103" s="3256"/>
      <c r="X103" s="3256"/>
      <c r="Y103" s="3256"/>
      <c r="Z103" s="3256"/>
      <c r="AA103" s="3256"/>
      <c r="AB103" s="3256">
        <v>13</v>
      </c>
      <c r="AC103" s="3256"/>
      <c r="AD103" s="3256"/>
      <c r="AE103" s="3256"/>
      <c r="AF103" s="3256"/>
      <c r="AG103" s="3256"/>
      <c r="AH103" s="3256"/>
      <c r="AI103" s="3256"/>
      <c r="AJ103" s="3256">
        <v>15</v>
      </c>
      <c r="AK103" s="3256"/>
      <c r="AL103" s="3256"/>
      <c r="AM103" s="3256"/>
      <c r="AN103" s="3256"/>
      <c r="AO103" s="3256"/>
      <c r="AP103" s="3256"/>
      <c r="AQ103" s="3256"/>
      <c r="AR103" s="3256">
        <v>16</v>
      </c>
      <c r="AS103" s="3256"/>
      <c r="AT103" s="3256"/>
      <c r="AU103" s="3256"/>
      <c r="AV103" s="3256"/>
      <c r="AW103" s="3256"/>
      <c r="AX103" s="3256"/>
      <c r="AY103" s="3256"/>
      <c r="AZ103" s="3256">
        <v>14</v>
      </c>
      <c r="BA103" s="3256"/>
      <c r="BB103" s="3256"/>
      <c r="BC103" s="3256"/>
      <c r="BD103" s="3256"/>
      <c r="BE103" s="3256"/>
      <c r="BF103" s="3256"/>
      <c r="BG103" s="3256"/>
      <c r="BH103" s="3256">
        <v>12</v>
      </c>
      <c r="BI103" s="3256"/>
      <c r="BJ103" s="3256"/>
      <c r="BK103" s="3256"/>
      <c r="BL103" s="3256"/>
      <c r="BM103" s="3256"/>
      <c r="BN103" s="3256"/>
      <c r="BO103" s="3256"/>
      <c r="BP103" s="3256">
        <v>10</v>
      </c>
      <c r="BQ103" s="3256"/>
      <c r="BR103" s="801"/>
      <c r="BS103" s="801"/>
      <c r="BT103" s="801"/>
      <c r="BU103" s="801"/>
      <c r="BV103" s="801"/>
      <c r="BW103" s="794"/>
      <c r="BX103" s="19"/>
      <c r="BZ103" s="1161"/>
      <c r="CE103" s="3255"/>
      <c r="CF103" s="2674" t="str">
        <f>INDEX(data!$JD$23:$JM$42,data!$JH104,data!$JH128)</f>
        <v>Bonus 20 XP in Mind Skill of Choice - Do Any Action</v>
      </c>
      <c r="CQ103" s="1161"/>
      <c r="CR103" s="2300">
        <v>14</v>
      </c>
      <c r="CS103" s="3250" t="str">
        <v>Stand-up Comedy Ticket</v>
      </c>
      <c r="CT103" s="795"/>
      <c r="CU103" s="795"/>
      <c r="CV103" s="795"/>
      <c r="CW103" s="795"/>
      <c r="CX103" s="795"/>
      <c r="CY103" s="795"/>
      <c r="CZ103" s="795"/>
      <c r="DA103" s="795"/>
      <c r="DB103" s="795"/>
      <c r="DC103" s="795"/>
      <c r="DD103" s="3251"/>
      <c r="DE103" s="3255"/>
      <c r="DF103" s="3255"/>
      <c r="DG103" s="3255"/>
      <c r="DH103" s="3255"/>
      <c r="DI103" s="3255"/>
    </row>
    <row r="104" spans="2:113" ht="17.100000000000001" customHeight="1" thickTop="1" x14ac:dyDescent="0.2">
      <c r="B104" s="1159"/>
      <c r="C104" s="19"/>
      <c r="D104" s="19"/>
      <c r="E104" s="792"/>
      <c r="F104" s="801"/>
      <c r="G104" s="801"/>
      <c r="H104" s="801"/>
      <c r="I104" s="4672" t="s">
        <v>68</v>
      </c>
      <c r="J104" s="4668"/>
      <c r="K104" s="4674" t="str">
        <f>IF(ISBLANK(I106),data!$JO$72,_xlfn.IFS(
ISNUMBER(SEARCH( data!$JP$23, I106 )), data!$JO$23,
ISNUMBER(SEARCH( data!$JP$24, I106 )), data!$JO$24,
ISNUMBER(SEARCH( data!$JP$25, I106 )), data!$JO$25,
ISNUMBER(SEARCH( data!$JP$26, I106 )), data!$JO$26,
ISNUMBER(SEARCH( data!$JP$27, I106 )), data!$JO$27,
ISNUMBER(SEARCH( data!$JP$28, I106 )), data!$JO$28,
ISNUMBER(SEARCH( data!$JP$29, I106 )), data!$JO$29,
ISNUMBER(SEARCH( data!$JP$30, I106 )), data!$JO$30,
ISNUMBER(SEARCH( data!$JP$31, I106 )), data!$JO$31,
ISNUMBER(SEARCH( data!$JP$32, I106 )), data!$JO$32,
ISNUMBER(SEARCH( data!$JP$33, I106 )), data!$JO$33,
ISNUMBER(SEARCH( data!$JP$34, I106 )), data!$JO$34,
ISNUMBER(SEARCH( data!$JP$35, I106 )), data!$JO$35,
ISNUMBER(SEARCH( data!$JP$36, I106 )), data!$JO$36,
ISNUMBER(SEARCH( data!$JP$37, I106 )), data!$JO$37,
ISNUMBER(SEARCH( data!$JP$38, I106 )), data!$JO$38,
ISNUMBER(SEARCH( data!$JP$39, I106 )), data!$JO$39,
ISNUMBER(SEARCH( data!$JP$40, I106 )), data!$JO$40,
ISNUMBER(SEARCH( data!$JP$41, I106 )), data!$JO$41,
ISNUMBER(SEARCH( data!$JP$42, I106 )), data!$JO$42,
ISNUMBER(SEARCH( data!$JP$43, I106 )), data!$JO$43,
ISNUMBER(SEARCH( data!$JP$44, I106 )), data!$JO$44,
ISNUMBER(SEARCH( data!$JP$45, I106 )), data!$JO$45,
ISNUMBER(SEARCH( data!$JP$46, I106 )), data!$JO$46,
ISNUMBER(SEARCH( data!$JP$47, I106 )), data!$JO$47,
ISNUMBER(SEARCH( data!$JP$48, I106 )), data!$JO$48,
ISNUMBER(SEARCH( data!$JP$49, I106 )), data!$JO$49,
ISNUMBER(SEARCH( data!$JP$50, I106 )), data!$JO$50,
ISNUMBER(SEARCH( data!$JP$51, I106 )), data!$JO$51,
ISNUMBER(SEARCH( data!$JP$52, I106 )), data!$JO$52,
ISNUMBER(SEARCH( data!$JP$53, I106 )), data!$JO$53,
ISNUMBER(SEARCH( data!$JP$54, I106 )), data!$JO$54,
ISNUMBER(SEARCH( data!$JP$55, I106 )), data!$JO$55,
ISNUMBER(SEARCH( data!$JP$56, I106 )), data!$JO$56,
ISNUMBER(SEARCH( data!$JP$57, I106 )), data!$JO$57,
ISNUMBER(SEARCH( data!$JP$58, I106 )), data!$JO$58,
ISNUMBER(SEARCH( data!$JP$59, I106 )), data!$JO$59,
ISNUMBER(SEARCH( data!$JP$60, I106 )), data!$JO$60,
ISNUMBER(SEARCH( data!$JP$61, I106 )), data!$JO$61,
ISNUMBER(SEARCH( data!$JP$62, I106 )), data!$JO$62,
ISNUMBER(SEARCH( data!$JP$63, I106 )), data!$JO$63,
ISNUMBER(SEARCH( data!$JP$64, I106 )), data!$JO$64,
ISNUMBER(SEARCH( data!$JP$65, I106 )), data!$JO$65,
ISNUMBER(SEARCH( data!$JP$66, I106 )), data!$JO$66,
ISNUMBER(SEARCH( data!$JP$67, I106 )), data!$JO$67,
ISNUMBER(SEARCH( data!$JP$68, I106 )), data!$JO$68,
ISNUMBER(SEARCH( data!$JP$69, I106 )), data!$JO$69,
ISNUMBER(SEARCH( data!$JP$70, I106 )), data!$JO$70,
ISNUMBER(SEARCH( data!$JP$71, I106 )), data!$JO$71,
ISNUMBER(SEARCH( data!$JR$23, I106 )), data!$JQ$23,
ISNUMBER(SEARCH( data!$JR$24, I106 )), data!$JQ$24,
ISNUMBER(SEARCH( data!$JR$25, I106 )), data!$JQ$25,
ISNUMBER(SEARCH( data!$JR$26, I106 )), data!$JQ$26,
ISNUMBER(SEARCH( data!$JR$27, I106 )), data!$JQ$27,
ISNUMBER(SEARCH( data!$JR$28, I106 )), data!$JQ$28,
ISNUMBER(SEARCH( data!$JR$29, I106 )), data!$JQ$29,
ISNUMBER(SEARCH( data!$JR$30, I106 )), data!$JQ$30,
ISNUMBER(SEARCH( data!$JR$31, I106 )), data!$JQ$31,
ISNUMBER(SEARCH( data!$JR$32, I106 )), data!$JQ$32,
ISNUMBER(SEARCH( data!$JR$33, I106 )), data!$JQ$33,
ISNUMBER(SEARCH( data!$JR$34, I106 )), data!$JQ$34,
ISNUMBER(SEARCH( data!$JR$35, I106 )), data!$JQ$35,
ISNUMBER(SEARCH( data!$JR$36, I106 )), data!$JQ$36,
ISNUMBER(SEARCH( data!$JR$37, I106 )), data!$JQ$37,
ISNUMBER(SEARCH( data!$JR$38, I106 )), data!$JQ$38,
ISNUMBER(SEARCH( data!$JR$39, I106 )), data!$JQ$39,
ISNUMBER(SEARCH( data!$JR$40, I106 )), data!$JQ$40,
ISNUMBER(SEARCH( data!$JR$41, I106 )), data!$JQ$41,
ISNUMBER(SEARCH( data!$JR$42, I106 )), data!$JQ$42,
ISNUMBER(SEARCH( data!$JR$43, I106 )), data!$JQ$43,
ISNUMBER(SEARCH( data!$JR$44, I106 )), data!$JQ$44,
ISNUMBER(SEARCH( data!$JR$45, I106 )), data!$JQ$45,
ISNUMBER(SEARCH( data!$JR$46, I106 )), data!$JQ$46,
ISNUMBER(SEARCH( data!$JR$47, I106 )), data!$JQ$47,
ISNUMBER(SEARCH( data!$JR$48, I106 )), data!$JQ$48,
ISNUMBER(SEARCH( data!$JR$49, I106 )), data!$JQ$49,
ISNUMBER(SEARCH( data!$JR$50, I106 )), data!$JQ$50,
ISNUMBER(SEARCH( data!$JR$51, I106 )), data!$JQ$51,
ISNUMBER(SEARCH( data!$JR$52, I106 )), data!$JQ$52,
ISNUMBER(SEARCH( data!$JR$53, I106 )), data!$JQ$53,
ISNUMBER(SEARCH( data!$JR$54, I106 )), data!$JQ$54,
ISNUMBER(SEARCH( data!$JR$55, I106 )), data!$JQ$55,
ISNUMBER(SEARCH( data!$JR$56, I106 )), data!$JQ$56,
ISNUMBER(SEARCH( data!$JR$57, I106 )), data!$JQ$57,
ISNUMBER(SEARCH( data!$JR$58, I106 )), data!$JQ$58,
ISNUMBER(SEARCH( data!$JR$59, I106 )), data!$JQ$59,
ISNUMBER(SEARCH( data!$JR$60, I106 )), data!$JQ$60,
ISNUMBER(SEARCH( data!$JR$61, I106 )), data!$JQ$61,
ISNUMBER(SEARCH( data!$JR$62, I106 )), data!$JQ$62,
ISNUMBER(SEARCH( data!$JR$63, I106 )), data!$JQ$63,
ISNUMBER(SEARCH( data!$JR$64, I106 )), data!$JQ$64,
ISNUMBER(SEARCH( data!$JR$65, I106 )), data!$JQ$65,
ISNUMBER(SEARCH( data!$JR$66, I106 )), data!$JQ$66,
ISNUMBER(SEARCH( data!$JR$67, I106 )), data!$JQ$67,
ISNUMBER(SEARCH( data!$JR$68, I106 )), data!$JQ$68,
ISNUMBER(SEARCH( data!$JR$69, I106 )), data!$JQ$69,
ISNUMBER(SEARCH( data!$JR$70, I106 )), data!$JQ$70,
ISNUMBER(SEARCH( data!$JR$71, I106 )), data!$JQ$71,
TRUE,data!$JQ$72))</f>
        <v>⯑❖⯑</v>
      </c>
      <c r="L104" s="4674"/>
      <c r="M104" s="4674"/>
      <c r="N104" s="4668" t="s">
        <v>68</v>
      </c>
      <c r="O104" s="4669"/>
      <c r="P104" s="801"/>
      <c r="Q104" s="4672" t="s">
        <v>68</v>
      </c>
      <c r="R104" s="4668"/>
      <c r="S104" s="4674" t="str">
        <f>IF(ISBLANK(Q106),data!$JO$72,_xlfn.IFS(
ISNUMBER(SEARCH( data!$JP$23, Q106 )), data!$JO$23,
ISNUMBER(SEARCH( data!$JP$24, Q106 )), data!$JO$24,
ISNUMBER(SEARCH( data!$JP$25, Q106 )), data!$JO$25,
ISNUMBER(SEARCH( data!$JP$26, Q106 )), data!$JO$26,
ISNUMBER(SEARCH( data!$JP$27, Q106 )), data!$JO$27,
ISNUMBER(SEARCH( data!$JP$28, Q106 )), data!$JO$28,
ISNUMBER(SEARCH( data!$JP$29, Q106 )), data!$JO$29,
ISNUMBER(SEARCH( data!$JP$30, Q106 )), data!$JO$30,
ISNUMBER(SEARCH( data!$JP$31, Q106 )), data!$JO$31,
ISNUMBER(SEARCH( data!$JP$32, Q106 )), data!$JO$32,
ISNUMBER(SEARCH( data!$JP$33, Q106 )), data!$JO$33,
ISNUMBER(SEARCH( data!$JP$34, Q106 )), data!$JO$34,
ISNUMBER(SEARCH( data!$JP$35, Q106 )), data!$JO$35,
ISNUMBER(SEARCH( data!$JP$36, Q106 )), data!$JO$36,
ISNUMBER(SEARCH( data!$JP$37, Q106 )), data!$JO$37,
ISNUMBER(SEARCH( data!$JP$38, Q106 )), data!$JO$38,
ISNUMBER(SEARCH( data!$JP$39, Q106 )), data!$JO$39,
ISNUMBER(SEARCH( data!$JP$40, Q106 )), data!$JO$40,
ISNUMBER(SEARCH( data!$JP$41, Q106 )), data!$JO$41,
ISNUMBER(SEARCH( data!$JP$42, Q106 )), data!$JO$42,
ISNUMBER(SEARCH( data!$JP$43, Q106 )), data!$JO$43,
ISNUMBER(SEARCH( data!$JP$44, Q106 )), data!$JO$44,
ISNUMBER(SEARCH( data!$JP$45, Q106 )), data!$JO$45,
ISNUMBER(SEARCH( data!$JP$46, Q106 )), data!$JO$46,
ISNUMBER(SEARCH( data!$JP$47, Q106 )), data!$JO$47,
ISNUMBER(SEARCH( data!$JP$48, Q106 )), data!$JO$48,
ISNUMBER(SEARCH( data!$JP$49, Q106 )), data!$JO$49,
ISNUMBER(SEARCH( data!$JP$50, Q106 )), data!$JO$50,
ISNUMBER(SEARCH( data!$JP$51, Q106 )), data!$JO$51,
ISNUMBER(SEARCH( data!$JP$52, Q106 )), data!$JO$52,
ISNUMBER(SEARCH( data!$JP$53, Q106 )), data!$JO$53,
ISNUMBER(SEARCH( data!$JP$54, Q106 )), data!$JO$54,
ISNUMBER(SEARCH( data!$JP$55, Q106 )), data!$JO$55,
ISNUMBER(SEARCH( data!$JP$56, Q106 )), data!$JO$56,
ISNUMBER(SEARCH( data!$JP$57, Q106 )), data!$JO$57,
ISNUMBER(SEARCH( data!$JP$58, Q106 )), data!$JO$58,
ISNUMBER(SEARCH( data!$JP$59, Q106 )), data!$JO$59,
ISNUMBER(SEARCH( data!$JP$60, Q106 )), data!$JO$60,
ISNUMBER(SEARCH( data!$JP$61, Q106 )), data!$JO$61,
ISNUMBER(SEARCH( data!$JP$62, Q106 )), data!$JO$62,
ISNUMBER(SEARCH( data!$JP$63, Q106 )), data!$JO$63,
ISNUMBER(SEARCH( data!$JP$64, Q106 )), data!$JO$64,
ISNUMBER(SEARCH( data!$JP$65, Q106 )), data!$JO$65,
ISNUMBER(SEARCH( data!$JP$66, Q106 )), data!$JO$66,
ISNUMBER(SEARCH( data!$JP$67, Q106 )), data!$JO$67,
ISNUMBER(SEARCH( data!$JP$68, Q106 )), data!$JO$68,
ISNUMBER(SEARCH( data!$JP$69, Q106 )), data!$JO$69,
ISNUMBER(SEARCH( data!$JP$70, Q106 )), data!$JO$70,
ISNUMBER(SEARCH( data!$JP$71, Q106 )), data!$JO$71,
ISNUMBER(SEARCH( data!$JR$23, Q106 )), data!$JQ$23,
ISNUMBER(SEARCH( data!$JR$24, Q106 )), data!$JQ$24,
ISNUMBER(SEARCH( data!$JR$25, Q106 )), data!$JQ$25,
ISNUMBER(SEARCH( data!$JR$26, Q106 )), data!$JQ$26,
ISNUMBER(SEARCH( data!$JR$27, Q106 )), data!$JQ$27,
ISNUMBER(SEARCH( data!$JR$28, Q106 )), data!$JQ$28,
ISNUMBER(SEARCH( data!$JR$29, Q106 )), data!$JQ$29,
ISNUMBER(SEARCH( data!$JR$30, Q106 )), data!$JQ$30,
ISNUMBER(SEARCH( data!$JR$31, Q106 )), data!$JQ$31,
ISNUMBER(SEARCH( data!$JR$32, Q106 )), data!$JQ$32,
ISNUMBER(SEARCH( data!$JR$33, Q106 )), data!$JQ$33,
ISNUMBER(SEARCH( data!$JR$34, Q106 )), data!$JQ$34,
ISNUMBER(SEARCH( data!$JR$35, Q106 )), data!$JQ$35,
ISNUMBER(SEARCH( data!$JR$36, Q106 )), data!$JQ$36,
ISNUMBER(SEARCH( data!$JR$37, Q106 )), data!$JQ$37,
ISNUMBER(SEARCH( data!$JR$38, Q106 )), data!$JQ$38,
ISNUMBER(SEARCH( data!$JR$39, Q106 )), data!$JQ$39,
ISNUMBER(SEARCH( data!$JR$40, Q106 )), data!$JQ$40,
ISNUMBER(SEARCH( data!$JR$41, Q106 )), data!$JQ$41,
ISNUMBER(SEARCH( data!$JR$42, Q106 )), data!$JQ$42,
ISNUMBER(SEARCH( data!$JR$43, Q106 )), data!$JQ$43,
ISNUMBER(SEARCH( data!$JR$44, Q106 )), data!$JQ$44,
ISNUMBER(SEARCH( data!$JR$45, Q106 )), data!$JQ$45,
ISNUMBER(SEARCH( data!$JR$46, Q106 )), data!$JQ$46,
ISNUMBER(SEARCH( data!$JR$47, Q106 )), data!$JQ$47,
ISNUMBER(SEARCH( data!$JR$48, Q106 )), data!$JQ$48,
ISNUMBER(SEARCH( data!$JR$49, Q106 )), data!$JQ$49,
ISNUMBER(SEARCH( data!$JR$50, Q106 )), data!$JQ$50,
ISNUMBER(SEARCH( data!$JR$51, Q106 )), data!$JQ$51,
ISNUMBER(SEARCH( data!$JR$52, Q106 )), data!$JQ$52,
ISNUMBER(SEARCH( data!$JR$53, Q106 )), data!$JQ$53,
ISNUMBER(SEARCH( data!$JR$54, Q106 )), data!$JQ$54,
ISNUMBER(SEARCH( data!$JR$55, Q106 )), data!$JQ$55,
ISNUMBER(SEARCH( data!$JR$56, Q106 )), data!$JQ$56,
ISNUMBER(SEARCH( data!$JR$57, Q106 )), data!$JQ$57,
ISNUMBER(SEARCH( data!$JR$58, Q106 )), data!$JQ$58,
ISNUMBER(SEARCH( data!$JR$59, Q106 )), data!$JQ$59,
ISNUMBER(SEARCH( data!$JR$60, Q106 )), data!$JQ$60,
ISNUMBER(SEARCH( data!$JR$61, Q106 )), data!$JQ$61,
ISNUMBER(SEARCH( data!$JR$62, Q106 )), data!$JQ$62,
ISNUMBER(SEARCH( data!$JR$63, Q106 )), data!$JQ$63,
ISNUMBER(SEARCH( data!$JR$64, Q106 )), data!$JQ$64,
ISNUMBER(SEARCH( data!$JR$65, Q106 )), data!$JQ$65,
ISNUMBER(SEARCH( data!$JR$66, Q106 )), data!$JQ$66,
ISNUMBER(SEARCH( data!$JR$67, Q106 )), data!$JQ$67,
ISNUMBER(SEARCH( data!$JR$68, Q106 )), data!$JQ$68,
ISNUMBER(SEARCH( data!$JR$69, Q106 )), data!$JQ$69,
ISNUMBER(SEARCH( data!$JR$70, Q106 )), data!$JQ$70,
ISNUMBER(SEARCH( data!$JR$71, Q106 )), data!$JQ$71,
TRUE,data!$JQ$72))</f>
        <v>⠒❖⠒</v>
      </c>
      <c r="T104" s="4674"/>
      <c r="U104" s="4674"/>
      <c r="V104" s="4668" t="s">
        <v>68</v>
      </c>
      <c r="W104" s="4669"/>
      <c r="X104" s="801"/>
      <c r="Y104" s="4672" t="s">
        <v>68</v>
      </c>
      <c r="Z104" s="4668"/>
      <c r="AA104" s="4674" t="str">
        <f>IF(ISBLANK(Y106),data!$JO$72,_xlfn.IFS(
ISNUMBER(SEARCH( data!$JP$23, Y106 )), data!$JO$23,
ISNUMBER(SEARCH( data!$JP$24, Y106 )), data!$JO$24,
ISNUMBER(SEARCH( data!$JP$25, Y106 )), data!$JO$25,
ISNUMBER(SEARCH( data!$JP$26, Y106 )), data!$JO$26,
ISNUMBER(SEARCH( data!$JP$27, Y106 )), data!$JO$27,
ISNUMBER(SEARCH( data!$JP$28, Y106 )), data!$JO$28,
ISNUMBER(SEARCH( data!$JP$29, Y106 )), data!$JO$29,
ISNUMBER(SEARCH( data!$JP$30, Y106 )), data!$JO$30,
ISNUMBER(SEARCH( data!$JP$31, Y106 )), data!$JO$31,
ISNUMBER(SEARCH( data!$JP$32, Y106 )), data!$JO$32,
ISNUMBER(SEARCH( data!$JP$33, Y106 )), data!$JO$33,
ISNUMBER(SEARCH( data!$JP$34, Y106 )), data!$JO$34,
ISNUMBER(SEARCH( data!$JP$35, Y106 )), data!$JO$35,
ISNUMBER(SEARCH( data!$JP$36, Y106 )), data!$JO$36,
ISNUMBER(SEARCH( data!$JP$37, Y106 )), data!$JO$37,
ISNUMBER(SEARCH( data!$JP$38, Y106 )), data!$JO$38,
ISNUMBER(SEARCH( data!$JP$39, Y106 )), data!$JO$39,
ISNUMBER(SEARCH( data!$JP$40, Y106 )), data!$JO$40,
ISNUMBER(SEARCH( data!$JP$41, Y106 )), data!$JO$41,
ISNUMBER(SEARCH( data!$JP$42, Y106 )), data!$JO$42,
ISNUMBER(SEARCH( data!$JP$43, Y106 )), data!$JO$43,
ISNUMBER(SEARCH( data!$JP$44, Y106 )), data!$JO$44,
ISNUMBER(SEARCH( data!$JP$45, Y106 )), data!$JO$45,
ISNUMBER(SEARCH( data!$JP$46, Y106 )), data!$JO$46,
ISNUMBER(SEARCH( data!$JP$47, Y106 )), data!$JO$47,
ISNUMBER(SEARCH( data!$JP$48, Y106 )), data!$JO$48,
ISNUMBER(SEARCH( data!$JP$49, Y106 )), data!$JO$49,
ISNUMBER(SEARCH( data!$JP$50, Y106 )), data!$JO$50,
ISNUMBER(SEARCH( data!$JP$51, Y106 )), data!$JO$51,
ISNUMBER(SEARCH( data!$JP$52, Y106 )), data!$JO$52,
ISNUMBER(SEARCH( data!$JP$53, Y106 )), data!$JO$53,
ISNUMBER(SEARCH( data!$JP$54, Y106 )), data!$JO$54,
ISNUMBER(SEARCH( data!$JP$55, Y106 )), data!$JO$55,
ISNUMBER(SEARCH( data!$JP$56, Y106 )), data!$JO$56,
ISNUMBER(SEARCH( data!$JP$57, Y106 )), data!$JO$57,
ISNUMBER(SEARCH( data!$JP$58, Y106 )), data!$JO$58,
ISNUMBER(SEARCH( data!$JP$59, Y106 )), data!$JO$59,
ISNUMBER(SEARCH( data!$JP$60, Y106 )), data!$JO$60,
ISNUMBER(SEARCH( data!$JP$61, Y106 )), data!$JO$61,
ISNUMBER(SEARCH( data!$JP$62, Y106 )), data!$JO$62,
ISNUMBER(SEARCH( data!$JP$63, Y106 )), data!$JO$63,
ISNUMBER(SEARCH( data!$JP$64, Y106 )), data!$JO$64,
ISNUMBER(SEARCH( data!$JP$65, Y106 )), data!$JO$65,
ISNUMBER(SEARCH( data!$JP$66, Y106 )), data!$JO$66,
ISNUMBER(SEARCH( data!$JP$67, Y106 )), data!$JO$67,
ISNUMBER(SEARCH( data!$JP$68, Y106 )), data!$JO$68,
ISNUMBER(SEARCH( data!$JP$69, Y106 )), data!$JO$69,
ISNUMBER(SEARCH( data!$JP$70, Y106 )), data!$JO$70,
ISNUMBER(SEARCH( data!$JP$71, Y106 )), data!$JO$71,
ISNUMBER(SEARCH( data!$JR$23, Y106 )), data!$JQ$23,
ISNUMBER(SEARCH( data!$JR$24, Y106 )), data!$JQ$24,
ISNUMBER(SEARCH( data!$JR$25, Y106 )), data!$JQ$25,
ISNUMBER(SEARCH( data!$JR$26, Y106 )), data!$JQ$26,
ISNUMBER(SEARCH( data!$JR$27, Y106 )), data!$JQ$27,
ISNUMBER(SEARCH( data!$JR$28, Y106 )), data!$JQ$28,
ISNUMBER(SEARCH( data!$JR$29, Y106 )), data!$JQ$29,
ISNUMBER(SEARCH( data!$JR$30, Y106 )), data!$JQ$30,
ISNUMBER(SEARCH( data!$JR$31, Y106 )), data!$JQ$31,
ISNUMBER(SEARCH( data!$JR$32, Y106 )), data!$JQ$32,
ISNUMBER(SEARCH( data!$JR$33, Y106 )), data!$JQ$33,
ISNUMBER(SEARCH( data!$JR$34, Y106 )), data!$JQ$34,
ISNUMBER(SEARCH( data!$JR$35, Y106 )), data!$JQ$35,
ISNUMBER(SEARCH( data!$JR$36, Y106 )), data!$JQ$36,
ISNUMBER(SEARCH( data!$JR$37, Y106 )), data!$JQ$37,
ISNUMBER(SEARCH( data!$JR$38, Y106 )), data!$JQ$38,
ISNUMBER(SEARCH( data!$JR$39, Y106 )), data!$JQ$39,
ISNUMBER(SEARCH( data!$JR$40, Y106 )), data!$JQ$40,
ISNUMBER(SEARCH( data!$JR$41, Y106 )), data!$JQ$41,
ISNUMBER(SEARCH( data!$JR$42, Y106 )), data!$JQ$42,
ISNUMBER(SEARCH( data!$JR$43, Y106 )), data!$JQ$43,
ISNUMBER(SEARCH( data!$JR$44, Y106 )), data!$JQ$44,
ISNUMBER(SEARCH( data!$JR$45, Y106 )), data!$JQ$45,
ISNUMBER(SEARCH( data!$JR$46, Y106 )), data!$JQ$46,
ISNUMBER(SEARCH( data!$JR$47, Y106 )), data!$JQ$47,
ISNUMBER(SEARCH( data!$JR$48, Y106 )), data!$JQ$48,
ISNUMBER(SEARCH( data!$JR$49, Y106 )), data!$JQ$49,
ISNUMBER(SEARCH( data!$JR$50, Y106 )), data!$JQ$50,
ISNUMBER(SEARCH( data!$JR$51, Y106 )), data!$JQ$51,
ISNUMBER(SEARCH( data!$JR$52, Y106 )), data!$JQ$52,
ISNUMBER(SEARCH( data!$JR$53, Y106 )), data!$JQ$53,
ISNUMBER(SEARCH( data!$JR$54, Y106 )), data!$JQ$54,
ISNUMBER(SEARCH( data!$JR$55, Y106 )), data!$JQ$55,
ISNUMBER(SEARCH( data!$JR$56, Y106 )), data!$JQ$56,
ISNUMBER(SEARCH( data!$JR$57, Y106 )), data!$JQ$57,
ISNUMBER(SEARCH( data!$JR$58, Y106 )), data!$JQ$58,
ISNUMBER(SEARCH( data!$JR$59, Y106 )), data!$JQ$59,
ISNUMBER(SEARCH( data!$JR$60, Y106 )), data!$JQ$60,
ISNUMBER(SEARCH( data!$JR$61, Y106 )), data!$JQ$61,
ISNUMBER(SEARCH( data!$JR$62, Y106 )), data!$JQ$62,
ISNUMBER(SEARCH( data!$JR$63, Y106 )), data!$JQ$63,
ISNUMBER(SEARCH( data!$JR$64, Y106 )), data!$JQ$64,
ISNUMBER(SEARCH( data!$JR$65, Y106 )), data!$JQ$65,
ISNUMBER(SEARCH( data!$JR$66, Y106 )), data!$JQ$66,
ISNUMBER(SEARCH( data!$JR$67, Y106 )), data!$JQ$67,
ISNUMBER(SEARCH( data!$JR$68, Y106 )), data!$JQ$68,
ISNUMBER(SEARCH( data!$JR$69, Y106 )), data!$JQ$69,
ISNUMBER(SEARCH( data!$JR$70, Y106 )), data!$JQ$70,
ISNUMBER(SEARCH( data!$JR$71, Y106 )), data!$JQ$71,
TRUE,data!$JQ$72))</f>
        <v>♥♥</v>
      </c>
      <c r="AB104" s="4674"/>
      <c r="AC104" s="4674"/>
      <c r="AD104" s="4668" t="s">
        <v>68</v>
      </c>
      <c r="AE104" s="4669"/>
      <c r="AF104" s="801"/>
      <c r="AG104" s="4672" t="s">
        <v>68</v>
      </c>
      <c r="AH104" s="4668"/>
      <c r="AI104" s="4674" t="str">
        <f>IF(ISBLANK(AG106),data!$JO$72,_xlfn.IFS(
ISNUMBER(SEARCH( data!$JP$23, AG106 )), data!$JO$23,
ISNUMBER(SEARCH( data!$JP$24, AG106 )), data!$JO$24,
ISNUMBER(SEARCH( data!$JP$25, AG106 )), data!$JO$25,
ISNUMBER(SEARCH( data!$JP$26, AG106 )), data!$JO$26,
ISNUMBER(SEARCH( data!$JP$27, AG106 )), data!$JO$27,
ISNUMBER(SEARCH( data!$JP$28, AG106 )), data!$JO$28,
ISNUMBER(SEARCH( data!$JP$29, AG106 )), data!$JO$29,
ISNUMBER(SEARCH( data!$JP$30, AG106 )), data!$JO$30,
ISNUMBER(SEARCH( data!$JP$31, AG106 )), data!$JO$31,
ISNUMBER(SEARCH( data!$JP$32, AG106 )), data!$JO$32,
ISNUMBER(SEARCH( data!$JP$33, AG106 )), data!$JO$33,
ISNUMBER(SEARCH( data!$JP$34, AG106 )), data!$JO$34,
ISNUMBER(SEARCH( data!$JP$35, AG106 )), data!$JO$35,
ISNUMBER(SEARCH( data!$JP$36, AG106 )), data!$JO$36,
ISNUMBER(SEARCH( data!$JP$37, AG106 )), data!$JO$37,
ISNUMBER(SEARCH( data!$JP$38, AG106 )), data!$JO$38,
ISNUMBER(SEARCH( data!$JP$39, AG106 )), data!$JO$39,
ISNUMBER(SEARCH( data!$JP$40, AG106 )), data!$JO$40,
ISNUMBER(SEARCH( data!$JP$41, AG106 )), data!$JO$41,
ISNUMBER(SEARCH( data!$JP$42, AG106 )), data!$JO$42,
ISNUMBER(SEARCH( data!$JP$43, AG106 )), data!$JO$43,
ISNUMBER(SEARCH( data!$JP$44, AG106 )), data!$JO$44,
ISNUMBER(SEARCH( data!$JP$45, AG106 )), data!$JO$45,
ISNUMBER(SEARCH( data!$JP$46, AG106 )), data!$JO$46,
ISNUMBER(SEARCH( data!$JP$47, AG106 )), data!$JO$47,
ISNUMBER(SEARCH( data!$JP$48, AG106 )), data!$JO$48,
ISNUMBER(SEARCH( data!$JP$49, AG106 )), data!$JO$49,
ISNUMBER(SEARCH( data!$JP$50, AG106 )), data!$JO$50,
ISNUMBER(SEARCH( data!$JP$51, AG106 )), data!$JO$51,
ISNUMBER(SEARCH( data!$JP$52, AG106 )), data!$JO$52,
ISNUMBER(SEARCH( data!$JP$53, AG106 )), data!$JO$53,
ISNUMBER(SEARCH( data!$JP$54, AG106 )), data!$JO$54,
ISNUMBER(SEARCH( data!$JP$55, AG106 )), data!$JO$55,
ISNUMBER(SEARCH( data!$JP$56, AG106 )), data!$JO$56,
ISNUMBER(SEARCH( data!$JP$57, AG106 )), data!$JO$57,
ISNUMBER(SEARCH( data!$JP$58, AG106 )), data!$JO$58,
ISNUMBER(SEARCH( data!$JP$59, AG106 )), data!$JO$59,
ISNUMBER(SEARCH( data!$JP$60, AG106 )), data!$JO$60,
ISNUMBER(SEARCH( data!$JP$61, AG106 )), data!$JO$61,
ISNUMBER(SEARCH( data!$JP$62, AG106 )), data!$JO$62,
ISNUMBER(SEARCH( data!$JP$63, AG106 )), data!$JO$63,
ISNUMBER(SEARCH( data!$JP$64, AG106 )), data!$JO$64,
ISNUMBER(SEARCH( data!$JP$65, AG106 )), data!$JO$65,
ISNUMBER(SEARCH( data!$JP$66, AG106 )), data!$JO$66,
ISNUMBER(SEARCH( data!$JP$67, AG106 )), data!$JO$67,
ISNUMBER(SEARCH( data!$JP$68, AG106 )), data!$JO$68,
ISNUMBER(SEARCH( data!$JP$69, AG106 )), data!$JO$69,
ISNUMBER(SEARCH( data!$JP$70, AG106 )), data!$JO$70,
ISNUMBER(SEARCH( data!$JP$71, AG106 )), data!$JO$71,
ISNUMBER(SEARCH( data!$JR$23, AG106 )), data!$JQ$23,
ISNUMBER(SEARCH( data!$JR$24, AG106 )), data!$JQ$24,
ISNUMBER(SEARCH( data!$JR$25, AG106 )), data!$JQ$25,
ISNUMBER(SEARCH( data!$JR$26, AG106 )), data!$JQ$26,
ISNUMBER(SEARCH( data!$JR$27, AG106 )), data!$JQ$27,
ISNUMBER(SEARCH( data!$JR$28, AG106 )), data!$JQ$28,
ISNUMBER(SEARCH( data!$JR$29, AG106 )), data!$JQ$29,
ISNUMBER(SEARCH( data!$JR$30, AG106 )), data!$JQ$30,
ISNUMBER(SEARCH( data!$JR$31, AG106 )), data!$JQ$31,
ISNUMBER(SEARCH( data!$JR$32, AG106 )), data!$JQ$32,
ISNUMBER(SEARCH( data!$JR$33, AG106 )), data!$JQ$33,
ISNUMBER(SEARCH( data!$JR$34, AG106 )), data!$JQ$34,
ISNUMBER(SEARCH( data!$JR$35, AG106 )), data!$JQ$35,
ISNUMBER(SEARCH( data!$JR$36, AG106 )), data!$JQ$36,
ISNUMBER(SEARCH( data!$JR$37, AG106 )), data!$JQ$37,
ISNUMBER(SEARCH( data!$JR$38, AG106 )), data!$JQ$38,
ISNUMBER(SEARCH( data!$JR$39, AG106 )), data!$JQ$39,
ISNUMBER(SEARCH( data!$JR$40, AG106 )), data!$JQ$40,
ISNUMBER(SEARCH( data!$JR$41, AG106 )), data!$JQ$41,
ISNUMBER(SEARCH( data!$JR$42, AG106 )), data!$JQ$42,
ISNUMBER(SEARCH( data!$JR$43, AG106 )), data!$JQ$43,
ISNUMBER(SEARCH( data!$JR$44, AG106 )), data!$JQ$44,
ISNUMBER(SEARCH( data!$JR$45, AG106 )), data!$JQ$45,
ISNUMBER(SEARCH( data!$JR$46, AG106 )), data!$JQ$46,
ISNUMBER(SEARCH( data!$JR$47, AG106 )), data!$JQ$47,
ISNUMBER(SEARCH( data!$JR$48, AG106 )), data!$JQ$48,
ISNUMBER(SEARCH( data!$JR$49, AG106 )), data!$JQ$49,
ISNUMBER(SEARCH( data!$JR$50, AG106 )), data!$JQ$50,
ISNUMBER(SEARCH( data!$JR$51, AG106 )), data!$JQ$51,
ISNUMBER(SEARCH( data!$JR$52, AG106 )), data!$JQ$52,
ISNUMBER(SEARCH( data!$JR$53, AG106 )), data!$JQ$53,
ISNUMBER(SEARCH( data!$JR$54, AG106 )), data!$JQ$54,
ISNUMBER(SEARCH( data!$JR$55, AG106 )), data!$JQ$55,
ISNUMBER(SEARCH( data!$JR$56, AG106 )), data!$JQ$56,
ISNUMBER(SEARCH( data!$JR$57, AG106 )), data!$JQ$57,
ISNUMBER(SEARCH( data!$JR$58, AG106 )), data!$JQ$58,
ISNUMBER(SEARCH( data!$JR$59, AG106 )), data!$JQ$59,
ISNUMBER(SEARCH( data!$JR$60, AG106 )), data!$JQ$60,
ISNUMBER(SEARCH( data!$JR$61, AG106 )), data!$JQ$61,
ISNUMBER(SEARCH( data!$JR$62, AG106 )), data!$JQ$62,
ISNUMBER(SEARCH( data!$JR$63, AG106 )), data!$JQ$63,
ISNUMBER(SEARCH( data!$JR$64, AG106 )), data!$JQ$64,
ISNUMBER(SEARCH( data!$JR$65, AG106 )), data!$JQ$65,
ISNUMBER(SEARCH( data!$JR$66, AG106 )), data!$JQ$66,
ISNUMBER(SEARCH( data!$JR$67, AG106 )), data!$JQ$67,
ISNUMBER(SEARCH( data!$JR$68, AG106 )), data!$JQ$68,
ISNUMBER(SEARCH( data!$JR$69, AG106 )), data!$JQ$69,
ISNUMBER(SEARCH( data!$JR$70, AG106 )), data!$JQ$70,
ISNUMBER(SEARCH( data!$JR$71, AG106 )), data!$JQ$71,
TRUE,data!$JQ$72))</f>
        <v>♥</v>
      </c>
      <c r="AJ104" s="4674"/>
      <c r="AK104" s="4674"/>
      <c r="AL104" s="4668" t="s">
        <v>68</v>
      </c>
      <c r="AM104" s="4669"/>
      <c r="AN104" s="801"/>
      <c r="AO104" s="4672" t="s">
        <v>68</v>
      </c>
      <c r="AP104" s="4668"/>
      <c r="AQ104" s="4674" t="str">
        <f>IF(ISBLANK(AO106),data!$JO$72,_xlfn.IFS(
ISNUMBER(SEARCH( data!$JP$23, AO106 )), data!$JO$23,
ISNUMBER(SEARCH( data!$JP$24, AO106 )), data!$JO$24,
ISNUMBER(SEARCH( data!$JP$25, AO106 )), data!$JO$25,
ISNUMBER(SEARCH( data!$JP$26, AO106 )), data!$JO$26,
ISNUMBER(SEARCH( data!$JP$27, AO106 )), data!$JO$27,
ISNUMBER(SEARCH( data!$JP$28, AO106 )), data!$JO$28,
ISNUMBER(SEARCH( data!$JP$29, AO106 )), data!$JO$29,
ISNUMBER(SEARCH( data!$JP$30, AO106 )), data!$JO$30,
ISNUMBER(SEARCH( data!$JP$31, AO106 )), data!$JO$31,
ISNUMBER(SEARCH( data!$JP$32, AO106 )), data!$JO$32,
ISNUMBER(SEARCH( data!$JP$33, AO106 )), data!$JO$33,
ISNUMBER(SEARCH( data!$JP$34, AO106 )), data!$JO$34,
ISNUMBER(SEARCH( data!$JP$35, AO106 )), data!$JO$35,
ISNUMBER(SEARCH( data!$JP$36, AO106 )), data!$JO$36,
ISNUMBER(SEARCH( data!$JP$37, AO106 )), data!$JO$37,
ISNUMBER(SEARCH( data!$JP$38, AO106 )), data!$JO$38,
ISNUMBER(SEARCH( data!$JP$39, AO106 )), data!$JO$39,
ISNUMBER(SEARCH( data!$JP$40, AO106 )), data!$JO$40,
ISNUMBER(SEARCH( data!$JP$41, AO106 )), data!$JO$41,
ISNUMBER(SEARCH( data!$JP$42, AO106 )), data!$JO$42,
ISNUMBER(SEARCH( data!$JP$43, AO106 )), data!$JO$43,
ISNUMBER(SEARCH( data!$JP$44, AO106 )), data!$JO$44,
ISNUMBER(SEARCH( data!$JP$45, AO106 )), data!$JO$45,
ISNUMBER(SEARCH( data!$JP$46, AO106 )), data!$JO$46,
ISNUMBER(SEARCH( data!$JP$47, AO106 )), data!$JO$47,
ISNUMBER(SEARCH( data!$JP$48, AO106 )), data!$JO$48,
ISNUMBER(SEARCH( data!$JP$49, AO106 )), data!$JO$49,
ISNUMBER(SEARCH( data!$JP$50, AO106 )), data!$JO$50,
ISNUMBER(SEARCH( data!$JP$51, AO106 )), data!$JO$51,
ISNUMBER(SEARCH( data!$JP$52, AO106 )), data!$JO$52,
ISNUMBER(SEARCH( data!$JP$53, AO106 )), data!$JO$53,
ISNUMBER(SEARCH( data!$JP$54, AO106 )), data!$JO$54,
ISNUMBER(SEARCH( data!$JP$55, AO106 )), data!$JO$55,
ISNUMBER(SEARCH( data!$JP$56, AO106 )), data!$JO$56,
ISNUMBER(SEARCH( data!$JP$57, AO106 )), data!$JO$57,
ISNUMBER(SEARCH( data!$JP$58, AO106 )), data!$JO$58,
ISNUMBER(SEARCH( data!$JP$59, AO106 )), data!$JO$59,
ISNUMBER(SEARCH( data!$JP$60, AO106 )), data!$JO$60,
ISNUMBER(SEARCH( data!$JP$61, AO106 )), data!$JO$61,
ISNUMBER(SEARCH( data!$JP$62, AO106 )), data!$JO$62,
ISNUMBER(SEARCH( data!$JP$63, AO106 )), data!$JO$63,
ISNUMBER(SEARCH( data!$JP$64, AO106 )), data!$JO$64,
ISNUMBER(SEARCH( data!$JP$65, AO106 )), data!$JO$65,
ISNUMBER(SEARCH( data!$JP$66, AO106 )), data!$JO$66,
ISNUMBER(SEARCH( data!$JP$67, AO106 )), data!$JO$67,
ISNUMBER(SEARCH( data!$JP$68, AO106 )), data!$JO$68,
ISNUMBER(SEARCH( data!$JP$69, AO106 )), data!$JO$69,
ISNUMBER(SEARCH( data!$JP$70, AO106 )), data!$JO$70,
ISNUMBER(SEARCH( data!$JP$71, AO106 )), data!$JO$71,
ISNUMBER(SEARCH( data!$JR$23, AO106 )), data!$JQ$23,
ISNUMBER(SEARCH( data!$JR$24, AO106 )), data!$JQ$24,
ISNUMBER(SEARCH( data!$JR$25, AO106 )), data!$JQ$25,
ISNUMBER(SEARCH( data!$JR$26, AO106 )), data!$JQ$26,
ISNUMBER(SEARCH( data!$JR$27, AO106 )), data!$JQ$27,
ISNUMBER(SEARCH( data!$JR$28, AO106 )), data!$JQ$28,
ISNUMBER(SEARCH( data!$JR$29, AO106 )), data!$JQ$29,
ISNUMBER(SEARCH( data!$JR$30, AO106 )), data!$JQ$30,
ISNUMBER(SEARCH( data!$JR$31, AO106 )), data!$JQ$31,
ISNUMBER(SEARCH( data!$JR$32, AO106 )), data!$JQ$32,
ISNUMBER(SEARCH( data!$JR$33, AO106 )), data!$JQ$33,
ISNUMBER(SEARCH( data!$JR$34, AO106 )), data!$JQ$34,
ISNUMBER(SEARCH( data!$JR$35, AO106 )), data!$JQ$35,
ISNUMBER(SEARCH( data!$JR$36, AO106 )), data!$JQ$36,
ISNUMBER(SEARCH( data!$JR$37, AO106 )), data!$JQ$37,
ISNUMBER(SEARCH( data!$JR$38, AO106 )), data!$JQ$38,
ISNUMBER(SEARCH( data!$JR$39, AO106 )), data!$JQ$39,
ISNUMBER(SEARCH( data!$JR$40, AO106 )), data!$JQ$40,
ISNUMBER(SEARCH( data!$JR$41, AO106 )), data!$JQ$41,
ISNUMBER(SEARCH( data!$JR$42, AO106 )), data!$JQ$42,
ISNUMBER(SEARCH( data!$JR$43, AO106 )), data!$JQ$43,
ISNUMBER(SEARCH( data!$JR$44, AO106 )), data!$JQ$44,
ISNUMBER(SEARCH( data!$JR$45, AO106 )), data!$JQ$45,
ISNUMBER(SEARCH( data!$JR$46, AO106 )), data!$JQ$46,
ISNUMBER(SEARCH( data!$JR$47, AO106 )), data!$JQ$47,
ISNUMBER(SEARCH( data!$JR$48, AO106 )), data!$JQ$48,
ISNUMBER(SEARCH( data!$JR$49, AO106 )), data!$JQ$49,
ISNUMBER(SEARCH( data!$JR$50, AO106 )), data!$JQ$50,
ISNUMBER(SEARCH( data!$JR$51, AO106 )), data!$JQ$51,
ISNUMBER(SEARCH( data!$JR$52, AO106 )), data!$JQ$52,
ISNUMBER(SEARCH( data!$JR$53, AO106 )), data!$JQ$53,
ISNUMBER(SEARCH( data!$JR$54, AO106 )), data!$JQ$54,
ISNUMBER(SEARCH( data!$JR$55, AO106 )), data!$JQ$55,
ISNUMBER(SEARCH( data!$JR$56, AO106 )), data!$JQ$56,
ISNUMBER(SEARCH( data!$JR$57, AO106 )), data!$JQ$57,
ISNUMBER(SEARCH( data!$JR$58, AO106 )), data!$JQ$58,
ISNUMBER(SEARCH( data!$JR$59, AO106 )), data!$JQ$59,
ISNUMBER(SEARCH( data!$JR$60, AO106 )), data!$JQ$60,
ISNUMBER(SEARCH( data!$JR$61, AO106 )), data!$JQ$61,
ISNUMBER(SEARCH( data!$JR$62, AO106 )), data!$JQ$62,
ISNUMBER(SEARCH( data!$JR$63, AO106 )), data!$JQ$63,
ISNUMBER(SEARCH( data!$JR$64, AO106 )), data!$JQ$64,
ISNUMBER(SEARCH( data!$JR$65, AO106 )), data!$JQ$65,
ISNUMBER(SEARCH( data!$JR$66, AO106 )), data!$JQ$66,
ISNUMBER(SEARCH( data!$JR$67, AO106 )), data!$JQ$67,
ISNUMBER(SEARCH( data!$JR$68, AO106 )), data!$JQ$68,
ISNUMBER(SEARCH( data!$JR$69, AO106 )), data!$JQ$69,
ISNUMBER(SEARCH( data!$JR$70, AO106 )), data!$JQ$70,
ISNUMBER(SEARCH( data!$JR$71, AO106 )), data!$JQ$71,
TRUE,data!$JQ$72))</f>
        <v>🞅</v>
      </c>
      <c r="AR104" s="4674"/>
      <c r="AS104" s="4674"/>
      <c r="AT104" s="4668" t="s">
        <v>68</v>
      </c>
      <c r="AU104" s="4669"/>
      <c r="AV104" s="801"/>
      <c r="AW104" s="4672" t="s">
        <v>68</v>
      </c>
      <c r="AX104" s="4668"/>
      <c r="AY104" s="4674" t="str">
        <f>IF(ISBLANK(AW106),data!$JO$72,_xlfn.IFS(
ISNUMBER(SEARCH( data!$JP$23, AW106 )), data!$JO$23,
ISNUMBER(SEARCH( data!$JP$24, AW106 )), data!$JO$24,
ISNUMBER(SEARCH( data!$JP$25, AW106 )), data!$JO$25,
ISNUMBER(SEARCH( data!$JP$26, AW106 )), data!$JO$26,
ISNUMBER(SEARCH( data!$JP$27, AW106 )), data!$JO$27,
ISNUMBER(SEARCH( data!$JP$28, AW106 )), data!$JO$28,
ISNUMBER(SEARCH( data!$JP$29, AW106 )), data!$JO$29,
ISNUMBER(SEARCH( data!$JP$30, AW106 )), data!$JO$30,
ISNUMBER(SEARCH( data!$JP$31, AW106 )), data!$JO$31,
ISNUMBER(SEARCH( data!$JP$32, AW106 )), data!$JO$32,
ISNUMBER(SEARCH( data!$JP$33, AW106 )), data!$JO$33,
ISNUMBER(SEARCH( data!$JP$34, AW106 )), data!$JO$34,
ISNUMBER(SEARCH( data!$JP$35, AW106 )), data!$JO$35,
ISNUMBER(SEARCH( data!$JP$36, AW106 )), data!$JO$36,
ISNUMBER(SEARCH( data!$JP$37, AW106 )), data!$JO$37,
ISNUMBER(SEARCH( data!$JP$38, AW106 )), data!$JO$38,
ISNUMBER(SEARCH( data!$JP$39, AW106 )), data!$JO$39,
ISNUMBER(SEARCH( data!$JP$40, AW106 )), data!$JO$40,
ISNUMBER(SEARCH( data!$JP$41, AW106 )), data!$JO$41,
ISNUMBER(SEARCH( data!$JP$42, AW106 )), data!$JO$42,
ISNUMBER(SEARCH( data!$JP$43, AW106 )), data!$JO$43,
ISNUMBER(SEARCH( data!$JP$44, AW106 )), data!$JO$44,
ISNUMBER(SEARCH( data!$JP$45, AW106 )), data!$JO$45,
ISNUMBER(SEARCH( data!$JP$46, AW106 )), data!$JO$46,
ISNUMBER(SEARCH( data!$JP$47, AW106 )), data!$JO$47,
ISNUMBER(SEARCH( data!$JP$48, AW106 )), data!$JO$48,
ISNUMBER(SEARCH( data!$JP$49, AW106 )), data!$JO$49,
ISNUMBER(SEARCH( data!$JP$50, AW106 )), data!$JO$50,
ISNUMBER(SEARCH( data!$JP$51, AW106 )), data!$JO$51,
ISNUMBER(SEARCH( data!$JP$52, AW106 )), data!$JO$52,
ISNUMBER(SEARCH( data!$JP$53, AW106 )), data!$JO$53,
ISNUMBER(SEARCH( data!$JP$54, AW106 )), data!$JO$54,
ISNUMBER(SEARCH( data!$JP$55, AW106 )), data!$JO$55,
ISNUMBER(SEARCH( data!$JP$56, AW106 )), data!$JO$56,
ISNUMBER(SEARCH( data!$JP$57, AW106 )), data!$JO$57,
ISNUMBER(SEARCH( data!$JP$58, AW106 )), data!$JO$58,
ISNUMBER(SEARCH( data!$JP$59, AW106 )), data!$JO$59,
ISNUMBER(SEARCH( data!$JP$60, AW106 )), data!$JO$60,
ISNUMBER(SEARCH( data!$JP$61, AW106 )), data!$JO$61,
ISNUMBER(SEARCH( data!$JP$62, AW106 )), data!$JO$62,
ISNUMBER(SEARCH( data!$JP$63, AW106 )), data!$JO$63,
ISNUMBER(SEARCH( data!$JP$64, AW106 )), data!$JO$64,
ISNUMBER(SEARCH( data!$JP$65, AW106 )), data!$JO$65,
ISNUMBER(SEARCH( data!$JP$66, AW106 )), data!$JO$66,
ISNUMBER(SEARCH( data!$JP$67, AW106 )), data!$JO$67,
ISNUMBER(SEARCH( data!$JP$68, AW106 )), data!$JO$68,
ISNUMBER(SEARCH( data!$JP$69, AW106 )), data!$JO$69,
ISNUMBER(SEARCH( data!$JP$70, AW106 )), data!$JO$70,
ISNUMBER(SEARCH( data!$JP$71, AW106 )), data!$JO$71,
ISNUMBER(SEARCH( data!$JR$23, AW106 )), data!$JQ$23,
ISNUMBER(SEARCH( data!$JR$24, AW106 )), data!$JQ$24,
ISNUMBER(SEARCH( data!$JR$25, AW106 )), data!$JQ$25,
ISNUMBER(SEARCH( data!$JR$26, AW106 )), data!$JQ$26,
ISNUMBER(SEARCH( data!$JR$27, AW106 )), data!$JQ$27,
ISNUMBER(SEARCH( data!$JR$28, AW106 )), data!$JQ$28,
ISNUMBER(SEARCH( data!$JR$29, AW106 )), data!$JQ$29,
ISNUMBER(SEARCH( data!$JR$30, AW106 )), data!$JQ$30,
ISNUMBER(SEARCH( data!$JR$31, AW106 )), data!$JQ$31,
ISNUMBER(SEARCH( data!$JR$32, AW106 )), data!$JQ$32,
ISNUMBER(SEARCH( data!$JR$33, AW106 )), data!$JQ$33,
ISNUMBER(SEARCH( data!$JR$34, AW106 )), data!$JQ$34,
ISNUMBER(SEARCH( data!$JR$35, AW106 )), data!$JQ$35,
ISNUMBER(SEARCH( data!$JR$36, AW106 )), data!$JQ$36,
ISNUMBER(SEARCH( data!$JR$37, AW106 )), data!$JQ$37,
ISNUMBER(SEARCH( data!$JR$38, AW106 )), data!$JQ$38,
ISNUMBER(SEARCH( data!$JR$39, AW106 )), data!$JQ$39,
ISNUMBER(SEARCH( data!$JR$40, AW106 )), data!$JQ$40,
ISNUMBER(SEARCH( data!$JR$41, AW106 )), data!$JQ$41,
ISNUMBER(SEARCH( data!$JR$42, AW106 )), data!$JQ$42,
ISNUMBER(SEARCH( data!$JR$43, AW106 )), data!$JQ$43,
ISNUMBER(SEARCH( data!$JR$44, AW106 )), data!$JQ$44,
ISNUMBER(SEARCH( data!$JR$45, AW106 )), data!$JQ$45,
ISNUMBER(SEARCH( data!$JR$46, AW106 )), data!$JQ$46,
ISNUMBER(SEARCH( data!$JR$47, AW106 )), data!$JQ$47,
ISNUMBER(SEARCH( data!$JR$48, AW106 )), data!$JQ$48,
ISNUMBER(SEARCH( data!$JR$49, AW106 )), data!$JQ$49,
ISNUMBER(SEARCH( data!$JR$50, AW106 )), data!$JQ$50,
ISNUMBER(SEARCH( data!$JR$51, AW106 )), data!$JQ$51,
ISNUMBER(SEARCH( data!$JR$52, AW106 )), data!$JQ$52,
ISNUMBER(SEARCH( data!$JR$53, AW106 )), data!$JQ$53,
ISNUMBER(SEARCH( data!$JR$54, AW106 )), data!$JQ$54,
ISNUMBER(SEARCH( data!$JR$55, AW106 )), data!$JQ$55,
ISNUMBER(SEARCH( data!$JR$56, AW106 )), data!$JQ$56,
ISNUMBER(SEARCH( data!$JR$57, AW106 )), data!$JQ$57,
ISNUMBER(SEARCH( data!$JR$58, AW106 )), data!$JQ$58,
ISNUMBER(SEARCH( data!$JR$59, AW106 )), data!$JQ$59,
ISNUMBER(SEARCH( data!$JR$60, AW106 )), data!$JQ$60,
ISNUMBER(SEARCH( data!$JR$61, AW106 )), data!$JQ$61,
ISNUMBER(SEARCH( data!$JR$62, AW106 )), data!$JQ$62,
ISNUMBER(SEARCH( data!$JR$63, AW106 )), data!$JQ$63,
ISNUMBER(SEARCH( data!$JR$64, AW106 )), data!$JQ$64,
ISNUMBER(SEARCH( data!$JR$65, AW106 )), data!$JQ$65,
ISNUMBER(SEARCH( data!$JR$66, AW106 )), data!$JQ$66,
ISNUMBER(SEARCH( data!$JR$67, AW106 )), data!$JQ$67,
ISNUMBER(SEARCH( data!$JR$68, AW106 )), data!$JQ$68,
ISNUMBER(SEARCH( data!$JR$69, AW106 )), data!$JQ$69,
ISNUMBER(SEARCH( data!$JR$70, AW106 )), data!$JQ$70,
ISNUMBER(SEARCH( data!$JR$71, AW106 )), data!$JQ$71,
TRUE,data!$JQ$72))</f>
        <v>🗄</v>
      </c>
      <c r="AZ104" s="4674"/>
      <c r="BA104" s="4674"/>
      <c r="BB104" s="4668" t="s">
        <v>68</v>
      </c>
      <c r="BC104" s="4669"/>
      <c r="BD104" s="801"/>
      <c r="BE104" s="4672" t="s">
        <v>68</v>
      </c>
      <c r="BF104" s="4668"/>
      <c r="BG104" s="4674" t="str">
        <f>IF(ISBLANK(BE106),data!$JO$72,_xlfn.IFS(
ISNUMBER(SEARCH( data!$JP$23, BE106 )), data!$JO$23,
ISNUMBER(SEARCH( data!$JP$24, BE106 )), data!$JO$24,
ISNUMBER(SEARCH( data!$JP$25, BE106 )), data!$JO$25,
ISNUMBER(SEARCH( data!$JP$26, BE106 )), data!$JO$26,
ISNUMBER(SEARCH( data!$JP$27, BE106 )), data!$JO$27,
ISNUMBER(SEARCH( data!$JP$28, BE106 )), data!$JO$28,
ISNUMBER(SEARCH( data!$JP$29, BE106 )), data!$JO$29,
ISNUMBER(SEARCH( data!$JP$30, BE106 )), data!$JO$30,
ISNUMBER(SEARCH( data!$JP$31, BE106 )), data!$JO$31,
ISNUMBER(SEARCH( data!$JP$32, BE106 )), data!$JO$32,
ISNUMBER(SEARCH( data!$JP$33, BE106 )), data!$JO$33,
ISNUMBER(SEARCH( data!$JP$34, BE106 )), data!$JO$34,
ISNUMBER(SEARCH( data!$JP$35, BE106 )), data!$JO$35,
ISNUMBER(SEARCH( data!$JP$36, BE106 )), data!$JO$36,
ISNUMBER(SEARCH( data!$JP$37, BE106 )), data!$JO$37,
ISNUMBER(SEARCH( data!$JP$38, BE106 )), data!$JO$38,
ISNUMBER(SEARCH( data!$JP$39, BE106 )), data!$JO$39,
ISNUMBER(SEARCH( data!$JP$40, BE106 )), data!$JO$40,
ISNUMBER(SEARCH( data!$JP$41, BE106 )), data!$JO$41,
ISNUMBER(SEARCH( data!$JP$42, BE106 )), data!$JO$42,
ISNUMBER(SEARCH( data!$JP$43, BE106 )), data!$JO$43,
ISNUMBER(SEARCH( data!$JP$44, BE106 )), data!$JO$44,
ISNUMBER(SEARCH( data!$JP$45, BE106 )), data!$JO$45,
ISNUMBER(SEARCH( data!$JP$46, BE106 )), data!$JO$46,
ISNUMBER(SEARCH( data!$JP$47, BE106 )), data!$JO$47,
ISNUMBER(SEARCH( data!$JP$48, BE106 )), data!$JO$48,
ISNUMBER(SEARCH( data!$JP$49, BE106 )), data!$JO$49,
ISNUMBER(SEARCH( data!$JP$50, BE106 )), data!$JO$50,
ISNUMBER(SEARCH( data!$JP$51, BE106 )), data!$JO$51,
ISNUMBER(SEARCH( data!$JP$52, BE106 )), data!$JO$52,
ISNUMBER(SEARCH( data!$JP$53, BE106 )), data!$JO$53,
ISNUMBER(SEARCH( data!$JP$54, BE106 )), data!$JO$54,
ISNUMBER(SEARCH( data!$JP$55, BE106 )), data!$JO$55,
ISNUMBER(SEARCH( data!$JP$56, BE106 )), data!$JO$56,
ISNUMBER(SEARCH( data!$JP$57, BE106 )), data!$JO$57,
ISNUMBER(SEARCH( data!$JP$58, BE106 )), data!$JO$58,
ISNUMBER(SEARCH( data!$JP$59, BE106 )), data!$JO$59,
ISNUMBER(SEARCH( data!$JP$60, BE106 )), data!$JO$60,
ISNUMBER(SEARCH( data!$JP$61, BE106 )), data!$JO$61,
ISNUMBER(SEARCH( data!$JP$62, BE106 )), data!$JO$62,
ISNUMBER(SEARCH( data!$JP$63, BE106 )), data!$JO$63,
ISNUMBER(SEARCH( data!$JP$64, BE106 )), data!$JO$64,
ISNUMBER(SEARCH( data!$JP$65, BE106 )), data!$JO$65,
ISNUMBER(SEARCH( data!$JP$66, BE106 )), data!$JO$66,
ISNUMBER(SEARCH( data!$JP$67, BE106 )), data!$JO$67,
ISNUMBER(SEARCH( data!$JP$68, BE106 )), data!$JO$68,
ISNUMBER(SEARCH( data!$JP$69, BE106 )), data!$JO$69,
ISNUMBER(SEARCH( data!$JP$70, BE106 )), data!$JO$70,
ISNUMBER(SEARCH( data!$JP$71, BE106 )), data!$JO$71,
ISNUMBER(SEARCH( data!$JR$23, BE106 )), data!$JQ$23,
ISNUMBER(SEARCH( data!$JR$24, BE106 )), data!$JQ$24,
ISNUMBER(SEARCH( data!$JR$25, BE106 )), data!$JQ$25,
ISNUMBER(SEARCH( data!$JR$26, BE106 )), data!$JQ$26,
ISNUMBER(SEARCH( data!$JR$27, BE106 )), data!$JQ$27,
ISNUMBER(SEARCH( data!$JR$28, BE106 )), data!$JQ$28,
ISNUMBER(SEARCH( data!$JR$29, BE106 )), data!$JQ$29,
ISNUMBER(SEARCH( data!$JR$30, BE106 )), data!$JQ$30,
ISNUMBER(SEARCH( data!$JR$31, BE106 )), data!$JQ$31,
ISNUMBER(SEARCH( data!$JR$32, BE106 )), data!$JQ$32,
ISNUMBER(SEARCH( data!$JR$33, BE106 )), data!$JQ$33,
ISNUMBER(SEARCH( data!$JR$34, BE106 )), data!$JQ$34,
ISNUMBER(SEARCH( data!$JR$35, BE106 )), data!$JQ$35,
ISNUMBER(SEARCH( data!$JR$36, BE106 )), data!$JQ$36,
ISNUMBER(SEARCH( data!$JR$37, BE106 )), data!$JQ$37,
ISNUMBER(SEARCH( data!$JR$38, BE106 )), data!$JQ$38,
ISNUMBER(SEARCH( data!$JR$39, BE106 )), data!$JQ$39,
ISNUMBER(SEARCH( data!$JR$40, BE106 )), data!$JQ$40,
ISNUMBER(SEARCH( data!$JR$41, BE106 )), data!$JQ$41,
ISNUMBER(SEARCH( data!$JR$42, BE106 )), data!$JQ$42,
ISNUMBER(SEARCH( data!$JR$43, BE106 )), data!$JQ$43,
ISNUMBER(SEARCH( data!$JR$44, BE106 )), data!$JQ$44,
ISNUMBER(SEARCH( data!$JR$45, BE106 )), data!$JQ$45,
ISNUMBER(SEARCH( data!$JR$46, BE106 )), data!$JQ$46,
ISNUMBER(SEARCH( data!$JR$47, BE106 )), data!$JQ$47,
ISNUMBER(SEARCH( data!$JR$48, BE106 )), data!$JQ$48,
ISNUMBER(SEARCH( data!$JR$49, BE106 )), data!$JQ$49,
ISNUMBER(SEARCH( data!$JR$50, BE106 )), data!$JQ$50,
ISNUMBER(SEARCH( data!$JR$51, BE106 )), data!$JQ$51,
ISNUMBER(SEARCH( data!$JR$52, BE106 )), data!$JQ$52,
ISNUMBER(SEARCH( data!$JR$53, BE106 )), data!$JQ$53,
ISNUMBER(SEARCH( data!$JR$54, BE106 )), data!$JQ$54,
ISNUMBER(SEARCH( data!$JR$55, BE106 )), data!$JQ$55,
ISNUMBER(SEARCH( data!$JR$56, BE106 )), data!$JQ$56,
ISNUMBER(SEARCH( data!$JR$57, BE106 )), data!$JQ$57,
ISNUMBER(SEARCH( data!$JR$58, BE106 )), data!$JQ$58,
ISNUMBER(SEARCH( data!$JR$59, BE106 )), data!$JQ$59,
ISNUMBER(SEARCH( data!$JR$60, BE106 )), data!$JQ$60,
ISNUMBER(SEARCH( data!$JR$61, BE106 )), data!$JQ$61,
ISNUMBER(SEARCH( data!$JR$62, BE106 )), data!$JQ$62,
ISNUMBER(SEARCH( data!$JR$63, BE106 )), data!$JQ$63,
ISNUMBER(SEARCH( data!$JR$64, BE106 )), data!$JQ$64,
ISNUMBER(SEARCH( data!$JR$65, BE106 )), data!$JQ$65,
ISNUMBER(SEARCH( data!$JR$66, BE106 )), data!$JQ$66,
ISNUMBER(SEARCH( data!$JR$67, BE106 )), data!$JQ$67,
ISNUMBER(SEARCH( data!$JR$68, BE106 )), data!$JQ$68,
ISNUMBER(SEARCH( data!$JR$69, BE106 )), data!$JQ$69,
ISNUMBER(SEARCH( data!$JR$70, BE106 )), data!$JQ$70,
ISNUMBER(SEARCH( data!$JR$71, BE106 )), data!$JQ$71,
TRUE,data!$JQ$72))</f>
        <v>⠒❖⠒</v>
      </c>
      <c r="BH104" s="4674"/>
      <c r="BI104" s="4674"/>
      <c r="BJ104" s="4668" t="s">
        <v>68</v>
      </c>
      <c r="BK104" s="4669"/>
      <c r="BL104" s="801"/>
      <c r="BM104" s="4672" t="s">
        <v>68</v>
      </c>
      <c r="BN104" s="4668"/>
      <c r="BO104" s="4674" t="str">
        <f>IF(ISBLANK(BM106),data!$JO$72,_xlfn.IFS(
ISNUMBER(SEARCH( data!$JP$23, BM106 )), data!$JO$23,
ISNUMBER(SEARCH( data!$JP$24, BM106 )), data!$JO$24,
ISNUMBER(SEARCH( data!$JP$25, BM106 )), data!$JO$25,
ISNUMBER(SEARCH( data!$JP$26, BM106 )), data!$JO$26,
ISNUMBER(SEARCH( data!$JP$27, BM106 )), data!$JO$27,
ISNUMBER(SEARCH( data!$JP$28, BM106 )), data!$JO$28,
ISNUMBER(SEARCH( data!$JP$29, BM106 )), data!$JO$29,
ISNUMBER(SEARCH( data!$JP$30, BM106 )), data!$JO$30,
ISNUMBER(SEARCH( data!$JP$31, BM106 )), data!$JO$31,
ISNUMBER(SEARCH( data!$JP$32, BM106 )), data!$JO$32,
ISNUMBER(SEARCH( data!$JP$33, BM106 )), data!$JO$33,
ISNUMBER(SEARCH( data!$JP$34, BM106 )), data!$JO$34,
ISNUMBER(SEARCH( data!$JP$35, BM106 )), data!$JO$35,
ISNUMBER(SEARCH( data!$JP$36, BM106 )), data!$JO$36,
ISNUMBER(SEARCH( data!$JP$37, BM106 )), data!$JO$37,
ISNUMBER(SEARCH( data!$JP$38, BM106 )), data!$JO$38,
ISNUMBER(SEARCH( data!$JP$39, BM106 )), data!$JO$39,
ISNUMBER(SEARCH( data!$JP$40, BM106 )), data!$JO$40,
ISNUMBER(SEARCH( data!$JP$41, BM106 )), data!$JO$41,
ISNUMBER(SEARCH( data!$JP$42, BM106 )), data!$JO$42,
ISNUMBER(SEARCH( data!$JP$43, BM106 )), data!$JO$43,
ISNUMBER(SEARCH( data!$JP$44, BM106 )), data!$JO$44,
ISNUMBER(SEARCH( data!$JP$45, BM106 )), data!$JO$45,
ISNUMBER(SEARCH( data!$JP$46, BM106 )), data!$JO$46,
ISNUMBER(SEARCH( data!$JP$47, BM106 )), data!$JO$47,
ISNUMBER(SEARCH( data!$JP$48, BM106 )), data!$JO$48,
ISNUMBER(SEARCH( data!$JP$49, BM106 )), data!$JO$49,
ISNUMBER(SEARCH( data!$JP$50, BM106 )), data!$JO$50,
ISNUMBER(SEARCH( data!$JP$51, BM106 )), data!$JO$51,
ISNUMBER(SEARCH( data!$JP$52, BM106 )), data!$JO$52,
ISNUMBER(SEARCH( data!$JP$53, BM106 )), data!$JO$53,
ISNUMBER(SEARCH( data!$JP$54, BM106 )), data!$JO$54,
ISNUMBER(SEARCH( data!$JP$55, BM106 )), data!$JO$55,
ISNUMBER(SEARCH( data!$JP$56, BM106 )), data!$JO$56,
ISNUMBER(SEARCH( data!$JP$57, BM106 )), data!$JO$57,
ISNUMBER(SEARCH( data!$JP$58, BM106 )), data!$JO$58,
ISNUMBER(SEARCH( data!$JP$59, BM106 )), data!$JO$59,
ISNUMBER(SEARCH( data!$JP$60, BM106 )), data!$JO$60,
ISNUMBER(SEARCH( data!$JP$61, BM106 )), data!$JO$61,
ISNUMBER(SEARCH( data!$JP$62, BM106 )), data!$JO$62,
ISNUMBER(SEARCH( data!$JP$63, BM106 )), data!$JO$63,
ISNUMBER(SEARCH( data!$JP$64, BM106 )), data!$JO$64,
ISNUMBER(SEARCH( data!$JP$65, BM106 )), data!$JO$65,
ISNUMBER(SEARCH( data!$JP$66, BM106 )), data!$JO$66,
ISNUMBER(SEARCH( data!$JP$67, BM106 )), data!$JO$67,
ISNUMBER(SEARCH( data!$JP$68, BM106 )), data!$JO$68,
ISNUMBER(SEARCH( data!$JP$69, BM106 )), data!$JO$69,
ISNUMBER(SEARCH( data!$JP$70, BM106 )), data!$JO$70,
ISNUMBER(SEARCH( data!$JP$71, BM106 )), data!$JO$71,
ISNUMBER(SEARCH( data!$JR$23, BM106 )), data!$JQ$23,
ISNUMBER(SEARCH( data!$JR$24, BM106 )), data!$JQ$24,
ISNUMBER(SEARCH( data!$JR$25, BM106 )), data!$JQ$25,
ISNUMBER(SEARCH( data!$JR$26, BM106 )), data!$JQ$26,
ISNUMBER(SEARCH( data!$JR$27, BM106 )), data!$JQ$27,
ISNUMBER(SEARCH( data!$JR$28, BM106 )), data!$JQ$28,
ISNUMBER(SEARCH( data!$JR$29, BM106 )), data!$JQ$29,
ISNUMBER(SEARCH( data!$JR$30, BM106 )), data!$JQ$30,
ISNUMBER(SEARCH( data!$JR$31, BM106 )), data!$JQ$31,
ISNUMBER(SEARCH( data!$JR$32, BM106 )), data!$JQ$32,
ISNUMBER(SEARCH( data!$JR$33, BM106 )), data!$JQ$33,
ISNUMBER(SEARCH( data!$JR$34, BM106 )), data!$JQ$34,
ISNUMBER(SEARCH( data!$JR$35, BM106 )), data!$JQ$35,
ISNUMBER(SEARCH( data!$JR$36, BM106 )), data!$JQ$36,
ISNUMBER(SEARCH( data!$JR$37, BM106 )), data!$JQ$37,
ISNUMBER(SEARCH( data!$JR$38, BM106 )), data!$JQ$38,
ISNUMBER(SEARCH( data!$JR$39, BM106 )), data!$JQ$39,
ISNUMBER(SEARCH( data!$JR$40, BM106 )), data!$JQ$40,
ISNUMBER(SEARCH( data!$JR$41, BM106 )), data!$JQ$41,
ISNUMBER(SEARCH( data!$JR$42, BM106 )), data!$JQ$42,
ISNUMBER(SEARCH( data!$JR$43, BM106 )), data!$JQ$43,
ISNUMBER(SEARCH( data!$JR$44, BM106 )), data!$JQ$44,
ISNUMBER(SEARCH( data!$JR$45, BM106 )), data!$JQ$45,
ISNUMBER(SEARCH( data!$JR$46, BM106 )), data!$JQ$46,
ISNUMBER(SEARCH( data!$JR$47, BM106 )), data!$JQ$47,
ISNUMBER(SEARCH( data!$JR$48, BM106 )), data!$JQ$48,
ISNUMBER(SEARCH( data!$JR$49, BM106 )), data!$JQ$49,
ISNUMBER(SEARCH( data!$JR$50, BM106 )), data!$JQ$50,
ISNUMBER(SEARCH( data!$JR$51, BM106 )), data!$JQ$51,
ISNUMBER(SEARCH( data!$JR$52, BM106 )), data!$JQ$52,
ISNUMBER(SEARCH( data!$JR$53, BM106 )), data!$JQ$53,
ISNUMBER(SEARCH( data!$JR$54, BM106 )), data!$JQ$54,
ISNUMBER(SEARCH( data!$JR$55, BM106 )), data!$JQ$55,
ISNUMBER(SEARCH( data!$JR$56, BM106 )), data!$JQ$56,
ISNUMBER(SEARCH( data!$JR$57, BM106 )), data!$JQ$57,
ISNUMBER(SEARCH( data!$JR$58, BM106 )), data!$JQ$58,
ISNUMBER(SEARCH( data!$JR$59, BM106 )), data!$JQ$59,
ISNUMBER(SEARCH( data!$JR$60, BM106 )), data!$JQ$60,
ISNUMBER(SEARCH( data!$JR$61, BM106 )), data!$JQ$61,
ISNUMBER(SEARCH( data!$JR$62, BM106 )), data!$JQ$62,
ISNUMBER(SEARCH( data!$JR$63, BM106 )), data!$JQ$63,
ISNUMBER(SEARCH( data!$JR$64, BM106 )), data!$JQ$64,
ISNUMBER(SEARCH( data!$JR$65, BM106 )), data!$JQ$65,
ISNUMBER(SEARCH( data!$JR$66, BM106 )), data!$JQ$66,
ISNUMBER(SEARCH( data!$JR$67, BM106 )), data!$JQ$67,
ISNUMBER(SEARCH( data!$JR$68, BM106 )), data!$JQ$68,
ISNUMBER(SEARCH( data!$JR$69, BM106 )), data!$JQ$69,
ISNUMBER(SEARCH( data!$JR$70, BM106 )), data!$JQ$70,
ISNUMBER(SEARCH( data!$JR$71, BM106 )), data!$JQ$71,
TRUE,data!$JQ$72))</f>
        <v>🞅</v>
      </c>
      <c r="BP104" s="4674"/>
      <c r="BQ104" s="4674"/>
      <c r="BR104" s="4668" t="s">
        <v>68</v>
      </c>
      <c r="BS104" s="4669"/>
      <c r="BT104" s="801"/>
      <c r="BU104" s="801"/>
      <c r="BV104" s="801"/>
      <c r="BW104" s="794"/>
      <c r="BX104" s="19"/>
      <c r="BZ104" s="1161"/>
      <c r="CE104" s="3255"/>
      <c r="CF104" s="2674" t="str">
        <f>INDEX(data!$JD$23:$JM$42,data!$JH105,data!$JH129)</f>
        <v>Bonus 20 XP in an Orange Skill - Do Any Action</v>
      </c>
      <c r="CQ104" s="1161"/>
      <c r="CR104" s="2300">
        <v>15</v>
      </c>
      <c r="CS104" s="3250" t="str">
        <v>1UP - Get a Whole Life Heart</v>
      </c>
      <c r="CT104" s="795"/>
      <c r="CU104" s="795"/>
      <c r="CV104" s="795"/>
      <c r="CW104" s="795"/>
      <c r="CX104" s="795"/>
      <c r="CY104" s="795"/>
      <c r="CZ104" s="795"/>
      <c r="DA104" s="795"/>
      <c r="DB104" s="795"/>
      <c r="DC104" s="795"/>
      <c r="DD104" s="3251"/>
      <c r="DE104" s="3255"/>
      <c r="DF104" s="3255"/>
      <c r="DG104" s="3255"/>
      <c r="DH104" s="3255"/>
      <c r="DI104" s="3255"/>
    </row>
    <row r="105" spans="2:113" ht="17.100000000000001" customHeight="1" x14ac:dyDescent="0.2">
      <c r="B105" s="1159"/>
      <c r="C105" s="19"/>
      <c r="D105" s="19"/>
      <c r="E105" s="792"/>
      <c r="F105" s="801"/>
      <c r="G105" s="801"/>
      <c r="H105" s="801"/>
      <c r="I105" s="4673"/>
      <c r="J105" s="4670"/>
      <c r="K105" s="4675"/>
      <c r="L105" s="4675"/>
      <c r="M105" s="4675"/>
      <c r="N105" s="4670"/>
      <c r="O105" s="4671"/>
      <c r="P105" s="801"/>
      <c r="Q105" s="4673"/>
      <c r="R105" s="4670"/>
      <c r="S105" s="4675"/>
      <c r="T105" s="4675"/>
      <c r="U105" s="4675"/>
      <c r="V105" s="4670"/>
      <c r="W105" s="4671"/>
      <c r="X105" s="801"/>
      <c r="Y105" s="4673"/>
      <c r="Z105" s="4670"/>
      <c r="AA105" s="4675"/>
      <c r="AB105" s="4675"/>
      <c r="AC105" s="4675"/>
      <c r="AD105" s="4670"/>
      <c r="AE105" s="4671"/>
      <c r="AF105" s="801"/>
      <c r="AG105" s="4673"/>
      <c r="AH105" s="4670"/>
      <c r="AI105" s="4675"/>
      <c r="AJ105" s="4675"/>
      <c r="AK105" s="4675"/>
      <c r="AL105" s="4670"/>
      <c r="AM105" s="4671"/>
      <c r="AN105" s="801"/>
      <c r="AO105" s="4673"/>
      <c r="AP105" s="4670"/>
      <c r="AQ105" s="4675"/>
      <c r="AR105" s="4675"/>
      <c r="AS105" s="4675"/>
      <c r="AT105" s="4670"/>
      <c r="AU105" s="4671"/>
      <c r="AV105" s="801"/>
      <c r="AW105" s="4673"/>
      <c r="AX105" s="4670"/>
      <c r="AY105" s="4675"/>
      <c r="AZ105" s="4675"/>
      <c r="BA105" s="4675"/>
      <c r="BB105" s="4670"/>
      <c r="BC105" s="4671"/>
      <c r="BD105" s="801"/>
      <c r="BE105" s="4673"/>
      <c r="BF105" s="4670"/>
      <c r="BG105" s="4675"/>
      <c r="BH105" s="4675"/>
      <c r="BI105" s="4675"/>
      <c r="BJ105" s="4670"/>
      <c r="BK105" s="4671"/>
      <c r="BL105" s="801"/>
      <c r="BM105" s="4673"/>
      <c r="BN105" s="4670"/>
      <c r="BO105" s="4675"/>
      <c r="BP105" s="4675"/>
      <c r="BQ105" s="4675"/>
      <c r="BR105" s="4670"/>
      <c r="BS105" s="4671"/>
      <c r="BT105" s="801"/>
      <c r="BU105" s="801"/>
      <c r="BV105" s="801"/>
      <c r="BW105" s="794"/>
      <c r="BX105" s="19"/>
      <c r="BZ105" s="1161"/>
      <c r="CE105" s="3255"/>
      <c r="CF105" s="2674" t="str">
        <f>INDEX(data!$JD$23:$JM$42,data!$JH106,data!$JH130)</f>
        <v>2UP - Get Two Whole Life Hearts</v>
      </c>
      <c r="CQ105" s="1161"/>
      <c r="CR105" s="2300">
        <v>16</v>
      </c>
      <c r="CS105" s="3250" t="str">
        <v>Example Media</v>
      </c>
      <c r="CT105" s="795"/>
      <c r="CU105" s="795"/>
      <c r="CV105" s="795"/>
      <c r="CW105" s="795"/>
      <c r="CX105" s="795"/>
      <c r="CY105" s="795"/>
      <c r="CZ105" s="795"/>
      <c r="DA105" s="795"/>
      <c r="DB105" s="795"/>
      <c r="DC105" s="795"/>
      <c r="DD105" s="3251"/>
      <c r="DE105" s="3255"/>
      <c r="DF105" s="3255"/>
      <c r="DG105" s="3255"/>
      <c r="DH105" s="3255"/>
      <c r="DI105" s="3255"/>
    </row>
    <row r="106" spans="2:113" ht="17.100000000000001" customHeight="1" x14ac:dyDescent="0.2">
      <c r="B106" s="1159"/>
      <c r="C106" s="809"/>
      <c r="D106" s="19"/>
      <c r="E106" s="792"/>
      <c r="F106" s="801"/>
      <c r="G106" s="801"/>
      <c r="H106" s="801"/>
      <c r="I106" s="4677" t="str">
        <f>_xlfn.XLOOKUP(L103,$CR$90:$CR$113,$CS$90:$CS$113,0)</f>
        <v>Bonus 30 XP in Related Skill - Do Wildcard Dice Roll Action</v>
      </c>
      <c r="J106" s="4678"/>
      <c r="K106" s="4678"/>
      <c r="L106" s="4678"/>
      <c r="M106" s="4678"/>
      <c r="N106" s="4678"/>
      <c r="O106" s="4679"/>
      <c r="P106" s="801"/>
      <c r="Q106" s="4677" t="str">
        <f>_xlfn.XLOOKUP(T103,$CR$90:$CR$113,$CS$90:$CS$113,0)</f>
        <v>Bonus 20 XP in Mind Skill of Choice - Do Any Action</v>
      </c>
      <c r="R106" s="4678"/>
      <c r="S106" s="4678"/>
      <c r="T106" s="4678"/>
      <c r="U106" s="4678"/>
      <c r="V106" s="4678"/>
      <c r="W106" s="4679"/>
      <c r="X106" s="801"/>
      <c r="Y106" s="4677" t="str">
        <f>_xlfn.XLOOKUP(AB103,$CR$90:$CR$113,$CS$90:$CS$113,0)</f>
        <v>2UP - Get Two Whole Life Hearts</v>
      </c>
      <c r="Z106" s="4678"/>
      <c r="AA106" s="4678"/>
      <c r="AB106" s="4678"/>
      <c r="AC106" s="4678"/>
      <c r="AD106" s="4678"/>
      <c r="AE106" s="4679"/>
      <c r="AF106" s="801"/>
      <c r="AG106" s="4677" t="str">
        <f>_xlfn.XLOOKUP(AJ103,$CR$90:$CR$113,$CS$90:$CS$113,0)</f>
        <v>1UP - Get a Whole Life Heart</v>
      </c>
      <c r="AH106" s="4678"/>
      <c r="AI106" s="4678"/>
      <c r="AJ106" s="4678"/>
      <c r="AK106" s="4678"/>
      <c r="AL106" s="4678"/>
      <c r="AM106" s="4679"/>
      <c r="AN106" s="803"/>
      <c r="AO106" s="4677" t="str">
        <f>_xlfn.XLOOKUP(AR103,$CR$90:$CR$113,$CS$90:$CS$113,0)</f>
        <v>Example Media</v>
      </c>
      <c r="AP106" s="4678"/>
      <c r="AQ106" s="4678"/>
      <c r="AR106" s="4678"/>
      <c r="AS106" s="4678"/>
      <c r="AT106" s="4678"/>
      <c r="AU106" s="4679"/>
      <c r="AV106" s="803"/>
      <c r="AW106" s="4677" t="str">
        <f>_xlfn.XLOOKUP(AZ103,$CR$90:$CR$113,$CS$90:$CS$113,0)</f>
        <v>Stand-up Comedy Ticket</v>
      </c>
      <c r="AX106" s="4678"/>
      <c r="AY106" s="4678"/>
      <c r="AZ106" s="4678"/>
      <c r="BA106" s="4678"/>
      <c r="BB106" s="4678"/>
      <c r="BC106" s="4679"/>
      <c r="BD106" s="803"/>
      <c r="BE106" s="4677" t="str">
        <f>_xlfn.XLOOKUP(BH103,$CR$90:$CR$113,$CS$90:$CS$113,0)</f>
        <v>Bonus 20 XP in an Orange Skill - Do Any Action</v>
      </c>
      <c r="BF106" s="4678"/>
      <c r="BG106" s="4678"/>
      <c r="BH106" s="4678"/>
      <c r="BI106" s="4678"/>
      <c r="BJ106" s="4678"/>
      <c r="BK106" s="4679"/>
      <c r="BL106" s="803"/>
      <c r="BM106" s="4677" t="str">
        <f>_xlfn.XLOOKUP(BP103,$CR$90:$CR$113,$CS$90:$CS$113,0)</f>
        <v>Example Tool</v>
      </c>
      <c r="BN106" s="4678"/>
      <c r="BO106" s="4678"/>
      <c r="BP106" s="4678"/>
      <c r="BQ106" s="4678"/>
      <c r="BR106" s="4678"/>
      <c r="BS106" s="4679"/>
      <c r="BT106" s="801"/>
      <c r="BU106" s="801"/>
      <c r="BV106" s="801"/>
      <c r="BW106" s="794"/>
      <c r="BX106" s="19"/>
      <c r="BZ106" s="1161"/>
      <c r="CE106" s="3255"/>
      <c r="CF106" s="2674" t="str">
        <f>INDEX(data!$JD$23:$JM$42,data!$JH107,data!$JH131)</f>
        <v>Stand-up Comedy Ticket</v>
      </c>
      <c r="CQ106" s="1161"/>
      <c r="CR106" s="2300">
        <v>17</v>
      </c>
      <c r="CS106" s="3250" t="str">
        <v>Theatre Ticket</v>
      </c>
      <c r="CT106" s="795"/>
      <c r="CU106" s="795"/>
      <c r="CV106" s="795"/>
      <c r="CW106" s="795"/>
      <c r="CX106" s="795"/>
      <c r="CY106" s="795"/>
      <c r="CZ106" s="795"/>
      <c r="DA106" s="795"/>
      <c r="DB106" s="795"/>
      <c r="DC106" s="795"/>
      <c r="DD106" s="3251"/>
      <c r="DE106" s="3255"/>
      <c r="DF106" s="3255"/>
      <c r="DG106" s="3255"/>
      <c r="DH106" s="3255"/>
      <c r="DI106" s="3255"/>
    </row>
    <row r="107" spans="2:113" ht="17.100000000000001" customHeight="1" thickBot="1" x14ac:dyDescent="0.25">
      <c r="B107" s="1159"/>
      <c r="C107" s="809"/>
      <c r="D107" s="19"/>
      <c r="E107" s="792"/>
      <c r="F107" s="801"/>
      <c r="G107" s="801"/>
      <c r="H107" s="801"/>
      <c r="I107" s="4680"/>
      <c r="J107" s="4681"/>
      <c r="K107" s="4681"/>
      <c r="L107" s="4681"/>
      <c r="M107" s="4681"/>
      <c r="N107" s="4681"/>
      <c r="O107" s="4682"/>
      <c r="P107" s="801"/>
      <c r="Q107" s="4680"/>
      <c r="R107" s="4681"/>
      <c r="S107" s="4681"/>
      <c r="T107" s="4681"/>
      <c r="U107" s="4681"/>
      <c r="V107" s="4681"/>
      <c r="W107" s="4682"/>
      <c r="X107" s="801"/>
      <c r="Y107" s="4680"/>
      <c r="Z107" s="4681"/>
      <c r="AA107" s="4681"/>
      <c r="AB107" s="4681"/>
      <c r="AC107" s="4681"/>
      <c r="AD107" s="4681"/>
      <c r="AE107" s="4682"/>
      <c r="AF107" s="801"/>
      <c r="AG107" s="4680"/>
      <c r="AH107" s="4681"/>
      <c r="AI107" s="4681"/>
      <c r="AJ107" s="4681"/>
      <c r="AK107" s="4681"/>
      <c r="AL107" s="4681"/>
      <c r="AM107" s="4682"/>
      <c r="AN107" s="803"/>
      <c r="AO107" s="4680"/>
      <c r="AP107" s="4681"/>
      <c r="AQ107" s="4681"/>
      <c r="AR107" s="4681"/>
      <c r="AS107" s="4681"/>
      <c r="AT107" s="4681"/>
      <c r="AU107" s="4682"/>
      <c r="AV107" s="803"/>
      <c r="AW107" s="4680"/>
      <c r="AX107" s="4681"/>
      <c r="AY107" s="4681"/>
      <c r="AZ107" s="4681"/>
      <c r="BA107" s="4681"/>
      <c r="BB107" s="4681"/>
      <c r="BC107" s="4682"/>
      <c r="BD107" s="803"/>
      <c r="BE107" s="4680"/>
      <c r="BF107" s="4681"/>
      <c r="BG107" s="4681"/>
      <c r="BH107" s="4681"/>
      <c r="BI107" s="4681"/>
      <c r="BJ107" s="4681"/>
      <c r="BK107" s="4682"/>
      <c r="BL107" s="803"/>
      <c r="BM107" s="4680"/>
      <c r="BN107" s="4681"/>
      <c r="BO107" s="4681"/>
      <c r="BP107" s="4681"/>
      <c r="BQ107" s="4681"/>
      <c r="BR107" s="4681"/>
      <c r="BS107" s="4682"/>
      <c r="BT107" s="801"/>
      <c r="BU107" s="801"/>
      <c r="BV107" s="801"/>
      <c r="BW107" s="794"/>
      <c r="BX107" s="19"/>
      <c r="BZ107" s="1161"/>
      <c r="CE107" s="3255"/>
      <c r="CF107" s="2674" t="str">
        <f>INDEX(data!$JD$23:$JM$42,data!$JH108,data!$JH132)</f>
        <v>1UP - Get a Whole Life Heart</v>
      </c>
      <c r="CQ107" s="1161"/>
      <c r="CR107" s="2300">
        <v>18</v>
      </c>
      <c r="CS107" s="3250" t="str">
        <v>Bonus 30 XP in a Dark Red Skill - Do Any Action</v>
      </c>
      <c r="CT107" s="795"/>
      <c r="CU107" s="795"/>
      <c r="CV107" s="795"/>
      <c r="CW107" s="795"/>
      <c r="CX107" s="795"/>
      <c r="CY107" s="795"/>
      <c r="CZ107" s="795"/>
      <c r="DA107" s="795"/>
      <c r="DB107" s="795"/>
      <c r="DC107" s="795"/>
      <c r="DD107" s="3251"/>
      <c r="DE107" s="3255"/>
      <c r="DF107" s="3255"/>
      <c r="DG107" s="3255"/>
      <c r="DH107" s="3255"/>
      <c r="DI107" s="3255"/>
    </row>
    <row r="108" spans="2:113" ht="17.100000000000001" customHeight="1" thickTop="1" x14ac:dyDescent="0.2">
      <c r="B108" s="1159"/>
      <c r="C108" s="809"/>
      <c r="D108" s="19"/>
      <c r="E108" s="792"/>
      <c r="F108" s="801"/>
      <c r="G108" s="801"/>
      <c r="H108" s="801"/>
      <c r="I108" s="4676"/>
      <c r="J108" s="4676"/>
      <c r="K108" s="4676"/>
      <c r="L108" s="4676"/>
      <c r="M108" s="4676"/>
      <c r="N108" s="4676"/>
      <c r="O108" s="4676"/>
      <c r="P108" s="801"/>
      <c r="Q108" s="4676"/>
      <c r="R108" s="4676"/>
      <c r="S108" s="4676"/>
      <c r="T108" s="4676"/>
      <c r="U108" s="4676"/>
      <c r="V108" s="4676"/>
      <c r="W108" s="4676"/>
      <c r="X108" s="801"/>
      <c r="Y108" s="4676"/>
      <c r="Z108" s="4676"/>
      <c r="AA108" s="4676"/>
      <c r="AB108" s="4676"/>
      <c r="AC108" s="4676"/>
      <c r="AD108" s="4676"/>
      <c r="AE108" s="4676"/>
      <c r="AF108" s="801"/>
      <c r="AG108" s="4676"/>
      <c r="AH108" s="4676"/>
      <c r="AI108" s="4676"/>
      <c r="AJ108" s="4676"/>
      <c r="AK108" s="4676"/>
      <c r="AL108" s="4676"/>
      <c r="AM108" s="4676"/>
      <c r="AN108" s="801"/>
      <c r="AO108" s="4676"/>
      <c r="AP108" s="4676"/>
      <c r="AQ108" s="4676"/>
      <c r="AR108" s="4676"/>
      <c r="AS108" s="4676"/>
      <c r="AT108" s="4676"/>
      <c r="AU108" s="4676"/>
      <c r="AV108" s="801"/>
      <c r="AW108" s="4676"/>
      <c r="AX108" s="4676"/>
      <c r="AY108" s="4676"/>
      <c r="AZ108" s="4676"/>
      <c r="BA108" s="4676"/>
      <c r="BB108" s="4676"/>
      <c r="BC108" s="4676"/>
      <c r="BD108" s="801"/>
      <c r="BE108" s="4676"/>
      <c r="BF108" s="4676"/>
      <c r="BG108" s="4676"/>
      <c r="BH108" s="4676"/>
      <c r="BI108" s="4676"/>
      <c r="BJ108" s="4676"/>
      <c r="BK108" s="4676"/>
      <c r="BL108" s="801"/>
      <c r="BM108" s="4676"/>
      <c r="BN108" s="4676"/>
      <c r="BO108" s="4676"/>
      <c r="BP108" s="4676"/>
      <c r="BQ108" s="4676"/>
      <c r="BR108" s="4676"/>
      <c r="BS108" s="4676"/>
      <c r="BT108" s="801"/>
      <c r="BU108" s="801"/>
      <c r="BV108" s="801"/>
      <c r="BW108" s="794"/>
      <c r="BX108" s="19"/>
      <c r="BZ108" s="1161"/>
      <c r="CE108" s="3255"/>
      <c r="CF108" s="2674" t="str">
        <f>INDEX(data!$JD$23:$JM$42,data!$JH109,data!$JH133)</f>
        <v>Example Media</v>
      </c>
      <c r="CQ108" s="1161"/>
      <c r="CR108" s="2300">
        <v>19</v>
      </c>
      <c r="CS108" s="3250" t="str">
        <v>Any Item on Sale</v>
      </c>
      <c r="CT108" s="795"/>
      <c r="CU108" s="795"/>
      <c r="CV108" s="795"/>
      <c r="CW108" s="795"/>
      <c r="CX108" s="795"/>
      <c r="CY108" s="795"/>
      <c r="CZ108" s="795"/>
      <c r="DA108" s="795"/>
      <c r="DB108" s="795"/>
      <c r="DC108" s="795"/>
      <c r="DD108" s="3251"/>
      <c r="DE108" s="3255"/>
      <c r="DF108" s="3255"/>
      <c r="DG108" s="3255"/>
      <c r="DH108" s="3255"/>
      <c r="DI108" s="3255"/>
    </row>
    <row r="109" spans="2:113" ht="17.100000000000001" customHeight="1" x14ac:dyDescent="0.2">
      <c r="B109" s="1159"/>
      <c r="C109" s="809"/>
      <c r="D109" s="19"/>
      <c r="E109" s="792"/>
      <c r="F109" s="801"/>
      <c r="G109" s="801"/>
      <c r="H109" s="801"/>
      <c r="I109" s="801"/>
      <c r="J109" s="801"/>
      <c r="K109" s="801"/>
      <c r="L109" s="801"/>
      <c r="M109" s="801"/>
      <c r="N109" s="801"/>
      <c r="O109" s="801"/>
      <c r="P109" s="801"/>
      <c r="Q109" s="801"/>
      <c r="R109" s="801"/>
      <c r="S109" s="801"/>
      <c r="T109" s="801"/>
      <c r="U109" s="801"/>
      <c r="V109" s="801"/>
      <c r="W109" s="801"/>
      <c r="X109" s="801"/>
      <c r="Y109" s="801"/>
      <c r="Z109" s="801"/>
      <c r="AA109" s="801"/>
      <c r="AB109" s="801"/>
      <c r="AC109" s="801"/>
      <c r="AD109" s="801"/>
      <c r="AE109" s="801"/>
      <c r="AF109" s="801"/>
      <c r="AG109" s="801"/>
      <c r="AH109" s="801"/>
      <c r="AI109" s="801"/>
      <c r="AJ109" s="801"/>
      <c r="AK109" s="801"/>
      <c r="AL109" s="801"/>
      <c r="AM109" s="801"/>
      <c r="AN109" s="801"/>
      <c r="AO109" s="801"/>
      <c r="AP109" s="801"/>
      <c r="AQ109" s="801"/>
      <c r="AR109" s="801"/>
      <c r="AS109" s="801"/>
      <c r="AT109" s="801"/>
      <c r="AU109" s="801"/>
      <c r="AV109" s="801"/>
      <c r="AW109" s="801"/>
      <c r="AX109" s="801"/>
      <c r="AY109" s="801"/>
      <c r="AZ109" s="801"/>
      <c r="BA109" s="801"/>
      <c r="BB109" s="801"/>
      <c r="BC109" s="801"/>
      <c r="BD109" s="801"/>
      <c r="BE109" s="801"/>
      <c r="BF109" s="801"/>
      <c r="BG109" s="801"/>
      <c r="BH109" s="801"/>
      <c r="BI109" s="801"/>
      <c r="BJ109" s="801"/>
      <c r="BK109" s="801"/>
      <c r="BL109" s="801"/>
      <c r="BM109" s="801"/>
      <c r="BN109" s="801"/>
      <c r="BO109" s="801"/>
      <c r="BP109" s="801"/>
      <c r="BQ109" s="801"/>
      <c r="BR109" s="801"/>
      <c r="BS109" s="801"/>
      <c r="BT109" s="801"/>
      <c r="BU109" s="801"/>
      <c r="BV109" s="801"/>
      <c r="BW109" s="794"/>
      <c r="BX109" s="19"/>
      <c r="BZ109" s="1161"/>
      <c r="CE109" s="3255"/>
      <c r="CF109" s="2674" t="str">
        <f>INDEX(data!$JD$23:$JM$42,data!$JH110,data!$JH134)</f>
        <v>Theatre Ticket</v>
      </c>
      <c r="CQ109" s="1161"/>
      <c r="CR109" s="2300">
        <v>20</v>
      </c>
      <c r="CS109" s="3250" t="str">
        <v>Bonus 30 XP in an Orange Skill - Do Any Action</v>
      </c>
      <c r="CT109" s="795"/>
      <c r="CU109" s="795"/>
      <c r="CV109" s="795"/>
      <c r="CW109" s="795"/>
      <c r="CX109" s="795"/>
      <c r="CY109" s="795"/>
      <c r="CZ109" s="795"/>
      <c r="DA109" s="795"/>
      <c r="DB109" s="795"/>
      <c r="DC109" s="795"/>
      <c r="DD109" s="3251"/>
      <c r="DE109" s="3255"/>
      <c r="DF109" s="3255"/>
      <c r="DG109" s="3255"/>
      <c r="DH109" s="3255"/>
      <c r="DI109" s="3255"/>
    </row>
    <row r="110" spans="2:113" ht="17.100000000000001" customHeight="1" thickBot="1" x14ac:dyDescent="0.25">
      <c r="B110" s="1159"/>
      <c r="C110" s="1316"/>
      <c r="D110" s="19"/>
      <c r="E110" s="805"/>
      <c r="F110" s="806"/>
      <c r="G110" s="806"/>
      <c r="H110" s="806"/>
      <c r="I110" s="806"/>
      <c r="J110" s="806"/>
      <c r="K110" s="806"/>
      <c r="L110" s="806"/>
      <c r="M110" s="806"/>
      <c r="N110" s="806"/>
      <c r="O110" s="806"/>
      <c r="P110" s="806"/>
      <c r="Q110" s="806"/>
      <c r="R110" s="806"/>
      <c r="S110" s="806"/>
      <c r="T110" s="806"/>
      <c r="U110" s="806"/>
      <c r="V110" s="806"/>
      <c r="W110" s="806"/>
      <c r="X110" s="806"/>
      <c r="Y110" s="806"/>
      <c r="Z110" s="806"/>
      <c r="AA110" s="795"/>
      <c r="AB110" s="795"/>
      <c r="AC110" s="795"/>
      <c r="AD110" s="795"/>
      <c r="AE110" s="795"/>
      <c r="AF110" s="795"/>
      <c r="AG110" s="795"/>
      <c r="AH110" s="795"/>
      <c r="AI110" s="795"/>
      <c r="AJ110" s="795"/>
      <c r="AK110" s="795"/>
      <c r="AL110" s="795"/>
      <c r="AM110" s="795"/>
      <c r="AN110" s="795"/>
      <c r="AO110" s="795"/>
      <c r="AP110" s="795"/>
      <c r="AQ110" s="795"/>
      <c r="AR110" s="795"/>
      <c r="AS110" s="795"/>
      <c r="AT110" s="795"/>
      <c r="AU110" s="795"/>
      <c r="AV110" s="795"/>
      <c r="AW110" s="795"/>
      <c r="AX110" s="795"/>
      <c r="AY110" s="795"/>
      <c r="AZ110" s="795"/>
      <c r="BA110" s="795"/>
      <c r="BB110" s="806"/>
      <c r="BC110" s="806"/>
      <c r="BD110" s="806"/>
      <c r="BE110" s="806"/>
      <c r="BF110" s="806"/>
      <c r="BG110" s="806"/>
      <c r="BH110" s="806"/>
      <c r="BI110" s="806"/>
      <c r="BJ110" s="806"/>
      <c r="BK110" s="806"/>
      <c r="BL110" s="806"/>
      <c r="BM110" s="806"/>
      <c r="BN110" s="806"/>
      <c r="BO110" s="806"/>
      <c r="BP110" s="806"/>
      <c r="BQ110" s="806"/>
      <c r="BR110" s="806"/>
      <c r="BS110" s="806"/>
      <c r="BT110" s="806"/>
      <c r="BU110" s="806"/>
      <c r="BV110" s="806"/>
      <c r="BW110" s="807"/>
      <c r="BX110" s="19"/>
      <c r="BY110" s="1316"/>
      <c r="BZ110" s="1161"/>
      <c r="CE110" s="3255"/>
      <c r="CF110" s="2674" t="str">
        <f>INDEX(data!$JD$23:$JM$42,data!$JH111,data!$JH135)</f>
        <v>Bonus 30 XP in a Dark Red Skill - Do Any Action</v>
      </c>
      <c r="CQ110" s="1161"/>
      <c r="CR110" s="2300">
        <v>21</v>
      </c>
      <c r="CS110" s="3250" t="str">
        <v>Merchant Trade Token</v>
      </c>
      <c r="CT110" s="795"/>
      <c r="CU110" s="795"/>
      <c r="CV110" s="795"/>
      <c r="CW110" s="795"/>
      <c r="CX110" s="795"/>
      <c r="CY110" s="795"/>
      <c r="CZ110" s="795"/>
      <c r="DA110" s="795"/>
      <c r="DB110" s="795"/>
      <c r="DC110" s="795"/>
      <c r="DD110" s="3251"/>
      <c r="DE110" s="3255"/>
      <c r="DF110" s="3255"/>
      <c r="DG110" s="3255"/>
      <c r="DH110" s="3255"/>
      <c r="DI110" s="3255"/>
    </row>
    <row r="111" spans="2:113" ht="17.100000000000001" customHeight="1" thickTop="1" x14ac:dyDescent="0.2">
      <c r="B111" s="1159"/>
      <c r="C111" s="1316"/>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792"/>
      <c r="AB111" s="631"/>
      <c r="AC111" s="631"/>
      <c r="AD111" s="631"/>
      <c r="AE111" s="631"/>
      <c r="AF111" s="631"/>
      <c r="AG111" s="631"/>
      <c r="AH111" s="631"/>
      <c r="AI111" s="631"/>
      <c r="AJ111" s="631"/>
      <c r="AK111" s="631"/>
      <c r="AL111" s="631"/>
      <c r="AM111" s="631"/>
      <c r="AN111" s="631"/>
      <c r="AO111" s="631"/>
      <c r="AP111" s="631"/>
      <c r="AQ111" s="631"/>
      <c r="AR111" s="631"/>
      <c r="AS111" s="631"/>
      <c r="AT111" s="631"/>
      <c r="AU111" s="631"/>
      <c r="AV111" s="631"/>
      <c r="AW111" s="631"/>
      <c r="AX111" s="631"/>
      <c r="AY111" s="631"/>
      <c r="AZ111" s="631"/>
      <c r="BA111" s="794"/>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316"/>
      <c r="BZ111" s="1161"/>
      <c r="CE111" s="39"/>
      <c r="CF111" s="2674" t="str">
        <f>INDEX(data!$JD$23:$JM$42,data!$JH112,data!$JH136)</f>
        <v>Bonus 20 XP in a Bright Red Skill - Do Any Action</v>
      </c>
      <c r="CQ111" s="1161"/>
      <c r="CR111" s="2300">
        <v>22</v>
      </c>
      <c r="CS111" s="3250" t="str">
        <v>Free Choice Item</v>
      </c>
      <c r="CT111" s="795"/>
      <c r="CU111" s="795"/>
      <c r="CV111" s="795"/>
      <c r="CW111" s="795"/>
      <c r="CX111" s="795"/>
      <c r="CY111" s="795"/>
      <c r="CZ111" s="795"/>
      <c r="DA111" s="795"/>
      <c r="DB111" s="795"/>
      <c r="DC111" s="795"/>
      <c r="DD111" s="3251"/>
    </row>
    <row r="112" spans="2:113" ht="17.100000000000001" customHeight="1" thickBot="1" x14ac:dyDescent="0.25">
      <c r="B112" s="1159"/>
      <c r="AA112" s="805"/>
      <c r="AB112" s="806"/>
      <c r="AC112" s="806"/>
      <c r="AD112" s="806"/>
      <c r="AE112" s="806"/>
      <c r="AF112" s="806"/>
      <c r="AG112" s="806"/>
      <c r="AH112" s="806"/>
      <c r="AI112" s="806"/>
      <c r="AJ112" s="806"/>
      <c r="AK112" s="806"/>
      <c r="AL112" s="806"/>
      <c r="AM112" s="806"/>
      <c r="AN112" s="806"/>
      <c r="AO112" s="806"/>
      <c r="AP112" s="806"/>
      <c r="AQ112" s="806"/>
      <c r="AR112" s="806"/>
      <c r="AS112" s="806"/>
      <c r="AT112" s="806"/>
      <c r="AU112" s="806"/>
      <c r="AV112" s="806"/>
      <c r="AW112" s="806"/>
      <c r="AX112" s="806"/>
      <c r="AY112" s="806"/>
      <c r="AZ112" s="806"/>
      <c r="BA112" s="807"/>
      <c r="BW112" s="1316"/>
      <c r="BX112" s="1316"/>
      <c r="BZ112" s="1161"/>
      <c r="CE112" s="39"/>
      <c r="CF112" s="2674" t="str">
        <f>INDEX(data!$JD$23:$JM$42,data!$JH113,data!$JH137)</f>
        <v>Any Item on Sale</v>
      </c>
      <c r="CQ112" s="1161"/>
      <c r="CR112" s="2300">
        <v>23</v>
      </c>
      <c r="CS112" s="3250" t="str">
        <v>Start Button - Bonus 100 XP in Skill If Begin Something</v>
      </c>
      <c r="CT112" s="795"/>
      <c r="CU112" s="795"/>
      <c r="CV112" s="795"/>
      <c r="CW112" s="795"/>
      <c r="CX112" s="795"/>
      <c r="CY112" s="795"/>
      <c r="CZ112" s="795"/>
      <c r="DA112" s="795"/>
      <c r="DB112" s="795"/>
      <c r="DC112" s="795"/>
      <c r="DD112" s="3251"/>
    </row>
    <row r="113" spans="2:108" ht="17.100000000000001" customHeight="1" thickTop="1" x14ac:dyDescent="0.2">
      <c r="B113" s="1162"/>
      <c r="C113" s="1154"/>
      <c r="D113" s="1154"/>
      <c r="E113" s="1154"/>
      <c r="F113" s="1154"/>
      <c r="G113" s="1154"/>
      <c r="H113" s="1154"/>
      <c r="I113" s="1154"/>
      <c r="J113" s="1154"/>
      <c r="K113" s="1154"/>
      <c r="L113" s="1154"/>
      <c r="M113" s="1154"/>
      <c r="N113" s="1154"/>
      <c r="O113" s="1154"/>
      <c r="P113" s="1154"/>
      <c r="Q113" s="1154"/>
      <c r="R113" s="1154"/>
      <c r="S113" s="1154"/>
      <c r="T113" s="1154"/>
      <c r="U113" s="1154"/>
      <c r="V113" s="1154"/>
      <c r="W113" s="1154"/>
      <c r="X113" s="1154"/>
      <c r="Y113" s="1154"/>
      <c r="BB113" s="811"/>
      <c r="BC113" s="1154"/>
      <c r="BD113" s="1154"/>
      <c r="BE113" s="1154"/>
      <c r="BF113" s="1154"/>
      <c r="BG113" s="1154"/>
      <c r="BH113" s="1154"/>
      <c r="BI113" s="1154"/>
      <c r="BJ113" s="1154"/>
      <c r="BK113" s="1154"/>
      <c r="BL113" s="1154"/>
      <c r="BM113" s="1154"/>
      <c r="BN113" s="1154"/>
      <c r="BO113" s="1154"/>
      <c r="BP113" s="1154"/>
      <c r="BQ113" s="1154"/>
      <c r="BR113" s="1154"/>
      <c r="BS113" s="1154"/>
      <c r="BT113" s="1154"/>
      <c r="BU113" s="1154"/>
      <c r="BV113" s="1154"/>
      <c r="BW113" s="1154"/>
      <c r="BX113" s="1154"/>
      <c r="BY113" s="1154"/>
      <c r="BZ113" s="1163"/>
      <c r="CE113" s="39"/>
      <c r="CF113" s="3244" t="str">
        <f>INDEX(data!$JD$23:$JM$42,data!$JH114,data!$JH138)</f>
        <v>Bonus 30 XP in an Orange Skill - Do Any Action</v>
      </c>
      <c r="CG113" s="1154"/>
      <c r="CH113" s="1154"/>
      <c r="CI113" s="1154"/>
      <c r="CJ113" s="1154"/>
      <c r="CK113" s="1154"/>
      <c r="CL113" s="1154"/>
      <c r="CM113" s="1154"/>
      <c r="CN113" s="1154"/>
      <c r="CO113" s="1154"/>
      <c r="CP113" s="1154"/>
      <c r="CQ113" s="1163"/>
      <c r="CR113" s="2300">
        <v>24</v>
      </c>
      <c r="CS113" s="3252" t="str">
        <v>Stop Button - Bonus 100 XP in Skill If Finish Something</v>
      </c>
      <c r="CT113" s="3253"/>
      <c r="CU113" s="3253"/>
      <c r="CV113" s="3253"/>
      <c r="CW113" s="3253"/>
      <c r="CX113" s="3253"/>
      <c r="CY113" s="3253"/>
      <c r="CZ113" s="3253"/>
      <c r="DA113" s="3253"/>
      <c r="DB113" s="3253"/>
      <c r="DC113" s="3253"/>
      <c r="DD113" s="3254"/>
    </row>
    <row r="114" spans="2:108" ht="17.100000000000001" customHeight="1" x14ac:dyDescent="0.2">
      <c r="AA114" s="19"/>
      <c r="AB114" s="19"/>
      <c r="AC114" s="19"/>
      <c r="AD114" s="19"/>
      <c r="AE114" s="19"/>
      <c r="AF114" s="19"/>
      <c r="AG114" s="19"/>
      <c r="AH114" s="19"/>
      <c r="AI114" s="19"/>
      <c r="AJ114" s="19"/>
      <c r="AK114" s="19"/>
      <c r="AL114" s="19"/>
      <c r="AM114" s="19"/>
      <c r="AN114" s="34"/>
      <c r="AO114" s="19"/>
      <c r="AP114" s="19"/>
      <c r="AQ114" s="19"/>
      <c r="AR114" s="19"/>
      <c r="AS114" s="19"/>
      <c r="AT114" s="19"/>
      <c r="AU114" s="19"/>
      <c r="AV114" s="19"/>
      <c r="AW114" s="19"/>
      <c r="AX114" s="19"/>
      <c r="AY114" s="19"/>
      <c r="AZ114" s="19"/>
      <c r="BA114" s="19"/>
      <c r="BB114" s="811"/>
      <c r="CE114" s="39"/>
      <c r="CF114" s="3245" t="s">
        <v>326</v>
      </c>
      <c r="CQ114" s="1161"/>
      <c r="CS114" s="36" t="str">
        <v>Superfocus Day - Double XP Gained in One Skill of Choice</v>
      </c>
    </row>
    <row r="115" spans="2:108" ht="17.100000000000001" customHeight="1" x14ac:dyDescent="0.2">
      <c r="AN115" s="34"/>
      <c r="CF115" s="3246" t="s">
        <v>303</v>
      </c>
      <c r="CG115" s="1154"/>
      <c r="CH115" s="1154"/>
      <c r="CI115" s="1154"/>
      <c r="CJ115" s="1154"/>
      <c r="CK115" s="1154"/>
      <c r="CL115" s="1154"/>
      <c r="CM115" s="1154"/>
      <c r="CN115" s="1154"/>
      <c r="CO115" s="1154"/>
      <c r="CP115" s="1154"/>
      <c r="CQ115" s="1163"/>
      <c r="CS115" s="36" t="str">
        <v>Superbody Day - Double XP Gained in Body Skills</v>
      </c>
    </row>
    <row r="116" spans="2:108" ht="17.100000000000001" customHeight="1" x14ac:dyDescent="0.2">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28"/>
      <c r="AE116" s="28"/>
      <c r="AF116" s="28"/>
      <c r="AG116" s="28"/>
      <c r="AH116" s="28"/>
      <c r="AI116" s="28"/>
      <c r="AJ116" s="28"/>
      <c r="AK116" s="28"/>
      <c r="AL116" s="28"/>
      <c r="AM116" s="28"/>
      <c r="AN116" s="28"/>
      <c r="AO116" s="28"/>
      <c r="AP116" s="28"/>
      <c r="AQ116" s="28"/>
      <c r="AR116" s="28"/>
      <c r="AS116" s="28"/>
      <c r="AT116" s="28"/>
      <c r="AU116" s="28"/>
      <c r="AV116" s="28"/>
      <c r="AW116" s="28"/>
      <c r="AX116" s="28"/>
      <c r="CF116" s="3245" t="s">
        <v>1805</v>
      </c>
      <c r="CQ116" s="1161"/>
      <c r="CS116" s="36" t="str">
        <v>Superpowered Day - Double XP Gained in All Skills</v>
      </c>
    </row>
    <row r="117" spans="2:108" ht="17.100000000000001" customHeight="1" x14ac:dyDescent="0.3">
      <c r="E117" s="23"/>
      <c r="F117" s="19"/>
      <c r="G117" s="19"/>
      <c r="H117" s="812"/>
      <c r="I117" s="19"/>
      <c r="J117" s="815"/>
      <c r="K117" s="815"/>
      <c r="L117" s="815"/>
      <c r="M117" s="815"/>
      <c r="N117" s="815"/>
      <c r="O117" s="815"/>
      <c r="P117" s="815"/>
      <c r="Q117" s="815"/>
      <c r="R117" s="815"/>
      <c r="S117" s="815"/>
      <c r="T117" s="815"/>
      <c r="U117" s="815"/>
      <c r="V117" s="815"/>
      <c r="W117" s="815"/>
      <c r="X117" s="815"/>
      <c r="Y117" s="815"/>
      <c r="Z117" s="815"/>
      <c r="AA117" s="815"/>
      <c r="AB117" s="815"/>
      <c r="AC117" s="19"/>
      <c r="AD117" s="28"/>
      <c r="AE117" s="28"/>
      <c r="AF117" s="28"/>
      <c r="AG117" s="28"/>
      <c r="AH117" s="28"/>
      <c r="AI117" s="28"/>
      <c r="AJ117" s="28"/>
      <c r="AK117" s="28"/>
      <c r="AL117" s="28"/>
      <c r="AM117" s="28"/>
      <c r="AN117" s="28"/>
      <c r="AO117" s="28"/>
      <c r="AP117" s="28"/>
      <c r="AQ117" s="28"/>
      <c r="AR117" s="28"/>
      <c r="AS117" s="28"/>
      <c r="AT117" s="28"/>
      <c r="AU117" s="28"/>
      <c r="AV117" s="28"/>
      <c r="AW117" s="28"/>
      <c r="AX117" s="28"/>
      <c r="CF117" s="3246" t="s">
        <v>1804</v>
      </c>
      <c r="CG117" s="1154"/>
      <c r="CH117" s="1154"/>
      <c r="CI117" s="1154"/>
      <c r="CJ117" s="1154"/>
      <c r="CK117" s="1154"/>
      <c r="CL117" s="1154"/>
      <c r="CM117" s="1154"/>
      <c r="CN117" s="1154"/>
      <c r="CO117" s="1154"/>
      <c r="CP117" s="1154"/>
      <c r="CQ117" s="1163"/>
      <c r="CS117" s="36" t="str">
        <v>0.5UP - Get Half a Life Heart</v>
      </c>
    </row>
    <row r="118" spans="2:108" ht="17.100000000000001" customHeight="1" x14ac:dyDescent="0.3">
      <c r="E118" s="19"/>
      <c r="J118" s="815"/>
      <c r="K118" s="815"/>
      <c r="L118" s="815"/>
      <c r="M118" s="815"/>
      <c r="N118" s="815"/>
      <c r="O118" s="815"/>
      <c r="P118" s="815"/>
      <c r="Q118" s="815"/>
      <c r="R118" s="815"/>
      <c r="S118" s="815"/>
      <c r="T118" s="815"/>
      <c r="U118" s="815"/>
      <c r="V118" s="815"/>
      <c r="W118" s="815"/>
      <c r="X118" s="815"/>
      <c r="Y118" s="815"/>
      <c r="Z118" s="815"/>
      <c r="AA118" s="815"/>
      <c r="AB118" s="815"/>
      <c r="AD118" s="28"/>
      <c r="AE118" s="28"/>
      <c r="AF118" s="28"/>
      <c r="AG118" s="28"/>
      <c r="AH118" s="28"/>
      <c r="AI118" s="28"/>
      <c r="AJ118" s="28"/>
      <c r="AK118" s="28"/>
      <c r="AL118" s="28"/>
      <c r="AM118" s="28"/>
      <c r="AN118" s="28"/>
      <c r="AO118" s="28"/>
      <c r="AP118" s="28"/>
      <c r="AQ118" s="28"/>
      <c r="AR118" s="28"/>
      <c r="AS118" s="28"/>
      <c r="AT118" s="28"/>
      <c r="AU118" s="28"/>
      <c r="AV118" s="28"/>
      <c r="AW118" s="28"/>
      <c r="AX118" s="28"/>
      <c r="CF118" s="3245" t="s">
        <v>1719</v>
      </c>
      <c r="CQ118" s="1161"/>
      <c r="CS118" s="36" t="str">
        <v>3UP - Get Three Whole Life Hearts</v>
      </c>
    </row>
    <row r="119" spans="2:108" ht="17.100000000000001" customHeight="1" x14ac:dyDescent="0.2">
      <c r="E119" s="19"/>
      <c r="S119" s="19"/>
      <c r="AD119" s="28"/>
      <c r="AE119" s="28"/>
      <c r="AF119" s="28"/>
      <c r="AG119" s="28"/>
      <c r="AH119" s="28"/>
      <c r="AI119" s="28"/>
      <c r="AJ119" s="28"/>
      <c r="AK119" s="28"/>
      <c r="AL119" s="28"/>
      <c r="AM119" s="28"/>
      <c r="AN119" s="28"/>
      <c r="AO119" s="28"/>
      <c r="AP119" s="28"/>
      <c r="AQ119" s="28"/>
      <c r="AR119" s="28"/>
      <c r="AS119" s="28"/>
      <c r="AT119" s="28"/>
      <c r="AU119" s="28"/>
      <c r="AV119" s="28"/>
      <c r="AW119" s="28"/>
      <c r="AX119" s="28"/>
      <c r="AZ119" s="817"/>
      <c r="BA119" s="817"/>
      <c r="BB119" s="817"/>
      <c r="BC119" s="817"/>
      <c r="BD119" s="817"/>
      <c r="BE119" s="817"/>
      <c r="BF119" s="817"/>
      <c r="BG119" s="817"/>
      <c r="BH119" s="817"/>
      <c r="BI119" s="817"/>
      <c r="BJ119" s="817"/>
      <c r="BK119" s="817"/>
      <c r="BL119" s="817"/>
      <c r="BN119" s="817"/>
      <c r="BO119" s="817"/>
      <c r="BP119" s="817"/>
      <c r="BQ119" s="817"/>
      <c r="BR119" s="817"/>
      <c r="BS119" s="817"/>
      <c r="BT119" s="817"/>
      <c r="BU119" s="817"/>
      <c r="BV119" s="817"/>
      <c r="BW119" s="817"/>
      <c r="BX119" s="817"/>
      <c r="BY119" s="817"/>
      <c r="BZ119" s="817"/>
      <c r="CB119" s="817"/>
      <c r="CC119" s="817"/>
      <c r="CD119" s="817"/>
      <c r="CE119" s="817"/>
      <c r="CF119" s="3245" t="s">
        <v>1718</v>
      </c>
      <c r="CQ119" s="1161"/>
      <c r="CS119" s="36"/>
    </row>
    <row r="120" spans="2:108" ht="17.100000000000001" customHeight="1" x14ac:dyDescent="0.2">
      <c r="AD120" s="28"/>
      <c r="AE120" s="28"/>
      <c r="AF120" s="28"/>
      <c r="AG120" s="28"/>
      <c r="AH120" s="28"/>
      <c r="AI120" s="28"/>
      <c r="AJ120" s="28"/>
      <c r="AK120" s="28"/>
      <c r="AL120" s="28"/>
      <c r="AM120" s="28"/>
      <c r="AN120" s="28"/>
      <c r="AO120" s="28"/>
      <c r="AP120" s="28"/>
      <c r="AQ120" s="28"/>
      <c r="AR120" s="28"/>
      <c r="AS120" s="28"/>
      <c r="AT120" s="28"/>
      <c r="AU120" s="28"/>
      <c r="AV120" s="28"/>
      <c r="AW120" s="28"/>
      <c r="AX120" s="28"/>
      <c r="CF120" s="3245" t="s">
        <v>1717</v>
      </c>
      <c r="CQ120" s="1161"/>
      <c r="CS120" s="36"/>
    </row>
    <row r="121" spans="2:108" ht="17.100000000000001" customHeight="1" x14ac:dyDescent="0.2">
      <c r="AD121" s="28"/>
      <c r="AE121" s="28"/>
      <c r="AF121" s="28"/>
      <c r="AG121" s="28"/>
      <c r="AH121" s="28"/>
      <c r="AI121" s="28"/>
      <c r="AJ121" s="28"/>
      <c r="AK121" s="28"/>
      <c r="AL121" s="28"/>
      <c r="AM121" s="28"/>
      <c r="AN121" s="28"/>
      <c r="AO121" s="28"/>
      <c r="AP121" s="28"/>
      <c r="AQ121" s="28"/>
      <c r="AR121" s="28"/>
      <c r="AS121" s="28"/>
      <c r="AT121" s="28"/>
      <c r="AU121" s="28"/>
      <c r="AV121" s="28"/>
      <c r="AW121" s="28"/>
      <c r="AX121" s="28"/>
      <c r="CF121" s="3246" t="s">
        <v>1724</v>
      </c>
      <c r="CG121" s="1154"/>
      <c r="CH121" s="1154"/>
      <c r="CI121" s="1154"/>
      <c r="CJ121" s="1154"/>
      <c r="CK121" s="1154"/>
      <c r="CL121" s="1154"/>
      <c r="CM121" s="1154"/>
      <c r="CN121" s="1154"/>
      <c r="CO121" s="1154"/>
      <c r="CP121" s="1154"/>
      <c r="CQ121" s="1163"/>
      <c r="CS121" s="36"/>
    </row>
    <row r="122" spans="2:108" ht="17.100000000000001" customHeight="1" x14ac:dyDescent="0.2">
      <c r="AD122" s="28"/>
      <c r="AE122" s="28"/>
      <c r="AF122" s="28"/>
      <c r="AG122" s="28"/>
      <c r="AH122" s="28"/>
      <c r="AI122" s="28"/>
      <c r="AJ122" s="28"/>
      <c r="AK122" s="28"/>
      <c r="AL122" s="28"/>
      <c r="AM122" s="28"/>
      <c r="AN122" s="28"/>
      <c r="AO122" s="28"/>
      <c r="AP122" s="28"/>
      <c r="AQ122" s="28"/>
      <c r="AR122" s="28"/>
      <c r="AS122" s="28"/>
      <c r="AT122" s="28"/>
      <c r="AU122" s="28"/>
      <c r="AV122" s="28"/>
      <c r="AW122" s="28"/>
      <c r="AX122" s="28"/>
      <c r="CF122" s="3245" t="s">
        <v>453</v>
      </c>
      <c r="CQ122" s="1161"/>
      <c r="CS122" s="36"/>
    </row>
    <row r="123" spans="2:108" ht="17.100000000000001" customHeight="1" x14ac:dyDescent="0.2">
      <c r="AD123" s="28"/>
      <c r="AE123" s="28"/>
      <c r="AF123" s="28"/>
      <c r="AG123" s="28"/>
      <c r="AH123" s="28"/>
      <c r="AI123" s="28"/>
      <c r="AJ123" s="28"/>
      <c r="AK123" s="28"/>
      <c r="AL123" s="28"/>
      <c r="AM123" s="28"/>
      <c r="AN123" s="28"/>
      <c r="AO123" s="28"/>
      <c r="AP123" s="28"/>
      <c r="AQ123" s="28"/>
      <c r="AR123" s="28"/>
      <c r="AS123" s="28"/>
      <c r="AT123" s="28"/>
      <c r="AU123" s="28"/>
      <c r="AV123" s="28"/>
      <c r="AW123" s="28"/>
      <c r="AX123" s="28"/>
      <c r="CF123" s="3245" t="s">
        <v>452</v>
      </c>
      <c r="CQ123" s="1161"/>
      <c r="CS123" s="36"/>
    </row>
    <row r="124" spans="2:108" ht="17.100000000000001" customHeight="1" x14ac:dyDescent="0.2">
      <c r="AD124" s="28"/>
      <c r="AE124" s="28"/>
      <c r="AF124" s="28"/>
      <c r="AG124" s="28"/>
      <c r="AH124" s="28"/>
      <c r="AI124" s="28"/>
      <c r="AJ124" s="28"/>
      <c r="AK124" s="28"/>
      <c r="AL124" s="28"/>
      <c r="AM124" s="28"/>
      <c r="AN124" s="28"/>
      <c r="AO124" s="28"/>
      <c r="AP124" s="28"/>
      <c r="AQ124" s="28"/>
      <c r="AR124" s="28"/>
      <c r="AS124" s="28"/>
      <c r="AT124" s="28"/>
      <c r="AU124" s="28"/>
      <c r="AV124" s="28"/>
      <c r="AW124" s="28"/>
      <c r="AX124" s="28"/>
      <c r="CF124" s="3245" t="s">
        <v>1179</v>
      </c>
      <c r="CQ124" s="1161"/>
      <c r="CS124" s="36"/>
    </row>
    <row r="125" spans="2:108" ht="17.100000000000001" customHeight="1" x14ac:dyDescent="0.2">
      <c r="AD125" s="28"/>
      <c r="AE125" s="28"/>
      <c r="AF125" s="28"/>
      <c r="AG125" s="28"/>
      <c r="AH125" s="28"/>
      <c r="AI125" s="28"/>
      <c r="AJ125" s="28"/>
      <c r="AK125" s="28"/>
      <c r="AL125" s="28"/>
      <c r="AM125" s="28"/>
      <c r="AN125" s="28"/>
      <c r="AO125" s="28"/>
      <c r="AP125" s="28"/>
      <c r="AQ125" s="28"/>
      <c r="AR125" s="28"/>
      <c r="AS125" s="28"/>
      <c r="AT125" s="28"/>
      <c r="AU125" s="28"/>
      <c r="AV125" s="28"/>
      <c r="AW125" s="28"/>
      <c r="AX125" s="28"/>
      <c r="CF125" s="3246" t="s">
        <v>1180</v>
      </c>
      <c r="CG125" s="1154"/>
      <c r="CH125" s="1154"/>
      <c r="CI125" s="1154"/>
      <c r="CJ125" s="1154"/>
      <c r="CK125" s="1154"/>
      <c r="CL125" s="1154"/>
      <c r="CM125" s="1154"/>
      <c r="CN125" s="1154"/>
      <c r="CO125" s="1154"/>
      <c r="CP125" s="1154"/>
      <c r="CQ125" s="1163"/>
      <c r="CS125" s="36"/>
    </row>
    <row r="126" spans="2:108" ht="17.100000000000001" customHeight="1" x14ac:dyDescent="0.2">
      <c r="AD126" s="28"/>
      <c r="AE126" s="28"/>
      <c r="AF126" s="28"/>
      <c r="AG126" s="28"/>
      <c r="AH126" s="28"/>
      <c r="AI126" s="28"/>
      <c r="AJ126" s="28"/>
      <c r="AK126" s="28"/>
      <c r="AL126" s="28"/>
      <c r="AM126" s="28"/>
      <c r="AN126" s="28"/>
      <c r="AO126" s="28"/>
      <c r="AP126" s="28"/>
      <c r="AQ126" s="28"/>
      <c r="AR126" s="28"/>
      <c r="AS126" s="28"/>
      <c r="AT126" s="28"/>
      <c r="AU126" s="28"/>
      <c r="AV126" s="28"/>
      <c r="AW126" s="28"/>
      <c r="AX126" s="28"/>
    </row>
    <row r="127" spans="2:108" ht="17.100000000000001" customHeight="1" x14ac:dyDescent="0.2">
      <c r="AD127" s="28"/>
      <c r="AE127" s="28"/>
      <c r="AF127" s="28"/>
      <c r="AG127" s="28"/>
      <c r="AH127" s="28"/>
      <c r="AI127" s="28"/>
      <c r="AJ127" s="28"/>
      <c r="AK127" s="28"/>
      <c r="AL127" s="28"/>
      <c r="AM127" s="28"/>
      <c r="AN127" s="28"/>
      <c r="AO127" s="28"/>
      <c r="AP127" s="28"/>
      <c r="AQ127" s="28"/>
      <c r="AR127" s="28"/>
      <c r="AS127" s="28"/>
      <c r="AT127" s="28"/>
      <c r="AU127" s="28"/>
      <c r="AV127" s="28"/>
      <c r="AW127" s="28"/>
      <c r="AX127" s="28"/>
    </row>
    <row r="128" spans="2:108" ht="17.100000000000001" customHeight="1" x14ac:dyDescent="0.2">
      <c r="AD128" s="28"/>
      <c r="AE128" s="28"/>
      <c r="AF128" s="28"/>
      <c r="AG128" s="28"/>
      <c r="AH128" s="28"/>
      <c r="AI128" s="28"/>
      <c r="AJ128" s="28"/>
      <c r="AK128" s="28"/>
      <c r="AL128" s="28"/>
      <c r="AM128" s="28"/>
      <c r="AN128" s="28"/>
      <c r="AO128" s="28"/>
      <c r="AP128" s="28"/>
      <c r="AQ128" s="28"/>
      <c r="AR128" s="28"/>
      <c r="AS128" s="28"/>
      <c r="AT128" s="28"/>
      <c r="AU128" s="28"/>
      <c r="AV128" s="28"/>
      <c r="AW128" s="28"/>
      <c r="AX128" s="28"/>
    </row>
    <row r="129" spans="30:50" ht="17.100000000000001" customHeight="1" x14ac:dyDescent="0.2">
      <c r="AD129" s="28"/>
      <c r="AE129" s="28"/>
      <c r="AF129" s="28"/>
      <c r="AG129" s="28"/>
      <c r="AH129" s="28"/>
      <c r="AI129" s="28"/>
      <c r="AJ129" s="28"/>
      <c r="AK129" s="28"/>
      <c r="AL129" s="28"/>
      <c r="AM129" s="28"/>
      <c r="AN129" s="28"/>
      <c r="AO129" s="28"/>
      <c r="AP129" s="28"/>
      <c r="AQ129" s="28"/>
      <c r="AR129" s="28"/>
      <c r="AS129" s="28"/>
      <c r="AT129" s="28"/>
      <c r="AU129" s="28"/>
      <c r="AV129" s="28"/>
      <c r="AW129" s="28"/>
      <c r="AX129" s="28"/>
    </row>
    <row r="130" spans="30:50" ht="17.100000000000001" customHeight="1" x14ac:dyDescent="0.2">
      <c r="AD130" s="28"/>
      <c r="AE130" s="28"/>
      <c r="AF130" s="28"/>
      <c r="AG130" s="28"/>
      <c r="AH130" s="28"/>
      <c r="AI130" s="28"/>
      <c r="AJ130" s="28"/>
      <c r="AK130" s="28"/>
      <c r="AL130" s="28"/>
      <c r="AM130" s="28"/>
      <c r="AN130" s="28"/>
      <c r="AO130" s="28"/>
      <c r="AP130" s="28"/>
      <c r="AQ130" s="28"/>
      <c r="AR130" s="28"/>
      <c r="AS130" s="28"/>
      <c r="AT130" s="28"/>
      <c r="AU130" s="28"/>
      <c r="AV130" s="28"/>
      <c r="AW130" s="28"/>
      <c r="AX130" s="28"/>
    </row>
    <row r="131" spans="30:50" ht="17.100000000000001" customHeight="1" x14ac:dyDescent="0.2">
      <c r="AD131" s="28"/>
      <c r="AE131" s="28"/>
      <c r="AF131" s="28"/>
      <c r="AG131" s="28"/>
      <c r="AH131" s="28"/>
      <c r="AI131" s="28"/>
      <c r="AJ131" s="28"/>
      <c r="AK131" s="28"/>
      <c r="AL131" s="28"/>
      <c r="AM131" s="28"/>
      <c r="AN131" s="28"/>
      <c r="AO131" s="28"/>
      <c r="AP131" s="28"/>
      <c r="AQ131" s="28"/>
      <c r="AR131" s="28"/>
      <c r="AS131" s="28"/>
      <c r="AT131" s="28"/>
      <c r="AU131" s="28"/>
      <c r="AV131" s="28"/>
      <c r="AW131" s="28"/>
      <c r="AX131" s="28"/>
    </row>
    <row r="132" spans="30:50" ht="17.100000000000001" customHeight="1" x14ac:dyDescent="0.2">
      <c r="AD132" s="28"/>
      <c r="AE132" s="28"/>
      <c r="AF132" s="28"/>
      <c r="AG132" s="28"/>
      <c r="AH132" s="28"/>
      <c r="AI132" s="28"/>
      <c r="AJ132" s="28"/>
      <c r="AK132" s="28"/>
      <c r="AL132" s="28"/>
      <c r="AM132" s="28"/>
      <c r="AN132" s="28"/>
      <c r="AO132" s="28"/>
      <c r="AP132" s="28"/>
      <c r="AQ132" s="28"/>
      <c r="AR132" s="28"/>
      <c r="AS132" s="28"/>
      <c r="AT132" s="28"/>
      <c r="AU132" s="28"/>
      <c r="AV132" s="28"/>
      <c r="AW132" s="28"/>
      <c r="AX132" s="28"/>
    </row>
    <row r="133" spans="30:50" ht="17.100000000000001" customHeight="1" x14ac:dyDescent="0.2">
      <c r="AD133" s="28"/>
      <c r="AE133" s="28"/>
      <c r="AF133" s="28"/>
      <c r="AG133" s="28"/>
      <c r="AH133" s="28"/>
      <c r="AI133" s="28"/>
      <c r="AJ133" s="28"/>
      <c r="AK133" s="28"/>
      <c r="AL133" s="28"/>
      <c r="AM133" s="28"/>
      <c r="AN133" s="28"/>
      <c r="AO133" s="28"/>
      <c r="AP133" s="28"/>
      <c r="AQ133" s="28"/>
      <c r="AR133" s="28"/>
      <c r="AS133" s="28"/>
      <c r="AT133" s="28"/>
      <c r="AU133" s="28"/>
      <c r="AV133" s="28"/>
      <c r="AW133" s="28"/>
      <c r="AX133" s="28"/>
    </row>
    <row r="134" spans="30:50" ht="17.100000000000001" customHeight="1" x14ac:dyDescent="0.2">
      <c r="AD134" s="28"/>
      <c r="AE134" s="28"/>
      <c r="AF134" s="28"/>
      <c r="AG134" s="28"/>
      <c r="AH134" s="28"/>
      <c r="AI134" s="28"/>
      <c r="AJ134" s="28"/>
      <c r="AK134" s="28"/>
      <c r="AL134" s="28"/>
      <c r="AM134" s="28"/>
      <c r="AN134" s="28"/>
      <c r="AO134" s="28"/>
      <c r="AP134" s="28"/>
      <c r="AQ134" s="28"/>
      <c r="AR134" s="28"/>
      <c r="AS134" s="28"/>
      <c r="AT134" s="28"/>
      <c r="AU134" s="28"/>
      <c r="AV134" s="28"/>
      <c r="AW134" s="28"/>
      <c r="AX134" s="28"/>
    </row>
    <row r="135" spans="30:50" ht="17.100000000000001" customHeight="1" x14ac:dyDescent="0.2">
      <c r="AD135" s="28"/>
      <c r="AE135" s="28"/>
      <c r="AF135" s="28"/>
      <c r="AG135" s="28"/>
      <c r="AH135" s="28"/>
      <c r="AI135" s="28"/>
      <c r="AJ135" s="28"/>
      <c r="AK135" s="28"/>
      <c r="AL135" s="28"/>
      <c r="AM135" s="28"/>
      <c r="AN135" s="28"/>
      <c r="AO135" s="28"/>
      <c r="AP135" s="28"/>
      <c r="AQ135" s="28"/>
      <c r="AR135" s="28"/>
      <c r="AS135" s="28"/>
      <c r="AT135" s="28"/>
      <c r="AU135" s="28"/>
      <c r="AV135" s="28"/>
      <c r="AW135" s="28"/>
      <c r="AX135" s="28"/>
    </row>
    <row r="136" spans="30:50" ht="17.100000000000001" customHeight="1" x14ac:dyDescent="0.2">
      <c r="AD136" s="28"/>
      <c r="AE136" s="28"/>
      <c r="AF136" s="28"/>
      <c r="AG136" s="28"/>
      <c r="AH136" s="28"/>
      <c r="AI136" s="28"/>
      <c r="AJ136" s="28"/>
      <c r="AK136" s="28"/>
      <c r="AL136" s="28"/>
      <c r="AM136" s="28"/>
      <c r="AN136" s="28"/>
      <c r="AO136" s="28"/>
      <c r="AP136" s="28"/>
      <c r="AQ136" s="28"/>
      <c r="AR136" s="28"/>
      <c r="AS136" s="28"/>
      <c r="AT136" s="28"/>
      <c r="AU136" s="28"/>
      <c r="AV136" s="28"/>
      <c r="AW136" s="28"/>
      <c r="AX136" s="28"/>
    </row>
    <row r="137" spans="30:50" ht="17.100000000000001" customHeight="1" x14ac:dyDescent="0.2">
      <c r="AD137" s="28"/>
      <c r="AE137" s="28"/>
      <c r="AF137" s="28"/>
      <c r="AG137" s="28"/>
      <c r="AH137" s="28"/>
      <c r="AI137" s="28"/>
      <c r="AJ137" s="28"/>
      <c r="AK137" s="28"/>
      <c r="AL137" s="28"/>
      <c r="AM137" s="28"/>
      <c r="AN137" s="28"/>
      <c r="AO137" s="28"/>
      <c r="AP137" s="28"/>
      <c r="AQ137" s="28"/>
      <c r="AR137" s="28"/>
      <c r="AS137" s="28"/>
      <c r="AT137" s="28"/>
      <c r="AU137" s="28"/>
      <c r="AV137" s="28"/>
      <c r="AW137" s="28"/>
      <c r="AX137" s="28"/>
    </row>
  </sheetData>
  <sheetProtection sheet="1" objects="1" scenarios="1"/>
  <mergeCells count="530">
    <mergeCell ref="CW79:CZ79"/>
    <mergeCell ref="CS85:CU85"/>
    <mergeCell ref="DB85:DD85"/>
    <mergeCell ref="CX80:CY81"/>
    <mergeCell ref="AG81:AU84"/>
    <mergeCell ref="O82:P83"/>
    <mergeCell ref="X82:Y83"/>
    <mergeCell ref="Q81:R82"/>
    <mergeCell ref="K82:M83"/>
    <mergeCell ref="K81:M81"/>
    <mergeCell ref="BO81:BQ81"/>
    <mergeCell ref="CS83:CU83"/>
    <mergeCell ref="DB83:DD83"/>
    <mergeCell ref="BO82:BQ83"/>
    <mergeCell ref="BO84:BQ84"/>
    <mergeCell ref="S81:U82"/>
    <mergeCell ref="V81:W82"/>
    <mergeCell ref="Q83:W84"/>
    <mergeCell ref="AC82:AD83"/>
    <mergeCell ref="AX82:AY83"/>
    <mergeCell ref="BJ31:BK31"/>
    <mergeCell ref="BN31:BP31"/>
    <mergeCell ref="BQ31:BR31"/>
    <mergeCell ref="J31:L31"/>
    <mergeCell ref="M31:N31"/>
    <mergeCell ref="Q31:S31"/>
    <mergeCell ref="BQ27:BR27"/>
    <mergeCell ref="T27:U27"/>
    <mergeCell ref="T31:U31"/>
    <mergeCell ref="AA29:AI29"/>
    <mergeCell ref="AJ29:AL29"/>
    <mergeCell ref="AP29:AX29"/>
    <mergeCell ref="AA31:AI31"/>
    <mergeCell ref="AJ31:AL31"/>
    <mergeCell ref="AY31:BA31"/>
    <mergeCell ref="BC31:BD31"/>
    <mergeCell ref="H32:J32"/>
    <mergeCell ref="K32:L32"/>
    <mergeCell ref="O32:Q32"/>
    <mergeCell ref="R32:S32"/>
    <mergeCell ref="J30:L30"/>
    <mergeCell ref="M30:N30"/>
    <mergeCell ref="Q30:S30"/>
    <mergeCell ref="T30:U30"/>
    <mergeCell ref="X31:Y31"/>
    <mergeCell ref="BQ19:BR19"/>
    <mergeCell ref="BO21:BP21"/>
    <mergeCell ref="BQ21:BR21"/>
    <mergeCell ref="BO20:BP20"/>
    <mergeCell ref="BQ20:BR20"/>
    <mergeCell ref="BG21:BH21"/>
    <mergeCell ref="BI21:BJ21"/>
    <mergeCell ref="BK21:BL21"/>
    <mergeCell ref="BM21:BN21"/>
    <mergeCell ref="BQ23:BR23"/>
    <mergeCell ref="BO25:BP25"/>
    <mergeCell ref="BQ25:BR25"/>
    <mergeCell ref="BG23:BN23"/>
    <mergeCell ref="J29:L29"/>
    <mergeCell ref="M29:N29"/>
    <mergeCell ref="Q29:S29"/>
    <mergeCell ref="T29:U29"/>
    <mergeCell ref="T23:U23"/>
    <mergeCell ref="J27:Q27"/>
    <mergeCell ref="X25:Y25"/>
    <mergeCell ref="AA25:AI25"/>
    <mergeCell ref="AJ25:AL25"/>
    <mergeCell ref="AP25:AX25"/>
    <mergeCell ref="AY25:BA25"/>
    <mergeCell ref="BC25:BD25"/>
    <mergeCell ref="X26:Y26"/>
    <mergeCell ref="AA26:AI26"/>
    <mergeCell ref="AJ26:AL26"/>
    <mergeCell ref="AP26:AX26"/>
    <mergeCell ref="AY26:BA26"/>
    <mergeCell ref="BC26:BD26"/>
    <mergeCell ref="X29:Y29"/>
    <mergeCell ref="AP23:AX23"/>
    <mergeCell ref="AY23:BA23"/>
    <mergeCell ref="BC23:BD23"/>
    <mergeCell ref="X24:Y24"/>
    <mergeCell ref="AA24:AI24"/>
    <mergeCell ref="AJ24:AL24"/>
    <mergeCell ref="AP24:AX24"/>
    <mergeCell ref="AY24:BA24"/>
    <mergeCell ref="BC24:BD24"/>
    <mergeCell ref="AY20:BA20"/>
    <mergeCell ref="BC20:BD20"/>
    <mergeCell ref="X21:Y21"/>
    <mergeCell ref="AA21:AI21"/>
    <mergeCell ref="AJ21:AL21"/>
    <mergeCell ref="AP21:AX21"/>
    <mergeCell ref="AY21:BA21"/>
    <mergeCell ref="BC21:BD21"/>
    <mergeCell ref="X22:Y22"/>
    <mergeCell ref="AA22:AI22"/>
    <mergeCell ref="AJ22:AL22"/>
    <mergeCell ref="AP22:AX22"/>
    <mergeCell ref="AY22:BA22"/>
    <mergeCell ref="BC22:BD22"/>
    <mergeCell ref="AP20:AX20"/>
    <mergeCell ref="AC4:AY5"/>
    <mergeCell ref="AH7:AL7"/>
    <mergeCell ref="AP7:AT7"/>
    <mergeCell ref="X13:Y13"/>
    <mergeCell ref="BC13:BD13"/>
    <mergeCell ref="X19:Y19"/>
    <mergeCell ref="AA19:AI19"/>
    <mergeCell ref="AJ19:AL19"/>
    <mergeCell ref="AP19:AX19"/>
    <mergeCell ref="AY19:BA19"/>
    <mergeCell ref="BC19:BD19"/>
    <mergeCell ref="AA13:AI13"/>
    <mergeCell ref="AJ13:AL13"/>
    <mergeCell ref="AP13:AX13"/>
    <mergeCell ref="AY13:BA13"/>
    <mergeCell ref="AH17:AL17"/>
    <mergeCell ref="AP17:AT17"/>
    <mergeCell ref="BR7:BU7"/>
    <mergeCell ref="AH9:AL9"/>
    <mergeCell ref="AP9:AT9"/>
    <mergeCell ref="BR10:BU10"/>
    <mergeCell ref="X12:Y12"/>
    <mergeCell ref="AA12:AI12"/>
    <mergeCell ref="AJ12:AL12"/>
    <mergeCell ref="AP12:AX12"/>
    <mergeCell ref="AY12:BA12"/>
    <mergeCell ref="BC12:BD12"/>
    <mergeCell ref="AH10:AL10"/>
    <mergeCell ref="AP10:AT10"/>
    <mergeCell ref="AC34:AY35"/>
    <mergeCell ref="BG27:BN27"/>
    <mergeCell ref="R25:S25"/>
    <mergeCell ref="T25:U25"/>
    <mergeCell ref="AY30:BA30"/>
    <mergeCell ref="BC30:BD30"/>
    <mergeCell ref="X27:Y27"/>
    <mergeCell ref="AA27:AI27"/>
    <mergeCell ref="AJ27:AL27"/>
    <mergeCell ref="AP27:AX27"/>
    <mergeCell ref="AY27:BA27"/>
    <mergeCell ref="BC27:BD27"/>
    <mergeCell ref="X28:Y28"/>
    <mergeCell ref="AA28:AI28"/>
    <mergeCell ref="AJ28:AL28"/>
    <mergeCell ref="AP28:AX28"/>
    <mergeCell ref="AY28:BA28"/>
    <mergeCell ref="AY29:BA29"/>
    <mergeCell ref="BC29:BD29"/>
    <mergeCell ref="X30:Y30"/>
    <mergeCell ref="AA30:AI30"/>
    <mergeCell ref="AJ30:AL30"/>
    <mergeCell ref="AP30:AX30"/>
    <mergeCell ref="AP31:AX31"/>
    <mergeCell ref="N21:O21"/>
    <mergeCell ref="P21:Q21"/>
    <mergeCell ref="R21:S21"/>
    <mergeCell ref="T21:U21"/>
    <mergeCell ref="X20:Y20"/>
    <mergeCell ref="AA20:AI20"/>
    <mergeCell ref="AJ20:AL20"/>
    <mergeCell ref="J24:K24"/>
    <mergeCell ref="L24:M24"/>
    <mergeCell ref="N24:O24"/>
    <mergeCell ref="P24:Q24"/>
    <mergeCell ref="R24:S24"/>
    <mergeCell ref="T24:U24"/>
    <mergeCell ref="X23:Y23"/>
    <mergeCell ref="AA23:AI23"/>
    <mergeCell ref="AJ23:AL23"/>
    <mergeCell ref="T19:U19"/>
    <mergeCell ref="J25:K25"/>
    <mergeCell ref="L25:M25"/>
    <mergeCell ref="N25:O25"/>
    <mergeCell ref="P25:Q25"/>
    <mergeCell ref="BG25:BH25"/>
    <mergeCell ref="BI25:BJ25"/>
    <mergeCell ref="BK25:BL25"/>
    <mergeCell ref="BM25:BN25"/>
    <mergeCell ref="J19:Q19"/>
    <mergeCell ref="BG19:BN19"/>
    <mergeCell ref="J20:K20"/>
    <mergeCell ref="L20:M20"/>
    <mergeCell ref="N20:O20"/>
    <mergeCell ref="P20:Q20"/>
    <mergeCell ref="R20:S20"/>
    <mergeCell ref="T20:U20"/>
    <mergeCell ref="BG20:BH20"/>
    <mergeCell ref="BI20:BJ20"/>
    <mergeCell ref="BK20:BL20"/>
    <mergeCell ref="BM20:BN20"/>
    <mergeCell ref="J23:Q23"/>
    <mergeCell ref="J21:K21"/>
    <mergeCell ref="L21:M21"/>
    <mergeCell ref="AC42:AY43"/>
    <mergeCell ref="AH45:AL45"/>
    <mergeCell ref="AP45:AT45"/>
    <mergeCell ref="BR45:BU45"/>
    <mergeCell ref="AH47:AL47"/>
    <mergeCell ref="AP47:AT47"/>
    <mergeCell ref="AH48:AL48"/>
    <mergeCell ref="AP48:AT48"/>
    <mergeCell ref="BG24:BH24"/>
    <mergeCell ref="BI24:BJ24"/>
    <mergeCell ref="BK24:BL24"/>
    <mergeCell ref="BM24:BN24"/>
    <mergeCell ref="BO24:BP24"/>
    <mergeCell ref="BQ24:BR24"/>
    <mergeCell ref="BC28:BD28"/>
    <mergeCell ref="BG29:BI29"/>
    <mergeCell ref="BJ29:BK29"/>
    <mergeCell ref="BN29:BP29"/>
    <mergeCell ref="BQ29:BR29"/>
    <mergeCell ref="BG30:BI30"/>
    <mergeCell ref="BJ30:BK30"/>
    <mergeCell ref="BN30:BP30"/>
    <mergeCell ref="BQ30:BR30"/>
    <mergeCell ref="BG31:BI31"/>
    <mergeCell ref="X50:Y50"/>
    <mergeCell ref="AA50:AI50"/>
    <mergeCell ref="AJ50:AL50"/>
    <mergeCell ref="AP50:AX50"/>
    <mergeCell ref="AY50:BA50"/>
    <mergeCell ref="BC50:BD50"/>
    <mergeCell ref="X51:Y51"/>
    <mergeCell ref="AA51:AI51"/>
    <mergeCell ref="AJ51:AL51"/>
    <mergeCell ref="AP51:AX51"/>
    <mergeCell ref="AY51:BA51"/>
    <mergeCell ref="BC51:BD51"/>
    <mergeCell ref="AH55:AL55"/>
    <mergeCell ref="AP55:AT55"/>
    <mergeCell ref="J57:Q57"/>
    <mergeCell ref="T57:U57"/>
    <mergeCell ref="X57:Y57"/>
    <mergeCell ref="AA57:AI57"/>
    <mergeCell ref="AJ57:AL57"/>
    <mergeCell ref="AP57:AX57"/>
    <mergeCell ref="AY57:BA57"/>
    <mergeCell ref="BG57:BN57"/>
    <mergeCell ref="BQ57:BR57"/>
    <mergeCell ref="J58:K58"/>
    <mergeCell ref="L58:M58"/>
    <mergeCell ref="N58:O58"/>
    <mergeCell ref="P58:Q58"/>
    <mergeCell ref="R58:S58"/>
    <mergeCell ref="T58:U58"/>
    <mergeCell ref="X58:Y58"/>
    <mergeCell ref="AA58:AI58"/>
    <mergeCell ref="AJ58:AL58"/>
    <mergeCell ref="AP58:AX58"/>
    <mergeCell ref="AY58:BA58"/>
    <mergeCell ref="BC58:BD58"/>
    <mergeCell ref="BG58:BH58"/>
    <mergeCell ref="BI58:BJ58"/>
    <mergeCell ref="BK58:BL58"/>
    <mergeCell ref="BM58:BN58"/>
    <mergeCell ref="BO58:BP58"/>
    <mergeCell ref="BQ58:BR58"/>
    <mergeCell ref="BC57:BD57"/>
    <mergeCell ref="J59:K59"/>
    <mergeCell ref="L59:M59"/>
    <mergeCell ref="N59:O59"/>
    <mergeCell ref="P59:Q59"/>
    <mergeCell ref="R59:S59"/>
    <mergeCell ref="T59:U59"/>
    <mergeCell ref="X59:Y59"/>
    <mergeCell ref="AA59:AI59"/>
    <mergeCell ref="AJ59:AL59"/>
    <mergeCell ref="AP59:AX59"/>
    <mergeCell ref="AY59:BA59"/>
    <mergeCell ref="BC59:BD59"/>
    <mergeCell ref="BG59:BH59"/>
    <mergeCell ref="BI59:BJ59"/>
    <mergeCell ref="BK59:BL59"/>
    <mergeCell ref="BM59:BN59"/>
    <mergeCell ref="BO59:BP59"/>
    <mergeCell ref="BQ59:BR59"/>
    <mergeCell ref="X60:Y60"/>
    <mergeCell ref="AA60:AI60"/>
    <mergeCell ref="AJ60:AL60"/>
    <mergeCell ref="AP60:AX60"/>
    <mergeCell ref="AY60:BA60"/>
    <mergeCell ref="BC60:BD60"/>
    <mergeCell ref="J61:Q61"/>
    <mergeCell ref="T61:U61"/>
    <mergeCell ref="X61:Y61"/>
    <mergeCell ref="AA61:AI61"/>
    <mergeCell ref="AJ61:AL61"/>
    <mergeCell ref="AP61:AX61"/>
    <mergeCell ref="AY61:BA61"/>
    <mergeCell ref="BC61:BD61"/>
    <mergeCell ref="BG61:BN61"/>
    <mergeCell ref="BQ61:BR61"/>
    <mergeCell ref="J62:K62"/>
    <mergeCell ref="L62:M62"/>
    <mergeCell ref="N62:O62"/>
    <mergeCell ref="P62:Q62"/>
    <mergeCell ref="R62:S62"/>
    <mergeCell ref="T62:U62"/>
    <mergeCell ref="X62:Y62"/>
    <mergeCell ref="AA62:AI62"/>
    <mergeCell ref="AJ62:AL62"/>
    <mergeCell ref="AP62:AX62"/>
    <mergeCell ref="AY62:BA62"/>
    <mergeCell ref="BC62:BD62"/>
    <mergeCell ref="BG62:BH62"/>
    <mergeCell ref="BI62:BJ62"/>
    <mergeCell ref="BK62:BL62"/>
    <mergeCell ref="BM62:BN62"/>
    <mergeCell ref="BO62:BP62"/>
    <mergeCell ref="BQ62:BR62"/>
    <mergeCell ref="J63:K63"/>
    <mergeCell ref="L63:M63"/>
    <mergeCell ref="N63:O63"/>
    <mergeCell ref="P63:Q63"/>
    <mergeCell ref="R63:S63"/>
    <mergeCell ref="T63:U63"/>
    <mergeCell ref="X63:Y63"/>
    <mergeCell ref="AA63:AI63"/>
    <mergeCell ref="AJ63:AL63"/>
    <mergeCell ref="AP63:AX63"/>
    <mergeCell ref="AY63:BA63"/>
    <mergeCell ref="BC63:BD63"/>
    <mergeCell ref="BG63:BH63"/>
    <mergeCell ref="BI63:BJ63"/>
    <mergeCell ref="BK63:BL63"/>
    <mergeCell ref="BM63:BN63"/>
    <mergeCell ref="BO63:BP63"/>
    <mergeCell ref="BQ63:BR63"/>
    <mergeCell ref="X64:Y64"/>
    <mergeCell ref="AA64:AI64"/>
    <mergeCell ref="AJ64:AL64"/>
    <mergeCell ref="AP64:AX64"/>
    <mergeCell ref="AY64:BA64"/>
    <mergeCell ref="BC64:BD64"/>
    <mergeCell ref="J65:Q65"/>
    <mergeCell ref="T65:U65"/>
    <mergeCell ref="X65:Y65"/>
    <mergeCell ref="AA65:AI65"/>
    <mergeCell ref="AJ65:AL65"/>
    <mergeCell ref="AP65:AX65"/>
    <mergeCell ref="AY65:BA65"/>
    <mergeCell ref="BC65:BD65"/>
    <mergeCell ref="BG65:BN65"/>
    <mergeCell ref="BQ65:BR65"/>
    <mergeCell ref="X66:Y66"/>
    <mergeCell ref="AA66:AI66"/>
    <mergeCell ref="AJ66:AL66"/>
    <mergeCell ref="AP66:AX66"/>
    <mergeCell ref="AY66:BA66"/>
    <mergeCell ref="BC66:BD66"/>
    <mergeCell ref="BC67:BD67"/>
    <mergeCell ref="BG67:BI67"/>
    <mergeCell ref="BJ67:BK67"/>
    <mergeCell ref="BN67:BP67"/>
    <mergeCell ref="BQ67:BR67"/>
    <mergeCell ref="BC68:BD68"/>
    <mergeCell ref="BG68:BI68"/>
    <mergeCell ref="BJ68:BK68"/>
    <mergeCell ref="BN68:BP68"/>
    <mergeCell ref="BQ68:BR68"/>
    <mergeCell ref="J67:L67"/>
    <mergeCell ref="M67:N67"/>
    <mergeCell ref="Q67:S67"/>
    <mergeCell ref="T67:U67"/>
    <mergeCell ref="X67:Y67"/>
    <mergeCell ref="J68:L68"/>
    <mergeCell ref="M68:N68"/>
    <mergeCell ref="Q68:S68"/>
    <mergeCell ref="T68:U68"/>
    <mergeCell ref="X68:Y68"/>
    <mergeCell ref="AA68:AI68"/>
    <mergeCell ref="AJ68:AL68"/>
    <mergeCell ref="AP68:AX68"/>
    <mergeCell ref="AY68:BA68"/>
    <mergeCell ref="AA67:AI67"/>
    <mergeCell ref="AJ67:AL67"/>
    <mergeCell ref="AP67:AX67"/>
    <mergeCell ref="AY67:BA67"/>
    <mergeCell ref="AC72:AY73"/>
    <mergeCell ref="BC69:BD69"/>
    <mergeCell ref="BG69:BI69"/>
    <mergeCell ref="BJ69:BK69"/>
    <mergeCell ref="BN69:BP69"/>
    <mergeCell ref="BQ69:BR69"/>
    <mergeCell ref="H70:J70"/>
    <mergeCell ref="K70:L70"/>
    <mergeCell ref="O70:Q70"/>
    <mergeCell ref="R70:S70"/>
    <mergeCell ref="J69:L69"/>
    <mergeCell ref="M69:N69"/>
    <mergeCell ref="Q69:S69"/>
    <mergeCell ref="T69:U69"/>
    <mergeCell ref="X69:Y69"/>
    <mergeCell ref="AA69:AI69"/>
    <mergeCell ref="AJ69:AL69"/>
    <mergeCell ref="AP69:AX69"/>
    <mergeCell ref="AY69:BA69"/>
    <mergeCell ref="I108:O108"/>
    <mergeCell ref="Q108:W108"/>
    <mergeCell ref="Y108:AE108"/>
    <mergeCell ref="Y94:AE94"/>
    <mergeCell ref="AG94:AM94"/>
    <mergeCell ref="AD104:AE105"/>
    <mergeCell ref="AG108:AM108"/>
    <mergeCell ref="AO108:AU108"/>
    <mergeCell ref="AW108:BC108"/>
    <mergeCell ref="Y106:AE107"/>
    <mergeCell ref="AW106:BC107"/>
    <mergeCell ref="AO99:AU100"/>
    <mergeCell ref="AG99:AM100"/>
    <mergeCell ref="Y104:Z105"/>
    <mergeCell ref="AA104:AC105"/>
    <mergeCell ref="I106:O107"/>
    <mergeCell ref="AI104:AK105"/>
    <mergeCell ref="AL104:AM105"/>
    <mergeCell ref="AO104:AP105"/>
    <mergeCell ref="AQ104:AS105"/>
    <mergeCell ref="AG101:AM101"/>
    <mergeCell ref="Y101:AE101"/>
    <mergeCell ref="AI97:AK98"/>
    <mergeCell ref="AL97:AM98"/>
    <mergeCell ref="BM108:BS108"/>
    <mergeCell ref="AG92:AM93"/>
    <mergeCell ref="AO92:AU93"/>
    <mergeCell ref="AW92:BC93"/>
    <mergeCell ref="BM97:BN98"/>
    <mergeCell ref="BO97:BQ98"/>
    <mergeCell ref="BM94:BS94"/>
    <mergeCell ref="BG97:BI98"/>
    <mergeCell ref="Q92:W93"/>
    <mergeCell ref="Y92:AE93"/>
    <mergeCell ref="BM92:BS93"/>
    <mergeCell ref="Q94:W94"/>
    <mergeCell ref="BB97:BC98"/>
    <mergeCell ref="BE108:BK108"/>
    <mergeCell ref="BR97:BS98"/>
    <mergeCell ref="BE106:BK107"/>
    <mergeCell ref="BM106:BS107"/>
    <mergeCell ref="BM99:BS100"/>
    <mergeCell ref="BM101:BS101"/>
    <mergeCell ref="Q106:W107"/>
    <mergeCell ref="AG106:AM107"/>
    <mergeCell ref="AO106:AU107"/>
    <mergeCell ref="Y99:AE100"/>
    <mergeCell ref="AG104:AH105"/>
    <mergeCell ref="AL90:AM91"/>
    <mergeCell ref="AG90:AH91"/>
    <mergeCell ref="AI90:AK91"/>
    <mergeCell ref="K84:M84"/>
    <mergeCell ref="AG86:AU86"/>
    <mergeCell ref="CX83:CY83"/>
    <mergeCell ref="BL82:BM83"/>
    <mergeCell ref="BC82:BD83"/>
    <mergeCell ref="BJ90:BK91"/>
    <mergeCell ref="BM90:BN91"/>
    <mergeCell ref="BO90:BQ91"/>
    <mergeCell ref="CF81:CL82"/>
    <mergeCell ref="CF83:CL84"/>
    <mergeCell ref="BE81:BF82"/>
    <mergeCell ref="BG81:BI82"/>
    <mergeCell ref="BJ81:BK82"/>
    <mergeCell ref="BE83:BK84"/>
    <mergeCell ref="AO90:AP91"/>
    <mergeCell ref="AQ90:AS91"/>
    <mergeCell ref="AT90:AU91"/>
    <mergeCell ref="AW90:AX91"/>
    <mergeCell ref="AY90:BA91"/>
    <mergeCell ref="BB90:BC91"/>
    <mergeCell ref="BE90:BF91"/>
    <mergeCell ref="BE99:BK100"/>
    <mergeCell ref="AW99:BC100"/>
    <mergeCell ref="BE101:BK101"/>
    <mergeCell ref="BE104:BF105"/>
    <mergeCell ref="BG104:BI105"/>
    <mergeCell ref="BJ104:BK105"/>
    <mergeCell ref="AW104:AX105"/>
    <mergeCell ref="AW101:BC101"/>
    <mergeCell ref="AO101:AU101"/>
    <mergeCell ref="AY104:BA105"/>
    <mergeCell ref="BB104:BC105"/>
    <mergeCell ref="AT104:AU105"/>
    <mergeCell ref="BG90:BI91"/>
    <mergeCell ref="BE97:BF98"/>
    <mergeCell ref="AO94:AU94"/>
    <mergeCell ref="AW94:BC94"/>
    <mergeCell ref="BE94:BK94"/>
    <mergeCell ref="BE92:BK93"/>
    <mergeCell ref="BJ97:BK98"/>
    <mergeCell ref="AY97:BA98"/>
    <mergeCell ref="AW97:AX98"/>
    <mergeCell ref="AO97:AP98"/>
    <mergeCell ref="AQ97:AS98"/>
    <mergeCell ref="AT97:AU98"/>
    <mergeCell ref="I94:O94"/>
    <mergeCell ref="I101:O101"/>
    <mergeCell ref="I99:O100"/>
    <mergeCell ref="Q99:W100"/>
    <mergeCell ref="I90:J91"/>
    <mergeCell ref="K90:M91"/>
    <mergeCell ref="N90:O91"/>
    <mergeCell ref="Q90:R91"/>
    <mergeCell ref="S90:U91"/>
    <mergeCell ref="V90:W91"/>
    <mergeCell ref="I92:O93"/>
    <mergeCell ref="BR104:BS105"/>
    <mergeCell ref="BR90:BS91"/>
    <mergeCell ref="I97:J98"/>
    <mergeCell ref="K97:M98"/>
    <mergeCell ref="N97:O98"/>
    <mergeCell ref="Q97:R98"/>
    <mergeCell ref="S97:U98"/>
    <mergeCell ref="V97:W98"/>
    <mergeCell ref="I104:J105"/>
    <mergeCell ref="K104:M105"/>
    <mergeCell ref="N104:O105"/>
    <mergeCell ref="Q104:R105"/>
    <mergeCell ref="S104:U105"/>
    <mergeCell ref="V104:W105"/>
    <mergeCell ref="Q101:W101"/>
    <mergeCell ref="BM104:BN105"/>
    <mergeCell ref="BO104:BQ105"/>
    <mergeCell ref="Y90:Z91"/>
    <mergeCell ref="AA90:AC91"/>
    <mergeCell ref="AD90:AE91"/>
    <mergeCell ref="Y97:Z98"/>
    <mergeCell ref="AA97:AC98"/>
    <mergeCell ref="AD97:AE98"/>
    <mergeCell ref="AG97:AH98"/>
  </mergeCells>
  <phoneticPr fontId="39" type="noConversion"/>
  <conditionalFormatting sqref="Z82:Z83">
    <cfRule type="expression" dxfId="1335" priority="2258">
      <formula>ISBLANK(R83)</formula>
    </cfRule>
  </conditionalFormatting>
  <conditionalFormatting sqref="BC82:BD83">
    <cfRule type="expression" dxfId="1334" priority="923">
      <formula>ISBLANK(BE83)</formula>
    </cfRule>
  </conditionalFormatting>
  <conditionalFormatting sqref="BL82:BM83">
    <cfRule type="expression" dxfId="1333" priority="922">
      <formula>ISBLANK(BE83)</formula>
    </cfRule>
  </conditionalFormatting>
  <conditionalFormatting sqref="I92:O93 BM106:BS107 Q92:W93 Y92:AE93 AG92:AM93 AO92:AU93 AW92:BC93 BE92:BK93 BM92:BS93 AO106:AU107 BE106:BK107 AW106:BC107 AG106:AM107 Y106:AE107 Q106:W107 I106:O107 BM99:BS100 BE99:BK100 AW99:BC100 AO99:AU100 AG99:AM100 Y99:AE100 Q99:W100 I99:O100">
    <cfRule type="expression" dxfId="1332" priority="764">
      <formula>OR(I92=0,I94=$CE$87)</formula>
    </cfRule>
    <cfRule type="expression" dxfId="1331" priority="768">
      <formula>IF(I92&lt;&gt;0,OR(OR(AND($CX$83=1,$CX$85=0),$Q$83="merchant trade token",$BE$83="merchant trade token"),COUNTA($Q$83,$BE$83)=2))</formula>
    </cfRule>
  </conditionalFormatting>
  <conditionalFormatting sqref="K90:M91 BG97:BI98 BO97:BQ98 BG104:BI105 BO104:BQ105 S90:U91 AA90:AC91 AQ90:AS91 AY90:BA91 BG90:BI91 BO90:BQ91 K97:M98 S97:U98 AA97:AC98 AI97:AK98 AQ97:AS98 AY97:BA98 K104:M105 S104:U105 AA104:AC105 AI104:AK105 AQ104:AS105 AY104:BA105 AI90:AK91">
    <cfRule type="expression" dxfId="1330" priority="762">
      <formula>OR(I92=0,I94=$CE$87)</formula>
    </cfRule>
    <cfRule type="expression" dxfId="1329" priority="767">
      <formula>IF(I92&lt;&gt;0,OR(OR(AND($CX$83=1,$CX$85=0),$Q$83="merchant trade token",$BE$83="merchant trade token"),COUNTA($Q$83,$BE$83)=2))</formula>
    </cfRule>
  </conditionalFormatting>
  <conditionalFormatting sqref="N90:O91 BJ97:BK98 BR97:BS98 BJ104:BK105 BR104:BS105 V90:W91 AD90:AE91 AL90:AM91 AT90:AU91 BB90:BC91 BJ90:BK91 BR90:BS91 N97:O98 V97:W98 AD97:AE98 AL97:AM98 AT97:AU98 BB97:BC98 N104:O105 V104:W105 AD104:AE105 AL104:AM105 AT104:AU105 BB104:BC105">
    <cfRule type="expression" dxfId="1328" priority="761">
      <formula>OR(I92=0,I94=$CE$87)</formula>
    </cfRule>
    <cfRule type="expression" dxfId="1327" priority="766">
      <formula>IF(I92&lt;&gt;0,OR(OR(AND($CX$83=1,$CX$85=0),$Q$83="merchant trade token",$BE$83="merchant trade token"),COUNTA($Q$83,$BE$83)=2))</formula>
    </cfRule>
  </conditionalFormatting>
  <conditionalFormatting sqref="I90:J91 BE97:BF98 BM97:BN98 BE104:BF105 BM104:BN105 Q90:R91 Y90:Z91 AG90:AH91 AO90:AP91 AW90:AX91 BE90:BF91 BM90:BN91 I97:J98 Q97:R98 Y97:Z98 AG97:AH98 AO97:AP98 AW97:AX98 I104:J105 Q104:R105 Y104:Z105 AG104:AH105 AO104:AP105 AW104:AX105">
    <cfRule type="expression" dxfId="1326" priority="763">
      <formula>OR(I92=0,I94=$CE$87)</formula>
    </cfRule>
    <cfRule type="expression" dxfId="1325" priority="765">
      <formula>IF(I92&lt;&gt;0,OR(OR(AND($CX$83=1,$CX$85=0),$Q$83="merchant trade token",$BE$83="merchant trade token"),COUNTA($Q$83,$BE$83)=2))</formula>
    </cfRule>
  </conditionalFormatting>
  <conditionalFormatting sqref="BE83:BK84">
    <cfRule type="expression" dxfId="1324" priority="197">
      <formula>ISBLANK(BE83)</formula>
    </cfRule>
  </conditionalFormatting>
  <conditionalFormatting sqref="BJ81:BK82">
    <cfRule type="expression" dxfId="1323" priority="196">
      <formula>ISBLANK(BE83)</formula>
    </cfRule>
  </conditionalFormatting>
  <conditionalFormatting sqref="BE81:BF82">
    <cfRule type="expression" dxfId="1322" priority="195">
      <formula>ISBLANK(BE83)</formula>
    </cfRule>
  </conditionalFormatting>
  <conditionalFormatting sqref="BG81:BI82">
    <cfRule type="expression" dxfId="1321" priority="194">
      <formula>ISBLANK(BE83)</formula>
    </cfRule>
  </conditionalFormatting>
  <conditionalFormatting sqref="AP7:AT7">
    <cfRule type="expression" dxfId="1320" priority="50">
      <formula>AP7&lt;0</formula>
    </cfRule>
  </conditionalFormatting>
  <conditionalFormatting sqref="AA12:AI13 AP12:AX13">
    <cfRule type="expression" dxfId="1319" priority="49">
      <formula>AJ12=0</formula>
    </cfRule>
  </conditionalFormatting>
  <conditionalFormatting sqref="AJ12:AL13 AY12:BA13">
    <cfRule type="expression" dxfId="1318" priority="48">
      <formula>AJ12=0</formula>
    </cfRule>
  </conditionalFormatting>
  <conditionalFormatting sqref="X12:Y13">
    <cfRule type="expression" dxfId="1317" priority="47">
      <formula>AJ12=0</formula>
    </cfRule>
  </conditionalFormatting>
  <conditionalFormatting sqref="BC12:BD13">
    <cfRule type="expression" dxfId="1316" priority="46">
      <formula>AY12=0</formula>
    </cfRule>
  </conditionalFormatting>
  <conditionalFormatting sqref="AA19:AI31 AP19:AX31">
    <cfRule type="expression" dxfId="1315" priority="45">
      <formula>AJ19=0</formula>
    </cfRule>
  </conditionalFormatting>
  <conditionalFormatting sqref="X19:Y31">
    <cfRule type="expression" dxfId="1314" priority="44">
      <formula>AJ19=0</formula>
    </cfRule>
  </conditionalFormatting>
  <conditionalFormatting sqref="AJ19:AL31 AY19:BA31">
    <cfRule type="expression" dxfId="1313" priority="43">
      <formula>AJ19=0</formula>
    </cfRule>
  </conditionalFormatting>
  <conditionalFormatting sqref="BC19:BD31">
    <cfRule type="expression" dxfId="1312" priority="42">
      <formula>AY19=0</formula>
    </cfRule>
  </conditionalFormatting>
  <conditionalFormatting sqref="J19 J23 J27 BG19 BG23 BG27">
    <cfRule type="expression" dxfId="1311" priority="41">
      <formula>T19=0</formula>
    </cfRule>
  </conditionalFormatting>
  <conditionalFormatting sqref="T19 T23 T27 BQ19 BQ23 BQ27">
    <cfRule type="expression" dxfId="1310" priority="40">
      <formula>T19=0</formula>
    </cfRule>
  </conditionalFormatting>
  <conditionalFormatting sqref="AP45:AT45">
    <cfRule type="expression" dxfId="1309" priority="39">
      <formula>AP45&lt;0</formula>
    </cfRule>
  </conditionalFormatting>
  <conditionalFormatting sqref="AA57:AI69 AP57:AX69">
    <cfRule type="expression" dxfId="1308" priority="34">
      <formula>AJ57=0</formula>
    </cfRule>
  </conditionalFormatting>
  <conditionalFormatting sqref="X57:Y69">
    <cfRule type="expression" dxfId="1307" priority="33">
      <formula>AJ57=0</formula>
    </cfRule>
  </conditionalFormatting>
  <conditionalFormatting sqref="AJ57:AL69 AY57:BA69">
    <cfRule type="expression" dxfId="1306" priority="32">
      <formula>AJ57=0</formula>
    </cfRule>
  </conditionalFormatting>
  <conditionalFormatting sqref="BC57:BD69">
    <cfRule type="expression" dxfId="1305" priority="31">
      <formula>AY57=0</formula>
    </cfRule>
  </conditionalFormatting>
  <conditionalFormatting sqref="J57 J61 J65 BG57 BG61 BG65">
    <cfRule type="expression" dxfId="1304" priority="30">
      <formula>T57=0</formula>
    </cfRule>
  </conditionalFormatting>
  <conditionalFormatting sqref="T57 T61 T65 BQ57 BQ61 BQ65">
    <cfRule type="expression" dxfId="1303" priority="29">
      <formula>T57=0</formula>
    </cfRule>
  </conditionalFormatting>
  <conditionalFormatting sqref="O82:P83">
    <cfRule type="expression" dxfId="1302" priority="28">
      <formula>ISBLANK(Q83)</formula>
    </cfRule>
  </conditionalFormatting>
  <conditionalFormatting sqref="X82:Y83">
    <cfRule type="expression" dxfId="1301" priority="27">
      <formula>ISBLANK(Q83)</formula>
    </cfRule>
  </conditionalFormatting>
  <conditionalFormatting sqref="Q83:W84">
    <cfRule type="expression" dxfId="1300" priority="26">
      <formula>ISBLANK(Q83)</formula>
    </cfRule>
  </conditionalFormatting>
  <conditionalFormatting sqref="V81:W82">
    <cfRule type="expression" dxfId="1299" priority="25">
      <formula>ISBLANK(Q83)</formula>
    </cfRule>
  </conditionalFormatting>
  <conditionalFormatting sqref="Q81:R82">
    <cfRule type="expression" dxfId="1298" priority="24">
      <formula>ISBLANK(Q83)</formula>
    </cfRule>
  </conditionalFormatting>
  <conditionalFormatting sqref="S81:U82">
    <cfRule type="expression" dxfId="1297" priority="23">
      <formula>ISBLANK(Q83)</formula>
    </cfRule>
  </conditionalFormatting>
  <conditionalFormatting sqref="BR7:BU7">
    <cfRule type="expression" dxfId="1296" priority="22">
      <formula>$AP$7&lt;$BR$7</formula>
    </cfRule>
  </conditionalFormatting>
  <conditionalFormatting sqref="AA50:AI51">
    <cfRule type="expression" dxfId="1295" priority="16">
      <formula>AJ50=0</formula>
    </cfRule>
  </conditionalFormatting>
  <conditionalFormatting sqref="AJ50:AL51">
    <cfRule type="expression" dxfId="1294" priority="15">
      <formula>AJ50=0</formula>
    </cfRule>
  </conditionalFormatting>
  <conditionalFormatting sqref="X50:Y51">
    <cfRule type="expression" dxfId="1293" priority="14">
      <formula>AJ50=0</formula>
    </cfRule>
  </conditionalFormatting>
  <conditionalFormatting sqref="AP50:AX51">
    <cfRule type="expression" dxfId="1292" priority="13">
      <formula>AY50=0</formula>
    </cfRule>
  </conditionalFormatting>
  <conditionalFormatting sqref="AY50:BA51">
    <cfRule type="expression" dxfId="1291" priority="12">
      <formula>AY50=0</formula>
    </cfRule>
  </conditionalFormatting>
  <conditionalFormatting sqref="BC50:BD51">
    <cfRule type="expression" dxfId="1290" priority="11">
      <formula>AY50=0</formula>
    </cfRule>
  </conditionalFormatting>
  <conditionalFormatting sqref="AG86:AU86">
    <cfRule type="expression" dxfId="1289" priority="6">
      <formula>$AG$86=""</formula>
    </cfRule>
  </conditionalFormatting>
  <conditionalFormatting sqref="K82:M83 BO82:BQ83">
    <cfRule type="expression" dxfId="1288" priority="5">
      <formula>K84=$CI$87</formula>
    </cfRule>
  </conditionalFormatting>
  <dataValidations count="15">
    <dataValidation type="list" allowBlank="1" showInputMessage="1" showErrorMessage="1" sqref="I94:O94 Q94:W94 Y94:AE94 AG94:AM94 AO94:AU94 AW94:BC94 BE94:BK94 BM94:BS94 I101:O101 Q101:W101 Y101:AE101 AG101:AM101 AO101:AU101 AW101:BC101 BE101:BK101 BM101:BS101 I108:O108 Q108:W108 Y108:AE108 AG108:AM108 AO108:AU108 AW108:BC108 BE108:BK108 BM108:BS108" xr:uid="{348BB84D-37FA-43A6-8CDD-0E6BE40B1DCB}">
      <formula1>$CE$87</formula1>
    </dataValidation>
    <dataValidation type="decimal" operator="greaterThanOrEqual" showInputMessage="1" showErrorMessage="1" prompt="Enter the target." sqref="BR45:BU45 BR7:BU7" xr:uid="{0126A50B-03EC-4CDB-B78E-70D5644F0AB0}">
      <formula1>0</formula1>
    </dataValidation>
    <dataValidation type="list" allowBlank="1" showInputMessage="1" showErrorMessage="1" sqref="X14:Y14 X52:Y52" xr:uid="{82598D97-D183-4419-9B4C-5FA58BB25163}">
      <formula1>$CE$34:$CE$101</formula1>
    </dataValidation>
    <dataValidation type="list" allowBlank="1" showInputMessage="1" showErrorMessage="1" sqref="X12:Y13 BC57:BD69 X57:Y69 BC50:BD51 X50:Y51 BC19:BD31 X19:Y31 BC12:BD13" xr:uid="{F827CC26-B900-4A97-9CBA-A6AC6BBA628C}">
      <formula1>$CC$4:$CC$35</formula1>
    </dataValidation>
    <dataValidation allowBlank="1" showInputMessage="1" showErrorMessage="1" promptTitle="Cashflow" prompt="Input and manage credits and debits. " sqref="AC4:AY5" xr:uid="{58A85C92-70FE-4715-89F6-ADB26F8AA8A4}"/>
    <dataValidation allowBlank="1" showInputMessage="1" showErrorMessage="1" prompt="Enter the date: dd/mm" sqref="BR10:BU10" xr:uid="{B745923A-33F1-4E2B-9D3D-BB9CE5BD3239}"/>
    <dataValidation allowBlank="1" showInputMessage="1" showErrorMessage="1" prompt="Plan out what optimal cashflow could look like. " sqref="AC42:AY43" xr:uid="{1B163750-5D83-4A5B-B599-76A390A5602B}"/>
    <dataValidation allowBlank="1" showInputMessage="1" showErrorMessage="1" promptTitle="Booty Item to Trade" prompt="Copy and paste details of the loot item here, then delete it from booty inventory. " sqref="Q83:W84 BE83:BK84" xr:uid="{16F5F91C-9E20-48FA-BD3F-C934D6BEB332}"/>
    <dataValidation allowBlank="1" showInputMessage="1" showErrorMessage="1" promptTitle="Merchant" prompt="Trade booty items for new ones._x000a__x000a_• 2 booty items per 1 merchant item_x000a_• 1 merchant token per 1 item_x000a__x000a_Once merchant items are highlighted black:_x000a_• copy and paste item details to booty inventory_x000a_• mark item as obtained_x000a_• be sure to delete the traded items" sqref="AG81:AU84" xr:uid="{E00D57C0-9F83-45F7-BE71-A86BE8AD9C6F}"/>
    <dataValidation allowBlank="1" showInputMessage="1" showErrorMessage="1" promptTitle=" MONEY" prompt="This is for cashflow and item exchange._x000a_ _x000a_Here you can:_x000a_• manage personal cashflow_x000a_• monitor monthly credits and debits_x000a_• exchange booty items with the merchant_x000a_ _x000a_Select individual cells for specific information and instructions._x000a_" sqref="CA1" xr:uid="{164F0FA0-CCC9-470B-9596-EF7645178D14}"/>
    <dataValidation allowBlank="1" showInputMessage="1" showErrorMessage="1" promptTitle=" HUD = Overview" prompt=" LOGS = Journal           PLANS = Calendar_x000a_ NOTES = Ideas            TIMINGS = Schedule_x000a__x000a_ MISSIONS = Tasks_x000a_ ACTIONS = Input_x000a_ PROGRESS = Output_x000a_ JOURNEY = Status_x000a__x000a_ BOUNTY = Rewards  [MONEY = Finance]_x000a_ VICTORY = Success    RESPITE = Media_x000a_ GUIDE = History" sqref="A1" xr:uid="{B633D36B-F493-497F-96FF-55B2A524F15B}"/>
    <dataValidation type="list" allowBlank="1" showInputMessage="1" showErrorMessage="1" prompt="Mark as claimed after choosing gift" sqref="BO84:BQ84 K84:M84" xr:uid="{4A78F893-42C6-462B-BBCD-3DD18DB962F0}">
      <formula1>$CI$87</formula1>
    </dataValidation>
    <dataValidation allowBlank="1" showInputMessage="1" showErrorMessage="1" promptTitle="Gift Available!" prompt="Choose any item from the merchant as a gift._x000a__x000a_• copy and paste details to booty inventory_x000a_• mark shop item as obtained_x000a_• mark gift as claimed below this symbol" sqref="AG86:AU86" xr:uid="{46DAD0AB-852D-4CC1-AF59-803F6DD795ED}"/>
    <dataValidation allowBlank="1" showInputMessage="1" showErrorMessage="1" promptTitle="Gift Available!" prompt="Choose any item from the merchant as a Christmas gift._x000a__x000a_• copy and paste details to booty inventory_x000a_• mark shop item as obtained_x000a_• mark gift as claimed below this symbol" sqref="BO82:BQ83" xr:uid="{F6262E2B-A0C3-433E-AADF-13AD24D5F7D6}"/>
    <dataValidation allowBlank="1" showInputMessage="1" showErrorMessage="1" promptTitle="Gift Available!" prompt="Choose any item from the merchant as a birthday gift._x000a__x000a_• copy and paste details to booty inventory_x000a_• mark shop item as obtained_x000a_• mark gift as claimed below this symbol" sqref="K82:M83" xr:uid="{6C64C59A-D03A-4859-B39C-375DB9DF3268}"/>
  </dataValidations>
  <printOptions horizontalCentered="1" verticalCentered="1" gridLines="1"/>
  <pageMargins left="0.39370078740157483" right="0.39370078740157483" top="0.39370078740157483" bottom="0.39370078740157483" header="0" footer="0"/>
  <pageSetup paperSize="9" scale="50" fitToWidth="0" fitToHeight="0" orientation="landscape" r:id="rId1"/>
  <headerFooter>
    <oddHeader>&amp;C&amp;"Lucida Console,Bold"GAMEPLAN</oddHeader>
  </headerFooter>
  <extLst>
    <ext xmlns:x14="http://schemas.microsoft.com/office/spreadsheetml/2009/9/main" uri="{78C0D931-6437-407d-A8EE-F0AAD7539E65}">
      <x14:conditionalFormattings>
        <x14:conditionalFormatting xmlns:xm="http://schemas.microsoft.com/office/excel/2006/main">
          <x14:cfRule type="expression" priority="64" id="{170F955C-B2B5-4A98-9C60-A40B9DD87832}">
            <xm:f>PLANS!$F$3="MAY"</xm:f>
            <x14:dxf>
              <font>
                <color rgb="FFEBE600"/>
              </font>
            </x14:dxf>
          </x14:cfRule>
          <xm:sqref>G10</xm:sqref>
        </x14:conditionalFormatting>
        <x14:conditionalFormatting xmlns:xm="http://schemas.microsoft.com/office/excel/2006/main">
          <x14:cfRule type="expression" priority="63" id="{31A358E9-C2DD-4DE7-84C4-A9CF04927CD2}">
            <xm:f>PLANS!$F$3="JUNE"</xm:f>
            <x14:dxf>
              <font>
                <color rgb="FFFFC000"/>
              </font>
            </x14:dxf>
          </x14:cfRule>
          <x14:cfRule type="expression" priority="65" id="{146B6A81-44CF-44E2-98B4-15E140143C6A}">
            <xm:f>PLANS!$F$3="APRIL"</xm:f>
            <x14:dxf>
              <font>
                <color rgb="FF92D050"/>
              </font>
            </x14:dxf>
          </x14:cfRule>
          <x14:cfRule type="expression" priority="66" id="{80CD2D6B-D5D9-404C-8E6C-D7ABD79DA370}">
            <xm:f>PLANS!$F$3="MARCH"</xm:f>
            <x14:dxf>
              <font>
                <color rgb="FF00B050"/>
              </font>
            </x14:dxf>
          </x14:cfRule>
          <x14:cfRule type="expression" priority="67" id="{9BC43861-82E1-48E9-A42F-6E8B971FF752}">
            <xm:f>PLANS!$F$3="FEBRUARY"</xm:f>
            <x14:dxf>
              <font>
                <color rgb="FF00B0F0"/>
              </font>
            </x14:dxf>
          </x14:cfRule>
          <x14:cfRule type="expression" priority="68" id="{3E2CB3D7-9176-44E6-80C6-DF9218E400EB}">
            <xm:f>PLANS!$F$3="JANUARY"</xm:f>
            <x14:dxf>
              <font>
                <color rgb="FF0070C0"/>
              </font>
            </x14:dxf>
          </x14:cfRule>
          <x14:cfRule type="expression" priority="69" id="{3405311E-35FC-4BE2-B779-5A92E41A2B76}">
            <xm:f>PLANS!$F$3="DECEMBER"</xm:f>
            <x14:dxf>
              <font>
                <color rgb="FF6600CC"/>
              </font>
            </x14:dxf>
          </x14:cfRule>
          <x14:cfRule type="expression" priority="70" id="{615AF4B1-0038-4F38-99C6-BD4EB59C7529}">
            <xm:f>PLANS!$F$3="NOVEMBER"</xm:f>
            <x14:dxf>
              <font>
                <color rgb="FF9900CC"/>
              </font>
            </x14:dxf>
          </x14:cfRule>
          <x14:cfRule type="expression" priority="71" id="{CABC69C3-3DC8-4C4F-9290-BF37CE0C8C17}">
            <xm:f>PLANS!$F$3="OCTOBER"</xm:f>
            <x14:dxf>
              <font>
                <color rgb="FFFF00FF"/>
              </font>
            </x14:dxf>
          </x14:cfRule>
          <x14:cfRule type="expression" priority="72" id="{3D2F240D-F965-4B14-A7E7-04464A2CF778}">
            <xm:f>PLANS!$F$3="SEPTEMBER"</xm:f>
            <x14:dxf>
              <font>
                <color rgb="FFFF0000"/>
              </font>
            </x14:dxf>
          </x14:cfRule>
          <x14:cfRule type="expression" priority="73" id="{870A3B53-77C2-48EC-AE68-422434BF2119}">
            <xm:f>PLANS!$F$3="AUGUST"</xm:f>
            <x14:dxf>
              <font>
                <color rgb="FFC00000"/>
              </font>
            </x14:dxf>
          </x14:cfRule>
          <x14:cfRule type="expression" priority="74" id="{E09C760F-061A-4959-AB6B-0572DF569F0D}">
            <xm:f>PLANS!$F$3="JULY"</xm:f>
            <x14:dxf>
              <font>
                <color rgb="FFFF6600"/>
              </font>
            </x14:dxf>
          </x14:cfRule>
          <xm:sqref>G10</xm:sqref>
        </x14:conditionalFormatting>
        <x14:conditionalFormatting xmlns:xm="http://schemas.microsoft.com/office/excel/2006/main">
          <x14:cfRule type="expression" priority="56061" id="{B721D771-C9C6-4AE2-9E3B-01F5EE318A80}">
            <xm:f>AND($BV$10='^'!$BK$52,PLANS!$F$3="MAY")</xm:f>
            <x14:dxf>
              <font>
                <color rgb="FFEBE600"/>
              </font>
            </x14:dxf>
          </x14:cfRule>
          <xm:sqref>BR10</xm:sqref>
        </x14:conditionalFormatting>
        <x14:conditionalFormatting xmlns:xm="http://schemas.microsoft.com/office/excel/2006/main">
          <x14:cfRule type="expression" priority="56062" id="{133A1085-3EEE-4A43-BD8F-01844E92069C}">
            <xm:f>AND($BV$10='^'!$BK$52,PLANS!$F$3="JUNE")</xm:f>
            <x14:dxf>
              <font>
                <color rgb="FFFFC000"/>
              </font>
            </x14:dxf>
          </x14:cfRule>
          <x14:cfRule type="expression" priority="56063" id="{2DE2D477-A098-4C10-9212-E55D7D128610}">
            <xm:f>AND($BV$10='^'!$BK$52,PLANS!$F$3="APRIL")</xm:f>
            <x14:dxf>
              <font>
                <color rgb="FF92D050"/>
              </font>
            </x14:dxf>
          </x14:cfRule>
          <x14:cfRule type="expression" priority="56064" id="{36293F95-4464-480B-9372-DBA3925361D2}">
            <xm:f>AND($BV$10='^'!$BK$52,PLANS!$F$3="MARCH")</xm:f>
            <x14:dxf>
              <font>
                <color rgb="FF00B050"/>
              </font>
            </x14:dxf>
          </x14:cfRule>
          <x14:cfRule type="expression" priority="56065" id="{9C2FA6E7-92F8-4720-9153-36F05BFDCB05}">
            <xm:f>AND($BV$10='^'!$BK$52,PLANS!$F$3="FEBRUARY")</xm:f>
            <x14:dxf>
              <font>
                <color rgb="FF00B0F0"/>
              </font>
            </x14:dxf>
          </x14:cfRule>
          <x14:cfRule type="expression" priority="56066" id="{5D77AF57-A880-4932-9B42-5E1DD93B0169}">
            <xm:f>AND($BV$10='^'!$BK$52,PLANS!$F$3="JANUARY")</xm:f>
            <x14:dxf>
              <font>
                <color rgb="FF0070C0"/>
              </font>
            </x14:dxf>
          </x14:cfRule>
          <x14:cfRule type="expression" priority="56067" id="{EA5B6292-95B5-41F5-A188-E4BDEA854E2E}">
            <xm:f>AND($BV$10='^'!$BK$52,PLANS!$F$3="DECEMBER")</xm:f>
            <x14:dxf>
              <font>
                <color rgb="FF6600CC"/>
              </font>
            </x14:dxf>
          </x14:cfRule>
          <x14:cfRule type="expression" priority="56068" id="{9A504931-2807-4857-9A64-7EE42DECE136}">
            <xm:f>AND($BV$10='^'!$BK$52,PLANS!$F$3="NOVEMBER")</xm:f>
            <x14:dxf>
              <font>
                <color rgb="FF9900CC"/>
              </font>
            </x14:dxf>
          </x14:cfRule>
          <x14:cfRule type="expression" priority="56069" id="{C80B73F0-0E4E-43BF-9698-0C9610917C26}">
            <xm:f>AND($BV$10='^'!$BK$52,PLANS!$F$3="OCTOBER")</xm:f>
            <x14:dxf>
              <font>
                <color rgb="FFFF00FF"/>
              </font>
            </x14:dxf>
          </x14:cfRule>
          <x14:cfRule type="expression" priority="56070" id="{64CC2F6F-D249-4CBA-9469-DF1252CBF2D6}">
            <xm:f>AND($BV$10='^'!$BK$52,PLANS!$F$3="SEPTEMBER")</xm:f>
            <x14:dxf>
              <font>
                <color rgb="FFFF0000"/>
              </font>
            </x14:dxf>
          </x14:cfRule>
          <x14:cfRule type="expression" priority="56071" id="{7FF09BAF-E2EA-4C7E-9D8A-EFB6FD85B54E}">
            <xm:f>AND($BV$10='^'!$BK$52,PLANS!$F$3="AUGUST")</xm:f>
            <x14:dxf>
              <font>
                <color rgb="FFC00000"/>
              </font>
            </x14:dxf>
          </x14:cfRule>
          <x14:cfRule type="expression" priority="56072" id="{6CEE794F-D84E-4D78-B97B-717F9828FACC}">
            <xm:f>AND($BV$10='^'!$BK$52,PLANS!$F$3="JULY")</xm:f>
            <x14:dxf>
              <font>
                <color rgb="FFFF6600"/>
              </font>
            </x14:dxf>
          </x14:cfRule>
          <xm:sqref>BR10</xm:sqref>
        </x14:conditionalFormatting>
        <x14:conditionalFormatting xmlns:xm="http://schemas.microsoft.com/office/excel/2006/main">
          <x14:cfRule type="expression" priority="58151" id="{0D622636-F820-48C2-94AE-09601C574799}">
            <xm:f>BOUNTY!$AB$19="£"</xm:f>
            <x14:dxf>
              <numFmt numFmtId="170" formatCode="&quot;£&quot;#,##0.00"/>
            </x14:dxf>
          </x14:cfRule>
          <x14:cfRule type="expression" priority="58152" id="{A53E30D3-FC27-49D5-B7F1-5E9111FA0F1A}">
            <xm:f>BOUNTY!$AB$19="$"</xm:f>
            <x14:dxf>
              <numFmt numFmtId="189" formatCode="[$$-409]#,##0.00"/>
            </x14:dxf>
          </x14:cfRule>
          <x14:cfRule type="expression" priority="58153" id="{B07EF29E-1784-4621-B005-F44C044FDF0F}">
            <xm:f>BOUNTY!$AB$19="€"</xm:f>
            <x14:dxf>
              <numFmt numFmtId="188" formatCode="[$€-2]\ #,##0.00"/>
            </x14:dxf>
          </x14:cfRule>
          <x14:cfRule type="expression" priority="58154" id="{C1DE7773-BDD5-4FCF-BDD2-3D80CD53092F}">
            <xm:f>BOUNTY!$AB$19="¥"</xm:f>
            <x14:dxf>
              <numFmt numFmtId="187" formatCode="[$¥-804]#,##0.00"/>
            </x14:dxf>
          </x14:cfRule>
          <x14:cfRule type="expression" priority="58155" id="{036AFA88-C446-4FFE-8645-036E4859B0B8}">
            <xm:f>BOUNTY!$AB$19="₹"</xm:f>
            <x14:dxf>
              <numFmt numFmtId="186" formatCode="[$₹-4009]\ #,##0.00"/>
            </x14:dxf>
          </x14:cfRule>
          <xm:sqref>AP7 AP10 BR7 AP17 AP45 AP48 BR45 AP55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CDFBF-BB0C-4112-8F33-9925D7299E3F}">
  <sheetPr codeName="Sheet12"/>
  <dimension ref="A1:ES492"/>
  <sheetViews>
    <sheetView showGridLines="0" showRowColHeaders="0" zoomScaleNormal="100" workbookViewId="0"/>
  </sheetViews>
  <sheetFormatPr defaultColWidth="3.42578125" defaultRowHeight="17.100000000000001" customHeight="1" x14ac:dyDescent="0.3"/>
  <cols>
    <col min="1" max="2" width="3.42578125" style="613"/>
    <col min="3" max="3" width="3.42578125" style="1434"/>
    <col min="4" max="17" width="3.42578125" style="613"/>
    <col min="18" max="34" width="3.42578125" style="28"/>
    <col min="35" max="35" width="3.42578125" style="28" customWidth="1"/>
    <col min="36" max="79" width="3.42578125" style="28"/>
    <col min="80" max="149" width="3.42578125" style="28" hidden="1" customWidth="1"/>
    <col min="150" max="150" width="3.42578125" style="28" customWidth="1"/>
    <col min="151" max="16384" width="3.42578125" style="28"/>
  </cols>
  <sheetData>
    <row r="1" spans="1:148" ht="17.100000000000001" customHeight="1" x14ac:dyDescent="0.2">
      <c r="A1" s="2694" t="s">
        <v>1706</v>
      </c>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8" t="s">
        <v>782</v>
      </c>
      <c r="CB1" s="19"/>
      <c r="CC1" s="19"/>
      <c r="CD1" s="19"/>
      <c r="CE1" s="19"/>
      <c r="CF1" s="19"/>
      <c r="CG1" s="822"/>
      <c r="CH1" s="822"/>
      <c r="CI1" s="822"/>
      <c r="CJ1" s="822"/>
      <c r="CK1" s="822"/>
      <c r="CL1" s="822"/>
      <c r="CM1" s="822"/>
      <c r="CN1" s="822"/>
      <c r="CO1" s="822"/>
      <c r="CP1" s="822"/>
      <c r="CQ1" s="822"/>
      <c r="CR1" s="822"/>
      <c r="CS1" s="822"/>
      <c r="CT1" s="822"/>
      <c r="CU1" s="822"/>
      <c r="CV1" s="822"/>
      <c r="CW1" s="822"/>
      <c r="CX1" s="822"/>
      <c r="CY1" s="822"/>
      <c r="CZ1" s="822"/>
      <c r="DA1" s="822"/>
      <c r="DB1" s="822"/>
      <c r="DC1" s="822"/>
      <c r="DD1" s="822"/>
      <c r="DE1" s="822"/>
      <c r="DF1" s="822"/>
      <c r="DG1" s="822"/>
      <c r="DH1" s="822"/>
      <c r="DI1" s="822"/>
      <c r="DJ1" s="822"/>
      <c r="DK1" s="822"/>
      <c r="DL1" s="822"/>
      <c r="DM1" s="822"/>
      <c r="DN1" s="822"/>
    </row>
    <row r="2" spans="1:148" ht="17.100000000000001" customHeight="1" thickBot="1" x14ac:dyDescent="0.25">
      <c r="A2" s="17"/>
      <c r="B2" s="1058"/>
      <c r="C2" s="1058"/>
      <c r="D2" s="1058"/>
      <c r="E2" s="1058"/>
      <c r="F2" s="1058"/>
      <c r="G2" s="605"/>
      <c r="H2" s="605"/>
      <c r="I2" s="605"/>
      <c r="J2" s="605"/>
      <c r="K2" s="605"/>
      <c r="L2" s="605"/>
      <c r="M2" s="605"/>
      <c r="N2" s="605"/>
      <c r="O2" s="605"/>
      <c r="P2" s="605"/>
      <c r="Q2" s="605"/>
      <c r="R2" s="605"/>
      <c r="S2" s="17"/>
      <c r="T2" s="605"/>
      <c r="U2" s="605"/>
      <c r="V2" s="605"/>
      <c r="W2" s="605"/>
      <c r="X2" s="605"/>
      <c r="Y2" s="605"/>
      <c r="Z2" s="605"/>
      <c r="AA2" s="605"/>
      <c r="AB2" s="605"/>
      <c r="AC2" s="605"/>
      <c r="AD2" s="605"/>
      <c r="AE2" s="605"/>
      <c r="AF2" s="605"/>
      <c r="AG2" s="605"/>
      <c r="AH2" s="605"/>
      <c r="AI2" s="605"/>
      <c r="AJ2" s="605"/>
      <c r="AK2" s="605"/>
      <c r="AL2" s="605"/>
      <c r="AM2" s="605"/>
      <c r="AN2" s="605"/>
      <c r="AO2" s="605"/>
      <c r="AP2" s="605"/>
      <c r="AQ2" s="605"/>
      <c r="AR2" s="605"/>
      <c r="AS2" s="605"/>
      <c r="AT2" s="605"/>
      <c r="AU2" s="605"/>
      <c r="AV2" s="605"/>
      <c r="AW2" s="605"/>
      <c r="AX2" s="605"/>
      <c r="AY2" s="605"/>
      <c r="AZ2" s="605"/>
      <c r="BA2" s="605"/>
      <c r="BB2" s="605"/>
      <c r="BC2" s="605"/>
      <c r="BD2" s="605"/>
      <c r="BE2" s="605"/>
      <c r="BF2" s="605"/>
      <c r="BG2" s="605"/>
      <c r="BH2" s="605"/>
      <c r="BI2" s="605"/>
      <c r="BJ2" s="605"/>
      <c r="BK2" s="605"/>
      <c r="BL2" s="605"/>
      <c r="BM2" s="605"/>
      <c r="BN2" s="605"/>
      <c r="BO2" s="605"/>
      <c r="BP2" s="605"/>
      <c r="BQ2" s="605"/>
      <c r="BR2" s="605"/>
      <c r="BS2" s="605"/>
      <c r="BT2" s="605"/>
      <c r="BU2" s="605"/>
      <c r="BV2" s="1058"/>
      <c r="BW2" s="1058"/>
      <c r="BX2" s="1058"/>
      <c r="BY2" s="1058"/>
      <c r="BZ2" s="1058"/>
      <c r="CA2" s="17"/>
      <c r="CO2" s="822"/>
      <c r="CP2" s="822"/>
      <c r="CQ2" s="822"/>
      <c r="CR2" s="822"/>
      <c r="CS2" s="822"/>
      <c r="CT2" s="822"/>
      <c r="CU2" s="822"/>
      <c r="CV2" s="822"/>
      <c r="CW2" s="822"/>
      <c r="CX2" s="822"/>
      <c r="CY2" s="822"/>
      <c r="CZ2" s="822"/>
      <c r="DA2" s="822"/>
      <c r="DB2" s="822"/>
      <c r="DC2" s="822"/>
      <c r="DD2" s="822"/>
      <c r="DE2" s="822"/>
      <c r="DF2" s="822"/>
      <c r="DG2" s="822"/>
      <c r="DH2" s="822"/>
      <c r="DI2" s="822"/>
      <c r="DJ2" s="822"/>
      <c r="DK2" s="822"/>
      <c r="DL2" s="822"/>
      <c r="DM2" s="822"/>
      <c r="DN2" s="822"/>
    </row>
    <row r="3" spans="1:148" ht="17.100000000000001" customHeight="1" thickTop="1" x14ac:dyDescent="0.2">
      <c r="A3" s="17"/>
      <c r="B3" s="1058"/>
      <c r="C3" s="790"/>
      <c r="D3" s="790"/>
      <c r="E3" s="790"/>
      <c r="F3" s="605"/>
      <c r="G3" s="605"/>
      <c r="H3" s="605"/>
      <c r="I3" s="1284"/>
      <c r="J3" s="605"/>
      <c r="K3" s="605"/>
      <c r="L3" s="605"/>
      <c r="M3" s="605"/>
      <c r="N3" s="605"/>
      <c r="O3" s="605"/>
      <c r="P3" s="605"/>
      <c r="Q3" s="605"/>
      <c r="R3" s="605"/>
      <c r="S3" s="605"/>
      <c r="T3" s="605"/>
      <c r="U3" s="605"/>
      <c r="V3" s="605"/>
      <c r="W3" s="605"/>
      <c r="X3" s="1285"/>
      <c r="Y3" s="1699" t="str" cm="1">
        <f t="array" ref="Y3">_xlfn.IFS($DN$9=1,"A NEW ACHIEVEMENT ENTERED HAS ALREADY BEEN COMPLETED",$DN$9&gt;=2,"NEW ACHIEVEMENTS ENTERED HAVE ALREADY BEEN COMPLETED",TRUE,"")</f>
        <v/>
      </c>
      <c r="Z3" s="605"/>
      <c r="AA3" s="1048"/>
      <c r="AB3" s="1049"/>
      <c r="AC3" s="1049"/>
      <c r="AD3" s="1049"/>
      <c r="AE3" s="1049"/>
      <c r="AF3" s="1049"/>
      <c r="AG3" s="1049"/>
      <c r="AH3" s="1049"/>
      <c r="AI3" s="1049"/>
      <c r="AJ3" s="1049"/>
      <c r="AK3" s="1049"/>
      <c r="AL3" s="1049"/>
      <c r="AM3" s="1049"/>
      <c r="AN3" s="1259" t="s">
        <v>4</v>
      </c>
      <c r="AO3" s="1049"/>
      <c r="AP3" s="1049"/>
      <c r="AQ3" s="1049"/>
      <c r="AR3" s="1049"/>
      <c r="AS3" s="1049"/>
      <c r="AT3" s="1049"/>
      <c r="AU3" s="1049"/>
      <c r="AV3" s="1049"/>
      <c r="AW3" s="1049"/>
      <c r="AX3" s="1049"/>
      <c r="AY3" s="1049"/>
      <c r="AZ3" s="1049"/>
      <c r="BA3" s="1050"/>
      <c r="BB3" s="605"/>
      <c r="BC3" s="1700" t="str" cm="1">
        <f t="array" ref="BC3">_xlfn.IFS($DN$9=1,"CHANGE ACHIEVEMENT TO SOMETHING DIFFERENT OR NEXT LEVEL",$DN$9&gt;=2,"CHANGE ACHIEVEMENTS TO SOMETHING DIFFERENT OR NEXT LEVEL",TRUE,"")</f>
        <v/>
      </c>
      <c r="BD3" s="605"/>
      <c r="BE3" s="605"/>
      <c r="BF3" s="605"/>
      <c r="BG3" s="605"/>
      <c r="BH3" s="605"/>
      <c r="BI3" s="605"/>
      <c r="BJ3" s="605"/>
      <c r="BK3" s="605"/>
      <c r="BL3" s="605"/>
      <c r="BM3" s="605"/>
      <c r="BN3" s="605"/>
      <c r="BO3" s="605"/>
      <c r="BP3" s="605"/>
      <c r="BQ3" s="605"/>
      <c r="BR3" s="605"/>
      <c r="BS3" s="605"/>
      <c r="BT3" s="605"/>
      <c r="BU3" s="605"/>
      <c r="BV3" s="605"/>
      <c r="BW3" s="790"/>
      <c r="BX3" s="790"/>
      <c r="BY3" s="790"/>
      <c r="BZ3" s="1058"/>
      <c r="CA3" s="17"/>
      <c r="CQ3" s="822"/>
      <c r="CR3" s="822"/>
      <c r="CS3" s="822"/>
      <c r="CT3" s="822"/>
      <c r="CU3" s="822"/>
      <c r="CV3" s="822"/>
      <c r="CW3" s="822"/>
      <c r="CX3" s="822"/>
      <c r="CY3" s="822"/>
      <c r="CZ3" s="822"/>
      <c r="DA3" s="822"/>
      <c r="DB3" s="822"/>
      <c r="DC3" s="822"/>
      <c r="DD3" s="822"/>
      <c r="DE3" s="822"/>
      <c r="DF3" s="822"/>
      <c r="DG3" s="822"/>
      <c r="DH3" s="822"/>
      <c r="DI3" s="822"/>
      <c r="DJ3" s="822"/>
      <c r="DK3" s="822"/>
      <c r="DL3" s="822"/>
      <c r="DM3" s="822"/>
      <c r="DN3" s="822"/>
    </row>
    <row r="4" spans="1:148" ht="17.100000000000001" customHeight="1" thickBot="1" x14ac:dyDescent="0.25">
      <c r="A4" s="17"/>
      <c r="B4" s="1058"/>
      <c r="C4" s="790"/>
      <c r="D4" s="791"/>
      <c r="E4" s="605"/>
      <c r="F4" s="605"/>
      <c r="G4" s="605"/>
      <c r="H4" s="605"/>
      <c r="I4" s="605"/>
      <c r="J4" s="605"/>
      <c r="K4" s="605"/>
      <c r="L4" s="605"/>
      <c r="M4" s="605"/>
      <c r="N4" s="605"/>
      <c r="O4" s="605"/>
      <c r="P4" s="605"/>
      <c r="Q4" s="605"/>
      <c r="R4" s="605"/>
      <c r="S4" s="605"/>
      <c r="T4" s="605"/>
      <c r="U4" s="605"/>
      <c r="V4" s="605"/>
      <c r="W4" s="605"/>
      <c r="X4" s="605"/>
      <c r="Y4" s="605"/>
      <c r="Z4" s="605"/>
      <c r="AA4" s="1051"/>
      <c r="AB4" s="1063"/>
      <c r="AC4" s="4731" t="s">
        <v>169</v>
      </c>
      <c r="AD4" s="4731"/>
      <c r="AE4" s="4731"/>
      <c r="AF4" s="4731"/>
      <c r="AG4" s="4731"/>
      <c r="AH4" s="4731"/>
      <c r="AI4" s="4731"/>
      <c r="AJ4" s="4731"/>
      <c r="AK4" s="4731"/>
      <c r="AL4" s="4731"/>
      <c r="AM4" s="4731"/>
      <c r="AN4" s="4731"/>
      <c r="AO4" s="4731"/>
      <c r="AP4" s="4731"/>
      <c r="AQ4" s="4731"/>
      <c r="AR4" s="4731"/>
      <c r="AS4" s="4731"/>
      <c r="AT4" s="4731"/>
      <c r="AU4" s="4731"/>
      <c r="AV4" s="4731"/>
      <c r="AW4" s="4731"/>
      <c r="AX4" s="4731"/>
      <c r="AY4" s="4731"/>
      <c r="AZ4" s="1063"/>
      <c r="BA4" s="1052"/>
      <c r="BB4" s="605"/>
      <c r="BC4" s="605"/>
      <c r="BD4" s="605"/>
      <c r="BE4" s="605"/>
      <c r="BF4" s="605"/>
      <c r="BG4" s="605"/>
      <c r="BH4" s="605"/>
      <c r="BI4" s="605"/>
      <c r="BJ4" s="605"/>
      <c r="BK4" s="605"/>
      <c r="BL4" s="605"/>
      <c r="BM4" s="605"/>
      <c r="BN4" s="605"/>
      <c r="BO4" s="605"/>
      <c r="BP4" s="605"/>
      <c r="BQ4" s="605"/>
      <c r="BR4" s="605"/>
      <c r="BS4" s="605"/>
      <c r="BT4" s="605"/>
      <c r="BU4" s="605"/>
      <c r="BV4" s="605"/>
      <c r="BW4" s="605"/>
      <c r="BX4" s="791"/>
      <c r="BY4" s="790"/>
      <c r="BZ4" s="1058"/>
      <c r="CA4" s="17"/>
      <c r="CQ4" s="822"/>
      <c r="CR4" s="822"/>
      <c r="CS4" s="822"/>
      <c r="CT4" s="822"/>
      <c r="CU4" s="822"/>
      <c r="CV4" s="822"/>
      <c r="CW4" s="822"/>
      <c r="CX4" s="822"/>
      <c r="CY4" s="822"/>
      <c r="CZ4" s="822"/>
      <c r="DA4" s="822"/>
      <c r="DB4" s="822"/>
      <c r="DC4" s="822"/>
      <c r="DD4" s="822"/>
      <c r="DE4" s="822"/>
      <c r="DF4" s="822"/>
      <c r="DG4" s="822"/>
      <c r="DH4" s="822"/>
      <c r="DI4" s="822"/>
      <c r="DJ4" s="822"/>
      <c r="DK4" s="822"/>
      <c r="DL4" s="822"/>
      <c r="DM4" s="822"/>
      <c r="DN4" s="822"/>
    </row>
    <row r="5" spans="1:148" ht="17.100000000000001" customHeight="1" thickTop="1" x14ac:dyDescent="0.2">
      <c r="A5" s="17"/>
      <c r="B5" s="1058"/>
      <c r="C5" s="790"/>
      <c r="D5" s="17"/>
      <c r="E5" s="605"/>
      <c r="F5" s="605"/>
      <c r="G5" s="1265"/>
      <c r="H5" s="1049"/>
      <c r="I5" s="1049"/>
      <c r="J5" s="1049"/>
      <c r="K5" s="1049"/>
      <c r="L5" s="1049"/>
      <c r="M5" s="1049"/>
      <c r="N5" s="1049"/>
      <c r="O5" s="1049"/>
      <c r="P5" s="1049"/>
      <c r="Q5" s="1049"/>
      <c r="R5" s="1049"/>
      <c r="S5" s="1049"/>
      <c r="T5" s="1049"/>
      <c r="U5" s="1049"/>
      <c r="V5" s="1049"/>
      <c r="W5" s="1049"/>
      <c r="X5" s="1049"/>
      <c r="Y5" s="1049"/>
      <c r="Z5" s="1049"/>
      <c r="AA5" s="1063"/>
      <c r="AB5" s="1063"/>
      <c r="AC5" s="4731"/>
      <c r="AD5" s="4731"/>
      <c r="AE5" s="4731"/>
      <c r="AF5" s="4731"/>
      <c r="AG5" s="4731"/>
      <c r="AH5" s="4731"/>
      <c r="AI5" s="4731"/>
      <c r="AJ5" s="4731"/>
      <c r="AK5" s="4731"/>
      <c r="AL5" s="4731"/>
      <c r="AM5" s="4731"/>
      <c r="AN5" s="4731"/>
      <c r="AO5" s="4731"/>
      <c r="AP5" s="4731"/>
      <c r="AQ5" s="4731"/>
      <c r="AR5" s="4731"/>
      <c r="AS5" s="4731"/>
      <c r="AT5" s="4731"/>
      <c r="AU5" s="4731"/>
      <c r="AV5" s="4731"/>
      <c r="AW5" s="4731"/>
      <c r="AX5" s="4731"/>
      <c r="AY5" s="4731"/>
      <c r="AZ5" s="1063"/>
      <c r="BA5" s="1063"/>
      <c r="BB5" s="1049"/>
      <c r="BC5" s="1049"/>
      <c r="BD5" s="1049"/>
      <c r="BE5" s="1049"/>
      <c r="BF5" s="1049"/>
      <c r="BG5" s="1049"/>
      <c r="BH5" s="1049"/>
      <c r="BI5" s="1049"/>
      <c r="BJ5" s="1049"/>
      <c r="BK5" s="1049"/>
      <c r="BL5" s="1049"/>
      <c r="BM5" s="1049"/>
      <c r="BN5" s="1049"/>
      <c r="BO5" s="1049"/>
      <c r="BP5" s="1049"/>
      <c r="BQ5" s="1049"/>
      <c r="BR5" s="1049"/>
      <c r="BS5" s="1049"/>
      <c r="BT5" s="1049"/>
      <c r="BU5" s="1266"/>
      <c r="BV5" s="17"/>
      <c r="BW5" s="17"/>
      <c r="BX5" s="17"/>
      <c r="BY5" s="790"/>
      <c r="BZ5" s="1058"/>
      <c r="CA5" s="17"/>
      <c r="CQ5" s="822"/>
      <c r="CR5" s="822"/>
      <c r="CS5" s="822"/>
      <c r="CT5" s="822"/>
      <c r="CU5" s="822"/>
      <c r="CV5" s="822"/>
      <c r="CW5" s="822"/>
      <c r="CX5" s="822"/>
      <c r="CY5" s="822"/>
      <c r="CZ5" s="822"/>
      <c r="DA5" s="822"/>
      <c r="DB5" s="822"/>
      <c r="DC5" s="822"/>
      <c r="DD5" s="822"/>
      <c r="DE5" s="822"/>
      <c r="DF5" s="822"/>
      <c r="DG5" s="822"/>
      <c r="DH5" s="822"/>
      <c r="DI5" s="822"/>
      <c r="DJ5" s="822"/>
      <c r="DK5" s="822"/>
      <c r="DL5" s="822"/>
      <c r="DM5" s="822"/>
      <c r="DN5" s="822"/>
    </row>
    <row r="6" spans="1:148" ht="17.100000000000001" customHeight="1" thickBot="1" x14ac:dyDescent="0.25">
      <c r="A6" s="17"/>
      <c r="B6" s="1058"/>
      <c r="C6" s="17"/>
      <c r="D6" s="17"/>
      <c r="E6" s="605"/>
      <c r="F6" s="605"/>
      <c r="G6" s="1051"/>
      <c r="H6" s="1063"/>
      <c r="I6" s="1063"/>
      <c r="J6" s="1063"/>
      <c r="K6" s="1063"/>
      <c r="L6" s="1063"/>
      <c r="M6" s="1063"/>
      <c r="N6" s="1063"/>
      <c r="O6" s="1063"/>
      <c r="P6" s="1063"/>
      <c r="Q6" s="1063"/>
      <c r="R6" s="1063"/>
      <c r="S6" s="1063"/>
      <c r="T6" s="1063"/>
      <c r="U6" s="1063"/>
      <c r="V6" s="1063"/>
      <c r="W6" s="1063"/>
      <c r="X6" s="1063"/>
      <c r="Y6" s="1063"/>
      <c r="Z6" s="1063"/>
      <c r="AA6" s="1063"/>
      <c r="AB6" s="1063"/>
      <c r="AC6" s="1063"/>
      <c r="AD6" s="1063"/>
      <c r="AE6" s="1063"/>
      <c r="AF6" s="1063"/>
      <c r="AG6" s="1240"/>
      <c r="AH6" s="1240"/>
      <c r="AI6" s="1240"/>
      <c r="AJ6" s="1251"/>
      <c r="AK6" s="1251"/>
      <c r="AL6" s="1251"/>
      <c r="AM6" s="4855" t="str" cm="1">
        <f t="array" ref="AM6">_xlfn.IFS(
$CE$22=0,"I",
$CE$22=1,"I I",
$CE$22=2,"I I I",
$CE$22=3,"I V",
$CE$22=4,"V",
$CE$22=5,"V I",
$CE$22=6,"V I I",
$CE$22=7,"V I I I",
$CE$22=8,"I X",
$CE$22=9,"X",
TRUE,"")</f>
        <v>I</v>
      </c>
      <c r="AN6" s="4855"/>
      <c r="AO6" s="4855"/>
      <c r="AP6" s="1251"/>
      <c r="AQ6" s="1251"/>
      <c r="AR6" s="1251"/>
      <c r="AS6" s="1251"/>
      <c r="AT6" s="1240"/>
      <c r="AU6" s="1240"/>
      <c r="AV6" s="1063"/>
      <c r="AW6" s="1063"/>
      <c r="AX6" s="1063"/>
      <c r="AY6" s="1063"/>
      <c r="AZ6" s="1063"/>
      <c r="BA6" s="1063"/>
      <c r="BB6" s="1063"/>
      <c r="BC6" s="1063"/>
      <c r="BD6" s="1063"/>
      <c r="BE6" s="1063"/>
      <c r="BF6" s="1063"/>
      <c r="BG6" s="1063"/>
      <c r="BH6" s="1063"/>
      <c r="BI6" s="1063"/>
      <c r="BJ6" s="1063"/>
      <c r="BK6" s="1063"/>
      <c r="BL6" s="1063"/>
      <c r="BM6" s="1063"/>
      <c r="BN6" s="1063"/>
      <c r="BO6" s="1063"/>
      <c r="BP6" s="1063"/>
      <c r="BQ6" s="1063"/>
      <c r="BR6" s="1063"/>
      <c r="BS6" s="1063"/>
      <c r="BT6" s="1063"/>
      <c r="BU6" s="1052"/>
      <c r="BV6" s="17"/>
      <c r="BW6" s="17"/>
      <c r="BX6" s="17"/>
      <c r="BY6" s="17"/>
      <c r="BZ6" s="1058"/>
      <c r="CA6" s="17"/>
      <c r="CB6" s="19"/>
      <c r="CC6" s="19"/>
      <c r="CD6" s="19"/>
      <c r="CE6" s="19"/>
      <c r="CF6" s="19"/>
      <c r="CG6" s="822"/>
      <c r="CH6" s="822"/>
      <c r="CI6" s="822"/>
      <c r="CJ6" s="822"/>
      <c r="CK6" s="822"/>
      <c r="CL6" s="822"/>
      <c r="CM6" s="822"/>
      <c r="CN6" s="822"/>
      <c r="CO6" s="822"/>
      <c r="CP6" s="822"/>
      <c r="CQ6" s="822"/>
      <c r="CR6" s="822"/>
      <c r="CS6" s="822"/>
      <c r="CT6" s="822"/>
      <c r="CU6" s="822"/>
      <c r="CV6" s="822"/>
      <c r="CW6" s="822"/>
      <c r="CX6" s="822"/>
      <c r="CY6" s="822"/>
      <c r="CZ6" s="822"/>
      <c r="DA6" s="822"/>
      <c r="DB6" s="822"/>
      <c r="DC6" s="822"/>
      <c r="DD6" s="822"/>
      <c r="DE6" s="822"/>
      <c r="DF6" s="822"/>
      <c r="DG6" s="822"/>
      <c r="DH6" s="822"/>
      <c r="DI6" s="822"/>
      <c r="DJ6" s="822"/>
      <c r="DK6" s="822"/>
      <c r="DL6" s="822"/>
      <c r="DM6" s="822"/>
      <c r="DN6" s="822"/>
    </row>
    <row r="7" spans="1:148" ht="17.100000000000001" customHeight="1" thickTop="1" x14ac:dyDescent="0.35">
      <c r="A7" s="17"/>
      <c r="B7" s="1058"/>
      <c r="C7" s="1062"/>
      <c r="D7" s="1062"/>
      <c r="E7" s="1048"/>
      <c r="F7" s="1049"/>
      <c r="G7" s="1063"/>
      <c r="H7" s="1063"/>
      <c r="I7" s="1063"/>
      <c r="J7" s="1063"/>
      <c r="K7" s="1063"/>
      <c r="L7" s="1063"/>
      <c r="M7" s="1063"/>
      <c r="N7" s="1063"/>
      <c r="O7" s="1063"/>
      <c r="P7" s="1063"/>
      <c r="Q7" s="1063"/>
      <c r="R7" s="1063"/>
      <c r="S7" s="1063"/>
      <c r="T7" s="1063"/>
      <c r="U7" s="1063"/>
      <c r="V7" s="1063"/>
      <c r="W7" s="1063"/>
      <c r="X7" s="1063"/>
      <c r="Y7" s="1063"/>
      <c r="Z7" s="1063"/>
      <c r="AA7" s="1063"/>
      <c r="AB7" s="1063"/>
      <c r="AC7" s="1063"/>
      <c r="AD7" s="1063"/>
      <c r="AE7" s="1063"/>
      <c r="AF7" s="1063"/>
      <c r="AG7" s="1240"/>
      <c r="AH7" s="1240"/>
      <c r="AI7" s="1251"/>
      <c r="AJ7" s="1251"/>
      <c r="AK7" s="1251"/>
      <c r="AL7" s="1251"/>
      <c r="AM7" s="4855"/>
      <c r="AN7" s="4855"/>
      <c r="AO7" s="4855"/>
      <c r="AP7" s="1251"/>
      <c r="AQ7" s="1251"/>
      <c r="AR7" s="1251"/>
      <c r="AS7" s="1251"/>
      <c r="AT7" s="1240"/>
      <c r="AU7" s="1240"/>
      <c r="AV7" s="1063"/>
      <c r="AW7" s="1063"/>
      <c r="AX7" s="1063"/>
      <c r="AY7" s="1063"/>
      <c r="AZ7" s="1063"/>
      <c r="BA7" s="1063"/>
      <c r="BB7" s="1063"/>
      <c r="BC7" s="1063"/>
      <c r="BD7" s="1063"/>
      <c r="BE7" s="1063"/>
      <c r="BF7" s="1063"/>
      <c r="BG7" s="1063"/>
      <c r="BH7" s="1063"/>
      <c r="BI7" s="1063"/>
      <c r="BJ7" s="1063"/>
      <c r="BK7" s="1063"/>
      <c r="BL7" s="1063"/>
      <c r="BM7" s="1063"/>
      <c r="BN7" s="1063"/>
      <c r="BO7" s="1063"/>
      <c r="BP7" s="1063"/>
      <c r="BQ7" s="1063"/>
      <c r="BR7" s="1063"/>
      <c r="BS7" s="1063"/>
      <c r="BT7" s="1063"/>
      <c r="BU7" s="1063"/>
      <c r="BV7" s="1049"/>
      <c r="BW7" s="1050"/>
      <c r="BX7" s="605"/>
      <c r="BY7" s="605"/>
      <c r="BZ7" s="1058"/>
      <c r="CA7" s="17"/>
      <c r="CB7" s="19"/>
      <c r="CC7" s="329" t="s">
        <v>505</v>
      </c>
      <c r="CD7" s="19"/>
      <c r="CE7" s="19"/>
      <c r="CF7" s="19"/>
      <c r="CG7" s="822"/>
      <c r="CH7" s="822"/>
      <c r="CI7" s="822"/>
      <c r="CJ7" s="822"/>
      <c r="CK7" s="822"/>
      <c r="CL7" s="822"/>
      <c r="CM7" s="822"/>
      <c r="CN7" s="822"/>
      <c r="CO7" s="822"/>
      <c r="CP7" s="822"/>
      <c r="CQ7" s="822"/>
      <c r="CR7" s="822"/>
      <c r="CS7" s="822"/>
      <c r="CT7" s="822"/>
      <c r="CU7" s="822"/>
      <c r="CV7" s="822"/>
      <c r="CW7" s="822"/>
      <c r="CX7" s="822"/>
      <c r="CY7" s="822"/>
      <c r="CZ7" s="822"/>
      <c r="DA7" s="822"/>
      <c r="DB7" s="822"/>
      <c r="DC7" s="822"/>
      <c r="DD7" s="822"/>
      <c r="DE7" s="822"/>
      <c r="DF7" s="822"/>
      <c r="DG7" s="822"/>
      <c r="DH7" s="822"/>
      <c r="DI7" s="822"/>
      <c r="DJ7" s="822"/>
      <c r="DK7" s="822"/>
      <c r="DL7" s="822"/>
      <c r="DM7" s="822"/>
      <c r="DN7" s="822"/>
    </row>
    <row r="8" spans="1:148" ht="17.100000000000001" customHeight="1" thickBot="1" x14ac:dyDescent="0.4">
      <c r="A8" s="17"/>
      <c r="B8" s="1058"/>
      <c r="C8" s="1062"/>
      <c r="D8" s="1062"/>
      <c r="E8" s="1051"/>
      <c r="F8" s="1063"/>
      <c r="G8" s="1063"/>
      <c r="H8" s="1063"/>
      <c r="I8" s="1063"/>
      <c r="J8" s="1063"/>
      <c r="K8" s="1063"/>
      <c r="L8" s="1063"/>
      <c r="M8" s="1063"/>
      <c r="N8" s="1063"/>
      <c r="O8" s="1063"/>
      <c r="P8" s="1063"/>
      <c r="Q8" s="1063"/>
      <c r="R8" s="1063"/>
      <c r="S8" s="1063"/>
      <c r="T8" s="1063"/>
      <c r="U8" s="1063"/>
      <c r="V8" s="1063"/>
      <c r="W8" s="1063"/>
      <c r="X8" s="1063"/>
      <c r="Y8" s="1063"/>
      <c r="Z8" s="1063"/>
      <c r="AA8" s="1063"/>
      <c r="AB8" s="1063"/>
      <c r="AC8" s="1063"/>
      <c r="AD8" s="1063"/>
      <c r="AE8" s="1063"/>
      <c r="AF8" s="1063"/>
      <c r="AG8" s="1240"/>
      <c r="AH8" s="1240"/>
      <c r="AI8" s="1240"/>
      <c r="AJ8" s="1240"/>
      <c r="AK8" s="1240"/>
      <c r="AL8" s="1240"/>
      <c r="AM8" s="1267"/>
      <c r="AN8" s="1512">
        <v>1</v>
      </c>
      <c r="AO8" s="1267"/>
      <c r="AP8" s="1240"/>
      <c r="AQ8" s="1240"/>
      <c r="AR8" s="1240"/>
      <c r="AS8" s="1240"/>
      <c r="AT8" s="1240"/>
      <c r="AU8" s="1240"/>
      <c r="AV8" s="1063"/>
      <c r="AW8" s="1063"/>
      <c r="AX8" s="1063"/>
      <c r="AY8" s="1063"/>
      <c r="AZ8" s="1063"/>
      <c r="BA8" s="1063"/>
      <c r="BB8" s="1063"/>
      <c r="BC8" s="1063"/>
      <c r="BD8" s="1063"/>
      <c r="BE8" s="1063"/>
      <c r="BF8" s="1063"/>
      <c r="BG8" s="1063"/>
      <c r="BH8" s="1063"/>
      <c r="BI8" s="1063"/>
      <c r="BJ8" s="1063"/>
      <c r="BK8" s="1063"/>
      <c r="BL8" s="1063"/>
      <c r="BM8" s="1063"/>
      <c r="BN8" s="1063"/>
      <c r="BO8" s="1063"/>
      <c r="BP8" s="1063"/>
      <c r="BQ8" s="1063"/>
      <c r="BR8" s="1063"/>
      <c r="BS8" s="1063"/>
      <c r="BT8" s="1063"/>
      <c r="BU8" s="1063"/>
      <c r="BV8" s="1063"/>
      <c r="BW8" s="1052"/>
      <c r="BX8" s="605"/>
      <c r="BY8" s="605"/>
      <c r="BZ8" s="1058"/>
      <c r="CA8" s="17"/>
      <c r="CB8" s="19"/>
      <c r="CC8" s="388"/>
      <c r="CD8" s="1053"/>
      <c r="CE8" s="816"/>
      <c r="CF8" s="19"/>
      <c r="CG8" s="822"/>
      <c r="CH8" s="822"/>
      <c r="CI8" s="822"/>
      <c r="CJ8" s="822"/>
      <c r="CK8" s="822"/>
      <c r="CL8" s="822"/>
      <c r="CM8" s="822"/>
      <c r="CN8" s="822"/>
      <c r="CO8" s="822"/>
      <c r="CP8" s="822"/>
      <c r="CQ8" s="822"/>
      <c r="CR8" s="822"/>
      <c r="CS8" s="822"/>
      <c r="CT8" s="822"/>
      <c r="CU8" s="822"/>
      <c r="CV8" s="822"/>
      <c r="CW8" s="822"/>
      <c r="CX8" s="822"/>
      <c r="CY8" s="822"/>
      <c r="CZ8" s="822"/>
      <c r="DA8" s="822"/>
      <c r="DB8" s="822"/>
      <c r="DC8" s="822"/>
      <c r="DD8" s="822"/>
      <c r="DE8" s="822"/>
      <c r="DF8" s="822"/>
      <c r="DG8" s="822"/>
      <c r="DH8" s="822"/>
      <c r="DI8" s="822"/>
      <c r="DJ8" s="822"/>
      <c r="DK8" s="822"/>
      <c r="DL8" s="822"/>
      <c r="DM8" s="822"/>
      <c r="DN8" s="101" t="s">
        <v>955</v>
      </c>
    </row>
    <row r="9" spans="1:148" ht="17.100000000000001" customHeight="1" thickTop="1" x14ac:dyDescent="0.2">
      <c r="A9" s="17"/>
      <c r="B9" s="1058"/>
      <c r="C9" s="17"/>
      <c r="D9" s="17"/>
      <c r="E9" s="1051"/>
      <c r="F9" s="1063"/>
      <c r="G9" s="1063"/>
      <c r="H9" s="1063"/>
      <c r="I9" s="4756" t="s">
        <v>72</v>
      </c>
      <c r="J9" s="4757"/>
      <c r="K9" s="4757"/>
      <c r="L9" s="4794" t="s">
        <v>710</v>
      </c>
      <c r="M9" s="4794"/>
      <c r="N9" s="4757" t="s">
        <v>72</v>
      </c>
      <c r="O9" s="4757"/>
      <c r="P9" s="4762"/>
      <c r="Q9" s="1063"/>
      <c r="R9" s="1063"/>
      <c r="S9" s="4756" t="s">
        <v>72</v>
      </c>
      <c r="T9" s="4757"/>
      <c r="U9" s="4757"/>
      <c r="V9" s="4792" t="s">
        <v>710</v>
      </c>
      <c r="W9" s="4792"/>
      <c r="X9" s="4757" t="s">
        <v>72</v>
      </c>
      <c r="Y9" s="4757"/>
      <c r="Z9" s="4762"/>
      <c r="AA9" s="1063"/>
      <c r="AB9" s="1063"/>
      <c r="AC9" s="4756" t="s">
        <v>72</v>
      </c>
      <c r="AD9" s="4757"/>
      <c r="AE9" s="4757"/>
      <c r="AF9" s="4790" t="s">
        <v>710</v>
      </c>
      <c r="AG9" s="4790"/>
      <c r="AH9" s="4757" t="s">
        <v>72</v>
      </c>
      <c r="AI9" s="4757"/>
      <c r="AJ9" s="4762"/>
      <c r="AK9" s="1063"/>
      <c r="AL9" s="1063"/>
      <c r="AM9" s="4856" t="s">
        <v>1472</v>
      </c>
      <c r="AN9" s="4856"/>
      <c r="AO9" s="4856"/>
      <c r="AP9" s="1063"/>
      <c r="AQ9" s="1063"/>
      <c r="AR9" s="4756" t="s">
        <v>72</v>
      </c>
      <c r="AS9" s="4757"/>
      <c r="AT9" s="4757"/>
      <c r="AU9" s="4790" t="s">
        <v>939</v>
      </c>
      <c r="AV9" s="4790"/>
      <c r="AW9" s="4757" t="s">
        <v>72</v>
      </c>
      <c r="AX9" s="4757"/>
      <c r="AY9" s="4762"/>
      <c r="AZ9" s="1063"/>
      <c r="BA9" s="1063"/>
      <c r="BB9" s="4756" t="s">
        <v>72</v>
      </c>
      <c r="BC9" s="4757"/>
      <c r="BD9" s="4757"/>
      <c r="BE9" s="4792" t="s">
        <v>939</v>
      </c>
      <c r="BF9" s="4792"/>
      <c r="BG9" s="4757" t="s">
        <v>72</v>
      </c>
      <c r="BH9" s="4757"/>
      <c r="BI9" s="4762"/>
      <c r="BJ9" s="1063"/>
      <c r="BK9" s="1063"/>
      <c r="BL9" s="4756" t="s">
        <v>72</v>
      </c>
      <c r="BM9" s="4757"/>
      <c r="BN9" s="4757"/>
      <c r="BO9" s="4794" t="s">
        <v>939</v>
      </c>
      <c r="BP9" s="4794"/>
      <c r="BQ9" s="4757" t="s">
        <v>72</v>
      </c>
      <c r="BR9" s="4757"/>
      <c r="BS9" s="4762"/>
      <c r="BT9" s="1063"/>
      <c r="BU9" s="1063"/>
      <c r="BV9" s="1063"/>
      <c r="BW9" s="1052"/>
      <c r="BX9" s="605"/>
      <c r="BY9" s="605"/>
      <c r="BZ9" s="1058"/>
      <c r="CA9" s="17"/>
      <c r="CB9" s="19"/>
      <c r="CC9" s="2567"/>
      <c r="CD9" s="19"/>
      <c r="CE9" s="19"/>
      <c r="CF9" s="19"/>
      <c r="CG9" s="822"/>
      <c r="CH9" s="822"/>
      <c r="CI9" s="822"/>
      <c r="CJ9" s="822"/>
      <c r="CK9" s="822"/>
      <c r="CL9" s="822"/>
      <c r="CM9" s="822"/>
      <c r="CN9" s="822"/>
      <c r="CO9" s="822"/>
      <c r="CP9" s="822"/>
      <c r="CQ9" s="822"/>
      <c r="CR9" s="822"/>
      <c r="CS9" s="822"/>
      <c r="CT9" s="822"/>
      <c r="CU9" s="822"/>
      <c r="CV9" s="822"/>
      <c r="CW9" s="822"/>
      <c r="CX9" s="822"/>
      <c r="CY9" s="822"/>
      <c r="CZ9" s="822"/>
      <c r="DA9" s="822"/>
      <c r="DB9" s="822"/>
      <c r="DC9" s="822"/>
      <c r="DD9" s="822"/>
      <c r="DE9" s="822"/>
      <c r="DF9" s="822"/>
      <c r="DG9" s="822"/>
      <c r="DH9" s="822"/>
      <c r="DI9" s="822"/>
      <c r="DJ9" s="822"/>
      <c r="DK9" s="822"/>
      <c r="DL9" s="822"/>
      <c r="DM9" s="822"/>
      <c r="DN9" s="2288">
        <f>COUNTIF(CJ11:ER29,"&gt;=1")</f>
        <v>0</v>
      </c>
      <c r="DO9" s="822"/>
      <c r="DP9" s="822"/>
      <c r="DQ9" s="822"/>
      <c r="DR9" s="822"/>
      <c r="DS9" s="822"/>
      <c r="DT9" s="822"/>
      <c r="DU9" s="822"/>
      <c r="DV9" s="822"/>
      <c r="DW9" s="822"/>
      <c r="DX9" s="822"/>
      <c r="DY9" s="822"/>
    </row>
    <row r="10" spans="1:148" ht="17.100000000000001" customHeight="1" x14ac:dyDescent="0.2">
      <c r="A10" s="17"/>
      <c r="B10" s="1058"/>
      <c r="C10" s="1064"/>
      <c r="D10" s="1064"/>
      <c r="E10" s="1051"/>
      <c r="F10" s="1063"/>
      <c r="G10" s="1063"/>
      <c r="H10" s="1063"/>
      <c r="I10" s="4758"/>
      <c r="J10" s="4759"/>
      <c r="K10" s="4759"/>
      <c r="L10" s="4795"/>
      <c r="M10" s="4795"/>
      <c r="N10" s="4759"/>
      <c r="O10" s="4759"/>
      <c r="P10" s="4763"/>
      <c r="Q10" s="1063"/>
      <c r="R10" s="1063"/>
      <c r="S10" s="4758"/>
      <c r="T10" s="4759"/>
      <c r="U10" s="4759"/>
      <c r="V10" s="4793"/>
      <c r="W10" s="4793"/>
      <c r="X10" s="4759"/>
      <c r="Y10" s="4759"/>
      <c r="Z10" s="4763"/>
      <c r="AA10" s="1063"/>
      <c r="AB10" s="1063"/>
      <c r="AC10" s="4758"/>
      <c r="AD10" s="4759"/>
      <c r="AE10" s="4759"/>
      <c r="AF10" s="4791"/>
      <c r="AG10" s="4791"/>
      <c r="AH10" s="4759"/>
      <c r="AI10" s="4759"/>
      <c r="AJ10" s="4763"/>
      <c r="AK10" s="1063"/>
      <c r="AL10" s="1063"/>
      <c r="AM10" s="4856"/>
      <c r="AN10" s="4856"/>
      <c r="AO10" s="4856"/>
      <c r="AP10" s="1063"/>
      <c r="AQ10" s="1063"/>
      <c r="AR10" s="4758"/>
      <c r="AS10" s="4759"/>
      <c r="AT10" s="4759"/>
      <c r="AU10" s="4806"/>
      <c r="AV10" s="4806"/>
      <c r="AW10" s="4759"/>
      <c r="AX10" s="4759"/>
      <c r="AY10" s="4763"/>
      <c r="AZ10" s="1063"/>
      <c r="BA10" s="1063"/>
      <c r="BB10" s="4758"/>
      <c r="BC10" s="4759"/>
      <c r="BD10" s="4759"/>
      <c r="BE10" s="4805"/>
      <c r="BF10" s="4805"/>
      <c r="BG10" s="4759"/>
      <c r="BH10" s="4759"/>
      <c r="BI10" s="4763"/>
      <c r="BJ10" s="1063"/>
      <c r="BK10" s="1063"/>
      <c r="BL10" s="4758"/>
      <c r="BM10" s="4759"/>
      <c r="BN10" s="4759"/>
      <c r="BO10" s="4807"/>
      <c r="BP10" s="4807"/>
      <c r="BQ10" s="4759"/>
      <c r="BR10" s="4759"/>
      <c r="BS10" s="4763"/>
      <c r="BT10" s="1063"/>
      <c r="BU10" s="1063"/>
      <c r="BV10" s="1063"/>
      <c r="BW10" s="1052"/>
      <c r="BX10" s="605"/>
      <c r="BY10" s="605"/>
      <c r="BZ10" s="1058"/>
      <c r="CA10" s="17"/>
      <c r="CB10" s="19"/>
      <c r="CC10" s="1750" t="s">
        <v>1655</v>
      </c>
      <c r="CD10" s="19"/>
      <c r="CE10" s="19"/>
      <c r="CF10" s="19"/>
      <c r="CG10" s="822"/>
      <c r="CH10" s="822"/>
      <c r="CI10" s="822"/>
      <c r="CJ10" s="822"/>
      <c r="CK10" s="822"/>
      <c r="CL10" s="822"/>
      <c r="CM10" s="822"/>
      <c r="CN10" s="822"/>
      <c r="CO10" s="822"/>
      <c r="CP10" s="822"/>
      <c r="CQ10" s="822"/>
      <c r="CR10" s="822"/>
      <c r="CS10" s="822"/>
      <c r="CT10" s="822"/>
      <c r="CU10" s="822"/>
      <c r="CV10" s="822"/>
      <c r="CW10" s="822"/>
      <c r="CX10" s="822"/>
      <c r="CY10" s="822"/>
      <c r="CZ10" s="822"/>
      <c r="DA10" s="822"/>
      <c r="DB10" s="822"/>
      <c r="DC10" s="822"/>
      <c r="DD10" s="822"/>
      <c r="DE10" s="822"/>
      <c r="DF10" s="822"/>
      <c r="DG10" s="822"/>
      <c r="DH10" s="822"/>
      <c r="DI10" s="822"/>
      <c r="DJ10" s="822"/>
      <c r="DK10" s="822"/>
      <c r="DL10" s="822"/>
      <c r="DM10" s="822"/>
      <c r="DN10" s="822"/>
      <c r="DO10" s="822"/>
      <c r="DP10" s="822"/>
      <c r="DQ10" s="822"/>
      <c r="DR10" s="822"/>
      <c r="DS10" s="822"/>
      <c r="DT10" s="822"/>
      <c r="DU10" s="822"/>
      <c r="DV10" s="822"/>
      <c r="DW10" s="822"/>
      <c r="DX10" s="822"/>
      <c r="DY10" s="822"/>
    </row>
    <row r="11" spans="1:148" ht="17.100000000000001" customHeight="1" x14ac:dyDescent="0.2">
      <c r="A11" s="17"/>
      <c r="B11" s="1058"/>
      <c r="C11" s="17"/>
      <c r="D11" s="17"/>
      <c r="E11" s="1051"/>
      <c r="F11" s="1063"/>
      <c r="G11" s="1063"/>
      <c r="H11" s="1063"/>
      <c r="I11" s="4857"/>
      <c r="J11" s="4768"/>
      <c r="K11" s="4769"/>
      <c r="L11" s="4769"/>
      <c r="M11" s="4769"/>
      <c r="N11" s="4769"/>
      <c r="O11" s="4770"/>
      <c r="P11" s="4859"/>
      <c r="Q11" s="1063"/>
      <c r="R11" s="1063"/>
      <c r="S11" s="4766"/>
      <c r="T11" s="4768"/>
      <c r="U11" s="4769"/>
      <c r="V11" s="4769"/>
      <c r="W11" s="4769"/>
      <c r="X11" s="4769"/>
      <c r="Y11" s="4770"/>
      <c r="Z11" s="4777"/>
      <c r="AA11" s="1063"/>
      <c r="AB11" s="1063"/>
      <c r="AC11" s="4766"/>
      <c r="AD11" s="4768"/>
      <c r="AE11" s="4769"/>
      <c r="AF11" s="4769"/>
      <c r="AG11" s="4769"/>
      <c r="AH11" s="4769"/>
      <c r="AI11" s="4770"/>
      <c r="AJ11" s="4777"/>
      <c r="AK11" s="1063"/>
      <c r="AL11" s="1063"/>
      <c r="AM11" s="4856"/>
      <c r="AN11" s="4856"/>
      <c r="AO11" s="4856"/>
      <c r="AP11" s="1063"/>
      <c r="AQ11" s="1063"/>
      <c r="AR11" s="4766"/>
      <c r="AS11" s="4768"/>
      <c r="AT11" s="4769"/>
      <c r="AU11" s="4769"/>
      <c r="AV11" s="4769"/>
      <c r="AW11" s="4769"/>
      <c r="AX11" s="4770"/>
      <c r="AY11" s="4777"/>
      <c r="AZ11" s="1063"/>
      <c r="BA11" s="1063"/>
      <c r="BB11" s="4766"/>
      <c r="BC11" s="4768"/>
      <c r="BD11" s="4769"/>
      <c r="BE11" s="4769"/>
      <c r="BF11" s="4769"/>
      <c r="BG11" s="4769"/>
      <c r="BH11" s="4770"/>
      <c r="BI11" s="4777"/>
      <c r="BJ11" s="1063"/>
      <c r="BK11" s="1063"/>
      <c r="BL11" s="4766"/>
      <c r="BM11" s="4768"/>
      <c r="BN11" s="4769"/>
      <c r="BO11" s="4769"/>
      <c r="BP11" s="4769"/>
      <c r="BQ11" s="4769"/>
      <c r="BR11" s="4770"/>
      <c r="BS11" s="4777"/>
      <c r="BT11" s="1063"/>
      <c r="BU11" s="1063"/>
      <c r="BV11" s="1063"/>
      <c r="BW11" s="1052"/>
      <c r="BX11" s="605"/>
      <c r="BY11" s="605"/>
      <c r="BZ11" s="1058"/>
      <c r="CA11" s="17"/>
      <c r="CB11" s="19"/>
      <c r="CC11" s="1754" t="s">
        <v>463</v>
      </c>
      <c r="CD11" s="19"/>
      <c r="CE11" s="19"/>
      <c r="CF11" s="19"/>
      <c r="CG11" s="810"/>
      <c r="CH11" s="810"/>
      <c r="CI11" s="810"/>
      <c r="CJ11" s="4840">
        <f>COUNTIF($CJ$114:$ER$428,J11)</f>
        <v>0</v>
      </c>
      <c r="CK11" s="4841"/>
      <c r="CL11" s="4841"/>
      <c r="CM11" s="4841"/>
      <c r="CN11" s="4841"/>
      <c r="CO11" s="4842"/>
      <c r="CP11" s="822"/>
      <c r="CQ11" s="822"/>
      <c r="CR11" s="822"/>
      <c r="CS11" s="822"/>
      <c r="CT11" s="4840">
        <f>COUNTIF($CJ$114:$ER$428,T11)</f>
        <v>0</v>
      </c>
      <c r="CU11" s="4841"/>
      <c r="CV11" s="4841"/>
      <c r="CW11" s="4841"/>
      <c r="CX11" s="4841"/>
      <c r="CY11" s="4842"/>
      <c r="CZ11" s="822"/>
      <c r="DA11" s="822"/>
      <c r="DB11" s="822"/>
      <c r="DC11" s="822"/>
      <c r="DD11" s="4840">
        <f>COUNTIF($CJ$114:$ER$428,AD11)</f>
        <v>0</v>
      </c>
      <c r="DE11" s="4841"/>
      <c r="DF11" s="4841"/>
      <c r="DG11" s="4841"/>
      <c r="DH11" s="4841"/>
      <c r="DI11" s="4842"/>
      <c r="DJ11" s="822"/>
      <c r="DK11" s="822"/>
      <c r="DL11" s="822"/>
      <c r="DM11" s="822"/>
      <c r="DN11" s="822"/>
      <c r="DO11" s="822"/>
      <c r="DP11" s="822"/>
      <c r="DQ11" s="822"/>
      <c r="DR11" s="822"/>
      <c r="DS11" s="4840">
        <f>COUNTIF($CJ$114:$ER$428,AS11)</f>
        <v>0</v>
      </c>
      <c r="DT11" s="4841"/>
      <c r="DU11" s="4841"/>
      <c r="DV11" s="4841"/>
      <c r="DW11" s="4841"/>
      <c r="DX11" s="4842"/>
      <c r="DY11" s="822"/>
      <c r="DZ11" s="822"/>
      <c r="EA11" s="822"/>
      <c r="EB11" s="822"/>
      <c r="EC11" s="4840">
        <f>COUNTIF($CJ$114:$ER$428,BC11)</f>
        <v>0</v>
      </c>
      <c r="ED11" s="4841"/>
      <c r="EE11" s="4841"/>
      <c r="EF11" s="4841"/>
      <c r="EG11" s="4841"/>
      <c r="EH11" s="4842"/>
      <c r="EI11" s="822"/>
      <c r="EJ11" s="822"/>
      <c r="EK11" s="822"/>
      <c r="EL11" s="822"/>
      <c r="EM11" s="4840">
        <f>COUNTIF($CJ$114:$ER$428,BM11)</f>
        <v>0</v>
      </c>
      <c r="EN11" s="4841"/>
      <c r="EO11" s="4841"/>
      <c r="EP11" s="4841"/>
      <c r="EQ11" s="4841"/>
      <c r="ER11" s="4842"/>
    </row>
    <row r="12" spans="1:148" ht="17.100000000000001" customHeight="1" x14ac:dyDescent="0.2">
      <c r="A12" s="17"/>
      <c r="B12" s="1058"/>
      <c r="C12" s="1065"/>
      <c r="D12" s="1065"/>
      <c r="E12" s="1051"/>
      <c r="F12" s="1063"/>
      <c r="G12" s="1063"/>
      <c r="H12" s="1063"/>
      <c r="I12" s="4857"/>
      <c r="J12" s="4771"/>
      <c r="K12" s="4772"/>
      <c r="L12" s="4772"/>
      <c r="M12" s="4772"/>
      <c r="N12" s="4772"/>
      <c r="O12" s="4773"/>
      <c r="P12" s="4859"/>
      <c r="Q12" s="1063"/>
      <c r="R12" s="1063"/>
      <c r="S12" s="4766"/>
      <c r="T12" s="4771"/>
      <c r="U12" s="4772"/>
      <c r="V12" s="4772"/>
      <c r="W12" s="4772"/>
      <c r="X12" s="4772"/>
      <c r="Y12" s="4773"/>
      <c r="Z12" s="4777"/>
      <c r="AA12" s="1063"/>
      <c r="AB12" s="1063"/>
      <c r="AC12" s="4766"/>
      <c r="AD12" s="4771"/>
      <c r="AE12" s="4772"/>
      <c r="AF12" s="4772"/>
      <c r="AG12" s="4772"/>
      <c r="AH12" s="4772"/>
      <c r="AI12" s="4773"/>
      <c r="AJ12" s="4777"/>
      <c r="AK12" s="1063"/>
      <c r="AL12" s="1063"/>
      <c r="AM12" s="2539"/>
      <c r="AN12" s="2543" t="s">
        <v>710</v>
      </c>
      <c r="AO12" s="2540"/>
      <c r="AP12" s="1063"/>
      <c r="AQ12" s="1063"/>
      <c r="AR12" s="4766"/>
      <c r="AS12" s="4771"/>
      <c r="AT12" s="4772"/>
      <c r="AU12" s="4772"/>
      <c r="AV12" s="4772"/>
      <c r="AW12" s="4772"/>
      <c r="AX12" s="4773"/>
      <c r="AY12" s="4777"/>
      <c r="AZ12" s="1063"/>
      <c r="BA12" s="1063"/>
      <c r="BB12" s="4766"/>
      <c r="BC12" s="4771"/>
      <c r="BD12" s="4772"/>
      <c r="BE12" s="4772"/>
      <c r="BF12" s="4772"/>
      <c r="BG12" s="4772"/>
      <c r="BH12" s="4773"/>
      <c r="BI12" s="4777"/>
      <c r="BJ12" s="1063"/>
      <c r="BK12" s="1063"/>
      <c r="BL12" s="4766"/>
      <c r="BM12" s="4771"/>
      <c r="BN12" s="4772"/>
      <c r="BO12" s="4772"/>
      <c r="BP12" s="4772"/>
      <c r="BQ12" s="4772"/>
      <c r="BR12" s="4773"/>
      <c r="BS12" s="4777"/>
      <c r="BT12" s="1063"/>
      <c r="BU12" s="1063"/>
      <c r="BV12" s="1063"/>
      <c r="BW12" s="1052"/>
      <c r="BX12" s="605"/>
      <c r="BY12" s="605"/>
      <c r="BZ12" s="1058"/>
      <c r="CA12" s="17"/>
      <c r="CB12" s="19"/>
      <c r="CC12" s="4850" t="s">
        <v>370</v>
      </c>
      <c r="CD12" s="4850"/>
      <c r="CE12" s="335">
        <f>$AN$133</f>
        <v>0</v>
      </c>
      <c r="CF12" s="335"/>
      <c r="CH12" s="40"/>
      <c r="CI12" s="822"/>
      <c r="CJ12" s="4843"/>
      <c r="CK12" s="3501"/>
      <c r="CL12" s="3501"/>
      <c r="CM12" s="3501"/>
      <c r="CN12" s="3501"/>
      <c r="CO12" s="4844"/>
      <c r="CP12" s="822"/>
      <c r="CQ12" s="822"/>
      <c r="CR12" s="822"/>
      <c r="CS12" s="822"/>
      <c r="CT12" s="4843"/>
      <c r="CU12" s="3501"/>
      <c r="CV12" s="3501"/>
      <c r="CW12" s="3501"/>
      <c r="CX12" s="3501"/>
      <c r="CY12" s="4844"/>
      <c r="CZ12" s="822"/>
      <c r="DA12" s="822"/>
      <c r="DB12" s="822"/>
      <c r="DC12" s="822"/>
      <c r="DD12" s="4843"/>
      <c r="DE12" s="3501"/>
      <c r="DF12" s="3501"/>
      <c r="DG12" s="3501"/>
      <c r="DH12" s="3501"/>
      <c r="DI12" s="4844"/>
      <c r="DJ12" s="822"/>
      <c r="DK12" s="822"/>
      <c r="DL12" s="822"/>
      <c r="DM12" s="822"/>
      <c r="DN12" s="822"/>
      <c r="DO12" s="822"/>
      <c r="DP12" s="822"/>
      <c r="DQ12" s="822"/>
      <c r="DR12" s="822"/>
      <c r="DS12" s="4843"/>
      <c r="DT12" s="3501"/>
      <c r="DU12" s="3501"/>
      <c r="DV12" s="3501"/>
      <c r="DW12" s="3501"/>
      <c r="DX12" s="4844"/>
      <c r="DY12" s="822"/>
      <c r="DZ12" s="822"/>
      <c r="EA12" s="822"/>
      <c r="EB12" s="822"/>
      <c r="EC12" s="4843"/>
      <c r="ED12" s="3501"/>
      <c r="EE12" s="3501"/>
      <c r="EF12" s="3501"/>
      <c r="EG12" s="3501"/>
      <c r="EH12" s="4844"/>
      <c r="EI12" s="822"/>
      <c r="EJ12" s="822"/>
      <c r="EK12" s="822"/>
      <c r="EL12" s="822"/>
      <c r="EM12" s="4843"/>
      <c r="EN12" s="3501"/>
      <c r="EO12" s="3501"/>
      <c r="EP12" s="3501"/>
      <c r="EQ12" s="3501"/>
      <c r="ER12" s="4844"/>
    </row>
    <row r="13" spans="1:148" ht="17.100000000000001" customHeight="1" x14ac:dyDescent="0.2">
      <c r="A13" s="17"/>
      <c r="B13" s="1058"/>
      <c r="C13" s="17"/>
      <c r="D13" s="17"/>
      <c r="E13" s="1051"/>
      <c r="F13" s="1063"/>
      <c r="G13" s="1063"/>
      <c r="H13" s="1063"/>
      <c r="I13" s="4857"/>
      <c r="J13" s="4774"/>
      <c r="K13" s="4775"/>
      <c r="L13" s="4775"/>
      <c r="M13" s="4775"/>
      <c r="N13" s="4775"/>
      <c r="O13" s="4776"/>
      <c r="P13" s="4859"/>
      <c r="Q13" s="1063"/>
      <c r="R13" s="1063"/>
      <c r="S13" s="4766"/>
      <c r="T13" s="4774"/>
      <c r="U13" s="4775"/>
      <c r="V13" s="4775"/>
      <c r="W13" s="4775"/>
      <c r="X13" s="4775"/>
      <c r="Y13" s="4776"/>
      <c r="Z13" s="4777"/>
      <c r="AA13" s="1063"/>
      <c r="AB13" s="1063"/>
      <c r="AC13" s="4766"/>
      <c r="AD13" s="4774"/>
      <c r="AE13" s="4775"/>
      <c r="AF13" s="4775"/>
      <c r="AG13" s="4775"/>
      <c r="AH13" s="4775"/>
      <c r="AI13" s="4776"/>
      <c r="AJ13" s="4777"/>
      <c r="AK13" s="1063"/>
      <c r="AL13" s="1063"/>
      <c r="AM13" s="2539"/>
      <c r="AN13" s="2544" t="s">
        <v>941</v>
      </c>
      <c r="AO13" s="2540"/>
      <c r="AP13" s="1063"/>
      <c r="AQ13" s="1063"/>
      <c r="AR13" s="4766"/>
      <c r="AS13" s="4774"/>
      <c r="AT13" s="4775"/>
      <c r="AU13" s="4775"/>
      <c r="AV13" s="4775"/>
      <c r="AW13" s="4775"/>
      <c r="AX13" s="4776"/>
      <c r="AY13" s="4777"/>
      <c r="AZ13" s="1063"/>
      <c r="BA13" s="1063"/>
      <c r="BB13" s="4766"/>
      <c r="BC13" s="4774"/>
      <c r="BD13" s="4775"/>
      <c r="BE13" s="4775"/>
      <c r="BF13" s="4775"/>
      <c r="BG13" s="4775"/>
      <c r="BH13" s="4776"/>
      <c r="BI13" s="4777"/>
      <c r="BJ13" s="1063"/>
      <c r="BK13" s="1063"/>
      <c r="BL13" s="4766"/>
      <c r="BM13" s="4774"/>
      <c r="BN13" s="4775"/>
      <c r="BO13" s="4775"/>
      <c r="BP13" s="4775"/>
      <c r="BQ13" s="4775"/>
      <c r="BR13" s="4776"/>
      <c r="BS13" s="4777"/>
      <c r="BT13" s="1063"/>
      <c r="BU13" s="1063"/>
      <c r="BV13" s="1063"/>
      <c r="BW13" s="1052"/>
      <c r="BX13" s="605"/>
      <c r="BY13" s="605"/>
      <c r="BZ13" s="1058"/>
      <c r="CA13" s="17"/>
      <c r="CB13" s="19"/>
      <c r="CC13" s="4850" t="s">
        <v>943</v>
      </c>
      <c r="CD13" s="4850"/>
      <c r="CE13" s="335">
        <f>$AN$170</f>
        <v>0</v>
      </c>
      <c r="CF13" s="335"/>
      <c r="CG13" s="822"/>
      <c r="CH13" s="822"/>
      <c r="CI13" s="822"/>
      <c r="CJ13" s="4845"/>
      <c r="CK13" s="4846"/>
      <c r="CL13" s="4846"/>
      <c r="CM13" s="4846"/>
      <c r="CN13" s="4846"/>
      <c r="CO13" s="4847"/>
      <c r="CP13" s="822"/>
      <c r="CQ13" s="822"/>
      <c r="CR13" s="822"/>
      <c r="CS13" s="822"/>
      <c r="CT13" s="4845"/>
      <c r="CU13" s="4846"/>
      <c r="CV13" s="4846"/>
      <c r="CW13" s="4846"/>
      <c r="CX13" s="4846"/>
      <c r="CY13" s="4847"/>
      <c r="CZ13" s="822"/>
      <c r="DA13" s="822"/>
      <c r="DB13" s="822"/>
      <c r="DC13" s="822"/>
      <c r="DD13" s="4845"/>
      <c r="DE13" s="4846"/>
      <c r="DF13" s="4846"/>
      <c r="DG13" s="4846"/>
      <c r="DH13" s="4846"/>
      <c r="DI13" s="4847"/>
      <c r="DJ13" s="822"/>
      <c r="DK13" s="822"/>
      <c r="DL13" s="822"/>
      <c r="DM13" s="822"/>
      <c r="DN13" s="822"/>
      <c r="DO13" s="822"/>
      <c r="DP13" s="822"/>
      <c r="DQ13" s="822"/>
      <c r="DR13" s="822"/>
      <c r="DS13" s="4845"/>
      <c r="DT13" s="4846"/>
      <c r="DU13" s="4846"/>
      <c r="DV13" s="4846"/>
      <c r="DW13" s="4846"/>
      <c r="DX13" s="4847"/>
      <c r="DY13" s="822"/>
      <c r="DZ13" s="822"/>
      <c r="EA13" s="822"/>
      <c r="EB13" s="822"/>
      <c r="EC13" s="4845"/>
      <c r="ED13" s="4846"/>
      <c r="EE13" s="4846"/>
      <c r="EF13" s="4846"/>
      <c r="EG13" s="4846"/>
      <c r="EH13" s="4847"/>
      <c r="EI13" s="822"/>
      <c r="EJ13" s="822"/>
      <c r="EK13" s="822"/>
      <c r="EL13" s="822"/>
      <c r="EM13" s="4845"/>
      <c r="EN13" s="4846"/>
      <c r="EO13" s="4846"/>
      <c r="EP13" s="4846"/>
      <c r="EQ13" s="4846"/>
      <c r="ER13" s="4847"/>
    </row>
    <row r="14" spans="1:148" ht="17.100000000000001" customHeight="1" thickBot="1" x14ac:dyDescent="0.25">
      <c r="A14" s="17"/>
      <c r="B14" s="1058"/>
      <c r="C14" s="1066"/>
      <c r="D14" s="1066"/>
      <c r="E14" s="1051"/>
      <c r="F14" s="1063"/>
      <c r="G14" s="1063"/>
      <c r="H14" s="1063"/>
      <c r="I14" s="4858"/>
      <c r="J14" s="4852"/>
      <c r="K14" s="4852"/>
      <c r="L14" s="4852"/>
      <c r="M14" s="4852"/>
      <c r="N14" s="4852"/>
      <c r="O14" s="4852"/>
      <c r="P14" s="4860"/>
      <c r="Q14" s="1063"/>
      <c r="R14" s="1063"/>
      <c r="S14" s="4767"/>
      <c r="T14" s="4852"/>
      <c r="U14" s="4852"/>
      <c r="V14" s="4852"/>
      <c r="W14" s="4852"/>
      <c r="X14" s="4852"/>
      <c r="Y14" s="4852"/>
      <c r="Z14" s="4778"/>
      <c r="AA14" s="1063"/>
      <c r="AB14" s="1063"/>
      <c r="AC14" s="4767"/>
      <c r="AD14" s="4852"/>
      <c r="AE14" s="4852"/>
      <c r="AF14" s="4852"/>
      <c r="AG14" s="4852"/>
      <c r="AH14" s="4852"/>
      <c r="AI14" s="4852"/>
      <c r="AJ14" s="4778"/>
      <c r="AK14" s="1063"/>
      <c r="AL14" s="1063"/>
      <c r="AM14" s="2539"/>
      <c r="AN14" s="2543" t="s">
        <v>144</v>
      </c>
      <c r="AO14" s="2540"/>
      <c r="AP14" s="1063"/>
      <c r="AQ14" s="1063"/>
      <c r="AR14" s="4767"/>
      <c r="AS14" s="4851"/>
      <c r="AT14" s="4851"/>
      <c r="AU14" s="4851"/>
      <c r="AV14" s="4851"/>
      <c r="AW14" s="4851"/>
      <c r="AX14" s="4851"/>
      <c r="AY14" s="4778"/>
      <c r="AZ14" s="1063"/>
      <c r="BA14" s="1063"/>
      <c r="BB14" s="4767"/>
      <c r="BC14" s="4851"/>
      <c r="BD14" s="4851"/>
      <c r="BE14" s="4851"/>
      <c r="BF14" s="4851"/>
      <c r="BG14" s="4851"/>
      <c r="BH14" s="4851"/>
      <c r="BI14" s="4778"/>
      <c r="BJ14" s="1063"/>
      <c r="BK14" s="1063"/>
      <c r="BL14" s="4767"/>
      <c r="BM14" s="4851"/>
      <c r="BN14" s="4851"/>
      <c r="BO14" s="4851"/>
      <c r="BP14" s="4851"/>
      <c r="BQ14" s="4851"/>
      <c r="BR14" s="4851"/>
      <c r="BS14" s="4778"/>
      <c r="BT14" s="1063"/>
      <c r="BU14" s="1063"/>
      <c r="BV14" s="1063"/>
      <c r="BW14" s="1052"/>
      <c r="BX14" s="605"/>
      <c r="BY14" s="605"/>
      <c r="BZ14" s="1058"/>
      <c r="CA14" s="17"/>
      <c r="CB14" s="19"/>
      <c r="CC14" s="4850" t="s">
        <v>944</v>
      </c>
      <c r="CD14" s="4850"/>
      <c r="CE14" s="335">
        <f>$AN$207</f>
        <v>0</v>
      </c>
      <c r="CF14" s="335"/>
      <c r="CG14" s="822"/>
      <c r="CH14" s="822"/>
      <c r="CI14" s="822"/>
      <c r="CJ14" s="822"/>
      <c r="CK14" s="822"/>
      <c r="CL14" s="822"/>
      <c r="CM14" s="822"/>
      <c r="CN14" s="822"/>
      <c r="CO14" s="822"/>
      <c r="CP14" s="822"/>
      <c r="CQ14" s="822"/>
      <c r="CR14" s="822"/>
      <c r="CS14" s="822"/>
      <c r="CT14" s="822"/>
      <c r="CU14" s="822"/>
      <c r="CV14" s="822"/>
      <c r="CW14" s="822"/>
      <c r="CX14" s="822"/>
      <c r="CY14" s="822"/>
      <c r="CZ14" s="822"/>
      <c r="DA14" s="822"/>
      <c r="DB14" s="822"/>
      <c r="DC14" s="822"/>
      <c r="DD14" s="822"/>
      <c r="DE14" s="822"/>
      <c r="DF14" s="822"/>
      <c r="DG14" s="822"/>
      <c r="DH14" s="822"/>
      <c r="DI14" s="822"/>
      <c r="DJ14" s="822"/>
      <c r="DK14" s="822"/>
      <c r="DL14" s="822"/>
      <c r="DM14" s="822"/>
      <c r="DN14" s="822"/>
      <c r="DO14" s="822"/>
      <c r="DP14" s="822"/>
      <c r="DQ14" s="822"/>
      <c r="DR14" s="822"/>
      <c r="DS14" s="822"/>
      <c r="DT14" s="822"/>
      <c r="DU14" s="822"/>
      <c r="DV14" s="822"/>
      <c r="DW14" s="822"/>
      <c r="DX14" s="822"/>
      <c r="DY14" s="822"/>
    </row>
    <row r="15" spans="1:148" ht="17.100000000000001" customHeight="1" thickTop="1" x14ac:dyDescent="0.2">
      <c r="A15" s="17"/>
      <c r="B15" s="1058"/>
      <c r="C15" s="17"/>
      <c r="D15" s="17"/>
      <c r="E15" s="1051"/>
      <c r="F15" s="1063"/>
      <c r="G15" s="1063"/>
      <c r="H15" s="1063"/>
      <c r="I15" s="1063"/>
      <c r="J15" s="1063"/>
      <c r="K15" s="1063"/>
      <c r="L15" s="1063"/>
      <c r="M15" s="1063"/>
      <c r="N15" s="1063"/>
      <c r="O15" s="1063"/>
      <c r="P15" s="1063"/>
      <c r="Q15" s="1063"/>
      <c r="R15" s="1063"/>
      <c r="S15" s="1063"/>
      <c r="T15" s="1063"/>
      <c r="U15" s="1063"/>
      <c r="V15" s="1063"/>
      <c r="W15" s="1063"/>
      <c r="X15" s="1063"/>
      <c r="Y15" s="1063"/>
      <c r="Z15" s="1063"/>
      <c r="AA15" s="1063"/>
      <c r="AB15" s="1063"/>
      <c r="AC15" s="1063"/>
      <c r="AD15" s="1063"/>
      <c r="AE15" s="1063"/>
      <c r="AF15" s="1063"/>
      <c r="AG15" s="1063"/>
      <c r="AH15" s="1063"/>
      <c r="AI15" s="1063"/>
      <c r="AJ15" s="1063"/>
      <c r="AK15" s="1063"/>
      <c r="AL15" s="1063"/>
      <c r="AM15" s="2539"/>
      <c r="AN15" s="2543" t="s">
        <v>939</v>
      </c>
      <c r="AO15" s="2540"/>
      <c r="AP15" s="1063"/>
      <c r="AQ15" s="1063"/>
      <c r="AR15" s="1063"/>
      <c r="AS15" s="1063"/>
      <c r="AT15" s="1063"/>
      <c r="AU15" s="1063"/>
      <c r="AV15" s="1063"/>
      <c r="AW15" s="1063"/>
      <c r="AX15" s="1063"/>
      <c r="AY15" s="1063"/>
      <c r="AZ15" s="1063"/>
      <c r="BA15" s="1063"/>
      <c r="BB15" s="1063"/>
      <c r="BC15" s="1063"/>
      <c r="BD15" s="1063"/>
      <c r="BE15" s="1063"/>
      <c r="BF15" s="1063"/>
      <c r="BG15" s="1063"/>
      <c r="BH15" s="1063"/>
      <c r="BI15" s="1063"/>
      <c r="BJ15" s="1063"/>
      <c r="BK15" s="1063"/>
      <c r="BL15" s="1063"/>
      <c r="BM15" s="1063"/>
      <c r="BN15" s="1063"/>
      <c r="BO15" s="1063"/>
      <c r="BP15" s="1063"/>
      <c r="BQ15" s="1063"/>
      <c r="BR15" s="1063"/>
      <c r="BS15" s="1063"/>
      <c r="BT15" s="1063"/>
      <c r="BU15" s="1063"/>
      <c r="BV15" s="1063"/>
      <c r="BW15" s="1052"/>
      <c r="BX15" s="605"/>
      <c r="BY15" s="605"/>
      <c r="BZ15" s="1058"/>
      <c r="CA15" s="17"/>
      <c r="CB15" s="19"/>
      <c r="CC15" s="4850" t="s">
        <v>945</v>
      </c>
      <c r="CD15" s="4850"/>
      <c r="CE15" s="335">
        <f>$AN$244</f>
        <v>0</v>
      </c>
      <c r="CF15" s="335"/>
      <c r="CG15" s="822"/>
      <c r="CH15" s="822"/>
      <c r="CI15" s="822"/>
      <c r="CJ15" s="822"/>
      <c r="CK15" s="822"/>
      <c r="CL15" s="822"/>
      <c r="CM15" s="822"/>
      <c r="CN15" s="822"/>
      <c r="CO15" s="822"/>
      <c r="CP15" s="822"/>
      <c r="CQ15" s="822"/>
      <c r="CR15" s="822"/>
      <c r="CS15" s="822"/>
      <c r="CT15" s="822"/>
      <c r="CU15" s="822"/>
      <c r="CV15" s="822"/>
      <c r="CW15" s="822"/>
      <c r="CX15" s="822"/>
      <c r="CY15" s="822"/>
      <c r="CZ15" s="822"/>
      <c r="DA15" s="822"/>
      <c r="DB15" s="822"/>
      <c r="DC15" s="822"/>
      <c r="DD15" s="822"/>
      <c r="DE15" s="822"/>
      <c r="DF15" s="822"/>
      <c r="DG15" s="822"/>
      <c r="DH15" s="822"/>
      <c r="DI15" s="822"/>
      <c r="DJ15" s="822"/>
      <c r="DK15" s="822"/>
      <c r="DL15" s="822"/>
      <c r="DM15" s="822"/>
      <c r="DN15" s="822"/>
      <c r="DO15" s="822"/>
      <c r="DP15" s="822"/>
      <c r="DQ15" s="822"/>
      <c r="DR15" s="822"/>
      <c r="DS15" s="822"/>
      <c r="DT15" s="822"/>
      <c r="DU15" s="822"/>
      <c r="DV15" s="822"/>
      <c r="DW15" s="822"/>
      <c r="DX15" s="822"/>
      <c r="DY15" s="822"/>
    </row>
    <row r="16" spans="1:148" ht="17.100000000000001" customHeight="1" thickBot="1" x14ac:dyDescent="0.4">
      <c r="A16" s="17"/>
      <c r="B16" s="1058"/>
      <c r="C16" s="1062"/>
      <c r="D16" s="1062"/>
      <c r="E16" s="1051"/>
      <c r="F16" s="1063"/>
      <c r="G16" s="1063"/>
      <c r="H16" s="1063"/>
      <c r="I16" s="1063"/>
      <c r="J16" s="1063"/>
      <c r="K16" s="1063"/>
      <c r="L16" s="1063"/>
      <c r="M16" s="1063"/>
      <c r="N16" s="1063"/>
      <c r="O16" s="1063"/>
      <c r="P16" s="1063"/>
      <c r="Q16" s="1063"/>
      <c r="R16" s="1063"/>
      <c r="S16" s="1063"/>
      <c r="T16" s="1063"/>
      <c r="U16" s="1063"/>
      <c r="V16" s="1063"/>
      <c r="W16" s="1063"/>
      <c r="X16" s="1063"/>
      <c r="Y16" s="1063"/>
      <c r="Z16" s="1063"/>
      <c r="AA16" s="1063"/>
      <c r="AB16" s="1063"/>
      <c r="AC16" s="1063"/>
      <c r="AD16" s="1063"/>
      <c r="AE16" s="1063"/>
      <c r="AF16" s="1063"/>
      <c r="AG16" s="1063"/>
      <c r="AH16" s="1063"/>
      <c r="AI16" s="1063"/>
      <c r="AJ16" s="1063"/>
      <c r="AK16" s="1063"/>
      <c r="AL16" s="1063"/>
      <c r="AM16" s="2539"/>
      <c r="AN16" s="2544" t="s">
        <v>942</v>
      </c>
      <c r="AO16" s="2540"/>
      <c r="AP16" s="1063"/>
      <c r="AQ16" s="1063"/>
      <c r="AR16" s="1063"/>
      <c r="AS16" s="1063"/>
      <c r="AT16" s="1063"/>
      <c r="AU16" s="1063"/>
      <c r="AV16" s="1063"/>
      <c r="AW16" s="1063"/>
      <c r="AX16" s="1063"/>
      <c r="AY16" s="1063"/>
      <c r="AZ16" s="1063"/>
      <c r="BA16" s="1063"/>
      <c r="BB16" s="1063"/>
      <c r="BC16" s="1063"/>
      <c r="BD16" s="1063"/>
      <c r="BE16" s="1063"/>
      <c r="BF16" s="1063"/>
      <c r="BG16" s="1063"/>
      <c r="BH16" s="1063"/>
      <c r="BI16" s="1063"/>
      <c r="BJ16" s="1063"/>
      <c r="BK16" s="1063"/>
      <c r="BL16" s="1063"/>
      <c r="BM16" s="1063"/>
      <c r="BN16" s="1063"/>
      <c r="BO16" s="1063"/>
      <c r="BP16" s="1063"/>
      <c r="BQ16" s="1063"/>
      <c r="BR16" s="1063"/>
      <c r="BS16" s="1063"/>
      <c r="BT16" s="1063"/>
      <c r="BU16" s="1063"/>
      <c r="BV16" s="1063"/>
      <c r="BW16" s="1052"/>
      <c r="BX16" s="605"/>
      <c r="BY16" s="605"/>
      <c r="BZ16" s="1058"/>
      <c r="CA16" s="17"/>
      <c r="CB16" s="19"/>
      <c r="CC16" s="4850" t="s">
        <v>946</v>
      </c>
      <c r="CD16" s="4850"/>
      <c r="CE16" s="335">
        <f>$AN$281</f>
        <v>0</v>
      </c>
      <c r="CF16" s="335"/>
      <c r="CG16" s="822"/>
      <c r="CH16" s="822"/>
      <c r="CI16" s="822"/>
      <c r="CJ16" s="822"/>
      <c r="CK16" s="822"/>
      <c r="CL16" s="822"/>
      <c r="CM16" s="822"/>
      <c r="CN16" s="822"/>
      <c r="CO16" s="822"/>
      <c r="CP16" s="822"/>
      <c r="CQ16" s="822"/>
      <c r="CR16" s="822"/>
      <c r="CS16" s="822"/>
      <c r="CT16" s="822"/>
      <c r="CU16" s="822"/>
      <c r="CV16" s="822"/>
      <c r="CW16" s="822"/>
      <c r="CX16" s="822"/>
      <c r="CY16" s="822"/>
      <c r="CZ16" s="822"/>
      <c r="DA16" s="822"/>
      <c r="DB16" s="822"/>
      <c r="DC16" s="822"/>
      <c r="DD16" s="822"/>
      <c r="DE16" s="822"/>
      <c r="DF16" s="822"/>
      <c r="DG16" s="822"/>
      <c r="DH16" s="822"/>
      <c r="DI16" s="822"/>
      <c r="DJ16" s="822"/>
      <c r="DK16" s="822"/>
      <c r="DL16" s="822"/>
      <c r="DM16" s="822"/>
      <c r="DN16" s="822"/>
    </row>
    <row r="17" spans="1:148" ht="17.100000000000001" customHeight="1" thickTop="1" x14ac:dyDescent="0.35">
      <c r="A17" s="17"/>
      <c r="B17" s="1058"/>
      <c r="C17" s="1062"/>
      <c r="D17" s="1062"/>
      <c r="E17" s="1051"/>
      <c r="F17" s="1063"/>
      <c r="G17" s="1063"/>
      <c r="H17" s="1063"/>
      <c r="I17" s="4756" t="s">
        <v>72</v>
      </c>
      <c r="J17" s="4757"/>
      <c r="K17" s="4757"/>
      <c r="L17" s="4787" t="s">
        <v>941</v>
      </c>
      <c r="M17" s="4787"/>
      <c r="N17" s="4757" t="s">
        <v>72</v>
      </c>
      <c r="O17" s="4757"/>
      <c r="P17" s="4762"/>
      <c r="Q17" s="1063"/>
      <c r="R17" s="1063"/>
      <c r="S17" s="4756" t="s">
        <v>72</v>
      </c>
      <c r="T17" s="4757"/>
      <c r="U17" s="4757"/>
      <c r="V17" s="4783" t="s">
        <v>941</v>
      </c>
      <c r="W17" s="4783"/>
      <c r="X17" s="4757" t="s">
        <v>72</v>
      </c>
      <c r="Y17" s="4757"/>
      <c r="Z17" s="4762"/>
      <c r="AA17" s="1063"/>
      <c r="AB17" s="1063"/>
      <c r="AC17" s="4756" t="s">
        <v>72</v>
      </c>
      <c r="AD17" s="4757"/>
      <c r="AE17" s="4757"/>
      <c r="AF17" s="4785" t="s">
        <v>941</v>
      </c>
      <c r="AG17" s="4785"/>
      <c r="AH17" s="4757" t="s">
        <v>72</v>
      </c>
      <c r="AI17" s="4757"/>
      <c r="AJ17" s="4762"/>
      <c r="AK17" s="1063"/>
      <c r="AL17" s="1063"/>
      <c r="AM17" s="2539"/>
      <c r="AN17" s="2543" t="s">
        <v>940</v>
      </c>
      <c r="AO17" s="2540"/>
      <c r="AP17" s="1063"/>
      <c r="AQ17" s="1063"/>
      <c r="AR17" s="4756" t="s">
        <v>72</v>
      </c>
      <c r="AS17" s="4757"/>
      <c r="AT17" s="4757"/>
      <c r="AU17" s="4785" t="s">
        <v>942</v>
      </c>
      <c r="AV17" s="4803"/>
      <c r="AW17" s="4757" t="s">
        <v>72</v>
      </c>
      <c r="AX17" s="4757"/>
      <c r="AY17" s="4762"/>
      <c r="AZ17" s="1063"/>
      <c r="BA17" s="1063"/>
      <c r="BB17" s="4756" t="s">
        <v>72</v>
      </c>
      <c r="BC17" s="4757"/>
      <c r="BD17" s="4757"/>
      <c r="BE17" s="4783" t="s">
        <v>942</v>
      </c>
      <c r="BF17" s="4799"/>
      <c r="BG17" s="4757" t="s">
        <v>72</v>
      </c>
      <c r="BH17" s="4757"/>
      <c r="BI17" s="4762"/>
      <c r="BJ17" s="1063"/>
      <c r="BK17" s="1063"/>
      <c r="BL17" s="4756" t="s">
        <v>72</v>
      </c>
      <c r="BM17" s="4757"/>
      <c r="BN17" s="4757"/>
      <c r="BO17" s="4787" t="s">
        <v>942</v>
      </c>
      <c r="BP17" s="4801"/>
      <c r="BQ17" s="4757" t="s">
        <v>72</v>
      </c>
      <c r="BR17" s="4757"/>
      <c r="BS17" s="4762"/>
      <c r="BT17" s="1063"/>
      <c r="BU17" s="1063"/>
      <c r="BV17" s="1063"/>
      <c r="BW17" s="1052"/>
      <c r="BX17" s="605"/>
      <c r="BY17" s="605"/>
      <c r="BZ17" s="1058"/>
      <c r="CA17" s="17"/>
      <c r="CB17" s="19"/>
      <c r="CC17" s="4850" t="s">
        <v>947</v>
      </c>
      <c r="CD17" s="4850"/>
      <c r="CE17" s="335">
        <f>$AN$318</f>
        <v>0</v>
      </c>
      <c r="CF17" s="335"/>
      <c r="CG17" s="822"/>
      <c r="CH17" s="822"/>
      <c r="CI17" s="822"/>
      <c r="CJ17" s="822"/>
      <c r="CK17" s="822"/>
      <c r="CL17" s="822"/>
      <c r="CM17" s="822"/>
      <c r="CN17" s="822"/>
      <c r="CO17" s="822"/>
      <c r="CP17" s="822"/>
      <c r="CQ17" s="822"/>
      <c r="CR17" s="822"/>
      <c r="CS17" s="822"/>
      <c r="CT17" s="822"/>
      <c r="CU17" s="822"/>
      <c r="CV17" s="822"/>
      <c r="CW17" s="822"/>
      <c r="CX17" s="822"/>
      <c r="CY17" s="822"/>
      <c r="CZ17" s="822"/>
      <c r="DA17" s="822"/>
      <c r="DB17" s="822"/>
      <c r="DC17" s="822"/>
      <c r="DD17" s="822"/>
      <c r="DE17" s="822"/>
      <c r="DF17" s="822"/>
      <c r="DG17" s="822"/>
      <c r="DH17" s="822"/>
      <c r="DI17" s="822"/>
      <c r="DJ17" s="822"/>
      <c r="DK17" s="822"/>
      <c r="DL17" s="822"/>
      <c r="DM17" s="822"/>
      <c r="DN17" s="822"/>
      <c r="DO17" s="822"/>
      <c r="DP17" s="822"/>
      <c r="DQ17" s="822"/>
      <c r="DR17" s="822"/>
      <c r="DS17" s="822"/>
      <c r="DT17" s="822"/>
      <c r="DU17" s="822"/>
      <c r="DV17" s="822"/>
      <c r="DW17" s="822"/>
      <c r="DX17" s="822"/>
      <c r="DY17" s="822"/>
      <c r="DZ17" s="822"/>
    </row>
    <row r="18" spans="1:148" ht="17.100000000000001" customHeight="1" x14ac:dyDescent="0.2">
      <c r="A18" s="17"/>
      <c r="B18" s="1058"/>
      <c r="C18" s="17"/>
      <c r="D18" s="17"/>
      <c r="E18" s="1051"/>
      <c r="F18" s="1063"/>
      <c r="G18" s="1063"/>
      <c r="H18" s="1063"/>
      <c r="I18" s="4758"/>
      <c r="J18" s="4759"/>
      <c r="K18" s="4759"/>
      <c r="L18" s="4788"/>
      <c r="M18" s="4788"/>
      <c r="N18" s="4759"/>
      <c r="O18" s="4759"/>
      <c r="P18" s="4763"/>
      <c r="Q18" s="1063"/>
      <c r="R18" s="1063"/>
      <c r="S18" s="4758"/>
      <c r="T18" s="4759"/>
      <c r="U18" s="4759"/>
      <c r="V18" s="4784"/>
      <c r="W18" s="4784"/>
      <c r="X18" s="4759"/>
      <c r="Y18" s="4759"/>
      <c r="Z18" s="4763"/>
      <c r="AA18" s="1063"/>
      <c r="AB18" s="1063"/>
      <c r="AC18" s="4758"/>
      <c r="AD18" s="4759"/>
      <c r="AE18" s="4759"/>
      <c r="AF18" s="4786"/>
      <c r="AG18" s="4786"/>
      <c r="AH18" s="4759"/>
      <c r="AI18" s="4759"/>
      <c r="AJ18" s="4763"/>
      <c r="AK18" s="1063"/>
      <c r="AL18" s="1063"/>
      <c r="AM18" s="2539"/>
      <c r="AN18" s="2543" t="s">
        <v>710</v>
      </c>
      <c r="AO18" s="2540"/>
      <c r="AP18" s="1063"/>
      <c r="AQ18" s="1063"/>
      <c r="AR18" s="4758"/>
      <c r="AS18" s="4759"/>
      <c r="AT18" s="4759"/>
      <c r="AU18" s="4804"/>
      <c r="AV18" s="4804"/>
      <c r="AW18" s="4759"/>
      <c r="AX18" s="4759"/>
      <c r="AY18" s="4763"/>
      <c r="AZ18" s="1063"/>
      <c r="BA18" s="1063"/>
      <c r="BB18" s="4758"/>
      <c r="BC18" s="4759"/>
      <c r="BD18" s="4759"/>
      <c r="BE18" s="4800"/>
      <c r="BF18" s="4800"/>
      <c r="BG18" s="4759"/>
      <c r="BH18" s="4759"/>
      <c r="BI18" s="4763"/>
      <c r="BJ18" s="1063"/>
      <c r="BK18" s="1063"/>
      <c r="BL18" s="4758"/>
      <c r="BM18" s="4759"/>
      <c r="BN18" s="4759"/>
      <c r="BO18" s="4802"/>
      <c r="BP18" s="4802"/>
      <c r="BQ18" s="4759"/>
      <c r="BR18" s="4759"/>
      <c r="BS18" s="4763"/>
      <c r="BT18" s="1063"/>
      <c r="BU18" s="1063"/>
      <c r="BV18" s="1063"/>
      <c r="BW18" s="1052"/>
      <c r="BX18" s="605"/>
      <c r="BY18" s="605"/>
      <c r="BZ18" s="1058"/>
      <c r="CA18" s="17"/>
      <c r="CB18" s="19"/>
      <c r="CC18" s="4850" t="s">
        <v>948</v>
      </c>
      <c r="CD18" s="4850"/>
      <c r="CE18" s="335">
        <f>$AN$355</f>
        <v>0</v>
      </c>
      <c r="CF18" s="335"/>
      <c r="CG18" s="822"/>
      <c r="CH18" s="822"/>
      <c r="CI18" s="822"/>
      <c r="CJ18" s="822"/>
      <c r="CK18" s="822"/>
      <c r="CL18" s="822"/>
      <c r="CM18" s="822"/>
      <c r="CN18" s="822"/>
      <c r="CO18" s="822"/>
      <c r="CP18" s="822"/>
      <c r="CQ18" s="822"/>
      <c r="CR18" s="822"/>
      <c r="CS18" s="822"/>
      <c r="CT18" s="822"/>
      <c r="CU18" s="822"/>
      <c r="CV18" s="822"/>
      <c r="CW18" s="822"/>
      <c r="CX18" s="822"/>
      <c r="CY18" s="822"/>
      <c r="CZ18" s="822"/>
      <c r="DA18" s="822"/>
      <c r="DB18" s="822"/>
      <c r="DC18" s="822"/>
      <c r="DD18" s="822"/>
      <c r="DE18" s="822"/>
      <c r="DF18" s="822"/>
      <c r="DG18" s="822"/>
      <c r="DH18" s="822"/>
      <c r="DI18" s="822"/>
      <c r="DJ18" s="822"/>
      <c r="DK18" s="822"/>
      <c r="DL18" s="822"/>
      <c r="DM18" s="822"/>
      <c r="DN18" s="822"/>
      <c r="DO18" s="822"/>
      <c r="DP18" s="822"/>
      <c r="DQ18" s="822"/>
      <c r="DR18" s="822"/>
      <c r="DS18" s="822"/>
      <c r="DT18" s="822"/>
      <c r="DU18" s="822"/>
      <c r="DV18" s="822"/>
      <c r="DW18" s="822"/>
      <c r="DX18" s="822"/>
      <c r="DY18" s="822"/>
      <c r="DZ18" s="822"/>
    </row>
    <row r="19" spans="1:148" ht="17.100000000000001" customHeight="1" x14ac:dyDescent="0.2">
      <c r="A19" s="17"/>
      <c r="B19" s="1058"/>
      <c r="C19" s="1067"/>
      <c r="D19" s="1067"/>
      <c r="E19" s="1051"/>
      <c r="F19" s="1063"/>
      <c r="G19" s="1063"/>
      <c r="H19" s="1063"/>
      <c r="I19" s="4766"/>
      <c r="J19" s="4768"/>
      <c r="K19" s="4769"/>
      <c r="L19" s="4769"/>
      <c r="M19" s="4769"/>
      <c r="N19" s="4769"/>
      <c r="O19" s="4770"/>
      <c r="P19" s="4777"/>
      <c r="Q19" s="1063"/>
      <c r="R19" s="1063"/>
      <c r="S19" s="4766"/>
      <c r="T19" s="4768"/>
      <c r="U19" s="4769"/>
      <c r="V19" s="4769"/>
      <c r="W19" s="4769"/>
      <c r="X19" s="4769"/>
      <c r="Y19" s="4770"/>
      <c r="Z19" s="4777"/>
      <c r="AA19" s="1063"/>
      <c r="AB19" s="1063"/>
      <c r="AC19" s="4766"/>
      <c r="AD19" s="4768"/>
      <c r="AE19" s="4769"/>
      <c r="AF19" s="4769"/>
      <c r="AG19" s="4769"/>
      <c r="AH19" s="4769"/>
      <c r="AI19" s="4770"/>
      <c r="AJ19" s="4777"/>
      <c r="AK19" s="1063"/>
      <c r="AL19" s="1063"/>
      <c r="AM19" s="2539"/>
      <c r="AN19" s="2544" t="s">
        <v>941</v>
      </c>
      <c r="AO19" s="2540"/>
      <c r="AP19" s="1063"/>
      <c r="AQ19" s="1063"/>
      <c r="AR19" s="4766"/>
      <c r="AS19" s="4768"/>
      <c r="AT19" s="4769"/>
      <c r="AU19" s="4769"/>
      <c r="AV19" s="4769"/>
      <c r="AW19" s="4769"/>
      <c r="AX19" s="4770"/>
      <c r="AY19" s="4777"/>
      <c r="AZ19" s="1063"/>
      <c r="BA19" s="1063"/>
      <c r="BB19" s="4766"/>
      <c r="BC19" s="4768"/>
      <c r="BD19" s="4769"/>
      <c r="BE19" s="4769"/>
      <c r="BF19" s="4769"/>
      <c r="BG19" s="4769"/>
      <c r="BH19" s="4770"/>
      <c r="BI19" s="4777"/>
      <c r="BJ19" s="1063"/>
      <c r="BK19" s="1063"/>
      <c r="BL19" s="4766"/>
      <c r="BM19" s="4768"/>
      <c r="BN19" s="4769"/>
      <c r="BO19" s="4769"/>
      <c r="BP19" s="4769"/>
      <c r="BQ19" s="4769"/>
      <c r="BR19" s="4770"/>
      <c r="BS19" s="4777"/>
      <c r="BT19" s="1063"/>
      <c r="BU19" s="1063"/>
      <c r="BV19" s="1063"/>
      <c r="BW19" s="1052"/>
      <c r="BX19" s="605"/>
      <c r="BY19" s="605"/>
      <c r="BZ19" s="1058"/>
      <c r="CA19" s="17"/>
      <c r="CB19" s="19"/>
      <c r="CC19" s="4850" t="s">
        <v>951</v>
      </c>
      <c r="CD19" s="4850"/>
      <c r="CE19" s="335">
        <f>$AN$392</f>
        <v>0</v>
      </c>
      <c r="CF19" s="335"/>
      <c r="CI19" s="822"/>
      <c r="CJ19" s="4840">
        <f>COUNTIF($CJ$114:$ER$428,J19)</f>
        <v>0</v>
      </c>
      <c r="CK19" s="4841"/>
      <c r="CL19" s="4841"/>
      <c r="CM19" s="4841"/>
      <c r="CN19" s="4841"/>
      <c r="CO19" s="4842"/>
      <c r="CP19" s="822"/>
      <c r="CQ19" s="822"/>
      <c r="CR19" s="822"/>
      <c r="CS19" s="822"/>
      <c r="CT19" s="4840">
        <f>COUNTIF($CJ$114:$ER$428,T19)</f>
        <v>0</v>
      </c>
      <c r="CU19" s="4841"/>
      <c r="CV19" s="4841"/>
      <c r="CW19" s="4841"/>
      <c r="CX19" s="4841"/>
      <c r="CY19" s="4842"/>
      <c r="CZ19" s="822"/>
      <c r="DA19" s="822"/>
      <c r="DB19" s="822"/>
      <c r="DC19" s="822"/>
      <c r="DD19" s="4840">
        <f>COUNTIF($CJ$114:$ER$428,AD19)</f>
        <v>0</v>
      </c>
      <c r="DE19" s="4841"/>
      <c r="DF19" s="4841"/>
      <c r="DG19" s="4841"/>
      <c r="DH19" s="4841"/>
      <c r="DI19" s="4842"/>
      <c r="DJ19" s="822"/>
      <c r="DK19" s="822"/>
      <c r="DL19" s="822"/>
      <c r="DM19" s="822"/>
      <c r="DN19" s="822"/>
      <c r="DO19" s="822"/>
      <c r="DP19" s="822"/>
      <c r="DQ19" s="822"/>
      <c r="DR19" s="822"/>
      <c r="DS19" s="4840">
        <f>COUNTIF($CJ$114:$ER$428,AS19)</f>
        <v>0</v>
      </c>
      <c r="DT19" s="4841"/>
      <c r="DU19" s="4841"/>
      <c r="DV19" s="4841"/>
      <c r="DW19" s="4841"/>
      <c r="DX19" s="4842"/>
      <c r="DY19" s="822"/>
      <c r="DZ19" s="822"/>
      <c r="EA19" s="822"/>
      <c r="EB19" s="822"/>
      <c r="EC19" s="4840">
        <f>COUNTIF($CJ$114:$ER$428,BC19)</f>
        <v>0</v>
      </c>
      <c r="ED19" s="4841"/>
      <c r="EE19" s="4841"/>
      <c r="EF19" s="4841"/>
      <c r="EG19" s="4841"/>
      <c r="EH19" s="4842"/>
      <c r="EI19" s="822"/>
      <c r="EJ19" s="822"/>
      <c r="EK19" s="822"/>
      <c r="EL19" s="822"/>
      <c r="EM19" s="4840">
        <f>COUNTIF($CJ$114:$ER$428,BM19)</f>
        <v>0</v>
      </c>
      <c r="EN19" s="4841"/>
      <c r="EO19" s="4841"/>
      <c r="EP19" s="4841"/>
      <c r="EQ19" s="4841"/>
      <c r="ER19" s="4842"/>
    </row>
    <row r="20" spans="1:148" ht="17.100000000000001" customHeight="1" x14ac:dyDescent="0.2">
      <c r="A20" s="17"/>
      <c r="B20" s="1058"/>
      <c r="C20" s="17"/>
      <c r="D20" s="17"/>
      <c r="E20" s="1051"/>
      <c r="F20" s="1063"/>
      <c r="G20" s="1063"/>
      <c r="H20" s="1063"/>
      <c r="I20" s="4766"/>
      <c r="J20" s="4771"/>
      <c r="K20" s="4772"/>
      <c r="L20" s="4772"/>
      <c r="M20" s="4772"/>
      <c r="N20" s="4772"/>
      <c r="O20" s="4773"/>
      <c r="P20" s="4777"/>
      <c r="Q20" s="1063"/>
      <c r="R20" s="1063"/>
      <c r="S20" s="4766"/>
      <c r="T20" s="4771"/>
      <c r="U20" s="4772"/>
      <c r="V20" s="4772"/>
      <c r="W20" s="4772"/>
      <c r="X20" s="4772"/>
      <c r="Y20" s="4773"/>
      <c r="Z20" s="4777"/>
      <c r="AA20" s="1063"/>
      <c r="AB20" s="1063"/>
      <c r="AC20" s="4766"/>
      <c r="AD20" s="4771"/>
      <c r="AE20" s="4772"/>
      <c r="AF20" s="4772"/>
      <c r="AG20" s="4772"/>
      <c r="AH20" s="4772"/>
      <c r="AI20" s="4773"/>
      <c r="AJ20" s="4777"/>
      <c r="AK20" s="1063"/>
      <c r="AL20" s="1063"/>
      <c r="AM20" s="2539"/>
      <c r="AN20" s="2543" t="s">
        <v>144</v>
      </c>
      <c r="AO20" s="2540"/>
      <c r="AP20" s="1063"/>
      <c r="AQ20" s="1063"/>
      <c r="AR20" s="4766"/>
      <c r="AS20" s="4771"/>
      <c r="AT20" s="4772"/>
      <c r="AU20" s="4772"/>
      <c r="AV20" s="4772"/>
      <c r="AW20" s="4772"/>
      <c r="AX20" s="4773"/>
      <c r="AY20" s="4777"/>
      <c r="AZ20" s="1063"/>
      <c r="BA20" s="1063"/>
      <c r="BB20" s="4766"/>
      <c r="BC20" s="4771"/>
      <c r="BD20" s="4772"/>
      <c r="BE20" s="4772"/>
      <c r="BF20" s="4772"/>
      <c r="BG20" s="4772"/>
      <c r="BH20" s="4773"/>
      <c r="BI20" s="4777"/>
      <c r="BJ20" s="1063"/>
      <c r="BK20" s="1063"/>
      <c r="BL20" s="4766"/>
      <c r="BM20" s="4771"/>
      <c r="BN20" s="4772"/>
      <c r="BO20" s="4772"/>
      <c r="BP20" s="4772"/>
      <c r="BQ20" s="4772"/>
      <c r="BR20" s="4773"/>
      <c r="BS20" s="4777"/>
      <c r="BT20" s="1063"/>
      <c r="BU20" s="1063"/>
      <c r="BV20" s="1063"/>
      <c r="BW20" s="1052"/>
      <c r="BX20" s="605"/>
      <c r="BY20" s="605"/>
      <c r="BZ20" s="1058"/>
      <c r="CA20" s="17"/>
      <c r="CB20" s="19"/>
      <c r="CC20" s="4850" t="s">
        <v>950</v>
      </c>
      <c r="CD20" s="4850"/>
      <c r="CE20" s="335">
        <f>$AN$429</f>
        <v>0</v>
      </c>
      <c r="CF20" s="335"/>
      <c r="CG20" s="822"/>
      <c r="CH20" s="822"/>
      <c r="CI20" s="822"/>
      <c r="CJ20" s="4843"/>
      <c r="CK20" s="3501"/>
      <c r="CL20" s="3501"/>
      <c r="CM20" s="3501"/>
      <c r="CN20" s="3501"/>
      <c r="CO20" s="4844"/>
      <c r="CP20" s="822"/>
      <c r="CQ20" s="822"/>
      <c r="CR20" s="822"/>
      <c r="CS20" s="822"/>
      <c r="CT20" s="4843"/>
      <c r="CU20" s="3501"/>
      <c r="CV20" s="3501"/>
      <c r="CW20" s="3501"/>
      <c r="CX20" s="3501"/>
      <c r="CY20" s="4844"/>
      <c r="CZ20" s="822"/>
      <c r="DA20" s="822"/>
      <c r="DB20" s="822"/>
      <c r="DC20" s="822"/>
      <c r="DD20" s="4843"/>
      <c r="DE20" s="3501"/>
      <c r="DF20" s="3501"/>
      <c r="DG20" s="3501"/>
      <c r="DH20" s="3501"/>
      <c r="DI20" s="4844"/>
      <c r="DJ20" s="822"/>
      <c r="DK20" s="822"/>
      <c r="DL20" s="822"/>
      <c r="DM20" s="822"/>
      <c r="DN20" s="822"/>
      <c r="DO20" s="822"/>
      <c r="DP20" s="822"/>
      <c r="DQ20" s="822"/>
      <c r="DR20" s="822"/>
      <c r="DS20" s="4843"/>
      <c r="DT20" s="3501"/>
      <c r="DU20" s="3501"/>
      <c r="DV20" s="3501"/>
      <c r="DW20" s="3501"/>
      <c r="DX20" s="4844"/>
      <c r="DY20" s="822"/>
      <c r="DZ20" s="822"/>
      <c r="EA20" s="822"/>
      <c r="EB20" s="822"/>
      <c r="EC20" s="4843"/>
      <c r="ED20" s="3501"/>
      <c r="EE20" s="3501"/>
      <c r="EF20" s="3501"/>
      <c r="EG20" s="3501"/>
      <c r="EH20" s="4844"/>
      <c r="EI20" s="822"/>
      <c r="EJ20" s="822"/>
      <c r="EK20" s="822"/>
      <c r="EL20" s="822"/>
      <c r="EM20" s="4843"/>
      <c r="EN20" s="3501"/>
      <c r="EO20" s="3501"/>
      <c r="EP20" s="3501"/>
      <c r="EQ20" s="3501"/>
      <c r="ER20" s="4844"/>
    </row>
    <row r="21" spans="1:148" ht="17.100000000000001" customHeight="1" x14ac:dyDescent="0.2">
      <c r="A21" s="17"/>
      <c r="B21" s="1058"/>
      <c r="C21" s="1068"/>
      <c r="D21" s="1068"/>
      <c r="E21" s="1051"/>
      <c r="F21" s="1063"/>
      <c r="G21" s="1063"/>
      <c r="H21" s="1063"/>
      <c r="I21" s="4766"/>
      <c r="J21" s="4774"/>
      <c r="K21" s="4775"/>
      <c r="L21" s="4775"/>
      <c r="M21" s="4775"/>
      <c r="N21" s="4775"/>
      <c r="O21" s="4776"/>
      <c r="P21" s="4777"/>
      <c r="Q21" s="1063"/>
      <c r="R21" s="1063"/>
      <c r="S21" s="4766"/>
      <c r="T21" s="4774"/>
      <c r="U21" s="4775"/>
      <c r="V21" s="4775"/>
      <c r="W21" s="4775"/>
      <c r="X21" s="4775"/>
      <c r="Y21" s="4776"/>
      <c r="Z21" s="4777"/>
      <c r="AA21" s="1063"/>
      <c r="AB21" s="1063"/>
      <c r="AC21" s="4766"/>
      <c r="AD21" s="4774"/>
      <c r="AE21" s="4775"/>
      <c r="AF21" s="4775"/>
      <c r="AG21" s="4775"/>
      <c r="AH21" s="4775"/>
      <c r="AI21" s="4776"/>
      <c r="AJ21" s="4777"/>
      <c r="AK21" s="1063"/>
      <c r="AL21" s="1063"/>
      <c r="AM21" s="2539"/>
      <c r="AN21" s="2543" t="s">
        <v>939</v>
      </c>
      <c r="AO21" s="2540"/>
      <c r="AP21" s="1063"/>
      <c r="AQ21" s="1063"/>
      <c r="AR21" s="4766"/>
      <c r="AS21" s="4774"/>
      <c r="AT21" s="4775"/>
      <c r="AU21" s="4775"/>
      <c r="AV21" s="4775"/>
      <c r="AW21" s="4775"/>
      <c r="AX21" s="4776"/>
      <c r="AY21" s="4777"/>
      <c r="AZ21" s="1063"/>
      <c r="BA21" s="1063"/>
      <c r="BB21" s="4766"/>
      <c r="BC21" s="4774"/>
      <c r="BD21" s="4775"/>
      <c r="BE21" s="4775"/>
      <c r="BF21" s="4775"/>
      <c r="BG21" s="4775"/>
      <c r="BH21" s="4776"/>
      <c r="BI21" s="4777"/>
      <c r="BJ21" s="1063"/>
      <c r="BK21" s="1063"/>
      <c r="BL21" s="4766"/>
      <c r="BM21" s="4774"/>
      <c r="BN21" s="4775"/>
      <c r="BO21" s="4775"/>
      <c r="BP21" s="4775"/>
      <c r="BQ21" s="4775"/>
      <c r="BR21" s="4776"/>
      <c r="BS21" s="4777"/>
      <c r="BT21" s="1063"/>
      <c r="BU21" s="1063"/>
      <c r="BV21" s="1063"/>
      <c r="BW21" s="1052"/>
      <c r="BX21" s="605"/>
      <c r="BY21" s="605"/>
      <c r="BZ21" s="1058"/>
      <c r="CA21" s="17"/>
      <c r="CB21" s="19"/>
      <c r="CC21" s="424"/>
      <c r="CD21" s="424"/>
      <c r="CE21" s="335"/>
      <c r="CF21" s="335"/>
      <c r="CG21" s="822"/>
      <c r="CH21" s="822"/>
      <c r="CI21" s="822"/>
      <c r="CJ21" s="4845"/>
      <c r="CK21" s="4846"/>
      <c r="CL21" s="4846"/>
      <c r="CM21" s="4846"/>
      <c r="CN21" s="4846"/>
      <c r="CO21" s="4847"/>
      <c r="CP21" s="822"/>
      <c r="CQ21" s="822"/>
      <c r="CR21" s="822"/>
      <c r="CS21" s="822"/>
      <c r="CT21" s="4845"/>
      <c r="CU21" s="4846"/>
      <c r="CV21" s="4846"/>
      <c r="CW21" s="4846"/>
      <c r="CX21" s="4846"/>
      <c r="CY21" s="4847"/>
      <c r="CZ21" s="822"/>
      <c r="DA21" s="822"/>
      <c r="DB21" s="822"/>
      <c r="DC21" s="822"/>
      <c r="DD21" s="4845"/>
      <c r="DE21" s="4846"/>
      <c r="DF21" s="4846"/>
      <c r="DG21" s="4846"/>
      <c r="DH21" s="4846"/>
      <c r="DI21" s="4847"/>
      <c r="DJ21" s="822"/>
      <c r="DK21" s="822"/>
      <c r="DL21" s="822"/>
      <c r="DM21" s="822"/>
      <c r="DN21" s="822"/>
      <c r="DO21" s="822"/>
      <c r="DP21" s="822"/>
      <c r="DQ21" s="822"/>
      <c r="DR21" s="822"/>
      <c r="DS21" s="4845"/>
      <c r="DT21" s="4846"/>
      <c r="DU21" s="4846"/>
      <c r="DV21" s="4846"/>
      <c r="DW21" s="4846"/>
      <c r="DX21" s="4847"/>
      <c r="DY21" s="822"/>
      <c r="DZ21" s="822"/>
      <c r="EA21" s="822"/>
      <c r="EB21" s="822"/>
      <c r="EC21" s="4845"/>
      <c r="ED21" s="4846"/>
      <c r="EE21" s="4846"/>
      <c r="EF21" s="4846"/>
      <c r="EG21" s="4846"/>
      <c r="EH21" s="4847"/>
      <c r="EI21" s="822"/>
      <c r="EJ21" s="822"/>
      <c r="EK21" s="822"/>
      <c r="EL21" s="822"/>
      <c r="EM21" s="4845"/>
      <c r="EN21" s="4846"/>
      <c r="EO21" s="4846"/>
      <c r="EP21" s="4846"/>
      <c r="EQ21" s="4846"/>
      <c r="ER21" s="4847"/>
    </row>
    <row r="22" spans="1:148" ht="17.100000000000001" customHeight="1" thickBot="1" x14ac:dyDescent="0.25">
      <c r="A22" s="17"/>
      <c r="B22" s="1058"/>
      <c r="C22" s="17"/>
      <c r="D22" s="17"/>
      <c r="E22" s="1051"/>
      <c r="F22" s="1063"/>
      <c r="G22" s="1063"/>
      <c r="H22" s="1063"/>
      <c r="I22" s="4767"/>
      <c r="J22" s="4852"/>
      <c r="K22" s="4852"/>
      <c r="L22" s="4852"/>
      <c r="M22" s="4852"/>
      <c r="N22" s="4852"/>
      <c r="O22" s="4852"/>
      <c r="P22" s="4778"/>
      <c r="Q22" s="1063"/>
      <c r="R22" s="1063"/>
      <c r="S22" s="4767"/>
      <c r="T22" s="4852"/>
      <c r="U22" s="4852"/>
      <c r="V22" s="4852"/>
      <c r="W22" s="4852"/>
      <c r="X22" s="4852"/>
      <c r="Y22" s="4852"/>
      <c r="Z22" s="4778"/>
      <c r="AA22" s="1063"/>
      <c r="AB22" s="1063"/>
      <c r="AC22" s="4767"/>
      <c r="AD22" s="4852"/>
      <c r="AE22" s="4852"/>
      <c r="AF22" s="4852"/>
      <c r="AG22" s="4852"/>
      <c r="AH22" s="4852"/>
      <c r="AI22" s="4852"/>
      <c r="AJ22" s="4778"/>
      <c r="AK22" s="1063"/>
      <c r="AL22" s="1063"/>
      <c r="AM22" s="2539"/>
      <c r="AN22" s="2544" t="s">
        <v>942</v>
      </c>
      <c r="AO22" s="2540"/>
      <c r="AP22" s="1063"/>
      <c r="AQ22" s="1063"/>
      <c r="AR22" s="4767"/>
      <c r="AS22" s="4851"/>
      <c r="AT22" s="4851"/>
      <c r="AU22" s="4851"/>
      <c r="AV22" s="4851"/>
      <c r="AW22" s="4851"/>
      <c r="AX22" s="4851"/>
      <c r="AY22" s="4778"/>
      <c r="AZ22" s="1063"/>
      <c r="BA22" s="1063"/>
      <c r="BB22" s="4767"/>
      <c r="BC22" s="4851"/>
      <c r="BD22" s="4851"/>
      <c r="BE22" s="4851"/>
      <c r="BF22" s="4851"/>
      <c r="BG22" s="4851"/>
      <c r="BH22" s="4851"/>
      <c r="BI22" s="4778"/>
      <c r="BJ22" s="1063"/>
      <c r="BK22" s="1063"/>
      <c r="BL22" s="4767"/>
      <c r="BM22" s="4851"/>
      <c r="BN22" s="4851"/>
      <c r="BO22" s="4851"/>
      <c r="BP22" s="4851"/>
      <c r="BQ22" s="4851"/>
      <c r="BR22" s="4851"/>
      <c r="BS22" s="4778"/>
      <c r="BT22" s="1063"/>
      <c r="BU22" s="1063"/>
      <c r="BV22" s="1063"/>
      <c r="BW22" s="1052"/>
      <c r="BX22" s="605"/>
      <c r="BY22" s="605"/>
      <c r="BZ22" s="1058"/>
      <c r="CA22" s="17"/>
      <c r="CB22" s="19"/>
      <c r="CC22" s="19"/>
      <c r="CD22" s="2568" t="s">
        <v>439</v>
      </c>
      <c r="CE22" s="2289">
        <f>SUM($CE12:CE$20)</f>
        <v>0</v>
      </c>
      <c r="CF22" s="19"/>
      <c r="CG22" s="822"/>
      <c r="CH22" s="822"/>
      <c r="CI22" s="822"/>
      <c r="CJ22" s="822"/>
      <c r="CK22" s="822"/>
      <c r="CL22" s="822"/>
      <c r="CM22" s="822"/>
      <c r="CN22" s="822"/>
      <c r="CO22" s="822"/>
      <c r="CP22" s="822"/>
      <c r="CQ22" s="822"/>
      <c r="CR22" s="822"/>
      <c r="CS22" s="822"/>
      <c r="CT22" s="822"/>
      <c r="CU22" s="822"/>
      <c r="CV22" s="822"/>
      <c r="CW22" s="822"/>
      <c r="CX22" s="822"/>
      <c r="CY22" s="822"/>
      <c r="CZ22" s="822"/>
      <c r="DA22" s="822"/>
      <c r="DB22" s="822"/>
      <c r="DC22" s="822"/>
      <c r="DD22" s="822"/>
      <c r="DE22" s="822"/>
      <c r="DF22" s="822"/>
      <c r="DG22" s="822"/>
      <c r="DH22" s="822"/>
      <c r="DI22" s="822"/>
      <c r="DJ22" s="822"/>
      <c r="DK22" s="822"/>
      <c r="DL22" s="822"/>
      <c r="DM22" s="822"/>
      <c r="DN22" s="822"/>
      <c r="DO22" s="822"/>
      <c r="DP22" s="822"/>
      <c r="DQ22" s="822"/>
      <c r="DR22" s="822"/>
      <c r="DS22" s="822"/>
      <c r="DT22" s="822"/>
      <c r="DU22" s="822"/>
      <c r="DV22" s="822"/>
      <c r="DW22" s="822"/>
      <c r="DX22" s="822"/>
      <c r="DY22" s="822"/>
      <c r="DZ22" s="822"/>
      <c r="EA22" s="2290"/>
      <c r="EB22" s="2290"/>
      <c r="EC22" s="2291"/>
    </row>
    <row r="23" spans="1:148" ht="17.100000000000001" customHeight="1" thickTop="1" x14ac:dyDescent="0.2">
      <c r="A23" s="17"/>
      <c r="B23" s="1058"/>
      <c r="C23" s="1069"/>
      <c r="D23" s="1069"/>
      <c r="E23" s="1051"/>
      <c r="F23" s="1063"/>
      <c r="G23" s="1063"/>
      <c r="H23" s="1063"/>
      <c r="I23" s="1063"/>
      <c r="J23" s="1063"/>
      <c r="K23" s="1063"/>
      <c r="L23" s="1063"/>
      <c r="M23" s="1063"/>
      <c r="N23" s="1063"/>
      <c r="O23" s="1063"/>
      <c r="P23" s="1063"/>
      <c r="Q23" s="1063"/>
      <c r="R23" s="1063"/>
      <c r="S23" s="1063"/>
      <c r="T23" s="1063"/>
      <c r="U23" s="1063"/>
      <c r="V23" s="1063"/>
      <c r="W23" s="1063"/>
      <c r="X23" s="1063"/>
      <c r="Y23" s="1063"/>
      <c r="Z23" s="1063"/>
      <c r="AA23" s="1063"/>
      <c r="AB23" s="1063"/>
      <c r="AC23" s="1063"/>
      <c r="AD23" s="1063"/>
      <c r="AE23" s="1063"/>
      <c r="AF23" s="1063"/>
      <c r="AG23" s="1063"/>
      <c r="AH23" s="1063"/>
      <c r="AI23" s="1063"/>
      <c r="AJ23" s="1063"/>
      <c r="AK23" s="1063"/>
      <c r="AL23" s="1063"/>
      <c r="AM23" s="2539"/>
      <c r="AN23" s="2543" t="s">
        <v>940</v>
      </c>
      <c r="AO23" s="2540"/>
      <c r="AP23" s="1063"/>
      <c r="AQ23" s="1063"/>
      <c r="AR23" s="1063"/>
      <c r="AS23" s="1063"/>
      <c r="AT23" s="1063"/>
      <c r="AU23" s="1063"/>
      <c r="AV23" s="1063"/>
      <c r="AW23" s="1063"/>
      <c r="AX23" s="1063"/>
      <c r="AY23" s="1063"/>
      <c r="AZ23" s="1063"/>
      <c r="BA23" s="1063"/>
      <c r="BB23" s="1063"/>
      <c r="BC23" s="1063"/>
      <c r="BD23" s="1063"/>
      <c r="BE23" s="1063"/>
      <c r="BF23" s="1063"/>
      <c r="BG23" s="1063"/>
      <c r="BH23" s="1063"/>
      <c r="BI23" s="1063"/>
      <c r="BJ23" s="1063"/>
      <c r="BK23" s="1063"/>
      <c r="BL23" s="1063"/>
      <c r="BM23" s="1063"/>
      <c r="BN23" s="1063"/>
      <c r="BO23" s="1063"/>
      <c r="BP23" s="1063"/>
      <c r="BQ23" s="1063"/>
      <c r="BR23" s="1063"/>
      <c r="BS23" s="1063"/>
      <c r="BT23" s="1063"/>
      <c r="BU23" s="1063"/>
      <c r="BV23" s="1063"/>
      <c r="BW23" s="1052"/>
      <c r="BX23" s="605"/>
      <c r="BY23" s="605"/>
      <c r="BZ23" s="1058"/>
      <c r="CA23" s="17"/>
      <c r="CB23" s="19"/>
      <c r="CF23" s="19"/>
      <c r="CG23" s="822"/>
      <c r="CH23" s="822"/>
      <c r="CI23" s="822"/>
      <c r="CJ23" s="822"/>
      <c r="CK23" s="822"/>
      <c r="CL23" s="822"/>
      <c r="CM23" s="822"/>
      <c r="CN23" s="822"/>
      <c r="CO23" s="822"/>
      <c r="CP23" s="822"/>
      <c r="CQ23" s="822"/>
      <c r="CR23" s="822"/>
      <c r="CS23" s="822"/>
      <c r="CT23" s="822"/>
      <c r="CU23" s="822"/>
      <c r="CV23" s="822"/>
      <c r="CW23" s="822"/>
      <c r="CX23" s="822"/>
      <c r="CY23" s="822"/>
      <c r="CZ23" s="822"/>
      <c r="DA23" s="822"/>
      <c r="DB23" s="822"/>
      <c r="DC23" s="822"/>
      <c r="DD23" s="822"/>
      <c r="DE23" s="822"/>
      <c r="DF23" s="822"/>
      <c r="DG23" s="822"/>
      <c r="DH23" s="822"/>
      <c r="DI23" s="822"/>
      <c r="DJ23" s="822"/>
      <c r="DK23" s="822"/>
      <c r="DL23" s="822"/>
      <c r="DM23" s="822"/>
      <c r="DN23" s="822"/>
      <c r="DO23" s="822"/>
      <c r="DP23" s="822"/>
      <c r="DQ23" s="822"/>
      <c r="DR23" s="822"/>
      <c r="DS23" s="822"/>
      <c r="DT23" s="822"/>
      <c r="DU23" s="822"/>
      <c r="DV23" s="822"/>
      <c r="DW23" s="822"/>
      <c r="DX23" s="822"/>
      <c r="DY23" s="822"/>
      <c r="DZ23" s="822"/>
      <c r="EA23" s="2290"/>
      <c r="EB23" s="2290"/>
      <c r="EC23" s="2292"/>
    </row>
    <row r="24" spans="1:148" ht="17.100000000000001" customHeight="1" thickBot="1" x14ac:dyDescent="0.25">
      <c r="A24" s="17"/>
      <c r="B24" s="1058"/>
      <c r="C24" s="17"/>
      <c r="D24" s="17"/>
      <c r="E24" s="1051"/>
      <c r="F24" s="1063"/>
      <c r="G24" s="1063"/>
      <c r="H24" s="1063"/>
      <c r="I24" s="1063"/>
      <c r="J24" s="1063"/>
      <c r="K24" s="1063"/>
      <c r="L24" s="1063"/>
      <c r="M24" s="1063"/>
      <c r="N24" s="1063"/>
      <c r="O24" s="1063"/>
      <c r="P24" s="1063"/>
      <c r="Q24" s="1063"/>
      <c r="R24" s="1063"/>
      <c r="S24" s="1063"/>
      <c r="T24" s="1063"/>
      <c r="U24" s="1063"/>
      <c r="V24" s="1063"/>
      <c r="W24" s="1063"/>
      <c r="X24" s="1063"/>
      <c r="Y24" s="1063"/>
      <c r="Z24" s="1063"/>
      <c r="AA24" s="1063"/>
      <c r="AB24" s="1063"/>
      <c r="AC24" s="1063"/>
      <c r="AD24" s="1063"/>
      <c r="AE24" s="1063"/>
      <c r="AF24" s="1063"/>
      <c r="AG24" s="1063"/>
      <c r="AH24" s="1063"/>
      <c r="AI24" s="1063"/>
      <c r="AJ24" s="1063"/>
      <c r="AK24" s="1063"/>
      <c r="AL24" s="1063"/>
      <c r="AM24" s="2539"/>
      <c r="AN24" s="2543" t="s">
        <v>710</v>
      </c>
      <c r="AO24" s="2540"/>
      <c r="AP24" s="1063"/>
      <c r="AQ24" s="1063"/>
      <c r="AR24" s="1063"/>
      <c r="AS24" s="1063"/>
      <c r="AT24" s="1063"/>
      <c r="AU24" s="1063"/>
      <c r="AV24" s="1063"/>
      <c r="AW24" s="1063"/>
      <c r="AX24" s="1063"/>
      <c r="AY24" s="1063"/>
      <c r="AZ24" s="1063"/>
      <c r="BA24" s="1063"/>
      <c r="BB24" s="1063"/>
      <c r="BC24" s="1063"/>
      <c r="BD24" s="1063"/>
      <c r="BE24" s="1063"/>
      <c r="BF24" s="1063"/>
      <c r="BG24" s="1063"/>
      <c r="BH24" s="1063"/>
      <c r="BI24" s="1063"/>
      <c r="BJ24" s="1063"/>
      <c r="BK24" s="1063"/>
      <c r="BL24" s="1063"/>
      <c r="BM24" s="1063"/>
      <c r="BN24" s="1063"/>
      <c r="BO24" s="1063"/>
      <c r="BP24" s="1063"/>
      <c r="BQ24" s="1063"/>
      <c r="BR24" s="1063"/>
      <c r="BS24" s="1063"/>
      <c r="BT24" s="1063"/>
      <c r="BU24" s="1063"/>
      <c r="BV24" s="1063"/>
      <c r="BW24" s="1052"/>
      <c r="BX24" s="605"/>
      <c r="BY24" s="605"/>
      <c r="BZ24" s="1058"/>
      <c r="CA24" s="17"/>
      <c r="CB24" s="19"/>
      <c r="CC24" s="19"/>
      <c r="CD24" s="1054"/>
      <c r="CE24" s="1054"/>
      <c r="CF24" s="1054"/>
      <c r="CG24" s="822"/>
      <c r="CH24" s="822"/>
      <c r="CI24" s="822"/>
      <c r="CJ24" s="822"/>
      <c r="CK24" s="822"/>
      <c r="CL24" s="822"/>
      <c r="CM24" s="822"/>
      <c r="CN24" s="822"/>
      <c r="CO24" s="822"/>
      <c r="CP24" s="822"/>
      <c r="CQ24" s="822"/>
      <c r="CR24" s="822"/>
      <c r="CS24" s="822"/>
      <c r="CT24" s="822"/>
      <c r="CU24" s="822"/>
      <c r="CV24" s="822"/>
      <c r="CW24" s="822"/>
      <c r="CX24" s="822"/>
      <c r="CY24" s="822"/>
      <c r="CZ24" s="822"/>
      <c r="DA24" s="822"/>
      <c r="DB24" s="822"/>
      <c r="DC24" s="822"/>
      <c r="DD24" s="822"/>
      <c r="DE24" s="822"/>
      <c r="DF24" s="822"/>
      <c r="DG24" s="822"/>
      <c r="DH24" s="822"/>
      <c r="DI24" s="822"/>
      <c r="DJ24" s="822"/>
      <c r="DK24" s="822"/>
      <c r="DL24" s="822"/>
      <c r="DM24" s="822"/>
      <c r="DN24" s="822"/>
      <c r="DO24" s="822"/>
      <c r="DP24" s="822"/>
      <c r="DQ24" s="822"/>
      <c r="DR24" s="822"/>
      <c r="DS24" s="822"/>
      <c r="DT24" s="822"/>
      <c r="DU24" s="822"/>
      <c r="DV24" s="822"/>
      <c r="DW24" s="822"/>
      <c r="DX24" s="822"/>
      <c r="DY24" s="822"/>
      <c r="DZ24" s="822"/>
      <c r="EA24" s="2290"/>
      <c r="EB24" s="2290"/>
      <c r="EC24" s="2291"/>
    </row>
    <row r="25" spans="1:148" ht="17.100000000000001" customHeight="1" thickTop="1" x14ac:dyDescent="0.35">
      <c r="A25" s="17"/>
      <c r="B25" s="1058"/>
      <c r="C25" s="1062"/>
      <c r="D25" s="1062"/>
      <c r="E25" s="1051"/>
      <c r="F25" s="1063"/>
      <c r="G25" s="1063"/>
      <c r="H25" s="1063"/>
      <c r="I25" s="4756" t="s">
        <v>72</v>
      </c>
      <c r="J25" s="4757"/>
      <c r="K25" s="4757"/>
      <c r="L25" s="4764" t="s">
        <v>144</v>
      </c>
      <c r="M25" s="4764"/>
      <c r="N25" s="4757" t="s">
        <v>72</v>
      </c>
      <c r="O25" s="4757"/>
      <c r="P25" s="4762"/>
      <c r="Q25" s="1063"/>
      <c r="R25" s="1063"/>
      <c r="S25" s="4756" t="s">
        <v>72</v>
      </c>
      <c r="T25" s="4757"/>
      <c r="U25" s="4757"/>
      <c r="V25" s="4779" t="s">
        <v>144</v>
      </c>
      <c r="W25" s="4779"/>
      <c r="X25" s="4757" t="s">
        <v>72</v>
      </c>
      <c r="Y25" s="4757"/>
      <c r="Z25" s="4762"/>
      <c r="AA25" s="1063"/>
      <c r="AB25" s="1063"/>
      <c r="AC25" s="4756" t="s">
        <v>72</v>
      </c>
      <c r="AD25" s="4757"/>
      <c r="AE25" s="4757"/>
      <c r="AF25" s="4781" t="s">
        <v>144</v>
      </c>
      <c r="AG25" s="4781"/>
      <c r="AH25" s="4757" t="s">
        <v>72</v>
      </c>
      <c r="AI25" s="4757"/>
      <c r="AJ25" s="4762"/>
      <c r="AK25" s="1063"/>
      <c r="AL25" s="1063"/>
      <c r="AM25" s="2539"/>
      <c r="AN25" s="2544" t="s">
        <v>941</v>
      </c>
      <c r="AO25" s="2540"/>
      <c r="AP25" s="1063"/>
      <c r="AQ25" s="1063"/>
      <c r="AR25" s="4756" t="s">
        <v>72</v>
      </c>
      <c r="AS25" s="4757"/>
      <c r="AT25" s="4757"/>
      <c r="AU25" s="4781" t="s">
        <v>940</v>
      </c>
      <c r="AV25" s="4781"/>
      <c r="AW25" s="4757" t="s">
        <v>72</v>
      </c>
      <c r="AX25" s="4757"/>
      <c r="AY25" s="4762"/>
      <c r="AZ25" s="1063"/>
      <c r="BA25" s="1063"/>
      <c r="BB25" s="4756" t="s">
        <v>72</v>
      </c>
      <c r="BC25" s="4757"/>
      <c r="BD25" s="4757"/>
      <c r="BE25" s="4779" t="s">
        <v>940</v>
      </c>
      <c r="BF25" s="4779"/>
      <c r="BG25" s="4757" t="s">
        <v>72</v>
      </c>
      <c r="BH25" s="4757"/>
      <c r="BI25" s="4762"/>
      <c r="BJ25" s="1063"/>
      <c r="BK25" s="1063"/>
      <c r="BL25" s="4756" t="s">
        <v>72</v>
      </c>
      <c r="BM25" s="4757"/>
      <c r="BN25" s="4757"/>
      <c r="BO25" s="4764" t="s">
        <v>940</v>
      </c>
      <c r="BP25" s="4764"/>
      <c r="BQ25" s="4757" t="s">
        <v>72</v>
      </c>
      <c r="BR25" s="4757"/>
      <c r="BS25" s="4762"/>
      <c r="BT25" s="1063"/>
      <c r="BU25" s="1063"/>
      <c r="BV25" s="1063"/>
      <c r="BW25" s="1052"/>
      <c r="BX25" s="605"/>
      <c r="BY25" s="605"/>
      <c r="BZ25" s="1058"/>
      <c r="CA25" s="17"/>
      <c r="CB25" s="19"/>
      <c r="CC25" s="19"/>
      <c r="CD25" s="19"/>
      <c r="CE25" s="19"/>
      <c r="CF25" s="19"/>
      <c r="CG25" s="822"/>
      <c r="CH25" s="822"/>
      <c r="CI25" s="822"/>
      <c r="CJ25" s="822"/>
      <c r="CK25" s="822"/>
      <c r="CL25" s="822"/>
      <c r="CM25" s="822"/>
      <c r="CN25" s="822"/>
      <c r="CO25" s="822"/>
      <c r="CP25" s="822"/>
      <c r="CQ25" s="822"/>
      <c r="CR25" s="822"/>
      <c r="CS25" s="822"/>
      <c r="CT25" s="822"/>
      <c r="CU25" s="822"/>
      <c r="CV25" s="822"/>
      <c r="CW25" s="822"/>
      <c r="CX25" s="822"/>
      <c r="CY25" s="822"/>
      <c r="CZ25" s="822"/>
      <c r="DA25" s="822"/>
      <c r="DB25" s="822"/>
      <c r="DC25" s="822"/>
      <c r="DD25" s="822"/>
      <c r="DE25" s="822"/>
      <c r="DF25" s="822"/>
      <c r="DG25" s="822"/>
      <c r="DH25" s="822"/>
      <c r="DI25" s="822"/>
      <c r="DJ25" s="822"/>
      <c r="DK25" s="822"/>
      <c r="DL25" s="822"/>
      <c r="DM25" s="822"/>
      <c r="DN25" s="822"/>
      <c r="DO25" s="822"/>
      <c r="DP25" s="822"/>
      <c r="DQ25" s="822"/>
      <c r="DR25" s="822"/>
      <c r="DS25" s="822"/>
      <c r="DT25" s="822"/>
      <c r="DU25" s="822"/>
      <c r="DV25" s="822"/>
      <c r="DW25" s="822"/>
      <c r="DX25" s="822"/>
      <c r="DY25" s="822"/>
      <c r="DZ25" s="822"/>
      <c r="EA25" s="2290"/>
      <c r="EB25" s="2290"/>
      <c r="EC25" s="2292"/>
    </row>
    <row r="26" spans="1:148" ht="17.100000000000001" customHeight="1" x14ac:dyDescent="0.35">
      <c r="A26" s="17"/>
      <c r="B26" s="1058"/>
      <c r="C26" s="1062"/>
      <c r="D26" s="1062"/>
      <c r="E26" s="1051"/>
      <c r="F26" s="1063"/>
      <c r="G26" s="1063"/>
      <c r="H26" s="1063"/>
      <c r="I26" s="4758"/>
      <c r="J26" s="4759"/>
      <c r="K26" s="4759"/>
      <c r="L26" s="4765"/>
      <c r="M26" s="4765"/>
      <c r="N26" s="4759"/>
      <c r="O26" s="4759"/>
      <c r="P26" s="4763"/>
      <c r="Q26" s="1063"/>
      <c r="R26" s="1063"/>
      <c r="S26" s="4758"/>
      <c r="T26" s="4759"/>
      <c r="U26" s="4759"/>
      <c r="V26" s="4780"/>
      <c r="W26" s="4780"/>
      <c r="X26" s="4759"/>
      <c r="Y26" s="4759"/>
      <c r="Z26" s="4763"/>
      <c r="AA26" s="1063"/>
      <c r="AB26" s="1063"/>
      <c r="AC26" s="4758"/>
      <c r="AD26" s="4759"/>
      <c r="AE26" s="4759"/>
      <c r="AF26" s="4782"/>
      <c r="AG26" s="4782"/>
      <c r="AH26" s="4759"/>
      <c r="AI26" s="4759"/>
      <c r="AJ26" s="4763"/>
      <c r="AK26" s="1063"/>
      <c r="AL26" s="1063"/>
      <c r="AM26" s="2539"/>
      <c r="AN26" s="2543" t="s">
        <v>144</v>
      </c>
      <c r="AO26" s="2540"/>
      <c r="AP26" s="1063"/>
      <c r="AQ26" s="1063"/>
      <c r="AR26" s="4758"/>
      <c r="AS26" s="4759"/>
      <c r="AT26" s="4759"/>
      <c r="AU26" s="4797"/>
      <c r="AV26" s="4797"/>
      <c r="AW26" s="4759"/>
      <c r="AX26" s="4759"/>
      <c r="AY26" s="4763"/>
      <c r="AZ26" s="1063"/>
      <c r="BA26" s="1063"/>
      <c r="BB26" s="4758"/>
      <c r="BC26" s="4759"/>
      <c r="BD26" s="4759"/>
      <c r="BE26" s="4796"/>
      <c r="BF26" s="4796"/>
      <c r="BG26" s="4759"/>
      <c r="BH26" s="4759"/>
      <c r="BI26" s="4763"/>
      <c r="BJ26" s="1063"/>
      <c r="BK26" s="1063"/>
      <c r="BL26" s="4758"/>
      <c r="BM26" s="4759"/>
      <c r="BN26" s="4759"/>
      <c r="BO26" s="4798"/>
      <c r="BP26" s="4798"/>
      <c r="BQ26" s="4759"/>
      <c r="BR26" s="4759"/>
      <c r="BS26" s="4763"/>
      <c r="BT26" s="1063"/>
      <c r="BU26" s="1063"/>
      <c r="BV26" s="1063"/>
      <c r="BW26" s="1052"/>
      <c r="BX26" s="605"/>
      <c r="BY26" s="605"/>
      <c r="BZ26" s="1058"/>
      <c r="CA26" s="17"/>
      <c r="CB26" s="19"/>
      <c r="CC26" s="19"/>
      <c r="CD26" s="19"/>
      <c r="CE26" s="19"/>
      <c r="CF26" s="19"/>
      <c r="CG26" s="822"/>
      <c r="CH26" s="822"/>
      <c r="CI26" s="822"/>
      <c r="CJ26" s="822"/>
      <c r="CK26" s="822"/>
      <c r="CL26" s="822"/>
      <c r="CM26" s="822"/>
      <c r="CN26" s="822"/>
      <c r="CO26" s="822"/>
      <c r="CP26" s="822"/>
      <c r="CQ26" s="822"/>
      <c r="CR26" s="822"/>
      <c r="CS26" s="822"/>
      <c r="CT26" s="822"/>
      <c r="CU26" s="822"/>
      <c r="CV26" s="822"/>
      <c r="CW26" s="822"/>
      <c r="CX26" s="822"/>
      <c r="CY26" s="822"/>
      <c r="CZ26" s="822"/>
      <c r="DA26" s="822"/>
      <c r="DB26" s="822"/>
      <c r="DC26" s="822"/>
      <c r="DD26" s="822"/>
      <c r="DE26" s="822"/>
      <c r="DF26" s="822"/>
      <c r="DG26" s="822"/>
      <c r="DH26" s="822"/>
      <c r="DI26" s="822"/>
      <c r="DJ26" s="822"/>
      <c r="DK26" s="822"/>
      <c r="DL26" s="822"/>
      <c r="DM26" s="822"/>
      <c r="DN26" s="822"/>
      <c r="DO26" s="822"/>
      <c r="DP26" s="822"/>
      <c r="DQ26" s="822"/>
      <c r="DR26" s="822"/>
      <c r="DS26" s="822"/>
      <c r="DT26" s="822"/>
      <c r="DU26" s="822"/>
      <c r="DV26" s="822"/>
      <c r="DW26" s="822"/>
      <c r="DX26" s="822"/>
      <c r="DY26" s="822"/>
      <c r="DZ26" s="822"/>
      <c r="EA26" s="2290"/>
      <c r="EB26" s="2290"/>
      <c r="EC26" s="2291"/>
    </row>
    <row r="27" spans="1:148" ht="17.100000000000001" customHeight="1" x14ac:dyDescent="0.2">
      <c r="A27" s="17"/>
      <c r="B27" s="1058"/>
      <c r="C27" s="17"/>
      <c r="D27" s="17"/>
      <c r="E27" s="1051"/>
      <c r="F27" s="1063"/>
      <c r="G27" s="1063"/>
      <c r="H27" s="1063"/>
      <c r="I27" s="4766"/>
      <c r="J27" s="4768"/>
      <c r="K27" s="4769"/>
      <c r="L27" s="4769"/>
      <c r="M27" s="4769"/>
      <c r="N27" s="4769"/>
      <c r="O27" s="4770"/>
      <c r="P27" s="4777"/>
      <c r="Q27" s="1063"/>
      <c r="R27" s="1063"/>
      <c r="S27" s="4766"/>
      <c r="T27" s="4768"/>
      <c r="U27" s="4769"/>
      <c r="V27" s="4769"/>
      <c r="W27" s="4769"/>
      <c r="X27" s="4769"/>
      <c r="Y27" s="4770"/>
      <c r="Z27" s="4777"/>
      <c r="AA27" s="1063"/>
      <c r="AB27" s="1063"/>
      <c r="AC27" s="4766"/>
      <c r="AD27" s="4768"/>
      <c r="AE27" s="4769"/>
      <c r="AF27" s="4769"/>
      <c r="AG27" s="4769"/>
      <c r="AH27" s="4769"/>
      <c r="AI27" s="4770"/>
      <c r="AJ27" s="4777"/>
      <c r="AK27" s="1063"/>
      <c r="AL27" s="1063"/>
      <c r="AM27" s="2539"/>
      <c r="AN27" s="2543" t="s">
        <v>939</v>
      </c>
      <c r="AO27" s="2540"/>
      <c r="AP27" s="1063"/>
      <c r="AQ27" s="1063"/>
      <c r="AR27" s="4766"/>
      <c r="AS27" s="4768"/>
      <c r="AT27" s="4769"/>
      <c r="AU27" s="4769"/>
      <c r="AV27" s="4769"/>
      <c r="AW27" s="4769"/>
      <c r="AX27" s="4770"/>
      <c r="AY27" s="4777"/>
      <c r="AZ27" s="1063"/>
      <c r="BA27" s="1063"/>
      <c r="BB27" s="4766"/>
      <c r="BC27" s="4768"/>
      <c r="BD27" s="4769"/>
      <c r="BE27" s="4769"/>
      <c r="BF27" s="4769"/>
      <c r="BG27" s="4769"/>
      <c r="BH27" s="4770"/>
      <c r="BI27" s="4777"/>
      <c r="BJ27" s="1063"/>
      <c r="BK27" s="1063"/>
      <c r="BL27" s="4766"/>
      <c r="BM27" s="4768"/>
      <c r="BN27" s="4769"/>
      <c r="BO27" s="4769"/>
      <c r="BP27" s="4769"/>
      <c r="BQ27" s="4769"/>
      <c r="BR27" s="4770"/>
      <c r="BS27" s="4777"/>
      <c r="BT27" s="1063"/>
      <c r="BU27" s="1063"/>
      <c r="BV27" s="1063"/>
      <c r="BW27" s="1052"/>
      <c r="BX27" s="605"/>
      <c r="BY27" s="605"/>
      <c r="BZ27" s="1058"/>
      <c r="CA27" s="17"/>
      <c r="CB27" s="19"/>
      <c r="CC27" s="73"/>
      <c r="CD27" s="19"/>
      <c r="CE27" s="19"/>
      <c r="CF27" s="19"/>
      <c r="CG27" s="822"/>
      <c r="CH27" s="822"/>
      <c r="CI27" s="822"/>
      <c r="CJ27" s="4840">
        <f>COUNTIF($CJ$114:$ER$428,J27)</f>
        <v>0</v>
      </c>
      <c r="CK27" s="4841"/>
      <c r="CL27" s="4841"/>
      <c r="CM27" s="4841"/>
      <c r="CN27" s="4841"/>
      <c r="CO27" s="4842"/>
      <c r="CP27" s="822"/>
      <c r="CQ27" s="822"/>
      <c r="CR27" s="822"/>
      <c r="CS27" s="822"/>
      <c r="CT27" s="4840">
        <f>COUNTIF($CJ$114:$ER$428,T27)</f>
        <v>0</v>
      </c>
      <c r="CU27" s="4841"/>
      <c r="CV27" s="4841"/>
      <c r="CW27" s="4841"/>
      <c r="CX27" s="4841"/>
      <c r="CY27" s="4842"/>
      <c r="CZ27" s="822"/>
      <c r="DA27" s="822"/>
      <c r="DB27" s="822"/>
      <c r="DC27" s="822"/>
      <c r="DD27" s="4840">
        <f>COUNTIF($CJ$114:$ER$428,AD27)</f>
        <v>0</v>
      </c>
      <c r="DE27" s="4841"/>
      <c r="DF27" s="4841"/>
      <c r="DG27" s="4841"/>
      <c r="DH27" s="4841"/>
      <c r="DI27" s="4842"/>
      <c r="DJ27" s="822"/>
      <c r="DK27" s="822"/>
      <c r="DL27" s="822"/>
      <c r="DM27" s="822"/>
      <c r="DN27" s="822"/>
      <c r="DO27" s="822"/>
      <c r="DP27" s="822"/>
      <c r="DQ27" s="822"/>
      <c r="DR27" s="822"/>
      <c r="DS27" s="4840">
        <f>COUNTIF($CJ$114:$ER$428,AS27)</f>
        <v>0</v>
      </c>
      <c r="DT27" s="4841"/>
      <c r="DU27" s="4841"/>
      <c r="DV27" s="4841"/>
      <c r="DW27" s="4841"/>
      <c r="DX27" s="4842"/>
      <c r="DY27" s="822"/>
      <c r="DZ27" s="822"/>
      <c r="EA27" s="822"/>
      <c r="EB27" s="822"/>
      <c r="EC27" s="4840">
        <f>COUNTIF($CJ$114:$ER$428,BC27)</f>
        <v>0</v>
      </c>
      <c r="ED27" s="4841"/>
      <c r="EE27" s="4841"/>
      <c r="EF27" s="4841"/>
      <c r="EG27" s="4841"/>
      <c r="EH27" s="4842"/>
      <c r="EI27" s="822"/>
      <c r="EJ27" s="822"/>
      <c r="EK27" s="822"/>
      <c r="EL27" s="822"/>
      <c r="EM27" s="4840">
        <f>COUNTIF($CJ$114:$ER$428,BM27)</f>
        <v>0</v>
      </c>
      <c r="EN27" s="4841"/>
      <c r="EO27" s="4841"/>
      <c r="EP27" s="4841"/>
      <c r="EQ27" s="4841"/>
      <c r="ER27" s="4842"/>
    </row>
    <row r="28" spans="1:148" ht="17.100000000000001" customHeight="1" x14ac:dyDescent="0.2">
      <c r="A28" s="17"/>
      <c r="B28" s="1058"/>
      <c r="C28" s="1070"/>
      <c r="D28" s="1070"/>
      <c r="E28" s="1051"/>
      <c r="F28" s="1063"/>
      <c r="G28" s="1063"/>
      <c r="H28" s="1063"/>
      <c r="I28" s="4766"/>
      <c r="J28" s="4771"/>
      <c r="K28" s="4772"/>
      <c r="L28" s="4772"/>
      <c r="M28" s="4772"/>
      <c r="N28" s="4772"/>
      <c r="O28" s="4773"/>
      <c r="P28" s="4777"/>
      <c r="Q28" s="1063"/>
      <c r="R28" s="1063"/>
      <c r="S28" s="4766"/>
      <c r="T28" s="4771"/>
      <c r="U28" s="4772"/>
      <c r="V28" s="4772"/>
      <c r="W28" s="4772"/>
      <c r="X28" s="4772"/>
      <c r="Y28" s="4773"/>
      <c r="Z28" s="4777"/>
      <c r="AA28" s="1063"/>
      <c r="AB28" s="1063"/>
      <c r="AC28" s="4766"/>
      <c r="AD28" s="4771"/>
      <c r="AE28" s="4772"/>
      <c r="AF28" s="4772"/>
      <c r="AG28" s="4772"/>
      <c r="AH28" s="4772"/>
      <c r="AI28" s="4773"/>
      <c r="AJ28" s="4777"/>
      <c r="AK28" s="1063"/>
      <c r="AL28" s="1063"/>
      <c r="AM28" s="2539"/>
      <c r="AN28" s="2544" t="s">
        <v>942</v>
      </c>
      <c r="AO28" s="2540"/>
      <c r="AP28" s="1063"/>
      <c r="AQ28" s="1063"/>
      <c r="AR28" s="4766"/>
      <c r="AS28" s="4771"/>
      <c r="AT28" s="4772"/>
      <c r="AU28" s="4772"/>
      <c r="AV28" s="4772"/>
      <c r="AW28" s="4772"/>
      <c r="AX28" s="4773"/>
      <c r="AY28" s="4777"/>
      <c r="AZ28" s="1063"/>
      <c r="BA28" s="1063"/>
      <c r="BB28" s="4766"/>
      <c r="BC28" s="4771"/>
      <c r="BD28" s="4772"/>
      <c r="BE28" s="4772"/>
      <c r="BF28" s="4772"/>
      <c r="BG28" s="4772"/>
      <c r="BH28" s="4773"/>
      <c r="BI28" s="4777"/>
      <c r="BJ28" s="1063"/>
      <c r="BK28" s="1063"/>
      <c r="BL28" s="4766"/>
      <c r="BM28" s="4771"/>
      <c r="BN28" s="4772"/>
      <c r="BO28" s="4772"/>
      <c r="BP28" s="4772"/>
      <c r="BQ28" s="4772"/>
      <c r="BR28" s="4773"/>
      <c r="BS28" s="4777"/>
      <c r="BT28" s="1063"/>
      <c r="BU28" s="1063"/>
      <c r="BV28" s="1063"/>
      <c r="BW28" s="1052"/>
      <c r="BX28" s="605"/>
      <c r="BY28" s="605"/>
      <c r="BZ28" s="1058"/>
      <c r="CA28" s="17"/>
      <c r="CB28" s="19"/>
      <c r="CC28" s="1750" t="s">
        <v>1656</v>
      </c>
      <c r="CD28" s="388"/>
      <c r="CE28" s="388"/>
      <c r="CF28" s="388"/>
      <c r="CG28" s="822"/>
      <c r="CH28" s="822"/>
      <c r="CI28" s="822"/>
      <c r="CJ28" s="4843"/>
      <c r="CK28" s="3501"/>
      <c r="CL28" s="3501"/>
      <c r="CM28" s="3501"/>
      <c r="CN28" s="3501"/>
      <c r="CO28" s="4844"/>
      <c r="CP28" s="822"/>
      <c r="CQ28" s="822"/>
      <c r="CR28" s="822"/>
      <c r="CS28" s="822"/>
      <c r="CT28" s="4843"/>
      <c r="CU28" s="3501"/>
      <c r="CV28" s="3501"/>
      <c r="CW28" s="3501"/>
      <c r="CX28" s="3501"/>
      <c r="CY28" s="4844"/>
      <c r="CZ28" s="822"/>
      <c r="DA28" s="822"/>
      <c r="DB28" s="822"/>
      <c r="DC28" s="822"/>
      <c r="DD28" s="4843"/>
      <c r="DE28" s="3501"/>
      <c r="DF28" s="3501"/>
      <c r="DG28" s="3501"/>
      <c r="DH28" s="3501"/>
      <c r="DI28" s="4844"/>
      <c r="DJ28" s="822"/>
      <c r="DK28" s="822"/>
      <c r="DL28" s="822"/>
      <c r="DM28" s="822"/>
      <c r="DO28" s="822"/>
      <c r="DP28" s="822"/>
      <c r="DQ28" s="822"/>
      <c r="DR28" s="822"/>
      <c r="DS28" s="4843"/>
      <c r="DT28" s="3501"/>
      <c r="DU28" s="3501"/>
      <c r="DV28" s="3501"/>
      <c r="DW28" s="3501"/>
      <c r="DX28" s="4844"/>
      <c r="DY28" s="822"/>
      <c r="DZ28" s="822"/>
      <c r="EA28" s="822"/>
      <c r="EB28" s="822"/>
      <c r="EC28" s="4843"/>
      <c r="ED28" s="3501"/>
      <c r="EE28" s="3501"/>
      <c r="EF28" s="3501"/>
      <c r="EG28" s="3501"/>
      <c r="EH28" s="4844"/>
      <c r="EI28" s="822"/>
      <c r="EJ28" s="822"/>
      <c r="EK28" s="822"/>
      <c r="EL28" s="822"/>
      <c r="EM28" s="4843"/>
      <c r="EN28" s="3501"/>
      <c r="EO28" s="3501"/>
      <c r="EP28" s="3501"/>
      <c r="EQ28" s="3501"/>
      <c r="ER28" s="4844"/>
    </row>
    <row r="29" spans="1:148" ht="17.100000000000001" customHeight="1" x14ac:dyDescent="0.2">
      <c r="A29" s="17"/>
      <c r="B29" s="1058"/>
      <c r="C29" s="17"/>
      <c r="D29" s="17"/>
      <c r="E29" s="1051"/>
      <c r="F29" s="1063"/>
      <c r="G29" s="1063"/>
      <c r="H29" s="1063"/>
      <c r="I29" s="4766"/>
      <c r="J29" s="4774"/>
      <c r="K29" s="4775"/>
      <c r="L29" s="4775"/>
      <c r="M29" s="4775"/>
      <c r="N29" s="4775"/>
      <c r="O29" s="4776"/>
      <c r="P29" s="4777"/>
      <c r="Q29" s="1063"/>
      <c r="R29" s="1063"/>
      <c r="S29" s="4766"/>
      <c r="T29" s="4774"/>
      <c r="U29" s="4775"/>
      <c r="V29" s="4775"/>
      <c r="W29" s="4775"/>
      <c r="X29" s="4775"/>
      <c r="Y29" s="4776"/>
      <c r="Z29" s="4777"/>
      <c r="AA29" s="1063"/>
      <c r="AB29" s="1063"/>
      <c r="AC29" s="4766"/>
      <c r="AD29" s="4774"/>
      <c r="AE29" s="4775"/>
      <c r="AF29" s="4775"/>
      <c r="AG29" s="4775"/>
      <c r="AH29" s="4775"/>
      <c r="AI29" s="4776"/>
      <c r="AJ29" s="4777"/>
      <c r="AK29" s="1063"/>
      <c r="AL29" s="1063"/>
      <c r="AM29" s="2539"/>
      <c r="AN29" s="2543" t="s">
        <v>940</v>
      </c>
      <c r="AO29" s="2541"/>
      <c r="AP29" s="1063"/>
      <c r="AQ29" s="1063"/>
      <c r="AR29" s="4766"/>
      <c r="AS29" s="4774"/>
      <c r="AT29" s="4775"/>
      <c r="AU29" s="4775"/>
      <c r="AV29" s="4775"/>
      <c r="AW29" s="4775"/>
      <c r="AX29" s="4776"/>
      <c r="AY29" s="4777"/>
      <c r="AZ29" s="1063"/>
      <c r="BA29" s="1063"/>
      <c r="BB29" s="4766"/>
      <c r="BC29" s="4774"/>
      <c r="BD29" s="4775"/>
      <c r="BE29" s="4775"/>
      <c r="BF29" s="4775"/>
      <c r="BG29" s="4775"/>
      <c r="BH29" s="4776"/>
      <c r="BI29" s="4777"/>
      <c r="BJ29" s="1063"/>
      <c r="BK29" s="1063"/>
      <c r="BL29" s="4766"/>
      <c r="BM29" s="4774"/>
      <c r="BN29" s="4775"/>
      <c r="BO29" s="4775"/>
      <c r="BP29" s="4775"/>
      <c r="BQ29" s="4775"/>
      <c r="BR29" s="4776"/>
      <c r="BS29" s="4777"/>
      <c r="BT29" s="1063"/>
      <c r="BU29" s="1063"/>
      <c r="BV29" s="1063"/>
      <c r="BW29" s="1052"/>
      <c r="BX29" s="605"/>
      <c r="BY29" s="605"/>
      <c r="BZ29" s="1058"/>
      <c r="CA29" s="17"/>
      <c r="CB29" s="19"/>
      <c r="CC29" s="1754" t="s">
        <v>1586</v>
      </c>
      <c r="CD29" s="388"/>
      <c r="CE29" s="388"/>
      <c r="CF29" s="388"/>
      <c r="CG29" s="822"/>
      <c r="CH29" s="822"/>
      <c r="CI29" s="822"/>
      <c r="CJ29" s="4845"/>
      <c r="CK29" s="4846"/>
      <c r="CL29" s="4846"/>
      <c r="CM29" s="4846"/>
      <c r="CN29" s="4846"/>
      <c r="CO29" s="4847"/>
      <c r="CP29" s="822"/>
      <c r="CQ29" s="822"/>
      <c r="CR29" s="822"/>
      <c r="CS29" s="822"/>
      <c r="CT29" s="4845"/>
      <c r="CU29" s="4846"/>
      <c r="CV29" s="4846"/>
      <c r="CW29" s="4846"/>
      <c r="CX29" s="4846"/>
      <c r="CY29" s="4847"/>
      <c r="CZ29" s="822"/>
      <c r="DA29" s="822"/>
      <c r="DB29" s="822"/>
      <c r="DC29" s="822"/>
      <c r="DD29" s="4845"/>
      <c r="DE29" s="4846"/>
      <c r="DF29" s="4846"/>
      <c r="DG29" s="4846"/>
      <c r="DH29" s="4846"/>
      <c r="DI29" s="4847"/>
      <c r="DJ29" s="822"/>
      <c r="DK29" s="822"/>
      <c r="DL29" s="822"/>
      <c r="DM29" s="822"/>
      <c r="DO29" s="822"/>
      <c r="DP29" s="822"/>
      <c r="DQ29" s="822"/>
      <c r="DR29" s="822"/>
      <c r="DS29" s="4845"/>
      <c r="DT29" s="4846"/>
      <c r="DU29" s="4846"/>
      <c r="DV29" s="4846"/>
      <c r="DW29" s="4846"/>
      <c r="DX29" s="4847"/>
      <c r="DY29" s="822"/>
      <c r="DZ29" s="822"/>
      <c r="EA29" s="822"/>
      <c r="EB29" s="822"/>
      <c r="EC29" s="4845"/>
      <c r="ED29" s="4846"/>
      <c r="EE29" s="4846"/>
      <c r="EF29" s="4846"/>
      <c r="EG29" s="4846"/>
      <c r="EH29" s="4847"/>
      <c r="EI29" s="822"/>
      <c r="EJ29" s="822"/>
      <c r="EK29" s="822"/>
      <c r="EL29" s="822"/>
      <c r="EM29" s="4845"/>
      <c r="EN29" s="4846"/>
      <c r="EO29" s="4846"/>
      <c r="EP29" s="4846"/>
      <c r="EQ29" s="4846"/>
      <c r="ER29" s="4847"/>
    </row>
    <row r="30" spans="1:148" ht="17.100000000000001" customHeight="1" thickBot="1" x14ac:dyDescent="0.25">
      <c r="A30" s="17"/>
      <c r="B30" s="1058"/>
      <c r="C30" s="1071"/>
      <c r="D30" s="1071"/>
      <c r="E30" s="1051"/>
      <c r="F30" s="1063"/>
      <c r="G30" s="1063"/>
      <c r="H30" s="1063"/>
      <c r="I30" s="4767"/>
      <c r="J30" s="4852"/>
      <c r="K30" s="4852"/>
      <c r="L30" s="4852"/>
      <c r="M30" s="4852"/>
      <c r="N30" s="4852"/>
      <c r="O30" s="4852"/>
      <c r="P30" s="4778"/>
      <c r="Q30" s="1063"/>
      <c r="R30" s="1063"/>
      <c r="S30" s="4767"/>
      <c r="T30" s="4852"/>
      <c r="U30" s="4852"/>
      <c r="V30" s="4852"/>
      <c r="W30" s="4852"/>
      <c r="X30" s="4852"/>
      <c r="Y30" s="4852"/>
      <c r="Z30" s="4778"/>
      <c r="AA30" s="1063"/>
      <c r="AB30" s="1063"/>
      <c r="AC30" s="4767"/>
      <c r="AD30" s="4852"/>
      <c r="AE30" s="4852"/>
      <c r="AF30" s="4852"/>
      <c r="AG30" s="4852"/>
      <c r="AH30" s="4852"/>
      <c r="AI30" s="4852"/>
      <c r="AJ30" s="4778"/>
      <c r="AK30" s="1063"/>
      <c r="AL30" s="1063"/>
      <c r="AM30" s="2542">
        <f>COUNTA(J11,T11,AD11,J19,T19,AD19,J27,T27,AD27,AS11,BC11,BM11,AS19,BC19,BM19,AS27,BC27,BM27)</f>
        <v>0</v>
      </c>
      <c r="AN30" s="2542">
        <f>IF(AO30=18,1,0)</f>
        <v>0</v>
      </c>
      <c r="AO30" s="2569">
        <f>$CE$30</f>
        <v>0</v>
      </c>
      <c r="AP30" s="1063"/>
      <c r="AQ30" s="1063"/>
      <c r="AR30" s="4767"/>
      <c r="AS30" s="4851"/>
      <c r="AT30" s="4851"/>
      <c r="AU30" s="4851"/>
      <c r="AV30" s="4851"/>
      <c r="AW30" s="4851"/>
      <c r="AX30" s="4851"/>
      <c r="AY30" s="4778"/>
      <c r="AZ30" s="1063"/>
      <c r="BA30" s="1063"/>
      <c r="BB30" s="4767"/>
      <c r="BC30" s="4851"/>
      <c r="BD30" s="4851"/>
      <c r="BE30" s="4851"/>
      <c r="BF30" s="4851"/>
      <c r="BG30" s="4851"/>
      <c r="BH30" s="4851"/>
      <c r="BI30" s="4778"/>
      <c r="BJ30" s="1063"/>
      <c r="BK30" s="1063"/>
      <c r="BL30" s="4767"/>
      <c r="BM30" s="4851"/>
      <c r="BN30" s="4851"/>
      <c r="BO30" s="4851"/>
      <c r="BP30" s="4851"/>
      <c r="BQ30" s="4851"/>
      <c r="BR30" s="4851"/>
      <c r="BS30" s="4778"/>
      <c r="BT30" s="1063"/>
      <c r="BU30" s="1063"/>
      <c r="BV30" s="1063"/>
      <c r="BW30" s="1052"/>
      <c r="BX30" s="605"/>
      <c r="BY30" s="605"/>
      <c r="BZ30" s="1058"/>
      <c r="CA30" s="17"/>
      <c r="CB30" s="19"/>
      <c r="CC30" s="19"/>
      <c r="CD30" s="2568" t="s">
        <v>1065</v>
      </c>
      <c r="CE30" s="2289">
        <f>SUM(CE38:CV38)</f>
        <v>0</v>
      </c>
      <c r="CF30" s="19"/>
      <c r="CG30" s="822"/>
      <c r="CH30" s="822"/>
      <c r="CI30" s="822"/>
      <c r="CJ30" s="822"/>
      <c r="CK30" s="822"/>
      <c r="CL30" s="822"/>
      <c r="CM30" s="822"/>
      <c r="CN30" s="822"/>
      <c r="CO30" s="822"/>
      <c r="CP30" s="822"/>
      <c r="CQ30" s="822"/>
      <c r="CR30" s="822"/>
      <c r="CS30" s="822"/>
      <c r="CT30" s="822"/>
      <c r="CU30" s="822"/>
      <c r="CV30" s="822"/>
      <c r="CW30" s="822"/>
      <c r="CX30" s="822"/>
      <c r="CY30" s="822"/>
      <c r="CZ30" s="822"/>
      <c r="DA30" s="822"/>
      <c r="DB30" s="822"/>
      <c r="DC30" s="822"/>
      <c r="DD30" s="822"/>
      <c r="DE30" s="822"/>
      <c r="DF30" s="822"/>
      <c r="DG30" s="822"/>
      <c r="DH30" s="822"/>
      <c r="DI30" s="822"/>
      <c r="DJ30" s="822"/>
      <c r="DK30" s="822"/>
      <c r="DL30" s="822"/>
      <c r="DM30" s="822"/>
      <c r="DN30" s="822"/>
      <c r="DO30" s="822"/>
      <c r="DP30" s="822"/>
      <c r="DQ30" s="822"/>
      <c r="DR30" s="822"/>
      <c r="DS30" s="822"/>
      <c r="DT30" s="822"/>
      <c r="DU30" s="822"/>
      <c r="DV30" s="822"/>
      <c r="DW30" s="822"/>
      <c r="DX30" s="822"/>
      <c r="DY30" s="822"/>
      <c r="DZ30" s="822"/>
      <c r="EA30" s="2290"/>
      <c r="EB30" s="2290"/>
      <c r="EC30" s="2291"/>
    </row>
    <row r="31" spans="1:148" ht="17.100000000000001" customHeight="1" thickTop="1" x14ac:dyDescent="0.2">
      <c r="A31" s="17"/>
      <c r="B31" s="1058"/>
      <c r="C31" s="17"/>
      <c r="D31" s="17"/>
      <c r="E31" s="1051"/>
      <c r="F31" s="1063"/>
      <c r="G31" s="1063"/>
      <c r="H31" s="1063"/>
      <c r="I31" s="1063"/>
      <c r="J31" s="1063"/>
      <c r="K31" s="1063"/>
      <c r="L31" s="1063"/>
      <c r="M31" s="1063"/>
      <c r="N31" s="1063"/>
      <c r="O31" s="1063"/>
      <c r="P31" s="1063"/>
      <c r="Q31" s="1063"/>
      <c r="R31" s="1063"/>
      <c r="S31" s="1063"/>
      <c r="T31" s="1063"/>
      <c r="U31" s="1063"/>
      <c r="V31" s="1063"/>
      <c r="W31" s="1063"/>
      <c r="X31" s="1063"/>
      <c r="Y31" s="1063"/>
      <c r="Z31" s="1063"/>
      <c r="AA31" s="1063"/>
      <c r="AB31" s="1063"/>
      <c r="AC31" s="1063"/>
      <c r="AD31" s="1063"/>
      <c r="AE31" s="1063"/>
      <c r="AF31" s="1063"/>
      <c r="AG31" s="1063"/>
      <c r="AH31" s="1063"/>
      <c r="AI31" s="1063"/>
      <c r="AJ31" s="1063"/>
      <c r="AK31" s="1063"/>
      <c r="AL31" s="1063"/>
      <c r="AM31" s="1063"/>
      <c r="AN31" s="1268"/>
      <c r="AO31" s="1063"/>
      <c r="AP31" s="1252"/>
      <c r="AQ31" s="1063"/>
      <c r="AR31" s="1063"/>
      <c r="AS31" s="1063"/>
      <c r="AT31" s="1063"/>
      <c r="AU31" s="1063"/>
      <c r="AV31" s="1063"/>
      <c r="AW31" s="1063"/>
      <c r="AX31" s="1063"/>
      <c r="AY31" s="1063"/>
      <c r="AZ31" s="1063"/>
      <c r="BA31" s="1063"/>
      <c r="BB31" s="1063"/>
      <c r="BC31" s="1063"/>
      <c r="BD31" s="1063"/>
      <c r="BE31" s="1063"/>
      <c r="BF31" s="1063"/>
      <c r="BG31" s="1063"/>
      <c r="BH31" s="1063"/>
      <c r="BI31" s="1063"/>
      <c r="BJ31" s="1063"/>
      <c r="BK31" s="1063"/>
      <c r="BL31" s="1063"/>
      <c r="BM31" s="1063"/>
      <c r="BN31" s="1063"/>
      <c r="BO31" s="1063"/>
      <c r="BP31" s="1063"/>
      <c r="BQ31" s="1063"/>
      <c r="BR31" s="1063"/>
      <c r="BS31" s="1063"/>
      <c r="BT31" s="1063"/>
      <c r="BU31" s="1063"/>
      <c r="BV31" s="1063"/>
      <c r="BW31" s="1052"/>
      <c r="BX31" s="605"/>
      <c r="BY31" s="605"/>
      <c r="BZ31" s="1058"/>
      <c r="CA31" s="17"/>
      <c r="CB31" s="19"/>
      <c r="CC31" s="19"/>
      <c r="CD31" s="19"/>
      <c r="CE31" s="19"/>
      <c r="CF31" s="19"/>
      <c r="CG31" s="822"/>
      <c r="CH31" s="822"/>
      <c r="CI31" s="822"/>
      <c r="CJ31" s="822"/>
      <c r="CK31" s="822"/>
      <c r="CL31" s="822"/>
      <c r="CM31" s="822"/>
      <c r="CN31" s="822"/>
      <c r="CO31" s="822"/>
      <c r="CP31" s="822"/>
      <c r="CQ31" s="822"/>
      <c r="CR31" s="822"/>
      <c r="CS31" s="822"/>
      <c r="CT31" s="822"/>
      <c r="CU31" s="822"/>
      <c r="CV31" s="822"/>
      <c r="CW31" s="822"/>
      <c r="CX31" s="822"/>
      <c r="CY31" s="822"/>
      <c r="CZ31" s="822"/>
      <c r="DA31" s="822"/>
      <c r="DB31" s="822"/>
      <c r="DC31" s="822"/>
      <c r="DD31" s="822"/>
      <c r="DE31" s="822"/>
      <c r="DF31" s="822"/>
      <c r="DG31" s="822"/>
      <c r="DH31" s="822"/>
      <c r="DI31" s="822"/>
      <c r="DJ31" s="822"/>
      <c r="DK31" s="822"/>
      <c r="DL31" s="822"/>
      <c r="DM31" s="822"/>
      <c r="DN31" s="822"/>
      <c r="DO31" s="2293"/>
      <c r="DP31" s="2290"/>
      <c r="DQ31" s="2290"/>
      <c r="DR31" s="2290"/>
      <c r="DS31" s="2290"/>
      <c r="DT31" s="2290"/>
      <c r="DU31" s="2290"/>
      <c r="DV31" s="2290"/>
      <c r="DW31" s="2290"/>
      <c r="DX31" s="2290"/>
      <c r="DY31" s="2290"/>
      <c r="DZ31" s="2290"/>
      <c r="EA31" s="2290"/>
      <c r="EB31" s="2290"/>
      <c r="EC31" s="2292"/>
    </row>
    <row r="32" spans="1:148" ht="17.100000000000001" customHeight="1" thickBot="1" x14ac:dyDescent="0.25">
      <c r="A32" s="17"/>
      <c r="B32" s="1058"/>
      <c r="C32" s="1072"/>
      <c r="D32" s="1072"/>
      <c r="E32" s="1055"/>
      <c r="F32" s="1056"/>
      <c r="G32" s="1063"/>
      <c r="H32" s="1063"/>
      <c r="I32" s="1063"/>
      <c r="J32" s="1063"/>
      <c r="K32" s="1063"/>
      <c r="L32" s="1063"/>
      <c r="M32" s="1063"/>
      <c r="N32" s="1063"/>
      <c r="O32" s="1063"/>
      <c r="P32" s="1063"/>
      <c r="Q32" s="1063"/>
      <c r="R32" s="1063"/>
      <c r="S32" s="1063"/>
      <c r="T32" s="1063"/>
      <c r="U32" s="1063"/>
      <c r="V32" s="1063"/>
      <c r="W32" s="1063"/>
      <c r="X32" s="1063"/>
      <c r="Y32" s="1063"/>
      <c r="Z32" s="1063"/>
      <c r="AA32" s="1063"/>
      <c r="AB32" s="1063"/>
      <c r="AC32" s="1063"/>
      <c r="AD32" s="1063"/>
      <c r="AE32" s="1063"/>
      <c r="AF32" s="1063"/>
      <c r="AG32" s="1063"/>
      <c r="AH32" s="1063"/>
      <c r="AI32" s="1063"/>
      <c r="AJ32" s="1254"/>
      <c r="AK32" s="1254"/>
      <c r="AL32" s="1254"/>
      <c r="AM32" s="1280"/>
      <c r="AN32" s="1281" t="str">
        <f>IF(AM33="","ENTER SHEET INITIATION DATE BELOW","SINCE")</f>
        <v>ENTER SHEET INITIATION DATE BELOW</v>
      </c>
      <c r="AO32" s="1280"/>
      <c r="AP32" s="1258"/>
      <c r="AQ32" s="1258"/>
      <c r="AR32" s="1258"/>
      <c r="AS32" s="1258"/>
      <c r="AT32" s="1258"/>
      <c r="AU32" s="1258"/>
      <c r="AV32" s="1258"/>
      <c r="AW32" s="1258"/>
      <c r="AX32" s="1258"/>
      <c r="AY32" s="1258"/>
      <c r="AZ32" s="1063"/>
      <c r="BA32" s="1063"/>
      <c r="BB32" s="1063"/>
      <c r="BC32" s="1063"/>
      <c r="BD32" s="1063"/>
      <c r="BE32" s="1063"/>
      <c r="BF32" s="1063"/>
      <c r="BG32" s="1063"/>
      <c r="BH32" s="1063"/>
      <c r="BI32" s="1063"/>
      <c r="BJ32" s="1063"/>
      <c r="BK32" s="1063"/>
      <c r="BL32" s="1063"/>
      <c r="BM32" s="1063"/>
      <c r="BN32" s="1063"/>
      <c r="BO32" s="1063"/>
      <c r="BP32" s="1063"/>
      <c r="BQ32" s="1063"/>
      <c r="BR32" s="1063"/>
      <c r="BS32" s="1063"/>
      <c r="BT32" s="1063"/>
      <c r="BU32" s="1063"/>
      <c r="BV32" s="1056"/>
      <c r="BW32" s="1057"/>
      <c r="BX32" s="605"/>
      <c r="BY32" s="605"/>
      <c r="BZ32" s="1058"/>
      <c r="CA32" s="17"/>
      <c r="CB32" s="19"/>
      <c r="CC32" s="19"/>
      <c r="CD32" s="19"/>
      <c r="CE32" s="19"/>
      <c r="CF32" s="19"/>
      <c r="CG32" s="822"/>
      <c r="CH32" s="822"/>
      <c r="CI32" s="822"/>
      <c r="CJ32" s="822"/>
      <c r="CK32" s="822"/>
      <c r="CL32" s="822"/>
      <c r="CM32" s="822"/>
      <c r="CN32" s="822"/>
      <c r="CO32" s="822"/>
      <c r="CP32" s="822"/>
      <c r="CQ32" s="822"/>
      <c r="CR32" s="822"/>
      <c r="CS32" s="822"/>
      <c r="CT32" s="822"/>
      <c r="CU32" s="822"/>
      <c r="CV32" s="822"/>
      <c r="CW32" s="822"/>
      <c r="CX32" s="822"/>
      <c r="CY32" s="822"/>
      <c r="CZ32" s="822"/>
      <c r="DA32" s="822"/>
      <c r="DB32" s="822"/>
      <c r="DC32" s="822"/>
      <c r="DD32" s="822"/>
      <c r="DE32" s="822"/>
      <c r="DF32" s="822"/>
      <c r="DG32" s="822"/>
      <c r="DH32" s="822"/>
      <c r="DI32" s="822"/>
      <c r="DJ32" s="822"/>
      <c r="DK32" s="822"/>
      <c r="DL32" s="822"/>
      <c r="DM32" s="822"/>
      <c r="DN32" s="822"/>
      <c r="DO32" s="334"/>
      <c r="DP32" s="2290"/>
      <c r="DQ32" s="2290"/>
      <c r="DR32" s="2290"/>
      <c r="DS32" s="2290"/>
      <c r="DT32" s="2290"/>
      <c r="DU32" s="2290"/>
      <c r="DV32" s="2290"/>
      <c r="DW32" s="2290"/>
      <c r="DX32" s="2290"/>
      <c r="DY32" s="2290"/>
      <c r="DZ32" s="2290"/>
      <c r="EA32" s="2290"/>
      <c r="EB32" s="2290"/>
      <c r="EC32" s="2291"/>
    </row>
    <row r="33" spans="1:133" ht="17.100000000000001" customHeight="1" thickTop="1" x14ac:dyDescent="0.2">
      <c r="A33" s="17"/>
      <c r="B33" s="1058"/>
      <c r="C33" s="17"/>
      <c r="D33" s="17"/>
      <c r="E33" s="1072"/>
      <c r="F33" s="1072"/>
      <c r="G33" s="1051"/>
      <c r="H33" s="1063"/>
      <c r="I33" s="1063"/>
      <c r="J33" s="1063"/>
      <c r="K33" s="1063"/>
      <c r="L33" s="1063"/>
      <c r="M33" s="1063"/>
      <c r="N33" s="1063"/>
      <c r="O33" s="1063"/>
      <c r="P33" s="1063"/>
      <c r="Q33" s="1063"/>
      <c r="R33" s="1063"/>
      <c r="S33" s="1063"/>
      <c r="T33" s="1063"/>
      <c r="U33" s="1063"/>
      <c r="V33" s="1063"/>
      <c r="W33" s="1063"/>
      <c r="X33" s="1063"/>
      <c r="Y33" s="1063"/>
      <c r="Z33" s="1063"/>
      <c r="AA33" s="1063"/>
      <c r="AB33" s="1063"/>
      <c r="AC33" s="1063"/>
      <c r="AD33" s="1063"/>
      <c r="AE33" s="1063"/>
      <c r="AF33" s="1063"/>
      <c r="AG33" s="1063"/>
      <c r="AH33" s="1063"/>
      <c r="AI33" s="1063"/>
      <c r="AJ33" s="1255"/>
      <c r="AK33" s="1255"/>
      <c r="AL33" s="1255"/>
      <c r="AM33" s="4854"/>
      <c r="AN33" s="4854"/>
      <c r="AO33" s="4854"/>
      <c r="AP33" s="1063"/>
      <c r="AQ33" s="1063"/>
      <c r="AR33" s="1063"/>
      <c r="AS33" s="1063"/>
      <c r="AT33" s="1256"/>
      <c r="AU33" s="1063"/>
      <c r="AV33" s="1257"/>
      <c r="AW33" s="1063"/>
      <c r="AX33" s="1063"/>
      <c r="AY33" s="1063"/>
      <c r="AZ33" s="1063"/>
      <c r="BA33" s="1063"/>
      <c r="BB33" s="1063"/>
      <c r="BC33" s="1063"/>
      <c r="BD33" s="1063"/>
      <c r="BE33" s="1063"/>
      <c r="BF33" s="1063"/>
      <c r="BG33" s="1063"/>
      <c r="BH33" s="1063"/>
      <c r="BI33" s="1063"/>
      <c r="BJ33" s="1063"/>
      <c r="BK33" s="1063"/>
      <c r="BL33" s="1063"/>
      <c r="BM33" s="1063"/>
      <c r="BN33" s="1063"/>
      <c r="BO33" s="1063"/>
      <c r="BP33" s="1063"/>
      <c r="BQ33" s="1063"/>
      <c r="BR33" s="1063"/>
      <c r="BS33" s="1063"/>
      <c r="BT33" s="1063"/>
      <c r="BU33" s="1052"/>
      <c r="BV33" s="1072"/>
      <c r="BW33" s="1072"/>
      <c r="BX33" s="17"/>
      <c r="BY33" s="17"/>
      <c r="BZ33" s="1058"/>
      <c r="CA33" s="17"/>
      <c r="CB33" s="19"/>
      <c r="CC33" s="19"/>
      <c r="CG33" s="822"/>
      <c r="CH33" s="822"/>
      <c r="CI33" s="822"/>
      <c r="CJ33" s="822"/>
      <c r="CK33" s="822"/>
      <c r="CL33" s="822"/>
      <c r="CM33" s="822"/>
      <c r="CN33" s="822"/>
      <c r="CO33" s="822"/>
      <c r="CP33" s="822"/>
      <c r="CQ33" s="822"/>
      <c r="CR33" s="822"/>
      <c r="CS33" s="822"/>
      <c r="CT33" s="822"/>
      <c r="CU33" s="822"/>
      <c r="CV33" s="822"/>
      <c r="CW33" s="822"/>
      <c r="CX33" s="822"/>
      <c r="CY33" s="822"/>
      <c r="CZ33" s="822"/>
      <c r="DA33" s="822"/>
      <c r="DB33" s="822"/>
      <c r="DC33" s="822"/>
      <c r="DD33" s="822"/>
      <c r="DE33" s="822"/>
      <c r="DF33" s="822"/>
      <c r="DG33" s="822"/>
      <c r="DH33" s="822"/>
      <c r="DI33" s="822"/>
      <c r="DJ33" s="822"/>
      <c r="DK33" s="822"/>
      <c r="DL33" s="822"/>
      <c r="DM33" s="822"/>
      <c r="DN33" s="822"/>
      <c r="DO33" s="2293"/>
      <c r="DP33" s="2290"/>
      <c r="DQ33" s="2290"/>
      <c r="DR33" s="2290"/>
      <c r="DS33" s="2290"/>
      <c r="DT33" s="2290"/>
      <c r="DU33" s="2290"/>
      <c r="DV33" s="2290"/>
      <c r="DW33" s="2290"/>
      <c r="DX33" s="2290"/>
      <c r="DY33" s="2290"/>
      <c r="DZ33" s="2290"/>
      <c r="EA33" s="2290"/>
      <c r="EB33" s="2290"/>
      <c r="EC33" s="2292"/>
    </row>
    <row r="34" spans="1:133" ht="17.100000000000001" customHeight="1" thickBot="1" x14ac:dyDescent="0.25">
      <c r="A34" s="17"/>
      <c r="B34" s="1058"/>
      <c r="C34" s="790"/>
      <c r="D34" s="17"/>
      <c r="E34" s="1072"/>
      <c r="F34" s="1072"/>
      <c r="G34" s="1269"/>
      <c r="H34" s="1056"/>
      <c r="I34" s="1056"/>
      <c r="J34" s="1056"/>
      <c r="K34" s="1056"/>
      <c r="L34" s="1056"/>
      <c r="M34" s="1056"/>
      <c r="N34" s="1056"/>
      <c r="O34" s="1056"/>
      <c r="P34" s="1056"/>
      <c r="Q34" s="1056"/>
      <c r="R34" s="1056"/>
      <c r="S34" s="1056"/>
      <c r="T34" s="1056"/>
      <c r="U34" s="1056"/>
      <c r="V34" s="1056"/>
      <c r="W34" s="1056"/>
      <c r="X34" s="1056"/>
      <c r="Y34" s="1056"/>
      <c r="Z34" s="1056"/>
      <c r="AA34" s="1063"/>
      <c r="AB34" s="1063"/>
      <c r="AC34" s="4848" t="s">
        <v>953</v>
      </c>
      <c r="AD34" s="4849"/>
      <c r="AE34" s="4849"/>
      <c r="AF34" s="4849"/>
      <c r="AG34" s="4849"/>
      <c r="AH34" s="4849"/>
      <c r="AI34" s="4849"/>
      <c r="AJ34" s="4849"/>
      <c r="AK34" s="4849"/>
      <c r="AL34" s="4849"/>
      <c r="AM34" s="4849"/>
      <c r="AN34" s="4849"/>
      <c r="AO34" s="4849"/>
      <c r="AP34" s="4849"/>
      <c r="AQ34" s="4849"/>
      <c r="AR34" s="4849"/>
      <c r="AS34" s="4849"/>
      <c r="AT34" s="4849"/>
      <c r="AU34" s="4849"/>
      <c r="AV34" s="4849"/>
      <c r="AW34" s="4849"/>
      <c r="AX34" s="4849"/>
      <c r="AY34" s="4849"/>
      <c r="AZ34" s="1063"/>
      <c r="BA34" s="1063"/>
      <c r="BB34" s="1056"/>
      <c r="BC34" s="1056"/>
      <c r="BD34" s="1056"/>
      <c r="BE34" s="1056"/>
      <c r="BF34" s="1056"/>
      <c r="BG34" s="1056"/>
      <c r="BH34" s="1056"/>
      <c r="BI34" s="1056"/>
      <c r="BJ34" s="1056"/>
      <c r="BK34" s="1056"/>
      <c r="BL34" s="1056"/>
      <c r="BM34" s="1056"/>
      <c r="BN34" s="1056"/>
      <c r="BO34" s="1056"/>
      <c r="BP34" s="1056"/>
      <c r="BQ34" s="1056"/>
      <c r="BR34" s="1056"/>
      <c r="BS34" s="1056"/>
      <c r="BT34" s="1056"/>
      <c r="BU34" s="1270"/>
      <c r="BV34" s="1072"/>
      <c r="BW34" s="1072"/>
      <c r="BX34" s="17"/>
      <c r="BY34" s="790"/>
      <c r="BZ34" s="1073"/>
      <c r="CA34" s="17"/>
      <c r="CB34" s="19"/>
      <c r="CC34" s="960"/>
      <c r="CD34" s="1557" t="s">
        <v>1657</v>
      </c>
      <c r="CG34" s="822"/>
      <c r="CH34" s="822"/>
      <c r="CI34" s="822"/>
      <c r="CJ34" s="822"/>
      <c r="CK34" s="822"/>
      <c r="CL34" s="822"/>
      <c r="CM34" s="822"/>
      <c r="CN34" s="822"/>
      <c r="CO34" s="822"/>
      <c r="CP34" s="822"/>
      <c r="CQ34" s="822"/>
      <c r="CR34" s="822"/>
      <c r="CS34" s="822"/>
      <c r="CT34" s="822"/>
      <c r="CU34" s="822"/>
      <c r="CV34" s="822"/>
      <c r="CW34" s="822"/>
      <c r="CX34" s="822"/>
      <c r="CY34" s="822"/>
      <c r="CZ34" s="822"/>
      <c r="DA34" s="822"/>
      <c r="DB34" s="822"/>
      <c r="DC34" s="822"/>
      <c r="DD34" s="822"/>
      <c r="DE34" s="822"/>
      <c r="DF34" s="822"/>
      <c r="DG34" s="822"/>
      <c r="DH34" s="822"/>
      <c r="DI34" s="822"/>
      <c r="DJ34" s="822"/>
      <c r="DK34" s="822"/>
      <c r="DL34" s="822"/>
      <c r="DM34" s="822"/>
      <c r="DN34" s="822"/>
      <c r="DO34" s="334"/>
      <c r="DP34" s="2290"/>
      <c r="DQ34" s="2290"/>
      <c r="DR34" s="2290"/>
      <c r="DS34" s="2290"/>
      <c r="DT34" s="2290"/>
      <c r="DU34" s="2290"/>
      <c r="DV34" s="2290"/>
      <c r="DW34" s="2290"/>
      <c r="DX34" s="2290"/>
      <c r="DY34" s="2290"/>
      <c r="DZ34" s="2290"/>
      <c r="EA34" s="2290"/>
      <c r="EB34" s="2290"/>
      <c r="EC34" s="2291"/>
    </row>
    <row r="35" spans="1:133" ht="17.100000000000001" customHeight="1" thickTop="1" x14ac:dyDescent="0.2">
      <c r="A35" s="17"/>
      <c r="B35" s="1058"/>
      <c r="C35" s="790"/>
      <c r="D35" s="791"/>
      <c r="E35" s="1072"/>
      <c r="F35" s="1072"/>
      <c r="G35" s="1072"/>
      <c r="H35" s="1072"/>
      <c r="I35" s="1072"/>
      <c r="J35" s="1072"/>
      <c r="K35" s="1072"/>
      <c r="L35" s="1072"/>
      <c r="M35" s="1072"/>
      <c r="N35" s="1072"/>
      <c r="O35" s="1072"/>
      <c r="P35" s="1072"/>
      <c r="Q35" s="1072"/>
      <c r="R35" s="1072"/>
      <c r="S35" s="1072"/>
      <c r="T35" s="1072"/>
      <c r="U35" s="1072"/>
      <c r="V35" s="1072"/>
      <c r="W35" s="1072"/>
      <c r="X35" s="1072"/>
      <c r="Y35" s="1072"/>
      <c r="Z35" s="1072"/>
      <c r="AA35" s="1051"/>
      <c r="AB35" s="1063"/>
      <c r="AC35" s="4849"/>
      <c r="AD35" s="4849"/>
      <c r="AE35" s="4849"/>
      <c r="AF35" s="4849"/>
      <c r="AG35" s="4849"/>
      <c r="AH35" s="4849"/>
      <c r="AI35" s="4849"/>
      <c r="AJ35" s="4849"/>
      <c r="AK35" s="4849"/>
      <c r="AL35" s="4849"/>
      <c r="AM35" s="4849"/>
      <c r="AN35" s="4849"/>
      <c r="AO35" s="4849"/>
      <c r="AP35" s="4849"/>
      <c r="AQ35" s="4849"/>
      <c r="AR35" s="4849"/>
      <c r="AS35" s="4849"/>
      <c r="AT35" s="4849"/>
      <c r="AU35" s="4849"/>
      <c r="AV35" s="4849"/>
      <c r="AW35" s="4849"/>
      <c r="AX35" s="4849"/>
      <c r="AY35" s="4849"/>
      <c r="AZ35" s="1063"/>
      <c r="BA35" s="1052"/>
      <c r="BB35" s="1072"/>
      <c r="BC35" s="1072"/>
      <c r="BD35" s="1072"/>
      <c r="BE35" s="1072"/>
      <c r="BF35" s="1072"/>
      <c r="BG35" s="1072"/>
      <c r="BH35" s="1072"/>
      <c r="BI35" s="1072"/>
      <c r="BJ35" s="1072"/>
      <c r="BK35" s="1072"/>
      <c r="BL35" s="1072"/>
      <c r="BM35" s="1072"/>
      <c r="BN35" s="1072"/>
      <c r="BO35" s="1072"/>
      <c r="BP35" s="1072"/>
      <c r="BQ35" s="1072"/>
      <c r="BR35" s="1072"/>
      <c r="BS35" s="1072"/>
      <c r="BT35" s="1072"/>
      <c r="BU35" s="1072"/>
      <c r="BV35" s="1072"/>
      <c r="BW35" s="1072"/>
      <c r="BX35" s="791"/>
      <c r="BY35" s="790"/>
      <c r="BZ35" s="1073"/>
      <c r="CA35" s="17"/>
      <c r="CB35" s="19"/>
      <c r="CC35" s="19"/>
      <c r="CD35" s="298" t="s">
        <v>1502</v>
      </c>
      <c r="CE35" s="306">
        <f>IF(J11&lt;&gt;"",1,0)</f>
        <v>0</v>
      </c>
      <c r="CF35" s="306">
        <f>IF(T11&lt;&gt;"",1,0)</f>
        <v>0</v>
      </c>
      <c r="CG35" s="306">
        <f>IF(AD11&lt;&gt;"",1,0)</f>
        <v>0</v>
      </c>
      <c r="CH35" s="306">
        <f>IF(AS11&lt;&gt;"",1,0)</f>
        <v>0</v>
      </c>
      <c r="CI35" s="306">
        <f>IF(BC11&lt;&gt;"",1,0)</f>
        <v>0</v>
      </c>
      <c r="CJ35" s="306">
        <f>IF(BM11&lt;&gt;"",1,0)</f>
        <v>0</v>
      </c>
      <c r="CK35" s="306">
        <f>IF(J19&lt;&gt;"",1,0)</f>
        <v>0</v>
      </c>
      <c r="CL35" s="306">
        <f>IF(T19&lt;&gt;"",1,0)</f>
        <v>0</v>
      </c>
      <c r="CM35" s="306">
        <f>IF(AD19&lt;&gt;"",1,0)</f>
        <v>0</v>
      </c>
      <c r="CN35" s="306">
        <f>IF(AS19&lt;&gt;"",1,0)</f>
        <v>0</v>
      </c>
      <c r="CO35" s="306">
        <f>IF(BC19&lt;&gt;"",1,0)</f>
        <v>0</v>
      </c>
      <c r="CP35" s="306">
        <f>IF(BM19&lt;&gt;"",1,0)</f>
        <v>0</v>
      </c>
      <c r="CQ35" s="306">
        <f>IF(J27&lt;&gt;"",1,0)</f>
        <v>0</v>
      </c>
      <c r="CR35" s="306">
        <f>IF(T27&lt;&gt;"",1,0)</f>
        <v>0</v>
      </c>
      <c r="CS35" s="306">
        <f>IF(AD27&lt;&gt;"",1,0)</f>
        <v>0</v>
      </c>
      <c r="CT35" s="306">
        <f>IF(AS27&lt;&gt;"",1,0)</f>
        <v>0</v>
      </c>
      <c r="CU35" s="306">
        <f>IF(BC27&lt;&gt;"",1,0)</f>
        <v>0</v>
      </c>
      <c r="CV35" s="306">
        <f>IF(BM27&lt;&gt;"",1,0)</f>
        <v>0</v>
      </c>
      <c r="CW35" s="822"/>
      <c r="CX35" s="822"/>
      <c r="CY35" s="822"/>
      <c r="CZ35" s="822"/>
      <c r="DA35" s="822"/>
      <c r="DB35" s="822"/>
      <c r="DC35" s="822"/>
      <c r="DD35" s="822"/>
      <c r="DE35" s="822"/>
      <c r="DF35" s="822"/>
      <c r="DG35" s="822"/>
      <c r="DH35" s="822"/>
      <c r="DI35" s="822"/>
      <c r="DJ35" s="822"/>
      <c r="DK35" s="822"/>
      <c r="DL35" s="822"/>
      <c r="DM35" s="822"/>
      <c r="DN35" s="822"/>
      <c r="DO35" s="2293"/>
      <c r="DP35" s="2290"/>
      <c r="DQ35" s="2290"/>
      <c r="DR35" s="2290"/>
      <c r="DS35" s="2290"/>
      <c r="DT35" s="2290"/>
      <c r="DU35" s="2290"/>
      <c r="DV35" s="2290"/>
      <c r="DW35" s="2290"/>
      <c r="DX35" s="2290"/>
      <c r="DY35" s="2290"/>
      <c r="DZ35" s="2290"/>
      <c r="EA35" s="2290"/>
      <c r="EB35" s="2290"/>
      <c r="EC35" s="2292"/>
    </row>
    <row r="36" spans="1:133" ht="17.100000000000001" customHeight="1" thickBot="1" x14ac:dyDescent="0.25">
      <c r="A36" s="17"/>
      <c r="B36" s="1058"/>
      <c r="C36" s="790"/>
      <c r="D36" s="790"/>
      <c r="E36" s="790"/>
      <c r="F36" s="1072"/>
      <c r="G36" s="1072"/>
      <c r="H36" s="1072"/>
      <c r="I36" s="1072"/>
      <c r="J36" s="1072"/>
      <c r="K36" s="1072"/>
      <c r="L36" s="1072"/>
      <c r="M36" s="1072"/>
      <c r="N36" s="1072"/>
      <c r="O36" s="1072"/>
      <c r="P36" s="1072"/>
      <c r="Q36" s="1072"/>
      <c r="R36" s="1072"/>
      <c r="S36" s="1072"/>
      <c r="T36" s="1072"/>
      <c r="U36" s="1072"/>
      <c r="V36" s="1072"/>
      <c r="W36" s="1072"/>
      <c r="X36" s="1072"/>
      <c r="Y36" s="1072"/>
      <c r="Z36" s="1072"/>
      <c r="AA36" s="1055"/>
      <c r="AB36" s="1056"/>
      <c r="AC36" s="1056"/>
      <c r="AD36" s="1056"/>
      <c r="AE36" s="1056"/>
      <c r="AF36" s="1056"/>
      <c r="AG36" s="1056"/>
      <c r="AH36" s="1056"/>
      <c r="AI36" s="1056"/>
      <c r="AJ36" s="1056"/>
      <c r="AK36" s="1056"/>
      <c r="AL36" s="1056"/>
      <c r="AM36" s="1056"/>
      <c r="AN36" s="1260"/>
      <c r="AO36" s="1056"/>
      <c r="AP36" s="1056"/>
      <c r="AQ36" s="1056"/>
      <c r="AR36" s="1056"/>
      <c r="AS36" s="1056"/>
      <c r="AT36" s="1056"/>
      <c r="AU36" s="1056"/>
      <c r="AV36" s="1056"/>
      <c r="AW36" s="1056"/>
      <c r="AX36" s="1056"/>
      <c r="AY36" s="1056"/>
      <c r="AZ36" s="1056"/>
      <c r="BA36" s="1057"/>
      <c r="BB36" s="1072"/>
      <c r="BC36" s="1072"/>
      <c r="BD36" s="1072"/>
      <c r="BE36" s="1072"/>
      <c r="BF36" s="1072"/>
      <c r="BG36" s="1072"/>
      <c r="BH36" s="1072"/>
      <c r="BI36" s="1072"/>
      <c r="BJ36" s="1072"/>
      <c r="BK36" s="1072"/>
      <c r="BL36" s="1072"/>
      <c r="BM36" s="1072"/>
      <c r="BN36" s="1072"/>
      <c r="BO36" s="1072"/>
      <c r="BP36" s="1072"/>
      <c r="BQ36" s="1072"/>
      <c r="BR36" s="1072"/>
      <c r="BS36" s="1072"/>
      <c r="BT36" s="1072"/>
      <c r="BU36" s="1072"/>
      <c r="BV36" s="1072"/>
      <c r="BW36" s="790"/>
      <c r="BX36" s="790"/>
      <c r="BY36" s="790"/>
      <c r="BZ36" s="1073"/>
      <c r="CA36" s="17"/>
      <c r="CB36" s="19"/>
      <c r="CC36" s="19"/>
      <c r="CD36" s="298" t="s">
        <v>1658</v>
      </c>
      <c r="CE36" s="306">
        <f>IF(J14&lt;&gt;"",1,0)</f>
        <v>0</v>
      </c>
      <c r="CF36" s="306">
        <f>IF(T14&lt;&gt;"",1,0)</f>
        <v>0</v>
      </c>
      <c r="CG36" s="306">
        <f>IF(AD14&lt;&gt;"",1,0)</f>
        <v>0</v>
      </c>
      <c r="CH36" s="306">
        <f>IF(AS14&lt;&gt;"",1,0)</f>
        <v>0</v>
      </c>
      <c r="CI36" s="306">
        <f>IF(BC14&lt;&gt;"",1,0)</f>
        <v>0</v>
      </c>
      <c r="CJ36" s="306">
        <f>IF(BM14&lt;&gt;"",1,0)</f>
        <v>0</v>
      </c>
      <c r="CK36" s="306">
        <f>IF(J22&lt;&gt;"",1,0)</f>
        <v>0</v>
      </c>
      <c r="CL36" s="306">
        <f>IF(T22&lt;&gt;"",1,0)</f>
        <v>0</v>
      </c>
      <c r="CM36" s="306">
        <f>IF(AD22&lt;&gt;"",1,0)</f>
        <v>0</v>
      </c>
      <c r="CN36" s="306">
        <f>IF(AS22&lt;&gt;"",1,0)</f>
        <v>0</v>
      </c>
      <c r="CO36" s="306">
        <f>IF(BC22&lt;&gt;"",1,0)</f>
        <v>0</v>
      </c>
      <c r="CP36" s="306">
        <f>IF(BM22&lt;&gt;"",1,0)</f>
        <v>0</v>
      </c>
      <c r="CQ36" s="306">
        <f>IF(J30&lt;&gt;"",1,0)</f>
        <v>0</v>
      </c>
      <c r="CR36" s="306">
        <f>IF(T30&lt;&gt;"",1,0)</f>
        <v>0</v>
      </c>
      <c r="CS36" s="306">
        <f>IF(AD30&lt;&gt;"",1,0)</f>
        <v>0</v>
      </c>
      <c r="CT36" s="306">
        <f>IF(AS30&lt;&gt;"",1,0)</f>
        <v>0</v>
      </c>
      <c r="CU36" s="306">
        <f>IF(BC30&lt;&gt;"",1,0)</f>
        <v>0</v>
      </c>
      <c r="CV36" s="306">
        <f>IF(BM30&lt;&gt;"",1,0)</f>
        <v>0</v>
      </c>
      <c r="CW36" s="822"/>
      <c r="CX36" s="822"/>
      <c r="CY36" s="822"/>
      <c r="CZ36" s="822"/>
      <c r="DA36" s="822"/>
      <c r="DB36" s="822"/>
      <c r="DC36" s="822"/>
      <c r="DD36" s="822"/>
      <c r="DE36" s="822"/>
      <c r="DF36" s="822"/>
      <c r="DG36" s="822"/>
      <c r="DH36" s="822"/>
      <c r="DI36" s="822"/>
      <c r="DJ36" s="822"/>
      <c r="DK36" s="822"/>
      <c r="DL36" s="822"/>
      <c r="DM36" s="822"/>
      <c r="DN36" s="822"/>
      <c r="DO36" s="334"/>
      <c r="DP36" s="2290"/>
      <c r="DQ36" s="2290"/>
      <c r="DR36" s="2290"/>
      <c r="DS36" s="2290"/>
      <c r="DT36" s="2290"/>
      <c r="DU36" s="2290"/>
      <c r="DV36" s="2290"/>
      <c r="DW36" s="2290"/>
      <c r="DX36" s="2290"/>
      <c r="DY36" s="2290"/>
      <c r="DZ36" s="2290"/>
      <c r="EA36" s="2290"/>
      <c r="EB36" s="2290"/>
      <c r="EC36" s="2291"/>
    </row>
    <row r="37" spans="1:133" ht="17.100000000000001" customHeight="1" thickTop="1" x14ac:dyDescent="0.2">
      <c r="A37" s="17"/>
      <c r="B37" s="1058"/>
      <c r="C37" s="1058"/>
      <c r="D37" s="1058"/>
      <c r="E37" s="1058"/>
      <c r="F37" s="1058"/>
      <c r="G37" s="17"/>
      <c r="H37" s="17"/>
      <c r="I37" s="17"/>
      <c r="J37" s="17"/>
      <c r="K37" s="17"/>
      <c r="L37" s="17"/>
      <c r="M37" s="17"/>
      <c r="N37" s="17"/>
      <c r="O37" s="17"/>
      <c r="P37" s="17"/>
      <c r="Q37" s="17"/>
      <c r="R37" s="17"/>
      <c r="S37" s="17"/>
      <c r="T37" s="605"/>
      <c r="U37" s="605"/>
      <c r="V37" s="605"/>
      <c r="W37" s="605"/>
      <c r="X37" s="635"/>
      <c r="Y37" s="605"/>
      <c r="Z37" s="605"/>
      <c r="AA37" s="605"/>
      <c r="AB37" s="605"/>
      <c r="AC37" s="605"/>
      <c r="AD37" s="605"/>
      <c r="AE37" s="605"/>
      <c r="AF37" s="605"/>
      <c r="AG37" s="605"/>
      <c r="AH37" s="605"/>
      <c r="AI37" s="605"/>
      <c r="AJ37" s="605"/>
      <c r="AK37" s="605"/>
      <c r="AL37" s="605"/>
      <c r="AM37" s="605"/>
      <c r="AN37" s="605"/>
      <c r="AO37" s="605"/>
      <c r="AP37" s="605"/>
      <c r="AQ37" s="605"/>
      <c r="AR37" s="605"/>
      <c r="AS37" s="605"/>
      <c r="AT37" s="605"/>
      <c r="AU37" s="605"/>
      <c r="AV37" s="605"/>
      <c r="AW37" s="605"/>
      <c r="AX37" s="605"/>
      <c r="AY37" s="605"/>
      <c r="AZ37" s="605"/>
      <c r="BA37" s="605"/>
      <c r="BB37" s="605"/>
      <c r="BC37" s="605"/>
      <c r="BD37" s="605"/>
      <c r="BE37" s="605" t="s">
        <v>47</v>
      </c>
      <c r="BF37" s="605"/>
      <c r="BG37" s="605"/>
      <c r="BH37" s="605"/>
      <c r="BI37" s="605"/>
      <c r="BJ37" s="605"/>
      <c r="BK37" s="605"/>
      <c r="BL37" s="605"/>
      <c r="BM37" s="605"/>
      <c r="BN37" s="605"/>
      <c r="BO37" s="605"/>
      <c r="BP37" s="605"/>
      <c r="BQ37" s="605"/>
      <c r="BR37" s="605"/>
      <c r="BS37" s="605"/>
      <c r="BT37" s="605"/>
      <c r="BU37" s="605"/>
      <c r="BV37" s="1073"/>
      <c r="BW37" s="1073"/>
      <c r="BX37" s="1073"/>
      <c r="BY37" s="1073"/>
      <c r="BZ37" s="1058"/>
      <c r="CA37" s="17"/>
      <c r="CB37" s="19"/>
      <c r="CC37" s="19"/>
      <c r="CD37" s="2571" t="s">
        <v>1659</v>
      </c>
      <c r="CF37" s="822"/>
      <c r="CG37" s="822"/>
      <c r="CH37" s="822"/>
      <c r="CI37" s="822"/>
      <c r="CJ37" s="822"/>
      <c r="CK37" s="822"/>
      <c r="CL37" s="822"/>
      <c r="CM37" s="822"/>
      <c r="CN37" s="822"/>
      <c r="CO37" s="822"/>
      <c r="CP37" s="822"/>
      <c r="CQ37" s="822"/>
      <c r="CR37" s="822"/>
      <c r="CS37" s="822"/>
      <c r="CT37" s="822"/>
      <c r="CU37" s="822"/>
      <c r="CV37" s="822"/>
      <c r="CW37" s="822"/>
      <c r="CX37" s="822"/>
      <c r="CY37" s="822"/>
      <c r="CZ37" s="822"/>
      <c r="DA37" s="822"/>
      <c r="DB37" s="822"/>
      <c r="DC37" s="822"/>
      <c r="DD37" s="822"/>
      <c r="DE37" s="822"/>
      <c r="DF37" s="822"/>
      <c r="DG37" s="822"/>
      <c r="DH37" s="822"/>
      <c r="DI37" s="822"/>
      <c r="DJ37" s="822"/>
      <c r="DK37" s="822"/>
      <c r="DL37" s="822"/>
      <c r="DM37" s="822"/>
      <c r="DN37" s="822"/>
      <c r="DO37" s="2294"/>
      <c r="DP37" s="2290"/>
      <c r="DQ37" s="2290"/>
      <c r="DR37" s="2290"/>
      <c r="DS37" s="2290"/>
      <c r="DT37" s="2290"/>
      <c r="DU37" s="2290"/>
      <c r="DV37" s="2290"/>
      <c r="DW37" s="2290"/>
      <c r="DX37" s="2290"/>
      <c r="DY37" s="2290"/>
      <c r="DZ37" s="2290"/>
      <c r="EA37" s="2290"/>
      <c r="EB37" s="2290"/>
      <c r="EC37" s="2292"/>
    </row>
    <row r="38" spans="1:133" ht="17.100000000000001" customHeight="1" x14ac:dyDescent="0.2">
      <c r="A38" s="17"/>
      <c r="B38" s="17"/>
      <c r="C38" s="32"/>
      <c r="D38" s="31"/>
      <c r="E38" s="17"/>
      <c r="F38" s="17"/>
      <c r="G38" s="17"/>
      <c r="H38" s="31"/>
      <c r="I38" s="17"/>
      <c r="J38" s="17"/>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31" t="s">
        <v>1</v>
      </c>
      <c r="AO38" s="17"/>
      <c r="AP38" s="17"/>
      <c r="AQ38" s="17"/>
      <c r="AR38" s="17"/>
      <c r="AS38" s="17"/>
      <c r="AT38" s="17"/>
      <c r="AU38" s="17"/>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31"/>
      <c r="BU38" s="17"/>
      <c r="BV38" s="17"/>
      <c r="BW38" s="17"/>
      <c r="BX38" s="31"/>
      <c r="BY38" s="17"/>
      <c r="BZ38" s="17"/>
      <c r="CA38" s="17"/>
      <c r="CB38" s="19"/>
      <c r="CC38" s="19"/>
      <c r="CD38" s="2572" t="s">
        <v>1658</v>
      </c>
      <c r="CE38" s="2570">
        <f>IF(CE35+CE36=2,1,0)</f>
        <v>0</v>
      </c>
      <c r="CF38" s="2570">
        <f t="shared" ref="CF38:CV38" si="0">IF(CF35+CF36=2,1,0)</f>
        <v>0</v>
      </c>
      <c r="CG38" s="2570">
        <f t="shared" si="0"/>
        <v>0</v>
      </c>
      <c r="CH38" s="2570">
        <f t="shared" si="0"/>
        <v>0</v>
      </c>
      <c r="CI38" s="2570">
        <f t="shared" si="0"/>
        <v>0</v>
      </c>
      <c r="CJ38" s="2570">
        <f t="shared" si="0"/>
        <v>0</v>
      </c>
      <c r="CK38" s="2570">
        <f t="shared" si="0"/>
        <v>0</v>
      </c>
      <c r="CL38" s="2570">
        <f t="shared" si="0"/>
        <v>0</v>
      </c>
      <c r="CM38" s="2570">
        <f t="shared" si="0"/>
        <v>0</v>
      </c>
      <c r="CN38" s="2570">
        <f t="shared" si="0"/>
        <v>0</v>
      </c>
      <c r="CO38" s="2570">
        <f t="shared" si="0"/>
        <v>0</v>
      </c>
      <c r="CP38" s="2570">
        <f t="shared" si="0"/>
        <v>0</v>
      </c>
      <c r="CQ38" s="2570">
        <f t="shared" si="0"/>
        <v>0</v>
      </c>
      <c r="CR38" s="2570">
        <f t="shared" si="0"/>
        <v>0</v>
      </c>
      <c r="CS38" s="2570">
        <f t="shared" si="0"/>
        <v>0</v>
      </c>
      <c r="CT38" s="2570">
        <f t="shared" si="0"/>
        <v>0</v>
      </c>
      <c r="CU38" s="2570">
        <f t="shared" si="0"/>
        <v>0</v>
      </c>
      <c r="CV38" s="2570">
        <f t="shared" si="0"/>
        <v>0</v>
      </c>
      <c r="CW38" s="822"/>
      <c r="CX38" s="822"/>
      <c r="CY38" s="822"/>
      <c r="CZ38" s="822"/>
      <c r="DA38" s="822"/>
      <c r="DB38" s="822"/>
      <c r="DC38" s="822"/>
      <c r="DD38" s="822"/>
      <c r="DE38" s="822"/>
      <c r="DF38" s="822"/>
      <c r="DG38" s="822"/>
      <c r="DH38" s="822"/>
      <c r="DI38" s="822"/>
      <c r="DJ38" s="822"/>
      <c r="DK38" s="822"/>
      <c r="DL38" s="822"/>
      <c r="DM38" s="822"/>
      <c r="DN38" s="822"/>
      <c r="DO38" s="2295"/>
      <c r="DP38" s="2290"/>
      <c r="DQ38" s="2290"/>
      <c r="DR38" s="2290"/>
      <c r="DS38" s="2290"/>
      <c r="DT38" s="2290"/>
      <c r="DU38" s="2290"/>
      <c r="DV38" s="2290"/>
      <c r="DW38" s="2290"/>
      <c r="DX38" s="2290"/>
      <c r="DY38" s="2290"/>
      <c r="DZ38" s="2290"/>
      <c r="EA38" s="2290"/>
      <c r="EB38" s="2290"/>
      <c r="EC38" s="2291"/>
    </row>
    <row r="39" spans="1:133" ht="17.100000000000001" customHeight="1" x14ac:dyDescent="0.3">
      <c r="R39" s="822"/>
      <c r="S39" s="822"/>
      <c r="T39" s="822"/>
      <c r="U39" s="822"/>
      <c r="V39" s="822"/>
      <c r="W39" s="822"/>
      <c r="X39" s="822"/>
      <c r="Y39" s="822"/>
      <c r="Z39" s="822"/>
      <c r="AA39" s="822"/>
      <c r="AB39" s="822"/>
      <c r="AC39" s="822"/>
      <c r="AD39" s="822"/>
      <c r="AE39" s="822"/>
      <c r="AF39" s="822"/>
      <c r="AG39" s="822"/>
      <c r="AH39" s="822"/>
      <c r="AI39" s="822"/>
      <c r="AJ39" s="822"/>
      <c r="AK39" s="822"/>
      <c r="AL39" s="822"/>
      <c r="AM39" s="822"/>
      <c r="AN39" s="33" t="s">
        <v>1</v>
      </c>
      <c r="AO39" s="822"/>
      <c r="AP39" s="822"/>
      <c r="AQ39" s="822"/>
      <c r="AR39" s="822"/>
      <c r="AS39" s="822"/>
      <c r="AT39" s="822"/>
      <c r="AU39" s="822"/>
      <c r="AV39" s="822"/>
      <c r="AW39" s="822"/>
      <c r="AX39" s="822"/>
      <c r="AY39" s="822"/>
      <c r="AZ39" s="822"/>
      <c r="BA39" s="822"/>
      <c r="BB39" s="822"/>
      <c r="BC39" s="822"/>
      <c r="BD39" s="822"/>
      <c r="BE39" s="822"/>
      <c r="BF39" s="822"/>
      <c r="BG39" s="822"/>
      <c r="BH39" s="822"/>
      <c r="BI39" s="822"/>
      <c r="BJ39" s="822"/>
      <c r="BK39" s="822"/>
      <c r="BL39" s="822"/>
      <c r="BM39" s="822"/>
      <c r="BN39" s="822"/>
      <c r="BO39" s="822"/>
      <c r="BP39" s="822"/>
      <c r="BQ39" s="822"/>
      <c r="BR39" s="822"/>
      <c r="BS39" s="822"/>
      <c r="BT39" s="822"/>
      <c r="BU39" s="822"/>
      <c r="BV39" s="822"/>
      <c r="BX39" s="822"/>
      <c r="BY39" s="822"/>
      <c r="BZ39" s="822"/>
      <c r="CA39" s="822"/>
      <c r="CB39" s="822"/>
      <c r="CC39" s="822"/>
      <c r="CF39" s="822"/>
      <c r="CG39" s="822"/>
      <c r="CH39" s="822"/>
      <c r="CI39" s="822"/>
      <c r="CJ39" s="822"/>
      <c r="CK39" s="822"/>
      <c r="CL39" s="822"/>
      <c r="CM39" s="822"/>
      <c r="CN39" s="822"/>
      <c r="CO39" s="822"/>
      <c r="CP39" s="822"/>
      <c r="CQ39" s="822"/>
      <c r="CR39" s="822"/>
      <c r="CS39" s="822"/>
      <c r="CT39" s="822"/>
      <c r="CU39" s="822"/>
      <c r="CV39" s="822"/>
      <c r="CW39" s="822"/>
      <c r="CX39" s="822"/>
      <c r="CY39" s="822"/>
      <c r="CZ39" s="822"/>
      <c r="DA39" s="822"/>
      <c r="DB39" s="822"/>
      <c r="DC39" s="822"/>
      <c r="DD39" s="822"/>
      <c r="DE39" s="822"/>
      <c r="DF39" s="822"/>
      <c r="DG39" s="822"/>
      <c r="DH39" s="822"/>
      <c r="DI39" s="822"/>
      <c r="DJ39" s="822"/>
      <c r="DK39" s="822"/>
      <c r="DL39" s="822"/>
      <c r="DM39" s="822"/>
      <c r="DN39" s="822"/>
      <c r="DO39" s="2296"/>
      <c r="DP39" s="2290"/>
      <c r="DQ39" s="2290"/>
      <c r="DR39" s="2290"/>
      <c r="DS39" s="2290"/>
      <c r="DT39" s="2290"/>
      <c r="DU39" s="2290"/>
      <c r="DV39" s="2290"/>
      <c r="DW39" s="2290"/>
      <c r="DX39" s="2290"/>
      <c r="DY39" s="2290"/>
      <c r="DZ39" s="2290"/>
      <c r="EA39" s="2290"/>
      <c r="EB39" s="2290"/>
      <c r="EC39" s="2292"/>
    </row>
    <row r="40" spans="1:133" ht="17.100000000000001" customHeight="1" thickBot="1" x14ac:dyDescent="0.35">
      <c r="R40" s="822"/>
      <c r="S40" s="822"/>
      <c r="T40" s="822"/>
      <c r="U40" s="822"/>
      <c r="V40" s="822"/>
      <c r="W40" s="822"/>
      <c r="X40" s="822"/>
      <c r="Y40" s="822"/>
      <c r="Z40" s="822"/>
      <c r="AA40" s="822"/>
      <c r="AB40" s="822"/>
      <c r="AC40" s="822"/>
      <c r="AD40" s="822"/>
      <c r="AE40" s="822"/>
      <c r="AF40" s="822"/>
      <c r="AG40" s="822"/>
      <c r="AH40" s="822"/>
      <c r="AI40" s="822"/>
      <c r="AJ40" s="822"/>
      <c r="AK40" s="822"/>
      <c r="AL40" s="822"/>
      <c r="AM40" s="822"/>
      <c r="AN40" s="33" t="s">
        <v>1</v>
      </c>
      <c r="AO40" s="822"/>
      <c r="AP40" s="822"/>
      <c r="AQ40" s="822"/>
      <c r="AR40" s="822"/>
      <c r="AS40" s="822"/>
      <c r="AT40" s="822"/>
      <c r="AU40" s="822"/>
      <c r="AV40" s="822"/>
      <c r="AW40" s="822"/>
      <c r="AX40" s="822"/>
      <c r="AY40" s="822"/>
      <c r="AZ40" s="822"/>
      <c r="BA40" s="822"/>
      <c r="BB40" s="822"/>
      <c r="BC40" s="822"/>
      <c r="BD40" s="822"/>
      <c r="BE40" s="822"/>
      <c r="BF40" s="822"/>
      <c r="BG40" s="822"/>
      <c r="BH40" s="822"/>
      <c r="BI40" s="822"/>
      <c r="BJ40" s="822"/>
      <c r="BK40" s="822"/>
      <c r="BL40" s="822"/>
      <c r="BM40" s="822"/>
      <c r="BN40" s="822"/>
      <c r="BO40" s="822"/>
      <c r="BP40" s="822"/>
      <c r="BQ40" s="822"/>
      <c r="BR40" s="822"/>
      <c r="BS40" s="822"/>
      <c r="BT40" s="822"/>
      <c r="BU40" s="822"/>
      <c r="BV40" s="822"/>
      <c r="BX40" s="822"/>
      <c r="BY40" s="822"/>
      <c r="BZ40" s="822"/>
      <c r="CA40" s="822"/>
      <c r="CB40" s="822"/>
      <c r="CC40" s="822"/>
      <c r="CD40" s="822"/>
      <c r="CE40" s="822"/>
      <c r="CF40" s="822"/>
      <c r="CG40" s="822"/>
      <c r="CH40" s="822"/>
      <c r="CI40" s="822"/>
      <c r="CJ40" s="822"/>
      <c r="CK40" s="822"/>
      <c r="CL40" s="822"/>
      <c r="CM40" s="822"/>
      <c r="CN40" s="822"/>
      <c r="CO40" s="822"/>
      <c r="CP40" s="822"/>
      <c r="CQ40" s="822"/>
      <c r="CR40" s="822"/>
      <c r="CS40" s="822"/>
      <c r="CT40" s="822"/>
      <c r="CU40" s="822"/>
      <c r="CV40" s="822"/>
      <c r="CW40" s="822"/>
      <c r="CX40" s="822"/>
      <c r="CY40" s="822"/>
      <c r="CZ40" s="822"/>
      <c r="DA40" s="822"/>
      <c r="DB40" s="822"/>
      <c r="DC40" s="822"/>
      <c r="DD40" s="822"/>
      <c r="DE40" s="822"/>
      <c r="DF40" s="822"/>
      <c r="DG40" s="822"/>
      <c r="DH40" s="822"/>
      <c r="DI40" s="822"/>
      <c r="DJ40" s="822"/>
      <c r="DK40" s="822"/>
      <c r="DL40" s="822"/>
      <c r="DM40" s="822"/>
      <c r="DN40" s="822"/>
      <c r="DO40" s="2297"/>
      <c r="DP40" s="2290"/>
      <c r="DQ40" s="2290"/>
      <c r="DR40" s="2290"/>
      <c r="DS40" s="2290"/>
      <c r="DT40" s="2290"/>
      <c r="DU40" s="2290"/>
      <c r="DV40" s="2290"/>
      <c r="DW40" s="2290"/>
      <c r="DX40" s="2290"/>
      <c r="DY40" s="2290"/>
      <c r="DZ40" s="2290"/>
      <c r="EA40" s="2290"/>
      <c r="EB40" s="2290"/>
      <c r="EC40" s="2291"/>
    </row>
    <row r="41" spans="1:133" ht="17.100000000000001" customHeight="1" thickTop="1" x14ac:dyDescent="0.3">
      <c r="E41" s="23"/>
      <c r="F41" s="23"/>
      <c r="G41" s="1977"/>
      <c r="H41" s="1978"/>
      <c r="I41" s="1978"/>
      <c r="J41" s="1978"/>
      <c r="K41" s="1978"/>
      <c r="L41" s="1978"/>
      <c r="M41" s="1978"/>
      <c r="N41" s="1978"/>
      <c r="O41" s="1978"/>
      <c r="P41" s="1978"/>
      <c r="Q41" s="1978"/>
      <c r="R41" s="1978"/>
      <c r="S41" s="1978"/>
      <c r="T41" s="1978"/>
      <c r="U41" s="1978"/>
      <c r="V41" s="1978"/>
      <c r="W41" s="1978"/>
      <c r="X41" s="1978"/>
      <c r="Y41" s="1978"/>
      <c r="Z41" s="1978"/>
      <c r="AA41" s="1978"/>
      <c r="AB41" s="1978"/>
      <c r="AC41" s="1978"/>
      <c r="AD41" s="1978"/>
      <c r="AE41" s="1978"/>
      <c r="AF41" s="1978"/>
      <c r="AG41" s="1978"/>
      <c r="AH41" s="1978"/>
      <c r="AI41" s="1978"/>
      <c r="AJ41" s="1978"/>
      <c r="AK41" s="1978"/>
      <c r="AL41" s="1978"/>
      <c r="AM41" s="1978"/>
      <c r="AN41" s="1978"/>
      <c r="AO41" s="1978"/>
      <c r="AP41" s="1978"/>
      <c r="AQ41" s="1978"/>
      <c r="AR41" s="1978"/>
      <c r="AS41" s="1978"/>
      <c r="AT41" s="1978"/>
      <c r="AU41" s="1978"/>
      <c r="AV41" s="1978"/>
      <c r="AW41" s="1978"/>
      <c r="AX41" s="1978"/>
      <c r="AY41" s="1978"/>
      <c r="AZ41" s="1978"/>
      <c r="BA41" s="1978"/>
      <c r="BB41" s="1978"/>
      <c r="BC41" s="1978"/>
      <c r="BD41" s="1978"/>
      <c r="BE41" s="1978"/>
      <c r="BF41" s="1978"/>
      <c r="BG41" s="1978"/>
      <c r="BH41" s="1978"/>
      <c r="BI41" s="1978"/>
      <c r="BJ41" s="1978"/>
      <c r="BK41" s="1978"/>
      <c r="BL41" s="1978"/>
      <c r="BM41" s="1978"/>
      <c r="BN41" s="1978"/>
      <c r="BO41" s="1978"/>
      <c r="BP41" s="1978"/>
      <c r="BQ41" s="1978"/>
      <c r="BR41" s="1978"/>
      <c r="BS41" s="1978"/>
      <c r="BT41" s="1978"/>
      <c r="BU41" s="1979"/>
      <c r="BV41" s="19"/>
      <c r="BW41" s="19"/>
      <c r="BX41" s="822"/>
      <c r="BY41" s="822"/>
      <c r="BZ41" s="822"/>
      <c r="CA41" s="822"/>
      <c r="CB41" s="822"/>
      <c r="CC41" s="822"/>
      <c r="CD41" s="822"/>
      <c r="CE41" s="822"/>
      <c r="CF41" s="822"/>
      <c r="CG41" s="822"/>
      <c r="CH41" s="822"/>
      <c r="CI41" s="822"/>
      <c r="CJ41" s="822"/>
      <c r="CK41" s="822"/>
      <c r="CL41" s="822"/>
      <c r="CM41" s="822"/>
      <c r="CN41" s="822"/>
      <c r="CO41" s="822"/>
      <c r="CP41" s="822"/>
      <c r="CQ41" s="822"/>
      <c r="CR41" s="822"/>
      <c r="CS41" s="822"/>
      <c r="CT41" s="822"/>
      <c r="CU41" s="822"/>
      <c r="CV41" s="822"/>
      <c r="CW41" s="822"/>
      <c r="CX41" s="822"/>
      <c r="CY41" s="822"/>
      <c r="CZ41" s="822"/>
      <c r="DA41" s="822"/>
      <c r="DB41" s="822"/>
      <c r="DC41" s="822"/>
      <c r="DD41" s="822"/>
      <c r="DE41" s="822"/>
      <c r="DF41" s="822"/>
      <c r="DG41" s="822"/>
      <c r="DH41" s="822"/>
      <c r="DI41" s="822"/>
      <c r="DJ41" s="822"/>
      <c r="DK41" s="822"/>
      <c r="DL41" s="822"/>
      <c r="DM41" s="822"/>
      <c r="DN41" s="822"/>
      <c r="DO41" s="2297"/>
      <c r="DP41" s="2290"/>
      <c r="DQ41" s="2290"/>
      <c r="DR41" s="2290"/>
      <c r="DS41" s="2290"/>
      <c r="DT41" s="2290"/>
      <c r="DU41" s="2290"/>
      <c r="DV41" s="2290"/>
      <c r="DW41" s="2290"/>
      <c r="DX41" s="2290"/>
      <c r="DY41" s="2290"/>
      <c r="DZ41" s="2290"/>
      <c r="EA41" s="2290"/>
      <c r="EB41" s="2290"/>
      <c r="EC41" s="2291"/>
    </row>
    <row r="42" spans="1:133" ht="17.100000000000001" customHeight="1" thickBot="1" x14ac:dyDescent="0.35">
      <c r="E42" s="23"/>
      <c r="F42" s="23"/>
      <c r="G42" s="1980"/>
      <c r="H42" s="907"/>
      <c r="I42" s="907"/>
      <c r="J42" s="907"/>
      <c r="K42" s="907"/>
      <c r="L42" s="907"/>
      <c r="M42" s="907"/>
      <c r="N42" s="907"/>
      <c r="O42" s="907"/>
      <c r="P42" s="907"/>
      <c r="Q42" s="907"/>
      <c r="R42" s="2287"/>
      <c r="S42" s="2287"/>
      <c r="T42" s="2287"/>
      <c r="U42" s="2287"/>
      <c r="V42" s="2287"/>
      <c r="W42" s="2287"/>
      <c r="X42" s="2287"/>
      <c r="Y42" s="2287"/>
      <c r="Z42" s="2287"/>
      <c r="AA42" s="2287"/>
      <c r="AB42" s="2287"/>
      <c r="AC42" s="1981"/>
      <c r="AD42" s="1981"/>
      <c r="AE42" s="1981"/>
      <c r="AF42" s="1981"/>
      <c r="AG42" s="1981"/>
      <c r="AH42" s="1981"/>
      <c r="AI42" s="1981"/>
      <c r="AJ42" s="1981"/>
      <c r="AK42" s="1981"/>
      <c r="AL42" s="1981"/>
      <c r="AM42" s="1981"/>
      <c r="AN42" s="1981"/>
      <c r="AO42" s="1981"/>
      <c r="AP42" s="1981"/>
      <c r="AQ42" s="1981"/>
      <c r="AR42" s="1981"/>
      <c r="AS42" s="1981"/>
      <c r="AT42" s="1981"/>
      <c r="AU42" s="1981"/>
      <c r="AV42" s="1981"/>
      <c r="AW42" s="1981"/>
      <c r="AX42" s="1981"/>
      <c r="AY42" s="1981"/>
      <c r="AZ42" s="2287"/>
      <c r="BA42" s="2287"/>
      <c r="BB42" s="2287"/>
      <c r="BC42" s="2287"/>
      <c r="BD42" s="2287"/>
      <c r="BE42" s="2287"/>
      <c r="BF42" s="2287"/>
      <c r="BG42" s="2287"/>
      <c r="BH42" s="2287"/>
      <c r="BI42" s="2287"/>
      <c r="BJ42" s="2287"/>
      <c r="BK42" s="2287"/>
      <c r="BL42" s="2287"/>
      <c r="BM42" s="2287"/>
      <c r="BN42" s="2287"/>
      <c r="BO42" s="2287"/>
      <c r="BP42" s="2287"/>
      <c r="BQ42" s="2287"/>
      <c r="BR42" s="2287"/>
      <c r="BS42" s="2287"/>
      <c r="BT42" s="1652"/>
      <c r="BU42" s="1982"/>
      <c r="BV42" s="19"/>
      <c r="BW42" s="19"/>
      <c r="BX42" s="822"/>
      <c r="BY42" s="822"/>
      <c r="BZ42" s="822"/>
      <c r="CA42" s="822"/>
      <c r="CB42" s="822"/>
      <c r="CC42" s="822"/>
      <c r="CD42" s="822"/>
      <c r="CE42" s="822"/>
      <c r="CF42" s="822"/>
      <c r="CG42" s="822"/>
      <c r="CH42" s="822"/>
      <c r="CI42" s="822"/>
      <c r="CJ42" s="822"/>
      <c r="CK42" s="822"/>
      <c r="CL42" s="822"/>
      <c r="CM42" s="822"/>
      <c r="CN42" s="822"/>
      <c r="CO42" s="822"/>
      <c r="CP42" s="822"/>
      <c r="CQ42" s="822"/>
      <c r="CR42" s="822"/>
      <c r="CS42" s="822"/>
      <c r="CT42" s="822"/>
      <c r="CU42" s="822"/>
      <c r="CV42" s="822"/>
      <c r="CW42" s="822"/>
      <c r="CX42" s="822"/>
      <c r="CY42" s="822"/>
      <c r="CZ42" s="822"/>
      <c r="DA42" s="822"/>
      <c r="DB42" s="822"/>
      <c r="DC42" s="822"/>
      <c r="DD42" s="822"/>
      <c r="DE42" s="822"/>
      <c r="DF42" s="822"/>
      <c r="DG42" s="822"/>
      <c r="DH42" s="822"/>
      <c r="DI42" s="822"/>
      <c r="DJ42" s="822"/>
      <c r="DK42" s="822"/>
      <c r="DL42" s="822"/>
      <c r="DM42" s="822"/>
      <c r="DN42" s="822"/>
      <c r="DO42" s="2297"/>
      <c r="DP42" s="2290"/>
      <c r="DQ42" s="2290"/>
      <c r="DR42" s="2290"/>
      <c r="DS42" s="2290"/>
      <c r="DT42" s="2290"/>
      <c r="DU42" s="2290"/>
      <c r="DV42" s="2290"/>
      <c r="DW42" s="2290"/>
      <c r="DX42" s="2290"/>
      <c r="DY42" s="2290"/>
      <c r="DZ42" s="2290"/>
      <c r="EA42" s="2290"/>
      <c r="EB42" s="2290"/>
      <c r="EC42" s="2291"/>
    </row>
    <row r="43" spans="1:133" ht="17.100000000000001" customHeight="1" thickTop="1" x14ac:dyDescent="0.3">
      <c r="E43" s="1977"/>
      <c r="F43" s="1978"/>
      <c r="G43" s="1983"/>
      <c r="H43" s="907"/>
      <c r="I43" s="3165"/>
      <c r="J43" s="3166"/>
      <c r="K43" s="3166"/>
      <c r="L43" s="3166"/>
      <c r="M43" s="3166"/>
      <c r="N43" s="3166"/>
      <c r="O43" s="3166"/>
      <c r="P43" s="3166"/>
      <c r="Q43" s="3166"/>
      <c r="R43" s="3166"/>
      <c r="S43" s="3167"/>
      <c r="T43" s="907"/>
      <c r="U43" s="907"/>
      <c r="V43" s="3165"/>
      <c r="W43" s="3166"/>
      <c r="X43" s="3166"/>
      <c r="Y43" s="3166"/>
      <c r="Z43" s="3166"/>
      <c r="AA43" s="3166"/>
      <c r="AB43" s="3166"/>
      <c r="AC43" s="3166"/>
      <c r="AD43" s="3166"/>
      <c r="AE43" s="3166"/>
      <c r="AF43" s="3167"/>
      <c r="AG43" s="2287"/>
      <c r="AH43" s="2287"/>
      <c r="AI43" s="3165"/>
      <c r="AJ43" s="3166"/>
      <c r="AK43" s="3166"/>
      <c r="AL43" s="3166"/>
      <c r="AM43" s="3166"/>
      <c r="AN43" s="3166"/>
      <c r="AO43" s="3166"/>
      <c r="AP43" s="3166"/>
      <c r="AQ43" s="3166"/>
      <c r="AR43" s="3166"/>
      <c r="AS43" s="3167"/>
      <c r="AT43" s="2287"/>
      <c r="AU43" s="2287"/>
      <c r="AV43" s="3165"/>
      <c r="AW43" s="3166"/>
      <c r="AX43" s="3166"/>
      <c r="AY43" s="3166"/>
      <c r="AZ43" s="3166"/>
      <c r="BA43" s="3166"/>
      <c r="BB43" s="3166"/>
      <c r="BC43" s="3166"/>
      <c r="BD43" s="3166"/>
      <c r="BE43" s="3166"/>
      <c r="BF43" s="3167"/>
      <c r="BG43" s="2287"/>
      <c r="BH43" s="2287"/>
      <c r="BI43" s="3165"/>
      <c r="BJ43" s="3166"/>
      <c r="BK43" s="3166"/>
      <c r="BL43" s="3166"/>
      <c r="BM43" s="3166"/>
      <c r="BN43" s="3166"/>
      <c r="BO43" s="3166"/>
      <c r="BP43" s="3166"/>
      <c r="BQ43" s="3166"/>
      <c r="BR43" s="3166"/>
      <c r="BS43" s="3167"/>
      <c r="BT43" s="1983"/>
      <c r="BU43" s="1983"/>
      <c r="BV43" s="1978"/>
      <c r="BW43" s="1979"/>
      <c r="BX43" s="822"/>
      <c r="BY43" s="822"/>
      <c r="BZ43" s="822"/>
      <c r="CA43" s="822"/>
      <c r="CB43" s="822"/>
      <c r="CC43" s="822"/>
      <c r="CF43" s="822"/>
      <c r="CG43" s="822"/>
      <c r="CH43" s="822"/>
      <c r="CI43" s="822"/>
      <c r="CJ43" s="822"/>
      <c r="CK43" s="822"/>
      <c r="CL43" s="822"/>
      <c r="CM43" s="822"/>
      <c r="CN43" s="822"/>
      <c r="CO43" s="822"/>
      <c r="CP43" s="822"/>
      <c r="CQ43" s="822"/>
      <c r="CR43" s="822"/>
      <c r="CS43" s="822"/>
      <c r="CT43" s="822"/>
      <c r="CU43" s="822"/>
      <c r="CV43" s="822"/>
      <c r="CW43" s="822"/>
      <c r="CX43" s="822"/>
      <c r="CY43" s="822"/>
      <c r="CZ43" s="822"/>
      <c r="DA43" s="822"/>
      <c r="DB43" s="822"/>
      <c r="DC43" s="822"/>
      <c r="DD43" s="822"/>
      <c r="DE43" s="822"/>
      <c r="DF43" s="822"/>
      <c r="DG43" s="822"/>
      <c r="DH43" s="822"/>
      <c r="DI43" s="822"/>
      <c r="DJ43" s="822"/>
      <c r="DK43" s="822"/>
      <c r="DL43" s="822"/>
      <c r="DM43" s="822"/>
      <c r="DN43" s="822"/>
      <c r="DO43" s="2297"/>
      <c r="DP43" s="2290"/>
      <c r="DQ43" s="2290"/>
      <c r="DR43" s="2290"/>
      <c r="DS43" s="2290"/>
      <c r="DT43" s="2290"/>
      <c r="DU43" s="2290"/>
      <c r="DV43" s="2290"/>
      <c r="DW43" s="2290"/>
      <c r="DX43" s="2290"/>
      <c r="DY43" s="2290"/>
      <c r="DZ43" s="2290"/>
      <c r="EA43" s="2290"/>
      <c r="EB43" s="2290"/>
      <c r="EC43" s="2291"/>
    </row>
    <row r="44" spans="1:133" ht="17.100000000000001" customHeight="1" x14ac:dyDescent="0.3">
      <c r="E44" s="1980"/>
      <c r="F44" s="907"/>
      <c r="G44" s="907"/>
      <c r="H44" s="907"/>
      <c r="I44" s="4864" t="s">
        <v>1409</v>
      </c>
      <c r="J44" s="4865"/>
      <c r="K44" s="4865"/>
      <c r="L44" s="4865"/>
      <c r="M44" s="4865"/>
      <c r="N44" s="4865"/>
      <c r="O44" s="4865"/>
      <c r="P44" s="4865"/>
      <c r="Q44" s="4865"/>
      <c r="R44" s="4865"/>
      <c r="S44" s="4866"/>
      <c r="T44" s="907"/>
      <c r="U44" s="907"/>
      <c r="V44" s="4864" t="s">
        <v>2120</v>
      </c>
      <c r="W44" s="4865"/>
      <c r="X44" s="4865"/>
      <c r="Y44" s="4865"/>
      <c r="Z44" s="4865"/>
      <c r="AA44" s="4865"/>
      <c r="AB44" s="4865"/>
      <c r="AC44" s="4865"/>
      <c r="AD44" s="4865"/>
      <c r="AE44" s="4865"/>
      <c r="AF44" s="4866"/>
      <c r="AG44" s="2287"/>
      <c r="AH44" s="2287"/>
      <c r="AI44" s="4864" t="s">
        <v>2119</v>
      </c>
      <c r="AJ44" s="4865"/>
      <c r="AK44" s="4865"/>
      <c r="AL44" s="4865"/>
      <c r="AM44" s="4865"/>
      <c r="AN44" s="4865"/>
      <c r="AO44" s="4865"/>
      <c r="AP44" s="4865"/>
      <c r="AQ44" s="4865"/>
      <c r="AR44" s="4865"/>
      <c r="AS44" s="4866"/>
      <c r="AT44" s="2287"/>
      <c r="AU44" s="2287"/>
      <c r="AV44" s="4864" t="s">
        <v>2118</v>
      </c>
      <c r="AW44" s="4865"/>
      <c r="AX44" s="4865"/>
      <c r="AY44" s="4865"/>
      <c r="AZ44" s="4865"/>
      <c r="BA44" s="4865"/>
      <c r="BB44" s="4865"/>
      <c r="BC44" s="4865"/>
      <c r="BD44" s="4865"/>
      <c r="BE44" s="4865"/>
      <c r="BF44" s="4866"/>
      <c r="BG44" s="2287"/>
      <c r="BH44" s="2287"/>
      <c r="BI44" s="4864" t="s">
        <v>771</v>
      </c>
      <c r="BJ44" s="4865"/>
      <c r="BK44" s="4865"/>
      <c r="BL44" s="4865"/>
      <c r="BM44" s="4865"/>
      <c r="BN44" s="4865"/>
      <c r="BO44" s="4865"/>
      <c r="BP44" s="4865"/>
      <c r="BQ44" s="4865"/>
      <c r="BR44" s="4865"/>
      <c r="BS44" s="4866"/>
      <c r="BT44" s="1983"/>
      <c r="BU44" s="1983"/>
      <c r="BV44" s="1652"/>
      <c r="BW44" s="1982"/>
      <c r="BX44" s="822"/>
      <c r="BY44" s="822"/>
      <c r="BZ44" s="822"/>
      <c r="CA44" s="822"/>
      <c r="CB44" s="822"/>
      <c r="CC44" s="822"/>
      <c r="CF44" s="822"/>
      <c r="CG44" s="822"/>
      <c r="CH44" s="822"/>
      <c r="CI44" s="822"/>
      <c r="CJ44" s="822"/>
      <c r="CK44" s="822"/>
      <c r="CL44" s="822"/>
      <c r="CM44" s="822"/>
      <c r="CN44" s="822"/>
      <c r="CO44" s="822"/>
      <c r="CP44" s="822"/>
      <c r="CQ44" s="822"/>
      <c r="CR44" s="822"/>
      <c r="CS44" s="822"/>
      <c r="CT44" s="822"/>
      <c r="CU44" s="822"/>
      <c r="CV44" s="822"/>
      <c r="CW44" s="822"/>
      <c r="CX44" s="822"/>
      <c r="CY44" s="822"/>
      <c r="CZ44" s="822"/>
      <c r="DA44" s="822"/>
      <c r="DB44" s="822"/>
      <c r="DC44" s="822"/>
      <c r="DD44" s="822"/>
      <c r="DE44" s="822"/>
      <c r="DF44" s="822"/>
      <c r="DG44" s="822"/>
      <c r="DH44" s="822"/>
      <c r="DI44" s="822"/>
      <c r="DJ44" s="822"/>
      <c r="DK44" s="822"/>
      <c r="DL44" s="822"/>
      <c r="DM44" s="822"/>
      <c r="DN44" s="822"/>
      <c r="DO44" s="2297"/>
      <c r="DP44" s="2290"/>
      <c r="DQ44" s="2290"/>
      <c r="DR44" s="2290"/>
      <c r="DS44" s="2290"/>
      <c r="DT44" s="2290"/>
      <c r="DU44" s="2290"/>
      <c r="DV44" s="2290"/>
      <c r="DW44" s="2290"/>
      <c r="DX44" s="2290"/>
      <c r="DY44" s="2290"/>
      <c r="DZ44" s="2290"/>
      <c r="EA44" s="2290"/>
      <c r="EB44" s="2290"/>
      <c r="EC44" s="2291"/>
    </row>
    <row r="45" spans="1:133" ht="17.100000000000001" customHeight="1" x14ac:dyDescent="0.3">
      <c r="E45" s="1980"/>
      <c r="F45" s="907"/>
      <c r="G45" s="907"/>
      <c r="H45" s="907"/>
      <c r="I45" s="3168"/>
      <c r="J45" s="3169"/>
      <c r="K45" s="3169"/>
      <c r="L45" s="3169"/>
      <c r="M45" s="3169"/>
      <c r="N45" s="3169"/>
      <c r="O45" s="3169"/>
      <c r="P45" s="3169"/>
      <c r="Q45" s="3169"/>
      <c r="R45" s="3169"/>
      <c r="S45" s="3170"/>
      <c r="T45" s="907"/>
      <c r="U45" s="907"/>
      <c r="V45" s="3168"/>
      <c r="W45" s="3169"/>
      <c r="X45" s="3169"/>
      <c r="Y45" s="3169"/>
      <c r="Z45" s="3169"/>
      <c r="AA45" s="3169"/>
      <c r="AB45" s="3169"/>
      <c r="AC45" s="3169"/>
      <c r="AD45" s="3169"/>
      <c r="AE45" s="3169"/>
      <c r="AF45" s="3170"/>
      <c r="AG45" s="2287"/>
      <c r="AH45" s="2287"/>
      <c r="AI45" s="3168"/>
      <c r="AJ45" s="3169"/>
      <c r="AK45" s="3169"/>
      <c r="AL45" s="3169"/>
      <c r="AM45" s="3169"/>
      <c r="AN45" s="3169"/>
      <c r="AO45" s="3169"/>
      <c r="AP45" s="3169"/>
      <c r="AQ45" s="3169"/>
      <c r="AR45" s="3169"/>
      <c r="AS45" s="3170"/>
      <c r="AT45" s="2287"/>
      <c r="AU45" s="2287"/>
      <c r="AV45" s="3168"/>
      <c r="AW45" s="3169"/>
      <c r="AX45" s="3169"/>
      <c r="AY45" s="3169"/>
      <c r="AZ45" s="3169"/>
      <c r="BA45" s="3169"/>
      <c r="BB45" s="3169"/>
      <c r="BC45" s="3169"/>
      <c r="BD45" s="3169"/>
      <c r="BE45" s="3169"/>
      <c r="BF45" s="3170"/>
      <c r="BG45" s="2287"/>
      <c r="BH45" s="2287"/>
      <c r="BI45" s="3168"/>
      <c r="BJ45" s="3169"/>
      <c r="BK45" s="3169"/>
      <c r="BL45" s="3169"/>
      <c r="BM45" s="3169"/>
      <c r="BN45" s="3169"/>
      <c r="BO45" s="3169"/>
      <c r="BP45" s="3169"/>
      <c r="BQ45" s="3169"/>
      <c r="BR45" s="3169"/>
      <c r="BS45" s="3170"/>
      <c r="BT45" s="2287"/>
      <c r="BU45" s="2287"/>
      <c r="BV45" s="2287"/>
      <c r="BW45" s="1982"/>
      <c r="BX45" s="822"/>
      <c r="BY45" s="822"/>
      <c r="BZ45" s="822"/>
      <c r="CA45" s="822"/>
      <c r="CB45" s="822"/>
      <c r="CC45" s="822"/>
      <c r="CD45" s="822"/>
      <c r="CE45" s="822"/>
      <c r="CF45" s="822"/>
      <c r="CG45" s="822"/>
      <c r="CH45" s="822"/>
      <c r="CI45" s="822"/>
      <c r="CJ45" s="822"/>
      <c r="CK45" s="822"/>
      <c r="CL45" s="822"/>
      <c r="CM45" s="822"/>
      <c r="CN45" s="822"/>
      <c r="CO45" s="822"/>
      <c r="CP45" s="822"/>
      <c r="CQ45" s="822"/>
      <c r="CR45" s="822"/>
      <c r="CS45" s="822"/>
      <c r="CT45" s="822"/>
      <c r="CU45" s="822"/>
      <c r="CV45" s="822"/>
      <c r="CW45" s="822"/>
      <c r="CX45" s="822"/>
      <c r="CY45" s="822"/>
      <c r="CZ45" s="822"/>
      <c r="DA45" s="822"/>
      <c r="DB45" s="822"/>
      <c r="DC45" s="822"/>
      <c r="DD45" s="822"/>
      <c r="DE45" s="822"/>
      <c r="DF45" s="822"/>
      <c r="DG45" s="822"/>
      <c r="DH45" s="822"/>
      <c r="DI45" s="822"/>
      <c r="DJ45" s="822"/>
      <c r="DK45" s="822"/>
      <c r="DL45" s="822"/>
      <c r="DM45" s="822"/>
      <c r="DN45" s="822"/>
      <c r="DO45" s="2297"/>
      <c r="DP45" s="2290"/>
      <c r="DQ45" s="2290"/>
      <c r="DR45" s="2290"/>
      <c r="DS45" s="2290"/>
      <c r="DT45" s="2290"/>
      <c r="DU45" s="2290"/>
      <c r="DV45" s="2290"/>
      <c r="DW45" s="2290"/>
      <c r="DX45" s="2290"/>
      <c r="DY45" s="2290"/>
      <c r="DZ45" s="2290"/>
      <c r="EA45" s="2290"/>
      <c r="EB45" s="2290"/>
      <c r="EC45" s="2291"/>
    </row>
    <row r="46" spans="1:133" ht="17.100000000000001" customHeight="1" x14ac:dyDescent="0.3">
      <c r="E46" s="1980"/>
      <c r="F46" s="907"/>
      <c r="G46" s="907"/>
      <c r="H46" s="907"/>
      <c r="I46" s="4867" t="s">
        <v>2144</v>
      </c>
      <c r="J46" s="4868"/>
      <c r="K46" s="4868"/>
      <c r="L46" s="4868"/>
      <c r="M46" s="4868"/>
      <c r="N46" s="4868"/>
      <c r="O46" s="4868"/>
      <c r="P46" s="4868"/>
      <c r="Q46" s="4868"/>
      <c r="R46" s="4868"/>
      <c r="S46" s="4869"/>
      <c r="T46" s="907"/>
      <c r="U46" s="907"/>
      <c r="V46" s="4867" t="s">
        <v>2126</v>
      </c>
      <c r="W46" s="4868"/>
      <c r="X46" s="4868"/>
      <c r="Y46" s="4868"/>
      <c r="Z46" s="4868"/>
      <c r="AA46" s="4868"/>
      <c r="AB46" s="4868"/>
      <c r="AC46" s="4868"/>
      <c r="AD46" s="4868"/>
      <c r="AE46" s="4868"/>
      <c r="AF46" s="4869"/>
      <c r="AG46" s="2287"/>
      <c r="AH46" s="2287"/>
      <c r="AI46" s="4867" t="s">
        <v>2108</v>
      </c>
      <c r="AJ46" s="4868"/>
      <c r="AK46" s="4868"/>
      <c r="AL46" s="4868"/>
      <c r="AM46" s="4868"/>
      <c r="AN46" s="4868"/>
      <c r="AO46" s="4868"/>
      <c r="AP46" s="4868"/>
      <c r="AQ46" s="4868"/>
      <c r="AR46" s="4868"/>
      <c r="AS46" s="4869"/>
      <c r="AT46" s="2287"/>
      <c r="AU46" s="2287"/>
      <c r="AV46" s="4867" t="s">
        <v>2121</v>
      </c>
      <c r="AW46" s="4868"/>
      <c r="AX46" s="4868"/>
      <c r="AY46" s="4868"/>
      <c r="AZ46" s="4868"/>
      <c r="BA46" s="4868"/>
      <c r="BB46" s="4868"/>
      <c r="BC46" s="4868"/>
      <c r="BD46" s="4868"/>
      <c r="BE46" s="4868"/>
      <c r="BF46" s="4869"/>
      <c r="BG46" s="2287"/>
      <c r="BH46" s="2287"/>
      <c r="BI46" s="4867" t="s">
        <v>2148</v>
      </c>
      <c r="BJ46" s="4868"/>
      <c r="BK46" s="4868"/>
      <c r="BL46" s="4868"/>
      <c r="BM46" s="4868"/>
      <c r="BN46" s="4868"/>
      <c r="BO46" s="4868"/>
      <c r="BP46" s="4868"/>
      <c r="BQ46" s="4868"/>
      <c r="BR46" s="4868"/>
      <c r="BS46" s="4869"/>
      <c r="BT46" s="2287"/>
      <c r="BU46" s="2287"/>
      <c r="BV46" s="2287"/>
      <c r="BW46" s="1982"/>
      <c r="BX46" s="822"/>
      <c r="BY46" s="822"/>
      <c r="BZ46" s="822"/>
      <c r="CA46" s="822"/>
      <c r="CB46" s="822"/>
      <c r="CC46" s="822"/>
      <c r="CD46" s="822"/>
      <c r="CE46" s="822"/>
      <c r="CF46" s="822"/>
      <c r="CG46" s="822"/>
      <c r="CH46" s="822"/>
      <c r="CI46" s="822"/>
      <c r="CJ46" s="822"/>
      <c r="CK46" s="822"/>
      <c r="CL46" s="822"/>
      <c r="CM46" s="822"/>
      <c r="CN46" s="822"/>
      <c r="CO46" s="822"/>
      <c r="CP46" s="822"/>
      <c r="CQ46" s="822"/>
      <c r="CR46" s="822"/>
      <c r="CS46" s="822"/>
      <c r="CT46" s="822"/>
      <c r="CU46" s="822"/>
      <c r="CV46" s="822"/>
      <c r="CW46" s="822"/>
      <c r="CX46" s="822"/>
      <c r="CY46" s="822"/>
      <c r="CZ46" s="822"/>
      <c r="DA46" s="822"/>
      <c r="DB46" s="822"/>
      <c r="DC46" s="822"/>
      <c r="DD46" s="822"/>
      <c r="DE46" s="822"/>
      <c r="DF46" s="822"/>
      <c r="DG46" s="822"/>
      <c r="DH46" s="822"/>
      <c r="DI46" s="822"/>
      <c r="DJ46" s="822"/>
      <c r="DK46" s="822"/>
      <c r="DL46" s="822"/>
      <c r="DM46" s="822"/>
      <c r="DN46" s="822"/>
      <c r="DO46" s="2297"/>
      <c r="DP46" s="2290"/>
      <c r="DQ46" s="2290"/>
      <c r="DR46" s="2290"/>
      <c r="DS46" s="2290"/>
      <c r="DT46" s="2290"/>
      <c r="DU46" s="2290"/>
      <c r="DV46" s="2290"/>
      <c r="DW46" s="2290"/>
      <c r="DX46" s="2290"/>
      <c r="DY46" s="2290"/>
      <c r="DZ46" s="2290"/>
      <c r="EA46" s="2290"/>
      <c r="EB46" s="2290"/>
      <c r="EC46" s="2291"/>
    </row>
    <row r="47" spans="1:133" ht="17.100000000000001" customHeight="1" x14ac:dyDescent="0.3">
      <c r="E47" s="1980"/>
      <c r="F47" s="907"/>
      <c r="G47" s="907"/>
      <c r="H47" s="907"/>
      <c r="I47" s="4870" t="s">
        <v>2156</v>
      </c>
      <c r="J47" s="4871"/>
      <c r="K47" s="4871"/>
      <c r="L47" s="4871"/>
      <c r="M47" s="4871"/>
      <c r="N47" s="4871"/>
      <c r="O47" s="4871"/>
      <c r="P47" s="4871"/>
      <c r="Q47" s="4871"/>
      <c r="R47" s="4871"/>
      <c r="S47" s="4872"/>
      <c r="T47" s="907"/>
      <c r="U47" s="907"/>
      <c r="V47" s="4870" t="s">
        <v>2128</v>
      </c>
      <c r="W47" s="4871"/>
      <c r="X47" s="4871"/>
      <c r="Y47" s="4871"/>
      <c r="Z47" s="4871"/>
      <c r="AA47" s="4871"/>
      <c r="AB47" s="4871"/>
      <c r="AC47" s="4871"/>
      <c r="AD47" s="4871"/>
      <c r="AE47" s="4871"/>
      <c r="AF47" s="4872"/>
      <c r="AG47" s="2287"/>
      <c r="AH47" s="2287"/>
      <c r="AI47" s="4870" t="s">
        <v>2155</v>
      </c>
      <c r="AJ47" s="4871"/>
      <c r="AK47" s="4871"/>
      <c r="AL47" s="4871"/>
      <c r="AM47" s="4871"/>
      <c r="AN47" s="4871"/>
      <c r="AO47" s="4871"/>
      <c r="AP47" s="4871"/>
      <c r="AQ47" s="4871"/>
      <c r="AR47" s="4871"/>
      <c r="AS47" s="4872"/>
      <c r="AT47" s="2287"/>
      <c r="AU47" s="2287"/>
      <c r="AV47" s="4870" t="s">
        <v>2122</v>
      </c>
      <c r="AW47" s="4871"/>
      <c r="AX47" s="4871"/>
      <c r="AY47" s="4871"/>
      <c r="AZ47" s="4871"/>
      <c r="BA47" s="4871"/>
      <c r="BB47" s="4871"/>
      <c r="BC47" s="4871"/>
      <c r="BD47" s="4871"/>
      <c r="BE47" s="4871"/>
      <c r="BF47" s="4872"/>
      <c r="BG47" s="2287"/>
      <c r="BH47" s="2287"/>
      <c r="BI47" s="4870" t="s">
        <v>2147</v>
      </c>
      <c r="BJ47" s="4871"/>
      <c r="BK47" s="4871"/>
      <c r="BL47" s="4871"/>
      <c r="BM47" s="4871"/>
      <c r="BN47" s="4871"/>
      <c r="BO47" s="4871"/>
      <c r="BP47" s="4871"/>
      <c r="BQ47" s="4871"/>
      <c r="BR47" s="4871"/>
      <c r="BS47" s="4872"/>
      <c r="BT47" s="2287"/>
      <c r="BU47" s="2287"/>
      <c r="BV47" s="2287"/>
      <c r="BW47" s="1982"/>
      <c r="BX47" s="822"/>
      <c r="BY47" s="822"/>
      <c r="BZ47" s="822"/>
      <c r="CA47" s="822"/>
      <c r="CB47" s="822"/>
      <c r="CC47" s="822"/>
      <c r="CD47" s="822"/>
      <c r="CE47" s="822"/>
      <c r="CF47" s="822"/>
      <c r="CG47" s="822"/>
      <c r="CH47" s="822"/>
      <c r="CI47" s="822"/>
      <c r="CJ47" s="822"/>
      <c r="CK47" s="822"/>
      <c r="CL47" s="822"/>
      <c r="CM47" s="822"/>
      <c r="CN47" s="822"/>
      <c r="CO47" s="822"/>
      <c r="CP47" s="822"/>
      <c r="CQ47" s="822"/>
      <c r="CR47" s="822"/>
      <c r="CS47" s="822"/>
      <c r="CT47" s="822"/>
      <c r="CU47" s="822"/>
      <c r="CV47" s="822"/>
      <c r="CW47" s="822"/>
      <c r="CX47" s="822"/>
      <c r="CY47" s="822"/>
      <c r="CZ47" s="822"/>
      <c r="DA47" s="822"/>
      <c r="DB47" s="822"/>
      <c r="DC47" s="822"/>
      <c r="DD47" s="822"/>
      <c r="DE47" s="822"/>
      <c r="DF47" s="822"/>
      <c r="DG47" s="822"/>
      <c r="DH47" s="822"/>
      <c r="DI47" s="822"/>
      <c r="DJ47" s="822"/>
      <c r="DK47" s="822"/>
      <c r="DL47" s="822"/>
      <c r="DM47" s="822"/>
      <c r="DN47" s="822"/>
      <c r="DO47" s="2297"/>
      <c r="DP47" s="2290"/>
      <c r="DQ47" s="2290"/>
      <c r="DR47" s="2290"/>
      <c r="DS47" s="2290"/>
      <c r="DT47" s="2290"/>
      <c r="DU47" s="2290"/>
      <c r="DV47" s="2290"/>
      <c r="DW47" s="2290"/>
      <c r="DX47" s="2290"/>
      <c r="DY47" s="2290"/>
      <c r="DZ47" s="2290"/>
      <c r="EA47" s="2290"/>
      <c r="EB47" s="2290"/>
      <c r="EC47" s="2291"/>
    </row>
    <row r="48" spans="1:133" ht="17.100000000000001" customHeight="1" x14ac:dyDescent="0.3">
      <c r="E48" s="1980"/>
      <c r="F48" s="907"/>
      <c r="G48" s="907"/>
      <c r="H48" s="907"/>
      <c r="I48" s="4867" t="s">
        <v>2141</v>
      </c>
      <c r="J48" s="4868"/>
      <c r="K48" s="4868"/>
      <c r="L48" s="4868"/>
      <c r="M48" s="4868"/>
      <c r="N48" s="4868"/>
      <c r="O48" s="4868"/>
      <c r="P48" s="4868"/>
      <c r="Q48" s="4868"/>
      <c r="R48" s="4868"/>
      <c r="S48" s="4869"/>
      <c r="T48" s="907"/>
      <c r="U48" s="907"/>
      <c r="V48" s="4867" t="s">
        <v>2126</v>
      </c>
      <c r="W48" s="4868"/>
      <c r="X48" s="4868"/>
      <c r="Y48" s="4868"/>
      <c r="Z48" s="4868"/>
      <c r="AA48" s="4868"/>
      <c r="AB48" s="4868"/>
      <c r="AC48" s="4868"/>
      <c r="AD48" s="4868"/>
      <c r="AE48" s="4868"/>
      <c r="AF48" s="4869"/>
      <c r="AG48" s="2287"/>
      <c r="AH48" s="2287"/>
      <c r="AI48" s="4867" t="s">
        <v>2109</v>
      </c>
      <c r="AJ48" s="4868"/>
      <c r="AK48" s="4868"/>
      <c r="AL48" s="4868"/>
      <c r="AM48" s="4868"/>
      <c r="AN48" s="4868"/>
      <c r="AO48" s="4868"/>
      <c r="AP48" s="4868"/>
      <c r="AQ48" s="4868"/>
      <c r="AR48" s="4868"/>
      <c r="AS48" s="4869"/>
      <c r="AT48" s="2287"/>
      <c r="AU48" s="2287"/>
      <c r="AV48" s="4867" t="s">
        <v>2123</v>
      </c>
      <c r="AW48" s="4868"/>
      <c r="AX48" s="4868"/>
      <c r="AY48" s="4868"/>
      <c r="AZ48" s="4868"/>
      <c r="BA48" s="4868"/>
      <c r="BB48" s="4868"/>
      <c r="BC48" s="4868"/>
      <c r="BD48" s="4868"/>
      <c r="BE48" s="4868"/>
      <c r="BF48" s="4869"/>
      <c r="BG48" s="2287"/>
      <c r="BH48" s="2287"/>
      <c r="BI48" s="4867" t="s">
        <v>2145</v>
      </c>
      <c r="BJ48" s="4868"/>
      <c r="BK48" s="4868"/>
      <c r="BL48" s="4868"/>
      <c r="BM48" s="4868"/>
      <c r="BN48" s="4868"/>
      <c r="BO48" s="4868"/>
      <c r="BP48" s="4868"/>
      <c r="BQ48" s="4868"/>
      <c r="BR48" s="4868"/>
      <c r="BS48" s="4869"/>
      <c r="BT48" s="2287"/>
      <c r="BU48" s="2287"/>
      <c r="BV48" s="2287"/>
      <c r="BW48" s="1982"/>
      <c r="BX48" s="822"/>
      <c r="BY48" s="822"/>
      <c r="BZ48" s="822"/>
      <c r="CA48" s="822"/>
      <c r="CB48" s="822"/>
      <c r="CC48" s="822"/>
      <c r="CD48" s="822"/>
      <c r="CE48" s="822"/>
      <c r="CF48" s="822"/>
      <c r="CG48" s="822"/>
      <c r="CH48" s="822"/>
      <c r="CI48" s="822"/>
      <c r="CJ48" s="822"/>
      <c r="CK48" s="822"/>
      <c r="CL48" s="822"/>
      <c r="CM48" s="822"/>
      <c r="CN48" s="822"/>
      <c r="CO48" s="822"/>
      <c r="CP48" s="822"/>
      <c r="CQ48" s="822"/>
      <c r="CR48" s="822"/>
      <c r="CS48" s="822"/>
      <c r="CT48" s="822"/>
      <c r="CU48" s="822"/>
      <c r="CV48" s="822"/>
      <c r="CW48" s="822"/>
      <c r="CX48" s="822"/>
      <c r="CY48" s="822"/>
      <c r="CZ48" s="822"/>
      <c r="DA48" s="822"/>
      <c r="DB48" s="822"/>
      <c r="DC48" s="822"/>
      <c r="DD48" s="822"/>
      <c r="DE48" s="822"/>
      <c r="DF48" s="822"/>
      <c r="DG48" s="822"/>
      <c r="DH48" s="822"/>
      <c r="DI48" s="822"/>
      <c r="DJ48" s="822"/>
      <c r="DK48" s="822"/>
      <c r="DL48" s="822"/>
      <c r="DM48" s="822"/>
      <c r="DN48" s="822"/>
      <c r="DO48" s="2297"/>
      <c r="DP48" s="2290"/>
      <c r="DQ48" s="2290"/>
      <c r="DR48" s="2290"/>
      <c r="DS48" s="2290"/>
      <c r="DT48" s="2290"/>
      <c r="DU48" s="2290"/>
      <c r="DV48" s="2290"/>
      <c r="DW48" s="2290"/>
      <c r="DX48" s="2290"/>
      <c r="DY48" s="2290"/>
      <c r="DZ48" s="2290"/>
      <c r="EA48" s="2290"/>
      <c r="EB48" s="2290"/>
      <c r="EC48" s="2291"/>
    </row>
    <row r="49" spans="5:133" ht="17.100000000000001" customHeight="1" x14ac:dyDescent="0.3">
      <c r="E49" s="1980"/>
      <c r="F49" s="907"/>
      <c r="G49" s="907"/>
      <c r="H49" s="907"/>
      <c r="I49" s="4870" t="s">
        <v>2156</v>
      </c>
      <c r="J49" s="4871"/>
      <c r="K49" s="4871"/>
      <c r="L49" s="4871"/>
      <c r="M49" s="4871"/>
      <c r="N49" s="4871"/>
      <c r="O49" s="4871"/>
      <c r="P49" s="4871"/>
      <c r="Q49" s="4871"/>
      <c r="R49" s="4871"/>
      <c r="S49" s="4872"/>
      <c r="T49" s="907"/>
      <c r="U49" s="907"/>
      <c r="V49" s="4870" t="s">
        <v>2127</v>
      </c>
      <c r="W49" s="4871"/>
      <c r="X49" s="4871"/>
      <c r="Y49" s="4871"/>
      <c r="Z49" s="4871"/>
      <c r="AA49" s="4871"/>
      <c r="AB49" s="4871"/>
      <c r="AC49" s="4871"/>
      <c r="AD49" s="4871"/>
      <c r="AE49" s="4871"/>
      <c r="AF49" s="4872"/>
      <c r="AG49" s="2287"/>
      <c r="AH49" s="2287"/>
      <c r="AI49" s="4870" t="s">
        <v>2155</v>
      </c>
      <c r="AJ49" s="4871"/>
      <c r="AK49" s="4871"/>
      <c r="AL49" s="4871"/>
      <c r="AM49" s="4871"/>
      <c r="AN49" s="4871"/>
      <c r="AO49" s="4871"/>
      <c r="AP49" s="4871"/>
      <c r="AQ49" s="4871"/>
      <c r="AR49" s="4871"/>
      <c r="AS49" s="4872"/>
      <c r="AT49" s="2287"/>
      <c r="AU49" s="2287"/>
      <c r="AV49" s="4870" t="s">
        <v>2137</v>
      </c>
      <c r="AW49" s="4871"/>
      <c r="AX49" s="4871"/>
      <c r="AY49" s="4871"/>
      <c r="AZ49" s="4871"/>
      <c r="BA49" s="4871"/>
      <c r="BB49" s="4871"/>
      <c r="BC49" s="4871"/>
      <c r="BD49" s="4871"/>
      <c r="BE49" s="4871"/>
      <c r="BF49" s="4872"/>
      <c r="BG49" s="2287"/>
      <c r="BH49" s="2287"/>
      <c r="BI49" s="4870" t="s">
        <v>2152</v>
      </c>
      <c r="BJ49" s="4871"/>
      <c r="BK49" s="4871"/>
      <c r="BL49" s="4871"/>
      <c r="BM49" s="4871"/>
      <c r="BN49" s="4871"/>
      <c r="BO49" s="4871"/>
      <c r="BP49" s="4871"/>
      <c r="BQ49" s="4871"/>
      <c r="BR49" s="4871"/>
      <c r="BS49" s="4872"/>
      <c r="BT49" s="2287"/>
      <c r="BU49" s="2287"/>
      <c r="BV49" s="2287"/>
      <c r="BW49" s="1982"/>
      <c r="BX49" s="822"/>
      <c r="BY49" s="822"/>
      <c r="BZ49" s="822"/>
      <c r="CA49" s="822"/>
      <c r="CB49" s="822"/>
      <c r="CC49" s="822"/>
      <c r="CD49" s="822"/>
      <c r="CE49" s="822"/>
      <c r="CF49" s="822"/>
      <c r="CG49" s="822"/>
      <c r="CH49" s="822"/>
      <c r="CI49" s="822"/>
      <c r="CJ49" s="822"/>
      <c r="CK49" s="822"/>
      <c r="CL49" s="822"/>
      <c r="CM49" s="822"/>
      <c r="CN49" s="822"/>
      <c r="CO49" s="822"/>
      <c r="CP49" s="822"/>
      <c r="CQ49" s="822"/>
      <c r="CR49" s="822"/>
      <c r="CS49" s="822"/>
      <c r="CT49" s="822"/>
      <c r="CU49" s="822"/>
      <c r="CV49" s="822"/>
      <c r="CW49" s="822"/>
      <c r="CX49" s="822"/>
      <c r="CY49" s="822"/>
      <c r="CZ49" s="822"/>
      <c r="DA49" s="822"/>
      <c r="DB49" s="822"/>
      <c r="DC49" s="822"/>
      <c r="DD49" s="822"/>
      <c r="DE49" s="822"/>
      <c r="DF49" s="822"/>
      <c r="DG49" s="822"/>
      <c r="DH49" s="822"/>
      <c r="DI49" s="822"/>
      <c r="DJ49" s="822"/>
      <c r="DK49" s="822"/>
      <c r="DL49" s="822"/>
      <c r="DM49" s="822"/>
      <c r="DN49" s="822"/>
      <c r="DO49" s="2297"/>
      <c r="DP49" s="2290"/>
      <c r="DQ49" s="2290"/>
      <c r="DR49" s="2290"/>
      <c r="DS49" s="2290"/>
      <c r="DT49" s="2290"/>
      <c r="DU49" s="2290"/>
      <c r="DV49" s="2290"/>
      <c r="DW49" s="2290"/>
      <c r="DX49" s="2290"/>
      <c r="DY49" s="2290"/>
      <c r="DZ49" s="2290"/>
      <c r="EA49" s="2290"/>
      <c r="EB49" s="2290"/>
      <c r="EC49" s="2291"/>
    </row>
    <row r="50" spans="5:133" ht="17.100000000000001" customHeight="1" x14ac:dyDescent="0.3">
      <c r="E50" s="1980"/>
      <c r="F50" s="907"/>
      <c r="G50" s="907"/>
      <c r="H50" s="907"/>
      <c r="I50" s="4867" t="s">
        <v>2143</v>
      </c>
      <c r="J50" s="4868"/>
      <c r="K50" s="4868"/>
      <c r="L50" s="4868"/>
      <c r="M50" s="4868"/>
      <c r="N50" s="4868"/>
      <c r="O50" s="4868"/>
      <c r="P50" s="4868"/>
      <c r="Q50" s="4868"/>
      <c r="R50" s="4868"/>
      <c r="S50" s="4869"/>
      <c r="T50" s="907"/>
      <c r="U50" s="907"/>
      <c r="V50" s="4867" t="s">
        <v>2130</v>
      </c>
      <c r="W50" s="4868"/>
      <c r="X50" s="4868"/>
      <c r="Y50" s="4868"/>
      <c r="Z50" s="4868"/>
      <c r="AA50" s="4868"/>
      <c r="AB50" s="4868"/>
      <c r="AC50" s="4868"/>
      <c r="AD50" s="4868"/>
      <c r="AE50" s="4868"/>
      <c r="AF50" s="4869"/>
      <c r="AG50" s="2287"/>
      <c r="AH50" s="2287"/>
      <c r="AI50" s="4867" t="s">
        <v>2110</v>
      </c>
      <c r="AJ50" s="4868"/>
      <c r="AK50" s="4868"/>
      <c r="AL50" s="4868"/>
      <c r="AM50" s="4868"/>
      <c r="AN50" s="4868"/>
      <c r="AO50" s="4868"/>
      <c r="AP50" s="4868"/>
      <c r="AQ50" s="4868"/>
      <c r="AR50" s="4868"/>
      <c r="AS50" s="4869"/>
      <c r="AT50" s="2287"/>
      <c r="AU50" s="2287"/>
      <c r="AV50" s="4867" t="s">
        <v>2140</v>
      </c>
      <c r="AW50" s="4868"/>
      <c r="AX50" s="4868"/>
      <c r="AY50" s="4868"/>
      <c r="AZ50" s="4868"/>
      <c r="BA50" s="4868"/>
      <c r="BB50" s="4868"/>
      <c r="BC50" s="4868"/>
      <c r="BD50" s="4868"/>
      <c r="BE50" s="4868"/>
      <c r="BF50" s="4869"/>
      <c r="BG50" s="2287"/>
      <c r="BH50" s="2287"/>
      <c r="BI50" s="4867" t="s">
        <v>2146</v>
      </c>
      <c r="BJ50" s="4868"/>
      <c r="BK50" s="4868"/>
      <c r="BL50" s="4868"/>
      <c r="BM50" s="4868"/>
      <c r="BN50" s="4868"/>
      <c r="BO50" s="4868"/>
      <c r="BP50" s="4868"/>
      <c r="BQ50" s="4868"/>
      <c r="BR50" s="4868"/>
      <c r="BS50" s="4869"/>
      <c r="BT50" s="2287"/>
      <c r="BU50" s="2287"/>
      <c r="BV50" s="2287"/>
      <c r="BW50" s="1982"/>
      <c r="BX50" s="822"/>
      <c r="BY50" s="822"/>
      <c r="BZ50" s="822"/>
      <c r="CA50" s="822"/>
      <c r="CB50" s="822"/>
      <c r="CC50" s="822"/>
      <c r="CD50" s="822"/>
      <c r="CE50" s="822"/>
      <c r="CF50" s="822"/>
      <c r="CG50" s="822"/>
      <c r="CH50" s="822"/>
      <c r="CI50" s="822"/>
      <c r="CJ50" s="822"/>
      <c r="CK50" s="822"/>
      <c r="CL50" s="822"/>
      <c r="CM50" s="822"/>
      <c r="CN50" s="822"/>
      <c r="CO50" s="822"/>
      <c r="CP50" s="822"/>
      <c r="CQ50" s="822"/>
      <c r="CR50" s="822"/>
      <c r="CS50" s="822"/>
      <c r="CT50" s="822"/>
      <c r="CU50" s="822"/>
      <c r="CV50" s="822"/>
      <c r="CW50" s="822"/>
      <c r="CX50" s="822"/>
      <c r="CY50" s="822"/>
      <c r="CZ50" s="822"/>
      <c r="DA50" s="822"/>
      <c r="DB50" s="822"/>
      <c r="DC50" s="822"/>
      <c r="DD50" s="822"/>
      <c r="DE50" s="822"/>
      <c r="DF50" s="822"/>
      <c r="DG50" s="822"/>
      <c r="DH50" s="822"/>
      <c r="DI50" s="822"/>
      <c r="DJ50" s="822"/>
      <c r="DK50" s="822"/>
      <c r="DL50" s="822"/>
      <c r="DM50" s="822"/>
      <c r="DN50" s="822"/>
      <c r="DO50" s="2297"/>
      <c r="DP50" s="2290"/>
      <c r="DQ50" s="2290"/>
      <c r="DR50" s="2290"/>
      <c r="DS50" s="2290"/>
      <c r="DT50" s="2290"/>
      <c r="DU50" s="2290"/>
      <c r="DV50" s="2290"/>
      <c r="DW50" s="2290"/>
      <c r="DX50" s="2290"/>
      <c r="DY50" s="2290"/>
      <c r="DZ50" s="2290"/>
      <c r="EA50" s="2290"/>
      <c r="EB50" s="2290"/>
      <c r="EC50" s="2291"/>
    </row>
    <row r="51" spans="5:133" ht="17.100000000000001" customHeight="1" x14ac:dyDescent="0.3">
      <c r="E51" s="1980"/>
      <c r="F51" s="907"/>
      <c r="G51" s="907"/>
      <c r="H51" s="907"/>
      <c r="I51" s="4870" t="s">
        <v>2156</v>
      </c>
      <c r="J51" s="4871"/>
      <c r="K51" s="4871"/>
      <c r="L51" s="4871"/>
      <c r="M51" s="4871"/>
      <c r="N51" s="4871"/>
      <c r="O51" s="4871"/>
      <c r="P51" s="4871"/>
      <c r="Q51" s="4871"/>
      <c r="R51" s="4871"/>
      <c r="S51" s="4872"/>
      <c r="T51" s="907"/>
      <c r="U51" s="907"/>
      <c r="V51" s="4870" t="s">
        <v>2131</v>
      </c>
      <c r="W51" s="4871"/>
      <c r="X51" s="4871"/>
      <c r="Y51" s="4871"/>
      <c r="Z51" s="4871"/>
      <c r="AA51" s="4871"/>
      <c r="AB51" s="4871"/>
      <c r="AC51" s="4871"/>
      <c r="AD51" s="4871"/>
      <c r="AE51" s="4871"/>
      <c r="AF51" s="4872"/>
      <c r="AG51" s="2287"/>
      <c r="AH51" s="2287"/>
      <c r="AI51" s="4870" t="s">
        <v>2155</v>
      </c>
      <c r="AJ51" s="4871"/>
      <c r="AK51" s="4871"/>
      <c r="AL51" s="4871"/>
      <c r="AM51" s="4871"/>
      <c r="AN51" s="4871"/>
      <c r="AO51" s="4871"/>
      <c r="AP51" s="4871"/>
      <c r="AQ51" s="4871"/>
      <c r="AR51" s="4871"/>
      <c r="AS51" s="4872"/>
      <c r="AT51" s="2287"/>
      <c r="AU51" s="2287"/>
      <c r="AV51" s="4870" t="s">
        <v>2153</v>
      </c>
      <c r="AW51" s="4871"/>
      <c r="AX51" s="4871"/>
      <c r="AY51" s="4871"/>
      <c r="AZ51" s="4871"/>
      <c r="BA51" s="4871"/>
      <c r="BB51" s="4871"/>
      <c r="BC51" s="4871"/>
      <c r="BD51" s="4871"/>
      <c r="BE51" s="4871"/>
      <c r="BF51" s="4872"/>
      <c r="BG51" s="2287"/>
      <c r="BH51" s="2287"/>
      <c r="BI51" s="4870" t="s">
        <v>2152</v>
      </c>
      <c r="BJ51" s="4871"/>
      <c r="BK51" s="4871"/>
      <c r="BL51" s="4871"/>
      <c r="BM51" s="4871"/>
      <c r="BN51" s="4871"/>
      <c r="BO51" s="4871"/>
      <c r="BP51" s="4871"/>
      <c r="BQ51" s="4871"/>
      <c r="BR51" s="4871"/>
      <c r="BS51" s="4872"/>
      <c r="BT51" s="2287"/>
      <c r="BU51" s="2287"/>
      <c r="BV51" s="2287"/>
      <c r="BW51" s="1982"/>
      <c r="BX51" s="822"/>
      <c r="BY51" s="822"/>
      <c r="BZ51" s="822"/>
      <c r="CA51" s="822"/>
      <c r="CB51" s="822"/>
      <c r="CC51" s="822"/>
      <c r="CD51" s="822"/>
      <c r="CE51" s="822"/>
      <c r="CF51" s="822"/>
      <c r="CG51" s="822"/>
      <c r="CH51" s="822"/>
      <c r="CI51" s="822"/>
      <c r="CJ51" s="822"/>
      <c r="CK51" s="822"/>
      <c r="CL51" s="822"/>
      <c r="CM51" s="822"/>
      <c r="CN51" s="822"/>
      <c r="CO51" s="822"/>
      <c r="CP51" s="822"/>
      <c r="CQ51" s="822"/>
      <c r="CR51" s="822"/>
      <c r="CS51" s="822"/>
      <c r="CT51" s="822"/>
      <c r="CU51" s="822"/>
      <c r="CV51" s="822"/>
      <c r="CW51" s="822"/>
      <c r="CX51" s="822"/>
      <c r="CY51" s="822"/>
      <c r="CZ51" s="822"/>
      <c r="DA51" s="822"/>
      <c r="DB51" s="822"/>
      <c r="DC51" s="822"/>
      <c r="DD51" s="822"/>
      <c r="DE51" s="822"/>
      <c r="DF51" s="822"/>
      <c r="DG51" s="822"/>
      <c r="DH51" s="822"/>
      <c r="DI51" s="822"/>
      <c r="DJ51" s="822"/>
      <c r="DK51" s="822"/>
      <c r="DL51" s="822"/>
      <c r="DM51" s="822"/>
      <c r="DN51" s="822"/>
      <c r="DO51" s="2297"/>
      <c r="DP51" s="2290"/>
      <c r="DQ51" s="2290"/>
      <c r="DR51" s="2290"/>
      <c r="DS51" s="2290"/>
      <c r="DT51" s="2290"/>
      <c r="DU51" s="2290"/>
      <c r="DV51" s="2290"/>
      <c r="DW51" s="2290"/>
      <c r="DX51" s="2290"/>
      <c r="DY51" s="2290"/>
      <c r="DZ51" s="2290"/>
      <c r="EA51" s="2290"/>
      <c r="EB51" s="2290"/>
      <c r="EC51" s="2291"/>
    </row>
    <row r="52" spans="5:133" ht="17.100000000000001" customHeight="1" x14ac:dyDescent="0.3">
      <c r="E52" s="1980"/>
      <c r="F52" s="907"/>
      <c r="G52" s="907"/>
      <c r="H52" s="907"/>
      <c r="I52" s="4867" t="s">
        <v>2142</v>
      </c>
      <c r="J52" s="4868"/>
      <c r="K52" s="4868"/>
      <c r="L52" s="4868"/>
      <c r="M52" s="4868"/>
      <c r="N52" s="4868"/>
      <c r="O52" s="4868"/>
      <c r="P52" s="4868"/>
      <c r="Q52" s="4868"/>
      <c r="R52" s="4868"/>
      <c r="S52" s="4869"/>
      <c r="T52" s="907"/>
      <c r="U52" s="907"/>
      <c r="V52" s="4867" t="s">
        <v>2129</v>
      </c>
      <c r="W52" s="4868"/>
      <c r="X52" s="4868"/>
      <c r="Y52" s="4868"/>
      <c r="Z52" s="4868"/>
      <c r="AA52" s="4868"/>
      <c r="AB52" s="4868"/>
      <c r="AC52" s="4868"/>
      <c r="AD52" s="4868"/>
      <c r="AE52" s="4868"/>
      <c r="AF52" s="4869"/>
      <c r="AG52" s="2287"/>
      <c r="AH52" s="2287"/>
      <c r="AI52" s="4867" t="s">
        <v>2111</v>
      </c>
      <c r="AJ52" s="4868"/>
      <c r="AK52" s="4868"/>
      <c r="AL52" s="4868"/>
      <c r="AM52" s="4868"/>
      <c r="AN52" s="4868"/>
      <c r="AO52" s="4868"/>
      <c r="AP52" s="4868"/>
      <c r="AQ52" s="4868"/>
      <c r="AR52" s="4868"/>
      <c r="AS52" s="4869"/>
      <c r="AT52" s="2287"/>
      <c r="AU52" s="2287"/>
      <c r="AV52" s="4867" t="s">
        <v>2138</v>
      </c>
      <c r="AW52" s="4868"/>
      <c r="AX52" s="4868"/>
      <c r="AY52" s="4868"/>
      <c r="AZ52" s="4868"/>
      <c r="BA52" s="4868"/>
      <c r="BB52" s="4868"/>
      <c r="BC52" s="4868"/>
      <c r="BD52" s="4868"/>
      <c r="BE52" s="4868"/>
      <c r="BF52" s="4869"/>
      <c r="BG52" s="2287"/>
      <c r="BH52" s="2287"/>
      <c r="BI52" s="4867"/>
      <c r="BJ52" s="4868"/>
      <c r="BK52" s="4868"/>
      <c r="BL52" s="4868"/>
      <c r="BM52" s="4868"/>
      <c r="BN52" s="4868"/>
      <c r="BO52" s="4868"/>
      <c r="BP52" s="4868"/>
      <c r="BQ52" s="4868"/>
      <c r="BR52" s="4868"/>
      <c r="BS52" s="4869"/>
      <c r="BT52" s="2287"/>
      <c r="BU52" s="2287"/>
      <c r="BV52" s="2287"/>
      <c r="BW52" s="1982"/>
      <c r="BX52" s="822"/>
      <c r="BY52" s="822"/>
      <c r="BZ52" s="822"/>
      <c r="CA52" s="822"/>
      <c r="CB52" s="822"/>
      <c r="CC52" s="822"/>
      <c r="CD52" s="822"/>
      <c r="CE52" s="822"/>
      <c r="CF52" s="822"/>
      <c r="CG52" s="822"/>
      <c r="CH52" s="822"/>
      <c r="CI52" s="822"/>
      <c r="CJ52" s="822"/>
      <c r="CK52" s="822"/>
      <c r="CL52" s="822"/>
      <c r="CM52" s="822"/>
      <c r="CN52" s="822"/>
      <c r="CO52" s="822"/>
      <c r="CP52" s="822"/>
      <c r="CQ52" s="822"/>
      <c r="CR52" s="822"/>
      <c r="CS52" s="822"/>
      <c r="CT52" s="822"/>
      <c r="CU52" s="822"/>
      <c r="CV52" s="822"/>
      <c r="CW52" s="822"/>
      <c r="CX52" s="822"/>
      <c r="CY52" s="822"/>
      <c r="CZ52" s="822"/>
      <c r="DA52" s="822"/>
      <c r="DB52" s="822"/>
      <c r="DC52" s="822"/>
      <c r="DD52" s="822"/>
      <c r="DE52" s="822"/>
      <c r="DF52" s="822"/>
      <c r="DG52" s="822"/>
      <c r="DH52" s="822"/>
      <c r="DI52" s="822"/>
      <c r="DJ52" s="822"/>
      <c r="DK52" s="822"/>
      <c r="DL52" s="822"/>
      <c r="DM52" s="822"/>
      <c r="DN52" s="822"/>
      <c r="DO52" s="2297"/>
      <c r="DP52" s="2290"/>
      <c r="DQ52" s="2290"/>
      <c r="DR52" s="2290"/>
      <c r="DS52" s="2290"/>
      <c r="DT52" s="2290"/>
      <c r="DU52" s="2290"/>
      <c r="DV52" s="2290"/>
      <c r="DW52" s="2290"/>
      <c r="DX52" s="2290"/>
      <c r="DY52" s="2290"/>
      <c r="DZ52" s="2290"/>
      <c r="EA52" s="2290"/>
      <c r="EB52" s="2290"/>
      <c r="EC52" s="2291"/>
    </row>
    <row r="53" spans="5:133" ht="17.100000000000001" customHeight="1" x14ac:dyDescent="0.3">
      <c r="E53" s="1980"/>
      <c r="F53" s="907"/>
      <c r="G53" s="907"/>
      <c r="H53" s="907"/>
      <c r="I53" s="4870" t="s">
        <v>2156</v>
      </c>
      <c r="J53" s="4871"/>
      <c r="K53" s="4871"/>
      <c r="L53" s="4871"/>
      <c r="M53" s="4871"/>
      <c r="N53" s="4871"/>
      <c r="O53" s="4871"/>
      <c r="P53" s="4871"/>
      <c r="Q53" s="4871"/>
      <c r="R53" s="4871"/>
      <c r="S53" s="4872"/>
      <c r="T53" s="907"/>
      <c r="U53" s="907"/>
      <c r="V53" s="4870" t="s">
        <v>2136</v>
      </c>
      <c r="W53" s="4871"/>
      <c r="X53" s="4871"/>
      <c r="Y53" s="4871"/>
      <c r="Z53" s="4871"/>
      <c r="AA53" s="4871"/>
      <c r="AB53" s="4871"/>
      <c r="AC53" s="4871"/>
      <c r="AD53" s="4871"/>
      <c r="AE53" s="4871"/>
      <c r="AF53" s="4872"/>
      <c r="AG53" s="2287"/>
      <c r="AH53" s="2287"/>
      <c r="AI53" s="4870" t="s">
        <v>2155</v>
      </c>
      <c r="AJ53" s="4871"/>
      <c r="AK53" s="4871"/>
      <c r="AL53" s="4871"/>
      <c r="AM53" s="4871"/>
      <c r="AN53" s="4871"/>
      <c r="AO53" s="4871"/>
      <c r="AP53" s="4871"/>
      <c r="AQ53" s="4871"/>
      <c r="AR53" s="4871"/>
      <c r="AS53" s="4872"/>
      <c r="AT53" s="2287"/>
      <c r="AU53" s="2287"/>
      <c r="AV53" s="4870" t="s">
        <v>2154</v>
      </c>
      <c r="AW53" s="4871"/>
      <c r="AX53" s="4871"/>
      <c r="AY53" s="4871"/>
      <c r="AZ53" s="4871"/>
      <c r="BA53" s="4871"/>
      <c r="BB53" s="4871"/>
      <c r="BC53" s="4871"/>
      <c r="BD53" s="4871"/>
      <c r="BE53" s="4871"/>
      <c r="BF53" s="4872"/>
      <c r="BG53" s="2287"/>
      <c r="BH53" s="2287"/>
      <c r="BI53" s="4870"/>
      <c r="BJ53" s="4871"/>
      <c r="BK53" s="4871"/>
      <c r="BL53" s="4871"/>
      <c r="BM53" s="4871"/>
      <c r="BN53" s="4871"/>
      <c r="BO53" s="4871"/>
      <c r="BP53" s="4871"/>
      <c r="BQ53" s="4871"/>
      <c r="BR53" s="4871"/>
      <c r="BS53" s="4872"/>
      <c r="BT53" s="2287"/>
      <c r="BU53" s="2287"/>
      <c r="BV53" s="2287"/>
      <c r="BW53" s="1982"/>
      <c r="BX53" s="822"/>
      <c r="BY53" s="822"/>
      <c r="BZ53" s="822"/>
      <c r="CA53" s="822"/>
      <c r="CB53" s="822"/>
      <c r="CC53" s="822"/>
      <c r="CD53" s="822"/>
      <c r="CE53" s="822"/>
      <c r="CF53" s="822"/>
      <c r="CG53" s="822"/>
      <c r="CH53" s="822"/>
      <c r="CI53" s="822"/>
      <c r="CJ53" s="822"/>
      <c r="CK53" s="822"/>
      <c r="CL53" s="822"/>
      <c r="CM53" s="822"/>
      <c r="CN53" s="822"/>
      <c r="CO53" s="822"/>
      <c r="CP53" s="822"/>
      <c r="CQ53" s="822"/>
      <c r="CR53" s="822"/>
      <c r="CS53" s="822"/>
      <c r="CT53" s="822"/>
      <c r="CU53" s="822"/>
      <c r="CV53" s="822"/>
      <c r="CW53" s="822"/>
      <c r="CX53" s="822"/>
      <c r="CY53" s="822"/>
      <c r="CZ53" s="822"/>
      <c r="DA53" s="822"/>
      <c r="DB53" s="822"/>
      <c r="DC53" s="822"/>
      <c r="DD53" s="822"/>
      <c r="DE53" s="822"/>
      <c r="DF53" s="822"/>
      <c r="DG53" s="822"/>
      <c r="DH53" s="822"/>
      <c r="DI53" s="822"/>
      <c r="DJ53" s="822"/>
      <c r="DK53" s="822"/>
      <c r="DL53" s="822"/>
      <c r="DM53" s="822"/>
      <c r="DN53" s="822"/>
      <c r="DO53" s="2297"/>
      <c r="DP53" s="2290"/>
      <c r="DQ53" s="2290"/>
      <c r="DR53" s="2290"/>
      <c r="DS53" s="2290"/>
      <c r="DT53" s="2290"/>
      <c r="DU53" s="2290"/>
      <c r="DV53" s="2290"/>
      <c r="DW53" s="2290"/>
      <c r="DX53" s="2290"/>
      <c r="DY53" s="2290"/>
      <c r="DZ53" s="2290"/>
      <c r="EA53" s="2290"/>
      <c r="EB53" s="2290"/>
      <c r="EC53" s="2291"/>
    </row>
    <row r="54" spans="5:133" ht="17.100000000000001" customHeight="1" x14ac:dyDescent="0.3">
      <c r="E54" s="1980"/>
      <c r="F54" s="907"/>
      <c r="G54" s="907"/>
      <c r="H54" s="907"/>
      <c r="I54" s="4867"/>
      <c r="J54" s="4868"/>
      <c r="K54" s="4868"/>
      <c r="L54" s="4868"/>
      <c r="M54" s="4868"/>
      <c r="N54" s="4868"/>
      <c r="O54" s="4868"/>
      <c r="P54" s="4868"/>
      <c r="Q54" s="4868"/>
      <c r="R54" s="4868"/>
      <c r="S54" s="4869"/>
      <c r="T54" s="907"/>
      <c r="U54" s="907"/>
      <c r="V54" s="4867" t="s">
        <v>2132</v>
      </c>
      <c r="W54" s="4868"/>
      <c r="X54" s="4868"/>
      <c r="Y54" s="4868"/>
      <c r="Z54" s="4868"/>
      <c r="AA54" s="4868"/>
      <c r="AB54" s="4868"/>
      <c r="AC54" s="4868"/>
      <c r="AD54" s="4868"/>
      <c r="AE54" s="4868"/>
      <c r="AF54" s="4869"/>
      <c r="AG54" s="2287"/>
      <c r="AH54" s="2287"/>
      <c r="AI54" s="4867" t="s">
        <v>2112</v>
      </c>
      <c r="AJ54" s="4868"/>
      <c r="AK54" s="4868"/>
      <c r="AL54" s="4868"/>
      <c r="AM54" s="4868"/>
      <c r="AN54" s="4868"/>
      <c r="AO54" s="4868"/>
      <c r="AP54" s="4868"/>
      <c r="AQ54" s="4868"/>
      <c r="AR54" s="4868"/>
      <c r="AS54" s="4869"/>
      <c r="AT54" s="2287"/>
      <c r="AU54" s="2287"/>
      <c r="AV54" s="4867" t="s">
        <v>2139</v>
      </c>
      <c r="AW54" s="4868"/>
      <c r="AX54" s="4868"/>
      <c r="AY54" s="4868"/>
      <c r="AZ54" s="4868"/>
      <c r="BA54" s="4868"/>
      <c r="BB54" s="4868"/>
      <c r="BC54" s="4868"/>
      <c r="BD54" s="4868"/>
      <c r="BE54" s="4868"/>
      <c r="BF54" s="4869"/>
      <c r="BG54" s="2287"/>
      <c r="BH54" s="2287"/>
      <c r="BI54" s="4867"/>
      <c r="BJ54" s="4868"/>
      <c r="BK54" s="4868"/>
      <c r="BL54" s="4868"/>
      <c r="BM54" s="4868"/>
      <c r="BN54" s="4868"/>
      <c r="BO54" s="4868"/>
      <c r="BP54" s="4868"/>
      <c r="BQ54" s="4868"/>
      <c r="BR54" s="4868"/>
      <c r="BS54" s="4869"/>
      <c r="BT54" s="2287"/>
      <c r="BU54" s="2287"/>
      <c r="BV54" s="2287"/>
      <c r="BW54" s="1982"/>
      <c r="BX54" s="822"/>
      <c r="BY54" s="822"/>
      <c r="BZ54" s="822"/>
      <c r="CA54" s="822"/>
      <c r="CB54" s="822"/>
      <c r="CC54" s="822"/>
      <c r="CD54" s="822"/>
      <c r="CE54" s="822"/>
      <c r="CF54" s="822"/>
      <c r="CG54" s="822"/>
      <c r="CH54" s="822"/>
      <c r="CI54" s="822"/>
      <c r="CJ54" s="822"/>
      <c r="CK54" s="822"/>
      <c r="CL54" s="822"/>
      <c r="CM54" s="822"/>
      <c r="CN54" s="822"/>
      <c r="CO54" s="822"/>
      <c r="CP54" s="822"/>
      <c r="CQ54" s="822"/>
      <c r="CR54" s="822"/>
      <c r="CS54" s="822"/>
      <c r="CT54" s="822"/>
      <c r="CU54" s="822"/>
      <c r="CV54" s="822"/>
      <c r="CW54" s="822"/>
      <c r="CX54" s="822"/>
      <c r="CY54" s="822"/>
      <c r="CZ54" s="822"/>
      <c r="DA54" s="822"/>
      <c r="DB54" s="822"/>
      <c r="DC54" s="822"/>
      <c r="DD54" s="822"/>
      <c r="DE54" s="822"/>
      <c r="DF54" s="822"/>
      <c r="DG54" s="822"/>
      <c r="DH54" s="822"/>
      <c r="DI54" s="822"/>
      <c r="DJ54" s="822"/>
      <c r="DK54" s="822"/>
      <c r="DL54" s="822"/>
      <c r="DM54" s="822"/>
      <c r="DN54" s="822"/>
      <c r="DO54" s="2297"/>
      <c r="DP54" s="2290"/>
      <c r="DQ54" s="2290"/>
      <c r="DR54" s="2290"/>
      <c r="DS54" s="2290"/>
      <c r="DT54" s="2290"/>
      <c r="DU54" s="2290"/>
      <c r="DV54" s="2290"/>
      <c r="DW54" s="2290"/>
      <c r="DX54" s="2290"/>
      <c r="DY54" s="2290"/>
      <c r="DZ54" s="2290"/>
      <c r="EA54" s="2290"/>
      <c r="EB54" s="2290"/>
      <c r="EC54" s="2291"/>
    </row>
    <row r="55" spans="5:133" ht="17.100000000000001" customHeight="1" x14ac:dyDescent="0.3">
      <c r="E55" s="1980"/>
      <c r="F55" s="907"/>
      <c r="G55" s="907"/>
      <c r="H55" s="907"/>
      <c r="I55" s="4870"/>
      <c r="J55" s="4871"/>
      <c r="K55" s="4871"/>
      <c r="L55" s="4871"/>
      <c r="M55" s="4871"/>
      <c r="N55" s="4871"/>
      <c r="O55" s="4871"/>
      <c r="P55" s="4871"/>
      <c r="Q55" s="4871"/>
      <c r="R55" s="4871"/>
      <c r="S55" s="4872"/>
      <c r="T55" s="907"/>
      <c r="U55" s="907"/>
      <c r="V55" s="4870" t="s">
        <v>2133</v>
      </c>
      <c r="W55" s="4871"/>
      <c r="X55" s="4871"/>
      <c r="Y55" s="4871"/>
      <c r="Z55" s="4871"/>
      <c r="AA55" s="4871"/>
      <c r="AB55" s="4871"/>
      <c r="AC55" s="4871"/>
      <c r="AD55" s="4871"/>
      <c r="AE55" s="4871"/>
      <c r="AF55" s="4872"/>
      <c r="AG55" s="2287"/>
      <c r="AH55" s="2287"/>
      <c r="AI55" s="4870" t="s">
        <v>2155</v>
      </c>
      <c r="AJ55" s="4871"/>
      <c r="AK55" s="4871"/>
      <c r="AL55" s="4871"/>
      <c r="AM55" s="4871"/>
      <c r="AN55" s="4871"/>
      <c r="AO55" s="4871"/>
      <c r="AP55" s="4871"/>
      <c r="AQ55" s="4871"/>
      <c r="AR55" s="4871"/>
      <c r="AS55" s="4872"/>
      <c r="AT55" s="2287"/>
      <c r="AU55" s="2287"/>
      <c r="AV55" s="4870" t="s">
        <v>2137</v>
      </c>
      <c r="AW55" s="4871"/>
      <c r="AX55" s="4871"/>
      <c r="AY55" s="4871"/>
      <c r="AZ55" s="4871"/>
      <c r="BA55" s="4871"/>
      <c r="BB55" s="4871"/>
      <c r="BC55" s="4871"/>
      <c r="BD55" s="4871"/>
      <c r="BE55" s="4871"/>
      <c r="BF55" s="4872"/>
      <c r="BG55" s="2287"/>
      <c r="BH55" s="2287"/>
      <c r="BI55" s="4870"/>
      <c r="BJ55" s="4871"/>
      <c r="BK55" s="4871"/>
      <c r="BL55" s="4871"/>
      <c r="BM55" s="4871"/>
      <c r="BN55" s="4871"/>
      <c r="BO55" s="4871"/>
      <c r="BP55" s="4871"/>
      <c r="BQ55" s="4871"/>
      <c r="BR55" s="4871"/>
      <c r="BS55" s="4872"/>
      <c r="BT55" s="2287"/>
      <c r="BU55" s="2287"/>
      <c r="BV55" s="2287"/>
      <c r="BW55" s="1982"/>
      <c r="BX55" s="822"/>
      <c r="BY55" s="822"/>
      <c r="BZ55" s="822"/>
      <c r="CA55" s="822"/>
      <c r="CB55" s="822"/>
      <c r="CC55" s="822"/>
      <c r="CD55" s="822"/>
      <c r="CE55" s="822"/>
      <c r="CF55" s="822"/>
      <c r="CG55" s="822"/>
      <c r="CH55" s="822"/>
      <c r="CI55" s="822"/>
      <c r="CJ55" s="822"/>
      <c r="CK55" s="822"/>
      <c r="CL55" s="822"/>
      <c r="CM55" s="822"/>
      <c r="CN55" s="822"/>
      <c r="CO55" s="822"/>
      <c r="CP55" s="822"/>
      <c r="CQ55" s="822"/>
      <c r="CR55" s="822"/>
      <c r="CS55" s="822"/>
      <c r="CT55" s="822"/>
      <c r="CU55" s="822"/>
      <c r="CV55" s="822"/>
      <c r="CW55" s="822"/>
      <c r="CX55" s="822"/>
      <c r="CY55" s="822"/>
      <c r="CZ55" s="822"/>
      <c r="DA55" s="822"/>
      <c r="DB55" s="822"/>
      <c r="DC55" s="822"/>
      <c r="DD55" s="822"/>
      <c r="DE55" s="822"/>
      <c r="DF55" s="822"/>
      <c r="DG55" s="822"/>
      <c r="DH55" s="822"/>
      <c r="DI55" s="822"/>
      <c r="DJ55" s="822"/>
      <c r="DK55" s="822"/>
      <c r="DL55" s="822"/>
      <c r="DM55" s="822"/>
      <c r="DN55" s="822"/>
      <c r="DO55" s="2297"/>
      <c r="DP55" s="2290"/>
      <c r="DQ55" s="2290"/>
      <c r="DR55" s="2290"/>
      <c r="DS55" s="2290"/>
      <c r="DT55" s="2290"/>
      <c r="DU55" s="2290"/>
      <c r="DV55" s="2290"/>
      <c r="DW55" s="2290"/>
      <c r="DX55" s="2290"/>
      <c r="DY55" s="2290"/>
      <c r="DZ55" s="2290"/>
      <c r="EA55" s="2290"/>
      <c r="EB55" s="2290"/>
      <c r="EC55" s="2291"/>
    </row>
    <row r="56" spans="5:133" ht="17.100000000000001" customHeight="1" x14ac:dyDescent="0.3">
      <c r="E56" s="1980"/>
      <c r="F56" s="907"/>
      <c r="G56" s="907"/>
      <c r="H56" s="907"/>
      <c r="I56" s="4867"/>
      <c r="J56" s="4868"/>
      <c r="K56" s="4868"/>
      <c r="L56" s="4868"/>
      <c r="M56" s="4868"/>
      <c r="N56" s="4868"/>
      <c r="O56" s="4868"/>
      <c r="P56" s="4868"/>
      <c r="Q56" s="4868"/>
      <c r="R56" s="4868"/>
      <c r="S56" s="4869"/>
      <c r="T56" s="907"/>
      <c r="U56" s="907"/>
      <c r="V56" s="4867" t="s">
        <v>2149</v>
      </c>
      <c r="W56" s="4868"/>
      <c r="X56" s="4868"/>
      <c r="Y56" s="4868"/>
      <c r="Z56" s="4868"/>
      <c r="AA56" s="4868"/>
      <c r="AB56" s="4868"/>
      <c r="AC56" s="4868"/>
      <c r="AD56" s="4868"/>
      <c r="AE56" s="4868"/>
      <c r="AF56" s="4869"/>
      <c r="AG56" s="2287"/>
      <c r="AH56" s="2287"/>
      <c r="AI56" s="4867" t="s">
        <v>2113</v>
      </c>
      <c r="AJ56" s="4868"/>
      <c r="AK56" s="4868"/>
      <c r="AL56" s="4868"/>
      <c r="AM56" s="4868"/>
      <c r="AN56" s="4868"/>
      <c r="AO56" s="4868"/>
      <c r="AP56" s="4868"/>
      <c r="AQ56" s="4868"/>
      <c r="AR56" s="4868"/>
      <c r="AS56" s="4869"/>
      <c r="AT56" s="2287"/>
      <c r="AU56" s="2287"/>
      <c r="AV56" s="4867" t="s">
        <v>2124</v>
      </c>
      <c r="AW56" s="4868"/>
      <c r="AX56" s="4868"/>
      <c r="AY56" s="4868"/>
      <c r="AZ56" s="4868"/>
      <c r="BA56" s="4868"/>
      <c r="BB56" s="4868"/>
      <c r="BC56" s="4868"/>
      <c r="BD56" s="4868"/>
      <c r="BE56" s="4868"/>
      <c r="BF56" s="4869"/>
      <c r="BG56" s="2287"/>
      <c r="BH56" s="2287"/>
      <c r="BI56" s="4867"/>
      <c r="BJ56" s="4868"/>
      <c r="BK56" s="4868"/>
      <c r="BL56" s="4868"/>
      <c r="BM56" s="4868"/>
      <c r="BN56" s="4868"/>
      <c r="BO56" s="4868"/>
      <c r="BP56" s="4868"/>
      <c r="BQ56" s="4868"/>
      <c r="BR56" s="4868"/>
      <c r="BS56" s="4869"/>
      <c r="BT56" s="2287"/>
      <c r="BU56" s="2287"/>
      <c r="BV56" s="2287"/>
      <c r="BW56" s="1982"/>
      <c r="BX56" s="822"/>
      <c r="BY56" s="822"/>
      <c r="BZ56" s="822"/>
      <c r="CA56" s="822"/>
      <c r="CB56" s="822"/>
      <c r="CC56" s="822"/>
      <c r="CD56" s="822"/>
      <c r="CE56" s="822"/>
      <c r="CF56" s="822"/>
      <c r="CG56" s="822"/>
      <c r="CH56" s="822"/>
      <c r="CI56" s="822"/>
      <c r="CJ56" s="822"/>
      <c r="CK56" s="822"/>
      <c r="CL56" s="822"/>
      <c r="CM56" s="822"/>
      <c r="CN56" s="822"/>
      <c r="CO56" s="822"/>
      <c r="CP56" s="822"/>
      <c r="CQ56" s="822"/>
      <c r="CR56" s="822"/>
      <c r="CS56" s="822"/>
      <c r="CT56" s="822"/>
      <c r="CU56" s="822"/>
      <c r="CV56" s="822"/>
      <c r="CW56" s="822"/>
      <c r="CX56" s="822"/>
      <c r="CY56" s="822"/>
      <c r="CZ56" s="822"/>
      <c r="DA56" s="822"/>
      <c r="DB56" s="822"/>
      <c r="DC56" s="822"/>
      <c r="DD56" s="822"/>
      <c r="DE56" s="822"/>
      <c r="DF56" s="822"/>
      <c r="DG56" s="822"/>
      <c r="DH56" s="822"/>
      <c r="DI56" s="822"/>
      <c r="DJ56" s="822"/>
      <c r="DK56" s="822"/>
      <c r="DL56" s="822"/>
      <c r="DM56" s="822"/>
      <c r="DN56" s="822"/>
      <c r="DO56" s="2297"/>
      <c r="DP56" s="2290"/>
      <c r="DQ56" s="2290"/>
      <c r="DR56" s="2290"/>
      <c r="DS56" s="2290"/>
      <c r="DT56" s="2290"/>
      <c r="DU56" s="2290"/>
      <c r="DV56" s="2290"/>
      <c r="DW56" s="2290"/>
      <c r="DX56" s="2290"/>
      <c r="DY56" s="2290"/>
      <c r="DZ56" s="2290"/>
      <c r="EA56" s="2290"/>
      <c r="EB56" s="2290"/>
      <c r="EC56" s="2291"/>
    </row>
    <row r="57" spans="5:133" ht="17.100000000000001" customHeight="1" x14ac:dyDescent="0.3">
      <c r="E57" s="1980"/>
      <c r="F57" s="907"/>
      <c r="G57" s="907"/>
      <c r="H57" s="907"/>
      <c r="I57" s="4870"/>
      <c r="J57" s="4871"/>
      <c r="K57" s="4871"/>
      <c r="L57" s="4871"/>
      <c r="M57" s="4871"/>
      <c r="N57" s="4871"/>
      <c r="O57" s="4871"/>
      <c r="P57" s="4871"/>
      <c r="Q57" s="4871"/>
      <c r="R57" s="4871"/>
      <c r="S57" s="4872"/>
      <c r="T57" s="907"/>
      <c r="U57" s="907"/>
      <c r="V57" s="4870" t="s">
        <v>2157</v>
      </c>
      <c r="W57" s="4871"/>
      <c r="X57" s="4871"/>
      <c r="Y57" s="4871"/>
      <c r="Z57" s="4871"/>
      <c r="AA57" s="4871"/>
      <c r="AB57" s="4871"/>
      <c r="AC57" s="4871"/>
      <c r="AD57" s="4871"/>
      <c r="AE57" s="4871"/>
      <c r="AF57" s="4872"/>
      <c r="AG57" s="2287"/>
      <c r="AH57" s="2287"/>
      <c r="AI57" s="4870" t="s">
        <v>2155</v>
      </c>
      <c r="AJ57" s="4871"/>
      <c r="AK57" s="4871"/>
      <c r="AL57" s="4871"/>
      <c r="AM57" s="4871"/>
      <c r="AN57" s="4871"/>
      <c r="AO57" s="4871"/>
      <c r="AP57" s="4871"/>
      <c r="AQ57" s="4871"/>
      <c r="AR57" s="4871"/>
      <c r="AS57" s="4872"/>
      <c r="AT57" s="2287"/>
      <c r="AU57" s="2287"/>
      <c r="AV57" s="4870" t="s">
        <v>2125</v>
      </c>
      <c r="AW57" s="4871"/>
      <c r="AX57" s="4871"/>
      <c r="AY57" s="4871"/>
      <c r="AZ57" s="4871"/>
      <c r="BA57" s="4871"/>
      <c r="BB57" s="4871"/>
      <c r="BC57" s="4871"/>
      <c r="BD57" s="4871"/>
      <c r="BE57" s="4871"/>
      <c r="BF57" s="4872"/>
      <c r="BG57" s="2287"/>
      <c r="BH57" s="2287"/>
      <c r="BI57" s="4870"/>
      <c r="BJ57" s="4871"/>
      <c r="BK57" s="4871"/>
      <c r="BL57" s="4871"/>
      <c r="BM57" s="4871"/>
      <c r="BN57" s="4871"/>
      <c r="BO57" s="4871"/>
      <c r="BP57" s="4871"/>
      <c r="BQ57" s="4871"/>
      <c r="BR57" s="4871"/>
      <c r="BS57" s="4872"/>
      <c r="BT57" s="2287"/>
      <c r="BU57" s="2287"/>
      <c r="BV57" s="2287"/>
      <c r="BW57" s="1982"/>
      <c r="BX57" s="822"/>
      <c r="BY57" s="822"/>
      <c r="BZ57" s="822"/>
      <c r="CA57" s="822"/>
      <c r="CB57" s="822"/>
      <c r="CC57" s="822"/>
      <c r="CD57" s="822"/>
      <c r="CE57" s="822"/>
      <c r="CF57" s="822"/>
      <c r="CG57" s="822"/>
      <c r="CH57" s="822"/>
      <c r="CI57" s="822"/>
      <c r="CJ57" s="822"/>
      <c r="CK57" s="822"/>
      <c r="CL57" s="822"/>
      <c r="CM57" s="822"/>
      <c r="CN57" s="822"/>
      <c r="CO57" s="822"/>
      <c r="CP57" s="822"/>
      <c r="CQ57" s="822"/>
      <c r="CR57" s="822"/>
      <c r="CS57" s="822"/>
      <c r="CT57" s="822"/>
      <c r="CU57" s="822"/>
      <c r="CV57" s="822"/>
      <c r="CW57" s="822"/>
      <c r="CX57" s="822"/>
      <c r="CY57" s="822"/>
      <c r="CZ57" s="822"/>
      <c r="DA57" s="822"/>
      <c r="DB57" s="822"/>
      <c r="DC57" s="822"/>
      <c r="DD57" s="822"/>
      <c r="DE57" s="822"/>
      <c r="DF57" s="822"/>
      <c r="DG57" s="822"/>
      <c r="DH57" s="822"/>
      <c r="DI57" s="822"/>
      <c r="DJ57" s="822"/>
      <c r="DK57" s="822"/>
      <c r="DL57" s="822"/>
      <c r="DM57" s="822"/>
      <c r="DN57" s="822"/>
      <c r="DO57" s="2297"/>
      <c r="DP57" s="2290"/>
      <c r="DQ57" s="2290"/>
      <c r="DR57" s="2290"/>
      <c r="DS57" s="2290"/>
      <c r="DT57" s="2290"/>
      <c r="DU57" s="2290"/>
      <c r="DV57" s="2290"/>
      <c r="DW57" s="2290"/>
      <c r="DX57" s="2290"/>
      <c r="DY57" s="2290"/>
      <c r="DZ57" s="2290"/>
      <c r="EA57" s="2290"/>
      <c r="EB57" s="2290"/>
      <c r="EC57" s="2291"/>
    </row>
    <row r="58" spans="5:133" ht="17.100000000000001" customHeight="1" x14ac:dyDescent="0.3">
      <c r="E58" s="1980"/>
      <c r="F58" s="907"/>
      <c r="G58" s="907"/>
      <c r="H58" s="907"/>
      <c r="I58" s="4867"/>
      <c r="J58" s="4868"/>
      <c r="K58" s="4868"/>
      <c r="L58" s="4868"/>
      <c r="M58" s="4868"/>
      <c r="N58" s="4868"/>
      <c r="O58" s="4868"/>
      <c r="P58" s="4868"/>
      <c r="Q58" s="4868"/>
      <c r="R58" s="4868"/>
      <c r="S58" s="4869"/>
      <c r="T58" s="907"/>
      <c r="U58" s="907"/>
      <c r="V58" s="4867" t="s">
        <v>2134</v>
      </c>
      <c r="W58" s="4868"/>
      <c r="X58" s="4868"/>
      <c r="Y58" s="4868"/>
      <c r="Z58" s="4868"/>
      <c r="AA58" s="4868"/>
      <c r="AB58" s="4868"/>
      <c r="AC58" s="4868"/>
      <c r="AD58" s="4868"/>
      <c r="AE58" s="4868"/>
      <c r="AF58" s="4869"/>
      <c r="AG58" s="915"/>
      <c r="AH58" s="915"/>
      <c r="AI58" s="4867" t="s">
        <v>2114</v>
      </c>
      <c r="AJ58" s="4868"/>
      <c r="AK58" s="4868"/>
      <c r="AL58" s="4868"/>
      <c r="AM58" s="4868"/>
      <c r="AN58" s="4868"/>
      <c r="AO58" s="4868"/>
      <c r="AP58" s="4868"/>
      <c r="AQ58" s="4868"/>
      <c r="AR58" s="4868"/>
      <c r="AS58" s="4869"/>
      <c r="AT58" s="915"/>
      <c r="AU58" s="915"/>
      <c r="AV58" s="4867" t="s">
        <v>2150</v>
      </c>
      <c r="AW58" s="4868"/>
      <c r="AX58" s="4868"/>
      <c r="AY58" s="4868"/>
      <c r="AZ58" s="4868"/>
      <c r="BA58" s="4868"/>
      <c r="BB58" s="4868"/>
      <c r="BC58" s="4868"/>
      <c r="BD58" s="4868"/>
      <c r="BE58" s="4868"/>
      <c r="BF58" s="4869"/>
      <c r="BG58" s="915"/>
      <c r="BH58" s="915"/>
      <c r="BI58" s="4867"/>
      <c r="BJ58" s="4868"/>
      <c r="BK58" s="4868"/>
      <c r="BL58" s="4868"/>
      <c r="BM58" s="4868"/>
      <c r="BN58" s="4868"/>
      <c r="BO58" s="4868"/>
      <c r="BP58" s="4868"/>
      <c r="BQ58" s="4868"/>
      <c r="BR58" s="4868"/>
      <c r="BS58" s="4869"/>
      <c r="BT58" s="2287"/>
      <c r="BU58" s="2287"/>
      <c r="BV58" s="2287"/>
      <c r="BW58" s="1982"/>
      <c r="BX58" s="822"/>
      <c r="BY58" s="822"/>
      <c r="BZ58" s="822"/>
      <c r="CA58" s="822"/>
      <c r="CB58" s="822"/>
      <c r="CC58" s="822"/>
      <c r="CD58" s="822"/>
      <c r="CE58" s="822"/>
      <c r="CF58" s="822"/>
      <c r="CG58" s="822"/>
      <c r="CH58" s="822"/>
      <c r="CI58" s="822"/>
      <c r="CJ58" s="822"/>
      <c r="CK58" s="822"/>
      <c r="CL58" s="822"/>
      <c r="CM58" s="822"/>
      <c r="CN58" s="822"/>
      <c r="CO58" s="822"/>
      <c r="CP58" s="822"/>
      <c r="CQ58" s="822"/>
      <c r="CR58" s="822"/>
      <c r="CS58" s="822"/>
      <c r="CT58" s="822"/>
      <c r="CU58" s="822"/>
      <c r="CV58" s="822"/>
      <c r="CW58" s="822"/>
      <c r="CX58" s="822"/>
      <c r="CY58" s="822"/>
      <c r="CZ58" s="822"/>
      <c r="DA58" s="822"/>
      <c r="DB58" s="822"/>
      <c r="DC58" s="822"/>
      <c r="DD58" s="822"/>
      <c r="DE58" s="822"/>
      <c r="DF58" s="822"/>
      <c r="DG58" s="822"/>
      <c r="DH58" s="822"/>
      <c r="DI58" s="822"/>
      <c r="DJ58" s="822"/>
      <c r="DK58" s="822"/>
      <c r="DL58" s="822"/>
      <c r="DM58" s="822"/>
      <c r="DN58" s="822"/>
      <c r="DO58" s="2297"/>
      <c r="DP58" s="2290"/>
      <c r="DQ58" s="2290"/>
      <c r="DR58" s="2290"/>
      <c r="DS58" s="2290"/>
      <c r="DT58" s="2290"/>
      <c r="DU58" s="2290"/>
      <c r="DV58" s="2290"/>
      <c r="DW58" s="2290"/>
      <c r="DX58" s="2290"/>
      <c r="DY58" s="2290"/>
      <c r="DZ58" s="2290"/>
      <c r="EA58" s="2290"/>
      <c r="EB58" s="2290"/>
      <c r="EC58" s="2291"/>
    </row>
    <row r="59" spans="5:133" ht="17.100000000000001" customHeight="1" x14ac:dyDescent="0.3">
      <c r="E59" s="1980"/>
      <c r="F59" s="907"/>
      <c r="G59" s="907"/>
      <c r="H59" s="907"/>
      <c r="I59" s="4870"/>
      <c r="J59" s="4871"/>
      <c r="K59" s="4871"/>
      <c r="L59" s="4871"/>
      <c r="M59" s="4871"/>
      <c r="N59" s="4871"/>
      <c r="O59" s="4871"/>
      <c r="P59" s="4871"/>
      <c r="Q59" s="4871"/>
      <c r="R59" s="4871"/>
      <c r="S59" s="4872"/>
      <c r="T59" s="3171"/>
      <c r="U59" s="3171"/>
      <c r="V59" s="4870" t="s">
        <v>2152</v>
      </c>
      <c r="W59" s="4871"/>
      <c r="X59" s="4871"/>
      <c r="Y59" s="4871"/>
      <c r="Z59" s="4871"/>
      <c r="AA59" s="4871"/>
      <c r="AB59" s="4871"/>
      <c r="AC59" s="4871"/>
      <c r="AD59" s="4871"/>
      <c r="AE59" s="4871"/>
      <c r="AF59" s="4872"/>
      <c r="AG59" s="2287"/>
      <c r="AH59" s="2287"/>
      <c r="AI59" s="4870" t="s">
        <v>2115</v>
      </c>
      <c r="AJ59" s="4871"/>
      <c r="AK59" s="4871"/>
      <c r="AL59" s="4871"/>
      <c r="AM59" s="4871"/>
      <c r="AN59" s="4871"/>
      <c r="AO59" s="4871"/>
      <c r="AP59" s="4871"/>
      <c r="AQ59" s="4871"/>
      <c r="AR59" s="4871"/>
      <c r="AS59" s="4872"/>
      <c r="AT59" s="2287"/>
      <c r="AU59" s="2287"/>
      <c r="AV59" s="4870" t="s">
        <v>2125</v>
      </c>
      <c r="AW59" s="4871"/>
      <c r="AX59" s="4871"/>
      <c r="AY59" s="4871"/>
      <c r="AZ59" s="4871"/>
      <c r="BA59" s="4871"/>
      <c r="BB59" s="4871"/>
      <c r="BC59" s="4871"/>
      <c r="BD59" s="4871"/>
      <c r="BE59" s="4871"/>
      <c r="BF59" s="4872"/>
      <c r="BG59" s="2287"/>
      <c r="BH59" s="2287"/>
      <c r="BI59" s="4870"/>
      <c r="BJ59" s="4871"/>
      <c r="BK59" s="4871"/>
      <c r="BL59" s="4871"/>
      <c r="BM59" s="4871"/>
      <c r="BN59" s="4871"/>
      <c r="BO59" s="4871"/>
      <c r="BP59" s="4871"/>
      <c r="BQ59" s="4871"/>
      <c r="BR59" s="4871"/>
      <c r="BS59" s="4872"/>
      <c r="BT59" s="2287"/>
      <c r="BU59" s="2287"/>
      <c r="BV59" s="2287"/>
      <c r="BW59" s="1982"/>
      <c r="BX59" s="822"/>
      <c r="BY59" s="822"/>
      <c r="BZ59" s="822"/>
      <c r="CA59" s="822"/>
      <c r="CB59" s="822"/>
      <c r="CC59" s="822"/>
      <c r="CD59" s="822"/>
      <c r="CE59" s="822"/>
      <c r="CF59" s="822"/>
      <c r="CG59" s="822"/>
      <c r="CH59" s="822"/>
      <c r="CI59" s="822"/>
      <c r="CJ59" s="822"/>
      <c r="CK59" s="822"/>
      <c r="CL59" s="822"/>
      <c r="CM59" s="822"/>
      <c r="CN59" s="822"/>
      <c r="CO59" s="822"/>
      <c r="CP59" s="822"/>
      <c r="CQ59" s="822"/>
      <c r="CR59" s="822"/>
      <c r="CS59" s="822"/>
      <c r="CT59" s="822"/>
      <c r="CU59" s="822"/>
      <c r="CV59" s="822"/>
      <c r="CW59" s="822"/>
      <c r="CX59" s="822"/>
      <c r="CY59" s="822"/>
      <c r="CZ59" s="822"/>
      <c r="DA59" s="822"/>
      <c r="DB59" s="822"/>
      <c r="DC59" s="822"/>
      <c r="DD59" s="822"/>
      <c r="DE59" s="822"/>
      <c r="DF59" s="822"/>
      <c r="DG59" s="822"/>
      <c r="DH59" s="822"/>
      <c r="DI59" s="822"/>
      <c r="DJ59" s="822"/>
      <c r="DK59" s="822"/>
      <c r="DL59" s="822"/>
      <c r="DM59" s="822"/>
      <c r="DN59" s="822"/>
      <c r="DO59" s="2297"/>
      <c r="DP59" s="2290"/>
      <c r="DQ59" s="2290"/>
      <c r="DR59" s="2290"/>
      <c r="DS59" s="2290"/>
      <c r="DT59" s="2290"/>
      <c r="DU59" s="2290"/>
      <c r="DV59" s="2290"/>
      <c r="DW59" s="2290"/>
      <c r="DX59" s="2290"/>
      <c r="DY59" s="2290"/>
      <c r="DZ59" s="2290"/>
      <c r="EA59" s="2290"/>
      <c r="EB59" s="2290"/>
      <c r="EC59" s="2291"/>
    </row>
    <row r="60" spans="5:133" ht="17.100000000000001" customHeight="1" x14ac:dyDescent="0.3">
      <c r="E60" s="1980"/>
      <c r="F60" s="907"/>
      <c r="G60" s="907"/>
      <c r="H60" s="907"/>
      <c r="I60" s="4867"/>
      <c r="J60" s="4868"/>
      <c r="K60" s="4868"/>
      <c r="L60" s="4868"/>
      <c r="M60" s="4868"/>
      <c r="N60" s="4868"/>
      <c r="O60" s="4868"/>
      <c r="P60" s="4868"/>
      <c r="Q60" s="4868"/>
      <c r="R60" s="4868"/>
      <c r="S60" s="4869"/>
      <c r="T60" s="3172"/>
      <c r="U60" s="3172"/>
      <c r="V60" s="4867" t="s">
        <v>2135</v>
      </c>
      <c r="W60" s="4868"/>
      <c r="X60" s="4868"/>
      <c r="Y60" s="4868"/>
      <c r="Z60" s="4868"/>
      <c r="AA60" s="4868"/>
      <c r="AB60" s="4868"/>
      <c r="AC60" s="4868"/>
      <c r="AD60" s="4868"/>
      <c r="AE60" s="4868"/>
      <c r="AF60" s="4869"/>
      <c r="AG60" s="2287"/>
      <c r="AH60" s="2287"/>
      <c r="AI60" s="4867" t="s">
        <v>2116</v>
      </c>
      <c r="AJ60" s="4868"/>
      <c r="AK60" s="4868"/>
      <c r="AL60" s="4868"/>
      <c r="AM60" s="4868"/>
      <c r="AN60" s="4868"/>
      <c r="AO60" s="4868"/>
      <c r="AP60" s="4868"/>
      <c r="AQ60" s="4868"/>
      <c r="AR60" s="4868"/>
      <c r="AS60" s="4869"/>
      <c r="AT60" s="2287"/>
      <c r="AU60" s="2287"/>
      <c r="AV60" s="4867" t="s">
        <v>2151</v>
      </c>
      <c r="AW60" s="4868"/>
      <c r="AX60" s="4868"/>
      <c r="AY60" s="4868"/>
      <c r="AZ60" s="4868"/>
      <c r="BA60" s="4868"/>
      <c r="BB60" s="4868"/>
      <c r="BC60" s="4868"/>
      <c r="BD60" s="4868"/>
      <c r="BE60" s="4868"/>
      <c r="BF60" s="4869"/>
      <c r="BG60" s="2287"/>
      <c r="BH60" s="2287"/>
      <c r="BI60" s="4867"/>
      <c r="BJ60" s="4868"/>
      <c r="BK60" s="4868"/>
      <c r="BL60" s="4868"/>
      <c r="BM60" s="4868"/>
      <c r="BN60" s="4868"/>
      <c r="BO60" s="4868"/>
      <c r="BP60" s="4868"/>
      <c r="BQ60" s="4868"/>
      <c r="BR60" s="4868"/>
      <c r="BS60" s="4869"/>
      <c r="BT60" s="2287"/>
      <c r="BU60" s="2287"/>
      <c r="BV60" s="2287"/>
      <c r="BW60" s="1982"/>
      <c r="BX60" s="822"/>
      <c r="BY60" s="822"/>
      <c r="BZ60" s="822"/>
      <c r="CA60" s="822"/>
      <c r="CB60" s="822"/>
      <c r="CC60" s="822"/>
      <c r="CD60" s="822"/>
      <c r="CE60" s="822"/>
      <c r="CF60" s="822"/>
      <c r="CG60" s="822"/>
      <c r="CH60" s="822"/>
      <c r="CI60" s="822"/>
      <c r="CJ60" s="822"/>
      <c r="CK60" s="822"/>
      <c r="CL60" s="822"/>
      <c r="CM60" s="822"/>
      <c r="CN60" s="822"/>
      <c r="CO60" s="822"/>
      <c r="CP60" s="822"/>
      <c r="CQ60" s="822"/>
      <c r="CR60" s="822"/>
      <c r="CS60" s="822"/>
      <c r="CT60" s="822"/>
      <c r="CU60" s="822"/>
      <c r="CV60" s="822"/>
      <c r="CW60" s="822"/>
      <c r="CX60" s="822"/>
      <c r="CY60" s="822"/>
      <c r="CZ60" s="822"/>
      <c r="DA60" s="822"/>
      <c r="DB60" s="822"/>
      <c r="DC60" s="822"/>
      <c r="DD60" s="822"/>
      <c r="DE60" s="822"/>
      <c r="DF60" s="822"/>
      <c r="DG60" s="822"/>
      <c r="DH60" s="822"/>
      <c r="DI60" s="822"/>
      <c r="DJ60" s="822"/>
      <c r="DK60" s="822"/>
      <c r="DL60" s="822"/>
      <c r="DM60" s="822"/>
      <c r="DN60" s="822"/>
      <c r="DO60" s="2297"/>
      <c r="DP60" s="2290"/>
      <c r="DQ60" s="2290"/>
      <c r="DR60" s="2290"/>
      <c r="DS60" s="2290"/>
      <c r="DT60" s="2290"/>
      <c r="DU60" s="2290"/>
      <c r="DV60" s="2290"/>
      <c r="DW60" s="2290"/>
      <c r="DX60" s="2290"/>
      <c r="DY60" s="2290"/>
      <c r="DZ60" s="2290"/>
      <c r="EA60" s="2290"/>
      <c r="EB60" s="2290"/>
      <c r="EC60" s="2291"/>
    </row>
    <row r="61" spans="5:133" ht="17.100000000000001" customHeight="1" x14ac:dyDescent="0.3">
      <c r="E61" s="1980"/>
      <c r="F61" s="907"/>
      <c r="G61" s="907"/>
      <c r="H61" s="907"/>
      <c r="I61" s="4870"/>
      <c r="J61" s="4871"/>
      <c r="K61" s="4871"/>
      <c r="L61" s="4871"/>
      <c r="M61" s="4871"/>
      <c r="N61" s="4871"/>
      <c r="O61" s="4871"/>
      <c r="P61" s="4871"/>
      <c r="Q61" s="4871"/>
      <c r="R61" s="4871"/>
      <c r="S61" s="4872"/>
      <c r="T61" s="907"/>
      <c r="U61" s="907"/>
      <c r="V61" s="4870" t="s">
        <v>2152</v>
      </c>
      <c r="W61" s="4871"/>
      <c r="X61" s="4871"/>
      <c r="Y61" s="4871"/>
      <c r="Z61" s="4871"/>
      <c r="AA61" s="4871"/>
      <c r="AB61" s="4871"/>
      <c r="AC61" s="4871"/>
      <c r="AD61" s="4871"/>
      <c r="AE61" s="4871"/>
      <c r="AF61" s="4872"/>
      <c r="AG61" s="2287"/>
      <c r="AH61" s="2287"/>
      <c r="AI61" s="4870" t="s">
        <v>2117</v>
      </c>
      <c r="AJ61" s="4871"/>
      <c r="AK61" s="4871"/>
      <c r="AL61" s="4871"/>
      <c r="AM61" s="4871"/>
      <c r="AN61" s="4871"/>
      <c r="AO61" s="4871"/>
      <c r="AP61" s="4871"/>
      <c r="AQ61" s="4871"/>
      <c r="AR61" s="4871"/>
      <c r="AS61" s="4872"/>
      <c r="AT61" s="2287"/>
      <c r="AU61" s="2287"/>
      <c r="AV61" s="4870" t="s">
        <v>2152</v>
      </c>
      <c r="AW61" s="4871"/>
      <c r="AX61" s="4871"/>
      <c r="AY61" s="4871"/>
      <c r="AZ61" s="4871"/>
      <c r="BA61" s="4871"/>
      <c r="BB61" s="4871"/>
      <c r="BC61" s="4871"/>
      <c r="BD61" s="4871"/>
      <c r="BE61" s="4871"/>
      <c r="BF61" s="4872"/>
      <c r="BG61" s="2287"/>
      <c r="BH61" s="2287"/>
      <c r="BI61" s="4870"/>
      <c r="BJ61" s="4871"/>
      <c r="BK61" s="4871"/>
      <c r="BL61" s="4871"/>
      <c r="BM61" s="4871"/>
      <c r="BN61" s="4871"/>
      <c r="BO61" s="4871"/>
      <c r="BP61" s="4871"/>
      <c r="BQ61" s="4871"/>
      <c r="BR61" s="4871"/>
      <c r="BS61" s="4872"/>
      <c r="BT61" s="2287"/>
      <c r="BU61" s="2287"/>
      <c r="BV61" s="2287"/>
      <c r="BW61" s="1982"/>
      <c r="BX61" s="822"/>
      <c r="BY61" s="822"/>
      <c r="BZ61" s="822"/>
      <c r="CA61" s="822"/>
      <c r="CB61" s="822"/>
      <c r="CC61" s="822"/>
      <c r="CD61" s="822"/>
      <c r="CE61" s="822"/>
      <c r="CF61" s="822"/>
      <c r="CG61" s="822"/>
      <c r="CH61" s="822"/>
      <c r="CI61" s="822"/>
      <c r="CJ61" s="822"/>
      <c r="CK61" s="822"/>
      <c r="CL61" s="822"/>
      <c r="CM61" s="822"/>
      <c r="CN61" s="822"/>
      <c r="CO61" s="822"/>
      <c r="CP61" s="822"/>
      <c r="CQ61" s="822"/>
      <c r="CR61" s="822"/>
      <c r="CS61" s="822"/>
      <c r="CT61" s="822"/>
      <c r="CU61" s="822"/>
      <c r="CV61" s="822"/>
      <c r="CW61" s="822"/>
      <c r="CX61" s="822"/>
      <c r="CY61" s="822"/>
      <c r="CZ61" s="822"/>
      <c r="DA61" s="822"/>
      <c r="DB61" s="822"/>
      <c r="DC61" s="822"/>
      <c r="DD61" s="822"/>
      <c r="DE61" s="822"/>
      <c r="DF61" s="822"/>
      <c r="DG61" s="822"/>
      <c r="DH61" s="822"/>
      <c r="DI61" s="822"/>
      <c r="DJ61" s="822"/>
      <c r="DK61" s="822"/>
      <c r="DL61" s="822"/>
      <c r="DM61" s="822"/>
      <c r="DN61" s="822"/>
      <c r="DO61" s="2297"/>
      <c r="DP61" s="2290"/>
      <c r="DQ61" s="2290"/>
      <c r="DR61" s="2290"/>
      <c r="DS61" s="2290"/>
      <c r="DT61" s="2290"/>
      <c r="DU61" s="2290"/>
      <c r="DV61" s="2290"/>
      <c r="DW61" s="2290"/>
      <c r="DX61" s="2290"/>
      <c r="DY61" s="2290"/>
      <c r="DZ61" s="2290"/>
      <c r="EA61" s="2290"/>
      <c r="EB61" s="2290"/>
      <c r="EC61" s="2291"/>
    </row>
    <row r="62" spans="5:133" ht="17.100000000000001" customHeight="1" x14ac:dyDescent="0.3">
      <c r="E62" s="1980"/>
      <c r="F62" s="1985"/>
      <c r="G62" s="1983"/>
      <c r="H62" s="1983"/>
      <c r="I62" s="3173"/>
      <c r="J62" s="3174"/>
      <c r="K62" s="3174"/>
      <c r="L62" s="3174"/>
      <c r="M62" s="3174"/>
      <c r="N62" s="3174"/>
      <c r="O62" s="3174"/>
      <c r="P62" s="3174"/>
      <c r="Q62" s="3174"/>
      <c r="R62" s="3174"/>
      <c r="S62" s="3175"/>
      <c r="T62" s="907"/>
      <c r="U62" s="907"/>
      <c r="V62" s="3173"/>
      <c r="W62" s="3174"/>
      <c r="X62" s="3174"/>
      <c r="Y62" s="3174"/>
      <c r="Z62" s="3174"/>
      <c r="AA62" s="3174"/>
      <c r="AB62" s="3174"/>
      <c r="AC62" s="3174"/>
      <c r="AD62" s="3174"/>
      <c r="AE62" s="3174"/>
      <c r="AF62" s="3175"/>
      <c r="AG62" s="2287"/>
      <c r="AH62" s="2287"/>
      <c r="AI62" s="3173"/>
      <c r="AJ62" s="3174"/>
      <c r="AK62" s="3174"/>
      <c r="AL62" s="3174"/>
      <c r="AM62" s="3174"/>
      <c r="AN62" s="3174"/>
      <c r="AO62" s="3174"/>
      <c r="AP62" s="3174"/>
      <c r="AQ62" s="3174"/>
      <c r="AR62" s="3174"/>
      <c r="AS62" s="3175"/>
      <c r="AT62" s="2287"/>
      <c r="AU62" s="2287"/>
      <c r="AV62" s="3173"/>
      <c r="AW62" s="3174"/>
      <c r="AX62" s="3174"/>
      <c r="AY62" s="3174"/>
      <c r="AZ62" s="3174"/>
      <c r="BA62" s="3174"/>
      <c r="BB62" s="3174"/>
      <c r="BC62" s="3174"/>
      <c r="BD62" s="3174"/>
      <c r="BE62" s="3174"/>
      <c r="BF62" s="3175"/>
      <c r="BG62" s="2287"/>
      <c r="BH62" s="2287"/>
      <c r="BI62" s="3173"/>
      <c r="BJ62" s="3174"/>
      <c r="BK62" s="3174"/>
      <c r="BL62" s="3174"/>
      <c r="BM62" s="3174"/>
      <c r="BN62" s="3174"/>
      <c r="BO62" s="3174"/>
      <c r="BP62" s="3174"/>
      <c r="BQ62" s="3174"/>
      <c r="BR62" s="3174"/>
      <c r="BS62" s="3175"/>
      <c r="BT62" s="1983"/>
      <c r="BU62" s="1983"/>
      <c r="BV62" s="1986"/>
      <c r="BW62" s="1982"/>
      <c r="BX62" s="822"/>
      <c r="BY62" s="822"/>
      <c r="BZ62" s="822"/>
      <c r="CA62" s="822"/>
      <c r="CB62" s="822"/>
      <c r="CC62" s="822"/>
      <c r="CD62" s="822"/>
      <c r="CE62" s="822"/>
      <c r="CF62" s="822"/>
      <c r="CG62" s="822"/>
      <c r="CH62" s="822"/>
      <c r="CI62" s="822"/>
      <c r="CJ62" s="822"/>
      <c r="CK62" s="822"/>
      <c r="CL62" s="822"/>
      <c r="CM62" s="822"/>
      <c r="CN62" s="822"/>
      <c r="CO62" s="822"/>
      <c r="CP62" s="822"/>
      <c r="CQ62" s="822"/>
      <c r="CR62" s="822"/>
      <c r="CS62" s="822"/>
      <c r="CT62" s="822"/>
      <c r="CU62" s="822"/>
      <c r="CV62" s="822"/>
      <c r="CW62" s="822"/>
      <c r="CX62" s="822"/>
      <c r="CY62" s="822"/>
      <c r="CZ62" s="822"/>
      <c r="DA62" s="822"/>
      <c r="DB62" s="822"/>
      <c r="DC62" s="822"/>
      <c r="DD62" s="822"/>
      <c r="DE62" s="822"/>
      <c r="DF62" s="822"/>
      <c r="DG62" s="822"/>
      <c r="DH62" s="822"/>
      <c r="DI62" s="822"/>
      <c r="DJ62" s="822"/>
      <c r="DK62" s="822"/>
      <c r="DL62" s="822"/>
      <c r="DM62" s="822"/>
      <c r="DN62" s="822"/>
      <c r="DO62" s="2297"/>
      <c r="DP62" s="2290"/>
      <c r="DQ62" s="2290"/>
      <c r="DR62" s="2290"/>
      <c r="DS62" s="2290"/>
      <c r="DT62" s="2290"/>
      <c r="DU62" s="2290"/>
      <c r="DV62" s="2290"/>
      <c r="DW62" s="2290"/>
      <c r="DX62" s="2290"/>
      <c r="DY62" s="2290"/>
      <c r="DZ62" s="2290"/>
      <c r="EA62" s="2290"/>
      <c r="EB62" s="2290"/>
      <c r="EC62" s="2291"/>
    </row>
    <row r="63" spans="5:133" ht="17.100000000000001" customHeight="1" thickBot="1" x14ac:dyDescent="0.35">
      <c r="E63" s="1987"/>
      <c r="F63" s="1988"/>
      <c r="G63" s="1983"/>
      <c r="H63" s="1983"/>
      <c r="I63" s="3176"/>
      <c r="J63" s="3177"/>
      <c r="K63" s="3177"/>
      <c r="L63" s="3177"/>
      <c r="M63" s="3177"/>
      <c r="N63" s="3177"/>
      <c r="O63" s="3177"/>
      <c r="P63" s="3177"/>
      <c r="Q63" s="3177"/>
      <c r="R63" s="3177"/>
      <c r="S63" s="3178"/>
      <c r="T63" s="907"/>
      <c r="U63" s="907"/>
      <c r="V63" s="3176"/>
      <c r="W63" s="3177"/>
      <c r="X63" s="3177"/>
      <c r="Y63" s="3177"/>
      <c r="Z63" s="3177"/>
      <c r="AA63" s="3177"/>
      <c r="AB63" s="3177"/>
      <c r="AC63" s="3177"/>
      <c r="AD63" s="3177"/>
      <c r="AE63" s="3177"/>
      <c r="AF63" s="3178"/>
      <c r="AG63" s="2287"/>
      <c r="AH63" s="2287"/>
      <c r="AI63" s="3176"/>
      <c r="AJ63" s="3177"/>
      <c r="AK63" s="3177"/>
      <c r="AL63" s="3177"/>
      <c r="AM63" s="3177"/>
      <c r="AN63" s="3177"/>
      <c r="AO63" s="3177"/>
      <c r="AP63" s="3177"/>
      <c r="AQ63" s="3177"/>
      <c r="AR63" s="3177"/>
      <c r="AS63" s="3178"/>
      <c r="AT63" s="2287"/>
      <c r="AU63" s="2287"/>
      <c r="AV63" s="3176"/>
      <c r="AW63" s="3177"/>
      <c r="AX63" s="3177"/>
      <c r="AY63" s="3177"/>
      <c r="AZ63" s="3177"/>
      <c r="BA63" s="3177"/>
      <c r="BB63" s="3177"/>
      <c r="BC63" s="3177"/>
      <c r="BD63" s="3177"/>
      <c r="BE63" s="3177"/>
      <c r="BF63" s="3178"/>
      <c r="BG63" s="2287"/>
      <c r="BH63" s="2287"/>
      <c r="BI63" s="3176"/>
      <c r="BJ63" s="3177"/>
      <c r="BK63" s="3177"/>
      <c r="BL63" s="3177"/>
      <c r="BM63" s="3177"/>
      <c r="BN63" s="3177"/>
      <c r="BO63" s="3177"/>
      <c r="BP63" s="3177"/>
      <c r="BQ63" s="3177"/>
      <c r="BR63" s="3177"/>
      <c r="BS63" s="3178"/>
      <c r="BT63" s="1983"/>
      <c r="BU63" s="1983"/>
      <c r="BV63" s="1988"/>
      <c r="BW63" s="1989"/>
      <c r="BX63" s="822"/>
      <c r="BY63" s="822"/>
      <c r="BZ63" s="822"/>
      <c r="CA63" s="822"/>
      <c r="CB63" s="822"/>
      <c r="CC63" s="822"/>
      <c r="CD63" s="822"/>
      <c r="CE63" s="822"/>
      <c r="CF63" s="822"/>
      <c r="CG63" s="822"/>
      <c r="CH63" s="822"/>
      <c r="CI63" s="822"/>
      <c r="CJ63" s="822"/>
      <c r="CK63" s="822"/>
      <c r="CL63" s="822"/>
      <c r="CM63" s="822"/>
      <c r="CN63" s="822"/>
      <c r="CO63" s="822"/>
      <c r="CP63" s="822"/>
      <c r="CQ63" s="822"/>
      <c r="CR63" s="822"/>
      <c r="CS63" s="822"/>
      <c r="CT63" s="822"/>
      <c r="CU63" s="822"/>
      <c r="CV63" s="822"/>
      <c r="CW63" s="822"/>
      <c r="CX63" s="822"/>
      <c r="CY63" s="822"/>
      <c r="CZ63" s="822"/>
      <c r="DA63" s="822"/>
      <c r="DB63" s="822"/>
      <c r="DC63" s="822"/>
      <c r="DD63" s="822"/>
      <c r="DE63" s="822"/>
      <c r="DF63" s="822"/>
      <c r="DG63" s="822"/>
      <c r="DH63" s="822"/>
      <c r="DI63" s="822"/>
      <c r="DJ63" s="822"/>
      <c r="DK63" s="822"/>
      <c r="DL63" s="822"/>
      <c r="DM63" s="822"/>
      <c r="DN63" s="822"/>
      <c r="DO63" s="2297"/>
      <c r="DP63" s="2290"/>
      <c r="DQ63" s="2290"/>
      <c r="DR63" s="2290"/>
      <c r="DS63" s="2290"/>
      <c r="DT63" s="2290"/>
      <c r="DU63" s="2290"/>
      <c r="DV63" s="2290"/>
      <c r="DW63" s="2290"/>
      <c r="DX63" s="2290"/>
      <c r="DY63" s="2290"/>
      <c r="DZ63" s="2290"/>
      <c r="EA63" s="2290"/>
      <c r="EB63" s="2290"/>
      <c r="EC63" s="2291"/>
    </row>
    <row r="64" spans="5:133" ht="17.100000000000001" customHeight="1" thickTop="1" x14ac:dyDescent="0.3">
      <c r="E64" s="1253"/>
      <c r="F64" s="1253"/>
      <c r="G64" s="1980"/>
      <c r="H64" s="1985"/>
      <c r="I64" s="907"/>
      <c r="J64" s="907"/>
      <c r="K64" s="907"/>
      <c r="L64" s="907"/>
      <c r="M64" s="907"/>
      <c r="N64" s="907"/>
      <c r="O64" s="907"/>
      <c r="P64" s="907"/>
      <c r="Q64" s="907"/>
      <c r="R64" s="2287"/>
      <c r="S64" s="2287"/>
      <c r="T64" s="2287"/>
      <c r="U64" s="2287"/>
      <c r="V64" s="2287"/>
      <c r="W64" s="2287"/>
      <c r="X64" s="2287"/>
      <c r="Y64" s="2287"/>
      <c r="Z64" s="2287"/>
      <c r="AA64" s="2287"/>
      <c r="AB64" s="2287"/>
      <c r="AC64" s="2287"/>
      <c r="AD64" s="2287"/>
      <c r="AE64" s="2287"/>
      <c r="AF64" s="2287"/>
      <c r="AG64" s="2287"/>
      <c r="AH64" s="2287"/>
      <c r="AI64" s="2287"/>
      <c r="AJ64" s="2287"/>
      <c r="AK64" s="2287"/>
      <c r="AL64" s="2287"/>
      <c r="AM64" s="2287"/>
      <c r="AN64" s="1984"/>
      <c r="AO64" s="2287"/>
      <c r="AP64" s="2287"/>
      <c r="AQ64" s="2287"/>
      <c r="AR64" s="2287"/>
      <c r="AS64" s="2287"/>
      <c r="AT64" s="2287"/>
      <c r="AU64" s="2287"/>
      <c r="AV64" s="2287"/>
      <c r="AW64" s="2287"/>
      <c r="AX64" s="2287"/>
      <c r="AY64" s="2287"/>
      <c r="AZ64" s="2287"/>
      <c r="BA64" s="2287"/>
      <c r="BB64" s="2287"/>
      <c r="BC64" s="2287"/>
      <c r="BD64" s="2287"/>
      <c r="BE64" s="2287"/>
      <c r="BF64" s="2287"/>
      <c r="BG64" s="2287"/>
      <c r="BH64" s="2287"/>
      <c r="BI64" s="2287"/>
      <c r="BJ64" s="2287"/>
      <c r="BK64" s="2287"/>
      <c r="BL64" s="2287"/>
      <c r="BM64" s="2287"/>
      <c r="BN64" s="2287"/>
      <c r="BO64" s="2287"/>
      <c r="BP64" s="2287"/>
      <c r="BQ64" s="2287"/>
      <c r="BR64" s="2287"/>
      <c r="BS64" s="2287"/>
      <c r="BT64" s="1986"/>
      <c r="BU64" s="1982"/>
      <c r="BV64" s="1253"/>
      <c r="BW64" s="1253"/>
      <c r="BX64" s="822"/>
      <c r="BY64" s="822"/>
      <c r="BZ64" s="822"/>
      <c r="CA64" s="822"/>
      <c r="CB64" s="822"/>
      <c r="CC64" s="822"/>
      <c r="CD64" s="822"/>
      <c r="CE64" s="822"/>
      <c r="CF64" s="822"/>
      <c r="CG64" s="822"/>
      <c r="CH64" s="822"/>
      <c r="CI64" s="822"/>
      <c r="CJ64" s="822"/>
      <c r="CK64" s="822"/>
      <c r="CL64" s="822"/>
      <c r="CM64" s="822"/>
      <c r="CN64" s="822"/>
      <c r="CO64" s="822"/>
      <c r="CP64" s="822"/>
      <c r="CQ64" s="822"/>
      <c r="CR64" s="822"/>
      <c r="CS64" s="822"/>
      <c r="CT64" s="822"/>
      <c r="CU64" s="822"/>
      <c r="CV64" s="822"/>
      <c r="CW64" s="822"/>
      <c r="CX64" s="822"/>
      <c r="CY64" s="822"/>
      <c r="CZ64" s="822"/>
      <c r="DA64" s="822"/>
      <c r="DB64" s="822"/>
      <c r="DC64" s="822"/>
      <c r="DD64" s="822"/>
      <c r="DE64" s="822"/>
      <c r="DF64" s="822"/>
      <c r="DG64" s="822"/>
      <c r="DH64" s="822"/>
      <c r="DI64" s="822"/>
      <c r="DJ64" s="822"/>
      <c r="DK64" s="822"/>
      <c r="DL64" s="822"/>
      <c r="DM64" s="822"/>
      <c r="DN64" s="822"/>
      <c r="DO64" s="2297"/>
      <c r="DP64" s="2290"/>
      <c r="DQ64" s="2290"/>
      <c r="DR64" s="2290"/>
      <c r="DS64" s="2290"/>
      <c r="DT64" s="2290"/>
      <c r="DU64" s="2290"/>
      <c r="DV64" s="2290"/>
      <c r="DW64" s="2290"/>
      <c r="DX64" s="2290"/>
      <c r="DY64" s="2290"/>
      <c r="DZ64" s="2290"/>
      <c r="EA64" s="2290"/>
      <c r="EB64" s="2290"/>
      <c r="EC64" s="2291"/>
    </row>
    <row r="65" spans="5:133" ht="17.100000000000001" customHeight="1" thickBot="1" x14ac:dyDescent="0.35">
      <c r="E65" s="1253"/>
      <c r="F65" s="1253"/>
      <c r="G65" s="1987"/>
      <c r="H65" s="1988"/>
      <c r="I65" s="1988"/>
      <c r="J65" s="1988"/>
      <c r="K65" s="1988"/>
      <c r="L65" s="1988"/>
      <c r="M65" s="1988"/>
      <c r="N65" s="1988"/>
      <c r="O65" s="1988"/>
      <c r="P65" s="1988"/>
      <c r="Q65" s="1988"/>
      <c r="R65" s="1988"/>
      <c r="S65" s="1988"/>
      <c r="T65" s="1988"/>
      <c r="U65" s="1988"/>
      <c r="V65" s="1988"/>
      <c r="W65" s="1988"/>
      <c r="X65" s="1988"/>
      <c r="Y65" s="1988"/>
      <c r="Z65" s="1988"/>
      <c r="AA65" s="1988"/>
      <c r="AB65" s="1988"/>
      <c r="AC65" s="1988"/>
      <c r="AD65" s="1988"/>
      <c r="AE65" s="1988"/>
      <c r="AF65" s="1988"/>
      <c r="AG65" s="1988"/>
      <c r="AH65" s="1988"/>
      <c r="AI65" s="1988"/>
      <c r="AJ65" s="1988"/>
      <c r="AK65" s="1988"/>
      <c r="AL65" s="1988"/>
      <c r="AM65" s="1988"/>
      <c r="AN65" s="1988"/>
      <c r="AO65" s="1988"/>
      <c r="AP65" s="1988"/>
      <c r="AQ65" s="1988"/>
      <c r="AR65" s="1988"/>
      <c r="AS65" s="1988"/>
      <c r="AT65" s="1988"/>
      <c r="AU65" s="1988"/>
      <c r="AV65" s="1988"/>
      <c r="AW65" s="1988"/>
      <c r="AX65" s="1988"/>
      <c r="AY65" s="1988"/>
      <c r="AZ65" s="1988"/>
      <c r="BA65" s="1988"/>
      <c r="BB65" s="1988"/>
      <c r="BC65" s="1988"/>
      <c r="BD65" s="1988"/>
      <c r="BE65" s="1988"/>
      <c r="BF65" s="1988"/>
      <c r="BG65" s="1988"/>
      <c r="BH65" s="1988"/>
      <c r="BI65" s="1988"/>
      <c r="BJ65" s="1988"/>
      <c r="BK65" s="1988"/>
      <c r="BL65" s="1988"/>
      <c r="BM65" s="1988"/>
      <c r="BN65" s="1988"/>
      <c r="BO65" s="1988"/>
      <c r="BP65" s="1988"/>
      <c r="BQ65" s="1988"/>
      <c r="BR65" s="1988"/>
      <c r="BS65" s="1988"/>
      <c r="BT65" s="1988"/>
      <c r="BU65" s="1989"/>
      <c r="BV65" s="1253"/>
      <c r="BW65" s="1253"/>
      <c r="BX65" s="822"/>
      <c r="BY65" s="822"/>
      <c r="BZ65" s="822"/>
      <c r="CA65" s="822"/>
      <c r="CB65" s="822"/>
      <c r="CC65" s="822"/>
      <c r="CD65" s="822"/>
      <c r="CE65" s="822"/>
      <c r="CF65" s="822"/>
      <c r="CG65" s="822"/>
      <c r="CH65" s="822"/>
      <c r="CI65" s="822"/>
      <c r="CJ65" s="822"/>
      <c r="CK65" s="822"/>
      <c r="CL65" s="822"/>
      <c r="CM65" s="822"/>
      <c r="CN65" s="822"/>
      <c r="CO65" s="822"/>
      <c r="CP65" s="822"/>
      <c r="CQ65" s="822"/>
      <c r="CR65" s="822"/>
      <c r="CS65" s="822"/>
      <c r="CT65" s="822"/>
      <c r="CU65" s="822"/>
      <c r="CV65" s="822"/>
      <c r="CW65" s="822"/>
      <c r="CX65" s="822"/>
      <c r="CY65" s="822"/>
      <c r="CZ65" s="822"/>
      <c r="DA65" s="822"/>
      <c r="DB65" s="822"/>
      <c r="DC65" s="822"/>
      <c r="DD65" s="822"/>
      <c r="DE65" s="822"/>
      <c r="DF65" s="822"/>
      <c r="DG65" s="822"/>
      <c r="DH65" s="822"/>
      <c r="DI65" s="822"/>
      <c r="DJ65" s="822"/>
      <c r="DK65" s="822"/>
      <c r="DL65" s="822"/>
      <c r="DM65" s="822"/>
      <c r="DN65" s="822"/>
      <c r="DO65" s="2297"/>
      <c r="DP65" s="2290"/>
      <c r="DQ65" s="2290"/>
      <c r="DR65" s="2290"/>
      <c r="DS65" s="2290"/>
      <c r="DT65" s="2290"/>
      <c r="DU65" s="2290"/>
      <c r="DV65" s="2290"/>
      <c r="DW65" s="2290"/>
      <c r="DX65" s="2290"/>
      <c r="DY65" s="2290"/>
      <c r="DZ65" s="2290"/>
      <c r="EA65" s="2290"/>
      <c r="EB65" s="2290"/>
      <c r="EC65" s="2291"/>
    </row>
    <row r="66" spans="5:133" ht="17.100000000000001" customHeight="1" thickTop="1" x14ac:dyDescent="0.3">
      <c r="R66" s="822"/>
      <c r="S66" s="822"/>
      <c r="T66" s="822"/>
      <c r="U66" s="822"/>
      <c r="V66" s="822"/>
      <c r="W66" s="822"/>
      <c r="X66" s="822"/>
      <c r="Y66" s="822"/>
      <c r="Z66" s="822"/>
      <c r="AA66" s="822"/>
      <c r="AB66" s="822"/>
      <c r="AC66" s="822"/>
      <c r="AD66" s="822"/>
      <c r="AE66" s="822"/>
      <c r="AF66" s="822"/>
      <c r="AG66" s="822"/>
      <c r="AH66" s="822"/>
      <c r="AI66" s="822"/>
      <c r="AJ66" s="822"/>
      <c r="AK66" s="822"/>
      <c r="AL66" s="822"/>
      <c r="AM66" s="822"/>
      <c r="AN66" s="33"/>
      <c r="AO66" s="822"/>
      <c r="AP66" s="822"/>
      <c r="AQ66" s="822"/>
      <c r="AR66" s="822"/>
      <c r="AS66" s="822"/>
      <c r="AT66" s="822"/>
      <c r="AU66" s="822"/>
      <c r="AV66" s="822"/>
      <c r="AW66" s="822"/>
      <c r="AX66" s="822"/>
      <c r="AY66" s="822"/>
      <c r="AZ66" s="822"/>
      <c r="BA66" s="822"/>
      <c r="BB66" s="822"/>
      <c r="BC66" s="822"/>
      <c r="BD66" s="822"/>
      <c r="BE66" s="822"/>
      <c r="BF66" s="822"/>
      <c r="BG66" s="822"/>
      <c r="BH66" s="822"/>
      <c r="BI66" s="822"/>
      <c r="BJ66" s="822"/>
      <c r="BK66" s="822"/>
      <c r="BL66" s="822"/>
      <c r="BM66" s="822"/>
      <c r="BN66" s="822"/>
      <c r="BO66" s="822"/>
      <c r="BP66" s="822"/>
      <c r="BQ66" s="822"/>
      <c r="BR66" s="822"/>
      <c r="BS66" s="822"/>
      <c r="BT66" s="822"/>
      <c r="BU66" s="822"/>
      <c r="BV66" s="822"/>
      <c r="BX66" s="822"/>
      <c r="BY66" s="822"/>
      <c r="BZ66" s="822"/>
      <c r="CA66" s="822"/>
      <c r="CB66" s="822"/>
      <c r="CC66" s="822"/>
      <c r="CD66" s="822"/>
      <c r="CE66" s="822"/>
      <c r="CF66" s="822"/>
      <c r="CG66" s="822"/>
      <c r="CH66" s="822"/>
      <c r="CI66" s="822"/>
      <c r="CJ66" s="822"/>
      <c r="CK66" s="822"/>
      <c r="CL66" s="822"/>
      <c r="CM66" s="822"/>
      <c r="CN66" s="822"/>
      <c r="CO66" s="822"/>
      <c r="CP66" s="822"/>
      <c r="CQ66" s="822"/>
      <c r="CR66" s="822"/>
      <c r="CS66" s="822"/>
      <c r="CT66" s="822"/>
      <c r="CU66" s="822"/>
      <c r="CV66" s="822"/>
      <c r="CW66" s="822"/>
      <c r="CX66" s="822"/>
      <c r="CY66" s="822"/>
      <c r="CZ66" s="822"/>
      <c r="DA66" s="822"/>
      <c r="DB66" s="822"/>
      <c r="DC66" s="822"/>
      <c r="DD66" s="822"/>
      <c r="DE66" s="822"/>
      <c r="DF66" s="822"/>
      <c r="DG66" s="822"/>
      <c r="DH66" s="822"/>
      <c r="DI66" s="822"/>
      <c r="DJ66" s="822"/>
      <c r="DK66" s="822"/>
      <c r="DL66" s="822"/>
      <c r="DM66" s="822"/>
      <c r="DN66" s="822"/>
      <c r="DO66" s="2297"/>
      <c r="DP66" s="2290"/>
      <c r="DQ66" s="2290"/>
      <c r="DR66" s="2290"/>
      <c r="DS66" s="2290"/>
      <c r="DT66" s="2290"/>
      <c r="DU66" s="2290"/>
      <c r="DV66" s="2290"/>
      <c r="DW66" s="2290"/>
      <c r="DX66" s="2290"/>
      <c r="DY66" s="2290"/>
      <c r="DZ66" s="2290"/>
      <c r="EA66" s="2290"/>
      <c r="EB66" s="2290"/>
      <c r="EC66" s="2291"/>
    </row>
    <row r="67" spans="5:133" ht="17.100000000000001" customHeight="1" x14ac:dyDescent="0.3">
      <c r="R67" s="822"/>
      <c r="S67" s="822"/>
      <c r="T67" s="822"/>
      <c r="U67" s="822"/>
      <c r="V67" s="822"/>
      <c r="W67" s="822"/>
      <c r="X67" s="822"/>
      <c r="Y67" s="822"/>
      <c r="Z67" s="822"/>
      <c r="AA67" s="822"/>
      <c r="AB67" s="822"/>
      <c r="AC67" s="822"/>
      <c r="AD67" s="822"/>
      <c r="AE67" s="822"/>
      <c r="AF67" s="822"/>
      <c r="AG67" s="822"/>
      <c r="AH67" s="822"/>
      <c r="AI67" s="822"/>
      <c r="AJ67" s="822"/>
      <c r="AK67" s="822"/>
      <c r="AL67" s="822"/>
      <c r="AM67" s="822"/>
      <c r="AN67" s="34" t="s">
        <v>9</v>
      </c>
      <c r="AO67" s="822"/>
      <c r="AP67" s="822"/>
      <c r="AQ67" s="822"/>
      <c r="AR67" s="822"/>
      <c r="AS67" s="822"/>
      <c r="AT67" s="822"/>
      <c r="AU67" s="822"/>
      <c r="AV67" s="822"/>
      <c r="AW67" s="822"/>
      <c r="AX67" s="822"/>
      <c r="AY67" s="822"/>
      <c r="AZ67" s="822"/>
      <c r="BA67" s="822"/>
      <c r="BB67" s="822"/>
      <c r="BC67" s="822"/>
      <c r="BD67" s="822"/>
      <c r="BE67" s="822"/>
      <c r="BF67" s="822"/>
      <c r="BG67" s="822"/>
      <c r="BH67" s="822"/>
      <c r="BI67" s="822"/>
      <c r="BJ67" s="822"/>
      <c r="BK67" s="822"/>
      <c r="BL67" s="822"/>
      <c r="BM67" s="822"/>
      <c r="BN67" s="822"/>
      <c r="BO67" s="822"/>
      <c r="BP67" s="822"/>
      <c r="BQ67" s="822"/>
      <c r="BR67" s="822"/>
      <c r="BS67" s="822"/>
      <c r="BT67" s="822"/>
      <c r="BU67" s="822"/>
      <c r="BV67" s="822"/>
      <c r="BX67" s="822"/>
      <c r="BY67" s="822"/>
      <c r="BZ67" s="822"/>
      <c r="CA67" s="822"/>
      <c r="CB67" s="822"/>
      <c r="CC67" s="822"/>
      <c r="CD67" s="822"/>
      <c r="CE67" s="822"/>
      <c r="CF67" s="822"/>
      <c r="CG67" s="822"/>
      <c r="CH67" s="822"/>
      <c r="CI67" s="822"/>
      <c r="CJ67" s="822"/>
      <c r="CK67" s="822"/>
      <c r="CL67" s="822"/>
      <c r="CM67" s="822"/>
      <c r="CN67" s="822"/>
      <c r="CO67" s="822"/>
      <c r="CP67" s="822"/>
      <c r="CQ67" s="822"/>
      <c r="CR67" s="822"/>
      <c r="CS67" s="822"/>
      <c r="CT67" s="822"/>
      <c r="CU67" s="822"/>
      <c r="CV67" s="822"/>
      <c r="CW67" s="822"/>
      <c r="CX67" s="822"/>
      <c r="CY67" s="822"/>
      <c r="CZ67" s="822"/>
      <c r="DA67" s="822"/>
      <c r="DB67" s="822"/>
      <c r="DC67" s="822"/>
      <c r="DD67" s="822"/>
      <c r="DE67" s="822"/>
      <c r="DF67" s="822"/>
      <c r="DG67" s="822"/>
      <c r="DH67" s="822"/>
      <c r="DI67" s="822"/>
      <c r="DJ67" s="822"/>
      <c r="DK67" s="822"/>
      <c r="DL67" s="822"/>
      <c r="DM67" s="822"/>
      <c r="DN67" s="822"/>
      <c r="DO67" s="2297"/>
      <c r="DP67" s="2290"/>
      <c r="DQ67" s="2290"/>
      <c r="DR67" s="2290"/>
      <c r="DS67" s="2290"/>
      <c r="DT67" s="2290"/>
      <c r="DU67" s="2290"/>
      <c r="DV67" s="2290"/>
      <c r="DW67" s="2290"/>
      <c r="DX67" s="2290"/>
      <c r="DY67" s="2290"/>
      <c r="DZ67" s="2290"/>
      <c r="EA67" s="2290"/>
      <c r="EB67" s="2290"/>
      <c r="EC67" s="2291"/>
    </row>
    <row r="68" spans="5:133" ht="17.100000000000001" customHeight="1" thickBot="1" x14ac:dyDescent="0.35">
      <c r="R68" s="822"/>
      <c r="S68" s="822"/>
      <c r="T68" s="822"/>
      <c r="U68" s="822"/>
      <c r="V68" s="822"/>
      <c r="W68" s="822"/>
      <c r="X68" s="822"/>
      <c r="Y68" s="822"/>
      <c r="Z68" s="822"/>
      <c r="AA68" s="822"/>
      <c r="AB68" s="822"/>
      <c r="AC68" s="822"/>
      <c r="AD68" s="822"/>
      <c r="AE68" s="822"/>
      <c r="AF68" s="822"/>
      <c r="AG68" s="822"/>
      <c r="AH68" s="822"/>
      <c r="AI68" s="822"/>
      <c r="AJ68" s="822"/>
      <c r="AK68" s="822"/>
      <c r="AL68" s="822"/>
      <c r="AM68" s="822"/>
      <c r="AN68" s="34" t="s">
        <v>9</v>
      </c>
      <c r="AO68" s="822"/>
      <c r="AP68" s="822"/>
      <c r="AQ68" s="822"/>
      <c r="AR68" s="822"/>
      <c r="AS68" s="822"/>
      <c r="AT68" s="822"/>
      <c r="AU68" s="822"/>
      <c r="AV68" s="822"/>
      <c r="AW68" s="822"/>
      <c r="AX68" s="822"/>
      <c r="AY68" s="822"/>
      <c r="AZ68" s="822"/>
      <c r="BA68" s="822"/>
      <c r="BB68" s="822"/>
      <c r="BC68" s="822"/>
      <c r="BD68" s="822"/>
      <c r="BE68" s="822"/>
      <c r="BF68" s="822"/>
      <c r="BG68" s="822"/>
      <c r="BH68" s="822"/>
      <c r="BI68" s="822"/>
      <c r="BJ68" s="822"/>
      <c r="BK68" s="822"/>
      <c r="BL68" s="822"/>
      <c r="BM68" s="822"/>
      <c r="BN68" s="822"/>
      <c r="BO68" s="822"/>
      <c r="BP68" s="822"/>
      <c r="BQ68" s="822"/>
      <c r="BR68" s="822"/>
      <c r="BS68" s="822"/>
      <c r="BT68" s="822"/>
      <c r="BU68" s="822"/>
      <c r="BV68" s="822"/>
      <c r="BX68" s="822"/>
      <c r="BY68" s="822"/>
      <c r="BZ68" s="822"/>
      <c r="CA68" s="822"/>
      <c r="CB68" s="822"/>
      <c r="CC68" s="822"/>
      <c r="CD68" s="822"/>
      <c r="CE68" s="822"/>
      <c r="CF68" s="822"/>
      <c r="CG68" s="822"/>
      <c r="CH68" s="822"/>
      <c r="CI68" s="822"/>
      <c r="CJ68" s="822"/>
      <c r="CK68" s="822"/>
      <c r="CL68" s="822"/>
      <c r="CM68" s="822"/>
      <c r="CN68" s="822"/>
      <c r="CO68" s="822"/>
      <c r="CP68" s="822"/>
      <c r="CQ68" s="822"/>
      <c r="CR68" s="822"/>
      <c r="CS68" s="822"/>
      <c r="CT68" s="822"/>
      <c r="CU68" s="822"/>
      <c r="CV68" s="822"/>
      <c r="CW68" s="822"/>
      <c r="CX68" s="822"/>
      <c r="CY68" s="822"/>
      <c r="CZ68" s="822"/>
      <c r="DA68" s="822"/>
      <c r="DB68" s="822"/>
      <c r="DC68" s="822"/>
      <c r="DD68" s="822"/>
      <c r="DE68" s="822"/>
      <c r="DF68" s="822"/>
      <c r="DG68" s="822"/>
      <c r="DH68" s="822"/>
      <c r="DI68" s="822"/>
      <c r="DJ68" s="822"/>
      <c r="DK68" s="822"/>
      <c r="DL68" s="822"/>
      <c r="DM68" s="822"/>
      <c r="DN68" s="822"/>
      <c r="DO68" s="2297"/>
      <c r="DP68" s="2290"/>
      <c r="DQ68" s="2290"/>
      <c r="DR68" s="2290"/>
      <c r="DS68" s="2290"/>
      <c r="DT68" s="2290"/>
      <c r="DU68" s="2290"/>
      <c r="DV68" s="2290"/>
      <c r="DW68" s="2290"/>
      <c r="DX68" s="2290"/>
      <c r="DY68" s="2290"/>
      <c r="DZ68" s="2290"/>
      <c r="EA68" s="2290"/>
      <c r="EB68" s="2290"/>
      <c r="EC68" s="2291"/>
    </row>
    <row r="69" spans="5:133" ht="17.100000000000001" customHeight="1" thickTop="1" x14ac:dyDescent="0.3">
      <c r="E69" s="23"/>
      <c r="F69" s="23"/>
      <c r="G69" s="23"/>
      <c r="H69" s="23"/>
      <c r="I69" s="23"/>
      <c r="J69" s="23"/>
      <c r="K69" s="23"/>
      <c r="L69" s="23"/>
      <c r="M69" s="23"/>
      <c r="N69" s="23"/>
      <c r="O69" s="23"/>
      <c r="P69" s="23"/>
      <c r="Q69" s="23"/>
      <c r="R69" s="23"/>
      <c r="S69" s="23"/>
      <c r="T69" s="23"/>
      <c r="U69" s="23"/>
      <c r="V69" s="23"/>
      <c r="W69" s="23"/>
      <c r="X69" s="23"/>
      <c r="Y69" s="23"/>
      <c r="Z69" s="23"/>
      <c r="AA69" s="1720"/>
      <c r="AB69" s="1721"/>
      <c r="AC69" s="1721"/>
      <c r="AD69" s="1721"/>
      <c r="AE69" s="1721"/>
      <c r="AF69" s="1721"/>
      <c r="AG69" s="1721"/>
      <c r="AH69" s="1721"/>
      <c r="AI69" s="1721"/>
      <c r="AJ69" s="1721"/>
      <c r="AK69" s="1721"/>
      <c r="AL69" s="1721"/>
      <c r="AM69" s="1721"/>
      <c r="AN69" s="1721"/>
      <c r="AO69" s="1721"/>
      <c r="AP69" s="1721"/>
      <c r="AQ69" s="1721"/>
      <c r="AR69" s="1721"/>
      <c r="AS69" s="1721"/>
      <c r="AT69" s="1721"/>
      <c r="AU69" s="1721"/>
      <c r="AV69" s="1721"/>
      <c r="AW69" s="1721"/>
      <c r="AX69" s="1721"/>
      <c r="AY69" s="1721"/>
      <c r="AZ69" s="1721"/>
      <c r="BA69" s="1722"/>
      <c r="BB69" s="23"/>
      <c r="BC69" s="23"/>
      <c r="BD69" s="23"/>
      <c r="BE69" s="23"/>
      <c r="BF69" s="23"/>
      <c r="BG69" s="23"/>
      <c r="BH69" s="23"/>
      <c r="BI69" s="23"/>
      <c r="BJ69" s="23"/>
      <c r="BK69" s="23"/>
      <c r="BL69" s="23"/>
      <c r="BM69" s="23"/>
      <c r="BN69" s="23"/>
      <c r="BO69" s="23"/>
      <c r="BP69" s="23"/>
      <c r="BQ69" s="23"/>
      <c r="BR69" s="23"/>
      <c r="BS69" s="23"/>
      <c r="BT69" s="23"/>
      <c r="BU69" s="23"/>
      <c r="BV69" s="23"/>
      <c r="BW69" s="23"/>
      <c r="BX69" s="19"/>
      <c r="BY69" s="822"/>
      <c r="BZ69" s="822"/>
      <c r="CA69" s="822"/>
      <c r="CB69" s="822"/>
      <c r="CC69" s="822"/>
      <c r="CD69" s="822"/>
      <c r="CE69" s="822"/>
      <c r="CF69" s="822"/>
      <c r="CG69" s="822"/>
      <c r="CH69" s="822"/>
      <c r="CI69" s="822"/>
      <c r="CJ69" s="822"/>
      <c r="CK69" s="822"/>
      <c r="CL69" s="822"/>
      <c r="CM69" s="822"/>
      <c r="CN69" s="822"/>
      <c r="CO69" s="822"/>
      <c r="CP69" s="822"/>
      <c r="CQ69" s="822"/>
      <c r="CR69" s="822"/>
      <c r="CS69" s="822"/>
      <c r="CT69" s="822"/>
      <c r="CU69" s="822"/>
      <c r="CV69" s="822"/>
      <c r="CW69" s="822"/>
      <c r="CX69" s="822"/>
      <c r="CY69" s="822"/>
      <c r="CZ69" s="822"/>
      <c r="DA69" s="822"/>
      <c r="DB69" s="822"/>
      <c r="DC69" s="822"/>
      <c r="DD69" s="822"/>
      <c r="DE69" s="822"/>
      <c r="DF69" s="822"/>
      <c r="DG69" s="822"/>
      <c r="DH69" s="822"/>
      <c r="DI69" s="822"/>
      <c r="DJ69" s="822"/>
      <c r="DK69" s="822"/>
      <c r="DL69" s="822"/>
      <c r="DM69" s="822"/>
      <c r="DN69" s="822"/>
      <c r="DO69" s="2297"/>
      <c r="DP69" s="2290"/>
      <c r="DQ69" s="2290"/>
      <c r="DR69" s="2290"/>
      <c r="DS69" s="2290"/>
      <c r="DT69" s="2290"/>
      <c r="DU69" s="2290"/>
      <c r="DV69" s="2290"/>
      <c r="DW69" s="2290"/>
      <c r="DX69" s="2290"/>
      <c r="DY69" s="2290"/>
      <c r="DZ69" s="2290"/>
      <c r="EA69" s="2290"/>
      <c r="EB69" s="2290"/>
      <c r="EC69" s="2291"/>
    </row>
    <row r="70" spans="5:133" ht="17.100000000000001" customHeight="1" thickBot="1" x14ac:dyDescent="0.35">
      <c r="E70" s="23"/>
      <c r="F70" s="23"/>
      <c r="G70" s="23"/>
      <c r="H70" s="23"/>
      <c r="I70" s="23"/>
      <c r="J70" s="23"/>
      <c r="K70" s="23"/>
      <c r="L70" s="23"/>
      <c r="M70" s="23"/>
      <c r="N70" s="23"/>
      <c r="O70" s="23"/>
      <c r="P70" s="23"/>
      <c r="Q70" s="23"/>
      <c r="R70" s="23"/>
      <c r="S70" s="23"/>
      <c r="T70" s="23"/>
      <c r="U70" s="23"/>
      <c r="V70" s="23"/>
      <c r="W70" s="23"/>
      <c r="X70" s="23"/>
      <c r="Y70" s="23"/>
      <c r="Z70" s="23"/>
      <c r="AA70" s="1723"/>
      <c r="AB70" s="1724"/>
      <c r="AC70" s="1710"/>
      <c r="AD70" s="1710"/>
      <c r="AE70" s="1710"/>
      <c r="AF70" s="1710"/>
      <c r="AG70" s="1710"/>
      <c r="AH70" s="1710"/>
      <c r="AI70" s="1710"/>
      <c r="AJ70" s="1710"/>
      <c r="AK70" s="1710"/>
      <c r="AL70" s="1710"/>
      <c r="AM70" s="1710"/>
      <c r="AN70" s="1710"/>
      <c r="AO70" s="1710"/>
      <c r="AP70" s="1710"/>
      <c r="AQ70" s="1710"/>
      <c r="AR70" s="1710"/>
      <c r="AS70" s="1710"/>
      <c r="AT70" s="1710"/>
      <c r="AU70" s="1710"/>
      <c r="AV70" s="1710"/>
      <c r="AW70" s="1710"/>
      <c r="AX70" s="1710"/>
      <c r="AY70" s="1710"/>
      <c r="AZ70" s="1724"/>
      <c r="BA70" s="1725"/>
      <c r="BB70" s="23"/>
      <c r="BC70" s="23"/>
      <c r="BD70" s="23"/>
      <c r="BE70" s="23"/>
      <c r="BF70" s="23"/>
      <c r="BG70" s="23"/>
      <c r="BH70" s="23"/>
      <c r="BI70" s="23"/>
      <c r="BJ70" s="23"/>
      <c r="BK70" s="23"/>
      <c r="BL70" s="23"/>
      <c r="BM70" s="23"/>
      <c r="BN70" s="23"/>
      <c r="BO70" s="23"/>
      <c r="BP70" s="23"/>
      <c r="BQ70" s="23"/>
      <c r="BR70" s="23"/>
      <c r="BS70" s="23"/>
      <c r="BT70" s="23"/>
      <c r="BU70" s="23"/>
      <c r="BV70" s="23"/>
      <c r="BW70" s="23"/>
      <c r="BX70" s="19"/>
      <c r="BY70" s="822"/>
      <c r="BZ70" s="822"/>
      <c r="CA70" s="822"/>
      <c r="CB70" s="822"/>
      <c r="CC70" s="822"/>
      <c r="CD70" s="822"/>
      <c r="CE70" s="822"/>
      <c r="CF70" s="822"/>
      <c r="CG70" s="822"/>
      <c r="CH70" s="822"/>
      <c r="CI70" s="822"/>
      <c r="CJ70" s="822"/>
      <c r="CK70" s="822"/>
      <c r="CL70" s="822"/>
      <c r="CM70" s="822"/>
      <c r="CN70" s="822"/>
      <c r="CO70" s="822"/>
      <c r="CP70" s="822"/>
      <c r="CQ70" s="822"/>
      <c r="CR70" s="822"/>
      <c r="CS70" s="822"/>
      <c r="CT70" s="822"/>
      <c r="CU70" s="822"/>
      <c r="CV70" s="822"/>
      <c r="CW70" s="822"/>
      <c r="CX70" s="822"/>
      <c r="CY70" s="822"/>
      <c r="CZ70" s="822"/>
      <c r="DA70" s="822"/>
      <c r="DB70" s="822"/>
      <c r="DC70" s="822"/>
      <c r="DD70" s="822"/>
      <c r="DE70" s="822"/>
      <c r="DF70" s="822"/>
      <c r="DG70" s="822"/>
      <c r="DH70" s="822"/>
      <c r="DI70" s="822"/>
      <c r="DJ70" s="822"/>
      <c r="DK70" s="822"/>
      <c r="DL70" s="822"/>
      <c r="DM70" s="822"/>
      <c r="DN70" s="822"/>
      <c r="DO70" s="2297"/>
      <c r="DP70" s="2290"/>
      <c r="DQ70" s="2290"/>
      <c r="DR70" s="2290"/>
      <c r="DS70" s="2290"/>
      <c r="DT70" s="2290"/>
      <c r="DU70" s="2290"/>
      <c r="DV70" s="2290"/>
      <c r="DW70" s="2290"/>
      <c r="DX70" s="2290"/>
      <c r="DY70" s="2290"/>
      <c r="DZ70" s="2290"/>
      <c r="EA70" s="2290"/>
      <c r="EB70" s="2290"/>
      <c r="EC70" s="2291"/>
    </row>
    <row r="71" spans="5:133" ht="17.100000000000001" customHeight="1" thickTop="1" x14ac:dyDescent="0.3">
      <c r="E71" s="23"/>
      <c r="F71" s="23"/>
      <c r="G71" s="1720"/>
      <c r="H71" s="1721"/>
      <c r="I71" s="1721"/>
      <c r="J71" s="1721"/>
      <c r="K71" s="1721"/>
      <c r="L71" s="1721"/>
      <c r="M71" s="1721"/>
      <c r="N71" s="1721"/>
      <c r="O71" s="1721"/>
      <c r="P71" s="1721"/>
      <c r="Q71" s="1721"/>
      <c r="R71" s="1721"/>
      <c r="S71" s="1721"/>
      <c r="T71" s="1721"/>
      <c r="U71" s="1721"/>
      <c r="V71" s="1721"/>
      <c r="W71" s="1721"/>
      <c r="X71" s="1721"/>
      <c r="Y71" s="1721"/>
      <c r="Z71" s="1721"/>
      <c r="AA71" s="1711"/>
      <c r="AB71" s="1711"/>
      <c r="AC71" s="1710"/>
      <c r="AD71" s="1710"/>
      <c r="AE71" s="1710"/>
      <c r="AF71" s="1710"/>
      <c r="AG71" s="1710"/>
      <c r="AH71" s="1710"/>
      <c r="AI71" s="1710"/>
      <c r="AJ71" s="1710"/>
      <c r="AK71" s="1710"/>
      <c r="AL71" s="1710"/>
      <c r="AM71" s="1710"/>
      <c r="AN71" s="1710"/>
      <c r="AO71" s="1710"/>
      <c r="AP71" s="1710"/>
      <c r="AQ71" s="1710"/>
      <c r="AR71" s="1710"/>
      <c r="AS71" s="1710"/>
      <c r="AT71" s="1710"/>
      <c r="AU71" s="1710"/>
      <c r="AV71" s="1710"/>
      <c r="AW71" s="1710"/>
      <c r="AX71" s="1710"/>
      <c r="AY71" s="1710"/>
      <c r="AZ71" s="1711"/>
      <c r="BA71" s="1711"/>
      <c r="BB71" s="1721"/>
      <c r="BC71" s="1721"/>
      <c r="BD71" s="1721"/>
      <c r="BE71" s="1721"/>
      <c r="BF71" s="1721"/>
      <c r="BG71" s="1721"/>
      <c r="BH71" s="1721"/>
      <c r="BI71" s="1721"/>
      <c r="BJ71" s="1721"/>
      <c r="BK71" s="1721"/>
      <c r="BL71" s="1721"/>
      <c r="BM71" s="1721"/>
      <c r="BN71" s="1721"/>
      <c r="BO71" s="1721"/>
      <c r="BP71" s="1721"/>
      <c r="BQ71" s="1721"/>
      <c r="BR71" s="1721"/>
      <c r="BS71" s="1721"/>
      <c r="BT71" s="1721"/>
      <c r="BU71" s="1722"/>
      <c r="BV71" s="19"/>
      <c r="BW71" s="19"/>
      <c r="BX71" s="19"/>
      <c r="BY71" s="822"/>
      <c r="BZ71" s="822"/>
      <c r="CA71" s="822"/>
      <c r="CB71" s="822"/>
      <c r="CC71" s="822"/>
      <c r="CD71" s="822"/>
      <c r="CE71" s="822"/>
      <c r="CF71" s="822"/>
      <c r="CG71" s="822"/>
      <c r="CH71" s="822"/>
      <c r="CI71" s="822"/>
      <c r="CJ71" s="822"/>
      <c r="CK71" s="822"/>
      <c r="CL71" s="822"/>
      <c r="CM71" s="822"/>
      <c r="CN71" s="822"/>
      <c r="CO71" s="822"/>
      <c r="CP71" s="822"/>
      <c r="CQ71" s="822"/>
      <c r="CR71" s="822"/>
      <c r="CS71" s="822"/>
      <c r="CT71" s="822"/>
      <c r="CU71" s="822"/>
      <c r="CV71" s="822"/>
      <c r="CW71" s="822"/>
      <c r="CX71" s="822"/>
      <c r="CY71" s="822"/>
      <c r="CZ71" s="822"/>
      <c r="DA71" s="822"/>
      <c r="DB71" s="822"/>
      <c r="DC71" s="822"/>
      <c r="DD71" s="822"/>
      <c r="DE71" s="822"/>
      <c r="DF71" s="822"/>
      <c r="DG71" s="822"/>
      <c r="DH71" s="822"/>
      <c r="DI71" s="822"/>
      <c r="DJ71" s="822"/>
      <c r="DK71" s="822"/>
      <c r="DL71" s="822"/>
      <c r="DM71" s="822"/>
      <c r="DN71" s="822"/>
      <c r="DO71" s="2297"/>
      <c r="DP71" s="2290"/>
      <c r="DQ71" s="2290"/>
      <c r="DR71" s="2290"/>
      <c r="DS71" s="2290"/>
      <c r="DT71" s="2290"/>
      <c r="DU71" s="2290"/>
      <c r="DV71" s="2290"/>
      <c r="DW71" s="2290"/>
      <c r="DX71" s="2290"/>
      <c r="DY71" s="2290"/>
      <c r="DZ71" s="2290"/>
      <c r="EA71" s="2290"/>
      <c r="EB71" s="2290"/>
      <c r="EC71" s="2291"/>
    </row>
    <row r="72" spans="5:133" ht="17.100000000000001" customHeight="1" thickBot="1" x14ac:dyDescent="0.35">
      <c r="E72" s="23"/>
      <c r="F72" s="23"/>
      <c r="G72" s="1723"/>
      <c r="H72" s="1724"/>
      <c r="I72" s="1711"/>
      <c r="J72" s="1711"/>
      <c r="K72" s="1711"/>
      <c r="L72" s="1711"/>
      <c r="M72" s="1711"/>
      <c r="N72" s="1711"/>
      <c r="O72" s="1711"/>
      <c r="P72" s="1711"/>
      <c r="Q72" s="1711"/>
      <c r="R72" s="1711"/>
      <c r="S72" s="1711"/>
      <c r="T72" s="1711"/>
      <c r="U72" s="1711"/>
      <c r="V72" s="1711"/>
      <c r="W72" s="1711"/>
      <c r="X72" s="1711"/>
      <c r="Y72" s="1711"/>
      <c r="Z72" s="1711"/>
      <c r="AA72" s="1711"/>
      <c r="AB72" s="1711"/>
      <c r="AC72" s="1712"/>
      <c r="AD72" s="1712"/>
      <c r="AE72" s="1712"/>
      <c r="AF72" s="1712"/>
      <c r="AG72" s="1712"/>
      <c r="AH72" s="1712"/>
      <c r="AI72" s="1712"/>
      <c r="AJ72" s="1712"/>
      <c r="AK72" s="4862" t="s">
        <v>954</v>
      </c>
      <c r="AL72" s="4862"/>
      <c r="AM72" s="4862"/>
      <c r="AN72" s="4862"/>
      <c r="AO72" s="4862"/>
      <c r="AP72" s="4862"/>
      <c r="AQ72" s="4862"/>
      <c r="AR72" s="1712"/>
      <c r="AS72" s="1712"/>
      <c r="AT72" s="1712"/>
      <c r="AU72" s="1712"/>
      <c r="AV72" s="1712"/>
      <c r="AW72" s="1712"/>
      <c r="AX72" s="1712"/>
      <c r="AY72" s="1712"/>
      <c r="AZ72" s="1711"/>
      <c r="BA72" s="1711"/>
      <c r="BB72" s="1711"/>
      <c r="BC72" s="1711"/>
      <c r="BD72" s="1711"/>
      <c r="BE72" s="1711"/>
      <c r="BF72" s="1711"/>
      <c r="BG72" s="1711"/>
      <c r="BH72" s="1711"/>
      <c r="BI72" s="1711"/>
      <c r="BJ72" s="1711"/>
      <c r="BK72" s="1711"/>
      <c r="BL72" s="1711"/>
      <c r="BM72" s="1711"/>
      <c r="BN72" s="1711"/>
      <c r="BO72" s="1711"/>
      <c r="BP72" s="1711"/>
      <c r="BQ72" s="1711"/>
      <c r="BR72" s="1711"/>
      <c r="BS72" s="1711"/>
      <c r="BT72" s="1724"/>
      <c r="BU72" s="1725"/>
      <c r="BV72" s="19"/>
      <c r="BW72" s="19"/>
      <c r="BX72" s="19"/>
      <c r="BY72" s="822"/>
      <c r="BZ72" s="822"/>
      <c r="CA72" s="822"/>
      <c r="CB72" s="822"/>
      <c r="CC72" s="822"/>
      <c r="CD72" s="822"/>
      <c r="CE72" s="822"/>
      <c r="CF72" s="822"/>
      <c r="CG72" s="822"/>
      <c r="CH72" s="822"/>
      <c r="CI72" s="822"/>
      <c r="CJ72" s="822"/>
      <c r="CK72" s="822"/>
      <c r="CL72" s="822"/>
      <c r="CM72" s="822"/>
      <c r="CN72" s="822"/>
      <c r="CO72" s="822"/>
      <c r="CP72" s="822"/>
      <c r="CQ72" s="822"/>
      <c r="CR72" s="822"/>
      <c r="CS72" s="822"/>
      <c r="CT72" s="822"/>
      <c r="CU72" s="822"/>
      <c r="CV72" s="822"/>
      <c r="CW72" s="822"/>
      <c r="CX72" s="822"/>
      <c r="CY72" s="822"/>
      <c r="CZ72" s="822"/>
      <c r="DA72" s="822"/>
      <c r="DB72" s="822"/>
      <c r="DC72" s="822"/>
      <c r="DD72" s="822"/>
      <c r="DE72" s="822"/>
      <c r="DF72" s="822"/>
      <c r="DG72" s="822"/>
      <c r="DH72" s="822"/>
      <c r="DI72" s="822"/>
      <c r="DJ72" s="822"/>
      <c r="DK72" s="822"/>
      <c r="DL72" s="822"/>
      <c r="DM72" s="822"/>
      <c r="DN72" s="822"/>
      <c r="DO72" s="2297"/>
      <c r="DP72" s="2290"/>
      <c r="DQ72" s="2290"/>
      <c r="DR72" s="2290"/>
      <c r="DS72" s="2290"/>
      <c r="DT72" s="2290"/>
      <c r="DU72" s="2290"/>
      <c r="DV72" s="2290"/>
      <c r="DW72" s="2290"/>
      <c r="DX72" s="2290"/>
      <c r="DY72" s="2290"/>
      <c r="DZ72" s="2290"/>
      <c r="EA72" s="2290"/>
      <c r="EB72" s="2290"/>
      <c r="EC72" s="2291"/>
    </row>
    <row r="73" spans="5:133" ht="17.100000000000001" customHeight="1" thickTop="1" x14ac:dyDescent="0.3">
      <c r="E73" s="1720"/>
      <c r="F73" s="1721"/>
      <c r="G73" s="1711"/>
      <c r="H73" s="1711"/>
      <c r="I73" s="1711"/>
      <c r="J73" s="1711"/>
      <c r="K73" s="1711"/>
      <c r="L73" s="1711"/>
      <c r="M73" s="1711"/>
      <c r="N73" s="1711"/>
      <c r="O73" s="1711"/>
      <c r="P73" s="1711"/>
      <c r="Q73" s="1711"/>
      <c r="R73" s="1711"/>
      <c r="S73" s="1711"/>
      <c r="T73" s="1711"/>
      <c r="U73" s="1711"/>
      <c r="V73" s="1711"/>
      <c r="W73" s="1711"/>
      <c r="X73" s="1711"/>
      <c r="Y73" s="1711"/>
      <c r="Z73" s="1711"/>
      <c r="AA73" s="1711"/>
      <c r="AB73" s="1711"/>
      <c r="AC73" s="1712"/>
      <c r="AD73" s="1712"/>
      <c r="AE73" s="1712"/>
      <c r="AF73" s="1712"/>
      <c r="AG73" s="1712"/>
      <c r="AH73" s="1712"/>
      <c r="AI73" s="1712"/>
      <c r="AJ73" s="1712"/>
      <c r="AK73" s="4862"/>
      <c r="AL73" s="4862"/>
      <c r="AM73" s="4862"/>
      <c r="AN73" s="4862"/>
      <c r="AO73" s="4862"/>
      <c r="AP73" s="4862"/>
      <c r="AQ73" s="4862"/>
      <c r="AR73" s="1712"/>
      <c r="AS73" s="1712"/>
      <c r="AT73" s="1712"/>
      <c r="AU73" s="1712"/>
      <c r="AV73" s="1712"/>
      <c r="AW73" s="1712"/>
      <c r="AX73" s="1712"/>
      <c r="AY73" s="1712"/>
      <c r="AZ73" s="1711"/>
      <c r="BA73" s="1711"/>
      <c r="BB73" s="1711"/>
      <c r="BC73" s="1711"/>
      <c r="BD73" s="1711"/>
      <c r="BE73" s="1711"/>
      <c r="BF73" s="1711"/>
      <c r="BG73" s="1711"/>
      <c r="BH73" s="1711"/>
      <c r="BI73" s="1711"/>
      <c r="BJ73" s="1711"/>
      <c r="BK73" s="1711"/>
      <c r="BL73" s="1711"/>
      <c r="BM73" s="1711"/>
      <c r="BN73" s="1711"/>
      <c r="BO73" s="1711"/>
      <c r="BP73" s="1711"/>
      <c r="BQ73" s="1711"/>
      <c r="BR73" s="1711"/>
      <c r="BS73" s="1711"/>
      <c r="BT73" s="1711"/>
      <c r="BU73" s="1711"/>
      <c r="BV73" s="1721"/>
      <c r="BW73" s="1722"/>
      <c r="BX73" s="23"/>
      <c r="BY73" s="822"/>
      <c r="BZ73" s="822"/>
      <c r="CA73" s="822"/>
      <c r="CB73" s="822"/>
      <c r="CC73" s="822"/>
      <c r="CD73" s="822"/>
      <c r="CE73" s="822"/>
      <c r="CF73" s="822"/>
      <c r="CG73" s="822"/>
      <c r="CH73" s="822"/>
      <c r="CI73" s="822"/>
      <c r="CJ73" s="822"/>
      <c r="CK73" s="822"/>
      <c r="CL73" s="822"/>
      <c r="CM73" s="822"/>
      <c r="CN73" s="822"/>
      <c r="CO73" s="822"/>
      <c r="CP73" s="822"/>
      <c r="CQ73" s="822"/>
      <c r="CR73" s="822"/>
      <c r="CS73" s="822"/>
      <c r="CT73" s="822"/>
      <c r="CU73" s="822"/>
      <c r="CV73" s="822"/>
      <c r="CW73" s="822"/>
      <c r="CX73" s="822"/>
      <c r="CY73" s="822"/>
      <c r="CZ73" s="822"/>
      <c r="DA73" s="822"/>
      <c r="DB73" s="822"/>
      <c r="DC73" s="822"/>
      <c r="DD73" s="822"/>
      <c r="DE73" s="822"/>
      <c r="DF73" s="822"/>
      <c r="DG73" s="822"/>
      <c r="DH73" s="822"/>
      <c r="DI73" s="822"/>
      <c r="DJ73" s="822"/>
      <c r="DK73" s="822"/>
      <c r="DL73" s="822"/>
      <c r="DM73" s="822"/>
      <c r="DN73" s="822"/>
      <c r="DO73" s="2297"/>
      <c r="DP73" s="2290"/>
      <c r="DQ73" s="2290"/>
      <c r="DR73" s="2290"/>
      <c r="DS73" s="2290"/>
      <c r="DT73" s="2290"/>
      <c r="DU73" s="2290"/>
      <c r="DV73" s="2290"/>
      <c r="DW73" s="2290"/>
      <c r="DX73" s="2290"/>
      <c r="DY73" s="2290"/>
      <c r="DZ73" s="2290"/>
      <c r="EA73" s="2290"/>
      <c r="EB73" s="2290"/>
      <c r="EC73" s="2291"/>
    </row>
    <row r="74" spans="5:133" ht="17.100000000000001" customHeight="1" thickBot="1" x14ac:dyDescent="0.35">
      <c r="E74" s="1723"/>
      <c r="F74" s="1724"/>
      <c r="G74" s="1711"/>
      <c r="H74" s="1711"/>
      <c r="I74" s="1711"/>
      <c r="J74" s="1711"/>
      <c r="K74" s="1711"/>
      <c r="L74" s="1711"/>
      <c r="M74" s="1711"/>
      <c r="N74" s="1711"/>
      <c r="O74" s="1711"/>
      <c r="P74" s="1711"/>
      <c r="Q74" s="1711"/>
      <c r="R74" s="1711"/>
      <c r="S74" s="1711"/>
      <c r="T74" s="1711"/>
      <c r="U74" s="1711"/>
      <c r="V74" s="1711"/>
      <c r="W74" s="1711"/>
      <c r="X74" s="1711"/>
      <c r="Y74" s="1711"/>
      <c r="Z74" s="1711"/>
      <c r="AA74" s="1711"/>
      <c r="AB74" s="1711"/>
      <c r="AC74" s="1711"/>
      <c r="AD74" s="1711"/>
      <c r="AE74" s="1711"/>
      <c r="AF74" s="1711"/>
      <c r="AG74" s="1713"/>
      <c r="AH74" s="1713"/>
      <c r="AI74" s="1713"/>
      <c r="AJ74" s="1713"/>
      <c r="AK74" s="1713"/>
      <c r="AL74" s="1713"/>
      <c r="AM74" s="1714"/>
      <c r="AN74" s="1719">
        <v>1</v>
      </c>
      <c r="AO74" s="1714"/>
      <c r="AP74" s="1713"/>
      <c r="AQ74" s="1713"/>
      <c r="AR74" s="1713"/>
      <c r="AS74" s="1713"/>
      <c r="AT74" s="1713"/>
      <c r="AU74" s="1713"/>
      <c r="AV74" s="1711"/>
      <c r="AW74" s="1711"/>
      <c r="AX74" s="1711"/>
      <c r="AY74" s="1711"/>
      <c r="AZ74" s="1711"/>
      <c r="BA74" s="1711"/>
      <c r="BB74" s="1711"/>
      <c r="BC74" s="1711"/>
      <c r="BD74" s="1711"/>
      <c r="BE74" s="1711"/>
      <c r="BF74" s="1711"/>
      <c r="BG74" s="1711"/>
      <c r="BH74" s="1711"/>
      <c r="BI74" s="1711"/>
      <c r="BJ74" s="1711"/>
      <c r="BK74" s="1711"/>
      <c r="BL74" s="1711"/>
      <c r="BM74" s="1711"/>
      <c r="BN74" s="1711"/>
      <c r="BO74" s="1711"/>
      <c r="BP74" s="1711"/>
      <c r="BQ74" s="1711"/>
      <c r="BR74" s="1711"/>
      <c r="BS74" s="1711"/>
      <c r="BT74" s="1711"/>
      <c r="BU74" s="1711"/>
      <c r="BV74" s="1724"/>
      <c r="BW74" s="1725"/>
      <c r="BX74" s="23"/>
      <c r="BY74" s="822"/>
      <c r="BZ74" s="822"/>
      <c r="CA74" s="822"/>
      <c r="CB74" s="822"/>
      <c r="CC74" s="822"/>
      <c r="CD74" s="822"/>
      <c r="CE74" s="822"/>
      <c r="CF74" s="822"/>
      <c r="CG74" s="822"/>
      <c r="CH74" s="822"/>
      <c r="CI74" s="822"/>
      <c r="CJ74" s="822"/>
      <c r="CK74" s="822"/>
      <c r="CL74" s="822"/>
      <c r="CM74" s="822"/>
      <c r="CN74" s="822"/>
      <c r="CO74" s="822"/>
      <c r="CP74" s="822"/>
      <c r="CQ74" s="822"/>
      <c r="CR74" s="822"/>
      <c r="CS74" s="822"/>
      <c r="CT74" s="822"/>
      <c r="CU74" s="822"/>
      <c r="CV74" s="822"/>
      <c r="CW74" s="822"/>
      <c r="CX74" s="822"/>
      <c r="CY74" s="822"/>
      <c r="CZ74" s="822"/>
      <c r="DA74" s="822"/>
      <c r="DB74" s="822"/>
      <c r="DC74" s="822"/>
      <c r="DD74" s="822"/>
      <c r="DE74" s="822"/>
      <c r="DF74" s="822"/>
      <c r="DG74" s="822"/>
      <c r="DH74" s="822"/>
      <c r="DI74" s="822"/>
      <c r="DJ74" s="822"/>
      <c r="DK74" s="822"/>
      <c r="DL74" s="822"/>
      <c r="DM74" s="822"/>
      <c r="DN74" s="822"/>
      <c r="DO74" s="2297"/>
      <c r="DP74" s="2290"/>
      <c r="DQ74" s="2290"/>
      <c r="DR74" s="2290"/>
      <c r="DS74" s="2290"/>
      <c r="DT74" s="2290"/>
      <c r="DU74" s="2290"/>
      <c r="DV74" s="2290"/>
      <c r="DW74" s="2290"/>
      <c r="DX74" s="2290"/>
      <c r="DY74" s="2290"/>
      <c r="DZ74" s="2290"/>
      <c r="EA74" s="2290"/>
      <c r="EB74" s="2290"/>
      <c r="EC74" s="2291"/>
    </row>
    <row r="75" spans="5:133" ht="17.100000000000001" customHeight="1" thickTop="1" x14ac:dyDescent="0.3">
      <c r="E75" s="1723"/>
      <c r="F75" s="1711"/>
      <c r="G75" s="1711"/>
      <c r="H75" s="1711"/>
      <c r="I75" s="4756" t="s">
        <v>72</v>
      </c>
      <c r="J75" s="4757"/>
      <c r="K75" s="4757"/>
      <c r="L75" s="4794" t="s">
        <v>710</v>
      </c>
      <c r="M75" s="4794"/>
      <c r="N75" s="4757" t="s">
        <v>72</v>
      </c>
      <c r="O75" s="4757"/>
      <c r="P75" s="4762"/>
      <c r="Q75" s="1711"/>
      <c r="R75" s="1711"/>
      <c r="S75" s="4756" t="s">
        <v>72</v>
      </c>
      <c r="T75" s="4757"/>
      <c r="U75" s="4757"/>
      <c r="V75" s="4792" t="s">
        <v>710</v>
      </c>
      <c r="W75" s="4792"/>
      <c r="X75" s="4757" t="s">
        <v>72</v>
      </c>
      <c r="Y75" s="4757"/>
      <c r="Z75" s="4762"/>
      <c r="AA75" s="1711"/>
      <c r="AB75" s="1711"/>
      <c r="AC75" s="4756" t="s">
        <v>72</v>
      </c>
      <c r="AD75" s="4757"/>
      <c r="AE75" s="4757"/>
      <c r="AF75" s="4790" t="s">
        <v>710</v>
      </c>
      <c r="AG75" s="4790"/>
      <c r="AH75" s="4757" t="s">
        <v>72</v>
      </c>
      <c r="AI75" s="4757"/>
      <c r="AJ75" s="4762"/>
      <c r="AK75" s="1711"/>
      <c r="AL75" s="1711"/>
      <c r="AM75" s="4853" t="s">
        <v>1472</v>
      </c>
      <c r="AN75" s="4853"/>
      <c r="AO75" s="4853"/>
      <c r="AP75" s="1711"/>
      <c r="AQ75" s="1711"/>
      <c r="AR75" s="4756" t="s">
        <v>72</v>
      </c>
      <c r="AS75" s="4757"/>
      <c r="AT75" s="4757"/>
      <c r="AU75" s="4790" t="s">
        <v>939</v>
      </c>
      <c r="AV75" s="4790"/>
      <c r="AW75" s="4757" t="s">
        <v>72</v>
      </c>
      <c r="AX75" s="4757"/>
      <c r="AY75" s="4762"/>
      <c r="AZ75" s="1711"/>
      <c r="BA75" s="1711"/>
      <c r="BB75" s="4756" t="s">
        <v>72</v>
      </c>
      <c r="BC75" s="4757"/>
      <c r="BD75" s="4757"/>
      <c r="BE75" s="4792" t="s">
        <v>939</v>
      </c>
      <c r="BF75" s="4792"/>
      <c r="BG75" s="4757" t="s">
        <v>72</v>
      </c>
      <c r="BH75" s="4757"/>
      <c r="BI75" s="4762"/>
      <c r="BJ75" s="1711"/>
      <c r="BK75" s="1711"/>
      <c r="BL75" s="4756" t="s">
        <v>72</v>
      </c>
      <c r="BM75" s="4757"/>
      <c r="BN75" s="4757"/>
      <c r="BO75" s="4794" t="s">
        <v>939</v>
      </c>
      <c r="BP75" s="4794"/>
      <c r="BQ75" s="4757" t="s">
        <v>72</v>
      </c>
      <c r="BR75" s="4757"/>
      <c r="BS75" s="4762"/>
      <c r="BT75" s="1711"/>
      <c r="BU75" s="1711"/>
      <c r="BV75" s="1711"/>
      <c r="BW75" s="1725"/>
      <c r="BX75" s="23"/>
      <c r="BY75" s="822"/>
      <c r="BZ75" s="822"/>
      <c r="CA75" s="822"/>
      <c r="CB75" s="822"/>
      <c r="CC75" s="822"/>
      <c r="CD75" s="822"/>
      <c r="CE75" s="822"/>
      <c r="CF75" s="822"/>
      <c r="CG75" s="822"/>
      <c r="CH75" s="822"/>
      <c r="CI75" s="822"/>
      <c r="CJ75" s="822"/>
      <c r="CK75" s="822"/>
      <c r="CL75" s="822"/>
      <c r="CM75" s="822"/>
      <c r="CN75" s="822"/>
      <c r="CO75" s="822"/>
      <c r="CP75" s="822"/>
      <c r="CQ75" s="822"/>
      <c r="CR75" s="822"/>
      <c r="CS75" s="822"/>
      <c r="CT75" s="822"/>
      <c r="CU75" s="822"/>
      <c r="CV75" s="822"/>
      <c r="CW75" s="822"/>
      <c r="CX75" s="822"/>
      <c r="CY75" s="822"/>
      <c r="CZ75" s="822"/>
      <c r="DA75" s="822"/>
      <c r="DB75" s="822"/>
      <c r="DC75" s="822"/>
      <c r="DD75" s="822"/>
      <c r="DE75" s="822"/>
      <c r="DF75" s="822"/>
      <c r="DG75" s="822"/>
      <c r="DH75" s="822"/>
      <c r="DI75" s="822"/>
      <c r="DJ75" s="822"/>
      <c r="DK75" s="822"/>
      <c r="DL75" s="822"/>
      <c r="DM75" s="822"/>
      <c r="DN75" s="822"/>
      <c r="DO75" s="2297"/>
      <c r="DP75" s="2290"/>
      <c r="DQ75" s="2290"/>
      <c r="DR75" s="2290"/>
      <c r="DS75" s="2290"/>
      <c r="DT75" s="2290"/>
      <c r="DU75" s="2290"/>
      <c r="DV75" s="2290"/>
      <c r="DW75" s="2290"/>
      <c r="DX75" s="2290"/>
      <c r="DY75" s="2290"/>
      <c r="DZ75" s="2290"/>
      <c r="EA75" s="2290"/>
      <c r="EB75" s="2290"/>
      <c r="EC75" s="2291"/>
    </row>
    <row r="76" spans="5:133" ht="17.100000000000001" customHeight="1" x14ac:dyDescent="0.3">
      <c r="E76" s="1723"/>
      <c r="F76" s="1711"/>
      <c r="G76" s="1711"/>
      <c r="H76" s="1711"/>
      <c r="I76" s="4758"/>
      <c r="J76" s="4759"/>
      <c r="K76" s="4759"/>
      <c r="L76" s="4807"/>
      <c r="M76" s="4807"/>
      <c r="N76" s="4759"/>
      <c r="O76" s="4759"/>
      <c r="P76" s="4763"/>
      <c r="Q76" s="1711"/>
      <c r="R76" s="1711"/>
      <c r="S76" s="4758"/>
      <c r="T76" s="4759"/>
      <c r="U76" s="4759"/>
      <c r="V76" s="4805"/>
      <c r="W76" s="4805"/>
      <c r="X76" s="4759"/>
      <c r="Y76" s="4759"/>
      <c r="Z76" s="4763"/>
      <c r="AA76" s="1711"/>
      <c r="AB76" s="1711"/>
      <c r="AC76" s="4758"/>
      <c r="AD76" s="4759"/>
      <c r="AE76" s="4759"/>
      <c r="AF76" s="4806"/>
      <c r="AG76" s="4806"/>
      <c r="AH76" s="4759"/>
      <c r="AI76" s="4759"/>
      <c r="AJ76" s="4763"/>
      <c r="AK76" s="1711"/>
      <c r="AL76" s="1711"/>
      <c r="AM76" s="4853"/>
      <c r="AN76" s="4853"/>
      <c r="AO76" s="4853"/>
      <c r="AP76" s="1711"/>
      <c r="AQ76" s="1711"/>
      <c r="AR76" s="4758"/>
      <c r="AS76" s="4759"/>
      <c r="AT76" s="4759"/>
      <c r="AU76" s="4806"/>
      <c r="AV76" s="4806"/>
      <c r="AW76" s="4759"/>
      <c r="AX76" s="4759"/>
      <c r="AY76" s="4763"/>
      <c r="AZ76" s="1711"/>
      <c r="BA76" s="1711"/>
      <c r="BB76" s="4758"/>
      <c r="BC76" s="4759"/>
      <c r="BD76" s="4759"/>
      <c r="BE76" s="4805"/>
      <c r="BF76" s="4805"/>
      <c r="BG76" s="4759"/>
      <c r="BH76" s="4759"/>
      <c r="BI76" s="4763"/>
      <c r="BJ76" s="1711"/>
      <c r="BK76" s="1711"/>
      <c r="BL76" s="4758"/>
      <c r="BM76" s="4759"/>
      <c r="BN76" s="4759"/>
      <c r="BO76" s="4807"/>
      <c r="BP76" s="4807"/>
      <c r="BQ76" s="4759"/>
      <c r="BR76" s="4759"/>
      <c r="BS76" s="4763"/>
      <c r="BT76" s="1711"/>
      <c r="BU76" s="1711"/>
      <c r="BV76" s="1711"/>
      <c r="BW76" s="1725"/>
      <c r="BX76" s="23"/>
      <c r="BY76" s="822"/>
      <c r="BZ76" s="822"/>
      <c r="CA76" s="822"/>
      <c r="CB76" s="822"/>
      <c r="CC76" s="822"/>
      <c r="CD76" s="822"/>
      <c r="CE76" s="822"/>
      <c r="CF76" s="822"/>
      <c r="CG76" s="822"/>
      <c r="CH76" s="822"/>
      <c r="CI76" s="822"/>
      <c r="CJ76" s="822"/>
      <c r="CK76" s="822"/>
      <c r="CL76" s="822"/>
      <c r="CM76" s="822"/>
      <c r="CN76" s="822"/>
      <c r="CO76" s="822"/>
      <c r="CP76" s="822"/>
      <c r="CQ76" s="822"/>
      <c r="CR76" s="822"/>
      <c r="CS76" s="822"/>
      <c r="CT76" s="822"/>
      <c r="CU76" s="822"/>
      <c r="CV76" s="822"/>
      <c r="CW76" s="822"/>
      <c r="CX76" s="822"/>
      <c r="CY76" s="822"/>
      <c r="CZ76" s="822"/>
      <c r="DA76" s="822"/>
      <c r="DB76" s="822"/>
      <c r="DC76" s="822"/>
      <c r="DD76" s="822"/>
      <c r="DE76" s="822"/>
      <c r="DF76" s="822"/>
      <c r="DG76" s="822"/>
      <c r="DH76" s="822"/>
      <c r="DI76" s="822"/>
      <c r="DJ76" s="822"/>
      <c r="DK76" s="822"/>
      <c r="DL76" s="822"/>
      <c r="DM76" s="822"/>
      <c r="DN76" s="822"/>
      <c r="DO76" s="2297"/>
      <c r="DP76" s="2290"/>
      <c r="DQ76" s="2290"/>
      <c r="DR76" s="2290"/>
      <c r="DS76" s="2290"/>
      <c r="DT76" s="2290"/>
      <c r="DU76" s="2290"/>
      <c r="DV76" s="2290"/>
      <c r="DW76" s="2290"/>
      <c r="DX76" s="2290"/>
      <c r="DY76" s="2290"/>
      <c r="DZ76" s="2290"/>
      <c r="EA76" s="2290"/>
      <c r="EB76" s="2290"/>
      <c r="EC76" s="2291"/>
    </row>
    <row r="77" spans="5:133" ht="17.100000000000001" customHeight="1" x14ac:dyDescent="0.3">
      <c r="E77" s="1723"/>
      <c r="F77" s="1711"/>
      <c r="G77" s="1711"/>
      <c r="H77" s="1711"/>
      <c r="I77" s="4766"/>
      <c r="J77" s="4768"/>
      <c r="K77" s="4769"/>
      <c r="L77" s="4769"/>
      <c r="M77" s="4769"/>
      <c r="N77" s="4769"/>
      <c r="O77" s="4770"/>
      <c r="P77" s="4777"/>
      <c r="Q77" s="1711"/>
      <c r="R77" s="1711"/>
      <c r="S77" s="4766"/>
      <c r="T77" s="4768"/>
      <c r="U77" s="4769"/>
      <c r="V77" s="4769"/>
      <c r="W77" s="4769"/>
      <c r="X77" s="4769"/>
      <c r="Y77" s="4770"/>
      <c r="Z77" s="4777"/>
      <c r="AA77" s="1711"/>
      <c r="AB77" s="1711"/>
      <c r="AC77" s="4766"/>
      <c r="AD77" s="4768"/>
      <c r="AE77" s="4769"/>
      <c r="AF77" s="4769"/>
      <c r="AG77" s="4769"/>
      <c r="AH77" s="4769"/>
      <c r="AI77" s="4770"/>
      <c r="AJ77" s="4777"/>
      <c r="AK77" s="1711"/>
      <c r="AL77" s="1711"/>
      <c r="AM77" s="4853"/>
      <c r="AN77" s="4853"/>
      <c r="AO77" s="4853"/>
      <c r="AP77" s="1711"/>
      <c r="AQ77" s="1711"/>
      <c r="AR77" s="4766"/>
      <c r="AS77" s="4768"/>
      <c r="AT77" s="4769"/>
      <c r="AU77" s="4769"/>
      <c r="AV77" s="4769"/>
      <c r="AW77" s="4769"/>
      <c r="AX77" s="4770"/>
      <c r="AY77" s="4777"/>
      <c r="AZ77" s="1711"/>
      <c r="BA77" s="1711"/>
      <c r="BB77" s="4766"/>
      <c r="BC77" s="4768"/>
      <c r="BD77" s="4769"/>
      <c r="BE77" s="4769"/>
      <c r="BF77" s="4769"/>
      <c r="BG77" s="4769"/>
      <c r="BH77" s="4770"/>
      <c r="BI77" s="4777"/>
      <c r="BJ77" s="1711"/>
      <c r="BK77" s="1711"/>
      <c r="BL77" s="4766"/>
      <c r="BM77" s="4768"/>
      <c r="BN77" s="4769"/>
      <c r="BO77" s="4769"/>
      <c r="BP77" s="4769"/>
      <c r="BQ77" s="4769"/>
      <c r="BR77" s="4770"/>
      <c r="BS77" s="4777"/>
      <c r="BT77" s="1711"/>
      <c r="BU77" s="1711"/>
      <c r="BV77" s="1711"/>
      <c r="BW77" s="1725"/>
      <c r="BX77" s="23"/>
      <c r="BY77" s="822"/>
      <c r="BZ77" s="822"/>
      <c r="CA77" s="822"/>
      <c r="CB77" s="822"/>
      <c r="CC77" s="822"/>
      <c r="CD77" s="822"/>
      <c r="CE77" s="822"/>
      <c r="CF77" s="822"/>
      <c r="CG77" s="822"/>
      <c r="CH77" s="822"/>
      <c r="CI77" s="822"/>
      <c r="CJ77" s="822"/>
      <c r="CK77" s="822"/>
      <c r="CL77" s="822"/>
      <c r="CM77" s="822"/>
      <c r="CN77" s="822"/>
      <c r="CO77" s="822"/>
      <c r="CP77" s="822"/>
      <c r="CQ77" s="822"/>
      <c r="CR77" s="822"/>
      <c r="CS77" s="822"/>
      <c r="CT77" s="822"/>
      <c r="CU77" s="822"/>
      <c r="CV77" s="822"/>
      <c r="CW77" s="822"/>
      <c r="CX77" s="822"/>
      <c r="CY77" s="822"/>
      <c r="CZ77" s="822"/>
      <c r="DA77" s="822"/>
      <c r="DB77" s="822"/>
      <c r="DC77" s="822"/>
      <c r="DD77" s="822"/>
      <c r="DE77" s="822"/>
      <c r="DF77" s="822"/>
      <c r="DG77" s="822"/>
      <c r="DH77" s="822"/>
      <c r="DI77" s="822"/>
      <c r="DJ77" s="822"/>
      <c r="DK77" s="822"/>
      <c r="DL77" s="822"/>
      <c r="DM77" s="822"/>
      <c r="DN77" s="822"/>
      <c r="DO77" s="2297"/>
      <c r="DP77" s="2290"/>
      <c r="DQ77" s="2290"/>
      <c r="DR77" s="2290"/>
      <c r="DS77" s="2290"/>
      <c r="DT77" s="2290"/>
      <c r="DU77" s="2290"/>
      <c r="DV77" s="2290"/>
      <c r="DW77" s="2290"/>
      <c r="DX77" s="2290"/>
      <c r="DY77" s="2290"/>
      <c r="DZ77" s="2290"/>
      <c r="EA77" s="2290"/>
      <c r="EB77" s="2290"/>
      <c r="EC77" s="2291"/>
    </row>
    <row r="78" spans="5:133" ht="17.100000000000001" customHeight="1" x14ac:dyDescent="0.3">
      <c r="E78" s="1723"/>
      <c r="F78" s="1711"/>
      <c r="G78" s="1711"/>
      <c r="H78" s="1711"/>
      <c r="I78" s="4766"/>
      <c r="J78" s="4771"/>
      <c r="K78" s="4772"/>
      <c r="L78" s="4772"/>
      <c r="M78" s="4772"/>
      <c r="N78" s="4772"/>
      <c r="O78" s="4773"/>
      <c r="P78" s="4777"/>
      <c r="Q78" s="1711"/>
      <c r="R78" s="1711"/>
      <c r="S78" s="4766"/>
      <c r="T78" s="4771"/>
      <c r="U78" s="4772"/>
      <c r="V78" s="4772"/>
      <c r="W78" s="4772"/>
      <c r="X78" s="4772"/>
      <c r="Y78" s="4773"/>
      <c r="Z78" s="4777"/>
      <c r="AA78" s="1711"/>
      <c r="AB78" s="1711"/>
      <c r="AC78" s="4766"/>
      <c r="AD78" s="4771"/>
      <c r="AE78" s="4772"/>
      <c r="AF78" s="4772"/>
      <c r="AG78" s="4772"/>
      <c r="AH78" s="4772"/>
      <c r="AI78" s="4773"/>
      <c r="AJ78" s="4777"/>
      <c r="AK78" s="1711"/>
      <c r="AL78" s="1711"/>
      <c r="AM78" s="1276"/>
      <c r="AN78" s="2393" t="s">
        <v>710</v>
      </c>
      <c r="AO78" s="1278"/>
      <c r="AP78" s="1711"/>
      <c r="AQ78" s="1711"/>
      <c r="AR78" s="4766"/>
      <c r="AS78" s="4771"/>
      <c r="AT78" s="4772"/>
      <c r="AU78" s="4772"/>
      <c r="AV78" s="4772"/>
      <c r="AW78" s="4772"/>
      <c r="AX78" s="4773"/>
      <c r="AY78" s="4777"/>
      <c r="AZ78" s="1711"/>
      <c r="BA78" s="1711"/>
      <c r="BB78" s="4766"/>
      <c r="BC78" s="4771"/>
      <c r="BD78" s="4772"/>
      <c r="BE78" s="4772"/>
      <c r="BF78" s="4772"/>
      <c r="BG78" s="4772"/>
      <c r="BH78" s="4773"/>
      <c r="BI78" s="4777"/>
      <c r="BJ78" s="1711"/>
      <c r="BK78" s="1711"/>
      <c r="BL78" s="4766"/>
      <c r="BM78" s="4771"/>
      <c r="BN78" s="4772"/>
      <c r="BO78" s="4772"/>
      <c r="BP78" s="4772"/>
      <c r="BQ78" s="4772"/>
      <c r="BR78" s="4773"/>
      <c r="BS78" s="4777"/>
      <c r="BT78" s="1711"/>
      <c r="BU78" s="1711"/>
      <c r="BV78" s="1711"/>
      <c r="BW78" s="1725"/>
      <c r="BX78" s="23"/>
      <c r="BY78" s="822"/>
      <c r="BZ78" s="822"/>
      <c r="CA78" s="822"/>
      <c r="CB78" s="822"/>
      <c r="CC78" s="822"/>
      <c r="CD78" s="822"/>
      <c r="CE78" s="822"/>
      <c r="CF78" s="822"/>
      <c r="CG78" s="822"/>
      <c r="CH78" s="822"/>
      <c r="CI78" s="822"/>
      <c r="CJ78" s="822"/>
      <c r="CK78" s="822"/>
      <c r="CL78" s="822"/>
      <c r="CM78" s="822"/>
      <c r="CN78" s="822"/>
      <c r="CO78" s="822"/>
      <c r="CP78" s="822"/>
      <c r="CQ78" s="822"/>
      <c r="CR78" s="822"/>
      <c r="CS78" s="822"/>
      <c r="CT78" s="822"/>
      <c r="CU78" s="822"/>
      <c r="CV78" s="822"/>
      <c r="CW78" s="822"/>
      <c r="CX78" s="822"/>
      <c r="CY78" s="822"/>
      <c r="CZ78" s="822"/>
      <c r="DA78" s="822"/>
      <c r="DB78" s="822"/>
      <c r="DC78" s="822"/>
      <c r="DD78" s="822"/>
      <c r="DE78" s="822"/>
      <c r="DF78" s="822"/>
      <c r="DG78" s="822"/>
      <c r="DH78" s="822"/>
      <c r="DI78" s="822"/>
      <c r="DJ78" s="822"/>
      <c r="DK78" s="822"/>
      <c r="DL78" s="822"/>
      <c r="DM78" s="822"/>
      <c r="DN78" s="822"/>
      <c r="DO78" s="2297"/>
      <c r="DP78" s="2290"/>
      <c r="DQ78" s="2290"/>
      <c r="DR78" s="2290"/>
      <c r="DS78" s="2290"/>
      <c r="DT78" s="2290"/>
      <c r="DU78" s="2290"/>
      <c r="DV78" s="2290"/>
      <c r="DW78" s="2290"/>
      <c r="DX78" s="2290"/>
      <c r="DY78" s="2290"/>
      <c r="DZ78" s="2290"/>
      <c r="EA78" s="2290"/>
      <c r="EB78" s="2290"/>
      <c r="EC78" s="2291"/>
    </row>
    <row r="79" spans="5:133" ht="17.100000000000001" customHeight="1" x14ac:dyDescent="0.3">
      <c r="E79" s="1723"/>
      <c r="F79" s="1711"/>
      <c r="G79" s="1711"/>
      <c r="H79" s="1711"/>
      <c r="I79" s="4766"/>
      <c r="J79" s="4774"/>
      <c r="K79" s="4775"/>
      <c r="L79" s="4775"/>
      <c r="M79" s="4775"/>
      <c r="N79" s="4775"/>
      <c r="O79" s="4776"/>
      <c r="P79" s="4777"/>
      <c r="Q79" s="1711"/>
      <c r="R79" s="1711"/>
      <c r="S79" s="4766"/>
      <c r="T79" s="4774"/>
      <c r="U79" s="4775"/>
      <c r="V79" s="4775"/>
      <c r="W79" s="4775"/>
      <c r="X79" s="4775"/>
      <c r="Y79" s="4776"/>
      <c r="Z79" s="4777"/>
      <c r="AA79" s="1711"/>
      <c r="AB79" s="1711"/>
      <c r="AC79" s="4766"/>
      <c r="AD79" s="4774"/>
      <c r="AE79" s="4775"/>
      <c r="AF79" s="4775"/>
      <c r="AG79" s="4775"/>
      <c r="AH79" s="4775"/>
      <c r="AI79" s="4776"/>
      <c r="AJ79" s="4777"/>
      <c r="AK79" s="1711"/>
      <c r="AL79" s="1711"/>
      <c r="AM79" s="1276"/>
      <c r="AN79" s="2394" t="s">
        <v>941</v>
      </c>
      <c r="AO79" s="1278"/>
      <c r="AP79" s="1711"/>
      <c r="AQ79" s="1711"/>
      <c r="AR79" s="4766"/>
      <c r="AS79" s="4774"/>
      <c r="AT79" s="4775"/>
      <c r="AU79" s="4775"/>
      <c r="AV79" s="4775"/>
      <c r="AW79" s="4775"/>
      <c r="AX79" s="4776"/>
      <c r="AY79" s="4777"/>
      <c r="AZ79" s="1711"/>
      <c r="BA79" s="1711"/>
      <c r="BB79" s="4766"/>
      <c r="BC79" s="4774"/>
      <c r="BD79" s="4775"/>
      <c r="BE79" s="4775"/>
      <c r="BF79" s="4775"/>
      <c r="BG79" s="4775"/>
      <c r="BH79" s="4776"/>
      <c r="BI79" s="4777"/>
      <c r="BJ79" s="1711"/>
      <c r="BK79" s="1711"/>
      <c r="BL79" s="4766"/>
      <c r="BM79" s="4774"/>
      <c r="BN79" s="4775"/>
      <c r="BO79" s="4775"/>
      <c r="BP79" s="4775"/>
      <c r="BQ79" s="4775"/>
      <c r="BR79" s="4776"/>
      <c r="BS79" s="4777"/>
      <c r="BT79" s="1711"/>
      <c r="BU79" s="1711"/>
      <c r="BV79" s="1711"/>
      <c r="BW79" s="1725"/>
      <c r="BX79" s="23"/>
      <c r="BY79" s="822"/>
      <c r="BZ79" s="822"/>
      <c r="CA79" s="822"/>
      <c r="CB79" s="822"/>
      <c r="CC79" s="822"/>
      <c r="CD79" s="822"/>
      <c r="CE79" s="822"/>
      <c r="CF79" s="822"/>
      <c r="CG79" s="822"/>
      <c r="CH79" s="822"/>
      <c r="CI79" s="822"/>
      <c r="CJ79" s="822"/>
      <c r="CK79" s="822"/>
      <c r="CL79" s="822"/>
      <c r="CM79" s="822"/>
      <c r="CN79" s="822"/>
      <c r="CO79" s="822"/>
      <c r="CP79" s="822"/>
      <c r="CQ79" s="822"/>
      <c r="CR79" s="822"/>
      <c r="CS79" s="822"/>
      <c r="CT79" s="822"/>
      <c r="CU79" s="822"/>
      <c r="CV79" s="822"/>
      <c r="CW79" s="822"/>
      <c r="CX79" s="822"/>
      <c r="CY79" s="822"/>
      <c r="CZ79" s="822"/>
      <c r="DA79" s="822"/>
      <c r="DB79" s="822"/>
      <c r="DC79" s="822"/>
      <c r="DD79" s="822"/>
      <c r="DE79" s="822"/>
      <c r="DF79" s="822"/>
      <c r="DG79" s="822"/>
      <c r="DH79" s="822"/>
      <c r="DI79" s="822"/>
      <c r="DJ79" s="822"/>
      <c r="DK79" s="822"/>
      <c r="DL79" s="822"/>
      <c r="DM79" s="822"/>
      <c r="DN79" s="822"/>
      <c r="DO79" s="2297"/>
      <c r="DP79" s="2290"/>
      <c r="DQ79" s="2290"/>
      <c r="DR79" s="2290"/>
      <c r="DS79" s="2290"/>
      <c r="DT79" s="2290"/>
      <c r="DU79" s="2290"/>
      <c r="DV79" s="2290"/>
      <c r="DW79" s="2290"/>
      <c r="DX79" s="2290"/>
      <c r="DY79" s="2290"/>
      <c r="DZ79" s="2290"/>
      <c r="EA79" s="2290"/>
      <c r="EB79" s="2290"/>
      <c r="EC79" s="2291"/>
    </row>
    <row r="80" spans="5:133" ht="17.100000000000001" customHeight="1" thickBot="1" x14ac:dyDescent="0.35">
      <c r="E80" s="1723"/>
      <c r="F80" s="1711"/>
      <c r="G80" s="1711"/>
      <c r="H80" s="1711"/>
      <c r="I80" s="4767"/>
      <c r="J80" s="4789"/>
      <c r="K80" s="4789"/>
      <c r="L80" s="4789"/>
      <c r="M80" s="4789"/>
      <c r="N80" s="4789"/>
      <c r="O80" s="4789"/>
      <c r="P80" s="4778"/>
      <c r="Q80" s="1711"/>
      <c r="R80" s="1711"/>
      <c r="S80" s="4767"/>
      <c r="T80" s="4789"/>
      <c r="U80" s="4789"/>
      <c r="V80" s="4789"/>
      <c r="W80" s="4789"/>
      <c r="X80" s="4789"/>
      <c r="Y80" s="4789"/>
      <c r="Z80" s="4778"/>
      <c r="AA80" s="1711"/>
      <c r="AB80" s="1711"/>
      <c r="AC80" s="4767"/>
      <c r="AD80" s="4789"/>
      <c r="AE80" s="4789"/>
      <c r="AF80" s="4789"/>
      <c r="AG80" s="4789"/>
      <c r="AH80" s="4789"/>
      <c r="AI80" s="4789"/>
      <c r="AJ80" s="4778"/>
      <c r="AK80" s="1711"/>
      <c r="AL80" s="1711"/>
      <c r="AM80" s="1276"/>
      <c r="AN80" s="2393" t="s">
        <v>144</v>
      </c>
      <c r="AO80" s="1278"/>
      <c r="AP80" s="1711"/>
      <c r="AQ80" s="1711"/>
      <c r="AR80" s="4767"/>
      <c r="AS80" s="4789"/>
      <c r="AT80" s="4789"/>
      <c r="AU80" s="4789"/>
      <c r="AV80" s="4789"/>
      <c r="AW80" s="4789"/>
      <c r="AX80" s="4789"/>
      <c r="AY80" s="4778"/>
      <c r="AZ80" s="1711"/>
      <c r="BA80" s="1711"/>
      <c r="BB80" s="4767"/>
      <c r="BC80" s="4789"/>
      <c r="BD80" s="4789"/>
      <c r="BE80" s="4789"/>
      <c r="BF80" s="4789"/>
      <c r="BG80" s="4789"/>
      <c r="BH80" s="4789"/>
      <c r="BI80" s="4778"/>
      <c r="BJ80" s="1711"/>
      <c r="BK80" s="1711"/>
      <c r="BL80" s="4767"/>
      <c r="BM80" s="4789"/>
      <c r="BN80" s="4789"/>
      <c r="BO80" s="4789"/>
      <c r="BP80" s="4789"/>
      <c r="BQ80" s="4789"/>
      <c r="BR80" s="4789"/>
      <c r="BS80" s="4778"/>
      <c r="BT80" s="1711"/>
      <c r="BU80" s="1711"/>
      <c r="BV80" s="1711"/>
      <c r="BW80" s="1725"/>
      <c r="BX80" s="23"/>
      <c r="BY80" s="822"/>
      <c r="BZ80" s="822"/>
      <c r="CA80" s="822"/>
      <c r="CB80" s="822"/>
      <c r="CC80" s="822"/>
      <c r="CD80" s="822"/>
      <c r="CE80" s="822"/>
      <c r="CF80" s="822"/>
      <c r="CG80" s="822"/>
      <c r="CH80" s="822"/>
      <c r="CI80" s="822"/>
      <c r="CJ80" s="822"/>
      <c r="CK80" s="822"/>
      <c r="CL80" s="822"/>
      <c r="CM80" s="822"/>
      <c r="CN80" s="822"/>
      <c r="CO80" s="822"/>
      <c r="CP80" s="822"/>
      <c r="CQ80" s="822"/>
      <c r="CR80" s="822"/>
      <c r="CS80" s="822"/>
      <c r="CT80" s="822"/>
      <c r="CU80" s="822"/>
      <c r="CV80" s="822"/>
      <c r="CW80" s="822"/>
      <c r="CX80" s="822"/>
      <c r="CY80" s="822"/>
      <c r="CZ80" s="822"/>
      <c r="DA80" s="822"/>
      <c r="DB80" s="822"/>
      <c r="DC80" s="822"/>
      <c r="DD80" s="822"/>
      <c r="DE80" s="822"/>
      <c r="DF80" s="822"/>
      <c r="DG80" s="822"/>
      <c r="DH80" s="822"/>
      <c r="DI80" s="822"/>
      <c r="DJ80" s="822"/>
      <c r="DK80" s="822"/>
      <c r="DL80" s="822"/>
      <c r="DM80" s="822"/>
      <c r="DN80" s="822"/>
      <c r="DO80" s="2297"/>
      <c r="DP80" s="2290"/>
      <c r="DQ80" s="2290"/>
      <c r="DR80" s="2290"/>
      <c r="DS80" s="2290"/>
      <c r="DT80" s="2290"/>
      <c r="DU80" s="2290"/>
      <c r="DV80" s="2290"/>
      <c r="DW80" s="2290"/>
      <c r="DX80" s="2290"/>
      <c r="DY80" s="2290"/>
      <c r="DZ80" s="2290"/>
      <c r="EA80" s="2290"/>
      <c r="EB80" s="2290"/>
      <c r="EC80" s="2291"/>
    </row>
    <row r="81" spans="5:133" ht="17.100000000000001" customHeight="1" thickTop="1" x14ac:dyDescent="0.3">
      <c r="E81" s="1723"/>
      <c r="F81" s="1711"/>
      <c r="G81" s="1711"/>
      <c r="H81" s="1711"/>
      <c r="I81" s="1711"/>
      <c r="J81" s="1711"/>
      <c r="K81" s="1711"/>
      <c r="L81" s="1711"/>
      <c r="M81" s="1711"/>
      <c r="N81" s="1711"/>
      <c r="O81" s="1711"/>
      <c r="P81" s="1711"/>
      <c r="Q81" s="1711"/>
      <c r="R81" s="1711"/>
      <c r="S81" s="1711"/>
      <c r="T81" s="1711"/>
      <c r="U81" s="1711"/>
      <c r="V81" s="1711"/>
      <c r="W81" s="1711"/>
      <c r="X81" s="1711"/>
      <c r="Y81" s="1711"/>
      <c r="Z81" s="1711"/>
      <c r="AA81" s="1711"/>
      <c r="AB81" s="1711"/>
      <c r="AC81" s="1711"/>
      <c r="AD81" s="1711"/>
      <c r="AE81" s="1711"/>
      <c r="AF81" s="1711"/>
      <c r="AG81" s="1711"/>
      <c r="AH81" s="1711"/>
      <c r="AI81" s="1711"/>
      <c r="AJ81" s="1711"/>
      <c r="AK81" s="1711"/>
      <c r="AL81" s="1711"/>
      <c r="AM81" s="1276"/>
      <c r="AN81" s="2393" t="s">
        <v>939</v>
      </c>
      <c r="AO81" s="1278"/>
      <c r="AP81" s="1711"/>
      <c r="AQ81" s="1711"/>
      <c r="AR81" s="1711"/>
      <c r="AS81" s="1711"/>
      <c r="AT81" s="1711"/>
      <c r="AU81" s="1711"/>
      <c r="AV81" s="1711"/>
      <c r="AW81" s="1711"/>
      <c r="AX81" s="1711"/>
      <c r="AY81" s="1711"/>
      <c r="AZ81" s="1711"/>
      <c r="BA81" s="1711"/>
      <c r="BB81" s="1711"/>
      <c r="BC81" s="1711"/>
      <c r="BD81" s="1711"/>
      <c r="BE81" s="1711"/>
      <c r="BF81" s="1711"/>
      <c r="BG81" s="1711"/>
      <c r="BH81" s="1711"/>
      <c r="BI81" s="1711"/>
      <c r="BJ81" s="1711"/>
      <c r="BK81" s="1711"/>
      <c r="BL81" s="1711"/>
      <c r="BM81" s="1711"/>
      <c r="BN81" s="1711"/>
      <c r="BO81" s="1711"/>
      <c r="BP81" s="1711"/>
      <c r="BQ81" s="1711"/>
      <c r="BR81" s="1711"/>
      <c r="BS81" s="1711"/>
      <c r="BT81" s="1711"/>
      <c r="BU81" s="1711"/>
      <c r="BV81" s="1711"/>
      <c r="BW81" s="1725"/>
      <c r="BX81" s="23"/>
      <c r="BY81" s="822"/>
      <c r="BZ81" s="822"/>
      <c r="CA81" s="822"/>
      <c r="CB81" s="822"/>
      <c r="CC81" s="822"/>
      <c r="CD81" s="822"/>
      <c r="CE81" s="822"/>
      <c r="CF81" s="822"/>
      <c r="CG81" s="822"/>
      <c r="CH81" s="822"/>
      <c r="CI81" s="822"/>
      <c r="CJ81" s="822"/>
      <c r="CK81" s="822"/>
      <c r="CL81" s="822"/>
      <c r="CM81" s="822"/>
      <c r="CN81" s="822"/>
      <c r="CO81" s="822"/>
      <c r="CP81" s="822"/>
      <c r="CQ81" s="822"/>
      <c r="CR81" s="822"/>
      <c r="CS81" s="822"/>
      <c r="CT81" s="822"/>
      <c r="CU81" s="822"/>
      <c r="CV81" s="822"/>
      <c r="CW81" s="822"/>
      <c r="CX81" s="822"/>
      <c r="CY81" s="822"/>
      <c r="CZ81" s="822"/>
      <c r="DA81" s="822"/>
      <c r="DB81" s="822"/>
      <c r="DC81" s="822"/>
      <c r="DD81" s="822"/>
      <c r="DE81" s="822"/>
      <c r="DF81" s="822"/>
      <c r="DG81" s="822"/>
      <c r="DH81" s="822"/>
      <c r="DI81" s="822"/>
      <c r="DJ81" s="822"/>
      <c r="DK81" s="822"/>
      <c r="DL81" s="822"/>
      <c r="DM81" s="822"/>
      <c r="DN81" s="822"/>
      <c r="DO81" s="2297"/>
      <c r="DP81" s="2290"/>
      <c r="DQ81" s="2290"/>
      <c r="DR81" s="2290"/>
      <c r="DS81" s="2290"/>
      <c r="DT81" s="2290"/>
      <c r="DU81" s="2290"/>
      <c r="DV81" s="2290"/>
      <c r="DW81" s="2290"/>
      <c r="DX81" s="2290"/>
      <c r="DY81" s="2290"/>
      <c r="DZ81" s="2290"/>
      <c r="EA81" s="2290"/>
      <c r="EB81" s="2290"/>
      <c r="EC81" s="2291"/>
    </row>
    <row r="82" spans="5:133" ht="17.100000000000001" customHeight="1" thickBot="1" x14ac:dyDescent="0.35">
      <c r="E82" s="1723"/>
      <c r="F82" s="1711"/>
      <c r="G82" s="1711"/>
      <c r="H82" s="1711"/>
      <c r="I82" s="1711"/>
      <c r="J82" s="1711"/>
      <c r="K82" s="1711"/>
      <c r="L82" s="1711"/>
      <c r="M82" s="1711"/>
      <c r="N82" s="1711"/>
      <c r="O82" s="1711"/>
      <c r="P82" s="1711"/>
      <c r="Q82" s="1711"/>
      <c r="R82" s="1711"/>
      <c r="S82" s="1711"/>
      <c r="T82" s="1711"/>
      <c r="U82" s="1711"/>
      <c r="V82" s="1711"/>
      <c r="W82" s="1711"/>
      <c r="X82" s="1711"/>
      <c r="Y82" s="1711"/>
      <c r="Z82" s="1711"/>
      <c r="AA82" s="1711"/>
      <c r="AB82" s="1711"/>
      <c r="AC82" s="1711"/>
      <c r="AD82" s="1711"/>
      <c r="AE82" s="1711"/>
      <c r="AF82" s="1711"/>
      <c r="AG82" s="1711"/>
      <c r="AH82" s="1711"/>
      <c r="AI82" s="1711"/>
      <c r="AJ82" s="1711"/>
      <c r="AK82" s="1711"/>
      <c r="AL82" s="1711"/>
      <c r="AM82" s="1276"/>
      <c r="AN82" s="2394" t="s">
        <v>942</v>
      </c>
      <c r="AO82" s="1278"/>
      <c r="AP82" s="1711"/>
      <c r="AQ82" s="1711"/>
      <c r="AR82" s="1711"/>
      <c r="AS82" s="1711"/>
      <c r="AT82" s="1711"/>
      <c r="AU82" s="1711"/>
      <c r="AV82" s="1711"/>
      <c r="AW82" s="1711"/>
      <c r="AX82" s="1711"/>
      <c r="AY82" s="1711"/>
      <c r="AZ82" s="1711"/>
      <c r="BA82" s="1711"/>
      <c r="BB82" s="1711"/>
      <c r="BC82" s="1711"/>
      <c r="BD82" s="1711"/>
      <c r="BE82" s="1711"/>
      <c r="BF82" s="1711"/>
      <c r="BG82" s="1711"/>
      <c r="BH82" s="1711"/>
      <c r="BI82" s="1711"/>
      <c r="BJ82" s="1711"/>
      <c r="BK82" s="1711"/>
      <c r="BL82" s="1711"/>
      <c r="BM82" s="1711"/>
      <c r="BN82" s="1711"/>
      <c r="BO82" s="1711"/>
      <c r="BP82" s="1711"/>
      <c r="BQ82" s="1711"/>
      <c r="BR82" s="1711"/>
      <c r="BS82" s="1711"/>
      <c r="BT82" s="1711"/>
      <c r="BU82" s="1711"/>
      <c r="BV82" s="1711"/>
      <c r="BW82" s="1725"/>
      <c r="BX82" s="23"/>
      <c r="BY82" s="822"/>
      <c r="BZ82" s="822"/>
      <c r="CA82" s="822"/>
      <c r="CB82" s="822"/>
      <c r="CC82" s="822"/>
      <c r="CD82" s="822"/>
      <c r="CE82" s="822"/>
      <c r="CF82" s="822"/>
      <c r="CG82" s="822"/>
      <c r="CH82" s="822"/>
      <c r="CI82" s="822"/>
      <c r="CJ82" s="822"/>
      <c r="CK82" s="822"/>
      <c r="CL82" s="822"/>
      <c r="CM82" s="822"/>
      <c r="CN82" s="822"/>
      <c r="CO82" s="822"/>
      <c r="CP82" s="822"/>
      <c r="CQ82" s="822"/>
      <c r="CR82" s="822"/>
      <c r="CS82" s="822"/>
      <c r="CT82" s="822"/>
      <c r="CU82" s="822"/>
      <c r="CV82" s="822"/>
      <c r="CW82" s="822"/>
      <c r="CX82" s="822"/>
      <c r="CY82" s="822"/>
      <c r="CZ82" s="822"/>
      <c r="DA82" s="822"/>
      <c r="DB82" s="822"/>
      <c r="DC82" s="822"/>
      <c r="DD82" s="822"/>
      <c r="DE82" s="822"/>
      <c r="DF82" s="822"/>
      <c r="DG82" s="822"/>
      <c r="DH82" s="822"/>
      <c r="DI82" s="822"/>
      <c r="DJ82" s="822"/>
      <c r="DK82" s="822"/>
      <c r="DL82" s="822"/>
      <c r="DM82" s="822"/>
      <c r="DN82" s="822"/>
      <c r="DO82" s="2297"/>
      <c r="DP82" s="2290"/>
      <c r="DQ82" s="2290"/>
      <c r="DR82" s="2290"/>
      <c r="DS82" s="2290"/>
      <c r="DT82" s="2290"/>
      <c r="DU82" s="2290"/>
      <c r="DV82" s="2290"/>
      <c r="DW82" s="2290"/>
      <c r="DX82" s="2290"/>
      <c r="DY82" s="2290"/>
      <c r="DZ82" s="2290"/>
      <c r="EA82" s="2290"/>
      <c r="EB82" s="2290"/>
      <c r="EC82" s="2291"/>
    </row>
    <row r="83" spans="5:133" ht="17.100000000000001" customHeight="1" thickTop="1" x14ac:dyDescent="0.3">
      <c r="E83" s="1723"/>
      <c r="F83" s="1711"/>
      <c r="G83" s="1711"/>
      <c r="H83" s="1711"/>
      <c r="I83" s="4756" t="s">
        <v>72</v>
      </c>
      <c r="J83" s="4757"/>
      <c r="K83" s="4757"/>
      <c r="L83" s="4787" t="s">
        <v>941</v>
      </c>
      <c r="M83" s="4801"/>
      <c r="N83" s="4757" t="s">
        <v>72</v>
      </c>
      <c r="O83" s="4757"/>
      <c r="P83" s="4762"/>
      <c r="Q83" s="1711"/>
      <c r="R83" s="1711"/>
      <c r="S83" s="4756" t="s">
        <v>72</v>
      </c>
      <c r="T83" s="4757"/>
      <c r="U83" s="4757"/>
      <c r="V83" s="4783" t="s">
        <v>941</v>
      </c>
      <c r="W83" s="4799"/>
      <c r="X83" s="4757" t="s">
        <v>72</v>
      </c>
      <c r="Y83" s="4757"/>
      <c r="Z83" s="4762"/>
      <c r="AA83" s="1711"/>
      <c r="AB83" s="1711"/>
      <c r="AC83" s="4756" t="s">
        <v>72</v>
      </c>
      <c r="AD83" s="4757"/>
      <c r="AE83" s="4757"/>
      <c r="AF83" s="4785" t="s">
        <v>941</v>
      </c>
      <c r="AG83" s="4803"/>
      <c r="AH83" s="4757" t="s">
        <v>72</v>
      </c>
      <c r="AI83" s="4757"/>
      <c r="AJ83" s="4762"/>
      <c r="AK83" s="1711"/>
      <c r="AL83" s="1711"/>
      <c r="AM83" s="1276"/>
      <c r="AN83" s="2393" t="s">
        <v>940</v>
      </c>
      <c r="AO83" s="1278"/>
      <c r="AP83" s="1711"/>
      <c r="AQ83" s="1711"/>
      <c r="AR83" s="4756" t="s">
        <v>72</v>
      </c>
      <c r="AS83" s="4757"/>
      <c r="AT83" s="4757"/>
      <c r="AU83" s="4785" t="s">
        <v>942</v>
      </c>
      <c r="AV83" s="4803"/>
      <c r="AW83" s="4757" t="s">
        <v>72</v>
      </c>
      <c r="AX83" s="4757"/>
      <c r="AY83" s="4762"/>
      <c r="AZ83" s="1711"/>
      <c r="BA83" s="1711"/>
      <c r="BB83" s="4756" t="s">
        <v>72</v>
      </c>
      <c r="BC83" s="4757"/>
      <c r="BD83" s="4757"/>
      <c r="BE83" s="4783" t="s">
        <v>942</v>
      </c>
      <c r="BF83" s="4799"/>
      <c r="BG83" s="4757" t="s">
        <v>72</v>
      </c>
      <c r="BH83" s="4757"/>
      <c r="BI83" s="4762"/>
      <c r="BJ83" s="1711"/>
      <c r="BK83" s="1711"/>
      <c r="BL83" s="4756" t="s">
        <v>72</v>
      </c>
      <c r="BM83" s="4757"/>
      <c r="BN83" s="4757"/>
      <c r="BO83" s="4787" t="s">
        <v>942</v>
      </c>
      <c r="BP83" s="4801"/>
      <c r="BQ83" s="4757" t="s">
        <v>72</v>
      </c>
      <c r="BR83" s="4757"/>
      <c r="BS83" s="4762"/>
      <c r="BT83" s="1711"/>
      <c r="BU83" s="1711"/>
      <c r="BV83" s="1711"/>
      <c r="BW83" s="1725"/>
      <c r="BX83" s="23"/>
      <c r="BY83" s="822"/>
      <c r="BZ83" s="822"/>
      <c r="CA83" s="822"/>
      <c r="CB83" s="822"/>
      <c r="CC83" s="822"/>
      <c r="CD83" s="822"/>
      <c r="CE83" s="822"/>
      <c r="CF83" s="822"/>
      <c r="CG83" s="822"/>
      <c r="CH83" s="822"/>
      <c r="CI83" s="822"/>
      <c r="CJ83" s="822"/>
      <c r="CK83" s="822"/>
      <c r="CL83" s="822"/>
      <c r="CM83" s="822"/>
      <c r="CN83" s="822"/>
      <c r="CO83" s="822"/>
      <c r="CP83" s="822"/>
      <c r="CQ83" s="822"/>
      <c r="CR83" s="822"/>
      <c r="CS83" s="822"/>
      <c r="CT83" s="822"/>
      <c r="CU83" s="822"/>
      <c r="CV83" s="822"/>
      <c r="CW83" s="822"/>
      <c r="CX83" s="822"/>
      <c r="CY83" s="822"/>
      <c r="CZ83" s="822"/>
      <c r="DA83" s="822"/>
      <c r="DB83" s="822"/>
      <c r="DC83" s="822"/>
      <c r="DD83" s="822"/>
      <c r="DE83" s="822"/>
      <c r="DF83" s="822"/>
      <c r="DG83" s="822"/>
      <c r="DH83" s="822"/>
      <c r="DI83" s="822"/>
      <c r="DJ83" s="822"/>
      <c r="DK83" s="822"/>
      <c r="DL83" s="822"/>
      <c r="DM83" s="822"/>
      <c r="DN83" s="822"/>
      <c r="DO83" s="2297"/>
      <c r="DP83" s="2290"/>
      <c r="DQ83" s="2290"/>
      <c r="DR83" s="2290"/>
      <c r="DS83" s="2290"/>
      <c r="DT83" s="2290"/>
      <c r="DU83" s="2290"/>
      <c r="DV83" s="2290"/>
      <c r="DW83" s="2290"/>
      <c r="DX83" s="2290"/>
      <c r="DY83" s="2290"/>
      <c r="DZ83" s="2290"/>
      <c r="EA83" s="2290"/>
      <c r="EB83" s="2290"/>
      <c r="EC83" s="2291"/>
    </row>
    <row r="84" spans="5:133" ht="17.100000000000001" customHeight="1" x14ac:dyDescent="0.3">
      <c r="E84" s="1723"/>
      <c r="F84" s="1711"/>
      <c r="G84" s="1711"/>
      <c r="H84" s="1711"/>
      <c r="I84" s="4758"/>
      <c r="J84" s="4759"/>
      <c r="K84" s="4759"/>
      <c r="L84" s="4802"/>
      <c r="M84" s="4802"/>
      <c r="N84" s="4759"/>
      <c r="O84" s="4759"/>
      <c r="P84" s="4763"/>
      <c r="Q84" s="1711"/>
      <c r="R84" s="1711"/>
      <c r="S84" s="4758"/>
      <c r="T84" s="4759"/>
      <c r="U84" s="4759"/>
      <c r="V84" s="4800"/>
      <c r="W84" s="4800"/>
      <c r="X84" s="4759"/>
      <c r="Y84" s="4759"/>
      <c r="Z84" s="4763"/>
      <c r="AA84" s="1711"/>
      <c r="AB84" s="1711"/>
      <c r="AC84" s="4758"/>
      <c r="AD84" s="4759"/>
      <c r="AE84" s="4759"/>
      <c r="AF84" s="4804"/>
      <c r="AG84" s="4804"/>
      <c r="AH84" s="4759"/>
      <c r="AI84" s="4759"/>
      <c r="AJ84" s="4763"/>
      <c r="AK84" s="1711"/>
      <c r="AL84" s="1711"/>
      <c r="AM84" s="1276"/>
      <c r="AN84" s="2393" t="s">
        <v>710</v>
      </c>
      <c r="AO84" s="1278"/>
      <c r="AP84" s="1711"/>
      <c r="AQ84" s="1711"/>
      <c r="AR84" s="4758"/>
      <c r="AS84" s="4759"/>
      <c r="AT84" s="4759"/>
      <c r="AU84" s="4804"/>
      <c r="AV84" s="4804"/>
      <c r="AW84" s="4759"/>
      <c r="AX84" s="4759"/>
      <c r="AY84" s="4763"/>
      <c r="AZ84" s="1711"/>
      <c r="BA84" s="1711"/>
      <c r="BB84" s="4758"/>
      <c r="BC84" s="4759"/>
      <c r="BD84" s="4759"/>
      <c r="BE84" s="4800"/>
      <c r="BF84" s="4800"/>
      <c r="BG84" s="4759"/>
      <c r="BH84" s="4759"/>
      <c r="BI84" s="4763"/>
      <c r="BJ84" s="1711"/>
      <c r="BK84" s="1711"/>
      <c r="BL84" s="4758"/>
      <c r="BM84" s="4759"/>
      <c r="BN84" s="4759"/>
      <c r="BO84" s="4802"/>
      <c r="BP84" s="4802"/>
      <c r="BQ84" s="4759"/>
      <c r="BR84" s="4759"/>
      <c r="BS84" s="4763"/>
      <c r="BT84" s="1711"/>
      <c r="BU84" s="1711"/>
      <c r="BV84" s="1711"/>
      <c r="BW84" s="1725"/>
      <c r="BX84" s="23"/>
      <c r="BY84" s="822"/>
      <c r="BZ84" s="822"/>
      <c r="CA84" s="822"/>
      <c r="CB84" s="822"/>
      <c r="CC84" s="822"/>
      <c r="CD84" s="822"/>
      <c r="CE84" s="822"/>
      <c r="CF84" s="822"/>
      <c r="CG84" s="822"/>
      <c r="CH84" s="822"/>
      <c r="CI84" s="822"/>
      <c r="CJ84" s="822"/>
      <c r="CK84" s="822"/>
      <c r="CL84" s="822"/>
      <c r="CM84" s="822"/>
      <c r="CN84" s="822"/>
      <c r="CO84" s="822"/>
      <c r="CP84" s="822"/>
      <c r="CQ84" s="822"/>
      <c r="CR84" s="822"/>
      <c r="CS84" s="822"/>
      <c r="CT84" s="822"/>
      <c r="CU84" s="822"/>
      <c r="CV84" s="822"/>
      <c r="CW84" s="822"/>
      <c r="CX84" s="822"/>
      <c r="CY84" s="822"/>
      <c r="CZ84" s="822"/>
      <c r="DA84" s="822"/>
      <c r="DB84" s="822"/>
      <c r="DC84" s="822"/>
      <c r="DD84" s="822"/>
      <c r="DE84" s="822"/>
      <c r="DF84" s="822"/>
      <c r="DG84" s="822"/>
      <c r="DH84" s="822"/>
      <c r="DI84" s="822"/>
      <c r="DJ84" s="822"/>
      <c r="DK84" s="822"/>
      <c r="DL84" s="822"/>
      <c r="DM84" s="822"/>
      <c r="DN84" s="822"/>
      <c r="DO84" s="2297"/>
      <c r="DP84" s="2290"/>
      <c r="DQ84" s="2290"/>
      <c r="DR84" s="2290"/>
      <c r="DS84" s="2290"/>
      <c r="DT84" s="2290"/>
      <c r="DU84" s="2290"/>
      <c r="DV84" s="2290"/>
      <c r="DW84" s="2290"/>
      <c r="DX84" s="2290"/>
      <c r="DY84" s="2290"/>
      <c r="DZ84" s="2290"/>
      <c r="EA84" s="2290"/>
      <c r="EB84" s="2290"/>
      <c r="EC84" s="2291"/>
    </row>
    <row r="85" spans="5:133" ht="17.100000000000001" customHeight="1" x14ac:dyDescent="0.3">
      <c r="E85" s="1723"/>
      <c r="F85" s="1711"/>
      <c r="G85" s="1711"/>
      <c r="H85" s="1711"/>
      <c r="I85" s="4766"/>
      <c r="J85" s="4768"/>
      <c r="K85" s="4769"/>
      <c r="L85" s="4769"/>
      <c r="M85" s="4769"/>
      <c r="N85" s="4769"/>
      <c r="O85" s="4770"/>
      <c r="P85" s="4777"/>
      <c r="Q85" s="1711"/>
      <c r="R85" s="1711"/>
      <c r="S85" s="4766"/>
      <c r="T85" s="4768"/>
      <c r="U85" s="4769"/>
      <c r="V85" s="4769"/>
      <c r="W85" s="4769"/>
      <c r="X85" s="4769"/>
      <c r="Y85" s="4770"/>
      <c r="Z85" s="4777"/>
      <c r="AA85" s="1711"/>
      <c r="AB85" s="1711"/>
      <c r="AC85" s="4766"/>
      <c r="AD85" s="4768"/>
      <c r="AE85" s="4769"/>
      <c r="AF85" s="4769"/>
      <c r="AG85" s="4769"/>
      <c r="AH85" s="4769"/>
      <c r="AI85" s="4770"/>
      <c r="AJ85" s="4777"/>
      <c r="AK85" s="1711"/>
      <c r="AL85" s="1711"/>
      <c r="AM85" s="1276"/>
      <c r="AN85" s="2394" t="s">
        <v>941</v>
      </c>
      <c r="AO85" s="1278"/>
      <c r="AP85" s="1711"/>
      <c r="AQ85" s="1711"/>
      <c r="AR85" s="4766"/>
      <c r="AS85" s="4768"/>
      <c r="AT85" s="4769"/>
      <c r="AU85" s="4769"/>
      <c r="AV85" s="4769"/>
      <c r="AW85" s="4769"/>
      <c r="AX85" s="4770"/>
      <c r="AY85" s="4777"/>
      <c r="AZ85" s="1711"/>
      <c r="BA85" s="1711"/>
      <c r="BB85" s="4766"/>
      <c r="BC85" s="4768"/>
      <c r="BD85" s="4769"/>
      <c r="BE85" s="4769"/>
      <c r="BF85" s="4769"/>
      <c r="BG85" s="4769"/>
      <c r="BH85" s="4770"/>
      <c r="BI85" s="4777"/>
      <c r="BJ85" s="1711"/>
      <c r="BK85" s="1711"/>
      <c r="BL85" s="4766"/>
      <c r="BM85" s="4768"/>
      <c r="BN85" s="4769"/>
      <c r="BO85" s="4769"/>
      <c r="BP85" s="4769"/>
      <c r="BQ85" s="4769"/>
      <c r="BR85" s="4770"/>
      <c r="BS85" s="4777"/>
      <c r="BT85" s="1711"/>
      <c r="BU85" s="1711"/>
      <c r="BV85" s="1711"/>
      <c r="BW85" s="1725"/>
      <c r="BX85" s="23"/>
      <c r="BY85" s="822"/>
      <c r="BZ85" s="822"/>
      <c r="CA85" s="822"/>
      <c r="CB85" s="822"/>
      <c r="CC85" s="822"/>
      <c r="CD85" s="822"/>
      <c r="CE85" s="822"/>
      <c r="CF85" s="822"/>
      <c r="CG85" s="822"/>
      <c r="CH85" s="822"/>
      <c r="CI85" s="822"/>
      <c r="CJ85" s="822"/>
      <c r="CK85" s="822"/>
      <c r="CL85" s="822"/>
      <c r="CM85" s="822"/>
      <c r="CN85" s="822"/>
      <c r="CO85" s="822"/>
      <c r="CP85" s="822"/>
      <c r="CQ85" s="822"/>
      <c r="CR85" s="822"/>
      <c r="CS85" s="822"/>
      <c r="CT85" s="822"/>
      <c r="CU85" s="822"/>
      <c r="CV85" s="822"/>
      <c r="CW85" s="822"/>
      <c r="CX85" s="822"/>
      <c r="CY85" s="822"/>
      <c r="CZ85" s="822"/>
      <c r="DA85" s="822"/>
      <c r="DB85" s="822"/>
      <c r="DC85" s="822"/>
      <c r="DD85" s="822"/>
      <c r="DE85" s="822"/>
      <c r="DF85" s="822"/>
      <c r="DG85" s="822"/>
      <c r="DH85" s="822"/>
      <c r="DI85" s="822"/>
      <c r="DJ85" s="822"/>
      <c r="DK85" s="822"/>
      <c r="DL85" s="822"/>
      <c r="DM85" s="822"/>
      <c r="DN85" s="822"/>
      <c r="DO85" s="2297"/>
      <c r="DP85" s="2290"/>
      <c r="DQ85" s="2290"/>
      <c r="DR85" s="2290"/>
      <c r="DS85" s="2290"/>
      <c r="DT85" s="2290"/>
      <c r="DU85" s="2290"/>
      <c r="DV85" s="2290"/>
      <c r="DW85" s="2290"/>
      <c r="DX85" s="2290"/>
      <c r="DY85" s="2290"/>
      <c r="DZ85" s="2290"/>
      <c r="EA85" s="2290"/>
      <c r="EB85" s="2290"/>
      <c r="EC85" s="2291"/>
    </row>
    <row r="86" spans="5:133" ht="17.100000000000001" customHeight="1" x14ac:dyDescent="0.3">
      <c r="E86" s="1723"/>
      <c r="F86" s="1711"/>
      <c r="G86" s="1711"/>
      <c r="H86" s="1711"/>
      <c r="I86" s="4766"/>
      <c r="J86" s="4771"/>
      <c r="K86" s="4772"/>
      <c r="L86" s="4772"/>
      <c r="M86" s="4772"/>
      <c r="N86" s="4772"/>
      <c r="O86" s="4773"/>
      <c r="P86" s="4777"/>
      <c r="Q86" s="1711"/>
      <c r="R86" s="1711"/>
      <c r="S86" s="4766"/>
      <c r="T86" s="4771"/>
      <c r="U86" s="4772"/>
      <c r="V86" s="4772"/>
      <c r="W86" s="4772"/>
      <c r="X86" s="4772"/>
      <c r="Y86" s="4773"/>
      <c r="Z86" s="4777"/>
      <c r="AA86" s="1711"/>
      <c r="AB86" s="1711"/>
      <c r="AC86" s="4766"/>
      <c r="AD86" s="4771"/>
      <c r="AE86" s="4772"/>
      <c r="AF86" s="4772"/>
      <c r="AG86" s="4772"/>
      <c r="AH86" s="4772"/>
      <c r="AI86" s="4773"/>
      <c r="AJ86" s="4777"/>
      <c r="AK86" s="1711"/>
      <c r="AL86" s="1711"/>
      <c r="AM86" s="1276"/>
      <c r="AN86" s="2393" t="s">
        <v>144</v>
      </c>
      <c r="AO86" s="1278"/>
      <c r="AP86" s="1711"/>
      <c r="AQ86" s="1711"/>
      <c r="AR86" s="4766"/>
      <c r="AS86" s="4771"/>
      <c r="AT86" s="4772"/>
      <c r="AU86" s="4772"/>
      <c r="AV86" s="4772"/>
      <c r="AW86" s="4772"/>
      <c r="AX86" s="4773"/>
      <c r="AY86" s="4777"/>
      <c r="AZ86" s="1711"/>
      <c r="BA86" s="1711"/>
      <c r="BB86" s="4766"/>
      <c r="BC86" s="4771"/>
      <c r="BD86" s="4772"/>
      <c r="BE86" s="4772"/>
      <c r="BF86" s="4772"/>
      <c r="BG86" s="4772"/>
      <c r="BH86" s="4773"/>
      <c r="BI86" s="4777"/>
      <c r="BJ86" s="1711"/>
      <c r="BK86" s="1711"/>
      <c r="BL86" s="4766"/>
      <c r="BM86" s="4771"/>
      <c r="BN86" s="4772"/>
      <c r="BO86" s="4772"/>
      <c r="BP86" s="4772"/>
      <c r="BQ86" s="4772"/>
      <c r="BR86" s="4773"/>
      <c r="BS86" s="4777"/>
      <c r="BT86" s="1711"/>
      <c r="BU86" s="1711"/>
      <c r="BV86" s="1711"/>
      <c r="BW86" s="1725"/>
      <c r="BX86" s="23"/>
      <c r="BY86" s="822"/>
      <c r="BZ86" s="822"/>
      <c r="CA86" s="822"/>
      <c r="CB86" s="822"/>
      <c r="CC86" s="822"/>
      <c r="CD86" s="822"/>
      <c r="CE86" s="822"/>
      <c r="CF86" s="822"/>
      <c r="CG86" s="822"/>
      <c r="CH86" s="822"/>
      <c r="CI86" s="822"/>
      <c r="CJ86" s="822"/>
      <c r="CK86" s="822"/>
      <c r="CL86" s="822"/>
      <c r="CM86" s="822"/>
      <c r="CN86" s="822"/>
      <c r="CO86" s="822"/>
      <c r="CP86" s="822"/>
      <c r="CQ86" s="822"/>
      <c r="CR86" s="822"/>
      <c r="CS86" s="822"/>
      <c r="CT86" s="822"/>
      <c r="CU86" s="822"/>
      <c r="CV86" s="822"/>
      <c r="CW86" s="822"/>
      <c r="CX86" s="822"/>
      <c r="CY86" s="822"/>
      <c r="CZ86" s="822"/>
      <c r="DA86" s="822"/>
      <c r="DB86" s="822"/>
      <c r="DC86" s="822"/>
      <c r="DD86" s="822"/>
      <c r="DE86" s="822"/>
      <c r="DF86" s="822"/>
      <c r="DG86" s="822"/>
      <c r="DH86" s="822"/>
      <c r="DI86" s="822"/>
      <c r="DJ86" s="822"/>
      <c r="DK86" s="822"/>
      <c r="DL86" s="822"/>
      <c r="DM86" s="822"/>
      <c r="DN86" s="822"/>
      <c r="DO86" s="2297"/>
      <c r="DP86" s="2290"/>
      <c r="DQ86" s="2290"/>
      <c r="DR86" s="2290"/>
      <c r="DS86" s="2290"/>
      <c r="DT86" s="2290"/>
      <c r="DU86" s="2290"/>
      <c r="DV86" s="2290"/>
      <c r="DW86" s="2290"/>
      <c r="DX86" s="2290"/>
      <c r="DY86" s="2290"/>
      <c r="DZ86" s="2290"/>
      <c r="EA86" s="2290"/>
      <c r="EB86" s="2290"/>
      <c r="EC86" s="2291"/>
    </row>
    <row r="87" spans="5:133" ht="17.100000000000001" customHeight="1" x14ac:dyDescent="0.3">
      <c r="E87" s="1723"/>
      <c r="F87" s="1711"/>
      <c r="G87" s="1711"/>
      <c r="H87" s="1711"/>
      <c r="I87" s="4766"/>
      <c r="J87" s="4774"/>
      <c r="K87" s="4775"/>
      <c r="L87" s="4775"/>
      <c r="M87" s="4775"/>
      <c r="N87" s="4775"/>
      <c r="O87" s="4776"/>
      <c r="P87" s="4777"/>
      <c r="Q87" s="1711"/>
      <c r="R87" s="1711"/>
      <c r="S87" s="4766"/>
      <c r="T87" s="4774"/>
      <c r="U87" s="4775"/>
      <c r="V87" s="4775"/>
      <c r="W87" s="4775"/>
      <c r="X87" s="4775"/>
      <c r="Y87" s="4776"/>
      <c r="Z87" s="4777"/>
      <c r="AA87" s="1711"/>
      <c r="AB87" s="1711"/>
      <c r="AC87" s="4766"/>
      <c r="AD87" s="4774"/>
      <c r="AE87" s="4775"/>
      <c r="AF87" s="4775"/>
      <c r="AG87" s="4775"/>
      <c r="AH87" s="4775"/>
      <c r="AI87" s="4776"/>
      <c r="AJ87" s="4777"/>
      <c r="AK87" s="1711"/>
      <c r="AL87" s="1711"/>
      <c r="AM87" s="1276"/>
      <c r="AN87" s="2393" t="s">
        <v>939</v>
      </c>
      <c r="AO87" s="1278"/>
      <c r="AP87" s="1711"/>
      <c r="AQ87" s="1711"/>
      <c r="AR87" s="4766"/>
      <c r="AS87" s="4774"/>
      <c r="AT87" s="4775"/>
      <c r="AU87" s="4775"/>
      <c r="AV87" s="4775"/>
      <c r="AW87" s="4775"/>
      <c r="AX87" s="4776"/>
      <c r="AY87" s="4777"/>
      <c r="AZ87" s="1711"/>
      <c r="BA87" s="1711"/>
      <c r="BB87" s="4766"/>
      <c r="BC87" s="4774"/>
      <c r="BD87" s="4775"/>
      <c r="BE87" s="4775"/>
      <c r="BF87" s="4775"/>
      <c r="BG87" s="4775"/>
      <c r="BH87" s="4776"/>
      <c r="BI87" s="4777"/>
      <c r="BJ87" s="1711"/>
      <c r="BK87" s="1711"/>
      <c r="BL87" s="4766"/>
      <c r="BM87" s="4774"/>
      <c r="BN87" s="4775"/>
      <c r="BO87" s="4775"/>
      <c r="BP87" s="4775"/>
      <c r="BQ87" s="4775"/>
      <c r="BR87" s="4776"/>
      <c r="BS87" s="4777"/>
      <c r="BT87" s="1711"/>
      <c r="BU87" s="1711"/>
      <c r="BV87" s="1711"/>
      <c r="BW87" s="1725"/>
      <c r="BX87" s="23"/>
      <c r="BY87" s="822"/>
      <c r="BZ87" s="822"/>
      <c r="CA87" s="822"/>
      <c r="CB87" s="822"/>
      <c r="CC87" s="822"/>
      <c r="CD87" s="822"/>
      <c r="CE87" s="822"/>
      <c r="CF87" s="822"/>
      <c r="CG87" s="822"/>
      <c r="CH87" s="822"/>
      <c r="CI87" s="822"/>
      <c r="CJ87" s="822"/>
      <c r="CK87" s="822"/>
      <c r="CL87" s="822"/>
      <c r="CM87" s="822"/>
      <c r="CN87" s="822"/>
      <c r="CO87" s="822"/>
      <c r="CP87" s="822"/>
      <c r="CQ87" s="822"/>
      <c r="CR87" s="822"/>
      <c r="CS87" s="822"/>
      <c r="CT87" s="822"/>
      <c r="CU87" s="822"/>
      <c r="CV87" s="822"/>
      <c r="CW87" s="822"/>
      <c r="CX87" s="822"/>
      <c r="CY87" s="822"/>
      <c r="CZ87" s="822"/>
      <c r="DA87" s="822"/>
      <c r="DB87" s="822"/>
      <c r="DC87" s="822"/>
      <c r="DD87" s="822"/>
      <c r="DE87" s="822"/>
      <c r="DF87" s="822"/>
      <c r="DG87" s="822"/>
      <c r="DH87" s="822"/>
      <c r="DI87" s="822"/>
      <c r="DJ87" s="822"/>
      <c r="DK87" s="822"/>
      <c r="DL87" s="822"/>
      <c r="DM87" s="822"/>
      <c r="DN87" s="822"/>
      <c r="DO87" s="2297"/>
      <c r="DP87" s="2290"/>
      <c r="DQ87" s="2290"/>
      <c r="DR87" s="2290"/>
      <c r="DS87" s="2290"/>
      <c r="DT87" s="2290"/>
      <c r="DU87" s="2290"/>
      <c r="DV87" s="2290"/>
      <c r="DW87" s="2290"/>
      <c r="DX87" s="2290"/>
      <c r="DY87" s="2290"/>
      <c r="DZ87" s="2290"/>
      <c r="EA87" s="2290"/>
      <c r="EB87" s="2290"/>
      <c r="EC87" s="2291"/>
    </row>
    <row r="88" spans="5:133" ht="17.100000000000001" customHeight="1" thickBot="1" x14ac:dyDescent="0.35">
      <c r="E88" s="1723"/>
      <c r="F88" s="1711"/>
      <c r="G88" s="1711"/>
      <c r="H88" s="1711"/>
      <c r="I88" s="4767"/>
      <c r="J88" s="4789"/>
      <c r="K88" s="4789"/>
      <c r="L88" s="4789"/>
      <c r="M88" s="4789"/>
      <c r="N88" s="4789"/>
      <c r="O88" s="4789"/>
      <c r="P88" s="4778"/>
      <c r="Q88" s="1711"/>
      <c r="R88" s="1711"/>
      <c r="S88" s="4767"/>
      <c r="T88" s="4789"/>
      <c r="U88" s="4789"/>
      <c r="V88" s="4789"/>
      <c r="W88" s="4789"/>
      <c r="X88" s="4789"/>
      <c r="Y88" s="4789"/>
      <c r="Z88" s="4778"/>
      <c r="AA88" s="1711"/>
      <c r="AB88" s="1711"/>
      <c r="AC88" s="4767"/>
      <c r="AD88" s="4789"/>
      <c r="AE88" s="4789"/>
      <c r="AF88" s="4789"/>
      <c r="AG88" s="4789"/>
      <c r="AH88" s="4789"/>
      <c r="AI88" s="4789"/>
      <c r="AJ88" s="4778"/>
      <c r="AK88" s="1711"/>
      <c r="AL88" s="1711"/>
      <c r="AM88" s="1276"/>
      <c r="AN88" s="2394" t="s">
        <v>942</v>
      </c>
      <c r="AO88" s="1278"/>
      <c r="AP88" s="1711"/>
      <c r="AQ88" s="1711"/>
      <c r="AR88" s="4767"/>
      <c r="AS88" s="4789"/>
      <c r="AT88" s="4789"/>
      <c r="AU88" s="4789"/>
      <c r="AV88" s="4789"/>
      <c r="AW88" s="4789"/>
      <c r="AX88" s="4789"/>
      <c r="AY88" s="4778"/>
      <c r="AZ88" s="1711"/>
      <c r="BA88" s="1711"/>
      <c r="BB88" s="4767"/>
      <c r="BC88" s="4789"/>
      <c r="BD88" s="4789"/>
      <c r="BE88" s="4789"/>
      <c r="BF88" s="4789"/>
      <c r="BG88" s="4789"/>
      <c r="BH88" s="4789"/>
      <c r="BI88" s="4778"/>
      <c r="BJ88" s="1711"/>
      <c r="BK88" s="1711"/>
      <c r="BL88" s="4767"/>
      <c r="BM88" s="4789"/>
      <c r="BN88" s="4789"/>
      <c r="BO88" s="4789"/>
      <c r="BP88" s="4789"/>
      <c r="BQ88" s="4789"/>
      <c r="BR88" s="4789"/>
      <c r="BS88" s="4778"/>
      <c r="BT88" s="1711"/>
      <c r="BU88" s="1711"/>
      <c r="BV88" s="1711"/>
      <c r="BW88" s="1725"/>
      <c r="BX88" s="23"/>
      <c r="BY88" s="822"/>
      <c r="BZ88" s="822"/>
      <c r="CA88" s="822"/>
      <c r="CB88" s="822"/>
      <c r="CC88" s="822"/>
      <c r="CD88" s="822"/>
      <c r="CE88" s="822"/>
      <c r="CF88" s="822"/>
      <c r="CG88" s="822"/>
      <c r="CH88" s="822"/>
      <c r="CI88" s="822"/>
      <c r="CJ88" s="822"/>
      <c r="CK88" s="822"/>
      <c r="CL88" s="822"/>
      <c r="CM88" s="822"/>
      <c r="CN88" s="822"/>
      <c r="CO88" s="822"/>
      <c r="CP88" s="822"/>
      <c r="CQ88" s="822"/>
      <c r="CR88" s="822"/>
      <c r="CS88" s="822"/>
      <c r="CT88" s="822"/>
      <c r="CU88" s="822"/>
      <c r="CV88" s="822"/>
      <c r="CW88" s="822"/>
      <c r="CX88" s="822"/>
      <c r="CY88" s="822"/>
      <c r="CZ88" s="822"/>
      <c r="DA88" s="822"/>
      <c r="DB88" s="822"/>
      <c r="DC88" s="822"/>
      <c r="DD88" s="822"/>
      <c r="DE88" s="822"/>
      <c r="DF88" s="822"/>
      <c r="DG88" s="822"/>
      <c r="DH88" s="822"/>
      <c r="DI88" s="822"/>
      <c r="DJ88" s="822"/>
      <c r="DK88" s="822"/>
      <c r="DL88" s="822"/>
      <c r="DM88" s="822"/>
      <c r="DN88" s="822"/>
      <c r="DO88" s="2297"/>
      <c r="DP88" s="2290"/>
      <c r="DQ88" s="2290"/>
      <c r="DR88" s="2290"/>
      <c r="DS88" s="2290"/>
      <c r="DT88" s="2290"/>
      <c r="DU88" s="2290"/>
      <c r="DV88" s="2290"/>
      <c r="DW88" s="2290"/>
      <c r="DX88" s="2290"/>
      <c r="DY88" s="2290"/>
      <c r="DZ88" s="2290"/>
      <c r="EA88" s="2290"/>
      <c r="EB88" s="2290"/>
      <c r="EC88" s="2291"/>
    </row>
    <row r="89" spans="5:133" ht="17.100000000000001" customHeight="1" thickTop="1" x14ac:dyDescent="0.3">
      <c r="E89" s="1723"/>
      <c r="F89" s="1711"/>
      <c r="G89" s="1711"/>
      <c r="H89" s="1711"/>
      <c r="I89" s="1711"/>
      <c r="J89" s="1711"/>
      <c r="K89" s="1711"/>
      <c r="L89" s="1711"/>
      <c r="M89" s="1711"/>
      <c r="N89" s="1711"/>
      <c r="O89" s="1711"/>
      <c r="P89" s="1711"/>
      <c r="Q89" s="1711"/>
      <c r="R89" s="1711"/>
      <c r="S89" s="1711"/>
      <c r="T89" s="1711"/>
      <c r="U89" s="1711"/>
      <c r="V89" s="1711"/>
      <c r="W89" s="1711"/>
      <c r="X89" s="1711"/>
      <c r="Y89" s="1711"/>
      <c r="Z89" s="1711"/>
      <c r="AA89" s="1711"/>
      <c r="AB89" s="1711"/>
      <c r="AC89" s="1711"/>
      <c r="AD89" s="1711"/>
      <c r="AE89" s="1711"/>
      <c r="AF89" s="1711"/>
      <c r="AG89" s="1711"/>
      <c r="AH89" s="1711"/>
      <c r="AI89" s="1711"/>
      <c r="AJ89" s="1711"/>
      <c r="AK89" s="1711"/>
      <c r="AL89" s="1711"/>
      <c r="AM89" s="1276"/>
      <c r="AN89" s="2393" t="s">
        <v>940</v>
      </c>
      <c r="AO89" s="1278"/>
      <c r="AP89" s="1711"/>
      <c r="AQ89" s="1711"/>
      <c r="AR89" s="1711"/>
      <c r="AS89" s="1711"/>
      <c r="AT89" s="1711"/>
      <c r="AU89" s="1711"/>
      <c r="AV89" s="1711"/>
      <c r="AW89" s="1711"/>
      <c r="AX89" s="1711"/>
      <c r="AY89" s="1711"/>
      <c r="AZ89" s="1711"/>
      <c r="BA89" s="1711"/>
      <c r="BB89" s="1711"/>
      <c r="BC89" s="1711"/>
      <c r="BD89" s="1711"/>
      <c r="BE89" s="1711"/>
      <c r="BF89" s="1711"/>
      <c r="BG89" s="1711"/>
      <c r="BH89" s="1711"/>
      <c r="BI89" s="1711"/>
      <c r="BJ89" s="1711"/>
      <c r="BK89" s="1711"/>
      <c r="BL89" s="1711"/>
      <c r="BM89" s="1711"/>
      <c r="BN89" s="1711"/>
      <c r="BO89" s="1711"/>
      <c r="BP89" s="1711"/>
      <c r="BQ89" s="1711"/>
      <c r="BR89" s="1711"/>
      <c r="BS89" s="1711"/>
      <c r="BT89" s="1711"/>
      <c r="BU89" s="1711"/>
      <c r="BV89" s="1711"/>
      <c r="BW89" s="1725"/>
      <c r="BX89" s="23"/>
      <c r="BY89" s="822"/>
      <c r="BZ89" s="822"/>
      <c r="CA89" s="822"/>
      <c r="CB89" s="822"/>
      <c r="CC89" s="822"/>
      <c r="CD89" s="822"/>
      <c r="CE89" s="822"/>
      <c r="CF89" s="822"/>
      <c r="CG89" s="822"/>
      <c r="CH89" s="822"/>
      <c r="CI89" s="822"/>
      <c r="CJ89" s="822"/>
      <c r="CK89" s="822"/>
      <c r="CL89" s="822"/>
      <c r="CM89" s="822"/>
      <c r="CN89" s="822"/>
      <c r="CO89" s="822"/>
      <c r="CP89" s="822"/>
      <c r="CQ89" s="822"/>
      <c r="CR89" s="822"/>
      <c r="CS89" s="822"/>
      <c r="CT89" s="822"/>
      <c r="CU89" s="822"/>
      <c r="CV89" s="822"/>
      <c r="CW89" s="822"/>
      <c r="CX89" s="822"/>
      <c r="CY89" s="822"/>
      <c r="CZ89" s="822"/>
      <c r="DA89" s="822"/>
      <c r="DB89" s="822"/>
      <c r="DC89" s="822"/>
      <c r="DD89" s="822"/>
      <c r="DE89" s="822"/>
      <c r="DF89" s="822"/>
      <c r="DG89" s="822"/>
      <c r="DH89" s="822"/>
      <c r="DI89" s="822"/>
      <c r="DJ89" s="822"/>
      <c r="DK89" s="822"/>
      <c r="DL89" s="822"/>
      <c r="DM89" s="822"/>
      <c r="DN89" s="822"/>
      <c r="DO89" s="2297"/>
      <c r="DP89" s="2290"/>
      <c r="DQ89" s="2290"/>
      <c r="DR89" s="2290"/>
      <c r="DS89" s="2290"/>
      <c r="DT89" s="2290"/>
      <c r="DU89" s="2290"/>
      <c r="DV89" s="2290"/>
      <c r="DW89" s="2290"/>
      <c r="DX89" s="2290"/>
      <c r="DY89" s="2290"/>
      <c r="DZ89" s="2290"/>
      <c r="EA89" s="2290"/>
      <c r="EB89" s="2290"/>
      <c r="EC89" s="2291"/>
    </row>
    <row r="90" spans="5:133" ht="17.100000000000001" customHeight="1" thickBot="1" x14ac:dyDescent="0.35">
      <c r="E90" s="1723"/>
      <c r="F90" s="1711"/>
      <c r="G90" s="1711"/>
      <c r="H90" s="1711"/>
      <c r="I90" s="1711"/>
      <c r="J90" s="1711"/>
      <c r="K90" s="1711"/>
      <c r="L90" s="1711"/>
      <c r="M90" s="1711"/>
      <c r="N90" s="1711"/>
      <c r="O90" s="1711"/>
      <c r="P90" s="1711"/>
      <c r="Q90" s="1711"/>
      <c r="R90" s="1711"/>
      <c r="S90" s="1711"/>
      <c r="T90" s="1711"/>
      <c r="U90" s="1711"/>
      <c r="V90" s="1711"/>
      <c r="W90" s="1711"/>
      <c r="X90" s="1711"/>
      <c r="Y90" s="1711"/>
      <c r="Z90" s="1711"/>
      <c r="AA90" s="1711"/>
      <c r="AB90" s="1711"/>
      <c r="AC90" s="1711"/>
      <c r="AD90" s="1711"/>
      <c r="AE90" s="1711"/>
      <c r="AF90" s="1711"/>
      <c r="AG90" s="1711"/>
      <c r="AH90" s="1711"/>
      <c r="AI90" s="1711"/>
      <c r="AJ90" s="1711"/>
      <c r="AK90" s="1711"/>
      <c r="AL90" s="1711"/>
      <c r="AM90" s="1276"/>
      <c r="AN90" s="2393" t="s">
        <v>710</v>
      </c>
      <c r="AO90" s="1278"/>
      <c r="AP90" s="1711"/>
      <c r="AQ90" s="1711"/>
      <c r="AR90" s="1711"/>
      <c r="AS90" s="1711"/>
      <c r="AT90" s="1711"/>
      <c r="AU90" s="1711"/>
      <c r="AV90" s="1711"/>
      <c r="AW90" s="1711"/>
      <c r="AX90" s="1711"/>
      <c r="AY90" s="1711"/>
      <c r="AZ90" s="1711"/>
      <c r="BA90" s="1711"/>
      <c r="BB90" s="1711"/>
      <c r="BC90" s="1711"/>
      <c r="BD90" s="1711"/>
      <c r="BE90" s="1711"/>
      <c r="BF90" s="1711"/>
      <c r="BG90" s="1711"/>
      <c r="BH90" s="1711"/>
      <c r="BI90" s="1711"/>
      <c r="BJ90" s="1711"/>
      <c r="BK90" s="1711"/>
      <c r="BL90" s="1711"/>
      <c r="BM90" s="1711"/>
      <c r="BN90" s="1711"/>
      <c r="BO90" s="1711"/>
      <c r="BP90" s="1711"/>
      <c r="BQ90" s="1711"/>
      <c r="BR90" s="1711"/>
      <c r="BS90" s="1711"/>
      <c r="BT90" s="1711"/>
      <c r="BU90" s="1711"/>
      <c r="BV90" s="1711"/>
      <c r="BW90" s="1725"/>
      <c r="BX90" s="23"/>
      <c r="BY90" s="822"/>
      <c r="BZ90" s="822"/>
      <c r="CA90" s="822"/>
      <c r="CB90" s="822"/>
      <c r="CC90" s="822"/>
      <c r="CD90" s="822"/>
      <c r="CE90" s="822"/>
      <c r="CF90" s="822"/>
      <c r="CG90" s="822"/>
      <c r="CH90" s="822"/>
      <c r="CI90" s="822"/>
      <c r="CJ90" s="822"/>
      <c r="CK90" s="822"/>
      <c r="CL90" s="822"/>
      <c r="CM90" s="822"/>
      <c r="CN90" s="822"/>
      <c r="CO90" s="822"/>
      <c r="CP90" s="822"/>
      <c r="CQ90" s="822"/>
      <c r="CR90" s="822"/>
      <c r="CS90" s="822"/>
      <c r="CT90" s="822"/>
      <c r="CU90" s="822"/>
      <c r="CV90" s="822"/>
      <c r="CW90" s="822"/>
      <c r="CX90" s="822"/>
      <c r="CY90" s="822"/>
      <c r="CZ90" s="822"/>
      <c r="DA90" s="822"/>
      <c r="DB90" s="822"/>
      <c r="DC90" s="822"/>
      <c r="DD90" s="822"/>
      <c r="DE90" s="822"/>
      <c r="DF90" s="822"/>
      <c r="DG90" s="822"/>
      <c r="DH90" s="822"/>
      <c r="DI90" s="822"/>
      <c r="DJ90" s="822"/>
      <c r="DK90" s="822"/>
      <c r="DL90" s="822"/>
      <c r="DM90" s="822"/>
      <c r="DN90" s="822"/>
      <c r="DO90" s="2297"/>
      <c r="DP90" s="2290"/>
      <c r="DQ90" s="2290"/>
      <c r="DR90" s="2290"/>
      <c r="DS90" s="2290"/>
      <c r="DT90" s="2290"/>
      <c r="DU90" s="2290"/>
      <c r="DV90" s="2290"/>
      <c r="DW90" s="2290"/>
      <c r="DX90" s="2290"/>
      <c r="DY90" s="2290"/>
      <c r="DZ90" s="2290"/>
      <c r="EA90" s="2290"/>
      <c r="EB90" s="2290"/>
      <c r="EC90" s="2291"/>
    </row>
    <row r="91" spans="5:133" ht="17.100000000000001" customHeight="1" thickTop="1" x14ac:dyDescent="0.3">
      <c r="E91" s="1723"/>
      <c r="F91" s="1711"/>
      <c r="G91" s="1711"/>
      <c r="H91" s="1711"/>
      <c r="I91" s="4756" t="s">
        <v>72</v>
      </c>
      <c r="J91" s="4757"/>
      <c r="K91" s="4757"/>
      <c r="L91" s="4764" t="s">
        <v>144</v>
      </c>
      <c r="M91" s="4764"/>
      <c r="N91" s="4757" t="s">
        <v>72</v>
      </c>
      <c r="O91" s="4757"/>
      <c r="P91" s="4762"/>
      <c r="Q91" s="1711"/>
      <c r="R91" s="1711"/>
      <c r="S91" s="4756" t="s">
        <v>72</v>
      </c>
      <c r="T91" s="4757"/>
      <c r="U91" s="4757"/>
      <c r="V91" s="4779" t="s">
        <v>144</v>
      </c>
      <c r="W91" s="4779"/>
      <c r="X91" s="4757" t="s">
        <v>72</v>
      </c>
      <c r="Y91" s="4757"/>
      <c r="Z91" s="4762"/>
      <c r="AA91" s="1711"/>
      <c r="AB91" s="1711"/>
      <c r="AC91" s="4756" t="s">
        <v>72</v>
      </c>
      <c r="AD91" s="4757"/>
      <c r="AE91" s="4757"/>
      <c r="AF91" s="4781" t="s">
        <v>144</v>
      </c>
      <c r="AG91" s="4781"/>
      <c r="AH91" s="4757" t="s">
        <v>72</v>
      </c>
      <c r="AI91" s="4757"/>
      <c r="AJ91" s="4762"/>
      <c r="AK91" s="1711"/>
      <c r="AL91" s="1711"/>
      <c r="AM91" s="1276"/>
      <c r="AN91" s="2394" t="s">
        <v>941</v>
      </c>
      <c r="AO91" s="1278"/>
      <c r="AP91" s="1711"/>
      <c r="AQ91" s="1711"/>
      <c r="AR91" s="4756" t="s">
        <v>72</v>
      </c>
      <c r="AS91" s="4757"/>
      <c r="AT91" s="4757"/>
      <c r="AU91" s="4781" t="s">
        <v>940</v>
      </c>
      <c r="AV91" s="4781"/>
      <c r="AW91" s="4757" t="s">
        <v>72</v>
      </c>
      <c r="AX91" s="4757"/>
      <c r="AY91" s="4762"/>
      <c r="AZ91" s="1711"/>
      <c r="BA91" s="1711"/>
      <c r="BB91" s="4756" t="s">
        <v>72</v>
      </c>
      <c r="BC91" s="4757"/>
      <c r="BD91" s="4757"/>
      <c r="BE91" s="4779" t="s">
        <v>940</v>
      </c>
      <c r="BF91" s="4779"/>
      <c r="BG91" s="4757" t="s">
        <v>72</v>
      </c>
      <c r="BH91" s="4757"/>
      <c r="BI91" s="4762"/>
      <c r="BJ91" s="1711"/>
      <c r="BK91" s="1711"/>
      <c r="BL91" s="4756" t="s">
        <v>72</v>
      </c>
      <c r="BM91" s="4757"/>
      <c r="BN91" s="4757"/>
      <c r="BO91" s="4764" t="s">
        <v>940</v>
      </c>
      <c r="BP91" s="4764"/>
      <c r="BQ91" s="4757" t="s">
        <v>72</v>
      </c>
      <c r="BR91" s="4757"/>
      <c r="BS91" s="4762"/>
      <c r="BT91" s="1711"/>
      <c r="BU91" s="1711"/>
      <c r="BV91" s="1711"/>
      <c r="BW91" s="1725"/>
      <c r="BX91" s="23"/>
      <c r="BY91" s="822"/>
      <c r="BZ91" s="822"/>
      <c r="CA91" s="822"/>
      <c r="CB91" s="822"/>
      <c r="CC91" s="822"/>
      <c r="CD91" s="822"/>
      <c r="CE91" s="822"/>
      <c r="CF91" s="822"/>
      <c r="CG91" s="822"/>
      <c r="CH91" s="822"/>
      <c r="CI91" s="822"/>
      <c r="CJ91" s="822"/>
      <c r="CK91" s="822"/>
      <c r="CL91" s="822"/>
      <c r="CM91" s="822"/>
      <c r="CN91" s="822"/>
      <c r="CO91" s="822"/>
      <c r="CP91" s="822"/>
      <c r="CQ91" s="822"/>
      <c r="CR91" s="822"/>
      <c r="CS91" s="822"/>
      <c r="CT91" s="822"/>
      <c r="CU91" s="822"/>
      <c r="CV91" s="822"/>
      <c r="CW91" s="822"/>
      <c r="CX91" s="822"/>
      <c r="CY91" s="822"/>
      <c r="CZ91" s="822"/>
      <c r="DA91" s="822"/>
      <c r="DB91" s="822"/>
      <c r="DC91" s="822"/>
      <c r="DD91" s="822"/>
      <c r="DE91" s="822"/>
      <c r="DF91" s="822"/>
      <c r="DG91" s="822"/>
      <c r="DH91" s="822"/>
      <c r="DI91" s="822"/>
      <c r="DJ91" s="822"/>
      <c r="DK91" s="822"/>
      <c r="DL91" s="822"/>
      <c r="DM91" s="822"/>
      <c r="DN91" s="822"/>
      <c r="DO91" s="2297"/>
      <c r="DP91" s="2290"/>
      <c r="DQ91" s="2290"/>
      <c r="DR91" s="2290"/>
      <c r="DS91" s="2290"/>
      <c r="DT91" s="2290"/>
      <c r="DU91" s="2290"/>
      <c r="DV91" s="2290"/>
      <c r="DW91" s="2290"/>
      <c r="DX91" s="2290"/>
      <c r="DY91" s="2290"/>
      <c r="DZ91" s="2290"/>
      <c r="EA91" s="2290"/>
      <c r="EB91" s="2290"/>
      <c r="EC91" s="2291"/>
    </row>
    <row r="92" spans="5:133" ht="17.100000000000001" customHeight="1" x14ac:dyDescent="0.3">
      <c r="E92" s="1723"/>
      <c r="F92" s="1711"/>
      <c r="G92" s="1711"/>
      <c r="H92" s="1711"/>
      <c r="I92" s="4758"/>
      <c r="J92" s="4759"/>
      <c r="K92" s="4759"/>
      <c r="L92" s="4798"/>
      <c r="M92" s="4798"/>
      <c r="N92" s="4759"/>
      <c r="O92" s="4759"/>
      <c r="P92" s="4763"/>
      <c r="Q92" s="1711"/>
      <c r="R92" s="1711"/>
      <c r="S92" s="4758"/>
      <c r="T92" s="4759"/>
      <c r="U92" s="4759"/>
      <c r="V92" s="4796"/>
      <c r="W92" s="4796"/>
      <c r="X92" s="4759"/>
      <c r="Y92" s="4759"/>
      <c r="Z92" s="4763"/>
      <c r="AA92" s="1711"/>
      <c r="AB92" s="1711"/>
      <c r="AC92" s="4758"/>
      <c r="AD92" s="4759"/>
      <c r="AE92" s="4759"/>
      <c r="AF92" s="4797"/>
      <c r="AG92" s="4797"/>
      <c r="AH92" s="4759"/>
      <c r="AI92" s="4759"/>
      <c r="AJ92" s="4763"/>
      <c r="AK92" s="1711"/>
      <c r="AL92" s="1711"/>
      <c r="AM92" s="1276"/>
      <c r="AN92" s="2393" t="s">
        <v>144</v>
      </c>
      <c r="AO92" s="1278"/>
      <c r="AP92" s="1711"/>
      <c r="AQ92" s="1711"/>
      <c r="AR92" s="4758"/>
      <c r="AS92" s="4759"/>
      <c r="AT92" s="4759"/>
      <c r="AU92" s="4797"/>
      <c r="AV92" s="4797"/>
      <c r="AW92" s="4759"/>
      <c r="AX92" s="4759"/>
      <c r="AY92" s="4763"/>
      <c r="AZ92" s="1711"/>
      <c r="BA92" s="1711"/>
      <c r="BB92" s="4758"/>
      <c r="BC92" s="4759"/>
      <c r="BD92" s="4759"/>
      <c r="BE92" s="4796"/>
      <c r="BF92" s="4796"/>
      <c r="BG92" s="4759"/>
      <c r="BH92" s="4759"/>
      <c r="BI92" s="4763"/>
      <c r="BJ92" s="1711"/>
      <c r="BK92" s="1711"/>
      <c r="BL92" s="4758"/>
      <c r="BM92" s="4759"/>
      <c r="BN92" s="4759"/>
      <c r="BO92" s="4798"/>
      <c r="BP92" s="4798"/>
      <c r="BQ92" s="4759"/>
      <c r="BR92" s="4759"/>
      <c r="BS92" s="4763"/>
      <c r="BT92" s="1711"/>
      <c r="BU92" s="1711"/>
      <c r="BV92" s="1711"/>
      <c r="BW92" s="1725"/>
      <c r="BX92" s="23"/>
      <c r="BY92" s="822"/>
      <c r="BZ92" s="822"/>
      <c r="CA92" s="822"/>
      <c r="CB92" s="822"/>
      <c r="CC92" s="822"/>
      <c r="CD92" s="822"/>
      <c r="CE92" s="822"/>
      <c r="CF92" s="822"/>
      <c r="CG92" s="822"/>
      <c r="CH92" s="822"/>
      <c r="CI92" s="822"/>
      <c r="CJ92" s="822"/>
      <c r="CK92" s="822"/>
      <c r="CL92" s="822"/>
      <c r="CM92" s="822"/>
      <c r="CN92" s="822"/>
      <c r="CO92" s="822"/>
      <c r="CP92" s="822"/>
      <c r="CQ92" s="822"/>
      <c r="CR92" s="822"/>
      <c r="CS92" s="822"/>
      <c r="CT92" s="822"/>
      <c r="CU92" s="822"/>
      <c r="CV92" s="822"/>
      <c r="CW92" s="822"/>
      <c r="CX92" s="822"/>
      <c r="CY92" s="822"/>
      <c r="CZ92" s="822"/>
      <c r="DA92" s="822"/>
      <c r="DB92" s="822"/>
      <c r="DC92" s="822"/>
      <c r="DD92" s="822"/>
      <c r="DE92" s="822"/>
      <c r="DF92" s="822"/>
      <c r="DG92" s="822"/>
      <c r="DH92" s="822"/>
      <c r="DI92" s="822"/>
      <c r="DJ92" s="822"/>
      <c r="DK92" s="822"/>
      <c r="DL92" s="822"/>
      <c r="DM92" s="822"/>
      <c r="DN92" s="822"/>
      <c r="DO92" s="2297"/>
      <c r="DP92" s="2290"/>
      <c r="DQ92" s="2290"/>
      <c r="DR92" s="2290"/>
      <c r="DS92" s="2290"/>
      <c r="DT92" s="2290"/>
      <c r="DU92" s="2290"/>
      <c r="DV92" s="2290"/>
      <c r="DW92" s="2290"/>
      <c r="DX92" s="2290"/>
      <c r="DY92" s="2290"/>
      <c r="DZ92" s="2290"/>
      <c r="EA92" s="2290"/>
      <c r="EB92" s="2290"/>
      <c r="EC92" s="2291"/>
    </row>
    <row r="93" spans="5:133" ht="17.100000000000001" customHeight="1" x14ac:dyDescent="0.3">
      <c r="E93" s="1723"/>
      <c r="F93" s="1711"/>
      <c r="G93" s="1711"/>
      <c r="H93" s="1711"/>
      <c r="I93" s="4766"/>
      <c r="J93" s="4768"/>
      <c r="K93" s="4769"/>
      <c r="L93" s="4769"/>
      <c r="M93" s="4769"/>
      <c r="N93" s="4769"/>
      <c r="O93" s="4770"/>
      <c r="P93" s="4777"/>
      <c r="Q93" s="1711"/>
      <c r="R93" s="1711"/>
      <c r="S93" s="4766"/>
      <c r="T93" s="4768"/>
      <c r="U93" s="4769"/>
      <c r="V93" s="4769"/>
      <c r="W93" s="4769"/>
      <c r="X93" s="4769"/>
      <c r="Y93" s="4770"/>
      <c r="Z93" s="4777"/>
      <c r="AA93" s="1711"/>
      <c r="AB93" s="1711"/>
      <c r="AC93" s="4766"/>
      <c r="AD93" s="4768"/>
      <c r="AE93" s="4769"/>
      <c r="AF93" s="4769"/>
      <c r="AG93" s="4769"/>
      <c r="AH93" s="4769"/>
      <c r="AI93" s="4770"/>
      <c r="AJ93" s="4777"/>
      <c r="AK93" s="1711"/>
      <c r="AL93" s="1711"/>
      <c r="AM93" s="1276"/>
      <c r="AN93" s="2393" t="s">
        <v>939</v>
      </c>
      <c r="AO93" s="1278"/>
      <c r="AP93" s="1711"/>
      <c r="AQ93" s="1711"/>
      <c r="AR93" s="4766"/>
      <c r="AS93" s="4768"/>
      <c r="AT93" s="4769"/>
      <c r="AU93" s="4769"/>
      <c r="AV93" s="4769"/>
      <c r="AW93" s="4769"/>
      <c r="AX93" s="4770"/>
      <c r="AY93" s="4777"/>
      <c r="AZ93" s="1711"/>
      <c r="BA93" s="1711"/>
      <c r="BB93" s="4766"/>
      <c r="BC93" s="4768"/>
      <c r="BD93" s="4769"/>
      <c r="BE93" s="4769"/>
      <c r="BF93" s="4769"/>
      <c r="BG93" s="4769"/>
      <c r="BH93" s="4770"/>
      <c r="BI93" s="4777"/>
      <c r="BJ93" s="1711"/>
      <c r="BK93" s="1711"/>
      <c r="BL93" s="4766"/>
      <c r="BM93" s="4768"/>
      <c r="BN93" s="4769"/>
      <c r="BO93" s="4769"/>
      <c r="BP93" s="4769"/>
      <c r="BQ93" s="4769"/>
      <c r="BR93" s="4770"/>
      <c r="BS93" s="4777"/>
      <c r="BT93" s="1711"/>
      <c r="BU93" s="1711"/>
      <c r="BV93" s="1711"/>
      <c r="BW93" s="1725"/>
      <c r="BX93" s="23"/>
      <c r="BY93" s="822"/>
      <c r="BZ93" s="822"/>
      <c r="CA93" s="822"/>
      <c r="CB93" s="822"/>
      <c r="CC93" s="822"/>
      <c r="CD93" s="822"/>
      <c r="CE93" s="822"/>
      <c r="CF93" s="822"/>
      <c r="CG93" s="822"/>
      <c r="CH93" s="822"/>
      <c r="CI93" s="822"/>
      <c r="CJ93" s="822"/>
      <c r="CK93" s="822"/>
      <c r="CL93" s="822"/>
      <c r="CM93" s="822"/>
      <c r="CN93" s="822"/>
      <c r="CO93" s="822"/>
      <c r="CP93" s="822"/>
      <c r="CQ93" s="822"/>
      <c r="CR93" s="822"/>
      <c r="CS93" s="822"/>
      <c r="CT93" s="822"/>
      <c r="CU93" s="822"/>
      <c r="CV93" s="822"/>
      <c r="CW93" s="822"/>
      <c r="CX93" s="822"/>
      <c r="CY93" s="822"/>
      <c r="CZ93" s="822"/>
      <c r="DA93" s="822"/>
      <c r="DB93" s="822"/>
      <c r="DC93" s="822"/>
      <c r="DD93" s="822"/>
      <c r="DE93" s="822"/>
      <c r="DF93" s="822"/>
      <c r="DG93" s="822"/>
      <c r="DH93" s="822"/>
      <c r="DI93" s="822"/>
      <c r="DJ93" s="822"/>
      <c r="DK93" s="822"/>
      <c r="DL93" s="822"/>
      <c r="DM93" s="822"/>
      <c r="DN93" s="822"/>
      <c r="DO93" s="2297"/>
      <c r="DP93" s="2290"/>
      <c r="DQ93" s="2290"/>
      <c r="DR93" s="2290"/>
      <c r="DS93" s="2290"/>
      <c r="DT93" s="2290"/>
      <c r="DU93" s="2290"/>
      <c r="DV93" s="2290"/>
      <c r="DW93" s="2290"/>
      <c r="DX93" s="2290"/>
      <c r="DY93" s="2290"/>
      <c r="DZ93" s="2290"/>
      <c r="EA93" s="2290"/>
      <c r="EB93" s="2290"/>
      <c r="EC93" s="2291"/>
    </row>
    <row r="94" spans="5:133" ht="17.100000000000001" customHeight="1" x14ac:dyDescent="0.3">
      <c r="E94" s="1723"/>
      <c r="F94" s="1711"/>
      <c r="G94" s="1711"/>
      <c r="H94" s="1711"/>
      <c r="I94" s="4766"/>
      <c r="J94" s="4771"/>
      <c r="K94" s="4772"/>
      <c r="L94" s="4772"/>
      <c r="M94" s="4772"/>
      <c r="N94" s="4772"/>
      <c r="O94" s="4773"/>
      <c r="P94" s="4777"/>
      <c r="Q94" s="1711"/>
      <c r="R94" s="1711"/>
      <c r="S94" s="4766"/>
      <c r="T94" s="4771"/>
      <c r="U94" s="4772"/>
      <c r="V94" s="4772"/>
      <c r="W94" s="4772"/>
      <c r="X94" s="4772"/>
      <c r="Y94" s="4773"/>
      <c r="Z94" s="4777"/>
      <c r="AA94" s="1711"/>
      <c r="AB94" s="1711"/>
      <c r="AC94" s="4766"/>
      <c r="AD94" s="4771"/>
      <c r="AE94" s="4772"/>
      <c r="AF94" s="4772"/>
      <c r="AG94" s="4772"/>
      <c r="AH94" s="4772"/>
      <c r="AI94" s="4773"/>
      <c r="AJ94" s="4777"/>
      <c r="AK94" s="1711"/>
      <c r="AL94" s="1711"/>
      <c r="AM94" s="1276"/>
      <c r="AN94" s="2394" t="s">
        <v>942</v>
      </c>
      <c r="AO94" s="1278"/>
      <c r="AP94" s="1711"/>
      <c r="AQ94" s="1711"/>
      <c r="AR94" s="4766"/>
      <c r="AS94" s="4771"/>
      <c r="AT94" s="4772"/>
      <c r="AU94" s="4772"/>
      <c r="AV94" s="4772"/>
      <c r="AW94" s="4772"/>
      <c r="AX94" s="4773"/>
      <c r="AY94" s="4777"/>
      <c r="AZ94" s="1711"/>
      <c r="BA94" s="1711"/>
      <c r="BB94" s="4766"/>
      <c r="BC94" s="4771"/>
      <c r="BD94" s="4772"/>
      <c r="BE94" s="4772"/>
      <c r="BF94" s="4772"/>
      <c r="BG94" s="4772"/>
      <c r="BH94" s="4773"/>
      <c r="BI94" s="4777"/>
      <c r="BJ94" s="1711"/>
      <c r="BK94" s="1711"/>
      <c r="BL94" s="4766"/>
      <c r="BM94" s="4771"/>
      <c r="BN94" s="4772"/>
      <c r="BO94" s="4772"/>
      <c r="BP94" s="4772"/>
      <c r="BQ94" s="4772"/>
      <c r="BR94" s="4773"/>
      <c r="BS94" s="4777"/>
      <c r="BT94" s="1711"/>
      <c r="BU94" s="1711"/>
      <c r="BV94" s="1711"/>
      <c r="BW94" s="1725"/>
      <c r="BX94" s="23"/>
      <c r="BY94" s="822"/>
      <c r="BZ94" s="822"/>
      <c r="CA94" s="822"/>
      <c r="CB94" s="822"/>
      <c r="CC94" s="822"/>
      <c r="CD94" s="822"/>
      <c r="CE94" s="822"/>
      <c r="CF94" s="822"/>
      <c r="CG94" s="822"/>
      <c r="CH94" s="822"/>
      <c r="CI94" s="822"/>
      <c r="CJ94" s="822"/>
      <c r="CK94" s="822"/>
      <c r="CL94" s="822"/>
      <c r="CM94" s="822"/>
      <c r="CN94" s="822"/>
      <c r="CO94" s="822"/>
      <c r="CP94" s="822"/>
      <c r="CQ94" s="822"/>
      <c r="CR94" s="822"/>
      <c r="CS94" s="822"/>
      <c r="CT94" s="822"/>
      <c r="CU94" s="822"/>
      <c r="CV94" s="822"/>
      <c r="CW94" s="822"/>
      <c r="CX94" s="822"/>
      <c r="CY94" s="822"/>
      <c r="CZ94" s="822"/>
      <c r="DA94" s="822"/>
      <c r="DB94" s="822"/>
      <c r="DC94" s="822"/>
      <c r="DD94" s="822"/>
      <c r="DE94" s="822"/>
      <c r="DF94" s="822"/>
      <c r="DG94" s="822"/>
      <c r="DH94" s="822"/>
      <c r="DI94" s="822"/>
      <c r="DJ94" s="822"/>
      <c r="DK94" s="822"/>
      <c r="DL94" s="822"/>
      <c r="DM94" s="822"/>
      <c r="DN94" s="822"/>
      <c r="DO94" s="2297"/>
      <c r="DP94" s="2290"/>
      <c r="DQ94" s="2290"/>
      <c r="DR94" s="2290"/>
      <c r="DS94" s="2290"/>
      <c r="DT94" s="2290"/>
      <c r="DU94" s="2290"/>
      <c r="DV94" s="2290"/>
      <c r="DW94" s="2290"/>
      <c r="DX94" s="2290"/>
      <c r="DY94" s="2290"/>
      <c r="DZ94" s="2290"/>
      <c r="EA94" s="2290"/>
      <c r="EB94" s="2290"/>
      <c r="EC94" s="2291"/>
    </row>
    <row r="95" spans="5:133" ht="17.100000000000001" customHeight="1" x14ac:dyDescent="0.3">
      <c r="E95" s="1723"/>
      <c r="F95" s="1711"/>
      <c r="G95" s="1711"/>
      <c r="H95" s="1711"/>
      <c r="I95" s="4766"/>
      <c r="J95" s="4774"/>
      <c r="K95" s="4775"/>
      <c r="L95" s="4775"/>
      <c r="M95" s="4775"/>
      <c r="N95" s="4775"/>
      <c r="O95" s="4776"/>
      <c r="P95" s="4777"/>
      <c r="Q95" s="1711"/>
      <c r="R95" s="1711"/>
      <c r="S95" s="4766"/>
      <c r="T95" s="4774"/>
      <c r="U95" s="4775"/>
      <c r="V95" s="4775"/>
      <c r="W95" s="4775"/>
      <c r="X95" s="4775"/>
      <c r="Y95" s="4776"/>
      <c r="Z95" s="4777"/>
      <c r="AA95" s="1711"/>
      <c r="AB95" s="1711"/>
      <c r="AC95" s="4766"/>
      <c r="AD95" s="4774"/>
      <c r="AE95" s="4775"/>
      <c r="AF95" s="4775"/>
      <c r="AG95" s="4775"/>
      <c r="AH95" s="4775"/>
      <c r="AI95" s="4776"/>
      <c r="AJ95" s="4777"/>
      <c r="AK95" s="1711"/>
      <c r="AL95" s="1711"/>
      <c r="AM95" s="1276"/>
      <c r="AN95" s="2393" t="s">
        <v>940</v>
      </c>
      <c r="AO95" s="1278"/>
      <c r="AP95" s="1711"/>
      <c r="AQ95" s="1711"/>
      <c r="AR95" s="4766"/>
      <c r="AS95" s="4774"/>
      <c r="AT95" s="4775"/>
      <c r="AU95" s="4775"/>
      <c r="AV95" s="4775"/>
      <c r="AW95" s="4775"/>
      <c r="AX95" s="4776"/>
      <c r="AY95" s="4777"/>
      <c r="AZ95" s="1711"/>
      <c r="BA95" s="1711"/>
      <c r="BB95" s="4766"/>
      <c r="BC95" s="4774"/>
      <c r="BD95" s="4775"/>
      <c r="BE95" s="4775"/>
      <c r="BF95" s="4775"/>
      <c r="BG95" s="4775"/>
      <c r="BH95" s="4776"/>
      <c r="BI95" s="4777"/>
      <c r="BJ95" s="1711"/>
      <c r="BK95" s="1711"/>
      <c r="BL95" s="4766"/>
      <c r="BM95" s="4774"/>
      <c r="BN95" s="4775"/>
      <c r="BO95" s="4775"/>
      <c r="BP95" s="4775"/>
      <c r="BQ95" s="4775"/>
      <c r="BR95" s="4776"/>
      <c r="BS95" s="4777"/>
      <c r="BT95" s="1711"/>
      <c r="BU95" s="1711"/>
      <c r="BV95" s="1711"/>
      <c r="BW95" s="1725"/>
      <c r="BX95" s="23"/>
      <c r="BY95" s="822"/>
      <c r="BZ95" s="822"/>
      <c r="CA95" s="822"/>
      <c r="CB95" s="822"/>
      <c r="CC95" s="822"/>
      <c r="CD95" s="822"/>
      <c r="CE95" s="822"/>
      <c r="CF95" s="822"/>
      <c r="CG95" s="822"/>
      <c r="CH95" s="822"/>
      <c r="CI95" s="822"/>
      <c r="CJ95" s="822"/>
      <c r="CK95" s="822"/>
      <c r="CL95" s="822"/>
      <c r="CM95" s="822"/>
      <c r="CN95" s="822"/>
      <c r="CO95" s="822"/>
      <c r="CP95" s="822"/>
      <c r="CQ95" s="822"/>
      <c r="CR95" s="822"/>
      <c r="CS95" s="822"/>
      <c r="CT95" s="822"/>
      <c r="CU95" s="822"/>
      <c r="CV95" s="822"/>
      <c r="CW95" s="822"/>
      <c r="CX95" s="822"/>
      <c r="CY95" s="822"/>
      <c r="CZ95" s="822"/>
      <c r="DA95" s="822"/>
      <c r="DB95" s="822"/>
      <c r="DC95" s="822"/>
      <c r="DD95" s="822"/>
      <c r="DE95" s="822"/>
      <c r="DF95" s="822"/>
      <c r="DG95" s="822"/>
      <c r="DH95" s="822"/>
      <c r="DI95" s="822"/>
      <c r="DJ95" s="822"/>
      <c r="DK95" s="822"/>
      <c r="DL95" s="822"/>
      <c r="DM95" s="822"/>
      <c r="DN95" s="822"/>
      <c r="DO95" s="2297"/>
      <c r="DP95" s="2290"/>
      <c r="DQ95" s="2290"/>
      <c r="DR95" s="2290"/>
      <c r="DS95" s="2290"/>
      <c r="DT95" s="2290"/>
      <c r="DU95" s="2290"/>
      <c r="DV95" s="2290"/>
      <c r="DW95" s="2290"/>
      <c r="DX95" s="2290"/>
      <c r="DY95" s="2290"/>
      <c r="DZ95" s="2290"/>
      <c r="EA95" s="2290"/>
      <c r="EB95" s="2290"/>
      <c r="EC95" s="2291"/>
    </row>
    <row r="96" spans="5:133" ht="17.100000000000001" customHeight="1" thickBot="1" x14ac:dyDescent="0.35">
      <c r="E96" s="1723"/>
      <c r="F96" s="1711"/>
      <c r="G96" s="1711"/>
      <c r="H96" s="1711"/>
      <c r="I96" s="4767"/>
      <c r="J96" s="4789"/>
      <c r="K96" s="4789"/>
      <c r="L96" s="4789"/>
      <c r="M96" s="4789"/>
      <c r="N96" s="4789"/>
      <c r="O96" s="4789"/>
      <c r="P96" s="4778"/>
      <c r="Q96" s="1711"/>
      <c r="R96" s="1711"/>
      <c r="S96" s="4767"/>
      <c r="T96" s="4789"/>
      <c r="U96" s="4789"/>
      <c r="V96" s="4789"/>
      <c r="W96" s="4789"/>
      <c r="X96" s="4789"/>
      <c r="Y96" s="4789"/>
      <c r="Z96" s="4778"/>
      <c r="AA96" s="1711"/>
      <c r="AB96" s="1711"/>
      <c r="AC96" s="4767"/>
      <c r="AD96" s="4789"/>
      <c r="AE96" s="4789"/>
      <c r="AF96" s="4789"/>
      <c r="AG96" s="4789"/>
      <c r="AH96" s="4789"/>
      <c r="AI96" s="4789"/>
      <c r="AJ96" s="4778"/>
      <c r="AK96" s="1711"/>
      <c r="AL96" s="1711"/>
      <c r="AM96" s="1277">
        <f>COUNTA(J77,T77,AD77,J85,T85,AD85,J93,T93,AD93,AS77,BC77,BM77,AS85,BC85,BM85,AS93,BC93,BM93)</f>
        <v>0</v>
      </c>
      <c r="AN96" s="1277">
        <f>IF(AO96=18,1,0)</f>
        <v>0</v>
      </c>
      <c r="AO96" s="1279">
        <f>COUNTA(J77,T77,AD77,J85,T85,AD85,J93,T93,AD93,AS77,BC77,BM77,AS85,BC85,BM85,AS93,BC93,BM93)</f>
        <v>0</v>
      </c>
      <c r="AP96" s="1711"/>
      <c r="AQ96" s="1711"/>
      <c r="AR96" s="4767"/>
      <c r="AS96" s="4789"/>
      <c r="AT96" s="4789"/>
      <c r="AU96" s="4789"/>
      <c r="AV96" s="4789"/>
      <c r="AW96" s="4789"/>
      <c r="AX96" s="4789"/>
      <c r="AY96" s="4778"/>
      <c r="AZ96" s="1711"/>
      <c r="BA96" s="1711"/>
      <c r="BB96" s="4767"/>
      <c r="BC96" s="4789"/>
      <c r="BD96" s="4789"/>
      <c r="BE96" s="4789"/>
      <c r="BF96" s="4789"/>
      <c r="BG96" s="4789"/>
      <c r="BH96" s="4789"/>
      <c r="BI96" s="4778"/>
      <c r="BJ96" s="1711"/>
      <c r="BK96" s="1711"/>
      <c r="BL96" s="4767"/>
      <c r="BM96" s="4789"/>
      <c r="BN96" s="4789"/>
      <c r="BO96" s="4789"/>
      <c r="BP96" s="4789"/>
      <c r="BQ96" s="4789"/>
      <c r="BR96" s="4789"/>
      <c r="BS96" s="4778"/>
      <c r="BT96" s="1711"/>
      <c r="BU96" s="1711"/>
      <c r="BV96" s="1711"/>
      <c r="BW96" s="1725"/>
      <c r="BX96" s="23"/>
      <c r="BY96" s="822"/>
      <c r="BZ96" s="822"/>
      <c r="CA96" s="822"/>
      <c r="CB96" s="822"/>
      <c r="CC96" s="822"/>
      <c r="CD96" s="822"/>
      <c r="CE96" s="822"/>
      <c r="CF96" s="822"/>
      <c r="CG96" s="822"/>
      <c r="CH96" s="822"/>
      <c r="CI96" s="822"/>
      <c r="CJ96" s="822"/>
      <c r="CK96" s="822"/>
      <c r="CL96" s="822"/>
      <c r="CM96" s="822"/>
      <c r="CN96" s="822"/>
      <c r="CO96" s="822"/>
      <c r="CP96" s="822"/>
      <c r="CQ96" s="822"/>
      <c r="CR96" s="822"/>
      <c r="CS96" s="822"/>
      <c r="CT96" s="822"/>
      <c r="CU96" s="822"/>
      <c r="CV96" s="822"/>
      <c r="CW96" s="822"/>
      <c r="CX96" s="822"/>
      <c r="CY96" s="822"/>
      <c r="CZ96" s="822"/>
      <c r="DA96" s="822"/>
      <c r="DB96" s="822"/>
      <c r="DC96" s="822"/>
      <c r="DD96" s="822"/>
      <c r="DE96" s="822"/>
      <c r="DF96" s="822"/>
      <c r="DG96" s="822"/>
      <c r="DH96" s="822"/>
      <c r="DI96" s="822"/>
      <c r="DJ96" s="822"/>
      <c r="DK96" s="822"/>
      <c r="DL96" s="822"/>
      <c r="DM96" s="822"/>
      <c r="DN96" s="822"/>
      <c r="DO96" s="2297"/>
      <c r="DP96" s="2290"/>
      <c r="DQ96" s="2290"/>
      <c r="DR96" s="2290"/>
      <c r="DS96" s="2290"/>
      <c r="DT96" s="2290"/>
      <c r="DU96" s="2290"/>
      <c r="DV96" s="2290"/>
      <c r="DW96" s="2290"/>
      <c r="DX96" s="2290"/>
      <c r="DY96" s="2290"/>
      <c r="DZ96" s="2290"/>
      <c r="EA96" s="2290"/>
      <c r="EB96" s="2290"/>
      <c r="EC96" s="2291"/>
    </row>
    <row r="97" spans="5:133" ht="17.100000000000001" customHeight="1" thickTop="1" x14ac:dyDescent="0.3">
      <c r="E97" s="1723"/>
      <c r="F97" s="1726"/>
      <c r="G97" s="1711"/>
      <c r="H97" s="1711"/>
      <c r="I97" s="1711"/>
      <c r="J97" s="1711"/>
      <c r="K97" s="1711"/>
      <c r="L97" s="1711"/>
      <c r="M97" s="1711"/>
      <c r="N97" s="1711"/>
      <c r="O97" s="1711"/>
      <c r="P97" s="1711"/>
      <c r="Q97" s="1711"/>
      <c r="R97" s="1711"/>
      <c r="S97" s="1711"/>
      <c r="T97" s="1711"/>
      <c r="U97" s="1711"/>
      <c r="V97" s="1711"/>
      <c r="W97" s="1711"/>
      <c r="X97" s="1711"/>
      <c r="Y97" s="1711"/>
      <c r="Z97" s="1711"/>
      <c r="AA97" s="1711"/>
      <c r="AB97" s="1711"/>
      <c r="AC97" s="1711"/>
      <c r="AD97" s="1711"/>
      <c r="AE97" s="1711"/>
      <c r="AF97" s="1711"/>
      <c r="AG97" s="1711"/>
      <c r="AH97" s="1711"/>
      <c r="AI97" s="1711"/>
      <c r="AJ97" s="1711"/>
      <c r="AK97" s="1711"/>
      <c r="AL97" s="1711"/>
      <c r="AM97" s="1711"/>
      <c r="AN97" s="1711"/>
      <c r="AO97" s="1711"/>
      <c r="AP97" s="1715"/>
      <c r="AQ97" s="1711"/>
      <c r="AR97" s="1711"/>
      <c r="AS97" s="1711"/>
      <c r="AT97" s="1711"/>
      <c r="AU97" s="1711"/>
      <c r="AV97" s="1711"/>
      <c r="AW97" s="1711"/>
      <c r="AX97" s="1711"/>
      <c r="AY97" s="1711"/>
      <c r="AZ97" s="1711"/>
      <c r="BA97" s="1711"/>
      <c r="BB97" s="1711"/>
      <c r="BC97" s="1711"/>
      <c r="BD97" s="1711"/>
      <c r="BE97" s="1711"/>
      <c r="BF97" s="1711"/>
      <c r="BG97" s="1711"/>
      <c r="BH97" s="1711"/>
      <c r="BI97" s="1711"/>
      <c r="BJ97" s="1711"/>
      <c r="BK97" s="1711"/>
      <c r="BL97" s="1711"/>
      <c r="BM97" s="1711"/>
      <c r="BN97" s="1711"/>
      <c r="BO97" s="1711"/>
      <c r="BP97" s="1711"/>
      <c r="BQ97" s="1711"/>
      <c r="BR97" s="1711"/>
      <c r="BS97" s="1711"/>
      <c r="BT97" s="1711"/>
      <c r="BU97" s="1711"/>
      <c r="BV97" s="1727"/>
      <c r="BW97" s="1725"/>
      <c r="BX97" s="23"/>
      <c r="BY97" s="822"/>
      <c r="BZ97" s="822"/>
      <c r="CA97" s="822"/>
      <c r="CB97" s="822"/>
      <c r="CC97" s="822"/>
      <c r="CD97" s="822"/>
      <c r="CE97" s="822"/>
      <c r="CF97" s="822"/>
      <c r="CG97" s="822"/>
      <c r="CH97" s="822"/>
      <c r="CI97" s="822"/>
      <c r="CJ97" s="822"/>
      <c r="CK97" s="822"/>
      <c r="CL97" s="822"/>
      <c r="CM97" s="822"/>
      <c r="CN97" s="822"/>
      <c r="CO97" s="822"/>
      <c r="CP97" s="822"/>
      <c r="CQ97" s="822"/>
      <c r="CR97" s="822"/>
      <c r="CS97" s="822"/>
      <c r="CT97" s="822"/>
      <c r="CU97" s="822"/>
      <c r="CV97" s="822"/>
      <c r="CW97" s="822"/>
      <c r="CX97" s="822"/>
      <c r="CY97" s="822"/>
      <c r="CZ97" s="822"/>
      <c r="DA97" s="822"/>
      <c r="DB97" s="822"/>
      <c r="DC97" s="822"/>
      <c r="DD97" s="822"/>
      <c r="DE97" s="822"/>
      <c r="DF97" s="822"/>
      <c r="DG97" s="822"/>
      <c r="DH97" s="822"/>
      <c r="DI97" s="822"/>
      <c r="DJ97" s="822"/>
      <c r="DK97" s="822"/>
      <c r="DL97" s="822"/>
      <c r="DM97" s="822"/>
      <c r="DN97" s="822"/>
      <c r="DO97" s="2297"/>
      <c r="DP97" s="2290"/>
      <c r="DQ97" s="2290"/>
      <c r="DR97" s="2290"/>
      <c r="DS97" s="2290"/>
      <c r="DT97" s="2290"/>
      <c r="DU97" s="2290"/>
      <c r="DV97" s="2290"/>
      <c r="DW97" s="2290"/>
      <c r="DX97" s="2290"/>
      <c r="DY97" s="2290"/>
      <c r="DZ97" s="2290"/>
      <c r="EA97" s="2290"/>
      <c r="EB97" s="2290"/>
      <c r="EC97" s="2291"/>
    </row>
    <row r="98" spans="5:133" ht="17.100000000000001" customHeight="1" thickBot="1" x14ac:dyDescent="0.35">
      <c r="E98" s="1728"/>
      <c r="F98" s="1729"/>
      <c r="G98" s="1711"/>
      <c r="H98" s="1711"/>
      <c r="I98" s="1711"/>
      <c r="J98" s="1711"/>
      <c r="K98" s="1711"/>
      <c r="L98" s="1711"/>
      <c r="M98" s="1711"/>
      <c r="N98" s="1711"/>
      <c r="O98" s="1711"/>
      <c r="P98" s="1711"/>
      <c r="Q98" s="1711"/>
      <c r="R98" s="1711"/>
      <c r="S98" s="1711"/>
      <c r="T98" s="1711"/>
      <c r="U98" s="1711"/>
      <c r="V98" s="1711"/>
      <c r="W98" s="1711"/>
      <c r="X98" s="1711"/>
      <c r="Y98" s="1711"/>
      <c r="Z98" s="1711"/>
      <c r="AA98" s="1711"/>
      <c r="AB98" s="1711"/>
      <c r="AC98" s="1711"/>
      <c r="AD98" s="1716"/>
      <c r="AE98" s="1716"/>
      <c r="AF98" s="1716"/>
      <c r="AG98" s="1716"/>
      <c r="AH98" s="1716"/>
      <c r="AI98" s="1716"/>
      <c r="AJ98" s="1716"/>
      <c r="AK98" s="4863" t="s">
        <v>952</v>
      </c>
      <c r="AL98" s="4863"/>
      <c r="AM98" s="4863"/>
      <c r="AN98" s="4863"/>
      <c r="AO98" s="4863"/>
      <c r="AP98" s="4863"/>
      <c r="AQ98" s="4863"/>
      <c r="AR98" s="1716"/>
      <c r="AS98" s="1716"/>
      <c r="AT98" s="1716"/>
      <c r="AU98" s="1716"/>
      <c r="AV98" s="1716"/>
      <c r="AW98" s="1716"/>
      <c r="AX98" s="1716"/>
      <c r="AY98" s="1716"/>
      <c r="AZ98" s="1711"/>
      <c r="BA98" s="1711"/>
      <c r="BB98" s="1711"/>
      <c r="BC98" s="1711"/>
      <c r="BD98" s="1711"/>
      <c r="BE98" s="1711"/>
      <c r="BF98" s="1711"/>
      <c r="BG98" s="1711"/>
      <c r="BH98" s="1711"/>
      <c r="BI98" s="1711"/>
      <c r="BJ98" s="1711"/>
      <c r="BK98" s="1711"/>
      <c r="BL98" s="1711"/>
      <c r="BM98" s="1711"/>
      <c r="BN98" s="1711"/>
      <c r="BO98" s="1711"/>
      <c r="BP98" s="1711"/>
      <c r="BQ98" s="1711"/>
      <c r="BR98" s="1711"/>
      <c r="BS98" s="1711"/>
      <c r="BT98" s="1711"/>
      <c r="BU98" s="1711"/>
      <c r="BV98" s="1729"/>
      <c r="BW98" s="1730"/>
      <c r="BX98" s="23"/>
      <c r="BY98" s="822"/>
      <c r="BZ98" s="822"/>
      <c r="CA98" s="822"/>
      <c r="CB98" s="822"/>
      <c r="CC98" s="822"/>
      <c r="CD98" s="822"/>
      <c r="CE98" s="822"/>
      <c r="CF98" s="822"/>
      <c r="CG98" s="822"/>
      <c r="CH98" s="822"/>
      <c r="CI98" s="822"/>
      <c r="CJ98" s="822"/>
      <c r="CK98" s="822"/>
      <c r="CL98" s="822"/>
      <c r="CM98" s="822"/>
      <c r="CN98" s="822"/>
      <c r="CO98" s="822"/>
      <c r="CP98" s="822"/>
      <c r="CQ98" s="822"/>
      <c r="CR98" s="822"/>
      <c r="CS98" s="822"/>
      <c r="CT98" s="822"/>
      <c r="CU98" s="822"/>
      <c r="CV98" s="822"/>
      <c r="CW98" s="822"/>
      <c r="CX98" s="822"/>
      <c r="CY98" s="822"/>
      <c r="CZ98" s="822"/>
      <c r="DA98" s="822"/>
      <c r="DB98" s="822"/>
      <c r="DC98" s="822"/>
      <c r="DD98" s="822"/>
      <c r="DE98" s="822"/>
      <c r="DF98" s="822"/>
      <c r="DG98" s="822"/>
      <c r="DH98" s="822"/>
      <c r="DI98" s="822"/>
      <c r="DJ98" s="822"/>
      <c r="DK98" s="822"/>
      <c r="DL98" s="822"/>
      <c r="DM98" s="822"/>
      <c r="DN98" s="822"/>
      <c r="DO98" s="2297"/>
      <c r="DP98" s="2290"/>
      <c r="DQ98" s="2290"/>
      <c r="DR98" s="2290"/>
      <c r="DS98" s="2290"/>
      <c r="DT98" s="2290"/>
      <c r="DU98" s="2290"/>
      <c r="DV98" s="2290"/>
      <c r="DW98" s="2290"/>
      <c r="DX98" s="2290"/>
      <c r="DY98" s="2290"/>
      <c r="DZ98" s="2290"/>
      <c r="EA98" s="2290"/>
      <c r="EB98" s="2290"/>
      <c r="EC98" s="2291"/>
    </row>
    <row r="99" spans="5:133" ht="17.100000000000001" customHeight="1" thickTop="1" x14ac:dyDescent="0.3">
      <c r="E99" s="1253"/>
      <c r="F99" s="1253"/>
      <c r="G99" s="1723"/>
      <c r="H99" s="1726"/>
      <c r="I99" s="1711"/>
      <c r="J99" s="1711"/>
      <c r="K99" s="1711"/>
      <c r="L99" s="1711"/>
      <c r="M99" s="1711"/>
      <c r="N99" s="1711"/>
      <c r="O99" s="1711"/>
      <c r="P99" s="1711"/>
      <c r="Q99" s="1711"/>
      <c r="R99" s="1711"/>
      <c r="S99" s="1711"/>
      <c r="T99" s="1711"/>
      <c r="U99" s="1711"/>
      <c r="V99" s="1711"/>
      <c r="W99" s="1711"/>
      <c r="X99" s="1711"/>
      <c r="Y99" s="1711"/>
      <c r="Z99" s="1711"/>
      <c r="AA99" s="1711"/>
      <c r="AB99" s="1711"/>
      <c r="AC99" s="1716"/>
      <c r="AD99" s="1716"/>
      <c r="AE99" s="1716"/>
      <c r="AF99" s="1716"/>
      <c r="AG99" s="1716"/>
      <c r="AH99" s="1716"/>
      <c r="AI99" s="1716"/>
      <c r="AJ99" s="1716"/>
      <c r="AK99" s="4863"/>
      <c r="AL99" s="4863"/>
      <c r="AM99" s="4863"/>
      <c r="AN99" s="4863"/>
      <c r="AO99" s="4863"/>
      <c r="AP99" s="4863"/>
      <c r="AQ99" s="4863"/>
      <c r="AR99" s="1716"/>
      <c r="AS99" s="1716"/>
      <c r="AT99" s="1716"/>
      <c r="AU99" s="1716"/>
      <c r="AV99" s="1716"/>
      <c r="AW99" s="1716"/>
      <c r="AX99" s="1716"/>
      <c r="AY99" s="1716"/>
      <c r="AZ99" s="1711"/>
      <c r="BA99" s="1711"/>
      <c r="BB99" s="1711"/>
      <c r="BC99" s="1711"/>
      <c r="BD99" s="1711"/>
      <c r="BE99" s="1711"/>
      <c r="BF99" s="1711"/>
      <c r="BG99" s="1711"/>
      <c r="BH99" s="1711"/>
      <c r="BI99" s="1711"/>
      <c r="BJ99" s="1711"/>
      <c r="BK99" s="1711"/>
      <c r="BL99" s="1711"/>
      <c r="BM99" s="1711"/>
      <c r="BN99" s="1711"/>
      <c r="BO99" s="1711"/>
      <c r="BP99" s="1711"/>
      <c r="BQ99" s="1711"/>
      <c r="BR99" s="1711"/>
      <c r="BS99" s="1711"/>
      <c r="BT99" s="1727"/>
      <c r="BU99" s="1725"/>
      <c r="BV99" s="1253"/>
      <c r="BW99" s="1253"/>
      <c r="BX99" s="19"/>
      <c r="BY99" s="822"/>
      <c r="BZ99" s="822"/>
      <c r="CA99" s="822"/>
      <c r="CB99" s="822"/>
      <c r="CC99" s="822"/>
      <c r="CD99" s="822"/>
      <c r="CE99" s="822"/>
      <c r="CF99" s="822"/>
      <c r="CG99" s="822"/>
      <c r="CH99" s="822"/>
      <c r="CI99" s="822"/>
      <c r="CJ99" s="822"/>
      <c r="CK99" s="822"/>
      <c r="CL99" s="822"/>
      <c r="CM99" s="822"/>
      <c r="CN99" s="822"/>
      <c r="CO99" s="822"/>
      <c r="CP99" s="822"/>
      <c r="CQ99" s="822"/>
      <c r="CR99" s="822"/>
      <c r="CS99" s="822"/>
      <c r="CT99" s="822"/>
      <c r="CU99" s="822"/>
      <c r="CV99" s="822"/>
      <c r="CW99" s="822"/>
      <c r="CX99" s="822"/>
      <c r="CY99" s="822"/>
      <c r="CZ99" s="822"/>
      <c r="DA99" s="822"/>
      <c r="DB99" s="822"/>
      <c r="DC99" s="822"/>
      <c r="DD99" s="822"/>
      <c r="DE99" s="822"/>
      <c r="DF99" s="822"/>
      <c r="DG99" s="822"/>
      <c r="DH99" s="822"/>
      <c r="DI99" s="822"/>
      <c r="DJ99" s="822"/>
      <c r="DK99" s="822"/>
      <c r="DL99" s="822"/>
      <c r="DM99" s="822"/>
      <c r="DN99" s="822"/>
      <c r="DO99" s="2297"/>
      <c r="DP99" s="2290"/>
      <c r="DQ99" s="2290"/>
      <c r="DR99" s="2290"/>
      <c r="DS99" s="2290"/>
      <c r="DT99" s="2290"/>
      <c r="DU99" s="2290"/>
      <c r="DV99" s="2290"/>
      <c r="DW99" s="2290"/>
      <c r="DX99" s="2290"/>
      <c r="DY99" s="2290"/>
      <c r="DZ99" s="2290"/>
      <c r="EA99" s="2290"/>
      <c r="EB99" s="2290"/>
      <c r="EC99" s="2291"/>
    </row>
    <row r="100" spans="5:133" ht="17.100000000000001" customHeight="1" thickBot="1" x14ac:dyDescent="0.35">
      <c r="E100" s="1253"/>
      <c r="F100" s="1253"/>
      <c r="G100" s="1728"/>
      <c r="H100" s="1729"/>
      <c r="I100" s="1729"/>
      <c r="J100" s="1729"/>
      <c r="K100" s="1729"/>
      <c r="L100" s="1729"/>
      <c r="M100" s="1729"/>
      <c r="N100" s="1729"/>
      <c r="O100" s="1729"/>
      <c r="P100" s="1729"/>
      <c r="Q100" s="1729"/>
      <c r="R100" s="1729"/>
      <c r="S100" s="1729"/>
      <c r="T100" s="1729"/>
      <c r="U100" s="1729"/>
      <c r="V100" s="1729"/>
      <c r="W100" s="1729"/>
      <c r="X100" s="1729"/>
      <c r="Y100" s="1729"/>
      <c r="Z100" s="1729"/>
      <c r="AA100" s="1711"/>
      <c r="AB100" s="1711"/>
      <c r="AC100" s="1711"/>
      <c r="AD100" s="1711"/>
      <c r="AE100" s="1711"/>
      <c r="AF100" s="1711"/>
      <c r="AG100" s="1711"/>
      <c r="AH100" s="1711"/>
      <c r="AI100" s="1711"/>
      <c r="AJ100" s="1717"/>
      <c r="AK100" s="1717"/>
      <c r="AL100" s="1717"/>
      <c r="AM100" s="2298"/>
      <c r="AN100" s="2298"/>
      <c r="AO100" s="2298"/>
      <c r="AP100" s="1717"/>
      <c r="AQ100" s="1717"/>
      <c r="AR100" s="1717"/>
      <c r="AS100" s="1717"/>
      <c r="AT100" s="1718"/>
      <c r="AU100" s="1711"/>
      <c r="AV100" s="1711"/>
      <c r="AW100" s="1711"/>
      <c r="AX100" s="1711"/>
      <c r="AY100" s="1711"/>
      <c r="AZ100" s="1711"/>
      <c r="BA100" s="1711"/>
      <c r="BB100" s="1729"/>
      <c r="BC100" s="1729"/>
      <c r="BD100" s="1729"/>
      <c r="BE100" s="1729"/>
      <c r="BF100" s="1729"/>
      <c r="BG100" s="1729"/>
      <c r="BH100" s="1729"/>
      <c r="BI100" s="1729"/>
      <c r="BJ100" s="1729"/>
      <c r="BK100" s="1729"/>
      <c r="BL100" s="1729"/>
      <c r="BM100" s="1729"/>
      <c r="BN100" s="1729"/>
      <c r="BO100" s="1729"/>
      <c r="BP100" s="1729"/>
      <c r="BQ100" s="1729"/>
      <c r="BR100" s="1729"/>
      <c r="BS100" s="1729"/>
      <c r="BT100" s="1729"/>
      <c r="BU100" s="1730"/>
      <c r="BV100" s="1253"/>
      <c r="BW100" s="1253"/>
      <c r="BX100" s="19"/>
      <c r="BY100" s="822"/>
      <c r="BZ100" s="822"/>
      <c r="CA100" s="822"/>
      <c r="CB100" s="822"/>
      <c r="CC100" s="822"/>
      <c r="CD100" s="822"/>
      <c r="CE100" s="822"/>
      <c r="CF100" s="822"/>
      <c r="CG100" s="822"/>
      <c r="CH100" s="822"/>
      <c r="CI100" s="822"/>
      <c r="CJ100" s="822"/>
      <c r="CK100" s="822"/>
      <c r="CL100" s="822"/>
      <c r="CM100" s="822"/>
      <c r="CN100" s="822"/>
      <c r="CO100" s="822"/>
      <c r="CP100" s="822"/>
      <c r="CQ100" s="822"/>
      <c r="CR100" s="822"/>
      <c r="CS100" s="822"/>
      <c r="CT100" s="822"/>
      <c r="CU100" s="822"/>
      <c r="CV100" s="822"/>
      <c r="CW100" s="822"/>
      <c r="CX100" s="822"/>
      <c r="CY100" s="822"/>
      <c r="CZ100" s="822"/>
      <c r="DA100" s="822"/>
      <c r="DB100" s="822"/>
      <c r="DC100" s="822"/>
      <c r="DD100" s="822"/>
      <c r="DE100" s="822"/>
      <c r="DF100" s="822"/>
      <c r="DG100" s="822"/>
      <c r="DH100" s="822"/>
      <c r="DI100" s="822"/>
      <c r="DJ100" s="822"/>
      <c r="DK100" s="822"/>
      <c r="DL100" s="822"/>
      <c r="DM100" s="822"/>
      <c r="DN100" s="822"/>
      <c r="DO100" s="2297"/>
      <c r="DP100" s="2290"/>
      <c r="DQ100" s="2290"/>
      <c r="DR100" s="2290"/>
      <c r="DS100" s="2290"/>
      <c r="DT100" s="2290"/>
      <c r="DU100" s="2290"/>
      <c r="DV100" s="2290"/>
      <c r="DW100" s="2290"/>
      <c r="DX100" s="2290"/>
      <c r="DY100" s="2290"/>
      <c r="DZ100" s="2290"/>
      <c r="EA100" s="2290"/>
      <c r="EB100" s="2290"/>
      <c r="EC100" s="2291"/>
    </row>
    <row r="101" spans="5:133" ht="17.100000000000001" customHeight="1" thickTop="1" x14ac:dyDescent="0.3">
      <c r="E101" s="1253"/>
      <c r="F101" s="1253"/>
      <c r="G101" s="1253"/>
      <c r="H101" s="1253"/>
      <c r="I101" s="1253"/>
      <c r="J101" s="1253"/>
      <c r="K101" s="1253"/>
      <c r="L101" s="1253"/>
      <c r="M101" s="1253"/>
      <c r="N101" s="1253"/>
      <c r="O101" s="1253"/>
      <c r="P101" s="1253"/>
      <c r="Q101" s="1253"/>
      <c r="R101" s="1253"/>
      <c r="S101" s="1253"/>
      <c r="T101" s="1253"/>
      <c r="U101" s="1253"/>
      <c r="V101" s="1253"/>
      <c r="W101" s="1253"/>
      <c r="X101" s="1253"/>
      <c r="Y101" s="1253"/>
      <c r="Z101" s="1253"/>
      <c r="AA101" s="1723"/>
      <c r="AB101" s="1726"/>
      <c r="AC101" s="1711"/>
      <c r="AD101" s="1711"/>
      <c r="AE101" s="1711"/>
      <c r="AF101" s="1711"/>
      <c r="AG101" s="1711"/>
      <c r="AH101" s="1711"/>
      <c r="AI101" s="1711"/>
      <c r="AJ101" s="1711"/>
      <c r="AK101" s="1711"/>
      <c r="AL101" s="1711"/>
      <c r="AM101" s="1711"/>
      <c r="AN101" s="1702"/>
      <c r="AO101" s="1711"/>
      <c r="AP101" s="1711"/>
      <c r="AQ101" s="1711"/>
      <c r="AR101" s="1711"/>
      <c r="AS101" s="1711"/>
      <c r="AT101" s="1711"/>
      <c r="AU101" s="1711"/>
      <c r="AV101" s="1711"/>
      <c r="AW101" s="1711"/>
      <c r="AX101" s="1711"/>
      <c r="AY101" s="1711"/>
      <c r="AZ101" s="1727"/>
      <c r="BA101" s="1725"/>
      <c r="BB101" s="1253"/>
      <c r="BC101" s="1253"/>
      <c r="BD101" s="1253"/>
      <c r="BE101" s="1253"/>
      <c r="BF101" s="1253"/>
      <c r="BG101" s="1253"/>
      <c r="BH101" s="1253"/>
      <c r="BI101" s="1253"/>
      <c r="BJ101" s="1253"/>
      <c r="BK101" s="1253"/>
      <c r="BL101" s="1253"/>
      <c r="BM101" s="1253"/>
      <c r="BN101" s="1253"/>
      <c r="BO101" s="1253"/>
      <c r="BP101" s="1253"/>
      <c r="BQ101" s="1253"/>
      <c r="BR101" s="1253"/>
      <c r="BS101" s="1253"/>
      <c r="BT101" s="1253"/>
      <c r="BU101" s="1253"/>
      <c r="BV101" s="1253"/>
      <c r="BW101" s="1253"/>
      <c r="BX101" s="19"/>
      <c r="BY101" s="822"/>
      <c r="BZ101" s="822"/>
      <c r="CA101" s="822"/>
      <c r="CB101" s="822"/>
      <c r="CC101" s="822"/>
      <c r="CD101" s="822"/>
      <c r="CE101" s="822"/>
      <c r="CF101" s="822"/>
      <c r="CG101" s="822"/>
      <c r="CH101" s="822"/>
      <c r="CI101" s="822"/>
      <c r="CJ101" s="822"/>
      <c r="CK101" s="822"/>
      <c r="CL101" s="822"/>
      <c r="CM101" s="822"/>
      <c r="CN101" s="822"/>
      <c r="CO101" s="822"/>
      <c r="CP101" s="822"/>
      <c r="CQ101" s="822"/>
      <c r="CR101" s="822"/>
      <c r="CS101" s="822"/>
      <c r="CT101" s="822"/>
      <c r="CU101" s="822"/>
      <c r="CV101" s="822"/>
      <c r="CW101" s="822"/>
      <c r="CX101" s="822"/>
      <c r="CY101" s="822"/>
      <c r="CZ101" s="822"/>
      <c r="DA101" s="822"/>
      <c r="DB101" s="822"/>
      <c r="DC101" s="822"/>
      <c r="DD101" s="822"/>
      <c r="DE101" s="822"/>
      <c r="DF101" s="822"/>
      <c r="DG101" s="822"/>
      <c r="DH101" s="822"/>
      <c r="DI101" s="822"/>
      <c r="DJ101" s="822"/>
      <c r="DK101" s="822"/>
      <c r="DL101" s="822"/>
      <c r="DM101" s="822"/>
      <c r="DN101" s="822"/>
      <c r="DO101" s="2297"/>
      <c r="DP101" s="2290"/>
      <c r="DQ101" s="2290"/>
      <c r="DR101" s="2290"/>
      <c r="DS101" s="2290"/>
      <c r="DT101" s="2290"/>
      <c r="DU101" s="2290"/>
      <c r="DV101" s="2290"/>
      <c r="DW101" s="2290"/>
      <c r="DX101" s="2290"/>
      <c r="DY101" s="2290"/>
      <c r="DZ101" s="2290"/>
      <c r="EA101" s="2290"/>
      <c r="EB101" s="2290"/>
      <c r="EC101" s="2291"/>
    </row>
    <row r="102" spans="5:133" ht="17.100000000000001" customHeight="1" thickBot="1" x14ac:dyDescent="0.35">
      <c r="E102" s="1253"/>
      <c r="F102" s="1253"/>
      <c r="G102" s="1253"/>
      <c r="H102" s="1253"/>
      <c r="I102" s="1253"/>
      <c r="J102" s="1253"/>
      <c r="K102" s="1253"/>
      <c r="L102" s="1253"/>
      <c r="M102" s="1253"/>
      <c r="N102" s="1253"/>
      <c r="O102" s="1253"/>
      <c r="P102" s="1253"/>
      <c r="Q102" s="1253"/>
      <c r="R102" s="1253"/>
      <c r="S102" s="1253"/>
      <c r="T102" s="1253"/>
      <c r="U102" s="1253"/>
      <c r="V102" s="1253"/>
      <c r="W102" s="1253"/>
      <c r="X102" s="1253"/>
      <c r="Y102" s="1253"/>
      <c r="Z102" s="1253"/>
      <c r="AA102" s="1728"/>
      <c r="AB102" s="1729"/>
      <c r="AC102" s="1729"/>
      <c r="AD102" s="1729"/>
      <c r="AE102" s="1729"/>
      <c r="AF102" s="1729"/>
      <c r="AG102" s="1729"/>
      <c r="AH102" s="1729"/>
      <c r="AI102" s="1729"/>
      <c r="AJ102" s="1729"/>
      <c r="AK102" s="1729"/>
      <c r="AL102" s="1729"/>
      <c r="AM102" s="1729"/>
      <c r="AN102" s="1729"/>
      <c r="AO102" s="1729"/>
      <c r="AP102" s="1729"/>
      <c r="AQ102" s="1729"/>
      <c r="AR102" s="1729"/>
      <c r="AS102" s="1729"/>
      <c r="AT102" s="1729"/>
      <c r="AU102" s="1729"/>
      <c r="AV102" s="1729"/>
      <c r="AW102" s="1729"/>
      <c r="AX102" s="1729"/>
      <c r="AY102" s="1729"/>
      <c r="AZ102" s="1729"/>
      <c r="BA102" s="1730"/>
      <c r="BB102" s="1253"/>
      <c r="BC102" s="1253"/>
      <c r="BD102" s="1253"/>
      <c r="BE102" s="1253"/>
      <c r="BF102" s="1253"/>
      <c r="BG102" s="1253"/>
      <c r="BH102" s="1253"/>
      <c r="BI102" s="1253"/>
      <c r="BJ102" s="1253"/>
      <c r="BK102" s="1253"/>
      <c r="BL102" s="1253"/>
      <c r="BM102" s="1253"/>
      <c r="BN102" s="1253"/>
      <c r="BO102" s="1253"/>
      <c r="BP102" s="1253"/>
      <c r="BQ102" s="1253"/>
      <c r="BR102" s="1253"/>
      <c r="BS102" s="1253"/>
      <c r="BT102" s="1253"/>
      <c r="BU102" s="1253"/>
      <c r="BV102" s="1253"/>
      <c r="BW102" s="1253"/>
      <c r="BX102" s="19"/>
      <c r="BY102" s="822"/>
      <c r="BZ102" s="822"/>
      <c r="CA102" s="822"/>
      <c r="CB102" s="822"/>
      <c r="CC102" s="822"/>
      <c r="CD102" s="822"/>
      <c r="CE102" s="822"/>
      <c r="CF102" s="822"/>
      <c r="CG102" s="822"/>
      <c r="CH102" s="822"/>
      <c r="CI102" s="822"/>
      <c r="CJ102" s="822"/>
      <c r="CK102" s="822"/>
      <c r="CL102" s="822"/>
      <c r="CM102" s="822"/>
      <c r="CN102" s="822"/>
      <c r="CO102" s="822"/>
      <c r="CP102" s="822"/>
      <c r="CQ102" s="822"/>
      <c r="CR102" s="822"/>
      <c r="CS102" s="822"/>
      <c r="CT102" s="822"/>
      <c r="CU102" s="822"/>
      <c r="CV102" s="822"/>
      <c r="CW102" s="822"/>
      <c r="CX102" s="822"/>
      <c r="CY102" s="822"/>
      <c r="CZ102" s="822"/>
      <c r="DA102" s="822"/>
      <c r="DB102" s="822"/>
      <c r="DC102" s="822"/>
      <c r="DD102" s="822"/>
      <c r="DE102" s="822"/>
      <c r="DF102" s="822"/>
      <c r="DG102" s="822"/>
      <c r="DH102" s="822"/>
      <c r="DI102" s="822"/>
      <c r="DJ102" s="822"/>
      <c r="DK102" s="822"/>
      <c r="DL102" s="822"/>
      <c r="DM102" s="822"/>
      <c r="DN102" s="822"/>
      <c r="DO102" s="2297"/>
      <c r="DP102" s="2290"/>
      <c r="DQ102" s="2290"/>
      <c r="DR102" s="2290"/>
      <c r="DS102" s="2290"/>
      <c r="DT102" s="2290"/>
      <c r="DU102" s="2290"/>
      <c r="DV102" s="2290"/>
      <c r="DW102" s="2290"/>
      <c r="DX102" s="2290"/>
      <c r="DY102" s="2290"/>
      <c r="DZ102" s="2290"/>
      <c r="EA102" s="2290"/>
      <c r="EB102" s="2290"/>
      <c r="EC102" s="2291"/>
    </row>
    <row r="103" spans="5:133" ht="17.100000000000001" customHeight="1" thickTop="1" x14ac:dyDescent="0.3">
      <c r="R103" s="822"/>
      <c r="S103" s="822"/>
      <c r="T103" s="822"/>
      <c r="U103" s="822"/>
      <c r="V103" s="822"/>
      <c r="W103" s="822"/>
      <c r="X103" s="822"/>
      <c r="Y103" s="822"/>
      <c r="Z103" s="822"/>
      <c r="AA103" s="822"/>
      <c r="AB103" s="822"/>
      <c r="AC103" s="822"/>
      <c r="AD103" s="822"/>
      <c r="AE103" s="822"/>
      <c r="AF103" s="822"/>
      <c r="AG103" s="822"/>
      <c r="AH103" s="822"/>
      <c r="AI103" s="822"/>
      <c r="AJ103" s="822"/>
      <c r="AK103" s="822"/>
      <c r="AL103" s="822"/>
      <c r="AM103" s="822"/>
      <c r="AN103" s="822"/>
      <c r="AO103" s="822"/>
      <c r="AP103" s="822"/>
      <c r="AQ103" s="822"/>
      <c r="AR103" s="822"/>
      <c r="AS103" s="822"/>
      <c r="AT103" s="822"/>
      <c r="AU103" s="822"/>
      <c r="AV103" s="822"/>
      <c r="AW103" s="822"/>
      <c r="AX103" s="822"/>
      <c r="AY103" s="822"/>
      <c r="AZ103" s="822"/>
      <c r="BA103" s="822"/>
      <c r="BB103" s="822"/>
      <c r="BC103" s="822"/>
      <c r="BD103" s="822"/>
      <c r="BE103" s="822"/>
      <c r="BF103" s="822"/>
      <c r="BG103" s="822"/>
      <c r="BH103" s="822"/>
      <c r="BI103" s="822"/>
      <c r="BJ103" s="822"/>
      <c r="BK103" s="822"/>
      <c r="BL103" s="822"/>
      <c r="BM103" s="822"/>
      <c r="BN103" s="822"/>
      <c r="BO103" s="822"/>
      <c r="BP103" s="822"/>
      <c r="BQ103" s="822"/>
      <c r="BR103" s="822"/>
      <c r="BS103" s="822"/>
      <c r="BT103" s="822"/>
      <c r="BU103" s="822"/>
      <c r="BV103" s="822"/>
      <c r="BX103" s="822"/>
      <c r="BY103" s="822"/>
      <c r="BZ103" s="822"/>
      <c r="CA103" s="822"/>
      <c r="CB103" s="822"/>
      <c r="CC103" s="822"/>
      <c r="CD103" s="822"/>
      <c r="CE103" s="822"/>
      <c r="CF103" s="822"/>
      <c r="CG103" s="822"/>
      <c r="CH103" s="822"/>
      <c r="CI103" s="822"/>
      <c r="CJ103" s="822"/>
      <c r="CK103" s="822"/>
      <c r="CL103" s="822"/>
      <c r="CM103" s="822"/>
      <c r="CN103" s="822"/>
      <c r="CO103" s="822"/>
      <c r="CP103" s="822"/>
      <c r="CQ103" s="822"/>
      <c r="CR103" s="822"/>
      <c r="CS103" s="822"/>
      <c r="CT103" s="822"/>
      <c r="CU103" s="822"/>
      <c r="CV103" s="822"/>
      <c r="CW103" s="822"/>
      <c r="CX103" s="822"/>
      <c r="CY103" s="822"/>
      <c r="CZ103" s="822"/>
      <c r="DA103" s="822"/>
      <c r="DB103" s="822"/>
      <c r="DC103" s="822"/>
      <c r="DD103" s="822"/>
      <c r="DE103" s="822"/>
      <c r="DF103" s="822"/>
      <c r="DG103" s="822"/>
      <c r="DH103" s="822"/>
      <c r="DI103" s="822"/>
      <c r="DJ103" s="822"/>
      <c r="DK103" s="822"/>
      <c r="DL103" s="822"/>
      <c r="DM103" s="822"/>
      <c r="DN103" s="822"/>
      <c r="DO103" s="2297"/>
      <c r="DP103" s="2290"/>
      <c r="DQ103" s="2290"/>
      <c r="DR103" s="2290"/>
      <c r="DS103" s="2290"/>
      <c r="DT103" s="2290"/>
      <c r="DU103" s="2290"/>
      <c r="DV103" s="2290"/>
      <c r="DW103" s="2290"/>
      <c r="DX103" s="2290"/>
      <c r="DY103" s="2290"/>
      <c r="DZ103" s="2290"/>
      <c r="EA103" s="2290"/>
      <c r="EB103" s="2290"/>
      <c r="EC103" s="2291"/>
    </row>
    <row r="104" spans="5:133" ht="17.100000000000001" customHeight="1" x14ac:dyDescent="0.3">
      <c r="R104" s="822"/>
      <c r="S104" s="822"/>
      <c r="T104" s="822"/>
      <c r="U104" s="822"/>
      <c r="V104" s="822"/>
      <c r="W104" s="822"/>
      <c r="X104" s="822"/>
      <c r="Y104" s="822"/>
      <c r="Z104" s="822"/>
      <c r="AA104" s="822"/>
      <c r="AB104" s="822"/>
      <c r="AC104" s="822"/>
      <c r="AD104" s="822"/>
      <c r="AE104" s="822"/>
      <c r="AF104" s="822"/>
      <c r="AG104" s="822"/>
      <c r="AH104" s="822"/>
      <c r="AI104" s="822"/>
      <c r="AJ104" s="822"/>
      <c r="AK104" s="822"/>
      <c r="AL104" s="822"/>
      <c r="AM104" s="822"/>
      <c r="AN104" s="34" t="s">
        <v>9</v>
      </c>
      <c r="AO104" s="822"/>
      <c r="AP104" s="822"/>
      <c r="AQ104" s="822"/>
      <c r="AR104" s="822"/>
      <c r="AS104" s="822"/>
      <c r="AT104" s="822"/>
      <c r="AU104" s="822"/>
      <c r="AV104" s="822"/>
      <c r="AW104" s="822"/>
      <c r="AX104" s="822"/>
      <c r="AY104" s="822"/>
      <c r="AZ104" s="822"/>
      <c r="BA104" s="822"/>
      <c r="BB104" s="822"/>
      <c r="BC104" s="822"/>
      <c r="BD104" s="822"/>
      <c r="BE104" s="822"/>
      <c r="BF104" s="822"/>
      <c r="BG104" s="822"/>
      <c r="BH104" s="822"/>
      <c r="BI104" s="822"/>
      <c r="BJ104" s="822"/>
      <c r="BK104" s="822"/>
      <c r="BL104" s="822"/>
      <c r="BM104" s="822"/>
      <c r="BN104" s="822"/>
      <c r="BO104" s="822"/>
      <c r="BP104" s="822"/>
      <c r="BQ104" s="822"/>
      <c r="BR104" s="822"/>
      <c r="BS104" s="822"/>
      <c r="BT104" s="822"/>
      <c r="BU104" s="822"/>
      <c r="BV104" s="822"/>
      <c r="BX104" s="822"/>
      <c r="BY104" s="822"/>
      <c r="BZ104" s="822"/>
      <c r="CA104" s="822"/>
      <c r="CB104" s="822"/>
      <c r="CC104" s="822"/>
      <c r="CD104" s="822"/>
      <c r="CE104" s="822"/>
      <c r="CF104" s="822"/>
      <c r="CG104" s="822"/>
      <c r="CH104" s="822"/>
      <c r="CI104" s="822"/>
      <c r="CJ104" s="822"/>
      <c r="CK104" s="822"/>
      <c r="CL104" s="822"/>
      <c r="CM104" s="822"/>
      <c r="CN104" s="822"/>
      <c r="CO104" s="822"/>
      <c r="CP104" s="822"/>
      <c r="CQ104" s="822"/>
      <c r="CR104" s="822"/>
      <c r="CS104" s="822"/>
      <c r="CT104" s="822"/>
      <c r="CU104" s="822"/>
      <c r="CV104" s="822"/>
      <c r="CW104" s="822"/>
      <c r="CX104" s="822"/>
      <c r="CY104" s="822"/>
      <c r="CZ104" s="822"/>
      <c r="DA104" s="822"/>
      <c r="DB104" s="822"/>
      <c r="DC104" s="822"/>
      <c r="DD104" s="822"/>
      <c r="DE104" s="822"/>
      <c r="DF104" s="822"/>
      <c r="DG104" s="822"/>
      <c r="DH104" s="822"/>
      <c r="DI104" s="822"/>
      <c r="DJ104" s="822"/>
      <c r="DK104" s="822"/>
      <c r="DL104" s="822"/>
      <c r="DM104" s="822"/>
      <c r="DN104" s="822"/>
      <c r="DO104" s="2297"/>
      <c r="DP104" s="2290"/>
      <c r="DQ104" s="2290"/>
      <c r="DR104" s="2290"/>
      <c r="DS104" s="2290"/>
      <c r="DT104" s="2290"/>
      <c r="DU104" s="2290"/>
      <c r="DV104" s="2290"/>
      <c r="DW104" s="2290"/>
      <c r="DX104" s="2290"/>
      <c r="DY104" s="2290"/>
      <c r="DZ104" s="2290"/>
      <c r="EA104" s="2290"/>
      <c r="EB104" s="2290"/>
      <c r="EC104" s="2291"/>
    </row>
    <row r="105" spans="5:133" ht="17.100000000000001" customHeight="1" thickBot="1" x14ac:dyDescent="0.35">
      <c r="R105" s="822"/>
      <c r="S105" s="822"/>
      <c r="T105" s="822"/>
      <c r="U105" s="822"/>
      <c r="V105" s="822"/>
      <c r="W105" s="822"/>
      <c r="X105" s="822"/>
      <c r="Y105" s="822"/>
      <c r="Z105" s="822"/>
      <c r="AA105" s="822"/>
      <c r="AB105" s="822"/>
      <c r="AC105" s="822"/>
      <c r="AD105" s="822"/>
      <c r="AE105" s="822"/>
      <c r="AF105" s="822"/>
      <c r="AG105" s="822"/>
      <c r="AH105" s="822"/>
      <c r="AI105" s="822"/>
      <c r="AJ105" s="822"/>
      <c r="AK105" s="822"/>
      <c r="AL105" s="822"/>
      <c r="AM105" s="822"/>
      <c r="AN105" s="34" t="s">
        <v>9</v>
      </c>
      <c r="AO105" s="822"/>
      <c r="AP105" s="822"/>
      <c r="AQ105" s="822"/>
      <c r="AR105" s="822"/>
      <c r="AS105" s="822"/>
      <c r="AT105" s="822"/>
      <c r="AU105" s="822"/>
      <c r="AV105" s="822"/>
      <c r="AW105" s="822"/>
      <c r="AX105" s="822"/>
      <c r="AY105" s="822"/>
      <c r="AZ105" s="822"/>
      <c r="BA105" s="822"/>
      <c r="BB105" s="822"/>
      <c r="BC105" s="822"/>
      <c r="BD105" s="822"/>
      <c r="BE105" s="822"/>
      <c r="BF105" s="822"/>
      <c r="BG105" s="822"/>
      <c r="BH105" s="822"/>
      <c r="BI105" s="822"/>
      <c r="BJ105" s="822"/>
      <c r="BK105" s="822"/>
      <c r="BL105" s="822"/>
      <c r="BM105" s="822"/>
      <c r="BN105" s="822"/>
      <c r="BO105" s="822"/>
      <c r="BP105" s="822"/>
      <c r="BQ105" s="822"/>
      <c r="BR105" s="822"/>
      <c r="BS105" s="822"/>
      <c r="BT105" s="822"/>
      <c r="BU105" s="822"/>
      <c r="BV105" s="822"/>
      <c r="BX105" s="822"/>
      <c r="BY105" s="822"/>
      <c r="BZ105" s="822"/>
      <c r="CA105" s="822"/>
      <c r="CB105" s="822"/>
      <c r="CC105" s="822"/>
      <c r="CD105" s="822"/>
      <c r="CE105" s="822"/>
      <c r="CF105" s="822"/>
      <c r="CG105" s="822"/>
      <c r="CH105" s="822"/>
      <c r="CI105" s="822"/>
      <c r="CJ105" s="822"/>
      <c r="CK105" s="822"/>
      <c r="CL105" s="822"/>
      <c r="CM105" s="822"/>
      <c r="CN105" s="822"/>
      <c r="CO105" s="822"/>
      <c r="CP105" s="822"/>
      <c r="CQ105" s="822"/>
      <c r="CR105" s="822"/>
      <c r="CS105" s="822"/>
      <c r="CT105" s="822"/>
      <c r="CU105" s="822"/>
      <c r="CV105" s="822"/>
      <c r="CW105" s="822"/>
      <c r="CX105" s="822"/>
      <c r="CY105" s="822"/>
      <c r="CZ105" s="822"/>
      <c r="DA105" s="822"/>
      <c r="DB105" s="822"/>
      <c r="DC105" s="822"/>
      <c r="DD105" s="822"/>
      <c r="DE105" s="822"/>
      <c r="DF105" s="822"/>
      <c r="DG105" s="822"/>
      <c r="DH105" s="822"/>
      <c r="DI105" s="822"/>
      <c r="DJ105" s="822"/>
      <c r="DK105" s="822"/>
      <c r="DL105" s="822"/>
      <c r="DM105" s="822"/>
      <c r="DN105" s="822"/>
      <c r="DO105" s="2297"/>
      <c r="DP105" s="2290"/>
      <c r="DQ105" s="2290"/>
      <c r="DR105" s="2290"/>
      <c r="DS105" s="2290"/>
      <c r="DT105" s="2290"/>
      <c r="DU105" s="2290"/>
      <c r="DV105" s="2290"/>
      <c r="DW105" s="2290"/>
      <c r="DX105" s="2290"/>
      <c r="DY105" s="2290"/>
      <c r="DZ105" s="2290"/>
      <c r="EA105" s="2290"/>
      <c r="EB105" s="2290"/>
      <c r="EC105" s="2291"/>
    </row>
    <row r="106" spans="5:133" ht="17.100000000000001" customHeight="1" thickTop="1" x14ac:dyDescent="0.3">
      <c r="E106" s="23"/>
      <c r="F106" s="23"/>
      <c r="G106" s="23"/>
      <c r="H106" s="23"/>
      <c r="I106" s="23"/>
      <c r="J106" s="23"/>
      <c r="K106" s="23"/>
      <c r="L106" s="23"/>
      <c r="M106" s="23"/>
      <c r="N106" s="23"/>
      <c r="O106" s="23"/>
      <c r="P106" s="23"/>
      <c r="Q106" s="23"/>
      <c r="R106" s="23"/>
      <c r="S106" s="23"/>
      <c r="T106" s="23"/>
      <c r="U106" s="23"/>
      <c r="V106" s="23"/>
      <c r="W106" s="23"/>
      <c r="X106" s="23"/>
      <c r="Y106" s="23"/>
      <c r="Z106" s="23"/>
      <c r="AA106" s="759"/>
      <c r="AB106" s="760"/>
      <c r="AC106" s="760"/>
      <c r="AD106" s="760"/>
      <c r="AE106" s="760"/>
      <c r="AF106" s="760"/>
      <c r="AG106" s="760"/>
      <c r="AH106" s="760"/>
      <c r="AI106" s="760"/>
      <c r="AJ106" s="760"/>
      <c r="AK106" s="760"/>
      <c r="AL106" s="760"/>
      <c r="AM106" s="760"/>
      <c r="AN106" s="760"/>
      <c r="AO106" s="760"/>
      <c r="AP106" s="760"/>
      <c r="AQ106" s="760"/>
      <c r="AR106" s="760"/>
      <c r="AS106" s="760"/>
      <c r="AT106" s="760"/>
      <c r="AU106" s="760"/>
      <c r="AV106" s="760"/>
      <c r="AW106" s="760"/>
      <c r="AX106" s="760"/>
      <c r="AY106" s="760"/>
      <c r="AZ106" s="760"/>
      <c r="BA106" s="761"/>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19"/>
      <c r="BY106" s="822"/>
      <c r="BZ106" s="822"/>
      <c r="CA106" s="822"/>
      <c r="CB106" s="822"/>
      <c r="CC106" s="822"/>
      <c r="CD106" s="822"/>
      <c r="CE106" s="822"/>
      <c r="CF106" s="822"/>
      <c r="CG106" s="822"/>
      <c r="CH106" s="822"/>
      <c r="CI106" s="822"/>
      <c r="CJ106" s="822"/>
      <c r="CK106" s="822"/>
      <c r="CL106" s="822"/>
      <c r="CM106" s="822"/>
      <c r="CN106" s="822"/>
      <c r="CO106" s="822"/>
      <c r="CP106" s="822"/>
      <c r="CQ106" s="822"/>
      <c r="CR106" s="822"/>
      <c r="CS106" s="822"/>
      <c r="CT106" s="822"/>
      <c r="CU106" s="822"/>
      <c r="CV106" s="822"/>
      <c r="CW106" s="822"/>
      <c r="CX106" s="822"/>
      <c r="CY106" s="822"/>
      <c r="CZ106" s="822"/>
      <c r="DA106" s="822"/>
      <c r="DB106" s="822"/>
      <c r="DC106" s="822"/>
      <c r="DD106" s="822"/>
      <c r="DE106" s="822"/>
      <c r="DF106" s="822"/>
      <c r="DG106" s="822"/>
      <c r="DH106" s="822"/>
      <c r="DI106" s="822"/>
      <c r="DJ106" s="822"/>
      <c r="DK106" s="822"/>
      <c r="DL106" s="822"/>
      <c r="DM106" s="822"/>
      <c r="DN106" s="822"/>
      <c r="DO106" s="2299"/>
      <c r="DP106" s="2290"/>
      <c r="DQ106" s="2290"/>
      <c r="DR106" s="2290"/>
      <c r="DS106" s="2290"/>
      <c r="DT106" s="2290"/>
      <c r="DU106" s="2290"/>
      <c r="DV106" s="2290"/>
      <c r="DW106" s="2290"/>
      <c r="DX106" s="2290"/>
      <c r="DY106" s="2290"/>
      <c r="DZ106" s="2290"/>
      <c r="EA106" s="2290"/>
      <c r="EB106" s="2290"/>
      <c r="EC106" s="2292"/>
    </row>
    <row r="107" spans="5:133" ht="17.100000000000001" customHeight="1" thickBot="1" x14ac:dyDescent="0.35">
      <c r="E107" s="23"/>
      <c r="F107" s="23"/>
      <c r="G107" s="23"/>
      <c r="H107" s="23"/>
      <c r="I107" s="23"/>
      <c r="J107" s="23"/>
      <c r="K107" s="23"/>
      <c r="L107" s="23"/>
      <c r="M107" s="23"/>
      <c r="N107" s="23"/>
      <c r="O107" s="23"/>
      <c r="P107" s="23"/>
      <c r="Q107" s="23"/>
      <c r="R107" s="23"/>
      <c r="S107" s="23"/>
      <c r="T107" s="23"/>
      <c r="U107" s="23"/>
      <c r="V107" s="23"/>
      <c r="W107" s="23"/>
      <c r="X107" s="23"/>
      <c r="Y107" s="23"/>
      <c r="Z107" s="23"/>
      <c r="AA107" s="762"/>
      <c r="AB107" s="94"/>
      <c r="AC107" s="1273"/>
      <c r="AD107" s="1273"/>
      <c r="AE107" s="1273"/>
      <c r="AF107" s="1273"/>
      <c r="AG107" s="1273"/>
      <c r="AH107" s="1273"/>
      <c r="AI107" s="1273"/>
      <c r="AJ107" s="1273"/>
      <c r="AK107" s="1273"/>
      <c r="AL107" s="1273"/>
      <c r="AM107" s="1273"/>
      <c r="AN107" s="2286"/>
      <c r="AO107" s="1273"/>
      <c r="AP107" s="1273"/>
      <c r="AQ107" s="1273"/>
      <c r="AR107" s="1273"/>
      <c r="AS107" s="1273"/>
      <c r="AT107" s="1273"/>
      <c r="AU107" s="1273"/>
      <c r="AV107" s="1273"/>
      <c r="AW107" s="1273"/>
      <c r="AX107" s="1273"/>
      <c r="AY107" s="1273"/>
      <c r="AZ107" s="94"/>
      <c r="BA107" s="764"/>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19"/>
      <c r="BY107" s="822"/>
      <c r="BZ107" s="822"/>
      <c r="CA107" s="822"/>
      <c r="CB107" s="822"/>
      <c r="CC107" s="822"/>
      <c r="CD107" s="822"/>
      <c r="CE107" s="822"/>
      <c r="CF107" s="822"/>
      <c r="CG107" s="822"/>
      <c r="CH107" s="822"/>
      <c r="CI107" s="822"/>
      <c r="CJ107" s="822"/>
      <c r="CK107" s="822"/>
      <c r="CL107" s="822"/>
      <c r="CM107" s="822"/>
      <c r="CN107" s="822"/>
      <c r="CO107" s="822"/>
      <c r="CP107" s="822"/>
      <c r="CQ107" s="822"/>
      <c r="CR107" s="822"/>
      <c r="CS107" s="822"/>
      <c r="CT107" s="822"/>
      <c r="CU107" s="822"/>
      <c r="CV107" s="822"/>
      <c r="CW107" s="822"/>
      <c r="CX107" s="822"/>
      <c r="CY107" s="822"/>
      <c r="CZ107" s="822"/>
      <c r="DA107" s="822"/>
      <c r="DB107" s="822"/>
      <c r="DC107" s="822"/>
      <c r="DD107" s="822"/>
      <c r="DE107" s="822"/>
      <c r="DF107" s="822"/>
      <c r="DG107" s="822"/>
      <c r="DH107" s="822"/>
      <c r="DI107" s="822"/>
      <c r="DJ107" s="822"/>
      <c r="DK107" s="822"/>
      <c r="DL107" s="822"/>
      <c r="DM107" s="822"/>
      <c r="DN107" s="822"/>
      <c r="DO107" s="428"/>
      <c r="DP107" s="2290"/>
      <c r="DQ107" s="2290"/>
      <c r="DR107" s="2290"/>
      <c r="DS107" s="2290"/>
      <c r="DT107" s="2290"/>
      <c r="DU107" s="2290"/>
      <c r="DV107" s="2290"/>
      <c r="DW107" s="2290"/>
      <c r="DX107" s="2290"/>
      <c r="DY107" s="2290"/>
      <c r="DZ107" s="2290"/>
      <c r="EA107" s="2290"/>
      <c r="EB107" s="2290"/>
      <c r="EC107" s="2291"/>
    </row>
    <row r="108" spans="5:133" ht="17.100000000000001" customHeight="1" thickTop="1" x14ac:dyDescent="0.3">
      <c r="E108" s="23"/>
      <c r="F108" s="23"/>
      <c r="G108" s="759"/>
      <c r="H108" s="760"/>
      <c r="I108" s="760"/>
      <c r="J108" s="760"/>
      <c r="K108" s="760"/>
      <c r="L108" s="760"/>
      <c r="M108" s="760"/>
      <c r="N108" s="760"/>
      <c r="O108" s="760"/>
      <c r="P108" s="760"/>
      <c r="Q108" s="760"/>
      <c r="R108" s="760"/>
      <c r="S108" s="760"/>
      <c r="T108" s="760"/>
      <c r="U108" s="760"/>
      <c r="V108" s="760"/>
      <c r="W108" s="760"/>
      <c r="X108" s="760"/>
      <c r="Y108" s="760"/>
      <c r="Z108" s="760"/>
      <c r="AA108" s="1059"/>
      <c r="AB108" s="1059"/>
      <c r="AC108" s="1273"/>
      <c r="AD108" s="1273"/>
      <c r="AE108" s="1273"/>
      <c r="AF108" s="1273"/>
      <c r="AG108" s="1273"/>
      <c r="AH108" s="1273"/>
      <c r="AI108" s="1273"/>
      <c r="AJ108" s="1273"/>
      <c r="AK108" s="1273"/>
      <c r="AL108" s="1273"/>
      <c r="AM108" s="1273"/>
      <c r="AN108" s="1273"/>
      <c r="AO108" s="1273"/>
      <c r="AP108" s="1273"/>
      <c r="AQ108" s="1273"/>
      <c r="AR108" s="1273"/>
      <c r="AS108" s="1273"/>
      <c r="AT108" s="1273"/>
      <c r="AU108" s="1273"/>
      <c r="AV108" s="1273"/>
      <c r="AW108" s="1273"/>
      <c r="AX108" s="1273"/>
      <c r="AY108" s="1273"/>
      <c r="AZ108" s="1059"/>
      <c r="BA108" s="1059"/>
      <c r="BB108" s="760"/>
      <c r="BC108" s="760"/>
      <c r="BD108" s="760"/>
      <c r="BE108" s="760"/>
      <c r="BF108" s="760"/>
      <c r="BG108" s="760"/>
      <c r="BH108" s="760"/>
      <c r="BI108" s="760"/>
      <c r="BJ108" s="760"/>
      <c r="BK108" s="760"/>
      <c r="BL108" s="760"/>
      <c r="BM108" s="760"/>
      <c r="BN108" s="760"/>
      <c r="BO108" s="760"/>
      <c r="BP108" s="760"/>
      <c r="BQ108" s="760"/>
      <c r="BR108" s="760"/>
      <c r="BS108" s="760"/>
      <c r="BT108" s="760"/>
      <c r="BU108" s="761"/>
      <c r="BV108" s="19"/>
      <c r="BW108" s="19"/>
      <c r="BX108" s="19"/>
      <c r="BY108" s="822"/>
      <c r="BZ108" s="822"/>
      <c r="CA108" s="822"/>
      <c r="CB108" s="822"/>
      <c r="CC108" s="822"/>
      <c r="CD108" s="822"/>
      <c r="CE108" s="822"/>
      <c r="CF108" s="822"/>
      <c r="CG108" s="822"/>
      <c r="CH108" s="822"/>
      <c r="CI108" s="822"/>
      <c r="CJ108" s="822"/>
      <c r="CK108" s="822"/>
      <c r="CL108" s="822"/>
      <c r="CM108" s="822"/>
      <c r="CN108" s="822"/>
      <c r="CO108" s="822"/>
      <c r="CP108" s="822"/>
      <c r="CQ108" s="822"/>
      <c r="CR108" s="822"/>
      <c r="CS108" s="822"/>
      <c r="CT108" s="822"/>
      <c r="CU108" s="822"/>
      <c r="CV108" s="822"/>
      <c r="CW108" s="822"/>
      <c r="CX108" s="822"/>
      <c r="CY108" s="822"/>
      <c r="CZ108" s="822"/>
      <c r="DA108" s="822"/>
      <c r="DB108" s="822"/>
      <c r="DC108" s="822"/>
      <c r="DD108" s="822"/>
      <c r="DE108" s="822"/>
      <c r="DF108" s="822"/>
      <c r="DG108" s="822"/>
      <c r="DH108" s="822"/>
      <c r="DI108" s="822"/>
      <c r="DJ108" s="822"/>
      <c r="DK108" s="822"/>
      <c r="DL108" s="822"/>
      <c r="DM108" s="822"/>
      <c r="DN108" s="822"/>
      <c r="DO108" s="2296"/>
      <c r="DP108" s="2290"/>
      <c r="DQ108" s="2290"/>
      <c r="DR108" s="2290"/>
      <c r="DS108" s="2290"/>
      <c r="DT108" s="2290"/>
      <c r="DU108" s="2290"/>
      <c r="DV108" s="2290"/>
      <c r="DW108" s="2290"/>
      <c r="DX108" s="2290"/>
      <c r="DY108" s="2290"/>
      <c r="DZ108" s="2290"/>
      <c r="EA108" s="2290"/>
      <c r="EB108" s="2290"/>
      <c r="EC108" s="2292"/>
    </row>
    <row r="109" spans="5:133" ht="17.100000000000001" customHeight="1" thickBot="1" x14ac:dyDescent="0.35">
      <c r="E109" s="23"/>
      <c r="F109" s="23"/>
      <c r="G109" s="762"/>
      <c r="H109" s="1059"/>
      <c r="I109" s="999"/>
      <c r="J109" s="787"/>
      <c r="K109" s="1059"/>
      <c r="L109" s="1059"/>
      <c r="M109" s="1059"/>
      <c r="N109" s="1059"/>
      <c r="O109" s="1059"/>
      <c r="P109" s="1059"/>
      <c r="Q109" s="1059"/>
      <c r="R109" s="1059"/>
      <c r="S109" s="1059"/>
      <c r="T109" s="1059"/>
      <c r="U109" s="1059"/>
      <c r="V109" s="1059"/>
      <c r="W109" s="1059"/>
      <c r="X109" s="1059"/>
      <c r="Y109" s="1059"/>
      <c r="Z109" s="1059"/>
      <c r="AA109" s="1059"/>
      <c r="AB109" s="1059"/>
      <c r="AC109" s="1059"/>
      <c r="AD109" s="1059"/>
      <c r="AE109" s="1059"/>
      <c r="AF109" s="1059"/>
      <c r="AG109" s="1123"/>
      <c r="AH109" s="1123"/>
      <c r="AI109" s="1123"/>
      <c r="AJ109" s="1261"/>
      <c r="AK109" s="1261"/>
      <c r="AL109" s="1261"/>
      <c r="AM109" s="4743" t="s">
        <v>370</v>
      </c>
      <c r="AN109" s="4743"/>
      <c r="AO109" s="4743"/>
      <c r="AP109" s="1261"/>
      <c r="AQ109" s="1261"/>
      <c r="AR109" s="1261"/>
      <c r="AS109" s="1261"/>
      <c r="AT109" s="1123"/>
      <c r="AU109" s="1123"/>
      <c r="AV109" s="1059"/>
      <c r="AW109" s="1059"/>
      <c r="AX109" s="1059"/>
      <c r="AY109" s="1059"/>
      <c r="AZ109" s="1059"/>
      <c r="BA109" s="1059"/>
      <c r="BB109" s="1059"/>
      <c r="BC109" s="1059"/>
      <c r="BD109" s="1059"/>
      <c r="BE109" s="1059"/>
      <c r="BF109" s="1059"/>
      <c r="BG109" s="1059"/>
      <c r="BH109" s="1059"/>
      <c r="BI109" s="1059"/>
      <c r="BJ109" s="1059"/>
      <c r="BK109" s="1059"/>
      <c r="BL109" s="1059"/>
      <c r="BM109" s="1059"/>
      <c r="BN109" s="1059"/>
      <c r="BO109" s="1059"/>
      <c r="BP109" s="1059"/>
      <c r="BQ109" s="1059"/>
      <c r="BR109" s="1059"/>
      <c r="BS109" s="1059"/>
      <c r="BT109" s="1059"/>
      <c r="BU109" s="764"/>
      <c r="BV109" s="19"/>
      <c r="BW109" s="19"/>
      <c r="BX109" s="19"/>
      <c r="BY109" s="822"/>
      <c r="BZ109" s="822"/>
      <c r="CA109" s="822"/>
      <c r="CB109" s="822"/>
      <c r="CC109" s="822"/>
      <c r="CD109" s="822"/>
      <c r="CE109" s="822"/>
      <c r="CF109" s="822"/>
      <c r="CG109" s="822"/>
      <c r="CH109" s="822"/>
      <c r="CI109" s="822"/>
      <c r="CJ109" s="822"/>
      <c r="CK109" s="822"/>
      <c r="CL109" s="822"/>
      <c r="CM109" s="822"/>
      <c r="CN109" s="822"/>
      <c r="CO109" s="822"/>
      <c r="CP109" s="822"/>
      <c r="CQ109" s="822"/>
      <c r="CR109" s="822"/>
      <c r="CS109" s="822"/>
      <c r="CT109" s="822"/>
      <c r="CU109" s="822"/>
      <c r="CV109" s="822"/>
      <c r="CW109" s="822"/>
      <c r="CX109" s="822"/>
      <c r="CY109" s="822"/>
      <c r="CZ109" s="822"/>
      <c r="DA109" s="822"/>
      <c r="DB109" s="822"/>
      <c r="DC109" s="822"/>
      <c r="DD109" s="822"/>
      <c r="DE109" s="822"/>
      <c r="DF109" s="822"/>
      <c r="DG109" s="822"/>
      <c r="DH109" s="822"/>
      <c r="DI109" s="822"/>
      <c r="DJ109" s="822"/>
      <c r="DK109" s="822"/>
      <c r="DL109" s="822"/>
      <c r="DM109" s="822"/>
      <c r="DN109" s="822"/>
      <c r="DO109" s="2297"/>
      <c r="DP109" s="2290"/>
      <c r="DQ109" s="2290"/>
      <c r="DR109" s="2290"/>
      <c r="DS109" s="2290"/>
      <c r="DT109" s="2290"/>
      <c r="DU109" s="2290"/>
      <c r="DV109" s="2290"/>
      <c r="DW109" s="2290"/>
      <c r="DX109" s="2290"/>
      <c r="DY109" s="2290"/>
      <c r="DZ109" s="2290"/>
      <c r="EA109" s="2290"/>
      <c r="EB109" s="2290"/>
      <c r="EC109" s="2291"/>
    </row>
    <row r="110" spans="5:133" ht="17.100000000000001" customHeight="1" thickTop="1" x14ac:dyDescent="0.3">
      <c r="E110" s="759"/>
      <c r="F110" s="760"/>
      <c r="G110" s="1059"/>
      <c r="H110" s="1059"/>
      <c r="I110" s="1059"/>
      <c r="J110" s="1059"/>
      <c r="K110" s="1059"/>
      <c r="L110" s="1059"/>
      <c r="M110" s="1059"/>
      <c r="N110" s="1059"/>
      <c r="O110" s="1059"/>
      <c r="P110" s="1059"/>
      <c r="Q110" s="1059"/>
      <c r="R110" s="1059"/>
      <c r="S110" s="1059"/>
      <c r="T110" s="1059"/>
      <c r="U110" s="1059"/>
      <c r="V110" s="1059"/>
      <c r="W110" s="1059"/>
      <c r="X110" s="1059"/>
      <c r="Y110" s="1059"/>
      <c r="Z110" s="1059"/>
      <c r="AA110" s="1059"/>
      <c r="AB110" s="1059"/>
      <c r="AC110" s="1059"/>
      <c r="AD110" s="1059"/>
      <c r="AE110" s="1059"/>
      <c r="AF110" s="1059"/>
      <c r="AG110" s="1123"/>
      <c r="AH110" s="1123"/>
      <c r="AI110" s="1261"/>
      <c r="AJ110" s="1261"/>
      <c r="AK110" s="1261"/>
      <c r="AL110" s="1261"/>
      <c r="AM110" s="4743"/>
      <c r="AN110" s="4743"/>
      <c r="AO110" s="4743"/>
      <c r="AP110" s="1261"/>
      <c r="AQ110" s="1261"/>
      <c r="AR110" s="1261"/>
      <c r="AS110" s="1261"/>
      <c r="AT110" s="1123"/>
      <c r="AU110" s="1123"/>
      <c r="AV110" s="1059"/>
      <c r="AW110" s="1059"/>
      <c r="AX110" s="1059"/>
      <c r="AY110" s="1059"/>
      <c r="AZ110" s="1059"/>
      <c r="BA110" s="1059"/>
      <c r="BB110" s="1059"/>
      <c r="BC110" s="1059"/>
      <c r="BD110" s="1059"/>
      <c r="BE110" s="1059"/>
      <c r="BF110" s="1059"/>
      <c r="BG110" s="1059"/>
      <c r="BH110" s="1059"/>
      <c r="BI110" s="1059"/>
      <c r="BJ110" s="1059"/>
      <c r="BK110" s="1059"/>
      <c r="BL110" s="1059"/>
      <c r="BM110" s="1059"/>
      <c r="BN110" s="1059"/>
      <c r="BO110" s="1059"/>
      <c r="BP110" s="1059"/>
      <c r="BQ110" s="1059"/>
      <c r="BR110" s="1059"/>
      <c r="BS110" s="1059"/>
      <c r="BT110" s="1059"/>
      <c r="BU110" s="1059"/>
      <c r="BV110" s="760"/>
      <c r="BW110" s="761"/>
      <c r="BX110" s="23"/>
      <c r="BY110" s="822"/>
      <c r="BZ110" s="822"/>
      <c r="CA110" s="822"/>
      <c r="CB110" s="822"/>
      <c r="CC110" s="822"/>
      <c r="CD110" s="822"/>
      <c r="CE110" s="822"/>
      <c r="CF110" s="822"/>
      <c r="CG110" s="822"/>
      <c r="CH110" s="822"/>
      <c r="CI110" s="822"/>
      <c r="CJ110" s="822"/>
      <c r="CK110" s="822"/>
      <c r="CL110" s="822"/>
      <c r="CM110" s="822"/>
      <c r="CN110" s="822"/>
      <c r="CO110" s="822"/>
      <c r="CP110" s="822"/>
      <c r="CQ110" s="822"/>
      <c r="CR110" s="822"/>
      <c r="CS110" s="822"/>
      <c r="CT110" s="822"/>
      <c r="CU110" s="822"/>
      <c r="CV110" s="822"/>
      <c r="CW110" s="822"/>
      <c r="CX110" s="822"/>
      <c r="CY110" s="822"/>
      <c r="CZ110" s="822"/>
      <c r="DA110" s="822"/>
      <c r="DB110" s="822"/>
      <c r="DC110" s="822"/>
      <c r="DD110" s="822"/>
      <c r="DE110" s="822"/>
      <c r="DF110" s="822"/>
      <c r="DG110" s="822"/>
      <c r="DH110" s="822"/>
      <c r="DI110" s="822"/>
      <c r="DJ110" s="822"/>
      <c r="DK110" s="822"/>
      <c r="DL110" s="822"/>
      <c r="DM110" s="822"/>
      <c r="DN110" s="822"/>
      <c r="DO110" s="2296"/>
      <c r="DP110" s="2290"/>
      <c r="DQ110" s="2290"/>
      <c r="DR110" s="2290"/>
      <c r="DS110" s="2290"/>
      <c r="DT110" s="2290"/>
      <c r="DU110" s="2290"/>
      <c r="DV110" s="2290"/>
      <c r="DW110" s="2290"/>
      <c r="DX110" s="2290"/>
      <c r="DY110" s="2290"/>
      <c r="DZ110" s="2290"/>
      <c r="EA110" s="2290"/>
      <c r="EB110" s="2290"/>
      <c r="EC110" s="2292"/>
    </row>
    <row r="111" spans="5:133" ht="17.100000000000001" customHeight="1" thickBot="1" x14ac:dyDescent="0.35">
      <c r="E111" s="762"/>
      <c r="F111" s="94"/>
      <c r="G111" s="1059"/>
      <c r="H111" s="1059"/>
      <c r="I111" s="1059"/>
      <c r="J111" s="1059"/>
      <c r="K111" s="1059"/>
      <c r="L111" s="1059"/>
      <c r="M111" s="1059"/>
      <c r="N111" s="1059"/>
      <c r="O111" s="1059"/>
      <c r="P111" s="1059"/>
      <c r="Q111" s="1059"/>
      <c r="R111" s="1059"/>
      <c r="S111" s="1059"/>
      <c r="T111" s="1059"/>
      <c r="U111" s="1059"/>
      <c r="V111" s="1059"/>
      <c r="W111" s="1059"/>
      <c r="X111" s="1059"/>
      <c r="Y111" s="1059"/>
      <c r="Z111" s="1059"/>
      <c r="AA111" s="1059"/>
      <c r="AB111" s="1059"/>
      <c r="AC111" s="1059"/>
      <c r="AD111" s="1059"/>
      <c r="AE111" s="1059"/>
      <c r="AF111" s="1059"/>
      <c r="AG111" s="1123"/>
      <c r="AH111" s="1123"/>
      <c r="AI111" s="1123"/>
      <c r="AJ111" s="1123"/>
      <c r="AK111" s="1123"/>
      <c r="AL111" s="1123"/>
      <c r="AM111" s="1274"/>
      <c r="AN111" s="1275">
        <v>1</v>
      </c>
      <c r="AO111" s="1274"/>
      <c r="AP111" s="1123"/>
      <c r="AQ111" s="1123"/>
      <c r="AR111" s="1123"/>
      <c r="AS111" s="1123"/>
      <c r="AT111" s="1123"/>
      <c r="AU111" s="1123"/>
      <c r="AV111" s="1059"/>
      <c r="AW111" s="1059"/>
      <c r="AX111" s="1059"/>
      <c r="AY111" s="1059"/>
      <c r="AZ111" s="1059"/>
      <c r="BA111" s="1059"/>
      <c r="BB111" s="1059"/>
      <c r="BC111" s="1059"/>
      <c r="BD111" s="1059"/>
      <c r="BE111" s="1059"/>
      <c r="BF111" s="1059"/>
      <c r="BG111" s="1059"/>
      <c r="BH111" s="1059"/>
      <c r="BI111" s="1059"/>
      <c r="BJ111" s="1059"/>
      <c r="BK111" s="1059"/>
      <c r="BL111" s="1059"/>
      <c r="BM111" s="1059"/>
      <c r="BN111" s="1059"/>
      <c r="BO111" s="1059"/>
      <c r="BP111" s="1059"/>
      <c r="BQ111" s="1059"/>
      <c r="BR111" s="1059"/>
      <c r="BS111" s="1059"/>
      <c r="BT111" s="1059"/>
      <c r="BU111" s="1059"/>
      <c r="BV111" s="94"/>
      <c r="BW111" s="764"/>
      <c r="BX111" s="23"/>
      <c r="BY111" s="822"/>
      <c r="BZ111" s="822"/>
      <c r="CA111" s="822"/>
      <c r="CB111" s="822"/>
      <c r="CC111" s="822"/>
      <c r="CD111" s="822"/>
      <c r="CE111" s="822"/>
      <c r="CF111" s="822"/>
      <c r="CG111" s="822"/>
      <c r="CH111" s="822"/>
      <c r="CI111" s="822"/>
      <c r="CJ111" s="822"/>
      <c r="CK111" s="822"/>
      <c r="CL111" s="822"/>
      <c r="CM111" s="822"/>
      <c r="CN111" s="822"/>
      <c r="CO111" s="822"/>
      <c r="CP111" s="822"/>
      <c r="CQ111" s="822"/>
      <c r="CR111" s="822"/>
      <c r="CS111" s="822"/>
      <c r="CT111" s="822"/>
      <c r="CU111" s="822"/>
      <c r="CV111" s="822"/>
      <c r="CW111" s="822"/>
      <c r="CX111" s="822"/>
      <c r="CY111" s="822"/>
      <c r="CZ111" s="822"/>
      <c r="DA111" s="822"/>
      <c r="DB111" s="822"/>
      <c r="DC111" s="822"/>
      <c r="DD111" s="822"/>
      <c r="DE111" s="822"/>
      <c r="DF111" s="822"/>
      <c r="DG111" s="822"/>
      <c r="DH111" s="822"/>
      <c r="DI111" s="822"/>
      <c r="DJ111" s="822"/>
      <c r="DK111" s="822"/>
      <c r="DL111" s="822"/>
      <c r="DM111" s="822"/>
      <c r="DN111" s="822"/>
      <c r="DO111" s="2297"/>
      <c r="DP111" s="2290"/>
      <c r="DQ111" s="2290"/>
      <c r="DR111" s="2290"/>
      <c r="DS111" s="2290"/>
      <c r="DT111" s="2290"/>
      <c r="DU111" s="2290"/>
      <c r="DV111" s="2290"/>
      <c r="DW111" s="2290"/>
      <c r="DX111" s="2290"/>
      <c r="DY111" s="2290"/>
      <c r="DZ111" s="2290"/>
      <c r="EA111" s="2290"/>
      <c r="EB111" s="2290"/>
      <c r="EC111" s="2291"/>
    </row>
    <row r="112" spans="5:133" ht="17.100000000000001" customHeight="1" thickTop="1" x14ac:dyDescent="0.3">
      <c r="E112" s="762"/>
      <c r="F112" s="1059"/>
      <c r="G112" s="1059"/>
      <c r="H112" s="1059"/>
      <c r="I112" s="4756" t="s">
        <v>72</v>
      </c>
      <c r="J112" s="4757"/>
      <c r="K112" s="4757"/>
      <c r="L112" s="4794" t="s">
        <v>710</v>
      </c>
      <c r="M112" s="4794"/>
      <c r="N112" s="4757" t="s">
        <v>72</v>
      </c>
      <c r="O112" s="4757"/>
      <c r="P112" s="4762"/>
      <c r="Q112" s="1059"/>
      <c r="R112" s="1059"/>
      <c r="S112" s="4756" t="s">
        <v>72</v>
      </c>
      <c r="T112" s="4757"/>
      <c r="U112" s="4757"/>
      <c r="V112" s="4792" t="s">
        <v>710</v>
      </c>
      <c r="W112" s="4792"/>
      <c r="X112" s="4757" t="s">
        <v>72</v>
      </c>
      <c r="Y112" s="4757"/>
      <c r="Z112" s="4762"/>
      <c r="AA112" s="1059"/>
      <c r="AB112" s="1059"/>
      <c r="AC112" s="4756" t="s">
        <v>72</v>
      </c>
      <c r="AD112" s="4757"/>
      <c r="AE112" s="4757"/>
      <c r="AF112" s="4790" t="s">
        <v>710</v>
      </c>
      <c r="AG112" s="4790"/>
      <c r="AH112" s="4757" t="s">
        <v>72</v>
      </c>
      <c r="AI112" s="4757"/>
      <c r="AJ112" s="4762"/>
      <c r="AK112" s="1059"/>
      <c r="AL112" s="1059"/>
      <c r="AM112" s="4853" t="s">
        <v>1472</v>
      </c>
      <c r="AN112" s="4853"/>
      <c r="AO112" s="4853"/>
      <c r="AP112" s="1059"/>
      <c r="AQ112" s="1059"/>
      <c r="AR112" s="4756" t="s">
        <v>72</v>
      </c>
      <c r="AS112" s="4757"/>
      <c r="AT112" s="4757"/>
      <c r="AU112" s="4790" t="s">
        <v>939</v>
      </c>
      <c r="AV112" s="4790"/>
      <c r="AW112" s="4757" t="s">
        <v>72</v>
      </c>
      <c r="AX112" s="4757"/>
      <c r="AY112" s="4762"/>
      <c r="AZ112" s="1059"/>
      <c r="BA112" s="1059"/>
      <c r="BB112" s="4756" t="s">
        <v>72</v>
      </c>
      <c r="BC112" s="4757"/>
      <c r="BD112" s="4757"/>
      <c r="BE112" s="4792" t="s">
        <v>939</v>
      </c>
      <c r="BF112" s="4792"/>
      <c r="BG112" s="4757" t="s">
        <v>72</v>
      </c>
      <c r="BH112" s="4757"/>
      <c r="BI112" s="4762"/>
      <c r="BJ112" s="1059"/>
      <c r="BK112" s="1059"/>
      <c r="BL112" s="4756" t="s">
        <v>72</v>
      </c>
      <c r="BM112" s="4757"/>
      <c r="BN112" s="4757"/>
      <c r="BO112" s="4794" t="s">
        <v>939</v>
      </c>
      <c r="BP112" s="4794"/>
      <c r="BQ112" s="4757" t="s">
        <v>72</v>
      </c>
      <c r="BR112" s="4757"/>
      <c r="BS112" s="4762"/>
      <c r="BT112" s="1059"/>
      <c r="BU112" s="1059"/>
      <c r="BV112" s="1059"/>
      <c r="BW112" s="764"/>
      <c r="BX112" s="23"/>
      <c r="BY112" s="822"/>
      <c r="BZ112" s="822"/>
      <c r="CA112" s="822"/>
      <c r="CB112" s="822"/>
      <c r="CC112" s="822"/>
      <c r="CD112" s="822"/>
      <c r="CE112" s="822"/>
      <c r="CF112" s="822"/>
      <c r="CG112" s="822"/>
      <c r="CH112" s="822"/>
      <c r="CI112" s="822"/>
      <c r="CJ112" s="822"/>
      <c r="CK112" s="822"/>
      <c r="CL112" s="822"/>
      <c r="CM112" s="822"/>
      <c r="CN112" s="822"/>
      <c r="CO112" s="822"/>
      <c r="CP112" s="822"/>
      <c r="CQ112" s="822"/>
      <c r="CR112" s="822"/>
      <c r="CS112" s="822"/>
      <c r="CT112" s="822"/>
      <c r="CU112" s="822"/>
      <c r="CV112" s="822"/>
      <c r="CW112" s="822"/>
      <c r="CX112" s="822"/>
      <c r="CY112" s="822"/>
      <c r="CZ112" s="822"/>
      <c r="DA112" s="822"/>
      <c r="DB112" s="822"/>
      <c r="DC112" s="822"/>
      <c r="DD112" s="822"/>
      <c r="DE112" s="822"/>
      <c r="DF112" s="822"/>
      <c r="DG112" s="822"/>
      <c r="DH112" s="822"/>
      <c r="DI112" s="822"/>
      <c r="DJ112" s="822"/>
      <c r="DK112" s="822"/>
      <c r="DL112" s="822"/>
      <c r="DM112" s="822"/>
      <c r="DN112" s="822"/>
      <c r="DO112" s="822"/>
      <c r="DP112" s="822"/>
      <c r="DQ112" s="822"/>
      <c r="DR112" s="822"/>
      <c r="DS112" s="822"/>
      <c r="DT112" s="822"/>
      <c r="DU112" s="822"/>
      <c r="DV112" s="822"/>
      <c r="DW112" s="822"/>
      <c r="DX112" s="822"/>
      <c r="DY112" s="822"/>
      <c r="DZ112" s="822"/>
      <c r="EA112" s="2290"/>
      <c r="EB112" s="2290"/>
      <c r="EC112" s="2292"/>
    </row>
    <row r="113" spans="3:148" ht="17.100000000000001" customHeight="1" x14ac:dyDescent="0.3">
      <c r="E113" s="762"/>
      <c r="F113" s="1059"/>
      <c r="G113" s="1059"/>
      <c r="H113" s="1059"/>
      <c r="I113" s="4758"/>
      <c r="J113" s="4759"/>
      <c r="K113" s="4759"/>
      <c r="L113" s="4807"/>
      <c r="M113" s="4807"/>
      <c r="N113" s="4759"/>
      <c r="O113" s="4759"/>
      <c r="P113" s="4763"/>
      <c r="Q113" s="1059"/>
      <c r="R113" s="1059"/>
      <c r="S113" s="4758"/>
      <c r="T113" s="4759"/>
      <c r="U113" s="4759"/>
      <c r="V113" s="4805"/>
      <c r="W113" s="4805"/>
      <c r="X113" s="4759"/>
      <c r="Y113" s="4759"/>
      <c r="Z113" s="4763"/>
      <c r="AA113" s="1059"/>
      <c r="AB113" s="1059"/>
      <c r="AC113" s="4758"/>
      <c r="AD113" s="4759"/>
      <c r="AE113" s="4759"/>
      <c r="AF113" s="4806"/>
      <c r="AG113" s="4806"/>
      <c r="AH113" s="4759"/>
      <c r="AI113" s="4759"/>
      <c r="AJ113" s="4763"/>
      <c r="AK113" s="1059"/>
      <c r="AL113" s="1059"/>
      <c r="AM113" s="4853"/>
      <c r="AN113" s="4853"/>
      <c r="AO113" s="4853"/>
      <c r="AP113" s="1059"/>
      <c r="AQ113" s="1059"/>
      <c r="AR113" s="4758"/>
      <c r="AS113" s="4759"/>
      <c r="AT113" s="4759"/>
      <c r="AU113" s="4806"/>
      <c r="AV113" s="4806"/>
      <c r="AW113" s="4759"/>
      <c r="AX113" s="4759"/>
      <c r="AY113" s="4763"/>
      <c r="AZ113" s="1059"/>
      <c r="BA113" s="1059"/>
      <c r="BB113" s="4758"/>
      <c r="BC113" s="4759"/>
      <c r="BD113" s="4759"/>
      <c r="BE113" s="4805"/>
      <c r="BF113" s="4805"/>
      <c r="BG113" s="4759"/>
      <c r="BH113" s="4759"/>
      <c r="BI113" s="4763"/>
      <c r="BJ113" s="1059"/>
      <c r="BK113" s="1059"/>
      <c r="BL113" s="4758"/>
      <c r="BM113" s="4759"/>
      <c r="BN113" s="4759"/>
      <c r="BO113" s="4807"/>
      <c r="BP113" s="4807"/>
      <c r="BQ113" s="4759"/>
      <c r="BR113" s="4759"/>
      <c r="BS113" s="4763"/>
      <c r="BT113" s="1059"/>
      <c r="BU113" s="1059"/>
      <c r="BV113" s="1059"/>
      <c r="BW113" s="764"/>
      <c r="BX113" s="23"/>
      <c r="BY113" s="822"/>
      <c r="BZ113" s="822"/>
      <c r="CA113" s="822"/>
      <c r="CB113" s="822"/>
      <c r="CC113" s="822"/>
      <c r="CD113" s="822"/>
      <c r="CE113" s="822"/>
      <c r="CF113" s="822"/>
      <c r="CG113" s="822"/>
      <c r="CH113" s="822"/>
      <c r="CI113" s="822"/>
      <c r="CJ113" s="822"/>
      <c r="CK113" s="822"/>
      <c r="CL113" s="822"/>
      <c r="CM113" s="822"/>
      <c r="CN113" s="822"/>
      <c r="CO113" s="822"/>
      <c r="CP113" s="822"/>
      <c r="CQ113" s="822"/>
      <c r="CR113" s="822"/>
      <c r="CS113" s="822"/>
      <c r="CT113" s="822"/>
      <c r="CU113" s="822"/>
      <c r="CV113" s="822"/>
      <c r="CW113" s="822"/>
      <c r="CX113" s="822"/>
      <c r="CY113" s="822"/>
      <c r="CZ113" s="822"/>
      <c r="DA113" s="822"/>
      <c r="DB113" s="822"/>
      <c r="DC113" s="822"/>
      <c r="DD113" s="822"/>
      <c r="DE113" s="822"/>
      <c r="DF113" s="822"/>
      <c r="DG113" s="822"/>
      <c r="DH113" s="822"/>
      <c r="DI113" s="822"/>
      <c r="DJ113" s="822"/>
      <c r="DK113" s="822"/>
      <c r="DL113" s="822"/>
      <c r="DM113" s="822"/>
      <c r="DN113" s="822"/>
      <c r="DO113" s="822"/>
      <c r="DP113" s="822"/>
      <c r="DQ113" s="822"/>
      <c r="DR113" s="822"/>
      <c r="DS113" s="822"/>
      <c r="DT113" s="822"/>
      <c r="DU113" s="822"/>
      <c r="DV113" s="822"/>
      <c r="DW113" s="822"/>
      <c r="DX113" s="822"/>
      <c r="DY113" s="822"/>
      <c r="DZ113" s="822"/>
      <c r="EA113" s="2290"/>
      <c r="EB113" s="2290"/>
      <c r="EC113" s="2291"/>
    </row>
    <row r="114" spans="3:148" ht="17.100000000000001" customHeight="1" x14ac:dyDescent="0.3">
      <c r="E114" s="762"/>
      <c r="F114" s="1059"/>
      <c r="G114" s="1059"/>
      <c r="H114" s="1059"/>
      <c r="I114" s="4766"/>
      <c r="J114" s="4768"/>
      <c r="K114" s="4769"/>
      <c r="L114" s="4769"/>
      <c r="M114" s="4769"/>
      <c r="N114" s="4769"/>
      <c r="O114" s="4770"/>
      <c r="P114" s="4777"/>
      <c r="Q114" s="1059"/>
      <c r="R114" s="1059"/>
      <c r="S114" s="4766"/>
      <c r="T114" s="4768"/>
      <c r="U114" s="4769"/>
      <c r="V114" s="4769"/>
      <c r="W114" s="4769"/>
      <c r="X114" s="4769"/>
      <c r="Y114" s="4770"/>
      <c r="Z114" s="4777"/>
      <c r="AA114" s="1059"/>
      <c r="AB114" s="1059"/>
      <c r="AC114" s="4766"/>
      <c r="AD114" s="4768"/>
      <c r="AE114" s="4769"/>
      <c r="AF114" s="4769"/>
      <c r="AG114" s="4769"/>
      <c r="AH114" s="4769"/>
      <c r="AI114" s="4770"/>
      <c r="AJ114" s="4777"/>
      <c r="AK114" s="1059"/>
      <c r="AL114" s="1059"/>
      <c r="AM114" s="4853"/>
      <c r="AN114" s="4853"/>
      <c r="AO114" s="4853"/>
      <c r="AP114" s="1059"/>
      <c r="AQ114" s="1059"/>
      <c r="AR114" s="4766"/>
      <c r="AS114" s="4768"/>
      <c r="AT114" s="4769"/>
      <c r="AU114" s="4769"/>
      <c r="AV114" s="4769"/>
      <c r="AW114" s="4769"/>
      <c r="AX114" s="4770"/>
      <c r="AY114" s="4777"/>
      <c r="AZ114" s="1059"/>
      <c r="BA114" s="1059"/>
      <c r="BB114" s="4766"/>
      <c r="BC114" s="4768"/>
      <c r="BD114" s="4769"/>
      <c r="BE114" s="4769"/>
      <c r="BF114" s="4769"/>
      <c r="BG114" s="4769"/>
      <c r="BH114" s="4770"/>
      <c r="BI114" s="4777"/>
      <c r="BJ114" s="1059"/>
      <c r="BK114" s="1059"/>
      <c r="BL114" s="4766"/>
      <c r="BM114" s="4768"/>
      <c r="BN114" s="4769"/>
      <c r="BO114" s="4769"/>
      <c r="BP114" s="4769"/>
      <c r="BQ114" s="4769"/>
      <c r="BR114" s="4770"/>
      <c r="BS114" s="4777"/>
      <c r="BT114" s="1059"/>
      <c r="BU114" s="1059"/>
      <c r="BV114" s="1059"/>
      <c r="BW114" s="764"/>
      <c r="BX114" s="23"/>
      <c r="BY114" s="822"/>
      <c r="BZ114" s="822"/>
      <c r="CA114" s="822"/>
      <c r="CB114" s="822"/>
      <c r="CC114" s="822"/>
      <c r="CD114" s="822"/>
      <c r="CE114" s="822"/>
      <c r="CF114" s="822"/>
      <c r="CG114" s="822"/>
      <c r="CH114" s="822"/>
      <c r="CI114" s="822"/>
      <c r="CJ114" s="4826" t="str">
        <f>IF(J114=0,"",J114)</f>
        <v/>
      </c>
      <c r="CK114" s="4827"/>
      <c r="CL114" s="4827"/>
      <c r="CM114" s="4827"/>
      <c r="CN114" s="4827"/>
      <c r="CO114" s="4828"/>
      <c r="CP114" s="822"/>
      <c r="CQ114" s="822"/>
      <c r="CR114" s="822"/>
      <c r="CS114" s="822"/>
      <c r="CT114" s="4826" t="str">
        <f>IF(T114=0,"",T114)</f>
        <v/>
      </c>
      <c r="CU114" s="4827"/>
      <c r="CV114" s="4827"/>
      <c r="CW114" s="4827"/>
      <c r="CX114" s="4827"/>
      <c r="CY114" s="4828"/>
      <c r="CZ114" s="822"/>
      <c r="DA114" s="822"/>
      <c r="DB114" s="822"/>
      <c r="DC114" s="822"/>
      <c r="DD114" s="4826" t="str">
        <f>IF(AD114=0,"",AD114)</f>
        <v/>
      </c>
      <c r="DE114" s="4827"/>
      <c r="DF114" s="4827"/>
      <c r="DG114" s="4827"/>
      <c r="DH114" s="4827"/>
      <c r="DI114" s="4828"/>
      <c r="DJ114" s="822"/>
      <c r="DK114" s="822"/>
      <c r="DL114" s="822"/>
      <c r="DM114" s="822"/>
      <c r="DN114" s="822"/>
      <c r="DO114" s="822"/>
      <c r="DP114" s="822"/>
      <c r="DQ114" s="822"/>
      <c r="DR114" s="822"/>
      <c r="DS114" s="4826" t="str">
        <f>IF(AS114=0,"",AS114)</f>
        <v/>
      </c>
      <c r="DT114" s="4827"/>
      <c r="DU114" s="4827"/>
      <c r="DV114" s="4827"/>
      <c r="DW114" s="4827"/>
      <c r="DX114" s="4828"/>
      <c r="DY114" s="822"/>
      <c r="DZ114" s="822"/>
      <c r="EA114" s="822"/>
      <c r="EB114" s="822"/>
      <c r="EC114" s="4826" t="str">
        <f>IF(BC114=0,"",BC114)</f>
        <v/>
      </c>
      <c r="ED114" s="4827"/>
      <c r="EE114" s="4827"/>
      <c r="EF114" s="4827"/>
      <c r="EG114" s="4827"/>
      <c r="EH114" s="4828"/>
      <c r="EI114" s="822"/>
      <c r="EJ114" s="822"/>
      <c r="EK114" s="822"/>
      <c r="EL114" s="822"/>
      <c r="EM114" s="4826" t="str">
        <f>IF(BM114=0,"",BM114)</f>
        <v/>
      </c>
      <c r="EN114" s="4827"/>
      <c r="EO114" s="4827"/>
      <c r="EP114" s="4827"/>
      <c r="EQ114" s="4827"/>
      <c r="ER114" s="4828"/>
    </row>
    <row r="115" spans="3:148" ht="17.100000000000001" customHeight="1" x14ac:dyDescent="0.3">
      <c r="E115" s="762"/>
      <c r="F115" s="1059"/>
      <c r="G115" s="1059"/>
      <c r="H115" s="1059"/>
      <c r="I115" s="4766"/>
      <c r="J115" s="4771"/>
      <c r="K115" s="4772"/>
      <c r="L115" s="4772"/>
      <c r="M115" s="4772"/>
      <c r="N115" s="4772"/>
      <c r="O115" s="4773"/>
      <c r="P115" s="4777"/>
      <c r="Q115" s="1059"/>
      <c r="R115" s="1059"/>
      <c r="S115" s="4766"/>
      <c r="T115" s="4771"/>
      <c r="U115" s="4772"/>
      <c r="V115" s="4772"/>
      <c r="W115" s="4772"/>
      <c r="X115" s="4772"/>
      <c r="Y115" s="4773"/>
      <c r="Z115" s="4777"/>
      <c r="AA115" s="1059"/>
      <c r="AB115" s="1059"/>
      <c r="AC115" s="4766"/>
      <c r="AD115" s="4771"/>
      <c r="AE115" s="4772"/>
      <c r="AF115" s="4772"/>
      <c r="AG115" s="4772"/>
      <c r="AH115" s="4772"/>
      <c r="AI115" s="4773"/>
      <c r="AJ115" s="4777"/>
      <c r="AK115" s="1059"/>
      <c r="AL115" s="1059"/>
      <c r="AM115" s="2285">
        <f>AN133</f>
        <v>0</v>
      </c>
      <c r="AN115" s="2276" t="s">
        <v>710</v>
      </c>
      <c r="AO115" s="1278"/>
      <c r="AP115" s="1059"/>
      <c r="AQ115" s="1059"/>
      <c r="AR115" s="4766"/>
      <c r="AS115" s="4771"/>
      <c r="AT115" s="4772"/>
      <c r="AU115" s="4772"/>
      <c r="AV115" s="4772"/>
      <c r="AW115" s="4772"/>
      <c r="AX115" s="4773"/>
      <c r="AY115" s="4777"/>
      <c r="AZ115" s="1059"/>
      <c r="BA115" s="1059"/>
      <c r="BB115" s="4766"/>
      <c r="BC115" s="4771"/>
      <c r="BD115" s="4772"/>
      <c r="BE115" s="4772"/>
      <c r="BF115" s="4772"/>
      <c r="BG115" s="4772"/>
      <c r="BH115" s="4773"/>
      <c r="BI115" s="4777"/>
      <c r="BJ115" s="1059"/>
      <c r="BK115" s="1059"/>
      <c r="BL115" s="4766"/>
      <c r="BM115" s="4771"/>
      <c r="BN115" s="4772"/>
      <c r="BO115" s="4772"/>
      <c r="BP115" s="4772"/>
      <c r="BQ115" s="4772"/>
      <c r="BR115" s="4773"/>
      <c r="BS115" s="4777"/>
      <c r="BT115" s="1059"/>
      <c r="BU115" s="1059"/>
      <c r="BV115" s="1059"/>
      <c r="BW115" s="764"/>
      <c r="BX115" s="23"/>
      <c r="BY115" s="822"/>
      <c r="BZ115" s="822"/>
      <c r="CA115" s="822"/>
      <c r="CB115" s="822"/>
      <c r="CC115" s="822"/>
      <c r="CD115" s="822"/>
      <c r="CE115" s="822"/>
      <c r="CF115" s="822"/>
      <c r="CG115" s="822"/>
      <c r="CH115" s="822"/>
      <c r="CI115" s="822"/>
      <c r="CJ115" s="4829"/>
      <c r="CK115" s="4830"/>
      <c r="CL115" s="4830"/>
      <c r="CM115" s="4830"/>
      <c r="CN115" s="4830"/>
      <c r="CO115" s="4831"/>
      <c r="CP115" s="822"/>
      <c r="CQ115" s="822"/>
      <c r="CR115" s="822"/>
      <c r="CS115" s="822"/>
      <c r="CT115" s="4829"/>
      <c r="CU115" s="4830"/>
      <c r="CV115" s="4830"/>
      <c r="CW115" s="4830"/>
      <c r="CX115" s="4830"/>
      <c r="CY115" s="4831"/>
      <c r="CZ115" s="822"/>
      <c r="DA115" s="822"/>
      <c r="DB115" s="822"/>
      <c r="DC115" s="822"/>
      <c r="DD115" s="4829"/>
      <c r="DE115" s="4830"/>
      <c r="DF115" s="4830"/>
      <c r="DG115" s="4830"/>
      <c r="DH115" s="4830"/>
      <c r="DI115" s="4831"/>
      <c r="DJ115" s="822"/>
      <c r="DK115" s="822"/>
      <c r="DL115" s="822"/>
      <c r="DM115" s="822"/>
      <c r="DN115" s="822"/>
      <c r="DO115" s="822"/>
      <c r="DP115" s="822"/>
      <c r="DQ115" s="822"/>
      <c r="DR115" s="822"/>
      <c r="DS115" s="4829"/>
      <c r="DT115" s="4830"/>
      <c r="DU115" s="4830"/>
      <c r="DV115" s="4830"/>
      <c r="DW115" s="4830"/>
      <c r="DX115" s="4831"/>
      <c r="DY115" s="822"/>
      <c r="DZ115" s="822"/>
      <c r="EA115" s="822"/>
      <c r="EB115" s="822"/>
      <c r="EC115" s="4829"/>
      <c r="ED115" s="4830"/>
      <c r="EE115" s="4830"/>
      <c r="EF115" s="4830"/>
      <c r="EG115" s="4830"/>
      <c r="EH115" s="4831"/>
      <c r="EI115" s="822"/>
      <c r="EJ115" s="822"/>
      <c r="EK115" s="822"/>
      <c r="EL115" s="822"/>
      <c r="EM115" s="4829"/>
      <c r="EN115" s="4830"/>
      <c r="EO115" s="4830"/>
      <c r="EP115" s="4830"/>
      <c r="EQ115" s="4830"/>
      <c r="ER115" s="4831"/>
    </row>
    <row r="116" spans="3:148" ht="17.100000000000001" customHeight="1" x14ac:dyDescent="0.3">
      <c r="E116" s="762"/>
      <c r="F116" s="1059"/>
      <c r="G116" s="1059"/>
      <c r="H116" s="1059"/>
      <c r="I116" s="4766"/>
      <c r="J116" s="4774"/>
      <c r="K116" s="4775"/>
      <c r="L116" s="4775"/>
      <c r="M116" s="4775"/>
      <c r="N116" s="4775"/>
      <c r="O116" s="4776"/>
      <c r="P116" s="4777"/>
      <c r="Q116" s="1059"/>
      <c r="R116" s="1059"/>
      <c r="S116" s="4766"/>
      <c r="T116" s="4774"/>
      <c r="U116" s="4775"/>
      <c r="V116" s="4775"/>
      <c r="W116" s="4775"/>
      <c r="X116" s="4775"/>
      <c r="Y116" s="4776"/>
      <c r="Z116" s="4777"/>
      <c r="AA116" s="1059"/>
      <c r="AB116" s="1059"/>
      <c r="AC116" s="4766"/>
      <c r="AD116" s="4774"/>
      <c r="AE116" s="4775"/>
      <c r="AF116" s="4775"/>
      <c r="AG116" s="4775"/>
      <c r="AH116" s="4775"/>
      <c r="AI116" s="4776"/>
      <c r="AJ116" s="4777"/>
      <c r="AK116" s="1059"/>
      <c r="AL116" s="1059"/>
      <c r="AM116" s="2285">
        <f>AN133</f>
        <v>0</v>
      </c>
      <c r="AN116" s="2277" t="s">
        <v>941</v>
      </c>
      <c r="AO116" s="1278"/>
      <c r="AP116" s="1059"/>
      <c r="AQ116" s="1059"/>
      <c r="AR116" s="4766"/>
      <c r="AS116" s="4774"/>
      <c r="AT116" s="4775"/>
      <c r="AU116" s="4775"/>
      <c r="AV116" s="4775"/>
      <c r="AW116" s="4775"/>
      <c r="AX116" s="4776"/>
      <c r="AY116" s="4777"/>
      <c r="AZ116" s="1059"/>
      <c r="BA116" s="1059"/>
      <c r="BB116" s="4766"/>
      <c r="BC116" s="4774"/>
      <c r="BD116" s="4775"/>
      <c r="BE116" s="4775"/>
      <c r="BF116" s="4775"/>
      <c r="BG116" s="4775"/>
      <c r="BH116" s="4776"/>
      <c r="BI116" s="4777"/>
      <c r="BJ116" s="1059"/>
      <c r="BK116" s="1059"/>
      <c r="BL116" s="4766"/>
      <c r="BM116" s="4774"/>
      <c r="BN116" s="4775"/>
      <c r="BO116" s="4775"/>
      <c r="BP116" s="4775"/>
      <c r="BQ116" s="4775"/>
      <c r="BR116" s="4776"/>
      <c r="BS116" s="4777"/>
      <c r="BT116" s="1059"/>
      <c r="BU116" s="1059"/>
      <c r="BV116" s="1059"/>
      <c r="BW116" s="764"/>
      <c r="BX116" s="23"/>
      <c r="BY116" s="822"/>
      <c r="BZ116" s="822"/>
      <c r="CA116" s="822"/>
      <c r="CB116" s="822"/>
      <c r="CC116" s="822"/>
      <c r="CD116" s="822"/>
      <c r="CE116" s="822"/>
      <c r="CF116" s="822"/>
      <c r="CG116" s="822"/>
      <c r="CH116" s="822"/>
      <c r="CI116" s="822"/>
      <c r="CJ116" s="4832"/>
      <c r="CK116" s="4833"/>
      <c r="CL116" s="4833"/>
      <c r="CM116" s="4833"/>
      <c r="CN116" s="4833"/>
      <c r="CO116" s="4834"/>
      <c r="CP116" s="822"/>
      <c r="CQ116" s="822"/>
      <c r="CR116" s="822"/>
      <c r="CS116" s="822"/>
      <c r="CT116" s="4832"/>
      <c r="CU116" s="4833"/>
      <c r="CV116" s="4833"/>
      <c r="CW116" s="4833"/>
      <c r="CX116" s="4833"/>
      <c r="CY116" s="4834"/>
      <c r="CZ116" s="822"/>
      <c r="DA116" s="822"/>
      <c r="DB116" s="822"/>
      <c r="DC116" s="822"/>
      <c r="DD116" s="4832"/>
      <c r="DE116" s="4833"/>
      <c r="DF116" s="4833"/>
      <c r="DG116" s="4833"/>
      <c r="DH116" s="4833"/>
      <c r="DI116" s="4834"/>
      <c r="DJ116" s="822"/>
      <c r="DK116" s="822"/>
      <c r="DL116" s="822"/>
      <c r="DM116" s="822"/>
      <c r="DN116" s="822"/>
      <c r="DO116" s="822"/>
      <c r="DP116" s="822"/>
      <c r="DQ116" s="822"/>
      <c r="DR116" s="822"/>
      <c r="DS116" s="4832"/>
      <c r="DT116" s="4833"/>
      <c r="DU116" s="4833"/>
      <c r="DV116" s="4833"/>
      <c r="DW116" s="4833"/>
      <c r="DX116" s="4834"/>
      <c r="DY116" s="822"/>
      <c r="DZ116" s="822"/>
      <c r="EA116" s="822"/>
      <c r="EB116" s="822"/>
      <c r="EC116" s="4832"/>
      <c r="ED116" s="4833"/>
      <c r="EE116" s="4833"/>
      <c r="EF116" s="4833"/>
      <c r="EG116" s="4833"/>
      <c r="EH116" s="4834"/>
      <c r="EI116" s="822"/>
      <c r="EJ116" s="822"/>
      <c r="EK116" s="822"/>
      <c r="EL116" s="822"/>
      <c r="EM116" s="4832"/>
      <c r="EN116" s="4833"/>
      <c r="EO116" s="4833"/>
      <c r="EP116" s="4833"/>
      <c r="EQ116" s="4833"/>
      <c r="ER116" s="4834"/>
    </row>
    <row r="117" spans="3:148" ht="17.100000000000001" customHeight="1" thickBot="1" x14ac:dyDescent="0.35">
      <c r="E117" s="762"/>
      <c r="F117" s="1059"/>
      <c r="G117" s="1059"/>
      <c r="H117" s="1059"/>
      <c r="I117" s="4767"/>
      <c r="J117" s="4789" t="s">
        <v>505</v>
      </c>
      <c r="K117" s="4789"/>
      <c r="L117" s="4789"/>
      <c r="M117" s="4789"/>
      <c r="N117" s="4789"/>
      <c r="O117" s="4789"/>
      <c r="P117" s="4778"/>
      <c r="Q117" s="1059"/>
      <c r="R117" s="1059"/>
      <c r="S117" s="4767"/>
      <c r="T117" s="4789" t="s">
        <v>505</v>
      </c>
      <c r="U117" s="4789"/>
      <c r="V117" s="4789"/>
      <c r="W117" s="4789"/>
      <c r="X117" s="4789"/>
      <c r="Y117" s="4789"/>
      <c r="Z117" s="4778"/>
      <c r="AA117" s="1059"/>
      <c r="AB117" s="1059"/>
      <c r="AC117" s="4767"/>
      <c r="AD117" s="4789" t="s">
        <v>505</v>
      </c>
      <c r="AE117" s="4789"/>
      <c r="AF117" s="4789"/>
      <c r="AG117" s="4789"/>
      <c r="AH117" s="4789"/>
      <c r="AI117" s="4789"/>
      <c r="AJ117" s="4778"/>
      <c r="AK117" s="1059"/>
      <c r="AL117" s="1059"/>
      <c r="AM117" s="2285">
        <f>AN133</f>
        <v>0</v>
      </c>
      <c r="AN117" s="2278" t="s">
        <v>144</v>
      </c>
      <c r="AO117" s="1278"/>
      <c r="AP117" s="1059"/>
      <c r="AQ117" s="1059"/>
      <c r="AR117" s="4767"/>
      <c r="AS117" s="4789" t="s">
        <v>505</v>
      </c>
      <c r="AT117" s="4789"/>
      <c r="AU117" s="4789"/>
      <c r="AV117" s="4789"/>
      <c r="AW117" s="4789"/>
      <c r="AX117" s="4789"/>
      <c r="AY117" s="4778"/>
      <c r="AZ117" s="1059"/>
      <c r="BA117" s="1059"/>
      <c r="BB117" s="4767"/>
      <c r="BC117" s="4789" t="s">
        <v>505</v>
      </c>
      <c r="BD117" s="4789"/>
      <c r="BE117" s="4789"/>
      <c r="BF117" s="4789"/>
      <c r="BG117" s="4789"/>
      <c r="BH117" s="4789"/>
      <c r="BI117" s="4778"/>
      <c r="BJ117" s="1059"/>
      <c r="BK117" s="1059"/>
      <c r="BL117" s="4767"/>
      <c r="BM117" s="4789" t="s">
        <v>505</v>
      </c>
      <c r="BN117" s="4789"/>
      <c r="BO117" s="4789"/>
      <c r="BP117" s="4789"/>
      <c r="BQ117" s="4789"/>
      <c r="BR117" s="4789"/>
      <c r="BS117" s="4778"/>
      <c r="BT117" s="1059"/>
      <c r="BU117" s="1059"/>
      <c r="BV117" s="1059"/>
      <c r="BW117" s="764"/>
      <c r="BX117" s="23"/>
      <c r="BY117" s="822"/>
      <c r="BZ117" s="822"/>
      <c r="CA117" s="822"/>
      <c r="CB117" s="822"/>
      <c r="CC117" s="822"/>
      <c r="CD117" s="822"/>
      <c r="CE117" s="822"/>
      <c r="CF117" s="822"/>
      <c r="CG117" s="822"/>
      <c r="CH117" s="822"/>
      <c r="CI117" s="822"/>
      <c r="CJ117" s="822"/>
      <c r="CK117" s="822"/>
      <c r="CL117" s="822"/>
      <c r="CM117" s="822"/>
      <c r="CN117" s="822"/>
      <c r="CO117" s="822"/>
      <c r="CP117" s="822"/>
      <c r="CQ117" s="822"/>
      <c r="CR117" s="822"/>
      <c r="CS117" s="822"/>
      <c r="CT117" s="822"/>
      <c r="CU117" s="822"/>
      <c r="CV117" s="822"/>
      <c r="CW117" s="822"/>
      <c r="CX117" s="822"/>
      <c r="CY117" s="822"/>
      <c r="CZ117" s="822"/>
      <c r="DA117" s="822"/>
      <c r="DB117" s="822"/>
      <c r="DC117" s="822"/>
      <c r="DD117" s="822"/>
      <c r="DE117" s="822"/>
      <c r="DF117" s="822"/>
      <c r="DG117" s="822"/>
      <c r="DH117" s="822"/>
      <c r="DI117" s="822"/>
      <c r="DJ117" s="822"/>
      <c r="DK117" s="822"/>
      <c r="DL117" s="822"/>
      <c r="DM117" s="822"/>
      <c r="DN117" s="822"/>
      <c r="DO117" s="822"/>
      <c r="DP117" s="822"/>
      <c r="DQ117" s="822"/>
      <c r="DR117" s="822"/>
      <c r="DS117" s="822"/>
      <c r="DT117" s="822"/>
      <c r="DU117" s="822"/>
      <c r="DV117" s="822"/>
      <c r="DW117" s="822"/>
      <c r="DX117" s="822"/>
      <c r="DY117" s="822"/>
      <c r="DZ117" s="822"/>
      <c r="EA117" s="822"/>
      <c r="EB117" s="822"/>
      <c r="EC117" s="822"/>
      <c r="ED117" s="822"/>
      <c r="EE117" s="822"/>
      <c r="EF117" s="822"/>
      <c r="EG117" s="822"/>
      <c r="EH117" s="822"/>
      <c r="EI117" s="822"/>
      <c r="EJ117" s="822"/>
      <c r="EK117" s="822"/>
      <c r="EL117" s="822"/>
      <c r="EM117" s="822"/>
      <c r="EN117" s="822"/>
      <c r="EO117" s="822"/>
      <c r="EP117" s="822"/>
      <c r="EQ117" s="822"/>
      <c r="ER117" s="822"/>
    </row>
    <row r="118" spans="3:148" ht="17.100000000000001" customHeight="1" thickTop="1" x14ac:dyDescent="0.3">
      <c r="E118" s="762"/>
      <c r="F118" s="1059"/>
      <c r="G118" s="1059"/>
      <c r="H118" s="1059"/>
      <c r="I118" s="1059"/>
      <c r="J118" s="1059"/>
      <c r="K118" s="1059"/>
      <c r="L118" s="1059"/>
      <c r="M118" s="1059"/>
      <c r="N118" s="1059"/>
      <c r="O118" s="1059"/>
      <c r="P118" s="1059"/>
      <c r="Q118" s="1059"/>
      <c r="R118" s="1059"/>
      <c r="S118" s="1059"/>
      <c r="T118" s="1059"/>
      <c r="U118" s="1059"/>
      <c r="V118" s="1059"/>
      <c r="W118" s="1059"/>
      <c r="X118" s="1059"/>
      <c r="Y118" s="1059"/>
      <c r="Z118" s="1059"/>
      <c r="AA118" s="1059"/>
      <c r="AB118" s="1059"/>
      <c r="AC118" s="1059"/>
      <c r="AD118" s="1059"/>
      <c r="AE118" s="1059"/>
      <c r="AF118" s="1059"/>
      <c r="AG118" s="1059"/>
      <c r="AH118" s="1059"/>
      <c r="AI118" s="1059"/>
      <c r="AJ118" s="1059"/>
      <c r="AK118" s="1059"/>
      <c r="AL118" s="1059"/>
      <c r="AM118" s="2285">
        <f>AN133</f>
        <v>0</v>
      </c>
      <c r="AN118" s="2279" t="s">
        <v>939</v>
      </c>
      <c r="AO118" s="1278"/>
      <c r="AP118" s="1059"/>
      <c r="AQ118" s="1059"/>
      <c r="AR118" s="1059"/>
      <c r="AS118" s="1059"/>
      <c r="AT118" s="1059"/>
      <c r="AU118" s="1059"/>
      <c r="AV118" s="1059"/>
      <c r="AW118" s="1059"/>
      <c r="AX118" s="1059"/>
      <c r="AY118" s="1059"/>
      <c r="AZ118" s="1059"/>
      <c r="BA118" s="1059"/>
      <c r="BB118" s="1059"/>
      <c r="BC118" s="1059"/>
      <c r="BD118" s="1059"/>
      <c r="BE118" s="1059"/>
      <c r="BF118" s="1059"/>
      <c r="BG118" s="1059"/>
      <c r="BH118" s="1059"/>
      <c r="BI118" s="1059"/>
      <c r="BJ118" s="1059"/>
      <c r="BK118" s="1059"/>
      <c r="BL118" s="1059"/>
      <c r="BM118" s="1059"/>
      <c r="BN118" s="1059"/>
      <c r="BO118" s="1059"/>
      <c r="BP118" s="1059"/>
      <c r="BQ118" s="1059"/>
      <c r="BR118" s="1059"/>
      <c r="BS118" s="1059"/>
      <c r="BT118" s="1059"/>
      <c r="BU118" s="1059"/>
      <c r="BV118" s="1059"/>
      <c r="BW118" s="764"/>
      <c r="BX118" s="23"/>
      <c r="BY118" s="822"/>
      <c r="BZ118" s="822"/>
      <c r="CA118" s="822"/>
      <c r="CB118" s="822"/>
      <c r="CC118" s="822"/>
      <c r="CD118" s="822"/>
      <c r="CE118" s="822"/>
      <c r="CF118" s="822"/>
      <c r="CG118" s="822"/>
      <c r="CH118" s="822"/>
      <c r="CI118" s="822"/>
      <c r="CJ118" s="822"/>
      <c r="CK118" s="822"/>
      <c r="CL118" s="822"/>
      <c r="CM118" s="822"/>
      <c r="CN118" s="822"/>
      <c r="CO118" s="822"/>
      <c r="CP118" s="822"/>
      <c r="CQ118" s="822"/>
      <c r="CR118" s="822"/>
      <c r="CS118" s="822"/>
      <c r="CT118" s="822"/>
      <c r="CU118" s="822"/>
      <c r="CV118" s="822"/>
      <c r="CW118" s="822"/>
      <c r="CX118" s="822"/>
      <c r="CY118" s="822"/>
      <c r="CZ118" s="822"/>
      <c r="DA118" s="822"/>
      <c r="DB118" s="822"/>
      <c r="DC118" s="822"/>
      <c r="DD118" s="822"/>
      <c r="DE118" s="822"/>
      <c r="DF118" s="822"/>
      <c r="DG118" s="822"/>
      <c r="DH118" s="822"/>
      <c r="DI118" s="822"/>
      <c r="DJ118" s="822"/>
      <c r="DK118" s="822"/>
      <c r="DL118" s="822"/>
      <c r="DM118" s="822"/>
      <c r="DN118" s="822"/>
      <c r="DO118" s="822"/>
      <c r="DP118" s="822"/>
      <c r="DQ118" s="822"/>
      <c r="DR118" s="822"/>
      <c r="DS118" s="822"/>
      <c r="DT118" s="822"/>
      <c r="DU118" s="822"/>
      <c r="DV118" s="822"/>
      <c r="DW118" s="822"/>
      <c r="DX118" s="822"/>
      <c r="DY118" s="822"/>
      <c r="DZ118" s="822"/>
      <c r="EA118" s="822"/>
      <c r="EB118" s="822"/>
      <c r="EC118" s="822"/>
      <c r="ED118" s="822"/>
      <c r="EE118" s="822"/>
      <c r="EF118" s="822"/>
      <c r="EG118" s="822"/>
      <c r="EH118" s="822"/>
      <c r="EI118" s="822"/>
      <c r="EJ118" s="822"/>
      <c r="EK118" s="822"/>
      <c r="EL118" s="822"/>
      <c r="EM118" s="822"/>
      <c r="EN118" s="822"/>
      <c r="EO118" s="822"/>
      <c r="EP118" s="822"/>
      <c r="EQ118" s="822"/>
      <c r="ER118" s="822"/>
    </row>
    <row r="119" spans="3:148" ht="17.100000000000001" customHeight="1" thickBot="1" x14ac:dyDescent="0.35">
      <c r="E119" s="762"/>
      <c r="F119" s="1059"/>
      <c r="G119" s="1059"/>
      <c r="H119" s="1059"/>
      <c r="I119" s="1059"/>
      <c r="J119" s="1059"/>
      <c r="K119" s="1059"/>
      <c r="L119" s="1059"/>
      <c r="M119" s="1059"/>
      <c r="N119" s="1059"/>
      <c r="O119" s="1059"/>
      <c r="P119" s="1059"/>
      <c r="Q119" s="1059"/>
      <c r="R119" s="1059"/>
      <c r="S119" s="1059"/>
      <c r="T119" s="1059"/>
      <c r="U119" s="1059"/>
      <c r="V119" s="1059"/>
      <c r="W119" s="1059"/>
      <c r="X119" s="1059"/>
      <c r="Y119" s="1059"/>
      <c r="Z119" s="1059"/>
      <c r="AA119" s="1059"/>
      <c r="AB119" s="1059"/>
      <c r="AC119" s="1059"/>
      <c r="AD119" s="1059"/>
      <c r="AE119" s="1059"/>
      <c r="AF119" s="1059"/>
      <c r="AG119" s="1059"/>
      <c r="AH119" s="1059"/>
      <c r="AI119" s="1059"/>
      <c r="AJ119" s="1059"/>
      <c r="AK119" s="1059"/>
      <c r="AL119" s="1059"/>
      <c r="AM119" s="2285">
        <f>AN133</f>
        <v>0</v>
      </c>
      <c r="AN119" s="2280" t="s">
        <v>942</v>
      </c>
      <c r="AO119" s="1278"/>
      <c r="AP119" s="1059"/>
      <c r="AQ119" s="1059"/>
      <c r="AR119" s="1059"/>
      <c r="AS119" s="1059"/>
      <c r="AT119" s="1059"/>
      <c r="AU119" s="1059"/>
      <c r="AV119" s="1059"/>
      <c r="AW119" s="1059"/>
      <c r="AX119" s="1059"/>
      <c r="AY119" s="1059"/>
      <c r="AZ119" s="1059"/>
      <c r="BA119" s="1059"/>
      <c r="BB119" s="1059"/>
      <c r="BC119" s="1059"/>
      <c r="BD119" s="1059"/>
      <c r="BE119" s="1059"/>
      <c r="BF119" s="1059"/>
      <c r="BG119" s="1059"/>
      <c r="BH119" s="1059"/>
      <c r="BI119" s="1059"/>
      <c r="BJ119" s="1059"/>
      <c r="BK119" s="1059"/>
      <c r="BL119" s="1059"/>
      <c r="BM119" s="1059"/>
      <c r="BN119" s="1059"/>
      <c r="BO119" s="1059"/>
      <c r="BP119" s="1059"/>
      <c r="BQ119" s="1059"/>
      <c r="BR119" s="1059"/>
      <c r="BS119" s="1059"/>
      <c r="BT119" s="1059"/>
      <c r="BU119" s="1059"/>
      <c r="BV119" s="1059"/>
      <c r="BW119" s="764"/>
      <c r="BX119" s="23"/>
      <c r="BY119" s="822"/>
      <c r="BZ119" s="822"/>
      <c r="CA119" s="822"/>
      <c r="CB119" s="822"/>
      <c r="CC119" s="822"/>
      <c r="CD119" s="822"/>
      <c r="CE119" s="822"/>
      <c r="CF119" s="822"/>
      <c r="CG119" s="822"/>
      <c r="CH119" s="822"/>
      <c r="CI119" s="822"/>
      <c r="CJ119" s="822"/>
      <c r="CK119" s="822"/>
      <c r="CL119" s="822"/>
      <c r="CM119" s="822"/>
      <c r="CN119" s="822"/>
      <c r="CO119" s="822"/>
      <c r="CP119" s="822"/>
      <c r="CQ119" s="822"/>
      <c r="CR119" s="822"/>
      <c r="CS119" s="822"/>
      <c r="CT119" s="822"/>
      <c r="CU119" s="822"/>
      <c r="CV119" s="822"/>
      <c r="CW119" s="822"/>
      <c r="CX119" s="822"/>
      <c r="CY119" s="822"/>
      <c r="CZ119" s="822"/>
      <c r="DA119" s="822"/>
      <c r="DB119" s="822"/>
      <c r="DC119" s="822"/>
      <c r="DD119" s="822"/>
      <c r="DE119" s="822"/>
      <c r="DF119" s="822"/>
      <c r="DG119" s="822"/>
      <c r="DH119" s="822"/>
      <c r="DI119" s="822"/>
      <c r="DJ119" s="822"/>
      <c r="DK119" s="822"/>
      <c r="DL119" s="822"/>
      <c r="DM119" s="822"/>
      <c r="DN119" s="822"/>
      <c r="DO119" s="822"/>
      <c r="DP119" s="822"/>
      <c r="DQ119" s="822"/>
      <c r="DR119" s="822"/>
      <c r="DS119" s="822"/>
      <c r="DT119" s="822"/>
      <c r="DU119" s="822"/>
      <c r="DV119" s="822"/>
      <c r="DW119" s="822"/>
      <c r="DX119" s="822"/>
      <c r="DY119" s="822"/>
      <c r="DZ119" s="822"/>
      <c r="EA119" s="822"/>
      <c r="EB119" s="822"/>
      <c r="EC119" s="822"/>
      <c r="ED119" s="822"/>
      <c r="EE119" s="822"/>
      <c r="EF119" s="822"/>
      <c r="EG119" s="822"/>
      <c r="EH119" s="822"/>
      <c r="EI119" s="822"/>
      <c r="EJ119" s="822"/>
      <c r="EK119" s="822"/>
      <c r="EL119" s="822"/>
      <c r="EM119" s="822"/>
      <c r="EN119" s="822"/>
      <c r="EO119" s="822"/>
      <c r="EP119" s="822"/>
      <c r="EQ119" s="822"/>
      <c r="ER119" s="822"/>
    </row>
    <row r="120" spans="3:148" ht="17.100000000000001" customHeight="1" thickTop="1" x14ac:dyDescent="0.3">
      <c r="E120" s="762"/>
      <c r="F120" s="1059"/>
      <c r="G120" s="1059"/>
      <c r="H120" s="1059"/>
      <c r="I120" s="4756" t="s">
        <v>72</v>
      </c>
      <c r="J120" s="4757"/>
      <c r="K120" s="4757"/>
      <c r="L120" s="4787" t="s">
        <v>941</v>
      </c>
      <c r="M120" s="4801"/>
      <c r="N120" s="4757" t="s">
        <v>72</v>
      </c>
      <c r="O120" s="4757"/>
      <c r="P120" s="4762"/>
      <c r="Q120" s="1059"/>
      <c r="R120" s="1059"/>
      <c r="S120" s="4756" t="s">
        <v>72</v>
      </c>
      <c r="T120" s="4757"/>
      <c r="U120" s="4757"/>
      <c r="V120" s="4783" t="s">
        <v>941</v>
      </c>
      <c r="W120" s="4799"/>
      <c r="X120" s="4757" t="s">
        <v>72</v>
      </c>
      <c r="Y120" s="4757"/>
      <c r="Z120" s="4762"/>
      <c r="AA120" s="1059"/>
      <c r="AB120" s="1059"/>
      <c r="AC120" s="4756" t="s">
        <v>72</v>
      </c>
      <c r="AD120" s="4757"/>
      <c r="AE120" s="4757"/>
      <c r="AF120" s="4785" t="s">
        <v>941</v>
      </c>
      <c r="AG120" s="4803"/>
      <c r="AH120" s="4757" t="s">
        <v>72</v>
      </c>
      <c r="AI120" s="4757"/>
      <c r="AJ120" s="4762"/>
      <c r="AK120" s="1059"/>
      <c r="AL120" s="1059"/>
      <c r="AM120" s="2285">
        <f>AN133</f>
        <v>0</v>
      </c>
      <c r="AN120" s="2281" t="s">
        <v>940</v>
      </c>
      <c r="AO120" s="1278"/>
      <c r="AP120" s="1059"/>
      <c r="AQ120" s="1059"/>
      <c r="AR120" s="4756" t="s">
        <v>72</v>
      </c>
      <c r="AS120" s="4757"/>
      <c r="AT120" s="4757"/>
      <c r="AU120" s="4785" t="s">
        <v>942</v>
      </c>
      <c r="AV120" s="4803"/>
      <c r="AW120" s="4757" t="s">
        <v>72</v>
      </c>
      <c r="AX120" s="4757"/>
      <c r="AY120" s="4762"/>
      <c r="AZ120" s="1059"/>
      <c r="BA120" s="1059"/>
      <c r="BB120" s="4756" t="s">
        <v>72</v>
      </c>
      <c r="BC120" s="4757"/>
      <c r="BD120" s="4757"/>
      <c r="BE120" s="4783" t="s">
        <v>942</v>
      </c>
      <c r="BF120" s="4799"/>
      <c r="BG120" s="4757" t="s">
        <v>72</v>
      </c>
      <c r="BH120" s="4757"/>
      <c r="BI120" s="4762"/>
      <c r="BJ120" s="1059"/>
      <c r="BK120" s="1059"/>
      <c r="BL120" s="4756" t="s">
        <v>72</v>
      </c>
      <c r="BM120" s="4757"/>
      <c r="BN120" s="4757"/>
      <c r="BO120" s="4787" t="s">
        <v>942</v>
      </c>
      <c r="BP120" s="4801"/>
      <c r="BQ120" s="4757" t="s">
        <v>72</v>
      </c>
      <c r="BR120" s="4757"/>
      <c r="BS120" s="4762"/>
      <c r="BT120" s="1059"/>
      <c r="BU120" s="1059"/>
      <c r="BV120" s="1059"/>
      <c r="BW120" s="764"/>
      <c r="BX120" s="23"/>
      <c r="BY120" s="822"/>
      <c r="BZ120" s="822"/>
      <c r="CA120" s="822"/>
      <c r="CB120" s="822"/>
      <c r="CC120" s="822"/>
      <c r="CD120" s="822"/>
      <c r="CE120" s="822"/>
      <c r="CF120" s="822"/>
      <c r="CG120" s="822"/>
      <c r="CH120" s="822"/>
      <c r="CI120" s="822"/>
      <c r="CJ120" s="822"/>
      <c r="CK120" s="822"/>
      <c r="CL120" s="822"/>
      <c r="CM120" s="822"/>
      <c r="CN120" s="822"/>
      <c r="CO120" s="822"/>
      <c r="CP120" s="822"/>
      <c r="CQ120" s="822"/>
      <c r="CR120" s="822"/>
      <c r="CS120" s="822"/>
      <c r="CT120" s="822"/>
      <c r="CU120" s="822"/>
      <c r="CV120" s="822"/>
      <c r="CW120" s="822"/>
      <c r="CX120" s="822"/>
      <c r="CY120" s="822"/>
      <c r="CZ120" s="822"/>
      <c r="DA120" s="822"/>
      <c r="DB120" s="822"/>
      <c r="DC120" s="822"/>
      <c r="DD120" s="822"/>
      <c r="DE120" s="822"/>
      <c r="DF120" s="822"/>
      <c r="DG120" s="822"/>
      <c r="DH120" s="822"/>
      <c r="DI120" s="822"/>
      <c r="DJ120" s="822"/>
      <c r="DK120" s="822"/>
      <c r="DL120" s="822"/>
      <c r="DM120" s="822"/>
      <c r="DN120" s="822"/>
      <c r="DO120" s="822"/>
      <c r="DP120" s="822"/>
      <c r="DQ120" s="822"/>
      <c r="DR120" s="822"/>
      <c r="DS120" s="822"/>
      <c r="DT120" s="822"/>
      <c r="DU120" s="822"/>
      <c r="DV120" s="822"/>
      <c r="DW120" s="822"/>
      <c r="DX120" s="822"/>
      <c r="DY120" s="822"/>
      <c r="DZ120" s="822"/>
      <c r="EA120" s="822"/>
      <c r="EB120" s="822"/>
      <c r="EC120" s="822"/>
      <c r="ED120" s="822"/>
      <c r="EE120" s="822"/>
      <c r="EF120" s="822"/>
      <c r="EG120" s="822"/>
      <c r="EH120" s="822"/>
      <c r="EI120" s="822"/>
      <c r="EJ120" s="822"/>
      <c r="EK120" s="822"/>
      <c r="EL120" s="822"/>
      <c r="EM120" s="822"/>
      <c r="EN120" s="822"/>
      <c r="EO120" s="822"/>
      <c r="EP120" s="822"/>
      <c r="EQ120" s="822"/>
      <c r="ER120" s="822"/>
    </row>
    <row r="121" spans="3:148" ht="17.100000000000001" customHeight="1" x14ac:dyDescent="0.3">
      <c r="E121" s="762"/>
      <c r="F121" s="1059"/>
      <c r="G121" s="1059"/>
      <c r="H121" s="1059"/>
      <c r="I121" s="4758"/>
      <c r="J121" s="4759"/>
      <c r="K121" s="4759"/>
      <c r="L121" s="4802"/>
      <c r="M121" s="4802"/>
      <c r="N121" s="4759"/>
      <c r="O121" s="4759"/>
      <c r="P121" s="4763"/>
      <c r="Q121" s="1059"/>
      <c r="R121" s="1059"/>
      <c r="S121" s="4758"/>
      <c r="T121" s="4759"/>
      <c r="U121" s="4759"/>
      <c r="V121" s="4800"/>
      <c r="W121" s="4800"/>
      <c r="X121" s="4759"/>
      <c r="Y121" s="4759"/>
      <c r="Z121" s="4763"/>
      <c r="AA121" s="1059"/>
      <c r="AB121" s="1059"/>
      <c r="AC121" s="4758"/>
      <c r="AD121" s="4759"/>
      <c r="AE121" s="4759"/>
      <c r="AF121" s="4804"/>
      <c r="AG121" s="4804"/>
      <c r="AH121" s="4759"/>
      <c r="AI121" s="4759"/>
      <c r="AJ121" s="4763"/>
      <c r="AK121" s="1059"/>
      <c r="AL121" s="1059"/>
      <c r="AM121" s="2285">
        <f>AN133</f>
        <v>0</v>
      </c>
      <c r="AN121" s="2282" t="s">
        <v>710</v>
      </c>
      <c r="AO121" s="1278"/>
      <c r="AP121" s="1059"/>
      <c r="AQ121" s="1059"/>
      <c r="AR121" s="4758"/>
      <c r="AS121" s="4759"/>
      <c r="AT121" s="4759"/>
      <c r="AU121" s="4804"/>
      <c r="AV121" s="4804"/>
      <c r="AW121" s="4759"/>
      <c r="AX121" s="4759"/>
      <c r="AY121" s="4763"/>
      <c r="AZ121" s="1059"/>
      <c r="BA121" s="1059"/>
      <c r="BB121" s="4758"/>
      <c r="BC121" s="4759"/>
      <c r="BD121" s="4759"/>
      <c r="BE121" s="4800"/>
      <c r="BF121" s="4800"/>
      <c r="BG121" s="4759"/>
      <c r="BH121" s="4759"/>
      <c r="BI121" s="4763"/>
      <c r="BJ121" s="1059"/>
      <c r="BK121" s="1059"/>
      <c r="BL121" s="4758"/>
      <c r="BM121" s="4759"/>
      <c r="BN121" s="4759"/>
      <c r="BO121" s="4802"/>
      <c r="BP121" s="4802"/>
      <c r="BQ121" s="4759"/>
      <c r="BR121" s="4759"/>
      <c r="BS121" s="4763"/>
      <c r="BT121" s="1059"/>
      <c r="BU121" s="1059"/>
      <c r="BV121" s="1059"/>
      <c r="BW121" s="764"/>
      <c r="BX121" s="23"/>
      <c r="CI121" s="822"/>
      <c r="CJ121" s="822"/>
      <c r="CK121" s="822"/>
      <c r="CL121" s="822"/>
      <c r="CM121" s="822"/>
      <c r="CN121" s="822"/>
      <c r="CO121" s="822"/>
      <c r="CP121" s="822"/>
      <c r="CQ121" s="822"/>
      <c r="CR121" s="822"/>
      <c r="CS121" s="822"/>
      <c r="CT121" s="822"/>
      <c r="CU121" s="822"/>
      <c r="CV121" s="822"/>
      <c r="CW121" s="822"/>
      <c r="CX121" s="822"/>
      <c r="CY121" s="822"/>
      <c r="CZ121" s="822"/>
      <c r="DA121" s="822"/>
      <c r="DB121" s="822"/>
      <c r="DC121" s="822"/>
      <c r="DD121" s="822"/>
      <c r="DE121" s="822"/>
      <c r="DF121" s="822"/>
      <c r="DG121" s="822"/>
      <c r="DH121" s="822"/>
      <c r="DI121" s="822"/>
      <c r="DJ121" s="822"/>
      <c r="DK121" s="822"/>
      <c r="DL121" s="822"/>
      <c r="DM121" s="822"/>
      <c r="DN121" s="822"/>
      <c r="DO121" s="822"/>
      <c r="DP121" s="822"/>
      <c r="DQ121" s="822"/>
      <c r="DR121" s="822"/>
      <c r="DS121" s="822"/>
      <c r="DT121" s="822"/>
      <c r="DU121" s="822"/>
      <c r="DV121" s="822"/>
      <c r="DW121" s="822"/>
      <c r="DX121" s="822"/>
      <c r="DY121" s="822"/>
      <c r="DZ121" s="822"/>
      <c r="EA121" s="822"/>
      <c r="EB121" s="822"/>
      <c r="EC121" s="822"/>
      <c r="ED121" s="822"/>
      <c r="EE121" s="822"/>
      <c r="EF121" s="822"/>
      <c r="EG121" s="822"/>
      <c r="EH121" s="822"/>
      <c r="EI121" s="822"/>
      <c r="EJ121" s="822"/>
      <c r="EK121" s="822"/>
      <c r="EL121" s="822"/>
      <c r="EM121" s="822"/>
      <c r="EN121" s="822"/>
      <c r="EO121" s="822"/>
      <c r="EP121" s="822"/>
      <c r="EQ121" s="822"/>
      <c r="ER121" s="822"/>
    </row>
    <row r="122" spans="3:148" ht="17.100000000000001" customHeight="1" x14ac:dyDescent="0.3">
      <c r="E122" s="762"/>
      <c r="F122" s="1059"/>
      <c r="G122" s="1059"/>
      <c r="H122" s="1059"/>
      <c r="I122" s="4766"/>
      <c r="J122" s="4768"/>
      <c r="K122" s="4769"/>
      <c r="L122" s="4769"/>
      <c r="M122" s="4769"/>
      <c r="N122" s="4769"/>
      <c r="O122" s="4770"/>
      <c r="P122" s="4777"/>
      <c r="Q122" s="1059"/>
      <c r="R122" s="1059"/>
      <c r="S122" s="4766"/>
      <c r="T122" s="4768"/>
      <c r="U122" s="4769"/>
      <c r="V122" s="4769"/>
      <c r="W122" s="4769"/>
      <c r="X122" s="4769"/>
      <c r="Y122" s="4770"/>
      <c r="Z122" s="4777"/>
      <c r="AA122" s="1059"/>
      <c r="AB122" s="1059"/>
      <c r="AC122" s="4766"/>
      <c r="AD122" s="4768"/>
      <c r="AE122" s="4769"/>
      <c r="AF122" s="4769"/>
      <c r="AG122" s="4769"/>
      <c r="AH122" s="4769"/>
      <c r="AI122" s="4770"/>
      <c r="AJ122" s="4777"/>
      <c r="AK122" s="1059"/>
      <c r="AL122" s="1059"/>
      <c r="AM122" s="2285">
        <f>AN133</f>
        <v>0</v>
      </c>
      <c r="AN122" s="2283" t="s">
        <v>941</v>
      </c>
      <c r="AO122" s="1278"/>
      <c r="AP122" s="1059"/>
      <c r="AQ122" s="1059"/>
      <c r="AR122" s="4766"/>
      <c r="AS122" s="4768"/>
      <c r="AT122" s="4769"/>
      <c r="AU122" s="4769"/>
      <c r="AV122" s="4769"/>
      <c r="AW122" s="4769"/>
      <c r="AX122" s="4770"/>
      <c r="AY122" s="4777"/>
      <c r="AZ122" s="1059"/>
      <c r="BA122" s="1059"/>
      <c r="BB122" s="4766"/>
      <c r="BC122" s="4768"/>
      <c r="BD122" s="4769"/>
      <c r="BE122" s="4769"/>
      <c r="BF122" s="4769"/>
      <c r="BG122" s="4769"/>
      <c r="BH122" s="4770"/>
      <c r="BI122" s="4777"/>
      <c r="BJ122" s="1059"/>
      <c r="BK122" s="1059"/>
      <c r="BL122" s="4766"/>
      <c r="BM122" s="4768"/>
      <c r="BN122" s="4769"/>
      <c r="BO122" s="4769"/>
      <c r="BP122" s="4769"/>
      <c r="BQ122" s="4769"/>
      <c r="BR122" s="4770"/>
      <c r="BS122" s="4777"/>
      <c r="BT122" s="1059"/>
      <c r="BU122" s="1059"/>
      <c r="BV122" s="1059"/>
      <c r="BW122" s="764"/>
      <c r="BX122" s="23"/>
      <c r="BY122" s="822"/>
      <c r="BZ122" s="822"/>
      <c r="CA122" s="822"/>
      <c r="CB122" s="822"/>
      <c r="CC122" s="822"/>
      <c r="CD122" s="822"/>
      <c r="CE122" s="822"/>
      <c r="CF122" s="822"/>
      <c r="CG122" s="822"/>
      <c r="CH122" s="822"/>
      <c r="CI122" s="822"/>
      <c r="CJ122" s="4826" t="str">
        <f>IF(J122=0,"",J122)</f>
        <v/>
      </c>
      <c r="CK122" s="4827"/>
      <c r="CL122" s="4827"/>
      <c r="CM122" s="4827"/>
      <c r="CN122" s="4827"/>
      <c r="CO122" s="4828"/>
      <c r="CP122" s="822"/>
      <c r="CQ122" s="822"/>
      <c r="CR122" s="822"/>
      <c r="CS122" s="822"/>
      <c r="CT122" s="4826" t="str">
        <f>IF(T122=0,"",T122)</f>
        <v/>
      </c>
      <c r="CU122" s="4827"/>
      <c r="CV122" s="4827"/>
      <c r="CW122" s="4827"/>
      <c r="CX122" s="4827"/>
      <c r="CY122" s="4828"/>
      <c r="CZ122" s="822"/>
      <c r="DA122" s="822"/>
      <c r="DB122" s="822"/>
      <c r="DC122" s="822"/>
      <c r="DD122" s="4826" t="str">
        <f>IF(AD122=0,"",AD122)</f>
        <v/>
      </c>
      <c r="DE122" s="4827"/>
      <c r="DF122" s="4827"/>
      <c r="DG122" s="4827"/>
      <c r="DH122" s="4827"/>
      <c r="DI122" s="4828"/>
      <c r="DJ122" s="822"/>
      <c r="DK122" s="822"/>
      <c r="DL122" s="822"/>
      <c r="DM122" s="822"/>
      <c r="DN122" s="822"/>
      <c r="DO122" s="822"/>
      <c r="DP122" s="822"/>
      <c r="DQ122" s="822"/>
      <c r="DR122" s="822"/>
      <c r="DS122" s="4826" t="str">
        <f>IF(AS122=0,"",AS122)</f>
        <v/>
      </c>
      <c r="DT122" s="4827"/>
      <c r="DU122" s="4827"/>
      <c r="DV122" s="4827"/>
      <c r="DW122" s="4827"/>
      <c r="DX122" s="4828"/>
      <c r="DY122" s="822"/>
      <c r="DZ122" s="822"/>
      <c r="EA122" s="822"/>
      <c r="EB122" s="822"/>
      <c r="EC122" s="4826" t="str">
        <f>IF(BC122=0,"",BC122)</f>
        <v/>
      </c>
      <c r="ED122" s="4827"/>
      <c r="EE122" s="4827"/>
      <c r="EF122" s="4827"/>
      <c r="EG122" s="4827"/>
      <c r="EH122" s="4828"/>
      <c r="EI122" s="822"/>
      <c r="EJ122" s="822"/>
      <c r="EK122" s="822"/>
      <c r="EL122" s="822"/>
      <c r="EM122" s="4826" t="str">
        <f>IF(BM122=0,"",BM122)</f>
        <v/>
      </c>
      <c r="EN122" s="4827"/>
      <c r="EO122" s="4827"/>
      <c r="EP122" s="4827"/>
      <c r="EQ122" s="4827"/>
      <c r="ER122" s="4828"/>
    </row>
    <row r="123" spans="3:148" ht="17.100000000000001" customHeight="1" x14ac:dyDescent="0.3">
      <c r="E123" s="762"/>
      <c r="F123" s="1059"/>
      <c r="G123" s="1059"/>
      <c r="H123" s="1059"/>
      <c r="I123" s="4766"/>
      <c r="J123" s="4771"/>
      <c r="K123" s="4772"/>
      <c r="L123" s="4772"/>
      <c r="M123" s="4772"/>
      <c r="N123" s="4772"/>
      <c r="O123" s="4773"/>
      <c r="P123" s="4777"/>
      <c r="Q123" s="1059"/>
      <c r="R123" s="1059"/>
      <c r="S123" s="4766"/>
      <c r="T123" s="4771"/>
      <c r="U123" s="4772"/>
      <c r="V123" s="4772"/>
      <c r="W123" s="4772"/>
      <c r="X123" s="4772"/>
      <c r="Y123" s="4773"/>
      <c r="Z123" s="4777"/>
      <c r="AA123" s="1059"/>
      <c r="AB123" s="1059"/>
      <c r="AC123" s="4766"/>
      <c r="AD123" s="4771"/>
      <c r="AE123" s="4772"/>
      <c r="AF123" s="4772"/>
      <c r="AG123" s="4772"/>
      <c r="AH123" s="4772"/>
      <c r="AI123" s="4773"/>
      <c r="AJ123" s="4777"/>
      <c r="AK123" s="1059"/>
      <c r="AL123" s="1059"/>
      <c r="AM123" s="2285">
        <f>AN133</f>
        <v>0</v>
      </c>
      <c r="AN123" s="2284" t="s">
        <v>144</v>
      </c>
      <c r="AO123" s="1278"/>
      <c r="AP123" s="1059"/>
      <c r="AQ123" s="1059"/>
      <c r="AR123" s="4766"/>
      <c r="AS123" s="4771"/>
      <c r="AT123" s="4772"/>
      <c r="AU123" s="4772"/>
      <c r="AV123" s="4772"/>
      <c r="AW123" s="4772"/>
      <c r="AX123" s="4773"/>
      <c r="AY123" s="4777"/>
      <c r="AZ123" s="1059"/>
      <c r="BA123" s="1059"/>
      <c r="BB123" s="4766"/>
      <c r="BC123" s="4771"/>
      <c r="BD123" s="4772"/>
      <c r="BE123" s="4772"/>
      <c r="BF123" s="4772"/>
      <c r="BG123" s="4772"/>
      <c r="BH123" s="4773"/>
      <c r="BI123" s="4777"/>
      <c r="BJ123" s="1059"/>
      <c r="BK123" s="1059"/>
      <c r="BL123" s="4766"/>
      <c r="BM123" s="4771"/>
      <c r="BN123" s="4772"/>
      <c r="BO123" s="4772"/>
      <c r="BP123" s="4772"/>
      <c r="BQ123" s="4772"/>
      <c r="BR123" s="4773"/>
      <c r="BS123" s="4777"/>
      <c r="BT123" s="1059"/>
      <c r="BU123" s="1059"/>
      <c r="BV123" s="1059"/>
      <c r="BW123" s="764"/>
      <c r="BX123" s="23"/>
      <c r="BY123" s="822"/>
      <c r="BZ123" s="822"/>
      <c r="CA123" s="822"/>
      <c r="CB123" s="822"/>
      <c r="CC123" s="822"/>
      <c r="CD123" s="822"/>
      <c r="CE123" s="822"/>
      <c r="CF123" s="822"/>
      <c r="CG123" s="822"/>
      <c r="CH123" s="822"/>
      <c r="CI123" s="822"/>
      <c r="CJ123" s="4829"/>
      <c r="CK123" s="4830"/>
      <c r="CL123" s="4830"/>
      <c r="CM123" s="4830"/>
      <c r="CN123" s="4830"/>
      <c r="CO123" s="4831"/>
      <c r="CP123" s="822"/>
      <c r="CQ123" s="822"/>
      <c r="CR123" s="822"/>
      <c r="CS123" s="822"/>
      <c r="CT123" s="4829"/>
      <c r="CU123" s="4830"/>
      <c r="CV123" s="4830"/>
      <c r="CW123" s="4830"/>
      <c r="CX123" s="4830"/>
      <c r="CY123" s="4831"/>
      <c r="CZ123" s="822"/>
      <c r="DA123" s="822"/>
      <c r="DB123" s="822"/>
      <c r="DC123" s="822"/>
      <c r="DD123" s="4829"/>
      <c r="DE123" s="4830"/>
      <c r="DF123" s="4830"/>
      <c r="DG123" s="4830"/>
      <c r="DH123" s="4830"/>
      <c r="DI123" s="4831"/>
      <c r="DJ123" s="822"/>
      <c r="DK123" s="822"/>
      <c r="DL123" s="822"/>
      <c r="DM123" s="822"/>
      <c r="DN123" s="822"/>
      <c r="DO123" s="822"/>
      <c r="DP123" s="822"/>
      <c r="DQ123" s="822"/>
      <c r="DR123" s="822"/>
      <c r="DS123" s="4829"/>
      <c r="DT123" s="4830"/>
      <c r="DU123" s="4830"/>
      <c r="DV123" s="4830"/>
      <c r="DW123" s="4830"/>
      <c r="DX123" s="4831"/>
      <c r="DY123" s="822"/>
      <c r="DZ123" s="822"/>
      <c r="EA123" s="822"/>
      <c r="EB123" s="822"/>
      <c r="EC123" s="4829"/>
      <c r="ED123" s="4830"/>
      <c r="EE123" s="4830"/>
      <c r="EF123" s="4830"/>
      <c r="EG123" s="4830"/>
      <c r="EH123" s="4831"/>
      <c r="EI123" s="822"/>
      <c r="EJ123" s="822"/>
      <c r="EK123" s="822"/>
      <c r="EL123" s="822"/>
      <c r="EM123" s="4829"/>
      <c r="EN123" s="4830"/>
      <c r="EO123" s="4830"/>
      <c r="EP123" s="4830"/>
      <c r="EQ123" s="4830"/>
      <c r="ER123" s="4831"/>
    </row>
    <row r="124" spans="3:148" ht="17.100000000000001" customHeight="1" x14ac:dyDescent="0.3">
      <c r="C124" s="1436"/>
      <c r="E124" s="762"/>
      <c r="F124" s="1059"/>
      <c r="G124" s="1059"/>
      <c r="H124" s="1059"/>
      <c r="I124" s="4766"/>
      <c r="J124" s="4774"/>
      <c r="K124" s="4775"/>
      <c r="L124" s="4775"/>
      <c r="M124" s="4775"/>
      <c r="N124" s="4775"/>
      <c r="O124" s="4776"/>
      <c r="P124" s="4777"/>
      <c r="Q124" s="1059"/>
      <c r="R124" s="1059"/>
      <c r="S124" s="4766"/>
      <c r="T124" s="4774"/>
      <c r="U124" s="4775"/>
      <c r="V124" s="4775"/>
      <c r="W124" s="4775"/>
      <c r="X124" s="4775"/>
      <c r="Y124" s="4776"/>
      <c r="Z124" s="4777"/>
      <c r="AA124" s="1059"/>
      <c r="AB124" s="1059"/>
      <c r="AC124" s="4766"/>
      <c r="AD124" s="4774"/>
      <c r="AE124" s="4775"/>
      <c r="AF124" s="4775"/>
      <c r="AG124" s="4775"/>
      <c r="AH124" s="4775"/>
      <c r="AI124" s="4776"/>
      <c r="AJ124" s="4777"/>
      <c r="AK124" s="1059"/>
      <c r="AL124" s="1059"/>
      <c r="AM124" s="2285">
        <f>AN133</f>
        <v>0</v>
      </c>
      <c r="AN124" s="2276" t="s">
        <v>939</v>
      </c>
      <c r="AO124" s="1278"/>
      <c r="AP124" s="1059"/>
      <c r="AQ124" s="1059"/>
      <c r="AR124" s="4766"/>
      <c r="AS124" s="4774"/>
      <c r="AT124" s="4775"/>
      <c r="AU124" s="4775"/>
      <c r="AV124" s="4775"/>
      <c r="AW124" s="4775"/>
      <c r="AX124" s="4776"/>
      <c r="AY124" s="4777"/>
      <c r="AZ124" s="1059"/>
      <c r="BA124" s="1059"/>
      <c r="BB124" s="4766"/>
      <c r="BC124" s="4774"/>
      <c r="BD124" s="4775"/>
      <c r="BE124" s="4775"/>
      <c r="BF124" s="4775"/>
      <c r="BG124" s="4775"/>
      <c r="BH124" s="4776"/>
      <c r="BI124" s="4777"/>
      <c r="BJ124" s="1059"/>
      <c r="BK124" s="1059"/>
      <c r="BL124" s="4766"/>
      <c r="BM124" s="4774"/>
      <c r="BN124" s="4775"/>
      <c r="BO124" s="4775"/>
      <c r="BP124" s="4775"/>
      <c r="BQ124" s="4775"/>
      <c r="BR124" s="4776"/>
      <c r="BS124" s="4777"/>
      <c r="BT124" s="1059"/>
      <c r="BU124" s="1059"/>
      <c r="BV124" s="1059"/>
      <c r="BW124" s="764"/>
      <c r="BX124" s="23"/>
      <c r="BY124" s="822"/>
      <c r="BZ124" s="822"/>
      <c r="CA124" s="822"/>
      <c r="CB124" s="822"/>
      <c r="CC124" s="822"/>
      <c r="CD124" s="822"/>
      <c r="CE124" s="822"/>
      <c r="CF124" s="822"/>
      <c r="CG124" s="822"/>
      <c r="CH124" s="822"/>
      <c r="CI124" s="822"/>
      <c r="CJ124" s="4832"/>
      <c r="CK124" s="4833"/>
      <c r="CL124" s="4833"/>
      <c r="CM124" s="4833"/>
      <c r="CN124" s="4833"/>
      <c r="CO124" s="4834"/>
      <c r="CP124" s="822"/>
      <c r="CQ124" s="822"/>
      <c r="CR124" s="822"/>
      <c r="CS124" s="822"/>
      <c r="CT124" s="4832"/>
      <c r="CU124" s="4833"/>
      <c r="CV124" s="4833"/>
      <c r="CW124" s="4833"/>
      <c r="CX124" s="4833"/>
      <c r="CY124" s="4834"/>
      <c r="CZ124" s="822"/>
      <c r="DA124" s="822"/>
      <c r="DB124" s="822"/>
      <c r="DC124" s="822"/>
      <c r="DD124" s="4832"/>
      <c r="DE124" s="4833"/>
      <c r="DF124" s="4833"/>
      <c r="DG124" s="4833"/>
      <c r="DH124" s="4833"/>
      <c r="DI124" s="4834"/>
      <c r="DJ124" s="822"/>
      <c r="DK124" s="822"/>
      <c r="DL124" s="822"/>
      <c r="DM124" s="822"/>
      <c r="DN124" s="822"/>
      <c r="DO124" s="822"/>
      <c r="DP124" s="822"/>
      <c r="DQ124" s="822"/>
      <c r="DR124" s="822"/>
      <c r="DS124" s="4832"/>
      <c r="DT124" s="4833"/>
      <c r="DU124" s="4833"/>
      <c r="DV124" s="4833"/>
      <c r="DW124" s="4833"/>
      <c r="DX124" s="4834"/>
      <c r="DY124" s="822"/>
      <c r="DZ124" s="822"/>
      <c r="EA124" s="822"/>
      <c r="EB124" s="822"/>
      <c r="EC124" s="4832"/>
      <c r="ED124" s="4833"/>
      <c r="EE124" s="4833"/>
      <c r="EF124" s="4833"/>
      <c r="EG124" s="4833"/>
      <c r="EH124" s="4834"/>
      <c r="EI124" s="822"/>
      <c r="EJ124" s="822"/>
      <c r="EK124" s="822"/>
      <c r="EL124" s="822"/>
      <c r="EM124" s="4832"/>
      <c r="EN124" s="4833"/>
      <c r="EO124" s="4833"/>
      <c r="EP124" s="4833"/>
      <c r="EQ124" s="4833"/>
      <c r="ER124" s="4834"/>
    </row>
    <row r="125" spans="3:148" ht="17.100000000000001" customHeight="1" thickBot="1" x14ac:dyDescent="0.35">
      <c r="C125" s="1436"/>
      <c r="E125" s="762"/>
      <c r="F125" s="1059"/>
      <c r="G125" s="1059"/>
      <c r="H125" s="1059"/>
      <c r="I125" s="4767"/>
      <c r="J125" s="4789" t="s">
        <v>505</v>
      </c>
      <c r="K125" s="4789"/>
      <c r="L125" s="4789"/>
      <c r="M125" s="4789"/>
      <c r="N125" s="4789"/>
      <c r="O125" s="4789"/>
      <c r="P125" s="4778"/>
      <c r="Q125" s="1059"/>
      <c r="R125" s="1059"/>
      <c r="S125" s="4767"/>
      <c r="T125" s="4789" t="s">
        <v>505</v>
      </c>
      <c r="U125" s="4789"/>
      <c r="V125" s="4789"/>
      <c r="W125" s="4789"/>
      <c r="X125" s="4789"/>
      <c r="Y125" s="4789"/>
      <c r="Z125" s="4778"/>
      <c r="AA125" s="1059"/>
      <c r="AB125" s="1059"/>
      <c r="AC125" s="4767"/>
      <c r="AD125" s="4789" t="s">
        <v>505</v>
      </c>
      <c r="AE125" s="4789"/>
      <c r="AF125" s="4789"/>
      <c r="AG125" s="4789"/>
      <c r="AH125" s="4789"/>
      <c r="AI125" s="4789"/>
      <c r="AJ125" s="4778"/>
      <c r="AK125" s="1059"/>
      <c r="AL125" s="1059"/>
      <c r="AM125" s="2285">
        <f>AN133</f>
        <v>0</v>
      </c>
      <c r="AN125" s="2277" t="s">
        <v>942</v>
      </c>
      <c r="AO125" s="1278"/>
      <c r="AP125" s="1059"/>
      <c r="AQ125" s="1059"/>
      <c r="AR125" s="4767"/>
      <c r="AS125" s="4789" t="s">
        <v>505</v>
      </c>
      <c r="AT125" s="4789"/>
      <c r="AU125" s="4789"/>
      <c r="AV125" s="4789"/>
      <c r="AW125" s="4789"/>
      <c r="AX125" s="4789"/>
      <c r="AY125" s="4778"/>
      <c r="AZ125" s="1059"/>
      <c r="BA125" s="1059"/>
      <c r="BB125" s="4767"/>
      <c r="BC125" s="4789" t="s">
        <v>505</v>
      </c>
      <c r="BD125" s="4789"/>
      <c r="BE125" s="4789"/>
      <c r="BF125" s="4789"/>
      <c r="BG125" s="4789"/>
      <c r="BH125" s="4789"/>
      <c r="BI125" s="4778"/>
      <c r="BJ125" s="1059"/>
      <c r="BK125" s="1059"/>
      <c r="BL125" s="4767"/>
      <c r="BM125" s="4789" t="s">
        <v>505</v>
      </c>
      <c r="BN125" s="4789"/>
      <c r="BO125" s="4789"/>
      <c r="BP125" s="4789"/>
      <c r="BQ125" s="4789"/>
      <c r="BR125" s="4789"/>
      <c r="BS125" s="4778"/>
      <c r="BT125" s="1059"/>
      <c r="BU125" s="1059"/>
      <c r="BV125" s="1059"/>
      <c r="BW125" s="764"/>
      <c r="BX125" s="23"/>
      <c r="BY125" s="822"/>
      <c r="BZ125" s="822"/>
      <c r="CA125" s="822"/>
      <c r="CB125" s="822"/>
      <c r="CC125" s="822"/>
      <c r="CD125" s="822"/>
      <c r="CE125" s="822"/>
      <c r="CF125" s="822"/>
      <c r="CG125" s="822"/>
      <c r="CH125" s="822"/>
      <c r="CI125" s="822"/>
      <c r="CQ125" s="822"/>
      <c r="CR125" s="822"/>
      <c r="CS125" s="822"/>
      <c r="CT125" s="822"/>
      <c r="CU125" s="822"/>
      <c r="CV125" s="822"/>
      <c r="CW125" s="822"/>
      <c r="CX125" s="822"/>
      <c r="CY125" s="822"/>
      <c r="CZ125" s="822"/>
      <c r="DA125" s="822"/>
      <c r="DB125" s="822"/>
      <c r="DC125" s="822"/>
      <c r="DD125" s="822"/>
      <c r="DE125" s="822"/>
      <c r="DF125" s="822"/>
      <c r="DG125" s="822"/>
      <c r="DH125" s="822"/>
      <c r="DI125" s="822"/>
      <c r="DJ125" s="822"/>
      <c r="DK125" s="822"/>
      <c r="DL125" s="822"/>
      <c r="DM125" s="822"/>
      <c r="DN125" s="822"/>
      <c r="DO125" s="822"/>
      <c r="DP125" s="822"/>
      <c r="DQ125" s="822"/>
      <c r="DR125" s="822"/>
      <c r="DZ125" s="822"/>
      <c r="EA125" s="822"/>
      <c r="EB125" s="822"/>
      <c r="EC125" s="822"/>
      <c r="ED125" s="822"/>
      <c r="EE125" s="822"/>
      <c r="EF125" s="822"/>
      <c r="EG125" s="822"/>
      <c r="EH125" s="822"/>
      <c r="EI125" s="822"/>
      <c r="EJ125" s="822"/>
      <c r="EK125" s="822"/>
      <c r="EL125" s="822"/>
      <c r="EM125" s="822"/>
      <c r="EN125" s="822"/>
      <c r="EO125" s="822"/>
      <c r="EP125" s="822"/>
      <c r="EQ125" s="822"/>
      <c r="ER125" s="822"/>
    </row>
    <row r="126" spans="3:148" ht="17.100000000000001" customHeight="1" thickTop="1" x14ac:dyDescent="0.3">
      <c r="C126" s="1436"/>
      <c r="E126" s="762"/>
      <c r="F126" s="1059"/>
      <c r="G126" s="1059"/>
      <c r="H126" s="1059"/>
      <c r="I126" s="1059"/>
      <c r="J126" s="1059"/>
      <c r="K126" s="1059"/>
      <c r="L126" s="1059"/>
      <c r="M126" s="1059"/>
      <c r="N126" s="1059"/>
      <c r="O126" s="1059"/>
      <c r="P126" s="1059"/>
      <c r="Q126" s="1059"/>
      <c r="R126" s="1059"/>
      <c r="S126" s="1059"/>
      <c r="T126" s="1059"/>
      <c r="U126" s="1059"/>
      <c r="V126" s="1059"/>
      <c r="W126" s="1059"/>
      <c r="X126" s="1059"/>
      <c r="Y126" s="1059"/>
      <c r="Z126" s="1059"/>
      <c r="AA126" s="1059"/>
      <c r="AB126" s="1059"/>
      <c r="AC126" s="1059"/>
      <c r="AD126" s="1059"/>
      <c r="AE126" s="1059"/>
      <c r="AF126" s="1059"/>
      <c r="AG126" s="1059"/>
      <c r="AH126" s="1059"/>
      <c r="AI126" s="1059"/>
      <c r="AJ126" s="1059"/>
      <c r="AK126" s="1059"/>
      <c r="AL126" s="1059"/>
      <c r="AM126" s="2285">
        <f>AN133</f>
        <v>0</v>
      </c>
      <c r="AN126" s="2278" t="s">
        <v>940</v>
      </c>
      <c r="AO126" s="1278"/>
      <c r="AP126" s="1059"/>
      <c r="AQ126" s="1059"/>
      <c r="AR126" s="1059"/>
      <c r="AS126" s="1059"/>
      <c r="AT126" s="1059"/>
      <c r="AU126" s="1059"/>
      <c r="AV126" s="1059"/>
      <c r="AW126" s="1059"/>
      <c r="AX126" s="1059"/>
      <c r="AY126" s="1059"/>
      <c r="AZ126" s="1059"/>
      <c r="BA126" s="1059"/>
      <c r="BB126" s="1059"/>
      <c r="BC126" s="1059"/>
      <c r="BD126" s="1059"/>
      <c r="BE126" s="1059"/>
      <c r="BF126" s="1059"/>
      <c r="BG126" s="1059"/>
      <c r="BH126" s="1059"/>
      <c r="BI126" s="1059"/>
      <c r="BJ126" s="1059"/>
      <c r="BK126" s="1059"/>
      <c r="BL126" s="1059"/>
      <c r="BM126" s="1059"/>
      <c r="BN126" s="1059"/>
      <c r="BO126" s="1059"/>
      <c r="BP126" s="1059"/>
      <c r="BQ126" s="1059"/>
      <c r="BR126" s="1059"/>
      <c r="BS126" s="1059"/>
      <c r="BT126" s="1059"/>
      <c r="BU126" s="1059"/>
      <c r="BV126" s="1059"/>
      <c r="BW126" s="764"/>
      <c r="BX126" s="23"/>
      <c r="BY126" s="822"/>
      <c r="BZ126" s="822"/>
      <c r="CA126" s="822"/>
      <c r="CB126" s="822"/>
      <c r="CC126" s="822"/>
      <c r="CD126" s="822"/>
      <c r="CE126" s="822"/>
      <c r="CF126" s="822"/>
      <c r="CG126" s="822"/>
      <c r="CH126" s="822"/>
      <c r="CI126" s="822"/>
      <c r="CQ126" s="822"/>
      <c r="CR126" s="822"/>
      <c r="CS126" s="822"/>
      <c r="CT126" s="822"/>
      <c r="CU126" s="822"/>
      <c r="CV126" s="822"/>
      <c r="CW126" s="822"/>
      <c r="CX126" s="822"/>
      <c r="CY126" s="822"/>
      <c r="CZ126" s="822"/>
      <c r="DA126" s="822"/>
      <c r="DB126" s="822"/>
      <c r="DC126" s="822"/>
      <c r="DD126" s="822"/>
      <c r="DE126" s="822"/>
      <c r="DF126" s="822"/>
      <c r="DG126" s="822"/>
      <c r="DH126" s="822"/>
      <c r="DI126" s="822"/>
      <c r="DJ126" s="822"/>
      <c r="DK126" s="822"/>
      <c r="DL126" s="822"/>
      <c r="DM126" s="822"/>
      <c r="DN126" s="822"/>
      <c r="DO126" s="822"/>
      <c r="DP126" s="822"/>
      <c r="DQ126" s="822"/>
      <c r="DR126" s="822"/>
      <c r="DZ126" s="822"/>
      <c r="EA126" s="822"/>
      <c r="EB126" s="822"/>
      <c r="EC126" s="822"/>
      <c r="ED126" s="822"/>
      <c r="EE126" s="822"/>
      <c r="EF126" s="822"/>
      <c r="EG126" s="822"/>
      <c r="EH126" s="822"/>
      <c r="EI126" s="822"/>
      <c r="EJ126" s="822"/>
      <c r="EK126" s="822"/>
      <c r="EL126" s="822"/>
      <c r="EM126" s="822"/>
      <c r="EN126" s="822"/>
      <c r="EO126" s="822"/>
      <c r="EP126" s="822"/>
      <c r="EQ126" s="822"/>
      <c r="ER126" s="822"/>
    </row>
    <row r="127" spans="3:148" ht="17.100000000000001" customHeight="1" thickBot="1" x14ac:dyDescent="0.35">
      <c r="C127" s="1436"/>
      <c r="E127" s="762"/>
      <c r="F127" s="1059"/>
      <c r="G127" s="1059"/>
      <c r="H127" s="1059"/>
      <c r="I127" s="1059"/>
      <c r="J127" s="1059"/>
      <c r="K127" s="1059"/>
      <c r="L127" s="1059"/>
      <c r="M127" s="1059"/>
      <c r="N127" s="1059"/>
      <c r="O127" s="1059"/>
      <c r="P127" s="1059"/>
      <c r="Q127" s="1059"/>
      <c r="R127" s="1059"/>
      <c r="S127" s="1059"/>
      <c r="T127" s="1059"/>
      <c r="U127" s="1059"/>
      <c r="V127" s="1059"/>
      <c r="W127" s="1059"/>
      <c r="X127" s="1059"/>
      <c r="Y127" s="1059"/>
      <c r="Z127" s="1059"/>
      <c r="AA127" s="1059"/>
      <c r="AB127" s="1059"/>
      <c r="AC127" s="1059"/>
      <c r="AD127" s="1059"/>
      <c r="AE127" s="1059"/>
      <c r="AF127" s="1059"/>
      <c r="AG127" s="1059"/>
      <c r="AH127" s="1059"/>
      <c r="AI127" s="1059"/>
      <c r="AJ127" s="1059"/>
      <c r="AK127" s="1059"/>
      <c r="AL127" s="1059"/>
      <c r="AM127" s="2285">
        <f>AN133</f>
        <v>0</v>
      </c>
      <c r="AN127" s="2279" t="s">
        <v>710</v>
      </c>
      <c r="AO127" s="1278"/>
      <c r="AP127" s="1059"/>
      <c r="AQ127" s="1059"/>
      <c r="AR127" s="1059"/>
      <c r="AS127" s="1059"/>
      <c r="AT127" s="1059"/>
      <c r="AU127" s="1059"/>
      <c r="AV127" s="1059"/>
      <c r="AW127" s="1059"/>
      <c r="AX127" s="1059"/>
      <c r="AY127" s="1059"/>
      <c r="AZ127" s="1059"/>
      <c r="BA127" s="1059"/>
      <c r="BB127" s="1059"/>
      <c r="BC127" s="1059"/>
      <c r="BD127" s="1059"/>
      <c r="BE127" s="1059"/>
      <c r="BF127" s="1059"/>
      <c r="BG127" s="1059"/>
      <c r="BH127" s="1059"/>
      <c r="BI127" s="1059"/>
      <c r="BJ127" s="1059"/>
      <c r="BK127" s="1059"/>
      <c r="BL127" s="1059"/>
      <c r="BM127" s="1059"/>
      <c r="BN127" s="1059"/>
      <c r="BO127" s="1059"/>
      <c r="BP127" s="1059"/>
      <c r="BQ127" s="1059"/>
      <c r="BR127" s="1059"/>
      <c r="BS127" s="1059"/>
      <c r="BT127" s="1059"/>
      <c r="BU127" s="1059"/>
      <c r="BV127" s="1059"/>
      <c r="BW127" s="764"/>
      <c r="BX127" s="23"/>
      <c r="BY127" s="822"/>
      <c r="BZ127" s="822"/>
      <c r="CA127" s="822"/>
      <c r="CB127" s="822"/>
      <c r="CC127" s="822"/>
      <c r="CD127" s="822"/>
      <c r="CE127" s="822"/>
      <c r="CF127" s="822"/>
      <c r="CG127" s="822"/>
      <c r="CH127" s="822"/>
      <c r="CI127" s="822"/>
      <c r="CJ127" s="822"/>
      <c r="CK127" s="822"/>
      <c r="CL127" s="822"/>
      <c r="CM127" s="822"/>
      <c r="CN127" s="822"/>
      <c r="CO127" s="822"/>
      <c r="CP127" s="822"/>
      <c r="CQ127" s="822"/>
      <c r="CR127" s="822"/>
      <c r="CS127" s="822"/>
      <c r="CT127" s="822"/>
      <c r="CU127" s="822"/>
      <c r="CV127" s="822"/>
      <c r="CW127" s="822"/>
      <c r="CX127" s="822"/>
      <c r="CY127" s="822"/>
      <c r="CZ127" s="822"/>
      <c r="DA127" s="822"/>
      <c r="DB127" s="822"/>
      <c r="DC127" s="822"/>
      <c r="DD127" s="822"/>
      <c r="DE127" s="822"/>
      <c r="DF127" s="822"/>
      <c r="DG127" s="822"/>
      <c r="DH127" s="822"/>
      <c r="DI127" s="822"/>
      <c r="DJ127" s="822"/>
      <c r="DK127" s="822"/>
      <c r="DL127" s="822"/>
      <c r="DM127" s="822"/>
      <c r="DN127" s="822"/>
      <c r="DO127" s="822"/>
      <c r="DP127" s="822"/>
      <c r="DQ127" s="822"/>
      <c r="DR127" s="822"/>
      <c r="DS127" s="822"/>
      <c r="DT127" s="822"/>
      <c r="DU127" s="822"/>
      <c r="DV127" s="822"/>
      <c r="DW127" s="822"/>
      <c r="DX127" s="822"/>
      <c r="DY127" s="822"/>
      <c r="DZ127" s="822"/>
      <c r="EA127" s="822"/>
      <c r="EB127" s="822"/>
      <c r="EC127" s="822"/>
      <c r="ED127" s="822"/>
      <c r="EE127" s="822"/>
      <c r="EF127" s="822"/>
      <c r="EG127" s="822"/>
      <c r="EH127" s="822"/>
      <c r="EI127" s="822"/>
      <c r="EJ127" s="822"/>
      <c r="EK127" s="822"/>
      <c r="EL127" s="822"/>
      <c r="EM127" s="822"/>
      <c r="EN127" s="822"/>
      <c r="EO127" s="822"/>
      <c r="EP127" s="822"/>
      <c r="EQ127" s="822"/>
      <c r="ER127" s="822"/>
    </row>
    <row r="128" spans="3:148" ht="17.100000000000001" customHeight="1" thickTop="1" x14ac:dyDescent="0.3">
      <c r="C128" s="1436"/>
      <c r="E128" s="762"/>
      <c r="F128" s="1059"/>
      <c r="G128" s="1059"/>
      <c r="H128" s="1059"/>
      <c r="I128" s="4756" t="s">
        <v>72</v>
      </c>
      <c r="J128" s="4757"/>
      <c r="K128" s="4757"/>
      <c r="L128" s="4764" t="s">
        <v>144</v>
      </c>
      <c r="M128" s="4764"/>
      <c r="N128" s="4757" t="s">
        <v>72</v>
      </c>
      <c r="O128" s="4757"/>
      <c r="P128" s="4762"/>
      <c r="Q128" s="1059"/>
      <c r="R128" s="1059"/>
      <c r="S128" s="4756" t="s">
        <v>72</v>
      </c>
      <c r="T128" s="4757"/>
      <c r="U128" s="4757"/>
      <c r="V128" s="4779" t="s">
        <v>144</v>
      </c>
      <c r="W128" s="4779"/>
      <c r="X128" s="4757" t="s">
        <v>72</v>
      </c>
      <c r="Y128" s="4757"/>
      <c r="Z128" s="4762"/>
      <c r="AA128" s="1059"/>
      <c r="AB128" s="1059"/>
      <c r="AC128" s="4756" t="s">
        <v>72</v>
      </c>
      <c r="AD128" s="4757"/>
      <c r="AE128" s="4757"/>
      <c r="AF128" s="4781" t="s">
        <v>144</v>
      </c>
      <c r="AG128" s="4781"/>
      <c r="AH128" s="4757" t="s">
        <v>72</v>
      </c>
      <c r="AI128" s="4757"/>
      <c r="AJ128" s="4762"/>
      <c r="AK128" s="1059"/>
      <c r="AL128" s="1059"/>
      <c r="AM128" s="2285">
        <f>AN133</f>
        <v>0</v>
      </c>
      <c r="AN128" s="2280" t="s">
        <v>941</v>
      </c>
      <c r="AO128" s="1278"/>
      <c r="AP128" s="1059"/>
      <c r="AQ128" s="1059"/>
      <c r="AR128" s="4756" t="s">
        <v>72</v>
      </c>
      <c r="AS128" s="4757"/>
      <c r="AT128" s="4757"/>
      <c r="AU128" s="4781" t="s">
        <v>940</v>
      </c>
      <c r="AV128" s="4781"/>
      <c r="AW128" s="4757" t="s">
        <v>72</v>
      </c>
      <c r="AX128" s="4757"/>
      <c r="AY128" s="4762"/>
      <c r="AZ128" s="1059"/>
      <c r="BA128" s="1059"/>
      <c r="BB128" s="4756" t="s">
        <v>72</v>
      </c>
      <c r="BC128" s="4757"/>
      <c r="BD128" s="4757"/>
      <c r="BE128" s="4779" t="s">
        <v>940</v>
      </c>
      <c r="BF128" s="4779"/>
      <c r="BG128" s="4757" t="s">
        <v>72</v>
      </c>
      <c r="BH128" s="4757"/>
      <c r="BI128" s="4762"/>
      <c r="BJ128" s="1059"/>
      <c r="BK128" s="1059"/>
      <c r="BL128" s="4756" t="s">
        <v>72</v>
      </c>
      <c r="BM128" s="4757"/>
      <c r="BN128" s="4757"/>
      <c r="BO128" s="4764" t="s">
        <v>940</v>
      </c>
      <c r="BP128" s="4764"/>
      <c r="BQ128" s="4757" t="s">
        <v>72</v>
      </c>
      <c r="BR128" s="4757"/>
      <c r="BS128" s="4762"/>
      <c r="BT128" s="1059"/>
      <c r="BU128" s="1059"/>
      <c r="BV128" s="1059"/>
      <c r="BW128" s="764"/>
      <c r="BX128" s="23"/>
      <c r="BY128" s="822"/>
      <c r="BZ128" s="822"/>
      <c r="CA128" s="822"/>
      <c r="CB128" s="822"/>
      <c r="CC128" s="822"/>
      <c r="CD128" s="822"/>
      <c r="CE128" s="822"/>
      <c r="CF128" s="822"/>
      <c r="CG128" s="822"/>
      <c r="CH128" s="822"/>
      <c r="CI128" s="822"/>
      <c r="CJ128" s="822"/>
      <c r="CK128" s="822"/>
      <c r="CL128" s="822"/>
      <c r="CM128" s="822"/>
      <c r="CN128" s="822"/>
      <c r="CO128" s="822"/>
      <c r="CP128" s="822"/>
      <c r="CQ128" s="822"/>
      <c r="CR128" s="822"/>
      <c r="CS128" s="822"/>
      <c r="CT128" s="822"/>
      <c r="CU128" s="822"/>
      <c r="CV128" s="822"/>
      <c r="CW128" s="822"/>
      <c r="CX128" s="822"/>
      <c r="CY128" s="822"/>
      <c r="CZ128" s="822"/>
      <c r="DA128" s="822"/>
      <c r="DB128" s="822"/>
      <c r="DC128" s="822"/>
      <c r="DD128" s="822"/>
      <c r="DE128" s="822"/>
      <c r="DF128" s="822"/>
      <c r="DG128" s="822"/>
      <c r="DH128" s="822"/>
      <c r="DI128" s="822"/>
      <c r="DJ128" s="822"/>
      <c r="DK128" s="822"/>
      <c r="DL128" s="822"/>
      <c r="DM128" s="822"/>
      <c r="DN128" s="822"/>
      <c r="DO128" s="822"/>
      <c r="DP128" s="822"/>
      <c r="DQ128" s="822"/>
      <c r="DR128" s="822"/>
      <c r="DS128" s="822"/>
      <c r="DT128" s="822"/>
      <c r="DU128" s="822"/>
      <c r="DV128" s="822"/>
      <c r="DW128" s="822"/>
      <c r="DX128" s="822"/>
      <c r="DY128" s="822"/>
      <c r="DZ128" s="822"/>
      <c r="EA128" s="822"/>
      <c r="EB128" s="822"/>
      <c r="EC128" s="822"/>
      <c r="ED128" s="822"/>
      <c r="EE128" s="822"/>
      <c r="EF128" s="822"/>
      <c r="EG128" s="822"/>
      <c r="EH128" s="822"/>
      <c r="EI128" s="822"/>
      <c r="EJ128" s="822"/>
      <c r="EK128" s="822"/>
      <c r="EL128" s="822"/>
      <c r="EM128" s="822"/>
      <c r="EN128" s="822"/>
      <c r="EO128" s="822"/>
      <c r="EP128" s="822"/>
      <c r="EQ128" s="822"/>
      <c r="ER128" s="822"/>
    </row>
    <row r="129" spans="3:148" ht="17.100000000000001" customHeight="1" x14ac:dyDescent="0.3">
      <c r="C129" s="1436"/>
      <c r="E129" s="762"/>
      <c r="F129" s="1059"/>
      <c r="G129" s="1059"/>
      <c r="H129" s="1059"/>
      <c r="I129" s="4758"/>
      <c r="J129" s="4759"/>
      <c r="K129" s="4759"/>
      <c r="L129" s="4798"/>
      <c r="M129" s="4798"/>
      <c r="N129" s="4759"/>
      <c r="O129" s="4759"/>
      <c r="P129" s="4763"/>
      <c r="Q129" s="1059"/>
      <c r="R129" s="1059"/>
      <c r="S129" s="4758"/>
      <c r="T129" s="4759"/>
      <c r="U129" s="4759"/>
      <c r="V129" s="4796"/>
      <c r="W129" s="4796"/>
      <c r="X129" s="4759"/>
      <c r="Y129" s="4759"/>
      <c r="Z129" s="4763"/>
      <c r="AA129" s="1059"/>
      <c r="AB129" s="1059"/>
      <c r="AC129" s="4758"/>
      <c r="AD129" s="4759"/>
      <c r="AE129" s="4759"/>
      <c r="AF129" s="4797"/>
      <c r="AG129" s="4797"/>
      <c r="AH129" s="4759"/>
      <c r="AI129" s="4759"/>
      <c r="AJ129" s="4763"/>
      <c r="AK129" s="1059"/>
      <c r="AL129" s="1059"/>
      <c r="AM129" s="2285">
        <f>AN133</f>
        <v>0</v>
      </c>
      <c r="AN129" s="2281" t="s">
        <v>144</v>
      </c>
      <c r="AO129" s="1278"/>
      <c r="AP129" s="1059"/>
      <c r="AQ129" s="1059"/>
      <c r="AR129" s="4758"/>
      <c r="AS129" s="4759"/>
      <c r="AT129" s="4759"/>
      <c r="AU129" s="4797"/>
      <c r="AV129" s="4797"/>
      <c r="AW129" s="4759"/>
      <c r="AX129" s="4759"/>
      <c r="AY129" s="4763"/>
      <c r="AZ129" s="1059"/>
      <c r="BA129" s="1059"/>
      <c r="BB129" s="4758"/>
      <c r="BC129" s="4759"/>
      <c r="BD129" s="4759"/>
      <c r="BE129" s="4796"/>
      <c r="BF129" s="4796"/>
      <c r="BG129" s="4759"/>
      <c r="BH129" s="4759"/>
      <c r="BI129" s="4763"/>
      <c r="BJ129" s="1059"/>
      <c r="BK129" s="1059"/>
      <c r="BL129" s="4758"/>
      <c r="BM129" s="4759"/>
      <c r="BN129" s="4759"/>
      <c r="BO129" s="4798"/>
      <c r="BP129" s="4798"/>
      <c r="BQ129" s="4759"/>
      <c r="BR129" s="4759"/>
      <c r="BS129" s="4763"/>
      <c r="BT129" s="1059"/>
      <c r="BU129" s="1059"/>
      <c r="BV129" s="1059"/>
      <c r="BW129" s="764"/>
      <c r="BX129" s="23"/>
      <c r="BY129" s="822"/>
      <c r="BZ129" s="822"/>
      <c r="CA129" s="822"/>
      <c r="CB129" s="822"/>
      <c r="CC129" s="822"/>
      <c r="CD129" s="822"/>
      <c r="CE129" s="822"/>
      <c r="CF129" s="822"/>
      <c r="CG129" s="822"/>
      <c r="CH129" s="822"/>
      <c r="CI129" s="822"/>
      <c r="CJ129" s="822"/>
      <c r="CK129" s="822"/>
      <c r="CL129" s="822"/>
      <c r="CM129" s="822"/>
      <c r="CN129" s="822"/>
      <c r="CO129" s="822"/>
      <c r="CP129" s="822"/>
      <c r="CQ129" s="822"/>
      <c r="CR129" s="822"/>
      <c r="CS129" s="822"/>
      <c r="CT129" s="822"/>
      <c r="CU129" s="822"/>
      <c r="CV129" s="822"/>
      <c r="CW129" s="822"/>
      <c r="CX129" s="822"/>
      <c r="CY129" s="822"/>
      <c r="CZ129" s="822"/>
      <c r="DA129" s="822"/>
      <c r="DB129" s="822"/>
      <c r="DC129" s="822"/>
      <c r="DD129" s="822"/>
      <c r="DE129" s="822"/>
      <c r="DF129" s="822"/>
      <c r="DG129" s="822"/>
      <c r="DH129" s="822"/>
      <c r="DI129" s="822"/>
      <c r="DJ129" s="822"/>
      <c r="DK129" s="822"/>
      <c r="DL129" s="822"/>
      <c r="DM129" s="822"/>
      <c r="DN129" s="822"/>
      <c r="DO129" s="822"/>
      <c r="DP129" s="822"/>
      <c r="DQ129" s="822"/>
      <c r="DR129" s="822"/>
      <c r="DS129" s="822"/>
      <c r="DT129" s="822"/>
      <c r="DU129" s="822"/>
      <c r="DV129" s="822"/>
      <c r="DW129" s="822"/>
      <c r="DX129" s="822"/>
      <c r="DY129" s="822"/>
      <c r="DZ129" s="822"/>
      <c r="EA129" s="822"/>
      <c r="EB129" s="822"/>
      <c r="EC129" s="822"/>
      <c r="ED129" s="822"/>
      <c r="EE129" s="822"/>
      <c r="EF129" s="822"/>
      <c r="EG129" s="822"/>
      <c r="EH129" s="822"/>
      <c r="EI129" s="822"/>
      <c r="EJ129" s="822"/>
      <c r="EK129" s="822"/>
      <c r="EL129" s="822"/>
      <c r="EM129" s="822"/>
      <c r="EN129" s="822"/>
      <c r="EO129" s="822"/>
      <c r="EP129" s="822"/>
      <c r="EQ129" s="822"/>
      <c r="ER129" s="822"/>
    </row>
    <row r="130" spans="3:148" ht="17.100000000000001" customHeight="1" x14ac:dyDescent="0.3">
      <c r="C130" s="1436"/>
      <c r="E130" s="762"/>
      <c r="F130" s="1059"/>
      <c r="G130" s="1059"/>
      <c r="H130" s="1059"/>
      <c r="I130" s="4766"/>
      <c r="J130" s="4768"/>
      <c r="K130" s="4769"/>
      <c r="L130" s="4769"/>
      <c r="M130" s="4769"/>
      <c r="N130" s="4769"/>
      <c r="O130" s="4770"/>
      <c r="P130" s="4777"/>
      <c r="Q130" s="1059"/>
      <c r="R130" s="1059"/>
      <c r="S130" s="4766"/>
      <c r="T130" s="4768"/>
      <c r="U130" s="4769"/>
      <c r="V130" s="4769"/>
      <c r="W130" s="4769"/>
      <c r="X130" s="4769"/>
      <c r="Y130" s="4770"/>
      <c r="Z130" s="4777"/>
      <c r="AA130" s="1059"/>
      <c r="AB130" s="1059"/>
      <c r="AC130" s="4766"/>
      <c r="AD130" s="4768"/>
      <c r="AE130" s="4769"/>
      <c r="AF130" s="4769"/>
      <c r="AG130" s="4769"/>
      <c r="AH130" s="4769"/>
      <c r="AI130" s="4770"/>
      <c r="AJ130" s="4777"/>
      <c r="AK130" s="1059"/>
      <c r="AL130" s="1059"/>
      <c r="AM130" s="2285">
        <f>AN133</f>
        <v>0</v>
      </c>
      <c r="AN130" s="2282" t="s">
        <v>939</v>
      </c>
      <c r="AO130" s="1278"/>
      <c r="AP130" s="1059"/>
      <c r="AQ130" s="1059"/>
      <c r="AR130" s="4766"/>
      <c r="AS130" s="4768"/>
      <c r="AT130" s="4769"/>
      <c r="AU130" s="4769"/>
      <c r="AV130" s="4769"/>
      <c r="AW130" s="4769"/>
      <c r="AX130" s="4770"/>
      <c r="AY130" s="4777"/>
      <c r="AZ130" s="1059"/>
      <c r="BA130" s="1059"/>
      <c r="BB130" s="4766"/>
      <c r="BC130" s="4768"/>
      <c r="BD130" s="4769"/>
      <c r="BE130" s="4769"/>
      <c r="BF130" s="4769"/>
      <c r="BG130" s="4769"/>
      <c r="BH130" s="4770"/>
      <c r="BI130" s="4777"/>
      <c r="BJ130" s="1059"/>
      <c r="BK130" s="1059"/>
      <c r="BL130" s="4766"/>
      <c r="BM130" s="4768"/>
      <c r="BN130" s="4769"/>
      <c r="BO130" s="4769"/>
      <c r="BP130" s="4769"/>
      <c r="BQ130" s="4769"/>
      <c r="BR130" s="4770"/>
      <c r="BS130" s="4777"/>
      <c r="BT130" s="1059"/>
      <c r="BU130" s="1059"/>
      <c r="BV130" s="1059"/>
      <c r="BW130" s="764"/>
      <c r="BX130" s="23"/>
      <c r="BY130" s="822"/>
      <c r="BZ130" s="822"/>
      <c r="CA130" s="822"/>
      <c r="CB130" s="822"/>
      <c r="CC130" s="822"/>
      <c r="CD130" s="822"/>
      <c r="CE130" s="822"/>
      <c r="CF130" s="822"/>
      <c r="CG130" s="822"/>
      <c r="CH130" s="822"/>
      <c r="CI130" s="822"/>
      <c r="CJ130" s="4826" t="str">
        <f>IF(J130=0,"",J130)</f>
        <v/>
      </c>
      <c r="CK130" s="4827"/>
      <c r="CL130" s="4827"/>
      <c r="CM130" s="4827"/>
      <c r="CN130" s="4827"/>
      <c r="CO130" s="4828"/>
      <c r="CP130" s="822"/>
      <c r="CQ130" s="822"/>
      <c r="CR130" s="822"/>
      <c r="CS130" s="822"/>
      <c r="CT130" s="4826" t="str">
        <f>IF(T130=0,"",T130)</f>
        <v/>
      </c>
      <c r="CU130" s="4827"/>
      <c r="CV130" s="4827"/>
      <c r="CW130" s="4827"/>
      <c r="CX130" s="4827"/>
      <c r="CY130" s="4828"/>
      <c r="CZ130" s="822"/>
      <c r="DA130" s="822"/>
      <c r="DB130" s="822"/>
      <c r="DC130" s="822"/>
      <c r="DD130" s="4826" t="str">
        <f>IF(AD130=0,"",AD130)</f>
        <v/>
      </c>
      <c r="DE130" s="4827"/>
      <c r="DF130" s="4827"/>
      <c r="DG130" s="4827"/>
      <c r="DH130" s="4827"/>
      <c r="DI130" s="4828"/>
      <c r="DJ130" s="822"/>
      <c r="DK130" s="822"/>
      <c r="DL130" s="822"/>
      <c r="DM130" s="822"/>
      <c r="DN130" s="822"/>
      <c r="DO130" s="822"/>
      <c r="DP130" s="822"/>
      <c r="DQ130" s="822"/>
      <c r="DR130" s="822"/>
      <c r="DS130" s="4826" t="str">
        <f>IF(AS130=0,"",AS130)</f>
        <v/>
      </c>
      <c r="DT130" s="4827"/>
      <c r="DU130" s="4827"/>
      <c r="DV130" s="4827"/>
      <c r="DW130" s="4827"/>
      <c r="DX130" s="4828"/>
      <c r="DY130" s="822"/>
      <c r="DZ130" s="822"/>
      <c r="EA130" s="822"/>
      <c r="EB130" s="822"/>
      <c r="EC130" s="4826" t="str">
        <f>IF(BC130=0,"",BC130)</f>
        <v/>
      </c>
      <c r="ED130" s="4827"/>
      <c r="EE130" s="4827"/>
      <c r="EF130" s="4827"/>
      <c r="EG130" s="4827"/>
      <c r="EH130" s="4828"/>
      <c r="EI130" s="822"/>
      <c r="EJ130" s="822"/>
      <c r="EK130" s="822"/>
      <c r="EL130" s="822"/>
      <c r="EM130" s="4826" t="str">
        <f>IF(BM130=0,"",BM130)</f>
        <v/>
      </c>
      <c r="EN130" s="4827"/>
      <c r="EO130" s="4827"/>
      <c r="EP130" s="4827"/>
      <c r="EQ130" s="4827"/>
      <c r="ER130" s="4828"/>
    </row>
    <row r="131" spans="3:148" ht="17.100000000000001" customHeight="1" x14ac:dyDescent="0.3">
      <c r="C131" s="1436"/>
      <c r="E131" s="762"/>
      <c r="F131" s="1059"/>
      <c r="G131" s="1059"/>
      <c r="H131" s="1059"/>
      <c r="I131" s="4766"/>
      <c r="J131" s="4771"/>
      <c r="K131" s="4772"/>
      <c r="L131" s="4772"/>
      <c r="M131" s="4772"/>
      <c r="N131" s="4772"/>
      <c r="O131" s="4773"/>
      <c r="P131" s="4777"/>
      <c r="Q131" s="1059"/>
      <c r="R131" s="1059"/>
      <c r="S131" s="4766"/>
      <c r="T131" s="4771"/>
      <c r="U131" s="4772"/>
      <c r="V131" s="4772"/>
      <c r="W131" s="4772"/>
      <c r="X131" s="4772"/>
      <c r="Y131" s="4773"/>
      <c r="Z131" s="4777"/>
      <c r="AA131" s="1059"/>
      <c r="AB131" s="1059"/>
      <c r="AC131" s="4766"/>
      <c r="AD131" s="4771"/>
      <c r="AE131" s="4772"/>
      <c r="AF131" s="4772"/>
      <c r="AG131" s="4772"/>
      <c r="AH131" s="4772"/>
      <c r="AI131" s="4773"/>
      <c r="AJ131" s="4777"/>
      <c r="AK131" s="1059"/>
      <c r="AL131" s="1059"/>
      <c r="AM131" s="2285">
        <f>AN133</f>
        <v>0</v>
      </c>
      <c r="AN131" s="2283" t="s">
        <v>942</v>
      </c>
      <c r="AO131" s="1278"/>
      <c r="AP131" s="1059"/>
      <c r="AQ131" s="1059"/>
      <c r="AR131" s="4766"/>
      <c r="AS131" s="4771"/>
      <c r="AT131" s="4772"/>
      <c r="AU131" s="4772"/>
      <c r="AV131" s="4772"/>
      <c r="AW131" s="4772"/>
      <c r="AX131" s="4773"/>
      <c r="AY131" s="4777"/>
      <c r="AZ131" s="1059"/>
      <c r="BA131" s="1059"/>
      <c r="BB131" s="4766"/>
      <c r="BC131" s="4771"/>
      <c r="BD131" s="4772"/>
      <c r="BE131" s="4772"/>
      <c r="BF131" s="4772"/>
      <c r="BG131" s="4772"/>
      <c r="BH131" s="4773"/>
      <c r="BI131" s="4777"/>
      <c r="BJ131" s="1059"/>
      <c r="BK131" s="1059"/>
      <c r="BL131" s="4766"/>
      <c r="BM131" s="4771"/>
      <c r="BN131" s="4772"/>
      <c r="BO131" s="4772"/>
      <c r="BP131" s="4772"/>
      <c r="BQ131" s="4772"/>
      <c r="BR131" s="4773"/>
      <c r="BS131" s="4777"/>
      <c r="BT131" s="1059"/>
      <c r="BU131" s="1059"/>
      <c r="BV131" s="1059"/>
      <c r="BW131" s="764"/>
      <c r="BX131" s="23"/>
      <c r="BY131" s="822"/>
      <c r="BZ131" s="822"/>
      <c r="CA131" s="822"/>
      <c r="CB131" s="822"/>
      <c r="CC131" s="822"/>
      <c r="CD131" s="822"/>
      <c r="CE131" s="822"/>
      <c r="CF131" s="822"/>
      <c r="CG131" s="822"/>
      <c r="CH131" s="822"/>
      <c r="CI131" s="822"/>
      <c r="CJ131" s="4829"/>
      <c r="CK131" s="4830"/>
      <c r="CL131" s="4830"/>
      <c r="CM131" s="4830"/>
      <c r="CN131" s="4830"/>
      <c r="CO131" s="4831"/>
      <c r="CP131" s="822"/>
      <c r="CQ131" s="822"/>
      <c r="CR131" s="822"/>
      <c r="CS131" s="822"/>
      <c r="CT131" s="4829"/>
      <c r="CU131" s="4830"/>
      <c r="CV131" s="4830"/>
      <c r="CW131" s="4830"/>
      <c r="CX131" s="4830"/>
      <c r="CY131" s="4831"/>
      <c r="CZ131" s="822"/>
      <c r="DA131" s="822"/>
      <c r="DB131" s="822"/>
      <c r="DC131" s="822"/>
      <c r="DD131" s="4829"/>
      <c r="DE131" s="4830"/>
      <c r="DF131" s="4830"/>
      <c r="DG131" s="4830"/>
      <c r="DH131" s="4830"/>
      <c r="DI131" s="4831"/>
      <c r="DJ131" s="822"/>
      <c r="DK131" s="822"/>
      <c r="DL131" s="822"/>
      <c r="DM131" s="822"/>
      <c r="DN131" s="822"/>
      <c r="DO131" s="822"/>
      <c r="DP131" s="822"/>
      <c r="DQ131" s="822"/>
      <c r="DR131" s="822"/>
      <c r="DS131" s="4829"/>
      <c r="DT131" s="4830"/>
      <c r="DU131" s="4830"/>
      <c r="DV131" s="4830"/>
      <c r="DW131" s="4830"/>
      <c r="DX131" s="4831"/>
      <c r="DY131" s="822"/>
      <c r="DZ131" s="822"/>
      <c r="EA131" s="822"/>
      <c r="EB131" s="822"/>
      <c r="EC131" s="4829"/>
      <c r="ED131" s="4830"/>
      <c r="EE131" s="4830"/>
      <c r="EF131" s="4830"/>
      <c r="EG131" s="4830"/>
      <c r="EH131" s="4831"/>
      <c r="EI131" s="822"/>
      <c r="EJ131" s="822"/>
      <c r="EK131" s="822"/>
      <c r="EL131" s="822"/>
      <c r="EM131" s="4829"/>
      <c r="EN131" s="4830"/>
      <c r="EO131" s="4830"/>
      <c r="EP131" s="4830"/>
      <c r="EQ131" s="4830"/>
      <c r="ER131" s="4831"/>
    </row>
    <row r="132" spans="3:148" ht="17.100000000000001" customHeight="1" x14ac:dyDescent="0.3">
      <c r="C132" s="1436"/>
      <c r="E132" s="762"/>
      <c r="F132" s="1059"/>
      <c r="G132" s="1059"/>
      <c r="H132" s="1059"/>
      <c r="I132" s="4766"/>
      <c r="J132" s="4774"/>
      <c r="K132" s="4775"/>
      <c r="L132" s="4775"/>
      <c r="M132" s="4775"/>
      <c r="N132" s="4775"/>
      <c r="O132" s="4776"/>
      <c r="P132" s="4777"/>
      <c r="Q132" s="1059"/>
      <c r="R132" s="1059"/>
      <c r="S132" s="4766"/>
      <c r="T132" s="4774"/>
      <c r="U132" s="4775"/>
      <c r="V132" s="4775"/>
      <c r="W132" s="4775"/>
      <c r="X132" s="4775"/>
      <c r="Y132" s="4776"/>
      <c r="Z132" s="4777"/>
      <c r="AA132" s="1059"/>
      <c r="AB132" s="1059"/>
      <c r="AC132" s="4766"/>
      <c r="AD132" s="4774"/>
      <c r="AE132" s="4775"/>
      <c r="AF132" s="4775"/>
      <c r="AG132" s="4775"/>
      <c r="AH132" s="4775"/>
      <c r="AI132" s="4776"/>
      <c r="AJ132" s="4777"/>
      <c r="AK132" s="1059"/>
      <c r="AL132" s="1059"/>
      <c r="AM132" s="2285">
        <f>AN133</f>
        <v>0</v>
      </c>
      <c r="AN132" s="2284" t="s">
        <v>940</v>
      </c>
      <c r="AO132" s="1278"/>
      <c r="AP132" s="1059"/>
      <c r="AQ132" s="1059"/>
      <c r="AR132" s="4766"/>
      <c r="AS132" s="4774"/>
      <c r="AT132" s="4775"/>
      <c r="AU132" s="4775"/>
      <c r="AV132" s="4775"/>
      <c r="AW132" s="4775"/>
      <c r="AX132" s="4776"/>
      <c r="AY132" s="4777"/>
      <c r="AZ132" s="1059"/>
      <c r="BA132" s="1059"/>
      <c r="BB132" s="4766"/>
      <c r="BC132" s="4774"/>
      <c r="BD132" s="4775"/>
      <c r="BE132" s="4775"/>
      <c r="BF132" s="4775"/>
      <c r="BG132" s="4775"/>
      <c r="BH132" s="4776"/>
      <c r="BI132" s="4777"/>
      <c r="BJ132" s="1059"/>
      <c r="BK132" s="1059"/>
      <c r="BL132" s="4766"/>
      <c r="BM132" s="4774"/>
      <c r="BN132" s="4775"/>
      <c r="BO132" s="4775"/>
      <c r="BP132" s="4775"/>
      <c r="BQ132" s="4775"/>
      <c r="BR132" s="4776"/>
      <c r="BS132" s="4777"/>
      <c r="BT132" s="1059"/>
      <c r="BU132" s="1059"/>
      <c r="BV132" s="1059"/>
      <c r="BW132" s="764"/>
      <c r="BX132" s="23"/>
      <c r="BY132" s="822"/>
      <c r="BZ132" s="822"/>
      <c r="CA132" s="822"/>
      <c r="CB132" s="822"/>
      <c r="CC132" s="822"/>
      <c r="CD132" s="822"/>
      <c r="CE132" s="822"/>
      <c r="CF132" s="822"/>
      <c r="CG132" s="822"/>
      <c r="CH132" s="822"/>
      <c r="CI132" s="822"/>
      <c r="CJ132" s="4832"/>
      <c r="CK132" s="4833"/>
      <c r="CL132" s="4833"/>
      <c r="CM132" s="4833"/>
      <c r="CN132" s="4833"/>
      <c r="CO132" s="4834"/>
      <c r="CP132" s="822"/>
      <c r="CQ132" s="822"/>
      <c r="CR132" s="822"/>
      <c r="CS132" s="822"/>
      <c r="CT132" s="4832"/>
      <c r="CU132" s="4833"/>
      <c r="CV132" s="4833"/>
      <c r="CW132" s="4833"/>
      <c r="CX132" s="4833"/>
      <c r="CY132" s="4834"/>
      <c r="CZ132" s="822"/>
      <c r="DA132" s="822"/>
      <c r="DB132" s="822"/>
      <c r="DC132" s="822"/>
      <c r="DD132" s="4832"/>
      <c r="DE132" s="4833"/>
      <c r="DF132" s="4833"/>
      <c r="DG132" s="4833"/>
      <c r="DH132" s="4833"/>
      <c r="DI132" s="4834"/>
      <c r="DJ132" s="822"/>
      <c r="DK132" s="822"/>
      <c r="DL132" s="822"/>
      <c r="DM132" s="822"/>
      <c r="DN132" s="822"/>
      <c r="DO132" s="822"/>
      <c r="DP132" s="822"/>
      <c r="DQ132" s="822"/>
      <c r="DR132" s="822"/>
      <c r="DS132" s="4832"/>
      <c r="DT132" s="4833"/>
      <c r="DU132" s="4833"/>
      <c r="DV132" s="4833"/>
      <c r="DW132" s="4833"/>
      <c r="DX132" s="4834"/>
      <c r="DY132" s="822"/>
      <c r="DZ132" s="822"/>
      <c r="EA132" s="822"/>
      <c r="EB132" s="822"/>
      <c r="EC132" s="4832"/>
      <c r="ED132" s="4833"/>
      <c r="EE132" s="4833"/>
      <c r="EF132" s="4833"/>
      <c r="EG132" s="4833"/>
      <c r="EH132" s="4834"/>
      <c r="EI132" s="822"/>
      <c r="EJ132" s="822"/>
      <c r="EK132" s="822"/>
      <c r="EL132" s="822"/>
      <c r="EM132" s="4832"/>
      <c r="EN132" s="4833"/>
      <c r="EO132" s="4833"/>
      <c r="EP132" s="4833"/>
      <c r="EQ132" s="4833"/>
      <c r="ER132" s="4834"/>
    </row>
    <row r="133" spans="3:148" ht="17.100000000000001" customHeight="1" thickBot="1" x14ac:dyDescent="0.35">
      <c r="E133" s="762"/>
      <c r="F133" s="1059"/>
      <c r="G133" s="1059"/>
      <c r="H133" s="1059"/>
      <c r="I133" s="4767"/>
      <c r="J133" s="4789" t="s">
        <v>505</v>
      </c>
      <c r="K133" s="4789"/>
      <c r="L133" s="4789"/>
      <c r="M133" s="4789"/>
      <c r="N133" s="4789"/>
      <c r="O133" s="4789"/>
      <c r="P133" s="4778"/>
      <c r="Q133" s="1059"/>
      <c r="R133" s="1059"/>
      <c r="S133" s="4767"/>
      <c r="T133" s="4789" t="s">
        <v>505</v>
      </c>
      <c r="U133" s="4789"/>
      <c r="V133" s="4789"/>
      <c r="W133" s="4789"/>
      <c r="X133" s="4789"/>
      <c r="Y133" s="4789"/>
      <c r="Z133" s="4778"/>
      <c r="AA133" s="1059"/>
      <c r="AB133" s="1059"/>
      <c r="AC133" s="4767"/>
      <c r="AD133" s="4789" t="s">
        <v>505</v>
      </c>
      <c r="AE133" s="4789"/>
      <c r="AF133" s="4789"/>
      <c r="AG133" s="4789"/>
      <c r="AH133" s="4789"/>
      <c r="AI133" s="4789"/>
      <c r="AJ133" s="4778"/>
      <c r="AK133" s="1059"/>
      <c r="AL133" s="1059"/>
      <c r="AM133" s="1277"/>
      <c r="AN133" s="1279">
        <f>IF(COUNTA(J114,T114,AD114,J122,T122,AD122,J130,T130,AD130,AS114,BC114,BM114,AS122,BC122,BM122,AS130,BC130,BM130)=18,1,0)</f>
        <v>0</v>
      </c>
      <c r="AO133" s="1279"/>
      <c r="AP133" s="1059"/>
      <c r="AQ133" s="1059"/>
      <c r="AR133" s="4767"/>
      <c r="AS133" s="4789" t="s">
        <v>505</v>
      </c>
      <c r="AT133" s="4789"/>
      <c r="AU133" s="4789"/>
      <c r="AV133" s="4789"/>
      <c r="AW133" s="4789"/>
      <c r="AX133" s="4789"/>
      <c r="AY133" s="4778"/>
      <c r="AZ133" s="1059"/>
      <c r="BA133" s="1059"/>
      <c r="BB133" s="4767"/>
      <c r="BC133" s="4789" t="s">
        <v>505</v>
      </c>
      <c r="BD133" s="4789"/>
      <c r="BE133" s="4789"/>
      <c r="BF133" s="4789"/>
      <c r="BG133" s="4789"/>
      <c r="BH133" s="4789"/>
      <c r="BI133" s="4778"/>
      <c r="BJ133" s="1059"/>
      <c r="BK133" s="1059"/>
      <c r="BL133" s="4767"/>
      <c r="BM133" s="4789" t="s">
        <v>505</v>
      </c>
      <c r="BN133" s="4789"/>
      <c r="BO133" s="4789"/>
      <c r="BP133" s="4789"/>
      <c r="BQ133" s="4789"/>
      <c r="BR133" s="4789"/>
      <c r="BS133" s="4778"/>
      <c r="BT133" s="1059"/>
      <c r="BU133" s="1059"/>
      <c r="BV133" s="1059"/>
      <c r="BW133" s="764"/>
      <c r="BX133" s="23"/>
      <c r="BY133" s="822"/>
      <c r="BZ133" s="822"/>
      <c r="CA133" s="822"/>
      <c r="CB133" s="822"/>
      <c r="CC133" s="822"/>
      <c r="CD133" s="822"/>
      <c r="CE133" s="822"/>
      <c r="CF133" s="822"/>
      <c r="CG133" s="822"/>
      <c r="CH133" s="822"/>
      <c r="CI133" s="822"/>
      <c r="CJ133" s="822"/>
      <c r="CK133" s="822"/>
      <c r="CL133" s="822"/>
      <c r="CM133" s="822"/>
      <c r="CN133" s="822"/>
      <c r="CO133" s="822"/>
      <c r="CP133" s="822"/>
      <c r="CQ133" s="822"/>
      <c r="CR133" s="822"/>
      <c r="CS133" s="822"/>
      <c r="CT133" s="822"/>
      <c r="CU133" s="822"/>
      <c r="CV133" s="822"/>
      <c r="CW133" s="822"/>
      <c r="CX133" s="822"/>
      <c r="CY133" s="822"/>
      <c r="CZ133" s="822"/>
      <c r="DA133" s="822"/>
      <c r="DB133" s="822"/>
      <c r="DC133" s="822"/>
      <c r="DD133" s="822"/>
      <c r="DE133" s="822"/>
      <c r="DF133" s="822"/>
      <c r="DG133" s="822"/>
      <c r="DH133" s="822"/>
      <c r="DI133" s="822"/>
      <c r="DJ133" s="822"/>
      <c r="DK133" s="822"/>
      <c r="DL133" s="822"/>
      <c r="DM133" s="822"/>
      <c r="DN133" s="822"/>
      <c r="DO133" s="822"/>
      <c r="DP133" s="822"/>
      <c r="DQ133" s="822"/>
      <c r="DR133" s="822"/>
      <c r="DS133" s="822"/>
      <c r="DT133" s="822"/>
      <c r="DU133" s="822"/>
      <c r="DV133" s="822"/>
      <c r="DW133" s="822"/>
      <c r="DX133" s="822"/>
      <c r="DY133" s="822"/>
      <c r="DZ133" s="822"/>
    </row>
    <row r="134" spans="3:148" ht="17.100000000000001" customHeight="1" thickTop="1" x14ac:dyDescent="0.3">
      <c r="E134" s="762"/>
      <c r="F134" s="1170"/>
      <c r="G134" s="1059"/>
      <c r="H134" s="1059"/>
      <c r="I134" s="1059"/>
      <c r="J134" s="1059"/>
      <c r="K134" s="1059"/>
      <c r="L134" s="1059"/>
      <c r="M134" s="1059"/>
      <c r="N134" s="1059"/>
      <c r="O134" s="1059"/>
      <c r="P134" s="1059"/>
      <c r="Q134" s="1059"/>
      <c r="R134" s="1059"/>
      <c r="S134" s="1059"/>
      <c r="T134" s="1059"/>
      <c r="U134" s="1059"/>
      <c r="V134" s="1059"/>
      <c r="W134" s="1059"/>
      <c r="X134" s="1059"/>
      <c r="Y134" s="1059"/>
      <c r="Z134" s="1059"/>
      <c r="AA134" s="1059"/>
      <c r="AB134" s="1059"/>
      <c r="AC134" s="1059"/>
      <c r="AD134" s="1059"/>
      <c r="AE134" s="1059"/>
      <c r="AF134" s="1059"/>
      <c r="AG134" s="1059"/>
      <c r="AH134" s="1059"/>
      <c r="AI134" s="1059"/>
      <c r="AJ134" s="1059"/>
      <c r="AK134" s="1059"/>
      <c r="AL134" s="1059"/>
      <c r="AM134" s="1059"/>
      <c r="AN134" s="1059"/>
      <c r="AO134" s="1059"/>
      <c r="AP134" s="1264"/>
      <c r="AQ134" s="1059"/>
      <c r="AR134" s="1059"/>
      <c r="AS134" s="1059"/>
      <c r="AT134" s="1059"/>
      <c r="AU134" s="1059"/>
      <c r="AV134" s="1059"/>
      <c r="AW134" s="1059"/>
      <c r="AX134" s="1059"/>
      <c r="AY134" s="1059"/>
      <c r="AZ134" s="1059"/>
      <c r="BA134" s="1059"/>
      <c r="BB134" s="1059"/>
      <c r="BC134" s="1059"/>
      <c r="BD134" s="1059"/>
      <c r="BE134" s="1059"/>
      <c r="BF134" s="1059"/>
      <c r="BG134" s="1059"/>
      <c r="BH134" s="1059"/>
      <c r="BI134" s="1059"/>
      <c r="BJ134" s="1059"/>
      <c r="BK134" s="1059"/>
      <c r="BL134" s="1059"/>
      <c r="BM134" s="1059"/>
      <c r="BN134" s="1059"/>
      <c r="BO134" s="1059"/>
      <c r="BP134" s="1059"/>
      <c r="BQ134" s="1059"/>
      <c r="BR134" s="1059"/>
      <c r="BS134" s="1059"/>
      <c r="BT134" s="1059"/>
      <c r="BU134" s="1059"/>
      <c r="BV134" s="1169"/>
      <c r="BW134" s="764"/>
      <c r="BX134" s="23"/>
      <c r="BY134" s="822"/>
      <c r="BZ134" s="822"/>
      <c r="CA134" s="822"/>
      <c r="CB134" s="822"/>
      <c r="CC134" s="822"/>
      <c r="CD134" s="822"/>
      <c r="CE134" s="822"/>
      <c r="CF134" s="822"/>
      <c r="CG134" s="822"/>
      <c r="CH134" s="822"/>
      <c r="CI134" s="822"/>
    </row>
    <row r="135" spans="3:148" ht="17.100000000000001" customHeight="1" thickBot="1" x14ac:dyDescent="0.35">
      <c r="E135" s="783"/>
      <c r="F135" s="784"/>
      <c r="G135" s="1059"/>
      <c r="H135" s="1059"/>
      <c r="I135" s="1059"/>
      <c r="J135" s="1059"/>
      <c r="K135" s="1059"/>
      <c r="L135" s="1059"/>
      <c r="M135" s="1059"/>
      <c r="N135" s="1059"/>
      <c r="O135" s="1059"/>
      <c r="P135" s="1059"/>
      <c r="Q135" s="1059"/>
      <c r="R135" s="1059"/>
      <c r="S135" s="1059"/>
      <c r="T135" s="1059"/>
      <c r="U135" s="1059"/>
      <c r="V135" s="1059"/>
      <c r="W135" s="1059"/>
      <c r="X135" s="1059"/>
      <c r="Y135" s="1059"/>
      <c r="Z135" s="1059"/>
      <c r="AA135" s="1059"/>
      <c r="AB135" s="1059"/>
      <c r="AC135" s="1059"/>
      <c r="AD135" s="1059"/>
      <c r="AE135" s="1059"/>
      <c r="AF135" s="1059"/>
      <c r="AG135" s="1059"/>
      <c r="AH135" s="1059"/>
      <c r="AI135" s="1059"/>
      <c r="AJ135" s="1703"/>
      <c r="AK135" s="1703"/>
      <c r="AL135" s="1703"/>
      <c r="AM135" s="4808"/>
      <c r="AN135" s="4809"/>
      <c r="AO135" s="4810"/>
      <c r="AP135" s="1704"/>
      <c r="AQ135" s="1704"/>
      <c r="AR135" s="1704"/>
      <c r="AS135" s="1704"/>
      <c r="AT135" s="1704"/>
      <c r="AU135" s="1704"/>
      <c r="AV135" s="1704"/>
      <c r="AW135" s="1704"/>
      <c r="AX135" s="1704"/>
      <c r="AY135" s="1704"/>
      <c r="AZ135" s="1059"/>
      <c r="BA135" s="1059"/>
      <c r="BB135" s="1059"/>
      <c r="BC135" s="1059"/>
      <c r="BD135" s="1059"/>
      <c r="BE135" s="1059"/>
      <c r="BF135" s="1059"/>
      <c r="BG135" s="1059"/>
      <c r="BH135" s="1059"/>
      <c r="BI135" s="1059"/>
      <c r="BJ135" s="1059"/>
      <c r="BK135" s="1059"/>
      <c r="BL135" s="1059"/>
      <c r="BM135" s="1059"/>
      <c r="BN135" s="1059"/>
      <c r="BO135" s="1059"/>
      <c r="BP135" s="1059"/>
      <c r="BQ135" s="1059"/>
      <c r="BR135" s="1059"/>
      <c r="BS135" s="1059"/>
      <c r="BT135" s="1059"/>
      <c r="BU135" s="1059"/>
      <c r="BV135" s="784"/>
      <c r="BW135" s="785"/>
      <c r="BX135" s="23"/>
      <c r="BY135" s="822"/>
      <c r="BZ135" s="822"/>
      <c r="CA135" s="822"/>
      <c r="CB135" s="822"/>
      <c r="CC135" s="822"/>
      <c r="CD135" s="822"/>
      <c r="CE135" s="822"/>
      <c r="CF135" s="822"/>
      <c r="CG135" s="822"/>
      <c r="CH135" s="822"/>
      <c r="CI135" s="822"/>
      <c r="CJ135" s="822"/>
      <c r="CK135" s="822"/>
      <c r="CL135" s="822"/>
      <c r="CM135" s="822"/>
      <c r="CN135" s="822"/>
      <c r="CO135" s="822"/>
      <c r="CP135" s="822"/>
      <c r="CQ135" s="822"/>
      <c r="CR135" s="822"/>
      <c r="CS135" s="822"/>
      <c r="CT135" s="822"/>
      <c r="CU135" s="822"/>
      <c r="CV135" s="822"/>
      <c r="CW135" s="822"/>
      <c r="CX135" s="822"/>
      <c r="CY135" s="822"/>
      <c r="CZ135" s="822"/>
      <c r="DA135" s="822"/>
      <c r="DB135" s="822"/>
      <c r="DC135" s="822"/>
      <c r="DD135" s="822"/>
      <c r="DE135" s="822"/>
      <c r="DF135" s="822"/>
      <c r="DG135" s="822"/>
      <c r="DH135" s="822"/>
      <c r="DI135" s="822"/>
      <c r="DJ135" s="822"/>
      <c r="DK135" s="822"/>
      <c r="DL135" s="822"/>
      <c r="DM135" s="822"/>
      <c r="DN135" s="822"/>
    </row>
    <row r="136" spans="3:148" ht="17.100000000000001" customHeight="1" thickTop="1" x14ac:dyDescent="0.3">
      <c r="E136" s="1253"/>
      <c r="F136" s="1253"/>
      <c r="G136" s="762"/>
      <c r="H136" s="1059"/>
      <c r="I136" s="999"/>
      <c r="J136" s="787"/>
      <c r="K136" s="1059"/>
      <c r="L136" s="1059"/>
      <c r="M136" s="1059"/>
      <c r="N136" s="1059"/>
      <c r="O136" s="1059"/>
      <c r="P136" s="1059"/>
      <c r="Q136" s="1059"/>
      <c r="R136" s="1059"/>
      <c r="S136" s="1059"/>
      <c r="T136" s="1059"/>
      <c r="U136" s="1059"/>
      <c r="V136" s="1059"/>
      <c r="W136" s="1059"/>
      <c r="X136" s="1059"/>
      <c r="Y136" s="1059"/>
      <c r="Z136" s="1059"/>
      <c r="AA136" s="1059"/>
      <c r="AB136" s="1059"/>
      <c r="AC136" s="1059"/>
      <c r="AD136" s="1059"/>
      <c r="AE136" s="1059"/>
      <c r="AF136" s="1059"/>
      <c r="AG136" s="1059"/>
      <c r="AH136" s="1059"/>
      <c r="AI136" s="1059"/>
      <c r="AJ136" s="1705"/>
      <c r="AK136" s="1705"/>
      <c r="AL136" s="1705"/>
      <c r="AM136" s="1706"/>
      <c r="AN136" s="1707" t="str" cm="1">
        <f t="array" ref="AN136">_xlfn.IFS(AND(AN133=1,AM135=""),"ENTER SHEET INITIATION DATE ABOVE",AN133=1,"|",TRUE,"")</f>
        <v/>
      </c>
      <c r="AO136" s="1706"/>
      <c r="AP136" s="1059"/>
      <c r="AQ136" s="1059"/>
      <c r="AR136" s="1059"/>
      <c r="AS136" s="1059"/>
      <c r="AT136" s="1708"/>
      <c r="AU136" s="1059"/>
      <c r="AV136" s="1709"/>
      <c r="AW136" s="1059"/>
      <c r="AX136" s="1059"/>
      <c r="AY136" s="1059"/>
      <c r="AZ136" s="1059"/>
      <c r="BA136" s="1059"/>
      <c r="BB136" s="1059"/>
      <c r="BC136" s="1059"/>
      <c r="BD136" s="1059"/>
      <c r="BE136" s="1059"/>
      <c r="BF136" s="1059"/>
      <c r="BG136" s="1059"/>
      <c r="BH136" s="1059"/>
      <c r="BI136" s="1059"/>
      <c r="BJ136" s="1059"/>
      <c r="BK136" s="1059"/>
      <c r="BL136" s="1059"/>
      <c r="BM136" s="1059"/>
      <c r="BN136" s="1059"/>
      <c r="BO136" s="1059"/>
      <c r="BP136" s="1059"/>
      <c r="BQ136" s="1059"/>
      <c r="BR136" s="1059"/>
      <c r="BS136" s="1059"/>
      <c r="BT136" s="1059"/>
      <c r="BU136" s="764"/>
      <c r="BV136" s="1253"/>
      <c r="BW136" s="1253"/>
      <c r="BX136" s="19"/>
      <c r="BY136" s="822"/>
      <c r="BZ136" s="822"/>
      <c r="CA136" s="822"/>
      <c r="CB136" s="822"/>
      <c r="CC136" s="822"/>
      <c r="CD136" s="822"/>
      <c r="CE136" s="822"/>
      <c r="CF136" s="822"/>
      <c r="CG136" s="822"/>
      <c r="CH136" s="822"/>
      <c r="CI136" s="822"/>
      <c r="CJ136" s="822"/>
      <c r="CK136" s="822"/>
      <c r="CL136" s="822"/>
      <c r="CM136" s="822"/>
      <c r="CN136" s="822"/>
      <c r="CO136" s="822"/>
      <c r="CP136" s="822"/>
      <c r="CQ136" s="822"/>
      <c r="CR136" s="822"/>
      <c r="CS136" s="822"/>
      <c r="CT136" s="822"/>
      <c r="CU136" s="822"/>
      <c r="CV136" s="822"/>
      <c r="CW136" s="822"/>
      <c r="CX136" s="822"/>
      <c r="CY136" s="822"/>
      <c r="CZ136" s="822"/>
      <c r="DA136" s="822"/>
      <c r="DB136" s="822"/>
      <c r="DC136" s="822"/>
      <c r="DD136" s="822"/>
      <c r="DE136" s="822"/>
      <c r="DF136" s="822"/>
      <c r="DG136" s="822"/>
      <c r="DH136" s="822"/>
      <c r="DI136" s="822"/>
      <c r="DJ136" s="822"/>
      <c r="DK136" s="822"/>
      <c r="DL136" s="822"/>
      <c r="DM136" s="822"/>
      <c r="DN136" s="822"/>
    </row>
    <row r="137" spans="3:148" ht="17.100000000000001" customHeight="1" thickBot="1" x14ac:dyDescent="0.35">
      <c r="E137" s="1253"/>
      <c r="F137" s="1253"/>
      <c r="G137" s="783"/>
      <c r="H137" s="784"/>
      <c r="I137" s="784"/>
      <c r="J137" s="784"/>
      <c r="K137" s="784"/>
      <c r="L137" s="784"/>
      <c r="M137" s="784"/>
      <c r="N137" s="784"/>
      <c r="O137" s="784"/>
      <c r="P137" s="784"/>
      <c r="Q137" s="784"/>
      <c r="R137" s="784"/>
      <c r="S137" s="784"/>
      <c r="T137" s="784"/>
      <c r="U137" s="784"/>
      <c r="V137" s="784"/>
      <c r="W137" s="784"/>
      <c r="X137" s="784"/>
      <c r="Y137" s="784"/>
      <c r="Z137" s="784"/>
      <c r="AA137" s="1059"/>
      <c r="AB137" s="1059"/>
      <c r="AC137" s="1059"/>
      <c r="AD137" s="1059"/>
      <c r="AE137" s="1059"/>
      <c r="AF137" s="1059"/>
      <c r="AG137" s="1059"/>
      <c r="AH137" s="1059"/>
      <c r="AI137" s="1059"/>
      <c r="AJ137" s="1262"/>
      <c r="AK137" s="1262"/>
      <c r="AL137" s="1262"/>
      <c r="AM137" s="4808"/>
      <c r="AN137" s="4809"/>
      <c r="AO137" s="4810"/>
      <c r="AP137" s="1262"/>
      <c r="AQ137" s="1262"/>
      <c r="AR137" s="1262"/>
      <c r="AS137" s="1262"/>
      <c r="AT137" s="1263"/>
      <c r="AU137" s="1059"/>
      <c r="AV137" s="1059"/>
      <c r="AW137" s="1059"/>
      <c r="AX137" s="1059"/>
      <c r="AY137" s="1059"/>
      <c r="AZ137" s="1059"/>
      <c r="BA137" s="1059"/>
      <c r="BB137" s="784"/>
      <c r="BC137" s="784"/>
      <c r="BD137" s="784"/>
      <c r="BE137" s="784"/>
      <c r="BF137" s="784"/>
      <c r="BG137" s="784"/>
      <c r="BH137" s="784"/>
      <c r="BI137" s="784"/>
      <c r="BJ137" s="784"/>
      <c r="BK137" s="784"/>
      <c r="BL137" s="784"/>
      <c r="BM137" s="784"/>
      <c r="BN137" s="784"/>
      <c r="BO137" s="784"/>
      <c r="BP137" s="784"/>
      <c r="BQ137" s="784"/>
      <c r="BR137" s="784"/>
      <c r="BS137" s="784"/>
      <c r="BT137" s="784"/>
      <c r="BU137" s="785"/>
      <c r="BV137" s="1253"/>
      <c r="BW137" s="1253"/>
      <c r="BX137" s="19"/>
      <c r="BY137" s="822"/>
      <c r="BZ137" s="822"/>
      <c r="CA137" s="822"/>
      <c r="CB137" s="822"/>
      <c r="CC137" s="822"/>
      <c r="CD137" s="822"/>
      <c r="CE137" s="822"/>
      <c r="CF137" s="822"/>
      <c r="CG137" s="822"/>
      <c r="CH137" s="822"/>
      <c r="CI137" s="822"/>
      <c r="CJ137" s="822"/>
      <c r="CK137" s="822"/>
      <c r="CL137" s="822"/>
      <c r="CM137" s="822"/>
      <c r="CN137" s="822"/>
      <c r="CO137" s="822"/>
      <c r="CP137" s="822"/>
      <c r="CQ137" s="822"/>
      <c r="CR137" s="822"/>
      <c r="CS137" s="822"/>
      <c r="CT137" s="822"/>
      <c r="CU137" s="822"/>
      <c r="CV137" s="822"/>
      <c r="CW137" s="822"/>
      <c r="CX137" s="822"/>
      <c r="CY137" s="822"/>
      <c r="CZ137" s="822"/>
      <c r="DA137" s="822"/>
      <c r="DB137" s="822"/>
      <c r="DC137" s="822"/>
      <c r="DD137" s="822"/>
      <c r="DE137" s="822"/>
      <c r="DF137" s="822"/>
      <c r="DG137" s="822"/>
      <c r="DH137" s="822"/>
      <c r="DI137" s="822"/>
      <c r="DJ137" s="822"/>
      <c r="DK137" s="822"/>
      <c r="DL137" s="822"/>
      <c r="DM137" s="822"/>
      <c r="DN137" s="822"/>
    </row>
    <row r="138" spans="3:148" ht="17.100000000000001" customHeight="1" thickTop="1" x14ac:dyDescent="0.3">
      <c r="E138" s="1253"/>
      <c r="F138" s="1253"/>
      <c r="G138" s="1253"/>
      <c r="H138" s="1253"/>
      <c r="I138" s="1253"/>
      <c r="J138" s="1253"/>
      <c r="K138" s="1253"/>
      <c r="L138" s="1253"/>
      <c r="M138" s="1253"/>
      <c r="N138" s="1253"/>
      <c r="O138" s="1253"/>
      <c r="P138" s="1253"/>
      <c r="Q138" s="1253"/>
      <c r="R138" s="1253"/>
      <c r="S138" s="1253"/>
      <c r="T138" s="1253"/>
      <c r="U138" s="1253"/>
      <c r="V138" s="1253"/>
      <c r="W138" s="1253"/>
      <c r="X138" s="1253"/>
      <c r="Y138" s="1253"/>
      <c r="Z138" s="1253"/>
      <c r="AA138" s="762"/>
      <c r="AB138" s="1170"/>
      <c r="AC138" s="1059"/>
      <c r="AD138" s="1059"/>
      <c r="AE138" s="1059"/>
      <c r="AF138" s="1059"/>
      <c r="AG138" s="1059"/>
      <c r="AH138" s="1059"/>
      <c r="AI138" s="1059"/>
      <c r="AJ138" s="1059"/>
      <c r="AK138" s="1059"/>
      <c r="AL138" s="1059"/>
      <c r="AM138" s="1059"/>
      <c r="AN138" s="1701" t="str">
        <f>IF(AND(AN133=1,AM137=""),"ENTER SHEET COMPLETION DATE ABOVE","")</f>
        <v/>
      </c>
      <c r="AO138" s="1059"/>
      <c r="AP138" s="1059"/>
      <c r="AQ138" s="1059"/>
      <c r="AR138" s="1059"/>
      <c r="AS138" s="1059"/>
      <c r="AT138" s="1059"/>
      <c r="AU138" s="1059"/>
      <c r="AV138" s="1059"/>
      <c r="AW138" s="1059"/>
      <c r="AX138" s="1059"/>
      <c r="AY138" s="1059"/>
      <c r="AZ138" s="1169"/>
      <c r="BA138" s="764"/>
      <c r="BB138" s="1253"/>
      <c r="BC138" s="1253"/>
      <c r="BD138" s="1253"/>
      <c r="BE138" s="1253"/>
      <c r="BF138" s="1253"/>
      <c r="BG138" s="1253"/>
      <c r="BH138" s="1253"/>
      <c r="BI138" s="1253"/>
      <c r="BJ138" s="1253"/>
      <c r="BK138" s="1253"/>
      <c r="BL138" s="1253"/>
      <c r="BM138" s="1253"/>
      <c r="BN138" s="1253"/>
      <c r="BO138" s="1253"/>
      <c r="BP138" s="1253"/>
      <c r="BQ138" s="1253"/>
      <c r="BR138" s="1253"/>
      <c r="BS138" s="1253"/>
      <c r="BT138" s="1253"/>
      <c r="BU138" s="1253"/>
      <c r="BV138" s="1253"/>
      <c r="BW138" s="1253"/>
      <c r="BX138" s="19"/>
      <c r="BY138" s="822"/>
      <c r="BZ138" s="822"/>
      <c r="CA138" s="822"/>
      <c r="CB138" s="822"/>
      <c r="CC138" s="822"/>
      <c r="CD138" s="822"/>
      <c r="CE138" s="822"/>
      <c r="CF138" s="822"/>
      <c r="CG138" s="822"/>
      <c r="CH138" s="822"/>
      <c r="CI138" s="822"/>
      <c r="CJ138" s="822"/>
      <c r="CK138" s="822"/>
      <c r="CL138" s="822"/>
      <c r="CM138" s="822"/>
      <c r="CN138" s="822"/>
      <c r="CO138" s="822"/>
      <c r="CP138" s="822"/>
      <c r="CQ138" s="822"/>
      <c r="CR138" s="822"/>
      <c r="CS138" s="822"/>
      <c r="CT138" s="822"/>
      <c r="CU138" s="822"/>
      <c r="CV138" s="822"/>
      <c r="CW138" s="822"/>
      <c r="CX138" s="822"/>
      <c r="CY138" s="822"/>
      <c r="CZ138" s="822"/>
      <c r="DA138" s="822"/>
      <c r="DB138" s="822"/>
      <c r="DC138" s="822"/>
      <c r="DD138" s="822"/>
      <c r="DE138" s="822"/>
      <c r="DF138" s="822"/>
      <c r="DG138" s="822"/>
      <c r="DH138" s="822"/>
      <c r="DI138" s="822"/>
      <c r="DJ138" s="822"/>
      <c r="DK138" s="822"/>
      <c r="DL138" s="822"/>
      <c r="DM138" s="822"/>
      <c r="DN138" s="822"/>
    </row>
    <row r="139" spans="3:148" ht="17.100000000000001" customHeight="1" thickBot="1" x14ac:dyDescent="0.35">
      <c r="E139" s="1253"/>
      <c r="F139" s="1253"/>
      <c r="G139" s="1253"/>
      <c r="H139" s="1253"/>
      <c r="I139" s="1253"/>
      <c r="J139" s="1253"/>
      <c r="K139" s="1253"/>
      <c r="L139" s="1253"/>
      <c r="M139" s="1253"/>
      <c r="N139" s="1253"/>
      <c r="O139" s="1253"/>
      <c r="P139" s="1253"/>
      <c r="Q139" s="1253"/>
      <c r="R139" s="1253"/>
      <c r="S139" s="1253"/>
      <c r="T139" s="1253"/>
      <c r="U139" s="1253"/>
      <c r="V139" s="1253"/>
      <c r="W139" s="1253"/>
      <c r="X139" s="1253"/>
      <c r="Y139" s="1253"/>
      <c r="Z139" s="1253"/>
      <c r="AA139" s="783"/>
      <c r="AB139" s="784"/>
      <c r="AC139" s="784"/>
      <c r="AD139" s="784"/>
      <c r="AE139" s="784"/>
      <c r="AF139" s="784"/>
      <c r="AG139" s="784"/>
      <c r="AH139" s="784"/>
      <c r="AI139" s="784"/>
      <c r="AJ139" s="784"/>
      <c r="AK139" s="784"/>
      <c r="AL139" s="784"/>
      <c r="AM139" s="784"/>
      <c r="AN139" s="784"/>
      <c r="AO139" s="784"/>
      <c r="AP139" s="784"/>
      <c r="AQ139" s="784"/>
      <c r="AR139" s="784"/>
      <c r="AS139" s="784"/>
      <c r="AT139" s="784"/>
      <c r="AU139" s="784"/>
      <c r="AV139" s="784"/>
      <c r="AW139" s="784"/>
      <c r="AX139" s="784"/>
      <c r="AY139" s="784"/>
      <c r="AZ139" s="784"/>
      <c r="BA139" s="785"/>
      <c r="BB139" s="1253"/>
      <c r="BC139" s="1253"/>
      <c r="BD139" s="1253"/>
      <c r="BE139" s="1253"/>
      <c r="BF139" s="1253"/>
      <c r="BG139" s="1253"/>
      <c r="BH139" s="1253"/>
      <c r="BI139" s="1253"/>
      <c r="BJ139" s="1253"/>
      <c r="BK139" s="1253"/>
      <c r="BL139" s="1253"/>
      <c r="BM139" s="1253"/>
      <c r="BN139" s="1253"/>
      <c r="BO139" s="1253"/>
      <c r="BP139" s="1253"/>
      <c r="BQ139" s="1253"/>
      <c r="BR139" s="1253"/>
      <c r="BS139" s="1253"/>
      <c r="BT139" s="1253"/>
      <c r="BU139" s="1253"/>
      <c r="BV139" s="1253"/>
      <c r="BW139" s="1253"/>
      <c r="BX139" s="19"/>
      <c r="BY139" s="822"/>
      <c r="BZ139" s="822"/>
      <c r="CA139" s="822"/>
      <c r="CB139" s="822"/>
      <c r="CC139" s="822"/>
      <c r="CD139" s="822"/>
      <c r="CE139" s="822"/>
      <c r="CF139" s="822"/>
      <c r="CG139" s="822"/>
      <c r="CH139" s="822"/>
      <c r="CI139" s="822"/>
      <c r="CJ139" s="822"/>
      <c r="CK139" s="822"/>
      <c r="CL139" s="822"/>
      <c r="CM139" s="822"/>
      <c r="CN139" s="822"/>
      <c r="CO139" s="822"/>
      <c r="CP139" s="822"/>
      <c r="CQ139" s="822"/>
      <c r="CR139" s="822"/>
      <c r="CS139" s="822"/>
      <c r="CT139" s="822"/>
      <c r="CU139" s="822"/>
      <c r="CV139" s="822"/>
      <c r="CW139" s="822"/>
      <c r="CX139" s="822"/>
      <c r="CY139" s="822"/>
      <c r="CZ139" s="822"/>
      <c r="DA139" s="822"/>
      <c r="DB139" s="822"/>
      <c r="DC139" s="822"/>
      <c r="DD139" s="822"/>
      <c r="DE139" s="822"/>
      <c r="DF139" s="822"/>
      <c r="DG139" s="822"/>
      <c r="DH139" s="822"/>
      <c r="DI139" s="822"/>
      <c r="DJ139" s="822"/>
      <c r="DK139" s="822"/>
      <c r="DL139" s="822"/>
      <c r="DM139" s="822"/>
      <c r="DN139" s="822"/>
    </row>
    <row r="140" spans="3:148" ht="17.100000000000001" customHeight="1" thickTop="1" x14ac:dyDescent="0.3">
      <c r="R140" s="822"/>
      <c r="S140" s="822"/>
      <c r="T140" s="822"/>
      <c r="U140" s="822"/>
      <c r="V140" s="822"/>
      <c r="W140" s="822"/>
      <c r="X140" s="822"/>
      <c r="Y140" s="822"/>
      <c r="Z140" s="822"/>
      <c r="AA140" s="822"/>
      <c r="AB140" s="822"/>
      <c r="AC140" s="822"/>
      <c r="AD140" s="822"/>
      <c r="AE140" s="822"/>
      <c r="AF140" s="822"/>
      <c r="AG140" s="822"/>
      <c r="AH140" s="822"/>
      <c r="AI140" s="822"/>
      <c r="AJ140" s="822"/>
      <c r="AK140" s="822"/>
      <c r="AL140" s="822"/>
      <c r="AM140" s="822"/>
      <c r="AN140" s="822"/>
      <c r="AO140" s="822"/>
      <c r="AP140" s="822"/>
      <c r="AQ140" s="822"/>
      <c r="AR140" s="822"/>
      <c r="AS140" s="822"/>
      <c r="AT140" s="822"/>
      <c r="AU140" s="822"/>
      <c r="AV140" s="822"/>
      <c r="AW140" s="822"/>
      <c r="AX140" s="822"/>
      <c r="AY140" s="822"/>
      <c r="AZ140" s="822"/>
      <c r="BA140" s="822"/>
      <c r="BB140" s="822"/>
      <c r="BC140" s="822"/>
      <c r="BD140" s="822"/>
      <c r="BE140" s="822"/>
      <c r="BF140" s="822"/>
      <c r="BG140" s="822"/>
      <c r="BH140" s="822"/>
      <c r="BI140" s="822"/>
      <c r="BJ140" s="822"/>
      <c r="BK140" s="822"/>
      <c r="BL140" s="822"/>
      <c r="BM140" s="822"/>
      <c r="BN140" s="822"/>
      <c r="BO140" s="822"/>
      <c r="BP140" s="822"/>
      <c r="BQ140" s="822"/>
      <c r="BR140" s="822"/>
      <c r="BS140" s="822"/>
      <c r="BT140" s="822"/>
      <c r="BU140" s="822"/>
      <c r="BV140" s="822"/>
      <c r="BX140" s="822"/>
      <c r="BY140" s="822"/>
      <c r="BZ140" s="822"/>
      <c r="CA140" s="822"/>
      <c r="CB140" s="822"/>
      <c r="CC140" s="822"/>
      <c r="CD140" s="822"/>
      <c r="CE140" s="822"/>
      <c r="CF140" s="822"/>
      <c r="CG140" s="822"/>
      <c r="CH140" s="822"/>
      <c r="CI140" s="822"/>
      <c r="CJ140" s="822"/>
      <c r="CK140" s="822"/>
      <c r="CL140" s="822"/>
      <c r="CM140" s="822"/>
      <c r="CN140" s="822"/>
      <c r="CO140" s="822"/>
      <c r="CP140" s="822"/>
      <c r="CQ140" s="822"/>
      <c r="CR140" s="822"/>
      <c r="CS140" s="822"/>
      <c r="CT140" s="822"/>
      <c r="CU140" s="822"/>
      <c r="CV140" s="822"/>
      <c r="CW140" s="822"/>
      <c r="CX140" s="822"/>
      <c r="CY140" s="822"/>
      <c r="CZ140" s="822"/>
      <c r="DA140" s="822"/>
      <c r="DB140" s="822"/>
      <c r="DC140" s="822"/>
      <c r="DD140" s="822"/>
      <c r="DE140" s="822"/>
      <c r="DF140" s="822"/>
      <c r="DG140" s="822"/>
      <c r="DH140" s="822"/>
      <c r="DI140" s="822"/>
      <c r="DJ140" s="822"/>
      <c r="DK140" s="822"/>
      <c r="DL140" s="822"/>
      <c r="DM140" s="822"/>
      <c r="DN140" s="822"/>
    </row>
    <row r="141" spans="3:148" ht="17.100000000000001" customHeight="1" x14ac:dyDescent="0.3">
      <c r="R141" s="822"/>
      <c r="S141" s="822"/>
      <c r="T141" s="822"/>
      <c r="U141" s="822"/>
      <c r="V141" s="822"/>
      <c r="W141" s="822"/>
      <c r="X141" s="822"/>
      <c r="Y141" s="822"/>
      <c r="Z141" s="822"/>
      <c r="AA141" s="822"/>
      <c r="AB141" s="822"/>
      <c r="AC141" s="822"/>
      <c r="AD141" s="822"/>
      <c r="AE141" s="822"/>
      <c r="AF141" s="822"/>
      <c r="AG141" s="822"/>
      <c r="AH141" s="822"/>
      <c r="AI141" s="822"/>
      <c r="AJ141" s="822"/>
      <c r="AK141" s="822"/>
      <c r="AL141" s="822"/>
      <c r="AM141" s="822"/>
      <c r="AN141" s="34" t="s">
        <v>9</v>
      </c>
      <c r="AO141" s="822"/>
      <c r="AP141" s="822"/>
      <c r="AQ141" s="822"/>
      <c r="AR141" s="822"/>
      <c r="AS141" s="822"/>
      <c r="AT141" s="822"/>
      <c r="AU141" s="822"/>
      <c r="AV141" s="822"/>
      <c r="AW141" s="822"/>
      <c r="AX141" s="822"/>
      <c r="AY141" s="822"/>
      <c r="AZ141" s="822"/>
      <c r="BA141" s="822"/>
      <c r="BB141" s="822"/>
      <c r="BC141" s="822"/>
      <c r="BD141" s="822"/>
      <c r="BE141" s="822"/>
      <c r="BF141" s="822"/>
      <c r="BG141" s="822"/>
      <c r="BH141" s="822"/>
      <c r="BI141" s="822"/>
      <c r="BJ141" s="822"/>
      <c r="BK141" s="822"/>
      <c r="BL141" s="822"/>
      <c r="BM141" s="822"/>
      <c r="BN141" s="822"/>
      <c r="BO141" s="822"/>
      <c r="BP141" s="822"/>
      <c r="BQ141" s="822"/>
      <c r="BR141" s="822"/>
      <c r="BS141" s="822"/>
      <c r="BT141" s="822"/>
      <c r="BU141" s="822"/>
      <c r="BV141" s="822"/>
      <c r="BX141" s="822"/>
      <c r="BY141" s="822"/>
      <c r="BZ141" s="822"/>
      <c r="CA141" s="822"/>
      <c r="CB141" s="822"/>
      <c r="CC141" s="822"/>
      <c r="CD141" s="822"/>
      <c r="CE141" s="822"/>
      <c r="CF141" s="822"/>
      <c r="CG141" s="822"/>
      <c r="CH141" s="822"/>
      <c r="CI141" s="822"/>
      <c r="CJ141" s="822"/>
      <c r="CK141" s="822"/>
      <c r="CL141" s="822"/>
      <c r="CM141" s="822"/>
      <c r="CN141" s="822"/>
      <c r="CO141" s="822"/>
      <c r="CP141" s="822"/>
      <c r="CQ141" s="822"/>
      <c r="CR141" s="822"/>
      <c r="CS141" s="822"/>
      <c r="CT141" s="822"/>
      <c r="CU141" s="822"/>
      <c r="CV141" s="822"/>
      <c r="CW141" s="822"/>
      <c r="CX141" s="822"/>
      <c r="CY141" s="822"/>
      <c r="CZ141" s="822"/>
      <c r="DA141" s="822"/>
      <c r="DB141" s="822"/>
      <c r="DC141" s="822"/>
      <c r="DD141" s="822"/>
      <c r="DE141" s="822"/>
      <c r="DF141" s="822"/>
      <c r="DG141" s="822"/>
      <c r="DH141" s="822"/>
      <c r="DI141" s="822"/>
      <c r="DJ141" s="822"/>
      <c r="DK141" s="822"/>
      <c r="DL141" s="822"/>
      <c r="DM141" s="822"/>
      <c r="DN141" s="822"/>
    </row>
    <row r="142" spans="3:148" ht="17.100000000000001" customHeight="1" thickBot="1" x14ac:dyDescent="0.35">
      <c r="R142" s="822"/>
      <c r="S142" s="822"/>
      <c r="T142" s="822"/>
      <c r="U142" s="822"/>
      <c r="V142" s="822"/>
      <c r="W142" s="822"/>
      <c r="X142" s="822"/>
      <c r="Y142" s="822"/>
      <c r="Z142" s="822"/>
      <c r="AA142" s="822"/>
      <c r="AB142" s="822"/>
      <c r="AC142" s="822"/>
      <c r="AD142" s="822"/>
      <c r="AE142" s="822"/>
      <c r="AF142" s="822"/>
      <c r="AG142" s="822"/>
      <c r="AH142" s="822"/>
      <c r="AI142" s="822"/>
      <c r="AJ142" s="822"/>
      <c r="AK142" s="822"/>
      <c r="AL142" s="822"/>
      <c r="AM142" s="822"/>
      <c r="AN142" s="34" t="s">
        <v>9</v>
      </c>
      <c r="AO142" s="822"/>
      <c r="AP142" s="822"/>
      <c r="AQ142" s="822"/>
      <c r="AR142" s="822"/>
      <c r="AS142" s="822"/>
      <c r="AT142" s="822"/>
      <c r="AU142" s="822"/>
      <c r="AV142" s="822"/>
      <c r="AW142" s="822"/>
      <c r="AX142" s="822"/>
      <c r="AY142" s="822"/>
      <c r="AZ142" s="822"/>
      <c r="BA142" s="822"/>
      <c r="BB142" s="822"/>
      <c r="BC142" s="822"/>
      <c r="BD142" s="822"/>
      <c r="BE142" s="822"/>
      <c r="BF142" s="822"/>
      <c r="BG142" s="822"/>
      <c r="BH142" s="822"/>
      <c r="BI142" s="822"/>
      <c r="BJ142" s="822"/>
      <c r="BK142" s="822"/>
      <c r="BL142" s="822"/>
      <c r="BM142" s="822"/>
      <c r="BN142" s="822"/>
      <c r="BO142" s="822"/>
      <c r="BP142" s="822"/>
      <c r="BQ142" s="822"/>
      <c r="BR142" s="822"/>
      <c r="BS142" s="822"/>
      <c r="BT142" s="822"/>
      <c r="BU142" s="822"/>
      <c r="BV142" s="822"/>
      <c r="BX142" s="822"/>
      <c r="BY142" s="822"/>
      <c r="BZ142" s="822"/>
      <c r="CA142" s="822"/>
      <c r="CB142" s="822"/>
      <c r="CC142" s="822"/>
      <c r="CD142" s="822"/>
      <c r="CE142" s="822"/>
      <c r="CF142" s="822"/>
      <c r="CG142" s="822"/>
      <c r="CH142" s="822"/>
      <c r="CI142" s="822"/>
      <c r="CJ142" s="822"/>
      <c r="CK142" s="822"/>
      <c r="CL142" s="822"/>
      <c r="CM142" s="822"/>
      <c r="CN142" s="822"/>
      <c r="CO142" s="822"/>
      <c r="CP142" s="822"/>
      <c r="CQ142" s="822"/>
      <c r="CR142" s="822"/>
      <c r="CS142" s="822"/>
      <c r="CT142" s="822"/>
      <c r="CU142" s="822"/>
      <c r="CV142" s="822"/>
      <c r="CW142" s="822"/>
      <c r="CX142" s="822"/>
      <c r="CY142" s="822"/>
      <c r="CZ142" s="822"/>
      <c r="DA142" s="822"/>
      <c r="DB142" s="822"/>
      <c r="DC142" s="822"/>
      <c r="DD142" s="822"/>
      <c r="DE142" s="822"/>
      <c r="DF142" s="822"/>
      <c r="DG142" s="822"/>
      <c r="DH142" s="822"/>
      <c r="DI142" s="822"/>
      <c r="DJ142" s="822"/>
      <c r="DK142" s="822"/>
      <c r="DL142" s="822"/>
      <c r="DM142" s="822"/>
      <c r="DN142" s="822"/>
    </row>
    <row r="143" spans="3:148" ht="17.100000000000001" customHeight="1" thickTop="1" x14ac:dyDescent="0.3">
      <c r="E143" s="23"/>
      <c r="F143" s="23"/>
      <c r="G143" s="23"/>
      <c r="H143" s="23"/>
      <c r="I143" s="23"/>
      <c r="J143" s="23"/>
      <c r="K143" s="23"/>
      <c r="L143" s="23"/>
      <c r="M143" s="23"/>
      <c r="N143" s="23"/>
      <c r="O143" s="23"/>
      <c r="P143" s="23"/>
      <c r="Q143" s="23"/>
      <c r="R143" s="23"/>
      <c r="S143" s="23"/>
      <c r="T143" s="23"/>
      <c r="U143" s="23"/>
      <c r="V143" s="23"/>
      <c r="W143" s="23"/>
      <c r="X143" s="23"/>
      <c r="Y143" s="23"/>
      <c r="Z143" s="23"/>
      <c r="AA143" s="759"/>
      <c r="AB143" s="760"/>
      <c r="AC143" s="760"/>
      <c r="AD143" s="760"/>
      <c r="AE143" s="760"/>
      <c r="AF143" s="760"/>
      <c r="AG143" s="760"/>
      <c r="AH143" s="760"/>
      <c r="AI143" s="760"/>
      <c r="AJ143" s="760"/>
      <c r="AK143" s="760"/>
      <c r="AL143" s="760"/>
      <c r="AM143" s="760"/>
      <c r="AN143" s="760"/>
      <c r="AO143" s="760"/>
      <c r="AP143" s="760"/>
      <c r="AQ143" s="760"/>
      <c r="AR143" s="760"/>
      <c r="AS143" s="760"/>
      <c r="AT143" s="760"/>
      <c r="AU143" s="760"/>
      <c r="AV143" s="760"/>
      <c r="AW143" s="760"/>
      <c r="AX143" s="760"/>
      <c r="AY143" s="760"/>
      <c r="AZ143" s="760"/>
      <c r="BA143" s="761"/>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822"/>
      <c r="BY143" s="822"/>
      <c r="BZ143" s="822"/>
      <c r="CA143" s="822"/>
      <c r="CB143" s="822"/>
      <c r="CC143" s="822"/>
      <c r="CD143" s="822"/>
      <c r="CE143" s="822"/>
      <c r="CF143" s="822"/>
      <c r="CG143" s="822"/>
      <c r="CH143" s="822"/>
      <c r="CI143" s="822"/>
      <c r="CJ143" s="822"/>
      <c r="CK143" s="822"/>
      <c r="CL143" s="822"/>
      <c r="CM143" s="822"/>
      <c r="CN143" s="822"/>
      <c r="CO143" s="822"/>
      <c r="CP143" s="822"/>
      <c r="CQ143" s="822"/>
      <c r="CR143" s="822"/>
      <c r="CS143" s="822"/>
      <c r="CT143" s="822"/>
      <c r="CU143" s="822"/>
      <c r="CV143" s="822"/>
      <c r="CW143" s="822"/>
      <c r="CX143" s="822"/>
      <c r="CY143" s="822"/>
      <c r="CZ143" s="822"/>
      <c r="DA143" s="822"/>
      <c r="DB143" s="822"/>
      <c r="DC143" s="822"/>
      <c r="DD143" s="822"/>
      <c r="DE143" s="822"/>
      <c r="DF143" s="822"/>
      <c r="DG143" s="822"/>
      <c r="DH143" s="822"/>
      <c r="DI143" s="822"/>
      <c r="DJ143" s="822"/>
      <c r="DK143" s="822"/>
      <c r="DL143" s="822"/>
      <c r="DM143" s="822"/>
      <c r="DN143" s="822"/>
    </row>
    <row r="144" spans="3:148" ht="17.100000000000001" customHeight="1" thickBot="1" x14ac:dyDescent="0.35">
      <c r="E144" s="23"/>
      <c r="F144" s="23"/>
      <c r="G144" s="23"/>
      <c r="H144" s="23"/>
      <c r="I144" s="23"/>
      <c r="J144" s="23"/>
      <c r="K144" s="23"/>
      <c r="L144" s="23"/>
      <c r="M144" s="23"/>
      <c r="N144" s="23"/>
      <c r="O144" s="23"/>
      <c r="P144" s="23"/>
      <c r="Q144" s="23"/>
      <c r="R144" s="23"/>
      <c r="S144" s="23"/>
      <c r="T144" s="23"/>
      <c r="U144" s="23"/>
      <c r="V144" s="23"/>
      <c r="W144" s="23"/>
      <c r="X144" s="23"/>
      <c r="Y144" s="23"/>
      <c r="Z144" s="23"/>
      <c r="AA144" s="762"/>
      <c r="AB144" s="94"/>
      <c r="AC144" s="1273"/>
      <c r="AD144" s="1273"/>
      <c r="AE144" s="1273"/>
      <c r="AF144" s="1273"/>
      <c r="AG144" s="1273"/>
      <c r="AH144" s="1273"/>
      <c r="AI144" s="1273"/>
      <c r="AJ144" s="1273"/>
      <c r="AK144" s="1273"/>
      <c r="AL144" s="1273"/>
      <c r="AM144" s="1273"/>
      <c r="AN144" s="2286"/>
      <c r="AO144" s="1273"/>
      <c r="AP144" s="1273"/>
      <c r="AQ144" s="1273"/>
      <c r="AR144" s="1273"/>
      <c r="AS144" s="1273"/>
      <c r="AT144" s="1273"/>
      <c r="AU144" s="1273"/>
      <c r="AV144" s="1273"/>
      <c r="AW144" s="1273"/>
      <c r="AX144" s="1273"/>
      <c r="AY144" s="1273"/>
      <c r="AZ144" s="94"/>
      <c r="BA144" s="764"/>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822"/>
      <c r="BY144" s="822"/>
      <c r="BZ144" s="822"/>
      <c r="CA144" s="822"/>
      <c r="CB144" s="822"/>
      <c r="CC144" s="822"/>
      <c r="CD144" s="822"/>
      <c r="CE144" s="822"/>
      <c r="CF144" s="822"/>
      <c r="CG144" s="822"/>
      <c r="CH144" s="822"/>
      <c r="CI144" s="822"/>
      <c r="CJ144" s="822"/>
      <c r="CK144" s="822"/>
      <c r="CL144" s="822"/>
      <c r="CM144" s="822"/>
      <c r="CN144" s="822"/>
      <c r="CO144" s="822"/>
      <c r="CP144" s="822"/>
      <c r="CQ144" s="822"/>
      <c r="CR144" s="822"/>
      <c r="CS144" s="822"/>
      <c r="CT144" s="822"/>
      <c r="CU144" s="822"/>
      <c r="CV144" s="822"/>
      <c r="CW144" s="822"/>
      <c r="CX144" s="822"/>
      <c r="CY144" s="822"/>
      <c r="CZ144" s="822"/>
      <c r="DA144" s="822"/>
      <c r="DB144" s="822"/>
      <c r="DC144" s="822"/>
      <c r="DD144" s="822"/>
      <c r="DE144" s="822"/>
      <c r="DF144" s="822"/>
      <c r="DG144" s="822"/>
      <c r="DH144" s="822"/>
      <c r="DI144" s="822"/>
      <c r="DJ144" s="822"/>
      <c r="DK144" s="822"/>
      <c r="DL144" s="822"/>
      <c r="DM144" s="822"/>
      <c r="DN144" s="822"/>
    </row>
    <row r="145" spans="5:148" ht="17.100000000000001" customHeight="1" thickTop="1" x14ac:dyDescent="0.3">
      <c r="E145" s="23"/>
      <c r="F145" s="23"/>
      <c r="G145" s="759"/>
      <c r="H145" s="760"/>
      <c r="I145" s="760"/>
      <c r="J145" s="760"/>
      <c r="K145" s="760"/>
      <c r="L145" s="760"/>
      <c r="M145" s="760"/>
      <c r="N145" s="760"/>
      <c r="O145" s="760"/>
      <c r="P145" s="760"/>
      <c r="Q145" s="760"/>
      <c r="R145" s="760"/>
      <c r="S145" s="760"/>
      <c r="T145" s="760"/>
      <c r="U145" s="760"/>
      <c r="V145" s="760"/>
      <c r="W145" s="760"/>
      <c r="X145" s="760"/>
      <c r="Y145" s="760"/>
      <c r="Z145" s="760"/>
      <c r="AA145" s="1059"/>
      <c r="AB145" s="1059"/>
      <c r="AC145" s="1273"/>
      <c r="AD145" s="1273"/>
      <c r="AE145" s="1273"/>
      <c r="AF145" s="1273"/>
      <c r="AG145" s="1273"/>
      <c r="AH145" s="1273"/>
      <c r="AI145" s="1273"/>
      <c r="AJ145" s="1273"/>
      <c r="AK145" s="1273"/>
      <c r="AL145" s="1273"/>
      <c r="AM145" s="1273"/>
      <c r="AN145" s="1273"/>
      <c r="AO145" s="1273"/>
      <c r="AP145" s="1273"/>
      <c r="AQ145" s="1273"/>
      <c r="AR145" s="1273"/>
      <c r="AS145" s="1273"/>
      <c r="AT145" s="1273"/>
      <c r="AU145" s="1273"/>
      <c r="AV145" s="1273"/>
      <c r="AW145" s="1273"/>
      <c r="AX145" s="1273"/>
      <c r="AY145" s="1273"/>
      <c r="AZ145" s="1059"/>
      <c r="BA145" s="1059"/>
      <c r="BB145" s="760"/>
      <c r="BC145" s="760"/>
      <c r="BD145" s="760"/>
      <c r="BE145" s="760"/>
      <c r="BF145" s="760"/>
      <c r="BG145" s="760"/>
      <c r="BH145" s="760"/>
      <c r="BI145" s="760"/>
      <c r="BJ145" s="760"/>
      <c r="BK145" s="760"/>
      <c r="BL145" s="760"/>
      <c r="BM145" s="760"/>
      <c r="BN145" s="760"/>
      <c r="BO145" s="760"/>
      <c r="BP145" s="760"/>
      <c r="BQ145" s="760"/>
      <c r="BR145" s="760"/>
      <c r="BS145" s="760"/>
      <c r="BT145" s="760"/>
      <c r="BU145" s="761"/>
      <c r="BV145" s="19"/>
      <c r="BW145" s="19"/>
      <c r="BX145" s="822"/>
      <c r="BY145" s="822"/>
      <c r="BZ145" s="822"/>
      <c r="CA145" s="822"/>
      <c r="CB145" s="822"/>
      <c r="CC145" s="822"/>
      <c r="CD145" s="822"/>
      <c r="CE145" s="822"/>
      <c r="CF145" s="822"/>
      <c r="CG145" s="822"/>
      <c r="CH145" s="822"/>
      <c r="CI145" s="822"/>
      <c r="CJ145" s="822"/>
      <c r="CK145" s="822"/>
      <c r="CL145" s="822"/>
      <c r="CM145" s="822"/>
      <c r="CN145" s="822"/>
      <c r="CO145" s="822"/>
      <c r="CP145" s="822"/>
      <c r="CQ145" s="822"/>
      <c r="CR145" s="822"/>
      <c r="CS145" s="822"/>
      <c r="CT145" s="822"/>
      <c r="CU145" s="822"/>
      <c r="CV145" s="822"/>
      <c r="CW145" s="822"/>
      <c r="CX145" s="822"/>
      <c r="CY145" s="822"/>
      <c r="CZ145" s="822"/>
      <c r="DA145" s="822"/>
      <c r="DB145" s="822"/>
      <c r="DC145" s="822"/>
      <c r="DD145" s="822"/>
      <c r="DE145" s="822"/>
      <c r="DF145" s="822"/>
      <c r="DG145" s="822"/>
      <c r="DH145" s="822"/>
      <c r="DI145" s="822"/>
      <c r="DJ145" s="822"/>
      <c r="DK145" s="822"/>
      <c r="DL145" s="822"/>
      <c r="DM145" s="822"/>
      <c r="DN145" s="822"/>
    </row>
    <row r="146" spans="5:148" ht="17.100000000000001" customHeight="1" thickBot="1" x14ac:dyDescent="0.35">
      <c r="E146" s="23"/>
      <c r="F146" s="23"/>
      <c r="G146" s="762"/>
      <c r="H146" s="1059"/>
      <c r="I146" s="999"/>
      <c r="J146" s="787"/>
      <c r="K146" s="1059"/>
      <c r="L146" s="1059"/>
      <c r="M146" s="1059"/>
      <c r="N146" s="1059"/>
      <c r="O146" s="1059"/>
      <c r="P146" s="1059"/>
      <c r="Q146" s="1059"/>
      <c r="R146" s="1059"/>
      <c r="S146" s="1059"/>
      <c r="T146" s="1059"/>
      <c r="U146" s="1059"/>
      <c r="V146" s="1059"/>
      <c r="W146" s="1059"/>
      <c r="X146" s="1059"/>
      <c r="Y146" s="1059"/>
      <c r="Z146" s="1059"/>
      <c r="AA146" s="1059"/>
      <c r="AB146" s="1059"/>
      <c r="AC146" s="1059"/>
      <c r="AD146" s="1059"/>
      <c r="AE146" s="1059"/>
      <c r="AF146" s="1059"/>
      <c r="AG146" s="1123"/>
      <c r="AH146" s="1123"/>
      <c r="AI146" s="1123"/>
      <c r="AJ146" s="1261"/>
      <c r="AK146" s="1261"/>
      <c r="AL146" s="1261"/>
      <c r="AM146" s="4743" t="s">
        <v>943</v>
      </c>
      <c r="AN146" s="4743"/>
      <c r="AO146" s="4743"/>
      <c r="AP146" s="1261"/>
      <c r="AQ146" s="1261"/>
      <c r="AR146" s="1261"/>
      <c r="AS146" s="1261"/>
      <c r="AT146" s="1123"/>
      <c r="AU146" s="1123"/>
      <c r="AV146" s="1059"/>
      <c r="AW146" s="1059"/>
      <c r="AX146" s="1059"/>
      <c r="AY146" s="1059"/>
      <c r="AZ146" s="1059"/>
      <c r="BA146" s="1059"/>
      <c r="BB146" s="1059"/>
      <c r="BC146" s="1059"/>
      <c r="BD146" s="1059"/>
      <c r="BE146" s="1059"/>
      <c r="BF146" s="1059"/>
      <c r="BG146" s="1059"/>
      <c r="BH146" s="1059"/>
      <c r="BI146" s="1059"/>
      <c r="BJ146" s="1059"/>
      <c r="BK146" s="1059"/>
      <c r="BL146" s="1059"/>
      <c r="BM146" s="1059"/>
      <c r="BN146" s="1059"/>
      <c r="BO146" s="1059"/>
      <c r="BP146" s="1059"/>
      <c r="BQ146" s="1059"/>
      <c r="BR146" s="1059"/>
      <c r="BS146" s="1059"/>
      <c r="BT146" s="1059"/>
      <c r="BU146" s="764"/>
      <c r="BV146" s="19"/>
      <c r="BW146" s="19"/>
      <c r="BX146" s="822"/>
      <c r="BY146" s="822"/>
      <c r="BZ146" s="822"/>
      <c r="CA146" s="822"/>
      <c r="CB146" s="822"/>
      <c r="CC146" s="822"/>
      <c r="CD146" s="822"/>
      <c r="CE146" s="822"/>
      <c r="CF146" s="822"/>
      <c r="CG146" s="822"/>
      <c r="CH146" s="822"/>
      <c r="CI146" s="822"/>
      <c r="CJ146" s="822"/>
      <c r="CK146" s="822"/>
      <c r="CL146" s="822"/>
      <c r="CM146" s="822"/>
      <c r="CN146" s="822"/>
      <c r="CO146" s="822"/>
      <c r="CP146" s="822"/>
      <c r="CQ146" s="822"/>
      <c r="CR146" s="822"/>
      <c r="CS146" s="822"/>
      <c r="CT146" s="822"/>
      <c r="CU146" s="822"/>
      <c r="CV146" s="822"/>
      <c r="CW146" s="822"/>
      <c r="CX146" s="822"/>
      <c r="CY146" s="822"/>
      <c r="CZ146" s="822"/>
      <c r="DA146" s="822"/>
      <c r="DB146" s="822"/>
      <c r="DC146" s="822"/>
      <c r="DD146" s="822"/>
      <c r="DE146" s="822"/>
      <c r="DF146" s="822"/>
      <c r="DG146" s="822"/>
      <c r="DH146" s="822"/>
      <c r="DI146" s="822"/>
      <c r="DJ146" s="822"/>
      <c r="DK146" s="822"/>
      <c r="DL146" s="822"/>
      <c r="DM146" s="822"/>
      <c r="DN146" s="822"/>
    </row>
    <row r="147" spans="5:148" ht="17.100000000000001" customHeight="1" thickTop="1" x14ac:dyDescent="0.3">
      <c r="E147" s="759"/>
      <c r="F147" s="760"/>
      <c r="G147" s="1059"/>
      <c r="H147" s="1059"/>
      <c r="I147" s="1059"/>
      <c r="J147" s="1059"/>
      <c r="K147" s="1059"/>
      <c r="L147" s="1059"/>
      <c r="M147" s="1059"/>
      <c r="N147" s="1059"/>
      <c r="O147" s="1059"/>
      <c r="P147" s="1059"/>
      <c r="Q147" s="1059"/>
      <c r="R147" s="1059"/>
      <c r="S147" s="1059"/>
      <c r="T147" s="1059"/>
      <c r="U147" s="1059"/>
      <c r="V147" s="1059"/>
      <c r="W147" s="1059"/>
      <c r="X147" s="1059"/>
      <c r="Y147" s="1059"/>
      <c r="Z147" s="1059"/>
      <c r="AA147" s="1059"/>
      <c r="AB147" s="1059"/>
      <c r="AC147" s="1059"/>
      <c r="AD147" s="1059"/>
      <c r="AE147" s="1059"/>
      <c r="AF147" s="1059"/>
      <c r="AG147" s="1123"/>
      <c r="AH147" s="1123"/>
      <c r="AI147" s="1261"/>
      <c r="AJ147" s="1261"/>
      <c r="AK147" s="1261"/>
      <c r="AL147" s="1261"/>
      <c r="AM147" s="4743"/>
      <c r="AN147" s="4743"/>
      <c r="AO147" s="4743"/>
      <c r="AP147" s="1261"/>
      <c r="AQ147" s="1261"/>
      <c r="AR147" s="1261"/>
      <c r="AS147" s="1261"/>
      <c r="AT147" s="1123"/>
      <c r="AU147" s="1123"/>
      <c r="AV147" s="1059"/>
      <c r="AW147" s="1059"/>
      <c r="AX147" s="1059"/>
      <c r="AY147" s="1059"/>
      <c r="AZ147" s="1059"/>
      <c r="BA147" s="1059"/>
      <c r="BB147" s="1059"/>
      <c r="BC147" s="1059"/>
      <c r="BD147" s="1059"/>
      <c r="BE147" s="1059"/>
      <c r="BF147" s="1059"/>
      <c r="BG147" s="1059"/>
      <c r="BH147" s="1059"/>
      <c r="BI147" s="1059"/>
      <c r="BJ147" s="1059"/>
      <c r="BK147" s="1059"/>
      <c r="BL147" s="1059"/>
      <c r="BM147" s="1059"/>
      <c r="BN147" s="1059"/>
      <c r="BO147" s="1059"/>
      <c r="BP147" s="1059"/>
      <c r="BQ147" s="1059"/>
      <c r="BR147" s="1059"/>
      <c r="BS147" s="1059"/>
      <c r="BT147" s="1059"/>
      <c r="BU147" s="1059"/>
      <c r="BV147" s="760"/>
      <c r="BW147" s="761"/>
      <c r="BX147" s="822"/>
      <c r="BY147" s="822"/>
      <c r="BZ147" s="822"/>
      <c r="CA147" s="822"/>
      <c r="CB147" s="822"/>
      <c r="CC147" s="822"/>
      <c r="CD147" s="822"/>
      <c r="CE147" s="822"/>
      <c r="CF147" s="822"/>
      <c r="CG147" s="822"/>
      <c r="CH147" s="822"/>
      <c r="CI147" s="822"/>
      <c r="CJ147" s="822"/>
      <c r="CK147" s="822"/>
      <c r="CL147" s="822"/>
      <c r="CM147" s="822"/>
      <c r="CN147" s="822"/>
      <c r="CO147" s="822"/>
      <c r="CP147" s="822"/>
      <c r="CQ147" s="822"/>
      <c r="CR147" s="822"/>
      <c r="CS147" s="822"/>
      <c r="CT147" s="822"/>
      <c r="CU147" s="822"/>
      <c r="CV147" s="822"/>
      <c r="CW147" s="822"/>
      <c r="CX147" s="822"/>
      <c r="CY147" s="822"/>
      <c r="CZ147" s="822"/>
      <c r="DA147" s="822"/>
      <c r="DB147" s="822"/>
      <c r="DC147" s="822"/>
      <c r="DD147" s="822"/>
      <c r="DE147" s="822"/>
      <c r="DF147" s="822"/>
      <c r="DG147" s="822"/>
      <c r="DH147" s="822"/>
      <c r="DI147" s="822"/>
      <c r="DJ147" s="822"/>
      <c r="DK147" s="822"/>
      <c r="DL147" s="822"/>
      <c r="DM147" s="822"/>
      <c r="DN147" s="822"/>
    </row>
    <row r="148" spans="5:148" ht="17.100000000000001" customHeight="1" thickBot="1" x14ac:dyDescent="0.35">
      <c r="E148" s="762"/>
      <c r="F148" s="94"/>
      <c r="G148" s="1059"/>
      <c r="H148" s="1059"/>
      <c r="I148" s="1059"/>
      <c r="J148" s="1059"/>
      <c r="K148" s="1059"/>
      <c r="L148" s="1059"/>
      <c r="M148" s="1059"/>
      <c r="N148" s="1059"/>
      <c r="O148" s="1059"/>
      <c r="P148" s="1059"/>
      <c r="Q148" s="1059"/>
      <c r="R148" s="1059"/>
      <c r="S148" s="1059"/>
      <c r="T148" s="1059"/>
      <c r="U148" s="1059"/>
      <c r="V148" s="1059"/>
      <c r="W148" s="1059"/>
      <c r="X148" s="1059"/>
      <c r="Y148" s="1059"/>
      <c r="Z148" s="1059"/>
      <c r="AA148" s="1059"/>
      <c r="AB148" s="1059"/>
      <c r="AC148" s="1059"/>
      <c r="AD148" s="1059"/>
      <c r="AE148" s="1059"/>
      <c r="AF148" s="1059"/>
      <c r="AG148" s="1123"/>
      <c r="AH148" s="1123"/>
      <c r="AI148" s="1123"/>
      <c r="AJ148" s="1123"/>
      <c r="AK148" s="1123"/>
      <c r="AL148" s="1123"/>
      <c r="AM148" s="1274"/>
      <c r="AN148" s="1275">
        <v>1</v>
      </c>
      <c r="AO148" s="1274"/>
      <c r="AP148" s="1123"/>
      <c r="AQ148" s="1123"/>
      <c r="AR148" s="1123"/>
      <c r="AS148" s="1123"/>
      <c r="AT148" s="1123"/>
      <c r="AU148" s="1123"/>
      <c r="AV148" s="1059"/>
      <c r="AW148" s="1059"/>
      <c r="AX148" s="1059"/>
      <c r="AY148" s="1059"/>
      <c r="AZ148" s="1059"/>
      <c r="BA148" s="1059"/>
      <c r="BB148" s="1059"/>
      <c r="BC148" s="1059"/>
      <c r="BD148" s="1059"/>
      <c r="BE148" s="1059"/>
      <c r="BF148" s="1059"/>
      <c r="BG148" s="1059"/>
      <c r="BH148" s="1059"/>
      <c r="BI148" s="1059"/>
      <c r="BJ148" s="1059"/>
      <c r="BK148" s="1059"/>
      <c r="BL148" s="1059"/>
      <c r="BM148" s="1059"/>
      <c r="BN148" s="1059"/>
      <c r="BO148" s="1059"/>
      <c r="BP148" s="1059"/>
      <c r="BQ148" s="1059"/>
      <c r="BR148" s="1059"/>
      <c r="BS148" s="1059"/>
      <c r="BT148" s="1059"/>
      <c r="BU148" s="1059"/>
      <c r="BV148" s="94"/>
      <c r="BW148" s="764"/>
      <c r="BX148" s="822"/>
      <c r="BY148" s="822"/>
      <c r="BZ148" s="822"/>
      <c r="CA148" s="822"/>
      <c r="CB148" s="822"/>
      <c r="CC148" s="822"/>
      <c r="CD148" s="822"/>
      <c r="CE148" s="822"/>
      <c r="CF148" s="822"/>
      <c r="CG148" s="822"/>
      <c r="CH148" s="822"/>
      <c r="CI148" s="822"/>
      <c r="CJ148" s="822"/>
      <c r="CK148" s="822"/>
      <c r="CL148" s="822"/>
      <c r="CM148" s="822"/>
      <c r="CN148" s="822"/>
      <c r="CO148" s="822"/>
      <c r="CP148" s="822"/>
      <c r="CQ148" s="822"/>
      <c r="CR148" s="822"/>
      <c r="CS148" s="822"/>
      <c r="CT148" s="822"/>
      <c r="CU148" s="822"/>
      <c r="CV148" s="822"/>
      <c r="CW148" s="822"/>
      <c r="CX148" s="822"/>
      <c r="CY148" s="822"/>
      <c r="CZ148" s="822"/>
      <c r="DA148" s="822"/>
      <c r="DB148" s="822"/>
      <c r="DC148" s="822"/>
      <c r="DD148" s="822"/>
      <c r="DE148" s="822"/>
      <c r="DF148" s="822"/>
      <c r="DG148" s="822"/>
      <c r="DH148" s="822"/>
      <c r="DI148" s="822"/>
      <c r="DJ148" s="822"/>
      <c r="DK148" s="822"/>
      <c r="DL148" s="822"/>
      <c r="DM148" s="822"/>
      <c r="DN148" s="822"/>
    </row>
    <row r="149" spans="5:148" ht="17.100000000000001" customHeight="1" thickTop="1" x14ac:dyDescent="0.3">
      <c r="E149" s="762"/>
      <c r="F149" s="1059"/>
      <c r="G149" s="1059"/>
      <c r="H149" s="1059"/>
      <c r="I149" s="4756" t="s">
        <v>72</v>
      </c>
      <c r="J149" s="4757"/>
      <c r="K149" s="4757"/>
      <c r="L149" s="4794" t="s">
        <v>710</v>
      </c>
      <c r="M149" s="4794"/>
      <c r="N149" s="4757" t="s">
        <v>72</v>
      </c>
      <c r="O149" s="4757"/>
      <c r="P149" s="4762"/>
      <c r="Q149" s="1059"/>
      <c r="R149" s="1059"/>
      <c r="S149" s="4756" t="s">
        <v>72</v>
      </c>
      <c r="T149" s="4757"/>
      <c r="U149" s="4757"/>
      <c r="V149" s="4792" t="s">
        <v>710</v>
      </c>
      <c r="W149" s="4792"/>
      <c r="X149" s="4757" t="s">
        <v>72</v>
      </c>
      <c r="Y149" s="4757"/>
      <c r="Z149" s="4762"/>
      <c r="AA149" s="1059"/>
      <c r="AB149" s="1059"/>
      <c r="AC149" s="4756" t="s">
        <v>72</v>
      </c>
      <c r="AD149" s="4757"/>
      <c r="AE149" s="4757"/>
      <c r="AF149" s="4790" t="s">
        <v>710</v>
      </c>
      <c r="AG149" s="4790"/>
      <c r="AH149" s="4757" t="s">
        <v>72</v>
      </c>
      <c r="AI149" s="4757"/>
      <c r="AJ149" s="4762"/>
      <c r="AK149" s="1059"/>
      <c r="AL149" s="1059"/>
      <c r="AM149" s="4853" t="s">
        <v>1472</v>
      </c>
      <c r="AN149" s="4853"/>
      <c r="AO149" s="4853"/>
      <c r="AP149" s="1059"/>
      <c r="AQ149" s="1059"/>
      <c r="AR149" s="4756" t="s">
        <v>72</v>
      </c>
      <c r="AS149" s="4757"/>
      <c r="AT149" s="4757"/>
      <c r="AU149" s="4790" t="s">
        <v>939</v>
      </c>
      <c r="AV149" s="4790"/>
      <c r="AW149" s="4757" t="s">
        <v>72</v>
      </c>
      <c r="AX149" s="4757"/>
      <c r="AY149" s="4762"/>
      <c r="AZ149" s="1059"/>
      <c r="BA149" s="1059"/>
      <c r="BB149" s="4756" t="s">
        <v>72</v>
      </c>
      <c r="BC149" s="4757"/>
      <c r="BD149" s="4757"/>
      <c r="BE149" s="4792" t="s">
        <v>939</v>
      </c>
      <c r="BF149" s="4792"/>
      <c r="BG149" s="4757" t="s">
        <v>72</v>
      </c>
      <c r="BH149" s="4757"/>
      <c r="BI149" s="4762"/>
      <c r="BJ149" s="1059"/>
      <c r="BK149" s="1059"/>
      <c r="BL149" s="4756" t="s">
        <v>72</v>
      </c>
      <c r="BM149" s="4757"/>
      <c r="BN149" s="4757"/>
      <c r="BO149" s="4794" t="s">
        <v>939</v>
      </c>
      <c r="BP149" s="4794"/>
      <c r="BQ149" s="4757" t="s">
        <v>72</v>
      </c>
      <c r="BR149" s="4757"/>
      <c r="BS149" s="4762"/>
      <c r="BT149" s="1059"/>
      <c r="BU149" s="1059"/>
      <c r="BV149" s="1059"/>
      <c r="BW149" s="764"/>
      <c r="BX149" s="822"/>
      <c r="BY149" s="822"/>
      <c r="BZ149" s="822"/>
      <c r="CA149" s="822"/>
      <c r="CB149" s="822"/>
      <c r="CC149" s="822"/>
      <c r="CD149" s="822"/>
      <c r="CE149" s="822"/>
      <c r="CF149" s="822"/>
      <c r="CG149" s="822"/>
      <c r="CH149" s="822"/>
      <c r="CI149" s="822"/>
      <c r="CJ149" s="822"/>
      <c r="CK149" s="822"/>
      <c r="CL149" s="822"/>
      <c r="CM149" s="822"/>
      <c r="CN149" s="822"/>
      <c r="CO149" s="822"/>
      <c r="CP149" s="822"/>
      <c r="CQ149" s="822"/>
      <c r="CR149" s="822"/>
      <c r="CS149" s="822"/>
      <c r="CT149" s="822"/>
      <c r="CU149" s="822"/>
      <c r="CV149" s="822"/>
      <c r="CW149" s="822"/>
      <c r="CX149" s="822"/>
      <c r="CY149" s="822"/>
      <c r="CZ149" s="822"/>
      <c r="DA149" s="822"/>
      <c r="DB149" s="822"/>
      <c r="DC149" s="822"/>
      <c r="DD149" s="822"/>
      <c r="DE149" s="822"/>
      <c r="DF149" s="822"/>
      <c r="DG149" s="822"/>
      <c r="DH149" s="822"/>
      <c r="DI149" s="822"/>
      <c r="DJ149" s="822"/>
      <c r="DK149" s="822"/>
      <c r="DL149" s="822"/>
      <c r="DM149" s="822"/>
      <c r="DN149" s="822"/>
    </row>
    <row r="150" spans="5:148" ht="17.100000000000001" customHeight="1" x14ac:dyDescent="0.3">
      <c r="E150" s="762"/>
      <c r="F150" s="1059"/>
      <c r="G150" s="1059"/>
      <c r="H150" s="1059"/>
      <c r="I150" s="4758"/>
      <c r="J150" s="4759"/>
      <c r="K150" s="4759"/>
      <c r="L150" s="4807"/>
      <c r="M150" s="4807"/>
      <c r="N150" s="4759"/>
      <c r="O150" s="4759"/>
      <c r="P150" s="4763"/>
      <c r="Q150" s="1059"/>
      <c r="R150" s="1059"/>
      <c r="S150" s="4758"/>
      <c r="T150" s="4759"/>
      <c r="U150" s="4759"/>
      <c r="V150" s="4805"/>
      <c r="W150" s="4805"/>
      <c r="X150" s="4759"/>
      <c r="Y150" s="4759"/>
      <c r="Z150" s="4763"/>
      <c r="AA150" s="1059"/>
      <c r="AB150" s="1059"/>
      <c r="AC150" s="4758"/>
      <c r="AD150" s="4759"/>
      <c r="AE150" s="4759"/>
      <c r="AF150" s="4806"/>
      <c r="AG150" s="4806"/>
      <c r="AH150" s="4759"/>
      <c r="AI150" s="4759"/>
      <c r="AJ150" s="4763"/>
      <c r="AK150" s="1059"/>
      <c r="AL150" s="1059"/>
      <c r="AM150" s="4853"/>
      <c r="AN150" s="4853"/>
      <c r="AO150" s="4853"/>
      <c r="AP150" s="1059"/>
      <c r="AQ150" s="1059"/>
      <c r="AR150" s="4758"/>
      <c r="AS150" s="4759"/>
      <c r="AT150" s="4759"/>
      <c r="AU150" s="4806"/>
      <c r="AV150" s="4806"/>
      <c r="AW150" s="4759"/>
      <c r="AX150" s="4759"/>
      <c r="AY150" s="4763"/>
      <c r="AZ150" s="1059"/>
      <c r="BA150" s="1059"/>
      <c r="BB150" s="4758"/>
      <c r="BC150" s="4759"/>
      <c r="BD150" s="4759"/>
      <c r="BE150" s="4805"/>
      <c r="BF150" s="4805"/>
      <c r="BG150" s="4759"/>
      <c r="BH150" s="4759"/>
      <c r="BI150" s="4763"/>
      <c r="BJ150" s="1059"/>
      <c r="BK150" s="1059"/>
      <c r="BL150" s="4758"/>
      <c r="BM150" s="4759"/>
      <c r="BN150" s="4759"/>
      <c r="BO150" s="4807"/>
      <c r="BP150" s="4807"/>
      <c r="BQ150" s="4759"/>
      <c r="BR150" s="4759"/>
      <c r="BS150" s="4763"/>
      <c r="BT150" s="1059"/>
      <c r="BU150" s="1059"/>
      <c r="BV150" s="1059"/>
      <c r="BW150" s="764"/>
      <c r="BX150" s="822"/>
      <c r="BY150" s="822"/>
      <c r="BZ150" s="822"/>
      <c r="CA150" s="822"/>
      <c r="CB150" s="822"/>
      <c r="CC150" s="822"/>
      <c r="CD150" s="822"/>
      <c r="CE150" s="822"/>
      <c r="CF150" s="822"/>
      <c r="CG150" s="822"/>
      <c r="CH150" s="822"/>
      <c r="CI150" s="822"/>
      <c r="CJ150" s="822"/>
      <c r="CK150" s="822"/>
      <c r="CL150" s="822"/>
      <c r="CM150" s="822"/>
      <c r="CN150" s="822"/>
      <c r="CO150" s="822"/>
      <c r="CP150" s="822"/>
      <c r="CQ150" s="822"/>
      <c r="CR150" s="822"/>
      <c r="CS150" s="822"/>
      <c r="CT150" s="822"/>
      <c r="CU150" s="822"/>
      <c r="CV150" s="822"/>
      <c r="CW150" s="822"/>
      <c r="CX150" s="822"/>
      <c r="CY150" s="822"/>
      <c r="CZ150" s="822"/>
      <c r="DA150" s="822"/>
      <c r="DB150" s="822"/>
      <c r="DC150" s="822"/>
      <c r="DD150" s="822"/>
      <c r="DE150" s="822"/>
      <c r="DF150" s="822"/>
      <c r="DG150" s="822"/>
      <c r="DH150" s="822"/>
      <c r="DI150" s="822"/>
      <c r="DJ150" s="822"/>
      <c r="DK150" s="822"/>
      <c r="DL150" s="822"/>
      <c r="DM150" s="822"/>
      <c r="DN150" s="822"/>
    </row>
    <row r="151" spans="5:148" ht="17.100000000000001" customHeight="1" x14ac:dyDescent="0.3">
      <c r="E151" s="762"/>
      <c r="F151" s="1059"/>
      <c r="G151" s="1059"/>
      <c r="H151" s="1059"/>
      <c r="I151" s="4766"/>
      <c r="J151" s="4768"/>
      <c r="K151" s="4769"/>
      <c r="L151" s="4769"/>
      <c r="M151" s="4769"/>
      <c r="N151" s="4769"/>
      <c r="O151" s="4770"/>
      <c r="P151" s="4777"/>
      <c r="Q151" s="1059"/>
      <c r="R151" s="1059"/>
      <c r="S151" s="4766"/>
      <c r="T151" s="4768"/>
      <c r="U151" s="4769"/>
      <c r="V151" s="4769"/>
      <c r="W151" s="4769"/>
      <c r="X151" s="4769"/>
      <c r="Y151" s="4770"/>
      <c r="Z151" s="4777"/>
      <c r="AA151" s="1059"/>
      <c r="AB151" s="1059"/>
      <c r="AC151" s="4766"/>
      <c r="AD151" s="4768"/>
      <c r="AE151" s="4769"/>
      <c r="AF151" s="4769"/>
      <c r="AG151" s="4769"/>
      <c r="AH151" s="4769"/>
      <c r="AI151" s="4770"/>
      <c r="AJ151" s="4777"/>
      <c r="AK151" s="1059"/>
      <c r="AL151" s="1059"/>
      <c r="AM151" s="4853"/>
      <c r="AN151" s="4853"/>
      <c r="AO151" s="4853"/>
      <c r="AP151" s="1059"/>
      <c r="AQ151" s="1059"/>
      <c r="AR151" s="4766"/>
      <c r="AS151" s="4768"/>
      <c r="AT151" s="4769"/>
      <c r="AU151" s="4769"/>
      <c r="AV151" s="4769"/>
      <c r="AW151" s="4769"/>
      <c r="AX151" s="4770"/>
      <c r="AY151" s="4777"/>
      <c r="AZ151" s="1059"/>
      <c r="BA151" s="1059"/>
      <c r="BB151" s="4766"/>
      <c r="BC151" s="4768"/>
      <c r="BD151" s="4769"/>
      <c r="BE151" s="4769"/>
      <c r="BF151" s="4769"/>
      <c r="BG151" s="4769"/>
      <c r="BH151" s="4770"/>
      <c r="BI151" s="4777"/>
      <c r="BJ151" s="1059"/>
      <c r="BK151" s="1059"/>
      <c r="BL151" s="4766"/>
      <c r="BM151" s="4768"/>
      <c r="BN151" s="4769"/>
      <c r="BO151" s="4769"/>
      <c r="BP151" s="4769"/>
      <c r="BQ151" s="4769"/>
      <c r="BR151" s="4770"/>
      <c r="BS151" s="4777"/>
      <c r="BT151" s="1059"/>
      <c r="BU151" s="1059"/>
      <c r="BV151" s="1059"/>
      <c r="BW151" s="764"/>
      <c r="BX151" s="822"/>
      <c r="BY151" s="822"/>
      <c r="BZ151" s="822"/>
      <c r="CA151" s="822"/>
      <c r="CB151" s="822"/>
      <c r="CC151" s="822"/>
      <c r="CD151" s="822"/>
      <c r="CE151" s="822"/>
      <c r="CF151" s="822"/>
      <c r="CG151" s="822"/>
      <c r="CH151" s="822"/>
      <c r="CI151" s="822"/>
      <c r="CJ151" s="4826" t="str">
        <f>IF(J151=0,"",J151)</f>
        <v/>
      </c>
      <c r="CK151" s="4827"/>
      <c r="CL151" s="4827"/>
      <c r="CM151" s="4827"/>
      <c r="CN151" s="4827"/>
      <c r="CO151" s="4828"/>
      <c r="CP151" s="822"/>
      <c r="CQ151" s="822"/>
      <c r="CR151" s="822"/>
      <c r="CS151" s="822"/>
      <c r="CT151" s="4826" t="str">
        <f>IF(T151=0,"",T151)</f>
        <v/>
      </c>
      <c r="CU151" s="4827"/>
      <c r="CV151" s="4827"/>
      <c r="CW151" s="4827"/>
      <c r="CX151" s="4827"/>
      <c r="CY151" s="4828"/>
      <c r="CZ151" s="822"/>
      <c r="DA151" s="822"/>
      <c r="DB151" s="822"/>
      <c r="DC151" s="822"/>
      <c r="DD151" s="4826" t="str">
        <f>IF(AD151=0,"",AD151)</f>
        <v/>
      </c>
      <c r="DE151" s="4827"/>
      <c r="DF151" s="4827"/>
      <c r="DG151" s="4827"/>
      <c r="DH151" s="4827"/>
      <c r="DI151" s="4828"/>
      <c r="DJ151" s="822"/>
      <c r="DK151" s="822"/>
      <c r="DL151" s="822"/>
      <c r="DM151" s="822"/>
      <c r="DN151" s="822"/>
      <c r="DO151" s="822"/>
      <c r="DP151" s="822"/>
      <c r="DQ151" s="822"/>
      <c r="DR151" s="822"/>
      <c r="DS151" s="4826" t="str">
        <f>IF(AS151=0,"",AS151)</f>
        <v/>
      </c>
      <c r="DT151" s="4827"/>
      <c r="DU151" s="4827"/>
      <c r="DV151" s="4827"/>
      <c r="DW151" s="4827"/>
      <c r="DX151" s="4828"/>
      <c r="DY151" s="822"/>
      <c r="DZ151" s="822"/>
      <c r="EA151" s="822"/>
      <c r="EB151" s="822"/>
      <c r="EC151" s="4826" t="str">
        <f>IF(BC151=0,"",BC151)</f>
        <v/>
      </c>
      <c r="ED151" s="4827"/>
      <c r="EE151" s="4827"/>
      <c r="EF151" s="4827"/>
      <c r="EG151" s="4827"/>
      <c r="EH151" s="4828"/>
      <c r="EI151" s="822"/>
      <c r="EJ151" s="822"/>
      <c r="EK151" s="822"/>
      <c r="EL151" s="822"/>
      <c r="EM151" s="4826" t="str">
        <f>IF(BM151=0,"",BM151)</f>
        <v/>
      </c>
      <c r="EN151" s="4827"/>
      <c r="EO151" s="4827"/>
      <c r="EP151" s="4827"/>
      <c r="EQ151" s="4827"/>
      <c r="ER151" s="4828"/>
    </row>
    <row r="152" spans="5:148" ht="17.100000000000001" customHeight="1" x14ac:dyDescent="0.3">
      <c r="E152" s="762"/>
      <c r="F152" s="1059"/>
      <c r="G152" s="1059"/>
      <c r="H152" s="1059"/>
      <c r="I152" s="4766"/>
      <c r="J152" s="4771"/>
      <c r="K152" s="4772"/>
      <c r="L152" s="4772"/>
      <c r="M152" s="4772"/>
      <c r="N152" s="4772"/>
      <c r="O152" s="4773"/>
      <c r="P152" s="4777"/>
      <c r="Q152" s="1059"/>
      <c r="R152" s="1059"/>
      <c r="S152" s="4766"/>
      <c r="T152" s="4771"/>
      <c r="U152" s="4772"/>
      <c r="V152" s="4772"/>
      <c r="W152" s="4772"/>
      <c r="X152" s="4772"/>
      <c r="Y152" s="4773"/>
      <c r="Z152" s="4777"/>
      <c r="AA152" s="1059"/>
      <c r="AB152" s="1059"/>
      <c r="AC152" s="4766"/>
      <c r="AD152" s="4771"/>
      <c r="AE152" s="4772"/>
      <c r="AF152" s="4772"/>
      <c r="AG152" s="4772"/>
      <c r="AH152" s="4772"/>
      <c r="AI152" s="4773"/>
      <c r="AJ152" s="4777"/>
      <c r="AK152" s="1059"/>
      <c r="AL152" s="1059"/>
      <c r="AM152" s="2285">
        <f>AN170</f>
        <v>0</v>
      </c>
      <c r="AN152" s="2276" t="s">
        <v>710</v>
      </c>
      <c r="AO152" s="1278"/>
      <c r="AP152" s="1059"/>
      <c r="AQ152" s="1059"/>
      <c r="AR152" s="4766"/>
      <c r="AS152" s="4771"/>
      <c r="AT152" s="4772"/>
      <c r="AU152" s="4772"/>
      <c r="AV152" s="4772"/>
      <c r="AW152" s="4772"/>
      <c r="AX152" s="4773"/>
      <c r="AY152" s="4777"/>
      <c r="AZ152" s="1059"/>
      <c r="BA152" s="1059"/>
      <c r="BB152" s="4766"/>
      <c r="BC152" s="4771"/>
      <c r="BD152" s="4772"/>
      <c r="BE152" s="4772"/>
      <c r="BF152" s="4772"/>
      <c r="BG152" s="4772"/>
      <c r="BH152" s="4773"/>
      <c r="BI152" s="4777"/>
      <c r="BJ152" s="1059"/>
      <c r="BK152" s="1059"/>
      <c r="BL152" s="4766"/>
      <c r="BM152" s="4771"/>
      <c r="BN152" s="4772"/>
      <c r="BO152" s="4772"/>
      <c r="BP152" s="4772"/>
      <c r="BQ152" s="4772"/>
      <c r="BR152" s="4773"/>
      <c r="BS152" s="4777"/>
      <c r="BT152" s="1059"/>
      <c r="BU152" s="1059"/>
      <c r="BV152" s="1059"/>
      <c r="BW152" s="764"/>
      <c r="BX152" s="822"/>
      <c r="BY152" s="822"/>
      <c r="BZ152" s="822"/>
      <c r="CA152" s="822"/>
      <c r="CB152" s="822"/>
      <c r="CC152" s="822"/>
      <c r="CD152" s="822"/>
      <c r="CE152" s="822"/>
      <c r="CF152" s="822"/>
      <c r="CG152" s="822"/>
      <c r="CH152" s="822"/>
      <c r="CI152" s="822"/>
      <c r="CJ152" s="4829"/>
      <c r="CK152" s="4830"/>
      <c r="CL152" s="4830"/>
      <c r="CM152" s="4830"/>
      <c r="CN152" s="4830"/>
      <c r="CO152" s="4831"/>
      <c r="CP152" s="822"/>
      <c r="CQ152" s="822"/>
      <c r="CR152" s="822"/>
      <c r="CS152" s="822"/>
      <c r="CT152" s="4829"/>
      <c r="CU152" s="4830"/>
      <c r="CV152" s="4830"/>
      <c r="CW152" s="4830"/>
      <c r="CX152" s="4830"/>
      <c r="CY152" s="4831"/>
      <c r="CZ152" s="822"/>
      <c r="DA152" s="822"/>
      <c r="DB152" s="822"/>
      <c r="DC152" s="822"/>
      <c r="DD152" s="4829"/>
      <c r="DE152" s="4830"/>
      <c r="DF152" s="4830"/>
      <c r="DG152" s="4830"/>
      <c r="DH152" s="4830"/>
      <c r="DI152" s="4831"/>
      <c r="DJ152" s="822"/>
      <c r="DK152" s="822"/>
      <c r="DL152" s="822"/>
      <c r="DM152" s="822"/>
      <c r="DN152" s="822"/>
      <c r="DO152" s="822"/>
      <c r="DP152" s="822"/>
      <c r="DQ152" s="822"/>
      <c r="DR152" s="822"/>
      <c r="DS152" s="4829"/>
      <c r="DT152" s="4830"/>
      <c r="DU152" s="4830"/>
      <c r="DV152" s="4830"/>
      <c r="DW152" s="4830"/>
      <c r="DX152" s="4831"/>
      <c r="DY152" s="822"/>
      <c r="DZ152" s="822"/>
      <c r="EA152" s="822"/>
      <c r="EB152" s="822"/>
      <c r="EC152" s="4829"/>
      <c r="ED152" s="4830"/>
      <c r="EE152" s="4830"/>
      <c r="EF152" s="4830"/>
      <c r="EG152" s="4830"/>
      <c r="EH152" s="4831"/>
      <c r="EI152" s="822"/>
      <c r="EJ152" s="822"/>
      <c r="EK152" s="822"/>
      <c r="EL152" s="822"/>
      <c r="EM152" s="4829"/>
      <c r="EN152" s="4830"/>
      <c r="EO152" s="4830"/>
      <c r="EP152" s="4830"/>
      <c r="EQ152" s="4830"/>
      <c r="ER152" s="4831"/>
    </row>
    <row r="153" spans="5:148" ht="17.100000000000001" customHeight="1" x14ac:dyDescent="0.3">
      <c r="E153" s="762"/>
      <c r="F153" s="1059"/>
      <c r="G153" s="1059"/>
      <c r="H153" s="1059"/>
      <c r="I153" s="4766"/>
      <c r="J153" s="4774"/>
      <c r="K153" s="4775"/>
      <c r="L153" s="4775"/>
      <c r="M153" s="4775"/>
      <c r="N153" s="4775"/>
      <c r="O153" s="4776"/>
      <c r="P153" s="4777"/>
      <c r="Q153" s="1059"/>
      <c r="R153" s="1059"/>
      <c r="S153" s="4766"/>
      <c r="T153" s="4774"/>
      <c r="U153" s="4775"/>
      <c r="V153" s="4775"/>
      <c r="W153" s="4775"/>
      <c r="X153" s="4775"/>
      <c r="Y153" s="4776"/>
      <c r="Z153" s="4777"/>
      <c r="AA153" s="1059"/>
      <c r="AB153" s="1059"/>
      <c r="AC153" s="4766"/>
      <c r="AD153" s="4774"/>
      <c r="AE153" s="4775"/>
      <c r="AF153" s="4775"/>
      <c r="AG153" s="4775"/>
      <c r="AH153" s="4775"/>
      <c r="AI153" s="4776"/>
      <c r="AJ153" s="4777"/>
      <c r="AK153" s="1059"/>
      <c r="AL153" s="1059"/>
      <c r="AM153" s="2285">
        <f>AN170</f>
        <v>0</v>
      </c>
      <c r="AN153" s="2277" t="s">
        <v>941</v>
      </c>
      <c r="AO153" s="1278"/>
      <c r="AP153" s="1059"/>
      <c r="AQ153" s="1059"/>
      <c r="AR153" s="4766"/>
      <c r="AS153" s="4774"/>
      <c r="AT153" s="4775"/>
      <c r="AU153" s="4775"/>
      <c r="AV153" s="4775"/>
      <c r="AW153" s="4775"/>
      <c r="AX153" s="4776"/>
      <c r="AY153" s="4777"/>
      <c r="AZ153" s="1059"/>
      <c r="BA153" s="1059"/>
      <c r="BB153" s="4766"/>
      <c r="BC153" s="4774"/>
      <c r="BD153" s="4775"/>
      <c r="BE153" s="4775"/>
      <c r="BF153" s="4775"/>
      <c r="BG153" s="4775"/>
      <c r="BH153" s="4776"/>
      <c r="BI153" s="4777"/>
      <c r="BJ153" s="1059"/>
      <c r="BK153" s="1059"/>
      <c r="BL153" s="4766"/>
      <c r="BM153" s="4774"/>
      <c r="BN153" s="4775"/>
      <c r="BO153" s="4775"/>
      <c r="BP153" s="4775"/>
      <c r="BQ153" s="4775"/>
      <c r="BR153" s="4776"/>
      <c r="BS153" s="4777"/>
      <c r="BT153" s="1059"/>
      <c r="BU153" s="1059"/>
      <c r="BV153" s="1059"/>
      <c r="BW153" s="764"/>
      <c r="BX153" s="822"/>
      <c r="BY153" s="822"/>
      <c r="BZ153" s="822"/>
      <c r="CA153" s="822"/>
      <c r="CB153" s="822"/>
      <c r="CC153" s="822"/>
      <c r="CD153" s="822"/>
      <c r="CE153" s="822"/>
      <c r="CF153" s="822"/>
      <c r="CG153" s="822"/>
      <c r="CH153" s="822"/>
      <c r="CI153" s="822"/>
      <c r="CJ153" s="4832"/>
      <c r="CK153" s="4833"/>
      <c r="CL153" s="4833"/>
      <c r="CM153" s="4833"/>
      <c r="CN153" s="4833"/>
      <c r="CO153" s="4834"/>
      <c r="CP153" s="822"/>
      <c r="CQ153" s="822"/>
      <c r="CR153" s="822"/>
      <c r="CS153" s="822"/>
      <c r="CT153" s="4832"/>
      <c r="CU153" s="4833"/>
      <c r="CV153" s="4833"/>
      <c r="CW153" s="4833"/>
      <c r="CX153" s="4833"/>
      <c r="CY153" s="4834"/>
      <c r="CZ153" s="822"/>
      <c r="DA153" s="822"/>
      <c r="DB153" s="822"/>
      <c r="DC153" s="822"/>
      <c r="DD153" s="4832"/>
      <c r="DE153" s="4833"/>
      <c r="DF153" s="4833"/>
      <c r="DG153" s="4833"/>
      <c r="DH153" s="4833"/>
      <c r="DI153" s="4834"/>
      <c r="DJ153" s="822"/>
      <c r="DK153" s="822"/>
      <c r="DL153" s="822"/>
      <c r="DM153" s="822"/>
      <c r="DN153" s="822"/>
      <c r="DO153" s="822"/>
      <c r="DP153" s="822"/>
      <c r="DQ153" s="822"/>
      <c r="DR153" s="822"/>
      <c r="DS153" s="4832"/>
      <c r="DT153" s="4833"/>
      <c r="DU153" s="4833"/>
      <c r="DV153" s="4833"/>
      <c r="DW153" s="4833"/>
      <c r="DX153" s="4834"/>
      <c r="DY153" s="822"/>
      <c r="DZ153" s="822"/>
      <c r="EA153" s="822"/>
      <c r="EB153" s="822"/>
      <c r="EC153" s="4832"/>
      <c r="ED153" s="4833"/>
      <c r="EE153" s="4833"/>
      <c r="EF153" s="4833"/>
      <c r="EG153" s="4833"/>
      <c r="EH153" s="4834"/>
      <c r="EI153" s="822"/>
      <c r="EJ153" s="822"/>
      <c r="EK153" s="822"/>
      <c r="EL153" s="822"/>
      <c r="EM153" s="4832"/>
      <c r="EN153" s="4833"/>
      <c r="EO153" s="4833"/>
      <c r="EP153" s="4833"/>
      <c r="EQ153" s="4833"/>
      <c r="ER153" s="4834"/>
    </row>
    <row r="154" spans="5:148" ht="17.100000000000001" customHeight="1" thickBot="1" x14ac:dyDescent="0.35">
      <c r="E154" s="762"/>
      <c r="F154" s="1059"/>
      <c r="G154" s="1059"/>
      <c r="H154" s="1059"/>
      <c r="I154" s="4767"/>
      <c r="J154" s="4789" t="s">
        <v>505</v>
      </c>
      <c r="K154" s="4789"/>
      <c r="L154" s="4789"/>
      <c r="M154" s="4789"/>
      <c r="N154" s="4789"/>
      <c r="O154" s="4789"/>
      <c r="P154" s="4778"/>
      <c r="Q154" s="1059"/>
      <c r="R154" s="1059"/>
      <c r="S154" s="4767"/>
      <c r="T154" s="4789" t="s">
        <v>505</v>
      </c>
      <c r="U154" s="4789"/>
      <c r="V154" s="4789"/>
      <c r="W154" s="4789"/>
      <c r="X154" s="4789"/>
      <c r="Y154" s="4789"/>
      <c r="Z154" s="4778"/>
      <c r="AA154" s="1059"/>
      <c r="AB154" s="1059"/>
      <c r="AC154" s="4767"/>
      <c r="AD154" s="4789" t="s">
        <v>505</v>
      </c>
      <c r="AE154" s="4789"/>
      <c r="AF154" s="4789"/>
      <c r="AG154" s="4789"/>
      <c r="AH154" s="4789"/>
      <c r="AI154" s="4789"/>
      <c r="AJ154" s="4778"/>
      <c r="AK154" s="1059"/>
      <c r="AL154" s="1059"/>
      <c r="AM154" s="2285">
        <f>AN170</f>
        <v>0</v>
      </c>
      <c r="AN154" s="2278" t="s">
        <v>144</v>
      </c>
      <c r="AO154" s="1278"/>
      <c r="AP154" s="1059"/>
      <c r="AQ154" s="1059"/>
      <c r="AR154" s="4767"/>
      <c r="AS154" s="4789" t="s">
        <v>505</v>
      </c>
      <c r="AT154" s="4789"/>
      <c r="AU154" s="4789"/>
      <c r="AV154" s="4789"/>
      <c r="AW154" s="4789"/>
      <c r="AX154" s="4789"/>
      <c r="AY154" s="4778"/>
      <c r="AZ154" s="1059"/>
      <c r="BA154" s="1059"/>
      <c r="BB154" s="4767"/>
      <c r="BC154" s="4789" t="s">
        <v>505</v>
      </c>
      <c r="BD154" s="4789"/>
      <c r="BE154" s="4789"/>
      <c r="BF154" s="4789"/>
      <c r="BG154" s="4789"/>
      <c r="BH154" s="4789"/>
      <c r="BI154" s="4778"/>
      <c r="BJ154" s="1059"/>
      <c r="BK154" s="1059"/>
      <c r="BL154" s="4767"/>
      <c r="BM154" s="4789" t="s">
        <v>505</v>
      </c>
      <c r="BN154" s="4789"/>
      <c r="BO154" s="4789"/>
      <c r="BP154" s="4789"/>
      <c r="BQ154" s="4789"/>
      <c r="BR154" s="4789"/>
      <c r="BS154" s="4778"/>
      <c r="BT154" s="1059"/>
      <c r="BU154" s="1059"/>
      <c r="BV154" s="1059"/>
      <c r="BW154" s="764"/>
      <c r="BX154" s="822"/>
      <c r="BY154" s="822"/>
      <c r="BZ154" s="822"/>
      <c r="CA154" s="822"/>
      <c r="CB154" s="822"/>
      <c r="CC154" s="822"/>
      <c r="CD154" s="822"/>
      <c r="CE154" s="822"/>
      <c r="CF154" s="822"/>
      <c r="CG154" s="822"/>
      <c r="CH154" s="822"/>
      <c r="CI154" s="822"/>
      <c r="CJ154" s="822"/>
      <c r="CK154" s="822"/>
      <c r="CL154" s="822"/>
      <c r="CM154" s="822"/>
      <c r="CN154" s="822"/>
      <c r="CO154" s="822"/>
      <c r="CP154" s="822"/>
      <c r="CQ154" s="822"/>
      <c r="CR154" s="822"/>
      <c r="CS154" s="822"/>
      <c r="CT154" s="822"/>
      <c r="CU154" s="822"/>
      <c r="CV154" s="822"/>
      <c r="CW154" s="822"/>
      <c r="CX154" s="822"/>
      <c r="CY154" s="822"/>
      <c r="CZ154" s="822"/>
      <c r="DA154" s="822"/>
      <c r="DB154" s="822"/>
      <c r="DC154" s="822"/>
      <c r="DD154" s="822"/>
      <c r="DE154" s="822"/>
      <c r="DF154" s="822"/>
      <c r="DG154" s="822"/>
      <c r="DH154" s="822"/>
      <c r="DI154" s="822"/>
      <c r="DJ154" s="822"/>
      <c r="DK154" s="822"/>
      <c r="DL154" s="822"/>
      <c r="DM154" s="822"/>
      <c r="DN154" s="822"/>
      <c r="DO154" s="822"/>
      <c r="DP154" s="822"/>
      <c r="DQ154" s="822"/>
      <c r="DR154" s="822"/>
      <c r="DS154" s="822"/>
      <c r="DT154" s="822"/>
      <c r="DU154" s="822"/>
      <c r="DV154" s="822"/>
      <c r="DW154" s="822"/>
      <c r="DX154" s="822"/>
      <c r="DY154" s="822"/>
      <c r="DZ154" s="822"/>
      <c r="EA154" s="822"/>
      <c r="EB154" s="822"/>
      <c r="EC154" s="822"/>
      <c r="ED154" s="822"/>
      <c r="EE154" s="822"/>
      <c r="EF154" s="822"/>
      <c r="EG154" s="822"/>
      <c r="EH154" s="822"/>
      <c r="EI154" s="822"/>
      <c r="EJ154" s="822"/>
      <c r="EK154" s="822"/>
      <c r="EL154" s="822"/>
      <c r="EM154" s="822"/>
      <c r="EN154" s="822"/>
      <c r="EO154" s="822"/>
      <c r="EP154" s="822"/>
      <c r="EQ154" s="822"/>
      <c r="ER154" s="822"/>
    </row>
    <row r="155" spans="5:148" ht="17.100000000000001" customHeight="1" thickTop="1" x14ac:dyDescent="0.3">
      <c r="E155" s="762"/>
      <c r="F155" s="1059"/>
      <c r="G155" s="1059"/>
      <c r="H155" s="1059"/>
      <c r="I155" s="1059"/>
      <c r="J155" s="1059"/>
      <c r="K155" s="1059"/>
      <c r="L155" s="1059"/>
      <c r="M155" s="1059"/>
      <c r="N155" s="1059"/>
      <c r="O155" s="1059"/>
      <c r="P155" s="1059"/>
      <c r="Q155" s="1059"/>
      <c r="R155" s="1059"/>
      <c r="S155" s="1059"/>
      <c r="T155" s="1059"/>
      <c r="U155" s="1059"/>
      <c r="V155" s="1059"/>
      <c r="W155" s="1059"/>
      <c r="X155" s="1059"/>
      <c r="Y155" s="1059"/>
      <c r="Z155" s="1059"/>
      <c r="AA155" s="1059"/>
      <c r="AB155" s="1059"/>
      <c r="AC155" s="1059"/>
      <c r="AD155" s="1059"/>
      <c r="AE155" s="1059"/>
      <c r="AF155" s="1059"/>
      <c r="AG155" s="1059"/>
      <c r="AH155" s="1059"/>
      <c r="AI155" s="1059"/>
      <c r="AJ155" s="1059"/>
      <c r="AK155" s="1059"/>
      <c r="AL155" s="1059"/>
      <c r="AM155" s="2285">
        <f>AN170</f>
        <v>0</v>
      </c>
      <c r="AN155" s="2279" t="s">
        <v>939</v>
      </c>
      <c r="AO155" s="1278"/>
      <c r="AP155" s="1059"/>
      <c r="AQ155" s="1059"/>
      <c r="AR155" s="1059"/>
      <c r="AS155" s="1059"/>
      <c r="AT155" s="1059"/>
      <c r="AU155" s="1059"/>
      <c r="AV155" s="1059"/>
      <c r="AW155" s="1059"/>
      <c r="AX155" s="1059"/>
      <c r="AY155" s="1059"/>
      <c r="AZ155" s="1059"/>
      <c r="BA155" s="1059"/>
      <c r="BB155" s="1059"/>
      <c r="BC155" s="1059"/>
      <c r="BD155" s="1059"/>
      <c r="BE155" s="1059"/>
      <c r="BF155" s="1059"/>
      <c r="BG155" s="1059"/>
      <c r="BH155" s="1059"/>
      <c r="BI155" s="1059"/>
      <c r="BJ155" s="1059"/>
      <c r="BK155" s="1059"/>
      <c r="BL155" s="1059"/>
      <c r="BM155" s="1059"/>
      <c r="BN155" s="1059"/>
      <c r="BO155" s="1059"/>
      <c r="BP155" s="1059"/>
      <c r="BQ155" s="1059"/>
      <c r="BR155" s="1059"/>
      <c r="BS155" s="1059"/>
      <c r="BT155" s="1059"/>
      <c r="BU155" s="1059"/>
      <c r="BV155" s="1059"/>
      <c r="BW155" s="764"/>
      <c r="BX155" s="822"/>
      <c r="BY155" s="822"/>
      <c r="BZ155" s="822"/>
      <c r="CA155" s="822"/>
      <c r="CB155" s="822"/>
      <c r="CC155" s="822"/>
      <c r="CD155" s="822"/>
      <c r="CE155" s="822"/>
      <c r="CF155" s="822"/>
      <c r="CG155" s="822"/>
      <c r="CH155" s="822"/>
      <c r="CI155" s="822"/>
      <c r="CJ155" s="822"/>
      <c r="CK155" s="822"/>
      <c r="CL155" s="822"/>
      <c r="CM155" s="822"/>
      <c r="CN155" s="822"/>
      <c r="CO155" s="822"/>
      <c r="CP155" s="822"/>
      <c r="CQ155" s="822"/>
      <c r="CR155" s="822"/>
      <c r="CS155" s="822"/>
      <c r="CT155" s="822"/>
      <c r="CU155" s="822"/>
      <c r="CV155" s="822"/>
      <c r="CW155" s="822"/>
      <c r="CX155" s="822"/>
      <c r="CY155" s="822"/>
      <c r="CZ155" s="822"/>
      <c r="DA155" s="822"/>
      <c r="DB155" s="822"/>
      <c r="DC155" s="822"/>
      <c r="DD155" s="822"/>
      <c r="DE155" s="822"/>
      <c r="DF155" s="822"/>
      <c r="DG155" s="822"/>
      <c r="DH155" s="822"/>
      <c r="DI155" s="822"/>
      <c r="DJ155" s="822"/>
      <c r="DK155" s="822"/>
      <c r="DL155" s="822"/>
      <c r="DM155" s="822"/>
      <c r="DN155" s="822"/>
      <c r="DO155" s="822"/>
      <c r="DP155" s="822"/>
      <c r="DQ155" s="822"/>
      <c r="DR155" s="822"/>
      <c r="DS155" s="822"/>
      <c r="DT155" s="822"/>
      <c r="DU155" s="822"/>
      <c r="DV155" s="822"/>
      <c r="DW155" s="822"/>
      <c r="DX155" s="822"/>
      <c r="DY155" s="822"/>
      <c r="DZ155" s="822"/>
      <c r="EA155" s="822"/>
      <c r="EB155" s="822"/>
      <c r="EC155" s="822"/>
      <c r="ED155" s="822"/>
      <c r="EE155" s="822"/>
      <c r="EF155" s="822"/>
      <c r="EG155" s="822"/>
      <c r="EH155" s="822"/>
      <c r="EI155" s="822"/>
      <c r="EJ155" s="822"/>
      <c r="EK155" s="822"/>
      <c r="EL155" s="822"/>
      <c r="EM155" s="822"/>
      <c r="EN155" s="822"/>
      <c r="EO155" s="822"/>
      <c r="EP155" s="822"/>
      <c r="EQ155" s="822"/>
      <c r="ER155" s="822"/>
    </row>
    <row r="156" spans="5:148" ht="17.100000000000001" customHeight="1" thickBot="1" x14ac:dyDescent="0.35">
      <c r="E156" s="762"/>
      <c r="F156" s="1059"/>
      <c r="G156" s="1059"/>
      <c r="H156" s="1059"/>
      <c r="I156" s="1059"/>
      <c r="J156" s="1059"/>
      <c r="K156" s="1059"/>
      <c r="L156" s="1059"/>
      <c r="M156" s="1059"/>
      <c r="N156" s="1059"/>
      <c r="O156" s="1059"/>
      <c r="P156" s="1059"/>
      <c r="Q156" s="1059"/>
      <c r="R156" s="1059"/>
      <c r="S156" s="1059"/>
      <c r="T156" s="1059"/>
      <c r="U156" s="1059"/>
      <c r="V156" s="1059"/>
      <c r="W156" s="1059"/>
      <c r="X156" s="1059"/>
      <c r="Y156" s="1059"/>
      <c r="Z156" s="1059"/>
      <c r="AA156" s="1059"/>
      <c r="AB156" s="1059"/>
      <c r="AC156" s="1059"/>
      <c r="AD156" s="1059"/>
      <c r="AE156" s="1059"/>
      <c r="AF156" s="1059"/>
      <c r="AG156" s="1059"/>
      <c r="AH156" s="1059"/>
      <c r="AI156" s="1059"/>
      <c r="AJ156" s="1059"/>
      <c r="AK156" s="1059"/>
      <c r="AL156" s="1059"/>
      <c r="AM156" s="2285">
        <f>AN170</f>
        <v>0</v>
      </c>
      <c r="AN156" s="2280" t="s">
        <v>942</v>
      </c>
      <c r="AO156" s="1278"/>
      <c r="AP156" s="1059"/>
      <c r="AQ156" s="1059"/>
      <c r="AR156" s="1059"/>
      <c r="AS156" s="1059"/>
      <c r="AT156" s="1059"/>
      <c r="AU156" s="1059"/>
      <c r="AV156" s="1059"/>
      <c r="AW156" s="1059"/>
      <c r="AX156" s="1059"/>
      <c r="AY156" s="1059"/>
      <c r="AZ156" s="1059"/>
      <c r="BA156" s="1059"/>
      <c r="BB156" s="1059"/>
      <c r="BC156" s="1059"/>
      <c r="BD156" s="1059"/>
      <c r="BE156" s="1059"/>
      <c r="BF156" s="1059"/>
      <c r="BG156" s="1059"/>
      <c r="BH156" s="1059"/>
      <c r="BI156" s="1059"/>
      <c r="BJ156" s="1059"/>
      <c r="BK156" s="1059"/>
      <c r="BL156" s="1059"/>
      <c r="BM156" s="1059"/>
      <c r="BN156" s="1059"/>
      <c r="BO156" s="1059"/>
      <c r="BP156" s="1059"/>
      <c r="BQ156" s="1059"/>
      <c r="BR156" s="1059"/>
      <c r="BS156" s="1059"/>
      <c r="BT156" s="1059"/>
      <c r="BU156" s="1059"/>
      <c r="BV156" s="1059"/>
      <c r="BW156" s="764"/>
      <c r="BX156" s="822"/>
      <c r="BY156" s="822"/>
      <c r="BZ156" s="822"/>
      <c r="CA156" s="822"/>
      <c r="CB156" s="822"/>
      <c r="CC156" s="822"/>
      <c r="CD156" s="822"/>
      <c r="CE156" s="822"/>
      <c r="CF156" s="822"/>
      <c r="CG156" s="822"/>
      <c r="CH156" s="822"/>
      <c r="CI156" s="822"/>
      <c r="CJ156" s="822"/>
      <c r="CK156" s="822"/>
      <c r="CL156" s="822"/>
      <c r="CM156" s="822"/>
      <c r="CN156" s="822"/>
      <c r="CO156" s="822"/>
      <c r="CP156" s="822"/>
      <c r="CQ156" s="822"/>
      <c r="CR156" s="822"/>
      <c r="CS156" s="822"/>
      <c r="CT156" s="822"/>
      <c r="CU156" s="822"/>
      <c r="CV156" s="822"/>
      <c r="CW156" s="822"/>
      <c r="CX156" s="822"/>
      <c r="CY156" s="822"/>
      <c r="CZ156" s="822"/>
      <c r="DA156" s="822"/>
      <c r="DB156" s="822"/>
      <c r="DC156" s="822"/>
      <c r="DD156" s="822"/>
      <c r="DE156" s="822"/>
      <c r="DF156" s="822"/>
      <c r="DG156" s="822"/>
      <c r="DH156" s="822"/>
      <c r="DI156" s="822"/>
      <c r="DJ156" s="822"/>
      <c r="DK156" s="822"/>
      <c r="DL156" s="822"/>
      <c r="DM156" s="822"/>
      <c r="DN156" s="822"/>
      <c r="DO156" s="822"/>
      <c r="DP156" s="822"/>
      <c r="DQ156" s="822"/>
      <c r="DR156" s="822"/>
      <c r="DS156" s="822"/>
      <c r="DT156" s="822"/>
      <c r="DU156" s="822"/>
      <c r="DV156" s="822"/>
      <c r="DW156" s="822"/>
      <c r="DX156" s="822"/>
      <c r="DY156" s="822"/>
      <c r="DZ156" s="822"/>
      <c r="EA156" s="822"/>
      <c r="EB156" s="822"/>
      <c r="EC156" s="822"/>
      <c r="ED156" s="822"/>
      <c r="EE156" s="822"/>
      <c r="EF156" s="822"/>
      <c r="EG156" s="822"/>
      <c r="EH156" s="822"/>
      <c r="EI156" s="822"/>
      <c r="EJ156" s="822"/>
      <c r="EK156" s="822"/>
      <c r="EL156" s="822"/>
      <c r="EM156" s="822"/>
      <c r="EN156" s="822"/>
      <c r="EO156" s="822"/>
      <c r="EP156" s="822"/>
      <c r="EQ156" s="822"/>
      <c r="ER156" s="822"/>
    </row>
    <row r="157" spans="5:148" ht="17.100000000000001" customHeight="1" thickTop="1" x14ac:dyDescent="0.3">
      <c r="E157" s="762"/>
      <c r="F157" s="1059"/>
      <c r="G157" s="1059"/>
      <c r="H157" s="1059"/>
      <c r="I157" s="4756" t="s">
        <v>72</v>
      </c>
      <c r="J157" s="4757"/>
      <c r="K157" s="4757"/>
      <c r="L157" s="4787" t="s">
        <v>941</v>
      </c>
      <c r="M157" s="4801"/>
      <c r="N157" s="4757" t="s">
        <v>72</v>
      </c>
      <c r="O157" s="4757"/>
      <c r="P157" s="4762"/>
      <c r="Q157" s="1059"/>
      <c r="R157" s="1059"/>
      <c r="S157" s="4756" t="s">
        <v>72</v>
      </c>
      <c r="T157" s="4757"/>
      <c r="U157" s="4757"/>
      <c r="V157" s="4783" t="s">
        <v>941</v>
      </c>
      <c r="W157" s="4799"/>
      <c r="X157" s="4757" t="s">
        <v>72</v>
      </c>
      <c r="Y157" s="4757"/>
      <c r="Z157" s="4762"/>
      <c r="AA157" s="1059"/>
      <c r="AB157" s="1059"/>
      <c r="AC157" s="4756" t="s">
        <v>72</v>
      </c>
      <c r="AD157" s="4757"/>
      <c r="AE157" s="4757"/>
      <c r="AF157" s="4785" t="s">
        <v>941</v>
      </c>
      <c r="AG157" s="4803"/>
      <c r="AH157" s="4757" t="s">
        <v>72</v>
      </c>
      <c r="AI157" s="4757"/>
      <c r="AJ157" s="4762"/>
      <c r="AK157" s="1059"/>
      <c r="AL157" s="1059"/>
      <c r="AM157" s="2285">
        <f>AN170</f>
        <v>0</v>
      </c>
      <c r="AN157" s="2281" t="s">
        <v>940</v>
      </c>
      <c r="AO157" s="1278"/>
      <c r="AP157" s="1059"/>
      <c r="AQ157" s="1059"/>
      <c r="AR157" s="4756" t="s">
        <v>72</v>
      </c>
      <c r="AS157" s="4757"/>
      <c r="AT157" s="4757"/>
      <c r="AU157" s="4785" t="s">
        <v>942</v>
      </c>
      <c r="AV157" s="4803"/>
      <c r="AW157" s="4757" t="s">
        <v>72</v>
      </c>
      <c r="AX157" s="4757"/>
      <c r="AY157" s="4762"/>
      <c r="AZ157" s="1059"/>
      <c r="BA157" s="1059"/>
      <c r="BB157" s="4756" t="s">
        <v>72</v>
      </c>
      <c r="BC157" s="4757"/>
      <c r="BD157" s="4757"/>
      <c r="BE157" s="4783" t="s">
        <v>942</v>
      </c>
      <c r="BF157" s="4799"/>
      <c r="BG157" s="4757" t="s">
        <v>72</v>
      </c>
      <c r="BH157" s="4757"/>
      <c r="BI157" s="4762"/>
      <c r="BJ157" s="1059"/>
      <c r="BK157" s="1059"/>
      <c r="BL157" s="4756" t="s">
        <v>72</v>
      </c>
      <c r="BM157" s="4757"/>
      <c r="BN157" s="4757"/>
      <c r="BO157" s="4787" t="s">
        <v>942</v>
      </c>
      <c r="BP157" s="4801"/>
      <c r="BQ157" s="4757" t="s">
        <v>72</v>
      </c>
      <c r="BR157" s="4757"/>
      <c r="BS157" s="4762"/>
      <c r="BT157" s="1059"/>
      <c r="BU157" s="1059"/>
      <c r="BV157" s="1059"/>
      <c r="BW157" s="764"/>
      <c r="BX157" s="822"/>
      <c r="BY157" s="822"/>
      <c r="BZ157" s="822"/>
      <c r="CA157" s="822"/>
      <c r="CB157" s="822"/>
      <c r="CC157" s="822"/>
      <c r="CD157" s="822"/>
      <c r="CE157" s="822"/>
      <c r="CF157" s="822"/>
      <c r="CG157" s="822"/>
      <c r="CH157" s="822"/>
      <c r="CI157" s="822"/>
      <c r="CJ157" s="822"/>
      <c r="CK157" s="822"/>
      <c r="CL157" s="822"/>
      <c r="CM157" s="822"/>
      <c r="CN157" s="822"/>
      <c r="CO157" s="822"/>
      <c r="CP157" s="822"/>
      <c r="CQ157" s="822"/>
      <c r="CR157" s="822"/>
      <c r="CS157" s="822"/>
      <c r="CT157" s="822"/>
      <c r="CU157" s="822"/>
      <c r="CV157" s="822"/>
      <c r="CW157" s="822"/>
      <c r="CX157" s="822"/>
      <c r="CY157" s="822"/>
      <c r="CZ157" s="822"/>
      <c r="DA157" s="822"/>
      <c r="DB157" s="822"/>
      <c r="DC157" s="822"/>
      <c r="DD157" s="822"/>
      <c r="DE157" s="822"/>
      <c r="DF157" s="822"/>
      <c r="DG157" s="822"/>
      <c r="DH157" s="822"/>
      <c r="DI157" s="822"/>
      <c r="DJ157" s="822"/>
      <c r="DK157" s="822"/>
      <c r="DL157" s="822"/>
      <c r="DM157" s="822"/>
      <c r="DN157" s="822"/>
      <c r="DO157" s="822"/>
      <c r="DP157" s="822"/>
      <c r="DQ157" s="822"/>
      <c r="DR157" s="822"/>
      <c r="DS157" s="822"/>
      <c r="DT157" s="822"/>
      <c r="DU157" s="822"/>
      <c r="DV157" s="822"/>
      <c r="DW157" s="822"/>
      <c r="DX157" s="822"/>
      <c r="DY157" s="822"/>
      <c r="DZ157" s="822"/>
      <c r="EA157" s="822"/>
      <c r="EB157" s="822"/>
      <c r="EC157" s="822"/>
      <c r="ED157" s="822"/>
      <c r="EE157" s="822"/>
      <c r="EF157" s="822"/>
      <c r="EG157" s="822"/>
      <c r="EH157" s="822"/>
      <c r="EI157" s="822"/>
      <c r="EJ157" s="822"/>
      <c r="EK157" s="822"/>
      <c r="EL157" s="822"/>
      <c r="EM157" s="822"/>
      <c r="EN157" s="822"/>
      <c r="EO157" s="822"/>
      <c r="EP157" s="822"/>
      <c r="EQ157" s="822"/>
      <c r="ER157" s="822"/>
    </row>
    <row r="158" spans="5:148" ht="17.100000000000001" customHeight="1" x14ac:dyDescent="0.3">
      <c r="E158" s="762"/>
      <c r="F158" s="1059"/>
      <c r="G158" s="1059"/>
      <c r="H158" s="1059"/>
      <c r="I158" s="4758"/>
      <c r="J158" s="4759"/>
      <c r="K158" s="4759"/>
      <c r="L158" s="4802"/>
      <c r="M158" s="4802"/>
      <c r="N158" s="4759"/>
      <c r="O158" s="4759"/>
      <c r="P158" s="4763"/>
      <c r="Q158" s="1059"/>
      <c r="R158" s="1059"/>
      <c r="S158" s="4758"/>
      <c r="T158" s="4759"/>
      <c r="U158" s="4759"/>
      <c r="V158" s="4800"/>
      <c r="W158" s="4800"/>
      <c r="X158" s="4759"/>
      <c r="Y158" s="4759"/>
      <c r="Z158" s="4763"/>
      <c r="AA158" s="1059"/>
      <c r="AB158" s="1059"/>
      <c r="AC158" s="4758"/>
      <c r="AD158" s="4759"/>
      <c r="AE158" s="4759"/>
      <c r="AF158" s="4804"/>
      <c r="AG158" s="4804"/>
      <c r="AH158" s="4759"/>
      <c r="AI158" s="4759"/>
      <c r="AJ158" s="4763"/>
      <c r="AK158" s="1059"/>
      <c r="AL158" s="1059"/>
      <c r="AM158" s="2285">
        <f>AN170</f>
        <v>0</v>
      </c>
      <c r="AN158" s="2282" t="s">
        <v>710</v>
      </c>
      <c r="AO158" s="1278"/>
      <c r="AP158" s="1059"/>
      <c r="AQ158" s="1059"/>
      <c r="AR158" s="4758"/>
      <c r="AS158" s="4759"/>
      <c r="AT158" s="4759"/>
      <c r="AU158" s="4804"/>
      <c r="AV158" s="4804"/>
      <c r="AW158" s="4759"/>
      <c r="AX158" s="4759"/>
      <c r="AY158" s="4763"/>
      <c r="AZ158" s="1059"/>
      <c r="BA158" s="1059"/>
      <c r="BB158" s="4758"/>
      <c r="BC158" s="4759"/>
      <c r="BD158" s="4759"/>
      <c r="BE158" s="4800"/>
      <c r="BF158" s="4800"/>
      <c r="BG158" s="4759"/>
      <c r="BH158" s="4759"/>
      <c r="BI158" s="4763"/>
      <c r="BJ158" s="1059"/>
      <c r="BK158" s="1059"/>
      <c r="BL158" s="4758"/>
      <c r="BM158" s="4759"/>
      <c r="BN158" s="4759"/>
      <c r="BO158" s="4802"/>
      <c r="BP158" s="4802"/>
      <c r="BQ158" s="4759"/>
      <c r="BR158" s="4759"/>
      <c r="BS158" s="4763"/>
      <c r="BT158" s="1059"/>
      <c r="BU158" s="1059"/>
      <c r="BV158" s="1059"/>
      <c r="BW158" s="764"/>
      <c r="CJ158" s="822"/>
      <c r="CK158" s="822"/>
      <c r="CL158" s="822"/>
      <c r="CM158" s="822"/>
      <c r="CN158" s="822"/>
      <c r="CO158" s="822"/>
      <c r="CP158" s="822"/>
      <c r="CQ158" s="822"/>
      <c r="CR158" s="822"/>
      <c r="CS158" s="822"/>
      <c r="CT158" s="822"/>
      <c r="CU158" s="822"/>
      <c r="CV158" s="822"/>
      <c r="CW158" s="822"/>
      <c r="CX158" s="822"/>
      <c r="CY158" s="822"/>
      <c r="CZ158" s="822"/>
      <c r="DA158" s="822"/>
      <c r="DB158" s="822"/>
      <c r="DC158" s="822"/>
      <c r="DD158" s="822"/>
      <c r="DE158" s="822"/>
      <c r="DF158" s="822"/>
      <c r="DG158" s="822"/>
      <c r="DH158" s="822"/>
      <c r="DI158" s="822"/>
      <c r="DJ158" s="822"/>
      <c r="DK158" s="822"/>
      <c r="DL158" s="822"/>
      <c r="DM158" s="822"/>
      <c r="DN158" s="822"/>
      <c r="DO158" s="822"/>
      <c r="DP158" s="822"/>
      <c r="DQ158" s="822"/>
      <c r="DR158" s="822"/>
      <c r="DS158" s="822"/>
      <c r="DT158" s="822"/>
      <c r="DU158" s="822"/>
      <c r="DV158" s="822"/>
      <c r="DW158" s="822"/>
      <c r="DX158" s="822"/>
      <c r="DY158" s="822"/>
      <c r="DZ158" s="822"/>
      <c r="EA158" s="822"/>
      <c r="EB158" s="822"/>
      <c r="EC158" s="822"/>
      <c r="ED158" s="822"/>
      <c r="EE158" s="822"/>
      <c r="EF158" s="822"/>
      <c r="EG158" s="822"/>
      <c r="EH158" s="822"/>
      <c r="EI158" s="822"/>
      <c r="EJ158" s="822"/>
      <c r="EK158" s="822"/>
      <c r="EL158" s="822"/>
      <c r="EM158" s="822"/>
      <c r="EN158" s="822"/>
      <c r="EO158" s="822"/>
      <c r="EP158" s="822"/>
      <c r="EQ158" s="822"/>
      <c r="ER158" s="822"/>
    </row>
    <row r="159" spans="5:148" ht="17.100000000000001" customHeight="1" x14ac:dyDescent="0.3">
      <c r="E159" s="762"/>
      <c r="F159" s="1059"/>
      <c r="G159" s="1059"/>
      <c r="H159" s="1059"/>
      <c r="I159" s="4766"/>
      <c r="J159" s="4768"/>
      <c r="K159" s="4769"/>
      <c r="L159" s="4769"/>
      <c r="M159" s="4769"/>
      <c r="N159" s="4769"/>
      <c r="O159" s="4770"/>
      <c r="P159" s="4777"/>
      <c r="Q159" s="1059"/>
      <c r="R159" s="1059"/>
      <c r="S159" s="4766"/>
      <c r="T159" s="4768"/>
      <c r="U159" s="4769"/>
      <c r="V159" s="4769"/>
      <c r="W159" s="4769"/>
      <c r="X159" s="4769"/>
      <c r="Y159" s="4770"/>
      <c r="Z159" s="4777"/>
      <c r="AA159" s="1059"/>
      <c r="AB159" s="1059"/>
      <c r="AC159" s="4766"/>
      <c r="AD159" s="4768"/>
      <c r="AE159" s="4769"/>
      <c r="AF159" s="4769"/>
      <c r="AG159" s="4769"/>
      <c r="AH159" s="4769"/>
      <c r="AI159" s="4770"/>
      <c r="AJ159" s="4777"/>
      <c r="AK159" s="1059"/>
      <c r="AL159" s="1059"/>
      <c r="AM159" s="2285">
        <f>AN170</f>
        <v>0</v>
      </c>
      <c r="AN159" s="2283" t="s">
        <v>941</v>
      </c>
      <c r="AO159" s="1278"/>
      <c r="AP159" s="1059"/>
      <c r="AQ159" s="1059"/>
      <c r="AR159" s="4766"/>
      <c r="AS159" s="4768"/>
      <c r="AT159" s="4769"/>
      <c r="AU159" s="4769"/>
      <c r="AV159" s="4769"/>
      <c r="AW159" s="4769"/>
      <c r="AX159" s="4770"/>
      <c r="AY159" s="4777"/>
      <c r="AZ159" s="1059"/>
      <c r="BA159" s="1059"/>
      <c r="BB159" s="4766"/>
      <c r="BC159" s="4768"/>
      <c r="BD159" s="4769"/>
      <c r="BE159" s="4769"/>
      <c r="BF159" s="4769"/>
      <c r="BG159" s="4769"/>
      <c r="BH159" s="4770"/>
      <c r="BI159" s="4777"/>
      <c r="BJ159" s="1059"/>
      <c r="BK159" s="1059"/>
      <c r="BL159" s="4766"/>
      <c r="BM159" s="4768"/>
      <c r="BN159" s="4769"/>
      <c r="BO159" s="4769"/>
      <c r="BP159" s="4769"/>
      <c r="BQ159" s="4769"/>
      <c r="BR159" s="4770"/>
      <c r="BS159" s="4777"/>
      <c r="BT159" s="1059"/>
      <c r="BU159" s="1059"/>
      <c r="BV159" s="1059"/>
      <c r="BW159" s="764"/>
      <c r="BX159" s="822"/>
      <c r="BY159" s="822"/>
      <c r="BZ159" s="822"/>
      <c r="CA159" s="822"/>
      <c r="CB159" s="822"/>
      <c r="CC159" s="822"/>
      <c r="CD159" s="822"/>
      <c r="CE159" s="822"/>
      <c r="CF159" s="822"/>
      <c r="CG159" s="822"/>
      <c r="CH159" s="822"/>
      <c r="CI159" s="822"/>
      <c r="CJ159" s="4826" t="str">
        <f>IF(J159=0,"",J159)</f>
        <v/>
      </c>
      <c r="CK159" s="4827"/>
      <c r="CL159" s="4827"/>
      <c r="CM159" s="4827"/>
      <c r="CN159" s="4827"/>
      <c r="CO159" s="4828"/>
      <c r="CP159" s="822"/>
      <c r="CQ159" s="822"/>
      <c r="CR159" s="822"/>
      <c r="CS159" s="822"/>
      <c r="CT159" s="4826" t="str">
        <f>IF(T159=0,"",T159)</f>
        <v/>
      </c>
      <c r="CU159" s="4827"/>
      <c r="CV159" s="4827"/>
      <c r="CW159" s="4827"/>
      <c r="CX159" s="4827"/>
      <c r="CY159" s="4828"/>
      <c r="CZ159" s="822"/>
      <c r="DA159" s="822"/>
      <c r="DB159" s="822"/>
      <c r="DC159" s="822"/>
      <c r="DD159" s="4826" t="str">
        <f>IF(AD159=0,"",AD159)</f>
        <v/>
      </c>
      <c r="DE159" s="4827"/>
      <c r="DF159" s="4827"/>
      <c r="DG159" s="4827"/>
      <c r="DH159" s="4827"/>
      <c r="DI159" s="4828"/>
      <c r="DJ159" s="822"/>
      <c r="DK159" s="822"/>
      <c r="DL159" s="822"/>
      <c r="DM159" s="822"/>
      <c r="DN159" s="822"/>
      <c r="DO159" s="822"/>
      <c r="DP159" s="822"/>
      <c r="DQ159" s="822"/>
      <c r="DR159" s="822"/>
      <c r="DS159" s="4826" t="str">
        <f>IF(AS159=0,"",AS159)</f>
        <v/>
      </c>
      <c r="DT159" s="4827"/>
      <c r="DU159" s="4827"/>
      <c r="DV159" s="4827"/>
      <c r="DW159" s="4827"/>
      <c r="DX159" s="4828"/>
      <c r="DY159" s="822"/>
      <c r="DZ159" s="822"/>
      <c r="EA159" s="822"/>
      <c r="EB159" s="822"/>
      <c r="EC159" s="4826" t="str">
        <f>IF(BC159=0,"",BC159)</f>
        <v/>
      </c>
      <c r="ED159" s="4827"/>
      <c r="EE159" s="4827"/>
      <c r="EF159" s="4827"/>
      <c r="EG159" s="4827"/>
      <c r="EH159" s="4828"/>
      <c r="EI159" s="822"/>
      <c r="EJ159" s="822"/>
      <c r="EK159" s="822"/>
      <c r="EL159" s="822"/>
      <c r="EM159" s="4826" t="str">
        <f>IF(BM159=0,"",BM159)</f>
        <v/>
      </c>
      <c r="EN159" s="4827"/>
      <c r="EO159" s="4827"/>
      <c r="EP159" s="4827"/>
      <c r="EQ159" s="4827"/>
      <c r="ER159" s="4828"/>
    </row>
    <row r="160" spans="5:148" ht="17.100000000000001" customHeight="1" x14ac:dyDescent="0.3">
      <c r="E160" s="762"/>
      <c r="F160" s="1059"/>
      <c r="G160" s="1059"/>
      <c r="H160" s="1059"/>
      <c r="I160" s="4766"/>
      <c r="J160" s="4771"/>
      <c r="K160" s="4772"/>
      <c r="L160" s="4772"/>
      <c r="M160" s="4772"/>
      <c r="N160" s="4772"/>
      <c r="O160" s="4773"/>
      <c r="P160" s="4777"/>
      <c r="Q160" s="1059"/>
      <c r="R160" s="1059"/>
      <c r="S160" s="4766"/>
      <c r="T160" s="4771"/>
      <c r="U160" s="4772"/>
      <c r="V160" s="4772"/>
      <c r="W160" s="4772"/>
      <c r="X160" s="4772"/>
      <c r="Y160" s="4773"/>
      <c r="Z160" s="4777"/>
      <c r="AA160" s="1059"/>
      <c r="AB160" s="1059"/>
      <c r="AC160" s="4766"/>
      <c r="AD160" s="4771"/>
      <c r="AE160" s="4772"/>
      <c r="AF160" s="4772"/>
      <c r="AG160" s="4772"/>
      <c r="AH160" s="4772"/>
      <c r="AI160" s="4773"/>
      <c r="AJ160" s="4777"/>
      <c r="AK160" s="1059"/>
      <c r="AL160" s="1059"/>
      <c r="AM160" s="2285">
        <f>AN170</f>
        <v>0</v>
      </c>
      <c r="AN160" s="2284" t="s">
        <v>144</v>
      </c>
      <c r="AO160" s="1278"/>
      <c r="AP160" s="1059"/>
      <c r="AQ160" s="1059"/>
      <c r="AR160" s="4766"/>
      <c r="AS160" s="4771"/>
      <c r="AT160" s="4772"/>
      <c r="AU160" s="4772"/>
      <c r="AV160" s="4772"/>
      <c r="AW160" s="4772"/>
      <c r="AX160" s="4773"/>
      <c r="AY160" s="4777"/>
      <c r="AZ160" s="1059"/>
      <c r="BA160" s="1059"/>
      <c r="BB160" s="4766"/>
      <c r="BC160" s="4771"/>
      <c r="BD160" s="4772"/>
      <c r="BE160" s="4772"/>
      <c r="BF160" s="4772"/>
      <c r="BG160" s="4772"/>
      <c r="BH160" s="4773"/>
      <c r="BI160" s="4777"/>
      <c r="BJ160" s="1059"/>
      <c r="BK160" s="1059"/>
      <c r="BL160" s="4766"/>
      <c r="BM160" s="4771"/>
      <c r="BN160" s="4772"/>
      <c r="BO160" s="4772"/>
      <c r="BP160" s="4772"/>
      <c r="BQ160" s="4772"/>
      <c r="BR160" s="4773"/>
      <c r="BS160" s="4777"/>
      <c r="BT160" s="1059"/>
      <c r="BU160" s="1059"/>
      <c r="BV160" s="1059"/>
      <c r="BW160" s="764"/>
      <c r="BX160" s="822"/>
      <c r="BY160" s="822"/>
      <c r="BZ160" s="822"/>
      <c r="CA160" s="822"/>
      <c r="CB160" s="822"/>
      <c r="CC160" s="822"/>
      <c r="CD160" s="822"/>
      <c r="CE160" s="822"/>
      <c r="CF160" s="822"/>
      <c r="CG160" s="822"/>
      <c r="CH160" s="822"/>
      <c r="CI160" s="822"/>
      <c r="CJ160" s="4829"/>
      <c r="CK160" s="4830"/>
      <c r="CL160" s="4830"/>
      <c r="CM160" s="4830"/>
      <c r="CN160" s="4830"/>
      <c r="CO160" s="4831"/>
      <c r="CP160" s="822"/>
      <c r="CQ160" s="822"/>
      <c r="CR160" s="822"/>
      <c r="CS160" s="822"/>
      <c r="CT160" s="4829"/>
      <c r="CU160" s="4830"/>
      <c r="CV160" s="4830"/>
      <c r="CW160" s="4830"/>
      <c r="CX160" s="4830"/>
      <c r="CY160" s="4831"/>
      <c r="CZ160" s="822"/>
      <c r="DA160" s="822"/>
      <c r="DB160" s="822"/>
      <c r="DC160" s="822"/>
      <c r="DD160" s="4829"/>
      <c r="DE160" s="4830"/>
      <c r="DF160" s="4830"/>
      <c r="DG160" s="4830"/>
      <c r="DH160" s="4830"/>
      <c r="DI160" s="4831"/>
      <c r="DJ160" s="822"/>
      <c r="DK160" s="822"/>
      <c r="DL160" s="822"/>
      <c r="DM160" s="822"/>
      <c r="DN160" s="822"/>
      <c r="DO160" s="822"/>
      <c r="DP160" s="822"/>
      <c r="DQ160" s="822"/>
      <c r="DR160" s="822"/>
      <c r="DS160" s="4829"/>
      <c r="DT160" s="4830"/>
      <c r="DU160" s="4830"/>
      <c r="DV160" s="4830"/>
      <c r="DW160" s="4830"/>
      <c r="DX160" s="4831"/>
      <c r="DY160" s="822"/>
      <c r="DZ160" s="822"/>
      <c r="EA160" s="822"/>
      <c r="EB160" s="822"/>
      <c r="EC160" s="4829"/>
      <c r="ED160" s="4830"/>
      <c r="EE160" s="4830"/>
      <c r="EF160" s="4830"/>
      <c r="EG160" s="4830"/>
      <c r="EH160" s="4831"/>
      <c r="EI160" s="822"/>
      <c r="EJ160" s="822"/>
      <c r="EK160" s="822"/>
      <c r="EL160" s="822"/>
      <c r="EM160" s="4829"/>
      <c r="EN160" s="4830"/>
      <c r="EO160" s="4830"/>
      <c r="EP160" s="4830"/>
      <c r="EQ160" s="4830"/>
      <c r="ER160" s="4831"/>
    </row>
    <row r="161" spans="3:148" ht="17.100000000000001" customHeight="1" x14ac:dyDescent="0.3">
      <c r="C161" s="1436"/>
      <c r="E161" s="762"/>
      <c r="F161" s="1059"/>
      <c r="G161" s="1059"/>
      <c r="H161" s="1059"/>
      <c r="I161" s="4766"/>
      <c r="J161" s="4774"/>
      <c r="K161" s="4775"/>
      <c r="L161" s="4775"/>
      <c r="M161" s="4775"/>
      <c r="N161" s="4775"/>
      <c r="O161" s="4776"/>
      <c r="P161" s="4777"/>
      <c r="Q161" s="1059"/>
      <c r="R161" s="1059"/>
      <c r="S161" s="4766"/>
      <c r="T161" s="4774"/>
      <c r="U161" s="4775"/>
      <c r="V161" s="4775"/>
      <c r="W161" s="4775"/>
      <c r="X161" s="4775"/>
      <c r="Y161" s="4776"/>
      <c r="Z161" s="4777"/>
      <c r="AA161" s="1059"/>
      <c r="AB161" s="1059"/>
      <c r="AC161" s="4766"/>
      <c r="AD161" s="4774"/>
      <c r="AE161" s="4775"/>
      <c r="AF161" s="4775"/>
      <c r="AG161" s="4775"/>
      <c r="AH161" s="4775"/>
      <c r="AI161" s="4776"/>
      <c r="AJ161" s="4777"/>
      <c r="AK161" s="1059"/>
      <c r="AL161" s="1059"/>
      <c r="AM161" s="2285">
        <f>AN170</f>
        <v>0</v>
      </c>
      <c r="AN161" s="2276" t="s">
        <v>939</v>
      </c>
      <c r="AO161" s="1278"/>
      <c r="AP161" s="1059"/>
      <c r="AQ161" s="1059"/>
      <c r="AR161" s="4766"/>
      <c r="AS161" s="4774"/>
      <c r="AT161" s="4775"/>
      <c r="AU161" s="4775"/>
      <c r="AV161" s="4775"/>
      <c r="AW161" s="4775"/>
      <c r="AX161" s="4776"/>
      <c r="AY161" s="4777"/>
      <c r="AZ161" s="1059"/>
      <c r="BA161" s="1059"/>
      <c r="BB161" s="4766"/>
      <c r="BC161" s="4774"/>
      <c r="BD161" s="4775"/>
      <c r="BE161" s="4775"/>
      <c r="BF161" s="4775"/>
      <c r="BG161" s="4775"/>
      <c r="BH161" s="4776"/>
      <c r="BI161" s="4777"/>
      <c r="BJ161" s="1059"/>
      <c r="BK161" s="1059"/>
      <c r="BL161" s="4766"/>
      <c r="BM161" s="4774"/>
      <c r="BN161" s="4775"/>
      <c r="BO161" s="4775"/>
      <c r="BP161" s="4775"/>
      <c r="BQ161" s="4775"/>
      <c r="BR161" s="4776"/>
      <c r="BS161" s="4777"/>
      <c r="BT161" s="1059"/>
      <c r="BU161" s="1059"/>
      <c r="BV161" s="1059"/>
      <c r="BW161" s="764"/>
      <c r="BX161" s="822"/>
      <c r="BY161" s="822"/>
      <c r="BZ161" s="822"/>
      <c r="CA161" s="822"/>
      <c r="CB161" s="822"/>
      <c r="CC161" s="822"/>
      <c r="CD161" s="822"/>
      <c r="CE161" s="822"/>
      <c r="CF161" s="822"/>
      <c r="CG161" s="822"/>
      <c r="CH161" s="822"/>
      <c r="CI161" s="822"/>
      <c r="CJ161" s="4832"/>
      <c r="CK161" s="4833"/>
      <c r="CL161" s="4833"/>
      <c r="CM161" s="4833"/>
      <c r="CN161" s="4833"/>
      <c r="CO161" s="4834"/>
      <c r="CP161" s="822"/>
      <c r="CQ161" s="822"/>
      <c r="CR161" s="822"/>
      <c r="CS161" s="822"/>
      <c r="CT161" s="4832"/>
      <c r="CU161" s="4833"/>
      <c r="CV161" s="4833"/>
      <c r="CW161" s="4833"/>
      <c r="CX161" s="4833"/>
      <c r="CY161" s="4834"/>
      <c r="CZ161" s="822"/>
      <c r="DA161" s="822"/>
      <c r="DB161" s="822"/>
      <c r="DC161" s="822"/>
      <c r="DD161" s="4832"/>
      <c r="DE161" s="4833"/>
      <c r="DF161" s="4833"/>
      <c r="DG161" s="4833"/>
      <c r="DH161" s="4833"/>
      <c r="DI161" s="4834"/>
      <c r="DJ161" s="822"/>
      <c r="DK161" s="822"/>
      <c r="DL161" s="822"/>
      <c r="DM161" s="822"/>
      <c r="DN161" s="822"/>
      <c r="DO161" s="822"/>
      <c r="DP161" s="822"/>
      <c r="DQ161" s="822"/>
      <c r="DR161" s="822"/>
      <c r="DS161" s="4832"/>
      <c r="DT161" s="4833"/>
      <c r="DU161" s="4833"/>
      <c r="DV161" s="4833"/>
      <c r="DW161" s="4833"/>
      <c r="DX161" s="4834"/>
      <c r="DY161" s="822"/>
      <c r="DZ161" s="822"/>
      <c r="EA161" s="822"/>
      <c r="EB161" s="822"/>
      <c r="EC161" s="4832"/>
      <c r="ED161" s="4833"/>
      <c r="EE161" s="4833"/>
      <c r="EF161" s="4833"/>
      <c r="EG161" s="4833"/>
      <c r="EH161" s="4834"/>
      <c r="EI161" s="822"/>
      <c r="EJ161" s="822"/>
      <c r="EK161" s="822"/>
      <c r="EL161" s="822"/>
      <c r="EM161" s="4832"/>
      <c r="EN161" s="4833"/>
      <c r="EO161" s="4833"/>
      <c r="EP161" s="4833"/>
      <c r="EQ161" s="4833"/>
      <c r="ER161" s="4834"/>
    </row>
    <row r="162" spans="3:148" ht="17.100000000000001" customHeight="1" thickBot="1" x14ac:dyDescent="0.35">
      <c r="C162" s="1436"/>
      <c r="E162" s="762"/>
      <c r="F162" s="1059"/>
      <c r="G162" s="1059"/>
      <c r="H162" s="1059"/>
      <c r="I162" s="4767"/>
      <c r="J162" s="4789" t="s">
        <v>505</v>
      </c>
      <c r="K162" s="4789"/>
      <c r="L162" s="4789"/>
      <c r="M162" s="4789"/>
      <c r="N162" s="4789"/>
      <c r="O162" s="4789"/>
      <c r="P162" s="4778"/>
      <c r="Q162" s="1059"/>
      <c r="R162" s="1059"/>
      <c r="S162" s="4767"/>
      <c r="T162" s="4789" t="s">
        <v>505</v>
      </c>
      <c r="U162" s="4789"/>
      <c r="V162" s="4789"/>
      <c r="W162" s="4789"/>
      <c r="X162" s="4789"/>
      <c r="Y162" s="4789"/>
      <c r="Z162" s="4778"/>
      <c r="AA162" s="1059"/>
      <c r="AB162" s="1059"/>
      <c r="AC162" s="4767"/>
      <c r="AD162" s="4789" t="s">
        <v>505</v>
      </c>
      <c r="AE162" s="4789"/>
      <c r="AF162" s="4789"/>
      <c r="AG162" s="4789"/>
      <c r="AH162" s="4789"/>
      <c r="AI162" s="4789"/>
      <c r="AJ162" s="4778"/>
      <c r="AK162" s="1059"/>
      <c r="AL162" s="1059"/>
      <c r="AM162" s="2285">
        <f>AN170</f>
        <v>0</v>
      </c>
      <c r="AN162" s="2277" t="s">
        <v>942</v>
      </c>
      <c r="AO162" s="1278"/>
      <c r="AP162" s="1059"/>
      <c r="AQ162" s="1059"/>
      <c r="AR162" s="4767"/>
      <c r="AS162" s="4789" t="s">
        <v>505</v>
      </c>
      <c r="AT162" s="4789"/>
      <c r="AU162" s="4789"/>
      <c r="AV162" s="4789"/>
      <c r="AW162" s="4789"/>
      <c r="AX162" s="4789"/>
      <c r="AY162" s="4778"/>
      <c r="AZ162" s="1059"/>
      <c r="BA162" s="1059"/>
      <c r="BB162" s="4767"/>
      <c r="BC162" s="4789" t="s">
        <v>505</v>
      </c>
      <c r="BD162" s="4789"/>
      <c r="BE162" s="4789"/>
      <c r="BF162" s="4789"/>
      <c r="BG162" s="4789"/>
      <c r="BH162" s="4789"/>
      <c r="BI162" s="4778"/>
      <c r="BJ162" s="1059"/>
      <c r="BK162" s="1059"/>
      <c r="BL162" s="4767"/>
      <c r="BM162" s="4789" t="s">
        <v>505</v>
      </c>
      <c r="BN162" s="4789"/>
      <c r="BO162" s="4789"/>
      <c r="BP162" s="4789"/>
      <c r="BQ162" s="4789"/>
      <c r="BR162" s="4789"/>
      <c r="BS162" s="4778"/>
      <c r="BT162" s="1059"/>
      <c r="BU162" s="1059"/>
      <c r="BV162" s="1059"/>
      <c r="BW162" s="764"/>
      <c r="BX162" s="822"/>
      <c r="BY162" s="822"/>
      <c r="BZ162" s="822"/>
      <c r="CA162" s="822"/>
      <c r="CB162" s="822"/>
      <c r="CC162" s="822"/>
      <c r="CD162" s="822"/>
      <c r="CE162" s="822"/>
      <c r="CF162" s="822"/>
      <c r="CG162" s="822"/>
      <c r="CH162" s="822"/>
      <c r="CI162" s="822"/>
      <c r="CQ162" s="822"/>
      <c r="CR162" s="822"/>
      <c r="CS162" s="822"/>
      <c r="CT162" s="822"/>
      <c r="CU162" s="822"/>
      <c r="CV162" s="822"/>
      <c r="CW162" s="822"/>
      <c r="CX162" s="822"/>
      <c r="CY162" s="822"/>
      <c r="CZ162" s="822"/>
      <c r="DA162" s="822"/>
      <c r="DB162" s="822"/>
      <c r="DC162" s="822"/>
      <c r="DD162" s="822"/>
      <c r="DE162" s="822"/>
      <c r="DF162" s="822"/>
      <c r="DG162" s="822"/>
      <c r="DH162" s="822"/>
      <c r="DI162" s="822"/>
      <c r="DJ162" s="822"/>
      <c r="DK162" s="822"/>
      <c r="DL162" s="822"/>
      <c r="DM162" s="822"/>
      <c r="DN162" s="822"/>
      <c r="DO162" s="822"/>
      <c r="DP162" s="822"/>
      <c r="DQ162" s="822"/>
      <c r="DR162" s="822"/>
      <c r="DZ162" s="822"/>
      <c r="EA162" s="822"/>
      <c r="EB162" s="822"/>
      <c r="EC162" s="822"/>
      <c r="ED162" s="822"/>
      <c r="EE162" s="822"/>
      <c r="EF162" s="822"/>
      <c r="EG162" s="822"/>
      <c r="EH162" s="822"/>
      <c r="EI162" s="822"/>
      <c r="EJ162" s="822"/>
      <c r="EK162" s="822"/>
      <c r="EL162" s="822"/>
      <c r="EM162" s="822"/>
      <c r="EN162" s="822"/>
      <c r="EO162" s="822"/>
      <c r="EP162" s="822"/>
      <c r="EQ162" s="822"/>
      <c r="ER162" s="822"/>
    </row>
    <row r="163" spans="3:148" ht="17.100000000000001" customHeight="1" thickTop="1" x14ac:dyDescent="0.3">
      <c r="C163" s="1436"/>
      <c r="E163" s="762"/>
      <c r="F163" s="1059"/>
      <c r="G163" s="1059"/>
      <c r="H163" s="1059"/>
      <c r="I163" s="1059"/>
      <c r="J163" s="1059"/>
      <c r="K163" s="1059"/>
      <c r="L163" s="1059"/>
      <c r="M163" s="1059"/>
      <c r="N163" s="1059"/>
      <c r="O163" s="1059"/>
      <c r="P163" s="1059"/>
      <c r="Q163" s="1059"/>
      <c r="R163" s="1059"/>
      <c r="S163" s="1059"/>
      <c r="T163" s="1059"/>
      <c r="U163" s="1059"/>
      <c r="V163" s="1059"/>
      <c r="W163" s="1059"/>
      <c r="X163" s="1059"/>
      <c r="Y163" s="1059"/>
      <c r="Z163" s="1059"/>
      <c r="AA163" s="1059"/>
      <c r="AB163" s="1059"/>
      <c r="AC163" s="1059"/>
      <c r="AD163" s="1059"/>
      <c r="AE163" s="1059"/>
      <c r="AF163" s="1059"/>
      <c r="AG163" s="1059"/>
      <c r="AH163" s="1059"/>
      <c r="AI163" s="1059"/>
      <c r="AJ163" s="1059"/>
      <c r="AK163" s="1059"/>
      <c r="AL163" s="1059"/>
      <c r="AM163" s="2285">
        <f>AN170</f>
        <v>0</v>
      </c>
      <c r="AN163" s="2278" t="s">
        <v>940</v>
      </c>
      <c r="AO163" s="1278"/>
      <c r="AP163" s="1059"/>
      <c r="AQ163" s="1059"/>
      <c r="AR163" s="1059"/>
      <c r="AS163" s="1059"/>
      <c r="AT163" s="1059"/>
      <c r="AU163" s="1059"/>
      <c r="AV163" s="1059"/>
      <c r="AW163" s="1059"/>
      <c r="AX163" s="1059"/>
      <c r="AY163" s="1059"/>
      <c r="AZ163" s="1059"/>
      <c r="BA163" s="1059"/>
      <c r="BB163" s="1059"/>
      <c r="BC163" s="1059"/>
      <c r="BD163" s="1059"/>
      <c r="BE163" s="1059"/>
      <c r="BF163" s="1059"/>
      <c r="BG163" s="1059"/>
      <c r="BH163" s="1059"/>
      <c r="BI163" s="1059"/>
      <c r="BJ163" s="1059"/>
      <c r="BK163" s="1059"/>
      <c r="BL163" s="1059"/>
      <c r="BM163" s="1059"/>
      <c r="BN163" s="1059"/>
      <c r="BO163" s="1059"/>
      <c r="BP163" s="1059"/>
      <c r="BQ163" s="1059"/>
      <c r="BR163" s="1059"/>
      <c r="BS163" s="1059"/>
      <c r="BT163" s="1059"/>
      <c r="BU163" s="1059"/>
      <c r="BV163" s="1059"/>
      <c r="BW163" s="764"/>
      <c r="BX163" s="822"/>
      <c r="BY163" s="822"/>
      <c r="BZ163" s="822"/>
      <c r="CA163" s="822"/>
      <c r="CB163" s="822"/>
      <c r="CC163" s="822"/>
      <c r="CD163" s="822"/>
      <c r="CE163" s="822"/>
      <c r="CF163" s="822"/>
      <c r="CG163" s="822"/>
      <c r="CH163" s="822"/>
      <c r="CI163" s="822"/>
      <c r="CQ163" s="822"/>
      <c r="CR163" s="822"/>
      <c r="CS163" s="822"/>
      <c r="CT163" s="822"/>
      <c r="CU163" s="822"/>
      <c r="CV163" s="822"/>
      <c r="CW163" s="822"/>
      <c r="CX163" s="822"/>
      <c r="CY163" s="822"/>
      <c r="CZ163" s="822"/>
      <c r="DA163" s="822"/>
      <c r="DB163" s="822"/>
      <c r="DC163" s="822"/>
      <c r="DD163" s="822"/>
      <c r="DE163" s="822"/>
      <c r="DF163" s="822"/>
      <c r="DG163" s="822"/>
      <c r="DH163" s="822"/>
      <c r="DI163" s="822"/>
      <c r="DJ163" s="822"/>
      <c r="DK163" s="822"/>
      <c r="DL163" s="822"/>
      <c r="DM163" s="822"/>
      <c r="DN163" s="822"/>
      <c r="DO163" s="822"/>
      <c r="DP163" s="822"/>
      <c r="DQ163" s="822"/>
      <c r="DR163" s="822"/>
      <c r="DZ163" s="822"/>
      <c r="EA163" s="822"/>
      <c r="EB163" s="822"/>
      <c r="EC163" s="822"/>
      <c r="ED163" s="822"/>
      <c r="EE163" s="822"/>
      <c r="EF163" s="822"/>
      <c r="EG163" s="822"/>
      <c r="EH163" s="822"/>
      <c r="EI163" s="822"/>
      <c r="EJ163" s="822"/>
      <c r="EK163" s="822"/>
      <c r="EL163" s="822"/>
      <c r="EM163" s="822"/>
      <c r="EN163" s="822"/>
      <c r="EO163" s="822"/>
      <c r="EP163" s="822"/>
      <c r="EQ163" s="822"/>
      <c r="ER163" s="822"/>
    </row>
    <row r="164" spans="3:148" ht="17.100000000000001" customHeight="1" thickBot="1" x14ac:dyDescent="0.35">
      <c r="C164" s="1436"/>
      <c r="E164" s="762"/>
      <c r="F164" s="1059"/>
      <c r="G164" s="1059"/>
      <c r="H164" s="1059"/>
      <c r="I164" s="1059"/>
      <c r="J164" s="1059"/>
      <c r="K164" s="1059"/>
      <c r="L164" s="1059"/>
      <c r="M164" s="1059"/>
      <c r="N164" s="1059"/>
      <c r="O164" s="1059"/>
      <c r="P164" s="1059"/>
      <c r="Q164" s="1059"/>
      <c r="R164" s="1059"/>
      <c r="S164" s="1059"/>
      <c r="T164" s="1059"/>
      <c r="U164" s="1059"/>
      <c r="V164" s="1059"/>
      <c r="W164" s="1059"/>
      <c r="X164" s="1059"/>
      <c r="Y164" s="1059"/>
      <c r="Z164" s="1059"/>
      <c r="AA164" s="1059"/>
      <c r="AB164" s="1059"/>
      <c r="AC164" s="1059"/>
      <c r="AD164" s="1059"/>
      <c r="AE164" s="1059"/>
      <c r="AF164" s="1059"/>
      <c r="AG164" s="1059"/>
      <c r="AH164" s="1059"/>
      <c r="AI164" s="1059"/>
      <c r="AJ164" s="1059"/>
      <c r="AK164" s="1059"/>
      <c r="AL164" s="1059"/>
      <c r="AM164" s="2285">
        <f>AN170</f>
        <v>0</v>
      </c>
      <c r="AN164" s="2279" t="s">
        <v>710</v>
      </c>
      <c r="AO164" s="1278"/>
      <c r="AP164" s="1059"/>
      <c r="AQ164" s="1059"/>
      <c r="AR164" s="1059"/>
      <c r="AS164" s="1059"/>
      <c r="AT164" s="1059"/>
      <c r="AU164" s="1059"/>
      <c r="AV164" s="1059"/>
      <c r="AW164" s="1059"/>
      <c r="AX164" s="1059"/>
      <c r="AY164" s="1059"/>
      <c r="AZ164" s="1059"/>
      <c r="BA164" s="1059"/>
      <c r="BB164" s="1059"/>
      <c r="BC164" s="1059"/>
      <c r="BD164" s="1059"/>
      <c r="BE164" s="1059"/>
      <c r="BF164" s="1059"/>
      <c r="BG164" s="1059"/>
      <c r="BH164" s="1059"/>
      <c r="BI164" s="1059"/>
      <c r="BJ164" s="1059"/>
      <c r="BK164" s="1059"/>
      <c r="BL164" s="1059"/>
      <c r="BM164" s="1059"/>
      <c r="BN164" s="1059"/>
      <c r="BO164" s="1059"/>
      <c r="BP164" s="1059"/>
      <c r="BQ164" s="1059"/>
      <c r="BR164" s="1059"/>
      <c r="BS164" s="1059"/>
      <c r="BT164" s="1059"/>
      <c r="BU164" s="1059"/>
      <c r="BV164" s="1059"/>
      <c r="BW164" s="764"/>
      <c r="BX164" s="822"/>
      <c r="BY164" s="822"/>
      <c r="BZ164" s="822"/>
      <c r="CA164" s="822"/>
      <c r="CB164" s="822"/>
      <c r="CC164" s="822"/>
      <c r="CD164" s="822"/>
      <c r="CE164" s="822"/>
      <c r="CF164" s="822"/>
      <c r="CG164" s="822"/>
      <c r="CH164" s="822"/>
      <c r="CI164" s="822"/>
      <c r="CJ164" s="822"/>
      <c r="CK164" s="822"/>
      <c r="CL164" s="822"/>
      <c r="CM164" s="822"/>
      <c r="CN164" s="822"/>
      <c r="CO164" s="822"/>
      <c r="CP164" s="822"/>
      <c r="CQ164" s="822"/>
      <c r="CR164" s="822"/>
      <c r="CS164" s="822"/>
      <c r="CT164" s="822"/>
      <c r="CU164" s="822"/>
      <c r="CV164" s="822"/>
      <c r="CW164" s="822"/>
      <c r="CX164" s="822"/>
      <c r="CY164" s="822"/>
      <c r="CZ164" s="822"/>
      <c r="DA164" s="822"/>
      <c r="DB164" s="822"/>
      <c r="DC164" s="822"/>
      <c r="DD164" s="822"/>
      <c r="DE164" s="822"/>
      <c r="DF164" s="822"/>
      <c r="DG164" s="822"/>
      <c r="DH164" s="822"/>
      <c r="DI164" s="822"/>
      <c r="DJ164" s="822"/>
      <c r="DK164" s="822"/>
      <c r="DL164" s="822"/>
      <c r="DM164" s="822"/>
      <c r="DN164" s="822"/>
      <c r="DO164" s="822"/>
      <c r="DP164" s="822"/>
      <c r="DQ164" s="822"/>
      <c r="DR164" s="822"/>
      <c r="DS164" s="822"/>
      <c r="DT164" s="822"/>
      <c r="DU164" s="822"/>
      <c r="DV164" s="822"/>
      <c r="DW164" s="822"/>
      <c r="DX164" s="822"/>
      <c r="DY164" s="822"/>
      <c r="DZ164" s="822"/>
      <c r="EA164" s="822"/>
      <c r="EB164" s="822"/>
      <c r="EC164" s="822"/>
      <c r="ED164" s="822"/>
      <c r="EE164" s="822"/>
      <c r="EF164" s="822"/>
      <c r="EG164" s="822"/>
      <c r="EH164" s="822"/>
      <c r="EI164" s="822"/>
      <c r="EJ164" s="822"/>
      <c r="EK164" s="822"/>
      <c r="EL164" s="822"/>
      <c r="EM164" s="822"/>
      <c r="EN164" s="822"/>
      <c r="EO164" s="822"/>
      <c r="EP164" s="822"/>
      <c r="EQ164" s="822"/>
      <c r="ER164" s="822"/>
    </row>
    <row r="165" spans="3:148" ht="17.100000000000001" customHeight="1" thickTop="1" x14ac:dyDescent="0.3">
      <c r="C165" s="1436"/>
      <c r="E165" s="762"/>
      <c r="F165" s="1059"/>
      <c r="G165" s="1059"/>
      <c r="H165" s="1059"/>
      <c r="I165" s="4756" t="s">
        <v>72</v>
      </c>
      <c r="J165" s="4757"/>
      <c r="K165" s="4757"/>
      <c r="L165" s="4764" t="s">
        <v>144</v>
      </c>
      <c r="M165" s="4764"/>
      <c r="N165" s="4757" t="s">
        <v>72</v>
      </c>
      <c r="O165" s="4757"/>
      <c r="P165" s="4762"/>
      <c r="Q165" s="1059"/>
      <c r="R165" s="1059"/>
      <c r="S165" s="4756" t="s">
        <v>72</v>
      </c>
      <c r="T165" s="4757"/>
      <c r="U165" s="4757"/>
      <c r="V165" s="4779" t="s">
        <v>144</v>
      </c>
      <c r="W165" s="4779"/>
      <c r="X165" s="4757" t="s">
        <v>72</v>
      </c>
      <c r="Y165" s="4757"/>
      <c r="Z165" s="4762"/>
      <c r="AA165" s="1059"/>
      <c r="AB165" s="1059"/>
      <c r="AC165" s="4756" t="s">
        <v>72</v>
      </c>
      <c r="AD165" s="4757"/>
      <c r="AE165" s="4757"/>
      <c r="AF165" s="4781" t="s">
        <v>144</v>
      </c>
      <c r="AG165" s="4781"/>
      <c r="AH165" s="4757" t="s">
        <v>72</v>
      </c>
      <c r="AI165" s="4757"/>
      <c r="AJ165" s="4762"/>
      <c r="AK165" s="1059"/>
      <c r="AL165" s="1059"/>
      <c r="AM165" s="2285">
        <f>AN170</f>
        <v>0</v>
      </c>
      <c r="AN165" s="2280" t="s">
        <v>941</v>
      </c>
      <c r="AO165" s="1278"/>
      <c r="AP165" s="1059"/>
      <c r="AQ165" s="1059"/>
      <c r="AR165" s="4756" t="s">
        <v>72</v>
      </c>
      <c r="AS165" s="4757"/>
      <c r="AT165" s="4757"/>
      <c r="AU165" s="4781" t="s">
        <v>940</v>
      </c>
      <c r="AV165" s="4781"/>
      <c r="AW165" s="4757" t="s">
        <v>72</v>
      </c>
      <c r="AX165" s="4757"/>
      <c r="AY165" s="4762"/>
      <c r="AZ165" s="1059"/>
      <c r="BA165" s="1059"/>
      <c r="BB165" s="4756" t="s">
        <v>72</v>
      </c>
      <c r="BC165" s="4757"/>
      <c r="BD165" s="4757"/>
      <c r="BE165" s="4779" t="s">
        <v>940</v>
      </c>
      <c r="BF165" s="4779"/>
      <c r="BG165" s="4757" t="s">
        <v>72</v>
      </c>
      <c r="BH165" s="4757"/>
      <c r="BI165" s="4762"/>
      <c r="BJ165" s="1059"/>
      <c r="BK165" s="1059"/>
      <c r="BL165" s="4756" t="s">
        <v>72</v>
      </c>
      <c r="BM165" s="4757"/>
      <c r="BN165" s="4757"/>
      <c r="BO165" s="4764" t="s">
        <v>940</v>
      </c>
      <c r="BP165" s="4764"/>
      <c r="BQ165" s="4757" t="s">
        <v>72</v>
      </c>
      <c r="BR165" s="4757"/>
      <c r="BS165" s="4762"/>
      <c r="BT165" s="1059"/>
      <c r="BU165" s="1059"/>
      <c r="BV165" s="1059"/>
      <c r="BW165" s="764"/>
      <c r="BX165" s="822"/>
      <c r="BY165" s="822"/>
      <c r="BZ165" s="822"/>
      <c r="CA165" s="822"/>
      <c r="CB165" s="822"/>
      <c r="CC165" s="822"/>
      <c r="CD165" s="822"/>
      <c r="CE165" s="822"/>
      <c r="CF165" s="822"/>
      <c r="CG165" s="822"/>
      <c r="CH165" s="822"/>
      <c r="CI165" s="822"/>
      <c r="CJ165" s="822"/>
      <c r="CK165" s="822"/>
      <c r="CL165" s="822"/>
      <c r="CM165" s="822"/>
      <c r="CN165" s="822"/>
      <c r="CO165" s="822"/>
      <c r="CP165" s="822"/>
      <c r="CQ165" s="822"/>
      <c r="CR165" s="822"/>
      <c r="CS165" s="822"/>
      <c r="CT165" s="822"/>
      <c r="CU165" s="822"/>
      <c r="CV165" s="822"/>
      <c r="CW165" s="822"/>
      <c r="CX165" s="822"/>
      <c r="CY165" s="822"/>
      <c r="CZ165" s="822"/>
      <c r="DA165" s="822"/>
      <c r="DB165" s="822"/>
      <c r="DC165" s="822"/>
      <c r="DD165" s="822"/>
      <c r="DE165" s="822"/>
      <c r="DF165" s="822"/>
      <c r="DG165" s="822"/>
      <c r="DH165" s="822"/>
      <c r="DI165" s="822"/>
      <c r="DJ165" s="822"/>
      <c r="DK165" s="822"/>
      <c r="DL165" s="822"/>
      <c r="DM165" s="822"/>
      <c r="DN165" s="822"/>
      <c r="DO165" s="822"/>
      <c r="DP165" s="822"/>
      <c r="DQ165" s="822"/>
      <c r="DR165" s="822"/>
      <c r="DS165" s="822"/>
      <c r="DT165" s="822"/>
      <c r="DU165" s="822"/>
      <c r="DV165" s="822"/>
      <c r="DW165" s="822"/>
      <c r="DX165" s="822"/>
      <c r="DY165" s="822"/>
      <c r="DZ165" s="822"/>
      <c r="EA165" s="822"/>
      <c r="EB165" s="822"/>
      <c r="EC165" s="822"/>
      <c r="ED165" s="822"/>
      <c r="EE165" s="822"/>
      <c r="EF165" s="822"/>
      <c r="EG165" s="822"/>
      <c r="EH165" s="822"/>
      <c r="EI165" s="822"/>
      <c r="EJ165" s="822"/>
      <c r="EK165" s="822"/>
      <c r="EL165" s="822"/>
      <c r="EM165" s="822"/>
      <c r="EN165" s="822"/>
      <c r="EO165" s="822"/>
      <c r="EP165" s="822"/>
      <c r="EQ165" s="822"/>
      <c r="ER165" s="822"/>
    </row>
    <row r="166" spans="3:148" ht="17.100000000000001" customHeight="1" x14ac:dyDescent="0.3">
      <c r="C166" s="1436"/>
      <c r="E166" s="762"/>
      <c r="F166" s="1059"/>
      <c r="G166" s="1059"/>
      <c r="H166" s="1059"/>
      <c r="I166" s="4758"/>
      <c r="J166" s="4759"/>
      <c r="K166" s="4759"/>
      <c r="L166" s="4798"/>
      <c r="M166" s="4798"/>
      <c r="N166" s="4759"/>
      <c r="O166" s="4759"/>
      <c r="P166" s="4763"/>
      <c r="Q166" s="1059"/>
      <c r="R166" s="1059"/>
      <c r="S166" s="4758"/>
      <c r="T166" s="4759"/>
      <c r="U166" s="4759"/>
      <c r="V166" s="4796"/>
      <c r="W166" s="4796"/>
      <c r="X166" s="4759"/>
      <c r="Y166" s="4759"/>
      <c r="Z166" s="4763"/>
      <c r="AA166" s="1059"/>
      <c r="AB166" s="1059"/>
      <c r="AC166" s="4758"/>
      <c r="AD166" s="4759"/>
      <c r="AE166" s="4759"/>
      <c r="AF166" s="4797"/>
      <c r="AG166" s="4797"/>
      <c r="AH166" s="4759"/>
      <c r="AI166" s="4759"/>
      <c r="AJ166" s="4763"/>
      <c r="AK166" s="1059"/>
      <c r="AL166" s="1059"/>
      <c r="AM166" s="2285">
        <f>AN170</f>
        <v>0</v>
      </c>
      <c r="AN166" s="2281" t="s">
        <v>144</v>
      </c>
      <c r="AO166" s="1278"/>
      <c r="AP166" s="1059"/>
      <c r="AQ166" s="1059"/>
      <c r="AR166" s="4758"/>
      <c r="AS166" s="4759"/>
      <c r="AT166" s="4759"/>
      <c r="AU166" s="4797"/>
      <c r="AV166" s="4797"/>
      <c r="AW166" s="4759"/>
      <c r="AX166" s="4759"/>
      <c r="AY166" s="4763"/>
      <c r="AZ166" s="1059"/>
      <c r="BA166" s="1059"/>
      <c r="BB166" s="4758"/>
      <c r="BC166" s="4759"/>
      <c r="BD166" s="4759"/>
      <c r="BE166" s="4796"/>
      <c r="BF166" s="4796"/>
      <c r="BG166" s="4759"/>
      <c r="BH166" s="4759"/>
      <c r="BI166" s="4763"/>
      <c r="BJ166" s="1059"/>
      <c r="BK166" s="1059"/>
      <c r="BL166" s="4758"/>
      <c r="BM166" s="4759"/>
      <c r="BN166" s="4759"/>
      <c r="BO166" s="4798"/>
      <c r="BP166" s="4798"/>
      <c r="BQ166" s="4759"/>
      <c r="BR166" s="4759"/>
      <c r="BS166" s="4763"/>
      <c r="BT166" s="1059"/>
      <c r="BU166" s="1059"/>
      <c r="BV166" s="1059"/>
      <c r="BW166" s="764"/>
      <c r="BX166" s="822"/>
      <c r="BY166" s="822"/>
      <c r="BZ166" s="822"/>
      <c r="CA166" s="822"/>
      <c r="CB166" s="822"/>
      <c r="CC166" s="822"/>
      <c r="CD166" s="822"/>
      <c r="CE166" s="822"/>
      <c r="CF166" s="822"/>
      <c r="CG166" s="822"/>
      <c r="CH166" s="822"/>
      <c r="CI166" s="822"/>
      <c r="CJ166" s="822"/>
      <c r="CK166" s="822"/>
      <c r="CL166" s="822"/>
      <c r="CM166" s="822"/>
      <c r="CN166" s="822"/>
      <c r="CO166" s="822"/>
      <c r="CP166" s="822"/>
      <c r="CQ166" s="822"/>
      <c r="CR166" s="822"/>
      <c r="CS166" s="822"/>
      <c r="CT166" s="822"/>
      <c r="CU166" s="822"/>
      <c r="CV166" s="822"/>
      <c r="CW166" s="822"/>
      <c r="CX166" s="822"/>
      <c r="CY166" s="822"/>
      <c r="CZ166" s="822"/>
      <c r="DA166" s="822"/>
      <c r="DB166" s="822"/>
      <c r="DC166" s="822"/>
      <c r="DD166" s="822"/>
      <c r="DE166" s="822"/>
      <c r="DF166" s="822"/>
      <c r="DG166" s="822"/>
      <c r="DH166" s="822"/>
      <c r="DI166" s="822"/>
      <c r="DJ166" s="822"/>
      <c r="DK166" s="822"/>
      <c r="DL166" s="822"/>
      <c r="DM166" s="822"/>
      <c r="DN166" s="822"/>
      <c r="DO166" s="822"/>
      <c r="DP166" s="822"/>
      <c r="DQ166" s="822"/>
      <c r="DR166" s="822"/>
      <c r="DS166" s="822"/>
      <c r="DT166" s="822"/>
      <c r="DU166" s="822"/>
      <c r="DV166" s="822"/>
      <c r="DW166" s="822"/>
      <c r="DX166" s="822"/>
      <c r="DY166" s="822"/>
      <c r="DZ166" s="822"/>
      <c r="EA166" s="822"/>
      <c r="EB166" s="822"/>
      <c r="EC166" s="822"/>
      <c r="ED166" s="822"/>
      <c r="EE166" s="822"/>
      <c r="EF166" s="822"/>
      <c r="EG166" s="822"/>
      <c r="EH166" s="822"/>
      <c r="EI166" s="822"/>
      <c r="EJ166" s="822"/>
      <c r="EK166" s="822"/>
      <c r="EL166" s="822"/>
      <c r="EM166" s="822"/>
      <c r="EN166" s="822"/>
      <c r="EO166" s="822"/>
      <c r="EP166" s="822"/>
      <c r="EQ166" s="822"/>
      <c r="ER166" s="822"/>
    </row>
    <row r="167" spans="3:148" ht="17.100000000000001" customHeight="1" x14ac:dyDescent="0.3">
      <c r="C167" s="1436"/>
      <c r="E167" s="762"/>
      <c r="F167" s="1059"/>
      <c r="G167" s="1059"/>
      <c r="H167" s="1059"/>
      <c r="I167" s="4766"/>
      <c r="J167" s="4768"/>
      <c r="K167" s="4769"/>
      <c r="L167" s="4769"/>
      <c r="M167" s="4769"/>
      <c r="N167" s="4769"/>
      <c r="O167" s="4770"/>
      <c r="P167" s="4777"/>
      <c r="Q167" s="1059"/>
      <c r="R167" s="1059"/>
      <c r="S167" s="4766"/>
      <c r="T167" s="4768"/>
      <c r="U167" s="4769"/>
      <c r="V167" s="4769"/>
      <c r="W167" s="4769"/>
      <c r="X167" s="4769"/>
      <c r="Y167" s="4770"/>
      <c r="Z167" s="4777"/>
      <c r="AA167" s="1059"/>
      <c r="AB167" s="1059"/>
      <c r="AC167" s="4766"/>
      <c r="AD167" s="4768"/>
      <c r="AE167" s="4769"/>
      <c r="AF167" s="4769"/>
      <c r="AG167" s="4769"/>
      <c r="AH167" s="4769"/>
      <c r="AI167" s="4770"/>
      <c r="AJ167" s="4777"/>
      <c r="AK167" s="1059"/>
      <c r="AL167" s="1059"/>
      <c r="AM167" s="2285">
        <f>AN170</f>
        <v>0</v>
      </c>
      <c r="AN167" s="2282" t="s">
        <v>939</v>
      </c>
      <c r="AO167" s="1278"/>
      <c r="AP167" s="1059"/>
      <c r="AQ167" s="1059"/>
      <c r="AR167" s="4766"/>
      <c r="AS167" s="4768"/>
      <c r="AT167" s="4769"/>
      <c r="AU167" s="4769"/>
      <c r="AV167" s="4769"/>
      <c r="AW167" s="4769"/>
      <c r="AX167" s="4770"/>
      <c r="AY167" s="4777"/>
      <c r="AZ167" s="1059"/>
      <c r="BA167" s="1059"/>
      <c r="BB167" s="4766"/>
      <c r="BC167" s="4768"/>
      <c r="BD167" s="4769"/>
      <c r="BE167" s="4769"/>
      <c r="BF167" s="4769"/>
      <c r="BG167" s="4769"/>
      <c r="BH167" s="4770"/>
      <c r="BI167" s="4777"/>
      <c r="BJ167" s="1059"/>
      <c r="BK167" s="1059"/>
      <c r="BL167" s="4766"/>
      <c r="BM167" s="4768"/>
      <c r="BN167" s="4769"/>
      <c r="BO167" s="4769"/>
      <c r="BP167" s="4769"/>
      <c r="BQ167" s="4769"/>
      <c r="BR167" s="4770"/>
      <c r="BS167" s="4777"/>
      <c r="BT167" s="1059"/>
      <c r="BU167" s="1059"/>
      <c r="BV167" s="1059"/>
      <c r="BW167" s="764"/>
      <c r="BX167" s="822"/>
      <c r="BY167" s="822"/>
      <c r="BZ167" s="822"/>
      <c r="CA167" s="822"/>
      <c r="CB167" s="822"/>
      <c r="CC167" s="822"/>
      <c r="CD167" s="822"/>
      <c r="CE167" s="822"/>
      <c r="CF167" s="822"/>
      <c r="CG167" s="822"/>
      <c r="CH167" s="822"/>
      <c r="CI167" s="822"/>
      <c r="CJ167" s="4826" t="str">
        <f>IF(J167=0,"",J167)</f>
        <v/>
      </c>
      <c r="CK167" s="4827"/>
      <c r="CL167" s="4827"/>
      <c r="CM167" s="4827"/>
      <c r="CN167" s="4827"/>
      <c r="CO167" s="4828"/>
      <c r="CP167" s="822"/>
      <c r="CQ167" s="822"/>
      <c r="CR167" s="822"/>
      <c r="CS167" s="822"/>
      <c r="CT167" s="4826" t="str">
        <f>IF(T167=0,"",T167)</f>
        <v/>
      </c>
      <c r="CU167" s="4827"/>
      <c r="CV167" s="4827"/>
      <c r="CW167" s="4827"/>
      <c r="CX167" s="4827"/>
      <c r="CY167" s="4828"/>
      <c r="CZ167" s="822"/>
      <c r="DA167" s="822"/>
      <c r="DB167" s="822"/>
      <c r="DC167" s="822"/>
      <c r="DD167" s="4826" t="str">
        <f>IF(AD167=0,"",AD167)</f>
        <v/>
      </c>
      <c r="DE167" s="4827"/>
      <c r="DF167" s="4827"/>
      <c r="DG167" s="4827"/>
      <c r="DH167" s="4827"/>
      <c r="DI167" s="4828"/>
      <c r="DJ167" s="822"/>
      <c r="DK167" s="822"/>
      <c r="DL167" s="822"/>
      <c r="DM167" s="822"/>
      <c r="DN167" s="822"/>
      <c r="DO167" s="822"/>
      <c r="DP167" s="822"/>
      <c r="DQ167" s="822"/>
      <c r="DR167" s="822"/>
      <c r="DS167" s="4826" t="str">
        <f>IF(AS167=0,"",AS167)</f>
        <v/>
      </c>
      <c r="DT167" s="4827"/>
      <c r="DU167" s="4827"/>
      <c r="DV167" s="4827"/>
      <c r="DW167" s="4827"/>
      <c r="DX167" s="4828"/>
      <c r="DY167" s="822"/>
      <c r="DZ167" s="822"/>
      <c r="EA167" s="822"/>
      <c r="EB167" s="822"/>
      <c r="EC167" s="4826" t="str">
        <f>IF(BC167=0,"",BC167)</f>
        <v/>
      </c>
      <c r="ED167" s="4827"/>
      <c r="EE167" s="4827"/>
      <c r="EF167" s="4827"/>
      <c r="EG167" s="4827"/>
      <c r="EH167" s="4828"/>
      <c r="EI167" s="822"/>
      <c r="EJ167" s="822"/>
      <c r="EK167" s="822"/>
      <c r="EL167" s="822"/>
      <c r="EM167" s="4826" t="str">
        <f>IF(BM167=0,"",BM167)</f>
        <v/>
      </c>
      <c r="EN167" s="4827"/>
      <c r="EO167" s="4827"/>
      <c r="EP167" s="4827"/>
      <c r="EQ167" s="4827"/>
      <c r="ER167" s="4828"/>
    </row>
    <row r="168" spans="3:148" ht="17.100000000000001" customHeight="1" x14ac:dyDescent="0.3">
      <c r="C168" s="1436"/>
      <c r="E168" s="762"/>
      <c r="F168" s="1059"/>
      <c r="G168" s="1059"/>
      <c r="H168" s="1059"/>
      <c r="I168" s="4766"/>
      <c r="J168" s="4771"/>
      <c r="K168" s="4772"/>
      <c r="L168" s="4772"/>
      <c r="M168" s="4772"/>
      <c r="N168" s="4772"/>
      <c r="O168" s="4773"/>
      <c r="P168" s="4777"/>
      <c r="Q168" s="1059"/>
      <c r="R168" s="1059"/>
      <c r="S168" s="4766"/>
      <c r="T168" s="4771"/>
      <c r="U168" s="4772"/>
      <c r="V168" s="4772"/>
      <c r="W168" s="4772"/>
      <c r="X168" s="4772"/>
      <c r="Y168" s="4773"/>
      <c r="Z168" s="4777"/>
      <c r="AA168" s="1059"/>
      <c r="AB168" s="1059"/>
      <c r="AC168" s="4766"/>
      <c r="AD168" s="4771"/>
      <c r="AE168" s="4772"/>
      <c r="AF168" s="4772"/>
      <c r="AG168" s="4772"/>
      <c r="AH168" s="4772"/>
      <c r="AI168" s="4773"/>
      <c r="AJ168" s="4777"/>
      <c r="AK168" s="1059"/>
      <c r="AL168" s="1059"/>
      <c r="AM168" s="2285">
        <f>AN170</f>
        <v>0</v>
      </c>
      <c r="AN168" s="2283" t="s">
        <v>942</v>
      </c>
      <c r="AO168" s="1278"/>
      <c r="AP168" s="1059"/>
      <c r="AQ168" s="1059"/>
      <c r="AR168" s="4766"/>
      <c r="AS168" s="4771"/>
      <c r="AT168" s="4772"/>
      <c r="AU168" s="4772"/>
      <c r="AV168" s="4772"/>
      <c r="AW168" s="4772"/>
      <c r="AX168" s="4773"/>
      <c r="AY168" s="4777"/>
      <c r="AZ168" s="1059"/>
      <c r="BA168" s="1059"/>
      <c r="BB168" s="4766"/>
      <c r="BC168" s="4771"/>
      <c r="BD168" s="4772"/>
      <c r="BE168" s="4772"/>
      <c r="BF168" s="4772"/>
      <c r="BG168" s="4772"/>
      <c r="BH168" s="4773"/>
      <c r="BI168" s="4777"/>
      <c r="BJ168" s="1059"/>
      <c r="BK168" s="1059"/>
      <c r="BL168" s="4766"/>
      <c r="BM168" s="4771"/>
      <c r="BN168" s="4772"/>
      <c r="BO168" s="4772"/>
      <c r="BP168" s="4772"/>
      <c r="BQ168" s="4772"/>
      <c r="BR168" s="4773"/>
      <c r="BS168" s="4777"/>
      <c r="BT168" s="1059"/>
      <c r="BU168" s="1059"/>
      <c r="BV168" s="1059"/>
      <c r="BW168" s="764"/>
      <c r="BX168" s="822"/>
      <c r="BY168" s="822"/>
      <c r="BZ168" s="822"/>
      <c r="CA168" s="822"/>
      <c r="CB168" s="822"/>
      <c r="CC168" s="822"/>
      <c r="CD168" s="822"/>
      <c r="CE168" s="822"/>
      <c r="CF168" s="822"/>
      <c r="CG168" s="822"/>
      <c r="CH168" s="822"/>
      <c r="CI168" s="822"/>
      <c r="CJ168" s="4829"/>
      <c r="CK168" s="4830"/>
      <c r="CL168" s="4830"/>
      <c r="CM168" s="4830"/>
      <c r="CN168" s="4830"/>
      <c r="CO168" s="4831"/>
      <c r="CP168" s="822"/>
      <c r="CQ168" s="822"/>
      <c r="CR168" s="822"/>
      <c r="CS168" s="822"/>
      <c r="CT168" s="4829"/>
      <c r="CU168" s="4830"/>
      <c r="CV168" s="4830"/>
      <c r="CW168" s="4830"/>
      <c r="CX168" s="4830"/>
      <c r="CY168" s="4831"/>
      <c r="CZ168" s="822"/>
      <c r="DA168" s="822"/>
      <c r="DB168" s="822"/>
      <c r="DC168" s="822"/>
      <c r="DD168" s="4829"/>
      <c r="DE168" s="4830"/>
      <c r="DF168" s="4830"/>
      <c r="DG168" s="4830"/>
      <c r="DH168" s="4830"/>
      <c r="DI168" s="4831"/>
      <c r="DJ168" s="822"/>
      <c r="DK168" s="822"/>
      <c r="DL168" s="822"/>
      <c r="DM168" s="822"/>
      <c r="DN168" s="822"/>
      <c r="DO168" s="822"/>
      <c r="DP168" s="822"/>
      <c r="DQ168" s="822"/>
      <c r="DR168" s="822"/>
      <c r="DS168" s="4829"/>
      <c r="DT168" s="4830"/>
      <c r="DU168" s="4830"/>
      <c r="DV168" s="4830"/>
      <c r="DW168" s="4830"/>
      <c r="DX168" s="4831"/>
      <c r="DY168" s="822"/>
      <c r="DZ168" s="822"/>
      <c r="EA168" s="822"/>
      <c r="EB168" s="822"/>
      <c r="EC168" s="4829"/>
      <c r="ED168" s="4830"/>
      <c r="EE168" s="4830"/>
      <c r="EF168" s="4830"/>
      <c r="EG168" s="4830"/>
      <c r="EH168" s="4831"/>
      <c r="EI168" s="822"/>
      <c r="EJ168" s="822"/>
      <c r="EK168" s="822"/>
      <c r="EL168" s="822"/>
      <c r="EM168" s="4829"/>
      <c r="EN168" s="4830"/>
      <c r="EO168" s="4830"/>
      <c r="EP168" s="4830"/>
      <c r="EQ168" s="4830"/>
      <c r="ER168" s="4831"/>
    </row>
    <row r="169" spans="3:148" ht="17.100000000000001" customHeight="1" x14ac:dyDescent="0.3">
      <c r="E169" s="762"/>
      <c r="F169" s="1059"/>
      <c r="G169" s="1059"/>
      <c r="H169" s="1059"/>
      <c r="I169" s="4766"/>
      <c r="J169" s="4774"/>
      <c r="K169" s="4775"/>
      <c r="L169" s="4775"/>
      <c r="M169" s="4775"/>
      <c r="N169" s="4775"/>
      <c r="O169" s="4776"/>
      <c r="P169" s="4777"/>
      <c r="Q169" s="1059"/>
      <c r="R169" s="1059"/>
      <c r="S169" s="4766"/>
      <c r="T169" s="4774"/>
      <c r="U169" s="4775"/>
      <c r="V169" s="4775"/>
      <c r="W169" s="4775"/>
      <c r="X169" s="4775"/>
      <c r="Y169" s="4776"/>
      <c r="Z169" s="4777"/>
      <c r="AA169" s="1059"/>
      <c r="AB169" s="1059"/>
      <c r="AC169" s="4766"/>
      <c r="AD169" s="4774"/>
      <c r="AE169" s="4775"/>
      <c r="AF169" s="4775"/>
      <c r="AG169" s="4775"/>
      <c r="AH169" s="4775"/>
      <c r="AI169" s="4776"/>
      <c r="AJ169" s="4777"/>
      <c r="AK169" s="1059"/>
      <c r="AL169" s="1059"/>
      <c r="AM169" s="2285">
        <f>AN170</f>
        <v>0</v>
      </c>
      <c r="AN169" s="2284" t="s">
        <v>940</v>
      </c>
      <c r="AO169" s="1278"/>
      <c r="AP169" s="1059"/>
      <c r="AQ169" s="1059"/>
      <c r="AR169" s="4766"/>
      <c r="AS169" s="4774"/>
      <c r="AT169" s="4775"/>
      <c r="AU169" s="4775"/>
      <c r="AV169" s="4775"/>
      <c r="AW169" s="4775"/>
      <c r="AX169" s="4776"/>
      <c r="AY169" s="4777"/>
      <c r="AZ169" s="1059"/>
      <c r="BA169" s="1059"/>
      <c r="BB169" s="4766"/>
      <c r="BC169" s="4774"/>
      <c r="BD169" s="4775"/>
      <c r="BE169" s="4775"/>
      <c r="BF169" s="4775"/>
      <c r="BG169" s="4775"/>
      <c r="BH169" s="4776"/>
      <c r="BI169" s="4777"/>
      <c r="BJ169" s="1059"/>
      <c r="BK169" s="1059"/>
      <c r="BL169" s="4766"/>
      <c r="BM169" s="4774"/>
      <c r="BN169" s="4775"/>
      <c r="BO169" s="4775"/>
      <c r="BP169" s="4775"/>
      <c r="BQ169" s="4775"/>
      <c r="BR169" s="4776"/>
      <c r="BS169" s="4777"/>
      <c r="BT169" s="1059"/>
      <c r="BU169" s="1059"/>
      <c r="BV169" s="1059"/>
      <c r="BW169" s="764"/>
      <c r="BX169" s="822"/>
      <c r="BY169" s="822"/>
      <c r="BZ169" s="822"/>
      <c r="CA169" s="822"/>
      <c r="CB169" s="822"/>
      <c r="CC169" s="822"/>
      <c r="CD169" s="822"/>
      <c r="CE169" s="822"/>
      <c r="CF169" s="822"/>
      <c r="CG169" s="822"/>
      <c r="CH169" s="822"/>
      <c r="CI169" s="822"/>
      <c r="CJ169" s="4832"/>
      <c r="CK169" s="4833"/>
      <c r="CL169" s="4833"/>
      <c r="CM169" s="4833"/>
      <c r="CN169" s="4833"/>
      <c r="CO169" s="4834"/>
      <c r="CP169" s="822"/>
      <c r="CQ169" s="822"/>
      <c r="CR169" s="822"/>
      <c r="CS169" s="822"/>
      <c r="CT169" s="4832"/>
      <c r="CU169" s="4833"/>
      <c r="CV169" s="4833"/>
      <c r="CW169" s="4833"/>
      <c r="CX169" s="4833"/>
      <c r="CY169" s="4834"/>
      <c r="CZ169" s="822"/>
      <c r="DA169" s="822"/>
      <c r="DB169" s="822"/>
      <c r="DC169" s="822"/>
      <c r="DD169" s="4832"/>
      <c r="DE169" s="4833"/>
      <c r="DF169" s="4833"/>
      <c r="DG169" s="4833"/>
      <c r="DH169" s="4833"/>
      <c r="DI169" s="4834"/>
      <c r="DJ169" s="822"/>
      <c r="DK169" s="822"/>
      <c r="DL169" s="822"/>
      <c r="DM169" s="822"/>
      <c r="DN169" s="822"/>
      <c r="DO169" s="822"/>
      <c r="DP169" s="822"/>
      <c r="DQ169" s="822"/>
      <c r="DR169" s="822"/>
      <c r="DS169" s="4832"/>
      <c r="DT169" s="4833"/>
      <c r="DU169" s="4833"/>
      <c r="DV169" s="4833"/>
      <c r="DW169" s="4833"/>
      <c r="DX169" s="4834"/>
      <c r="DY169" s="822"/>
      <c r="DZ169" s="822"/>
      <c r="EA169" s="822"/>
      <c r="EB169" s="822"/>
      <c r="EC169" s="4832"/>
      <c r="ED169" s="4833"/>
      <c r="EE169" s="4833"/>
      <c r="EF169" s="4833"/>
      <c r="EG169" s="4833"/>
      <c r="EH169" s="4834"/>
      <c r="EI169" s="822"/>
      <c r="EJ169" s="822"/>
      <c r="EK169" s="822"/>
      <c r="EL169" s="822"/>
      <c r="EM169" s="4832"/>
      <c r="EN169" s="4833"/>
      <c r="EO169" s="4833"/>
      <c r="EP169" s="4833"/>
      <c r="EQ169" s="4833"/>
      <c r="ER169" s="4834"/>
    </row>
    <row r="170" spans="3:148" ht="17.100000000000001" customHeight="1" thickBot="1" x14ac:dyDescent="0.35">
      <c r="E170" s="762"/>
      <c r="F170" s="1059"/>
      <c r="G170" s="1059"/>
      <c r="H170" s="1059"/>
      <c r="I170" s="4767"/>
      <c r="J170" s="4789" t="s">
        <v>505</v>
      </c>
      <c r="K170" s="4789"/>
      <c r="L170" s="4789"/>
      <c r="M170" s="4789"/>
      <c r="N170" s="4789"/>
      <c r="O170" s="4789"/>
      <c r="P170" s="4778"/>
      <c r="Q170" s="1059"/>
      <c r="R170" s="1059"/>
      <c r="S170" s="4767"/>
      <c r="T170" s="4789" t="s">
        <v>505</v>
      </c>
      <c r="U170" s="4789"/>
      <c r="V170" s="4789"/>
      <c r="W170" s="4789"/>
      <c r="X170" s="4789"/>
      <c r="Y170" s="4789"/>
      <c r="Z170" s="4778"/>
      <c r="AA170" s="1059"/>
      <c r="AB170" s="1059"/>
      <c r="AC170" s="4767"/>
      <c r="AD170" s="4789" t="s">
        <v>505</v>
      </c>
      <c r="AE170" s="4789"/>
      <c r="AF170" s="4789"/>
      <c r="AG170" s="4789"/>
      <c r="AH170" s="4789"/>
      <c r="AI170" s="4789"/>
      <c r="AJ170" s="4778"/>
      <c r="AK170" s="1059"/>
      <c r="AL170" s="1059"/>
      <c r="AM170" s="1277"/>
      <c r="AN170" s="1279">
        <f>IF(COUNTA(J151,T151,AD151,J159,T159,AD159,J167,T167,AD167,AS151,BC151,BM151,AS159,BC159,BM159,AS167,BC167,BM167)=18,1,0)</f>
        <v>0</v>
      </c>
      <c r="AO170" s="1279"/>
      <c r="AP170" s="1059"/>
      <c r="AQ170" s="1059"/>
      <c r="AR170" s="4767"/>
      <c r="AS170" s="4789" t="s">
        <v>505</v>
      </c>
      <c r="AT170" s="4789"/>
      <c r="AU170" s="4789"/>
      <c r="AV170" s="4789"/>
      <c r="AW170" s="4789"/>
      <c r="AX170" s="4789"/>
      <c r="AY170" s="4778"/>
      <c r="AZ170" s="1059"/>
      <c r="BA170" s="1059"/>
      <c r="BB170" s="4767"/>
      <c r="BC170" s="4789" t="s">
        <v>505</v>
      </c>
      <c r="BD170" s="4789"/>
      <c r="BE170" s="4789"/>
      <c r="BF170" s="4789"/>
      <c r="BG170" s="4789"/>
      <c r="BH170" s="4789"/>
      <c r="BI170" s="4778"/>
      <c r="BJ170" s="1059"/>
      <c r="BK170" s="1059"/>
      <c r="BL170" s="4767"/>
      <c r="BM170" s="4789" t="s">
        <v>505</v>
      </c>
      <c r="BN170" s="4789"/>
      <c r="BO170" s="4789"/>
      <c r="BP170" s="4789"/>
      <c r="BQ170" s="4789"/>
      <c r="BR170" s="4789"/>
      <c r="BS170" s="4778"/>
      <c r="BT170" s="1059"/>
      <c r="BU170" s="1059"/>
      <c r="BV170" s="1059"/>
      <c r="BW170" s="764"/>
      <c r="BX170" s="822"/>
      <c r="BY170" s="822"/>
      <c r="BZ170" s="822"/>
      <c r="CA170" s="822"/>
      <c r="CB170" s="822"/>
      <c r="CC170" s="822"/>
      <c r="CD170" s="822"/>
      <c r="CE170" s="822"/>
      <c r="CF170" s="822"/>
      <c r="CG170" s="822"/>
      <c r="CH170" s="822"/>
      <c r="CI170" s="822"/>
      <c r="CJ170" s="822"/>
      <c r="CK170" s="822"/>
      <c r="CL170" s="822"/>
      <c r="CM170" s="822"/>
      <c r="CN170" s="822"/>
      <c r="CO170" s="822"/>
      <c r="CP170" s="822"/>
      <c r="CQ170" s="822"/>
      <c r="CR170" s="822"/>
      <c r="CS170" s="822"/>
      <c r="CT170" s="822"/>
      <c r="CU170" s="822"/>
      <c r="CV170" s="822"/>
      <c r="CW170" s="822"/>
      <c r="CX170" s="822"/>
      <c r="CY170" s="822"/>
      <c r="CZ170" s="822"/>
      <c r="DA170" s="822"/>
      <c r="DB170" s="822"/>
      <c r="DC170" s="822"/>
      <c r="DD170" s="822"/>
      <c r="DE170" s="822"/>
      <c r="DF170" s="822"/>
      <c r="DG170" s="822"/>
      <c r="DH170" s="822"/>
      <c r="DI170" s="822"/>
      <c r="DJ170" s="822"/>
      <c r="DK170" s="822"/>
      <c r="DL170" s="822"/>
      <c r="DM170" s="822"/>
      <c r="DN170" s="822"/>
      <c r="DO170" s="822"/>
      <c r="DP170" s="822"/>
      <c r="DQ170" s="822"/>
      <c r="DR170" s="822"/>
      <c r="DS170" s="822"/>
      <c r="DT170" s="822"/>
      <c r="DU170" s="822"/>
      <c r="DV170" s="822"/>
      <c r="DW170" s="822"/>
      <c r="DX170" s="822"/>
      <c r="DY170" s="822"/>
    </row>
    <row r="171" spans="3:148" ht="17.100000000000001" customHeight="1" thickTop="1" x14ac:dyDescent="0.3">
      <c r="E171" s="762"/>
      <c r="F171" s="1170"/>
      <c r="G171" s="1059"/>
      <c r="H171" s="1059"/>
      <c r="I171" s="1059"/>
      <c r="J171" s="1059"/>
      <c r="K171" s="1059"/>
      <c r="L171" s="1059"/>
      <c r="M171" s="1059"/>
      <c r="N171" s="1059"/>
      <c r="O171" s="1059"/>
      <c r="P171" s="1059"/>
      <c r="Q171" s="1059"/>
      <c r="R171" s="1059"/>
      <c r="S171" s="1059"/>
      <c r="T171" s="1059"/>
      <c r="U171" s="1059"/>
      <c r="V171" s="1059"/>
      <c r="W171" s="1059"/>
      <c r="X171" s="1059"/>
      <c r="Y171" s="1059"/>
      <c r="Z171" s="1059"/>
      <c r="AA171" s="1059"/>
      <c r="AB171" s="1059"/>
      <c r="AC171" s="1059"/>
      <c r="AD171" s="1059"/>
      <c r="AE171" s="1059"/>
      <c r="AF171" s="1059"/>
      <c r="AG171" s="1059"/>
      <c r="AH171" s="1059"/>
      <c r="AI171" s="1059"/>
      <c r="AJ171" s="1059"/>
      <c r="AK171" s="1059"/>
      <c r="AL171" s="1059"/>
      <c r="AM171" s="1059"/>
      <c r="AN171" s="1059"/>
      <c r="AO171" s="1059"/>
      <c r="AP171" s="1264"/>
      <c r="AQ171" s="1059"/>
      <c r="AR171" s="1059"/>
      <c r="AS171" s="1059"/>
      <c r="AT171" s="1059"/>
      <c r="AU171" s="1059"/>
      <c r="AV171" s="1059"/>
      <c r="AW171" s="1059"/>
      <c r="AX171" s="1059"/>
      <c r="AY171" s="1059"/>
      <c r="AZ171" s="1059"/>
      <c r="BA171" s="1059"/>
      <c r="BB171" s="1059"/>
      <c r="BC171" s="1059"/>
      <c r="BD171" s="1059"/>
      <c r="BE171" s="1059"/>
      <c r="BF171" s="1059"/>
      <c r="BG171" s="1059"/>
      <c r="BH171" s="1059"/>
      <c r="BI171" s="1059"/>
      <c r="BJ171" s="1059"/>
      <c r="BK171" s="1059"/>
      <c r="BL171" s="1059"/>
      <c r="BM171" s="1059"/>
      <c r="BN171" s="1059"/>
      <c r="BO171" s="1059"/>
      <c r="BP171" s="1059"/>
      <c r="BQ171" s="1059"/>
      <c r="BR171" s="1059"/>
      <c r="BS171" s="1059"/>
      <c r="BT171" s="1059"/>
      <c r="BU171" s="1059"/>
      <c r="BV171" s="1169"/>
      <c r="BW171" s="764"/>
      <c r="BX171" s="822"/>
      <c r="BY171" s="822"/>
      <c r="BZ171" s="822"/>
      <c r="CA171" s="822"/>
      <c r="CB171" s="822"/>
      <c r="CC171" s="822"/>
      <c r="CD171" s="822"/>
      <c r="CE171" s="822"/>
      <c r="CF171" s="822"/>
      <c r="CG171" s="822"/>
      <c r="CH171" s="822"/>
      <c r="CI171" s="822"/>
    </row>
    <row r="172" spans="3:148" ht="17.100000000000001" customHeight="1" thickBot="1" x14ac:dyDescent="0.35">
      <c r="E172" s="783"/>
      <c r="F172" s="784"/>
      <c r="G172" s="1059"/>
      <c r="H172" s="1059"/>
      <c r="I172" s="1059"/>
      <c r="J172" s="1059"/>
      <c r="K172" s="1059"/>
      <c r="L172" s="1059"/>
      <c r="M172" s="1059"/>
      <c r="N172" s="1059"/>
      <c r="O172" s="1059"/>
      <c r="P172" s="1059"/>
      <c r="Q172" s="1059"/>
      <c r="R172" s="1059"/>
      <c r="S172" s="1059"/>
      <c r="T172" s="1059"/>
      <c r="U172" s="1059"/>
      <c r="V172" s="1059"/>
      <c r="W172" s="1059"/>
      <c r="X172" s="1059"/>
      <c r="Y172" s="1059"/>
      <c r="Z172" s="1059"/>
      <c r="AA172" s="1059"/>
      <c r="AB172" s="1059"/>
      <c r="AC172" s="1059"/>
      <c r="AD172" s="1059"/>
      <c r="AE172" s="1059"/>
      <c r="AF172" s="1059"/>
      <c r="AG172" s="1059"/>
      <c r="AH172" s="1059"/>
      <c r="AI172" s="1059"/>
      <c r="AJ172" s="1703"/>
      <c r="AK172" s="1703"/>
      <c r="AL172" s="1703"/>
      <c r="AM172" s="4808"/>
      <c r="AN172" s="4809"/>
      <c r="AO172" s="4810"/>
      <c r="AP172" s="1704"/>
      <c r="AQ172" s="1704"/>
      <c r="AR172" s="1704"/>
      <c r="AS172" s="1704"/>
      <c r="AT172" s="1704"/>
      <c r="AU172" s="1704"/>
      <c r="AV172" s="1704"/>
      <c r="AW172" s="1704"/>
      <c r="AX172" s="1704"/>
      <c r="AY172" s="1704"/>
      <c r="AZ172" s="1059"/>
      <c r="BA172" s="1059"/>
      <c r="BB172" s="1059"/>
      <c r="BC172" s="1059"/>
      <c r="BD172" s="1059"/>
      <c r="BE172" s="1059"/>
      <c r="BF172" s="1059"/>
      <c r="BG172" s="1059"/>
      <c r="BH172" s="1059"/>
      <c r="BI172" s="1059"/>
      <c r="BJ172" s="1059"/>
      <c r="BK172" s="1059"/>
      <c r="BL172" s="1059"/>
      <c r="BM172" s="1059"/>
      <c r="BN172" s="1059"/>
      <c r="BO172" s="1059"/>
      <c r="BP172" s="1059"/>
      <c r="BQ172" s="1059"/>
      <c r="BR172" s="1059"/>
      <c r="BS172" s="1059"/>
      <c r="BT172" s="1059"/>
      <c r="BU172" s="1059"/>
      <c r="BV172" s="784"/>
      <c r="BW172" s="785"/>
      <c r="BX172" s="822"/>
      <c r="BY172" s="822"/>
      <c r="BZ172" s="822"/>
      <c r="CA172" s="822"/>
      <c r="CB172" s="822"/>
      <c r="CC172" s="822"/>
      <c r="CD172" s="822"/>
      <c r="CE172" s="822"/>
      <c r="CF172" s="822"/>
      <c r="CG172" s="822"/>
      <c r="CH172" s="822"/>
      <c r="CI172" s="822"/>
      <c r="CJ172" s="822"/>
      <c r="CK172" s="822"/>
      <c r="CL172" s="822"/>
      <c r="CM172" s="822"/>
      <c r="CN172" s="822"/>
      <c r="CO172" s="822"/>
      <c r="CP172" s="822"/>
      <c r="CQ172" s="822"/>
      <c r="CR172" s="822"/>
      <c r="CS172" s="822"/>
      <c r="CT172" s="822"/>
      <c r="CU172" s="822"/>
      <c r="CV172" s="822"/>
      <c r="CW172" s="822"/>
      <c r="CX172" s="822"/>
      <c r="CY172" s="822"/>
      <c r="CZ172" s="822"/>
      <c r="DA172" s="822"/>
      <c r="DB172" s="822"/>
      <c r="DC172" s="822"/>
      <c r="DD172" s="822"/>
      <c r="DE172" s="822"/>
      <c r="DF172" s="822"/>
      <c r="DG172" s="822"/>
      <c r="DH172" s="822"/>
      <c r="DI172" s="822"/>
      <c r="DJ172" s="822"/>
      <c r="DK172" s="822"/>
      <c r="DL172" s="822"/>
      <c r="DM172" s="822"/>
      <c r="DN172" s="822"/>
    </row>
    <row r="173" spans="3:148" ht="17.100000000000001" customHeight="1" thickTop="1" x14ac:dyDescent="0.3">
      <c r="E173" s="1253"/>
      <c r="F173" s="1253"/>
      <c r="G173" s="762"/>
      <c r="H173" s="1059"/>
      <c r="I173" s="999"/>
      <c r="J173" s="787"/>
      <c r="K173" s="1059"/>
      <c r="L173" s="1059"/>
      <c r="M173" s="1059"/>
      <c r="N173" s="1059"/>
      <c r="O173" s="1059"/>
      <c r="P173" s="1059"/>
      <c r="Q173" s="1059"/>
      <c r="R173" s="1059"/>
      <c r="S173" s="1059"/>
      <c r="T173" s="1059"/>
      <c r="U173" s="1059"/>
      <c r="V173" s="1059"/>
      <c r="W173" s="1059"/>
      <c r="X173" s="1059"/>
      <c r="Y173" s="1059"/>
      <c r="Z173" s="1059"/>
      <c r="AA173" s="1059"/>
      <c r="AB173" s="1059"/>
      <c r="AC173" s="1059"/>
      <c r="AD173" s="1059"/>
      <c r="AE173" s="1059"/>
      <c r="AF173" s="1059"/>
      <c r="AG173" s="1059"/>
      <c r="AH173" s="1059"/>
      <c r="AI173" s="1059"/>
      <c r="AJ173" s="1705"/>
      <c r="AK173" s="1705"/>
      <c r="AL173" s="1705"/>
      <c r="AM173" s="1706"/>
      <c r="AN173" s="1707" t="str" cm="1">
        <f t="array" ref="AN173">_xlfn.IFS(AND(AN170=1,AM172=""),"ENTER SHEET INITIATION DATE ABOVE",AN170=1,"|",TRUE,"")</f>
        <v/>
      </c>
      <c r="AO173" s="1706"/>
      <c r="AP173" s="1059"/>
      <c r="AQ173" s="1059"/>
      <c r="AR173" s="1059"/>
      <c r="AS173" s="1059"/>
      <c r="AT173" s="1708"/>
      <c r="AU173" s="1059"/>
      <c r="AV173" s="1709"/>
      <c r="AW173" s="1059"/>
      <c r="AX173" s="1059"/>
      <c r="AY173" s="1059"/>
      <c r="AZ173" s="1059"/>
      <c r="BA173" s="1059"/>
      <c r="BB173" s="1059"/>
      <c r="BC173" s="1059"/>
      <c r="BD173" s="1059"/>
      <c r="BE173" s="1059"/>
      <c r="BF173" s="1059"/>
      <c r="BG173" s="1059"/>
      <c r="BH173" s="1059"/>
      <c r="BI173" s="1059"/>
      <c r="BJ173" s="1059"/>
      <c r="BK173" s="1059"/>
      <c r="BL173" s="1059"/>
      <c r="BM173" s="1059"/>
      <c r="BN173" s="1059"/>
      <c r="BO173" s="1059"/>
      <c r="BP173" s="1059"/>
      <c r="BQ173" s="1059"/>
      <c r="BR173" s="1059"/>
      <c r="BS173" s="1059"/>
      <c r="BT173" s="1059"/>
      <c r="BU173" s="764"/>
      <c r="BV173" s="1253"/>
      <c r="BW173" s="1253"/>
      <c r="BX173" s="822"/>
      <c r="BY173" s="822"/>
      <c r="BZ173" s="822"/>
      <c r="CA173" s="822"/>
      <c r="CB173" s="822"/>
      <c r="CC173" s="822"/>
      <c r="CD173" s="822"/>
      <c r="CE173" s="822"/>
      <c r="CF173" s="822"/>
      <c r="CG173" s="822"/>
      <c r="CH173" s="822"/>
      <c r="CI173" s="822"/>
      <c r="CJ173" s="822"/>
      <c r="CK173" s="822"/>
      <c r="CL173" s="822"/>
      <c r="CM173" s="822"/>
      <c r="CN173" s="822"/>
      <c r="CO173" s="822"/>
      <c r="CP173" s="822"/>
      <c r="CQ173" s="822"/>
      <c r="CR173" s="822"/>
      <c r="CS173" s="822"/>
      <c r="CT173" s="822"/>
      <c r="CU173" s="822"/>
      <c r="CV173" s="822"/>
      <c r="CW173" s="822"/>
      <c r="CX173" s="822"/>
      <c r="CY173" s="822"/>
      <c r="CZ173" s="822"/>
      <c r="DA173" s="822"/>
      <c r="DB173" s="822"/>
      <c r="DC173" s="822"/>
      <c r="DD173" s="822"/>
      <c r="DE173" s="822"/>
      <c r="DF173" s="822"/>
      <c r="DG173" s="822"/>
      <c r="DH173" s="822"/>
      <c r="DI173" s="822"/>
      <c r="DJ173" s="822"/>
      <c r="DK173" s="822"/>
      <c r="DL173" s="822"/>
      <c r="DM173" s="822"/>
      <c r="DN173" s="822"/>
    </row>
    <row r="174" spans="3:148" ht="17.100000000000001" customHeight="1" thickBot="1" x14ac:dyDescent="0.35">
      <c r="E174" s="1253"/>
      <c r="F174" s="1253"/>
      <c r="G174" s="783"/>
      <c r="H174" s="784"/>
      <c r="I174" s="784"/>
      <c r="J174" s="784"/>
      <c r="K174" s="784"/>
      <c r="L174" s="784"/>
      <c r="M174" s="784"/>
      <c r="N174" s="784"/>
      <c r="O174" s="784"/>
      <c r="P174" s="784"/>
      <c r="Q174" s="784"/>
      <c r="R174" s="784"/>
      <c r="S174" s="784"/>
      <c r="T174" s="784"/>
      <c r="U174" s="784"/>
      <c r="V174" s="784"/>
      <c r="W174" s="784"/>
      <c r="X174" s="784"/>
      <c r="Y174" s="784"/>
      <c r="Z174" s="784"/>
      <c r="AA174" s="1059"/>
      <c r="AB174" s="1059"/>
      <c r="AC174" s="1059"/>
      <c r="AD174" s="1059"/>
      <c r="AE174" s="1059"/>
      <c r="AF174" s="1059"/>
      <c r="AG174" s="1059"/>
      <c r="AH174" s="1059"/>
      <c r="AI174" s="1059"/>
      <c r="AJ174" s="1262"/>
      <c r="AK174" s="1262"/>
      <c r="AL174" s="1262"/>
      <c r="AM174" s="4808"/>
      <c r="AN174" s="4809"/>
      <c r="AO174" s="4810"/>
      <c r="AP174" s="1262"/>
      <c r="AQ174" s="1262"/>
      <c r="AR174" s="1262"/>
      <c r="AS174" s="1262"/>
      <c r="AT174" s="1263"/>
      <c r="AU174" s="1059"/>
      <c r="AV174" s="1059"/>
      <c r="AW174" s="1059"/>
      <c r="AX174" s="1059"/>
      <c r="AY174" s="1059"/>
      <c r="AZ174" s="1059"/>
      <c r="BA174" s="1059"/>
      <c r="BB174" s="784"/>
      <c r="BC174" s="784"/>
      <c r="BD174" s="784"/>
      <c r="BE174" s="784"/>
      <c r="BF174" s="784"/>
      <c r="BG174" s="784"/>
      <c r="BH174" s="784"/>
      <c r="BI174" s="784"/>
      <c r="BJ174" s="784"/>
      <c r="BK174" s="784"/>
      <c r="BL174" s="784"/>
      <c r="BM174" s="784"/>
      <c r="BN174" s="784"/>
      <c r="BO174" s="784"/>
      <c r="BP174" s="784"/>
      <c r="BQ174" s="784"/>
      <c r="BR174" s="784"/>
      <c r="BS174" s="784"/>
      <c r="BT174" s="784"/>
      <c r="BU174" s="785"/>
      <c r="BV174" s="1253"/>
      <c r="BW174" s="1253"/>
      <c r="BX174" s="822"/>
      <c r="BY174" s="822"/>
      <c r="BZ174" s="822"/>
      <c r="CA174" s="822"/>
      <c r="CB174" s="822"/>
      <c r="CC174" s="822"/>
      <c r="CD174" s="822"/>
      <c r="CE174" s="822"/>
      <c r="CF174" s="822"/>
      <c r="CG174" s="822"/>
      <c r="CH174" s="822"/>
      <c r="CI174" s="822"/>
      <c r="CJ174" s="822"/>
      <c r="CK174" s="822"/>
      <c r="CL174" s="822"/>
      <c r="CM174" s="822"/>
      <c r="CN174" s="822"/>
      <c r="CO174" s="822"/>
      <c r="CP174" s="822"/>
      <c r="CQ174" s="822"/>
      <c r="CR174" s="822"/>
      <c r="CS174" s="822"/>
      <c r="CT174" s="822"/>
      <c r="CU174" s="822"/>
      <c r="CV174" s="822"/>
      <c r="CW174" s="822"/>
      <c r="CX174" s="822"/>
      <c r="CY174" s="822"/>
      <c r="CZ174" s="822"/>
      <c r="DA174" s="822"/>
      <c r="DB174" s="822"/>
      <c r="DC174" s="822"/>
      <c r="DD174" s="822"/>
      <c r="DE174" s="822"/>
      <c r="DF174" s="822"/>
      <c r="DG174" s="822"/>
      <c r="DH174" s="822"/>
      <c r="DI174" s="822"/>
      <c r="DJ174" s="822"/>
      <c r="DK174" s="822"/>
      <c r="DL174" s="822"/>
      <c r="DM174" s="822"/>
      <c r="DN174" s="822"/>
    </row>
    <row r="175" spans="3:148" ht="17.100000000000001" customHeight="1" thickTop="1" x14ac:dyDescent="0.3">
      <c r="E175" s="1253"/>
      <c r="F175" s="1253"/>
      <c r="G175" s="1253"/>
      <c r="H175" s="1253"/>
      <c r="I175" s="1253"/>
      <c r="J175" s="1253"/>
      <c r="K175" s="1253"/>
      <c r="L175" s="1253"/>
      <c r="M175" s="1253"/>
      <c r="N175" s="1253"/>
      <c r="O175" s="1253"/>
      <c r="P175" s="1253"/>
      <c r="Q175" s="1253"/>
      <c r="R175" s="1253"/>
      <c r="S175" s="1253"/>
      <c r="T175" s="1253"/>
      <c r="U175" s="1253"/>
      <c r="V175" s="1253"/>
      <c r="W175" s="1253"/>
      <c r="X175" s="1253"/>
      <c r="Y175" s="1253"/>
      <c r="Z175" s="1253"/>
      <c r="AA175" s="762"/>
      <c r="AB175" s="1170"/>
      <c r="AC175" s="1059"/>
      <c r="AD175" s="1059"/>
      <c r="AE175" s="1059"/>
      <c r="AF175" s="1059"/>
      <c r="AG175" s="1059"/>
      <c r="AH175" s="1059"/>
      <c r="AI175" s="1059"/>
      <c r="AJ175" s="1059"/>
      <c r="AK175" s="1059"/>
      <c r="AL175" s="1059"/>
      <c r="AM175" s="1059"/>
      <c r="AN175" s="1701" t="str">
        <f>IF(AND(AN170=1,AM174=""),"ENTER SHEET COMPLETION DATE ABOVE","")</f>
        <v/>
      </c>
      <c r="AO175" s="1059"/>
      <c r="AP175" s="1059"/>
      <c r="AQ175" s="1059"/>
      <c r="AR175" s="1059"/>
      <c r="AS175" s="1059"/>
      <c r="AT175" s="1059"/>
      <c r="AU175" s="1059"/>
      <c r="AV175" s="1059"/>
      <c r="AW175" s="1059"/>
      <c r="AX175" s="1059"/>
      <c r="AY175" s="1059"/>
      <c r="AZ175" s="1169"/>
      <c r="BA175" s="764"/>
      <c r="BB175" s="1253"/>
      <c r="BC175" s="1253"/>
      <c r="BD175" s="1253"/>
      <c r="BE175" s="1253"/>
      <c r="BF175" s="1253"/>
      <c r="BG175" s="1253"/>
      <c r="BH175" s="1253"/>
      <c r="BI175" s="1253"/>
      <c r="BJ175" s="1253"/>
      <c r="BK175" s="1253"/>
      <c r="BL175" s="1253"/>
      <c r="BM175" s="1253"/>
      <c r="BN175" s="1253"/>
      <c r="BO175" s="1253"/>
      <c r="BP175" s="1253"/>
      <c r="BQ175" s="1253"/>
      <c r="BR175" s="1253"/>
      <c r="BS175" s="1253"/>
      <c r="BT175" s="1253"/>
      <c r="BU175" s="1253"/>
      <c r="BV175" s="1253"/>
      <c r="BW175" s="1253"/>
      <c r="BX175" s="822"/>
      <c r="BY175" s="822"/>
      <c r="BZ175" s="822"/>
      <c r="CA175" s="822"/>
      <c r="CB175" s="822"/>
      <c r="CC175" s="822"/>
      <c r="CD175" s="822"/>
      <c r="CE175" s="822"/>
      <c r="CF175" s="822"/>
      <c r="CG175" s="822"/>
      <c r="CH175" s="822"/>
      <c r="CI175" s="822"/>
      <c r="CJ175" s="822"/>
      <c r="CK175" s="822"/>
      <c r="CL175" s="822"/>
      <c r="CM175" s="822"/>
      <c r="CN175" s="822"/>
      <c r="CO175" s="822"/>
      <c r="CP175" s="822"/>
      <c r="CQ175" s="822"/>
      <c r="CR175" s="822"/>
      <c r="CS175" s="822"/>
      <c r="CT175" s="822"/>
      <c r="CU175" s="822"/>
      <c r="CV175" s="822"/>
      <c r="CW175" s="822"/>
      <c r="CX175" s="822"/>
      <c r="CY175" s="822"/>
      <c r="CZ175" s="822"/>
      <c r="DA175" s="822"/>
      <c r="DB175" s="822"/>
      <c r="DC175" s="822"/>
      <c r="DD175" s="822"/>
      <c r="DE175" s="822"/>
      <c r="DF175" s="822"/>
      <c r="DG175" s="822"/>
      <c r="DH175" s="822"/>
      <c r="DI175" s="822"/>
      <c r="DJ175" s="822"/>
      <c r="DK175" s="822"/>
      <c r="DL175" s="822"/>
      <c r="DM175" s="822"/>
      <c r="DN175" s="822"/>
    </row>
    <row r="176" spans="3:148" ht="17.100000000000001" customHeight="1" thickBot="1" x14ac:dyDescent="0.35">
      <c r="E176" s="1253"/>
      <c r="F176" s="1253"/>
      <c r="G176" s="1253"/>
      <c r="H176" s="1253"/>
      <c r="I176" s="1253"/>
      <c r="J176" s="1253"/>
      <c r="K176" s="1253"/>
      <c r="L176" s="1253"/>
      <c r="M176" s="1253"/>
      <c r="N176" s="1253"/>
      <c r="O176" s="1253"/>
      <c r="P176" s="1253"/>
      <c r="Q176" s="1253"/>
      <c r="R176" s="1253"/>
      <c r="S176" s="1253"/>
      <c r="T176" s="1253"/>
      <c r="U176" s="1253"/>
      <c r="V176" s="1253"/>
      <c r="W176" s="1253"/>
      <c r="X176" s="1253"/>
      <c r="Y176" s="1253"/>
      <c r="Z176" s="1253"/>
      <c r="AA176" s="783"/>
      <c r="AB176" s="784"/>
      <c r="AC176" s="784"/>
      <c r="AD176" s="784"/>
      <c r="AE176" s="784"/>
      <c r="AF176" s="784"/>
      <c r="AG176" s="784"/>
      <c r="AH176" s="784"/>
      <c r="AI176" s="784"/>
      <c r="AJ176" s="784"/>
      <c r="AK176" s="784"/>
      <c r="AL176" s="784"/>
      <c r="AM176" s="784"/>
      <c r="AN176" s="784"/>
      <c r="AO176" s="784"/>
      <c r="AP176" s="784"/>
      <c r="AQ176" s="784"/>
      <c r="AR176" s="784"/>
      <c r="AS176" s="784"/>
      <c r="AT176" s="784"/>
      <c r="AU176" s="784"/>
      <c r="AV176" s="784"/>
      <c r="AW176" s="784"/>
      <c r="AX176" s="784"/>
      <c r="AY176" s="784"/>
      <c r="AZ176" s="784"/>
      <c r="BA176" s="785"/>
      <c r="BB176" s="1253"/>
      <c r="BC176" s="1253"/>
      <c r="BD176" s="1253"/>
      <c r="BE176" s="1253"/>
      <c r="BF176" s="1253"/>
      <c r="BG176" s="1253"/>
      <c r="BH176" s="1253"/>
      <c r="BI176" s="1253"/>
      <c r="BJ176" s="1253"/>
      <c r="BK176" s="1253"/>
      <c r="BL176" s="1253"/>
      <c r="BM176" s="1253"/>
      <c r="BN176" s="1253"/>
      <c r="BO176" s="1253"/>
      <c r="BP176" s="1253"/>
      <c r="BQ176" s="1253"/>
      <c r="BR176" s="1253"/>
      <c r="BS176" s="1253"/>
      <c r="BT176" s="1253"/>
      <c r="BU176" s="1253"/>
      <c r="BV176" s="1253"/>
      <c r="BW176" s="1253"/>
      <c r="BX176" s="822"/>
      <c r="BY176" s="822"/>
      <c r="BZ176" s="822"/>
      <c r="CA176" s="822"/>
      <c r="CB176" s="822"/>
      <c r="CC176" s="822"/>
      <c r="CD176" s="822"/>
      <c r="CE176" s="822"/>
      <c r="CF176" s="822"/>
      <c r="CG176" s="822"/>
      <c r="CH176" s="822"/>
      <c r="CI176" s="822"/>
      <c r="CJ176" s="822"/>
      <c r="CK176" s="822"/>
      <c r="CL176" s="822"/>
      <c r="CM176" s="822"/>
      <c r="CN176" s="822"/>
      <c r="CO176" s="822"/>
      <c r="CP176" s="822"/>
      <c r="CQ176" s="822"/>
      <c r="CR176" s="822"/>
      <c r="CS176" s="822"/>
      <c r="CT176" s="822"/>
      <c r="CU176" s="822"/>
      <c r="CV176" s="822"/>
      <c r="CW176" s="822"/>
      <c r="CX176" s="822"/>
      <c r="CY176" s="822"/>
      <c r="CZ176" s="822"/>
      <c r="DA176" s="822"/>
      <c r="DB176" s="822"/>
      <c r="DC176" s="822"/>
      <c r="DD176" s="822"/>
      <c r="DE176" s="822"/>
      <c r="DF176" s="822"/>
      <c r="DG176" s="822"/>
      <c r="DH176" s="822"/>
      <c r="DI176" s="822"/>
      <c r="DJ176" s="822"/>
      <c r="DK176" s="822"/>
      <c r="DL176" s="822"/>
      <c r="DM176" s="822"/>
      <c r="DN176" s="822"/>
    </row>
    <row r="177" spans="5:148" ht="17.100000000000001" customHeight="1" thickTop="1" x14ac:dyDescent="0.3">
      <c r="R177" s="822"/>
      <c r="S177" s="822"/>
      <c r="T177" s="822"/>
      <c r="U177" s="822"/>
      <c r="V177" s="822"/>
      <c r="W177" s="822"/>
      <c r="X177" s="822"/>
      <c r="Y177" s="822"/>
      <c r="Z177" s="822"/>
      <c r="AA177" s="822"/>
      <c r="AB177" s="822"/>
      <c r="AC177" s="822"/>
      <c r="AD177" s="822"/>
      <c r="AE177" s="822"/>
      <c r="AF177" s="822"/>
      <c r="AG177" s="822"/>
      <c r="AH177" s="822"/>
      <c r="AI177" s="822"/>
      <c r="AJ177" s="822"/>
      <c r="AK177" s="822"/>
      <c r="AL177" s="822"/>
      <c r="AM177" s="822"/>
      <c r="AN177" s="822"/>
      <c r="AO177" s="822"/>
      <c r="AP177" s="822"/>
      <c r="AQ177" s="822"/>
      <c r="AR177" s="822"/>
      <c r="AS177" s="822"/>
      <c r="AT177" s="822"/>
      <c r="AU177" s="822"/>
      <c r="AV177" s="822"/>
      <c r="AW177" s="822"/>
      <c r="AX177" s="822"/>
      <c r="AY177" s="822"/>
      <c r="AZ177" s="822"/>
      <c r="BA177" s="822"/>
      <c r="BB177" s="822"/>
      <c r="BC177" s="822"/>
      <c r="BD177" s="822"/>
      <c r="BE177" s="822"/>
      <c r="BF177" s="822"/>
      <c r="BG177" s="822"/>
      <c r="BH177" s="822"/>
      <c r="BI177" s="822"/>
      <c r="BJ177" s="822"/>
      <c r="BK177" s="822"/>
      <c r="BL177" s="822"/>
      <c r="BM177" s="822"/>
      <c r="BN177" s="822"/>
      <c r="BO177" s="822"/>
      <c r="BP177" s="822"/>
      <c r="BQ177" s="822"/>
      <c r="BR177" s="822"/>
      <c r="BS177" s="822"/>
      <c r="BT177" s="822"/>
      <c r="BU177" s="822"/>
      <c r="BV177" s="822"/>
      <c r="BX177" s="822"/>
      <c r="BY177" s="822"/>
      <c r="BZ177" s="822"/>
      <c r="CA177" s="822"/>
      <c r="CB177" s="822"/>
      <c r="CC177" s="822"/>
      <c r="CD177" s="822"/>
      <c r="CE177" s="822"/>
      <c r="CF177" s="822"/>
      <c r="CG177" s="822"/>
      <c r="CH177" s="822"/>
      <c r="CI177" s="822"/>
      <c r="CJ177" s="822"/>
      <c r="CK177" s="822"/>
      <c r="CL177" s="822"/>
      <c r="CM177" s="822"/>
      <c r="CN177" s="822"/>
      <c r="CO177" s="822"/>
      <c r="CP177" s="822"/>
      <c r="CQ177" s="822"/>
      <c r="CR177" s="822"/>
      <c r="CS177" s="822"/>
      <c r="CT177" s="822"/>
      <c r="CU177" s="822"/>
      <c r="CV177" s="822"/>
      <c r="CW177" s="822"/>
      <c r="CX177" s="822"/>
      <c r="CY177" s="822"/>
      <c r="CZ177" s="822"/>
      <c r="DA177" s="822"/>
      <c r="DB177" s="822"/>
      <c r="DC177" s="822"/>
      <c r="DD177" s="822"/>
      <c r="DE177" s="822"/>
      <c r="DF177" s="822"/>
      <c r="DG177" s="822"/>
      <c r="DH177" s="822"/>
      <c r="DI177" s="822"/>
      <c r="DJ177" s="822"/>
      <c r="DK177" s="822"/>
      <c r="DL177" s="822"/>
      <c r="DM177" s="822"/>
      <c r="DN177" s="822"/>
    </row>
    <row r="178" spans="5:148" ht="17.100000000000001" customHeight="1" x14ac:dyDescent="0.3">
      <c r="R178" s="822"/>
      <c r="S178" s="822"/>
      <c r="T178" s="822"/>
      <c r="U178" s="822"/>
      <c r="V178" s="822"/>
      <c r="W178" s="822"/>
      <c r="X178" s="822"/>
      <c r="Y178" s="822"/>
      <c r="Z178" s="822"/>
      <c r="AA178" s="822"/>
      <c r="AB178" s="822"/>
      <c r="AC178" s="822"/>
      <c r="AD178" s="822"/>
      <c r="AE178" s="822"/>
      <c r="AF178" s="822"/>
      <c r="AG178" s="822"/>
      <c r="AH178" s="822"/>
      <c r="AI178" s="822"/>
      <c r="AJ178" s="822"/>
      <c r="AK178" s="822"/>
      <c r="AL178" s="822"/>
      <c r="AM178" s="822"/>
      <c r="AN178" s="34" t="s">
        <v>9</v>
      </c>
      <c r="AO178" s="822"/>
      <c r="AP178" s="822"/>
      <c r="AQ178" s="822"/>
      <c r="AR178" s="822"/>
      <c r="AS178" s="822"/>
      <c r="AT178" s="822"/>
      <c r="AU178" s="822"/>
      <c r="AV178" s="822"/>
      <c r="AW178" s="822"/>
      <c r="AX178" s="822"/>
      <c r="AY178" s="822"/>
      <c r="AZ178" s="822"/>
      <c r="BA178" s="822"/>
      <c r="BB178" s="822"/>
      <c r="BC178" s="822"/>
      <c r="BD178" s="822"/>
      <c r="BE178" s="822"/>
      <c r="BF178" s="822"/>
      <c r="BG178" s="822"/>
      <c r="BH178" s="822"/>
      <c r="BI178" s="822"/>
      <c r="BJ178" s="822"/>
      <c r="BK178" s="822"/>
      <c r="BL178" s="822"/>
      <c r="BM178" s="822"/>
      <c r="BN178" s="822"/>
      <c r="BO178" s="822"/>
      <c r="BP178" s="822"/>
      <c r="BQ178" s="822"/>
      <c r="BR178" s="822"/>
      <c r="BS178" s="822"/>
      <c r="BT178" s="822"/>
      <c r="BU178" s="822"/>
      <c r="BV178" s="822"/>
      <c r="BX178" s="822"/>
      <c r="BY178" s="822"/>
      <c r="BZ178" s="822"/>
      <c r="CA178" s="822"/>
      <c r="CB178" s="822"/>
      <c r="CC178" s="822"/>
      <c r="CD178" s="822"/>
      <c r="CE178" s="822"/>
      <c r="CF178" s="822"/>
      <c r="CG178" s="822"/>
      <c r="CH178" s="822"/>
      <c r="CI178" s="822"/>
      <c r="CJ178" s="822"/>
      <c r="CK178" s="822"/>
      <c r="CL178" s="822"/>
      <c r="CM178" s="822"/>
      <c r="CN178" s="822"/>
      <c r="CO178" s="822"/>
      <c r="CP178" s="822"/>
      <c r="CQ178" s="822"/>
      <c r="CR178" s="822"/>
      <c r="CS178" s="822"/>
      <c r="CT178" s="822"/>
      <c r="CU178" s="822"/>
      <c r="CV178" s="822"/>
      <c r="CW178" s="822"/>
      <c r="CX178" s="822"/>
      <c r="CY178" s="822"/>
      <c r="CZ178" s="822"/>
      <c r="DA178" s="822"/>
      <c r="DB178" s="822"/>
      <c r="DC178" s="822"/>
      <c r="DD178" s="822"/>
      <c r="DE178" s="822"/>
      <c r="DF178" s="822"/>
      <c r="DG178" s="822"/>
      <c r="DH178" s="822"/>
      <c r="DI178" s="822"/>
      <c r="DJ178" s="822"/>
      <c r="DK178" s="822"/>
      <c r="DL178" s="822"/>
      <c r="DM178" s="822"/>
      <c r="DN178" s="822"/>
    </row>
    <row r="179" spans="5:148" ht="17.100000000000001" customHeight="1" thickBot="1" x14ac:dyDescent="0.35">
      <c r="R179" s="822"/>
      <c r="S179" s="822"/>
      <c r="T179" s="822"/>
      <c r="U179" s="822"/>
      <c r="V179" s="822"/>
      <c r="W179" s="822"/>
      <c r="X179" s="822"/>
      <c r="Y179" s="822"/>
      <c r="Z179" s="822"/>
      <c r="AA179" s="822"/>
      <c r="AB179" s="822"/>
      <c r="AC179" s="822"/>
      <c r="AD179" s="822"/>
      <c r="AE179" s="822"/>
      <c r="AF179" s="822"/>
      <c r="AG179" s="822"/>
      <c r="AH179" s="822"/>
      <c r="AI179" s="822"/>
      <c r="AJ179" s="822"/>
      <c r="AK179" s="822"/>
      <c r="AL179" s="822"/>
      <c r="AM179" s="822"/>
      <c r="AN179" s="34" t="s">
        <v>9</v>
      </c>
      <c r="AO179" s="822"/>
      <c r="AP179" s="822"/>
      <c r="AQ179" s="822"/>
      <c r="AR179" s="822"/>
      <c r="AS179" s="822"/>
      <c r="AT179" s="822"/>
      <c r="AU179" s="822"/>
      <c r="AV179" s="822"/>
      <c r="AW179" s="822"/>
      <c r="AX179" s="822"/>
      <c r="AY179" s="822"/>
      <c r="AZ179" s="822"/>
      <c r="BA179" s="822"/>
      <c r="BB179" s="822"/>
      <c r="BC179" s="822"/>
      <c r="BD179" s="822"/>
      <c r="BE179" s="822"/>
      <c r="BF179" s="822"/>
      <c r="BG179" s="822"/>
      <c r="BH179" s="822"/>
      <c r="BI179" s="822"/>
      <c r="BJ179" s="822"/>
      <c r="BK179" s="822"/>
      <c r="BL179" s="822"/>
      <c r="BM179" s="822"/>
      <c r="BN179" s="822"/>
      <c r="BO179" s="822"/>
      <c r="BP179" s="822"/>
      <c r="BQ179" s="822"/>
      <c r="BR179" s="822"/>
      <c r="BS179" s="822"/>
      <c r="BT179" s="822"/>
      <c r="BU179" s="822"/>
      <c r="BV179" s="822"/>
      <c r="BX179" s="822"/>
      <c r="BY179" s="822"/>
      <c r="BZ179" s="822"/>
      <c r="CA179" s="822"/>
      <c r="CB179" s="822"/>
      <c r="CC179" s="822"/>
      <c r="CD179" s="822"/>
      <c r="CE179" s="822"/>
      <c r="CF179" s="822"/>
      <c r="CG179" s="822"/>
      <c r="CH179" s="822"/>
      <c r="CI179" s="822"/>
      <c r="CJ179" s="822"/>
      <c r="CK179" s="822"/>
      <c r="CL179" s="822"/>
      <c r="CM179" s="822"/>
      <c r="CN179" s="822"/>
      <c r="CO179" s="822"/>
      <c r="CP179" s="822"/>
      <c r="CQ179" s="822"/>
      <c r="CR179" s="822"/>
      <c r="CS179" s="822"/>
      <c r="CT179" s="822"/>
      <c r="CU179" s="822"/>
      <c r="CV179" s="822"/>
      <c r="CW179" s="822"/>
      <c r="CX179" s="822"/>
      <c r="CY179" s="822"/>
      <c r="CZ179" s="822"/>
      <c r="DA179" s="822"/>
      <c r="DB179" s="822"/>
      <c r="DC179" s="822"/>
      <c r="DD179" s="822"/>
      <c r="DE179" s="822"/>
      <c r="DF179" s="822"/>
      <c r="DG179" s="822"/>
      <c r="DH179" s="822"/>
      <c r="DI179" s="822"/>
      <c r="DJ179" s="822"/>
      <c r="DK179" s="822"/>
      <c r="DL179" s="822"/>
      <c r="DM179" s="822"/>
      <c r="DN179" s="822"/>
    </row>
    <row r="180" spans="5:148" ht="17.100000000000001" customHeight="1" thickTop="1" x14ac:dyDescent="0.3">
      <c r="E180" s="23"/>
      <c r="F180" s="23"/>
      <c r="G180" s="23"/>
      <c r="H180" s="23"/>
      <c r="I180" s="23"/>
      <c r="J180" s="23"/>
      <c r="K180" s="23"/>
      <c r="L180" s="23"/>
      <c r="M180" s="23"/>
      <c r="N180" s="23"/>
      <c r="O180" s="23"/>
      <c r="P180" s="23"/>
      <c r="Q180" s="23"/>
      <c r="R180" s="23"/>
      <c r="S180" s="23"/>
      <c r="T180" s="23"/>
      <c r="U180" s="23"/>
      <c r="V180" s="23"/>
      <c r="W180" s="23"/>
      <c r="X180" s="23"/>
      <c r="Y180" s="23"/>
      <c r="Z180" s="23"/>
      <c r="AA180" s="759"/>
      <c r="AB180" s="760"/>
      <c r="AC180" s="760"/>
      <c r="AD180" s="760"/>
      <c r="AE180" s="760"/>
      <c r="AF180" s="760"/>
      <c r="AG180" s="760"/>
      <c r="AH180" s="760"/>
      <c r="AI180" s="760"/>
      <c r="AJ180" s="760"/>
      <c r="AK180" s="760"/>
      <c r="AL180" s="760"/>
      <c r="AM180" s="760"/>
      <c r="AN180" s="760"/>
      <c r="AO180" s="760"/>
      <c r="AP180" s="760"/>
      <c r="AQ180" s="760"/>
      <c r="AR180" s="760"/>
      <c r="AS180" s="760"/>
      <c r="AT180" s="760"/>
      <c r="AU180" s="760"/>
      <c r="AV180" s="760"/>
      <c r="AW180" s="760"/>
      <c r="AX180" s="760"/>
      <c r="AY180" s="760"/>
      <c r="AZ180" s="760"/>
      <c r="BA180" s="761"/>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822"/>
      <c r="BY180" s="822"/>
      <c r="BZ180" s="822"/>
      <c r="CA180" s="822"/>
      <c r="CB180" s="822"/>
      <c r="CC180" s="822"/>
      <c r="CD180" s="822"/>
      <c r="CE180" s="822"/>
      <c r="CF180" s="822"/>
      <c r="CG180" s="822"/>
      <c r="CH180" s="822"/>
      <c r="CI180" s="822"/>
      <c r="CJ180" s="822"/>
      <c r="CK180" s="822"/>
      <c r="CL180" s="822"/>
      <c r="CM180" s="822"/>
      <c r="CN180" s="822"/>
      <c r="CO180" s="822"/>
      <c r="CP180" s="822"/>
      <c r="CQ180" s="822"/>
      <c r="CR180" s="822"/>
      <c r="CS180" s="822"/>
      <c r="CT180" s="822"/>
      <c r="CU180" s="822"/>
      <c r="CV180" s="822"/>
      <c r="CW180" s="822"/>
      <c r="CX180" s="822"/>
      <c r="CY180" s="822"/>
      <c r="CZ180" s="822"/>
      <c r="DA180" s="822"/>
      <c r="DB180" s="822"/>
      <c r="DC180" s="822"/>
      <c r="DD180" s="822"/>
      <c r="DE180" s="822"/>
      <c r="DF180" s="822"/>
      <c r="DG180" s="822"/>
      <c r="DH180" s="822"/>
      <c r="DI180" s="822"/>
      <c r="DJ180" s="822"/>
      <c r="DK180" s="822"/>
      <c r="DL180" s="822"/>
      <c r="DM180" s="822"/>
      <c r="DN180" s="822"/>
    </row>
    <row r="181" spans="5:148" ht="17.100000000000001" customHeight="1" thickBot="1" x14ac:dyDescent="0.35">
      <c r="E181" s="23"/>
      <c r="F181" s="23"/>
      <c r="G181" s="23"/>
      <c r="H181" s="23"/>
      <c r="I181" s="23"/>
      <c r="J181" s="23"/>
      <c r="K181" s="23"/>
      <c r="L181" s="23"/>
      <c r="M181" s="23"/>
      <c r="N181" s="23"/>
      <c r="O181" s="23"/>
      <c r="P181" s="23"/>
      <c r="Q181" s="23"/>
      <c r="R181" s="23"/>
      <c r="S181" s="23"/>
      <c r="T181" s="23"/>
      <c r="U181" s="23"/>
      <c r="V181" s="23"/>
      <c r="W181" s="23"/>
      <c r="X181" s="23"/>
      <c r="Y181" s="23"/>
      <c r="Z181" s="23"/>
      <c r="AA181" s="762"/>
      <c r="AB181" s="94"/>
      <c r="AC181" s="1273"/>
      <c r="AD181" s="1273"/>
      <c r="AE181" s="1273"/>
      <c r="AF181" s="1273"/>
      <c r="AG181" s="1273"/>
      <c r="AH181" s="1273"/>
      <c r="AI181" s="1273"/>
      <c r="AJ181" s="1273"/>
      <c r="AK181" s="1273"/>
      <c r="AL181" s="1273"/>
      <c r="AM181" s="1273"/>
      <c r="AN181" s="2286"/>
      <c r="AO181" s="1273"/>
      <c r="AP181" s="1273"/>
      <c r="AQ181" s="1273"/>
      <c r="AR181" s="1273"/>
      <c r="AS181" s="1273"/>
      <c r="AT181" s="1273"/>
      <c r="AU181" s="1273"/>
      <c r="AV181" s="1273"/>
      <c r="AW181" s="1273"/>
      <c r="AX181" s="1273"/>
      <c r="AY181" s="1273"/>
      <c r="AZ181" s="94"/>
      <c r="BA181" s="764"/>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822"/>
      <c r="BY181" s="822"/>
      <c r="BZ181" s="822"/>
      <c r="CA181" s="822"/>
      <c r="CB181" s="822"/>
      <c r="CC181" s="822"/>
      <c r="CD181" s="822"/>
      <c r="CE181" s="822"/>
      <c r="CF181" s="822"/>
      <c r="CG181" s="822"/>
      <c r="CH181" s="822"/>
      <c r="CI181" s="822"/>
      <c r="CJ181" s="822"/>
      <c r="CK181" s="822"/>
      <c r="CL181" s="822"/>
      <c r="CM181" s="822"/>
      <c r="CN181" s="822"/>
      <c r="CO181" s="822"/>
      <c r="CP181" s="822"/>
      <c r="CQ181" s="822"/>
      <c r="CR181" s="822"/>
      <c r="CS181" s="822"/>
      <c r="CT181" s="822"/>
      <c r="CU181" s="822"/>
      <c r="CV181" s="822"/>
      <c r="CW181" s="822"/>
      <c r="CX181" s="822"/>
      <c r="CY181" s="822"/>
      <c r="CZ181" s="822"/>
      <c r="DA181" s="822"/>
      <c r="DB181" s="822"/>
      <c r="DC181" s="822"/>
      <c r="DD181" s="822"/>
      <c r="DE181" s="822"/>
      <c r="DF181" s="822"/>
      <c r="DG181" s="822"/>
      <c r="DH181" s="822"/>
      <c r="DI181" s="822"/>
      <c r="DJ181" s="822"/>
      <c r="DK181" s="822"/>
      <c r="DL181" s="822"/>
      <c r="DM181" s="822"/>
      <c r="DN181" s="822"/>
    </row>
    <row r="182" spans="5:148" ht="17.100000000000001" customHeight="1" thickTop="1" x14ac:dyDescent="0.3">
      <c r="E182" s="23"/>
      <c r="F182" s="23"/>
      <c r="G182" s="759"/>
      <c r="H182" s="760"/>
      <c r="I182" s="760"/>
      <c r="J182" s="760"/>
      <c r="K182" s="760"/>
      <c r="L182" s="760"/>
      <c r="M182" s="760"/>
      <c r="N182" s="760"/>
      <c r="O182" s="760"/>
      <c r="P182" s="760"/>
      <c r="Q182" s="760"/>
      <c r="R182" s="760"/>
      <c r="S182" s="760"/>
      <c r="T182" s="760"/>
      <c r="U182" s="760"/>
      <c r="V182" s="760"/>
      <c r="W182" s="760"/>
      <c r="X182" s="760"/>
      <c r="Y182" s="760"/>
      <c r="Z182" s="760"/>
      <c r="AA182" s="1059"/>
      <c r="AB182" s="1059"/>
      <c r="AC182" s="1273"/>
      <c r="AD182" s="1273"/>
      <c r="AE182" s="1273"/>
      <c r="AF182" s="1273"/>
      <c r="AG182" s="1273"/>
      <c r="AH182" s="1273"/>
      <c r="AI182" s="1273"/>
      <c r="AJ182" s="1273"/>
      <c r="AK182" s="1273"/>
      <c r="AL182" s="1273"/>
      <c r="AM182" s="1273"/>
      <c r="AN182" s="1273"/>
      <c r="AO182" s="1273"/>
      <c r="AP182" s="1273"/>
      <c r="AQ182" s="1273"/>
      <c r="AR182" s="1273"/>
      <c r="AS182" s="1273"/>
      <c r="AT182" s="1273"/>
      <c r="AU182" s="1273"/>
      <c r="AV182" s="1273"/>
      <c r="AW182" s="1273"/>
      <c r="AX182" s="1273"/>
      <c r="AY182" s="1273"/>
      <c r="AZ182" s="1059"/>
      <c r="BA182" s="1059"/>
      <c r="BB182" s="760"/>
      <c r="BC182" s="760"/>
      <c r="BD182" s="760"/>
      <c r="BE182" s="760"/>
      <c r="BF182" s="760"/>
      <c r="BG182" s="760"/>
      <c r="BH182" s="760"/>
      <c r="BI182" s="760"/>
      <c r="BJ182" s="760"/>
      <c r="BK182" s="760"/>
      <c r="BL182" s="760"/>
      <c r="BM182" s="760"/>
      <c r="BN182" s="760"/>
      <c r="BO182" s="760"/>
      <c r="BP182" s="760"/>
      <c r="BQ182" s="760"/>
      <c r="BR182" s="760"/>
      <c r="BS182" s="760"/>
      <c r="BT182" s="760"/>
      <c r="BU182" s="761"/>
      <c r="BV182" s="19"/>
      <c r="BW182" s="19"/>
      <c r="BX182" s="822"/>
      <c r="BY182" s="822"/>
      <c r="BZ182" s="822"/>
      <c r="CA182" s="822"/>
      <c r="CB182" s="822"/>
      <c r="CC182" s="822"/>
      <c r="CD182" s="822"/>
      <c r="CE182" s="822"/>
      <c r="CF182" s="822"/>
      <c r="CG182" s="822"/>
      <c r="CH182" s="822"/>
      <c r="CI182" s="822"/>
      <c r="CJ182" s="822"/>
      <c r="CK182" s="822"/>
      <c r="CL182" s="822"/>
      <c r="CM182" s="822"/>
      <c r="CN182" s="822"/>
      <c r="CO182" s="822"/>
      <c r="CP182" s="822"/>
      <c r="CQ182" s="822"/>
      <c r="CR182" s="822"/>
      <c r="CS182" s="822"/>
      <c r="CT182" s="822"/>
      <c r="CU182" s="822"/>
      <c r="CV182" s="822"/>
      <c r="CW182" s="822"/>
      <c r="CX182" s="822"/>
      <c r="CY182" s="822"/>
      <c r="CZ182" s="822"/>
      <c r="DA182" s="822"/>
      <c r="DB182" s="822"/>
      <c r="DC182" s="822"/>
      <c r="DD182" s="822"/>
      <c r="DE182" s="822"/>
      <c r="DF182" s="822"/>
      <c r="DG182" s="822"/>
      <c r="DH182" s="822"/>
      <c r="DI182" s="822"/>
      <c r="DJ182" s="822"/>
      <c r="DK182" s="822"/>
      <c r="DL182" s="822"/>
      <c r="DM182" s="822"/>
      <c r="DN182" s="822"/>
    </row>
    <row r="183" spans="5:148" ht="17.100000000000001" customHeight="1" thickBot="1" x14ac:dyDescent="0.35">
      <c r="E183" s="23"/>
      <c r="F183" s="23"/>
      <c r="G183" s="762"/>
      <c r="H183" s="1059"/>
      <c r="I183" s="999"/>
      <c r="J183" s="787"/>
      <c r="K183" s="1059"/>
      <c r="L183" s="1059"/>
      <c r="M183" s="1059"/>
      <c r="N183" s="1059"/>
      <c r="O183" s="1059"/>
      <c r="P183" s="1059"/>
      <c r="Q183" s="1059"/>
      <c r="R183" s="1059"/>
      <c r="S183" s="1059"/>
      <c r="T183" s="1059"/>
      <c r="U183" s="1059"/>
      <c r="V183" s="1059"/>
      <c r="W183" s="1059"/>
      <c r="X183" s="1059"/>
      <c r="Y183" s="1059"/>
      <c r="Z183" s="1059"/>
      <c r="AA183" s="1059"/>
      <c r="AB183" s="1059"/>
      <c r="AC183" s="1059"/>
      <c r="AD183" s="1059"/>
      <c r="AE183" s="1059"/>
      <c r="AF183" s="1059"/>
      <c r="AG183" s="1123"/>
      <c r="AH183" s="1123"/>
      <c r="AI183" s="1123"/>
      <c r="AJ183" s="1261"/>
      <c r="AK183" s="1261"/>
      <c r="AL183" s="1261"/>
      <c r="AM183" s="4743" t="s">
        <v>944</v>
      </c>
      <c r="AN183" s="4743"/>
      <c r="AO183" s="4743"/>
      <c r="AP183" s="1261"/>
      <c r="AQ183" s="1261"/>
      <c r="AR183" s="1261"/>
      <c r="AS183" s="1261"/>
      <c r="AT183" s="1123"/>
      <c r="AU183" s="1123"/>
      <c r="AV183" s="1059"/>
      <c r="AW183" s="1059"/>
      <c r="AX183" s="1059"/>
      <c r="AY183" s="1059"/>
      <c r="AZ183" s="1059"/>
      <c r="BA183" s="1059"/>
      <c r="BB183" s="1059"/>
      <c r="BC183" s="1059"/>
      <c r="BD183" s="1059"/>
      <c r="BE183" s="1059"/>
      <c r="BF183" s="1059"/>
      <c r="BG183" s="1059"/>
      <c r="BH183" s="1059"/>
      <c r="BI183" s="1059"/>
      <c r="BJ183" s="1059"/>
      <c r="BK183" s="1059"/>
      <c r="BL183" s="1059"/>
      <c r="BM183" s="1059"/>
      <c r="BN183" s="1059"/>
      <c r="BO183" s="1059"/>
      <c r="BP183" s="1059"/>
      <c r="BQ183" s="1059"/>
      <c r="BR183" s="1059"/>
      <c r="BS183" s="1059"/>
      <c r="BT183" s="1059"/>
      <c r="BU183" s="764"/>
      <c r="BV183" s="19"/>
      <c r="BW183" s="19"/>
      <c r="BX183" s="822"/>
      <c r="BY183" s="822"/>
      <c r="BZ183" s="822"/>
      <c r="CA183" s="822"/>
      <c r="CB183" s="822"/>
      <c r="CC183" s="822"/>
      <c r="CD183" s="822"/>
      <c r="CE183" s="822"/>
      <c r="CF183" s="822"/>
      <c r="CG183" s="822"/>
      <c r="CH183" s="822"/>
      <c r="CI183" s="822"/>
      <c r="CJ183" s="822"/>
      <c r="CK183" s="822"/>
      <c r="CL183" s="822"/>
      <c r="CM183" s="822"/>
      <c r="CN183" s="822"/>
      <c r="CO183" s="822"/>
      <c r="CP183" s="822"/>
      <c r="CQ183" s="822"/>
      <c r="CR183" s="822"/>
      <c r="CS183" s="822"/>
      <c r="CT183" s="822"/>
      <c r="CU183" s="822"/>
      <c r="CV183" s="822"/>
      <c r="CW183" s="822"/>
      <c r="CX183" s="822"/>
      <c r="CY183" s="822"/>
      <c r="CZ183" s="822"/>
      <c r="DA183" s="822"/>
      <c r="DB183" s="822"/>
      <c r="DC183" s="822"/>
      <c r="DD183" s="822"/>
      <c r="DE183" s="822"/>
      <c r="DF183" s="822"/>
      <c r="DG183" s="822"/>
      <c r="DH183" s="822"/>
      <c r="DI183" s="822"/>
      <c r="DJ183" s="822"/>
      <c r="DK183" s="822"/>
      <c r="DL183" s="822"/>
      <c r="DM183" s="822"/>
      <c r="DN183" s="822"/>
    </row>
    <row r="184" spans="5:148" ht="17.100000000000001" customHeight="1" thickTop="1" x14ac:dyDescent="0.3">
      <c r="E184" s="759"/>
      <c r="F184" s="760"/>
      <c r="G184" s="1059"/>
      <c r="H184" s="1059"/>
      <c r="I184" s="1059"/>
      <c r="J184" s="1059"/>
      <c r="K184" s="1059"/>
      <c r="L184" s="1059"/>
      <c r="M184" s="1059"/>
      <c r="N184" s="1059"/>
      <c r="O184" s="1059"/>
      <c r="P184" s="1059"/>
      <c r="Q184" s="1059"/>
      <c r="R184" s="1059"/>
      <c r="S184" s="1059"/>
      <c r="T184" s="1059"/>
      <c r="U184" s="1059"/>
      <c r="V184" s="1059"/>
      <c r="W184" s="1059"/>
      <c r="X184" s="1059"/>
      <c r="Y184" s="1059"/>
      <c r="Z184" s="1059"/>
      <c r="AA184" s="1059"/>
      <c r="AB184" s="1059"/>
      <c r="AC184" s="1059"/>
      <c r="AD184" s="1059"/>
      <c r="AE184" s="1059"/>
      <c r="AF184" s="1059"/>
      <c r="AG184" s="1123"/>
      <c r="AH184" s="1123"/>
      <c r="AI184" s="1261"/>
      <c r="AJ184" s="1261"/>
      <c r="AK184" s="1261"/>
      <c r="AL184" s="1261"/>
      <c r="AM184" s="4743"/>
      <c r="AN184" s="4743"/>
      <c r="AO184" s="4743"/>
      <c r="AP184" s="1261"/>
      <c r="AQ184" s="1261"/>
      <c r="AR184" s="1261"/>
      <c r="AS184" s="1261"/>
      <c r="AT184" s="1123"/>
      <c r="AU184" s="1123"/>
      <c r="AV184" s="1059"/>
      <c r="AW184" s="1059"/>
      <c r="AX184" s="1059"/>
      <c r="AY184" s="1059"/>
      <c r="AZ184" s="1059"/>
      <c r="BA184" s="1059"/>
      <c r="BB184" s="1059"/>
      <c r="BC184" s="1059"/>
      <c r="BD184" s="1059"/>
      <c r="BE184" s="1059"/>
      <c r="BF184" s="1059"/>
      <c r="BG184" s="1059"/>
      <c r="BH184" s="1059"/>
      <c r="BI184" s="1059"/>
      <c r="BJ184" s="1059"/>
      <c r="BK184" s="1059"/>
      <c r="BL184" s="1059"/>
      <c r="BM184" s="1059"/>
      <c r="BN184" s="1059"/>
      <c r="BO184" s="1059"/>
      <c r="BP184" s="1059"/>
      <c r="BQ184" s="1059"/>
      <c r="BR184" s="1059"/>
      <c r="BS184" s="1059"/>
      <c r="BT184" s="1059"/>
      <c r="BU184" s="1059"/>
      <c r="BV184" s="760"/>
      <c r="BW184" s="761"/>
      <c r="BX184" s="822"/>
      <c r="BY184" s="822"/>
      <c r="BZ184" s="822"/>
      <c r="CA184" s="822"/>
      <c r="CB184" s="822"/>
      <c r="CC184" s="822"/>
      <c r="CD184" s="822"/>
      <c r="CE184" s="822"/>
      <c r="CF184" s="822"/>
      <c r="CG184" s="822"/>
      <c r="CH184" s="822"/>
      <c r="CI184" s="822"/>
      <c r="CJ184" s="822"/>
      <c r="CK184" s="822"/>
      <c r="CL184" s="822"/>
      <c r="CM184" s="822"/>
      <c r="CN184" s="822"/>
      <c r="CO184" s="822"/>
      <c r="CP184" s="822"/>
      <c r="CQ184" s="822"/>
      <c r="CR184" s="822"/>
      <c r="CS184" s="822"/>
      <c r="CT184" s="822"/>
      <c r="CU184" s="822"/>
      <c r="CV184" s="822"/>
      <c r="CW184" s="822"/>
      <c r="CX184" s="822"/>
      <c r="CY184" s="822"/>
      <c r="CZ184" s="822"/>
      <c r="DA184" s="822"/>
      <c r="DB184" s="822"/>
      <c r="DC184" s="822"/>
      <c r="DD184" s="822"/>
      <c r="DE184" s="822"/>
      <c r="DF184" s="822"/>
      <c r="DG184" s="822"/>
      <c r="DH184" s="822"/>
      <c r="DI184" s="822"/>
      <c r="DJ184" s="822"/>
      <c r="DK184" s="822"/>
      <c r="DL184" s="822"/>
      <c r="DM184" s="822"/>
      <c r="DN184" s="822"/>
    </row>
    <row r="185" spans="5:148" ht="17.100000000000001" customHeight="1" thickBot="1" x14ac:dyDescent="0.35">
      <c r="E185" s="762"/>
      <c r="F185" s="94"/>
      <c r="G185" s="1059"/>
      <c r="H185" s="1059"/>
      <c r="I185" s="1059"/>
      <c r="J185" s="1059"/>
      <c r="K185" s="1059"/>
      <c r="L185" s="1059"/>
      <c r="M185" s="1059"/>
      <c r="N185" s="1059"/>
      <c r="O185" s="1059"/>
      <c r="P185" s="1059"/>
      <c r="Q185" s="1059"/>
      <c r="R185" s="1059"/>
      <c r="S185" s="1059"/>
      <c r="T185" s="1059"/>
      <c r="U185" s="1059"/>
      <c r="V185" s="1059"/>
      <c r="W185" s="1059"/>
      <c r="X185" s="1059"/>
      <c r="Y185" s="1059"/>
      <c r="Z185" s="1059"/>
      <c r="AA185" s="1059"/>
      <c r="AB185" s="1059"/>
      <c r="AC185" s="1059"/>
      <c r="AD185" s="1059"/>
      <c r="AE185" s="1059"/>
      <c r="AF185" s="1059"/>
      <c r="AG185" s="1123"/>
      <c r="AH185" s="1123"/>
      <c r="AI185" s="1123"/>
      <c r="AJ185" s="1123"/>
      <c r="AK185" s="1123"/>
      <c r="AL185" s="1123"/>
      <c r="AM185" s="1274"/>
      <c r="AN185" s="1275">
        <v>1</v>
      </c>
      <c r="AO185" s="1274"/>
      <c r="AP185" s="1123"/>
      <c r="AQ185" s="1123"/>
      <c r="AR185" s="1123"/>
      <c r="AS185" s="1123"/>
      <c r="AT185" s="1123"/>
      <c r="AU185" s="1123"/>
      <c r="AV185" s="1059"/>
      <c r="AW185" s="1059"/>
      <c r="AX185" s="1059"/>
      <c r="AY185" s="1059"/>
      <c r="AZ185" s="1059"/>
      <c r="BA185" s="1059"/>
      <c r="BB185" s="1059"/>
      <c r="BC185" s="1059"/>
      <c r="BD185" s="1059"/>
      <c r="BE185" s="1059"/>
      <c r="BF185" s="1059"/>
      <c r="BG185" s="1059"/>
      <c r="BH185" s="1059"/>
      <c r="BI185" s="1059"/>
      <c r="BJ185" s="1059"/>
      <c r="BK185" s="1059"/>
      <c r="BL185" s="1059"/>
      <c r="BM185" s="1059"/>
      <c r="BN185" s="1059"/>
      <c r="BO185" s="1059"/>
      <c r="BP185" s="1059"/>
      <c r="BQ185" s="1059"/>
      <c r="BR185" s="1059"/>
      <c r="BS185" s="1059"/>
      <c r="BT185" s="1059"/>
      <c r="BU185" s="1059"/>
      <c r="BV185" s="94"/>
      <c r="BW185" s="764"/>
      <c r="BX185" s="822"/>
      <c r="BY185" s="822"/>
      <c r="BZ185" s="822"/>
      <c r="CA185" s="822"/>
      <c r="CB185" s="822"/>
      <c r="CC185" s="822"/>
      <c r="CD185" s="822"/>
      <c r="CE185" s="822"/>
      <c r="CF185" s="822"/>
      <c r="CG185" s="822"/>
      <c r="CH185" s="822"/>
      <c r="CI185" s="822"/>
      <c r="CJ185" s="822"/>
      <c r="CK185" s="822"/>
      <c r="CL185" s="822"/>
      <c r="CM185" s="822"/>
      <c r="CN185" s="822"/>
      <c r="CO185" s="822"/>
      <c r="CP185" s="822"/>
      <c r="CQ185" s="822"/>
      <c r="CR185" s="822"/>
      <c r="CS185" s="822"/>
      <c r="CT185" s="822"/>
      <c r="CU185" s="822"/>
      <c r="CV185" s="822"/>
      <c r="CW185" s="822"/>
      <c r="CX185" s="822"/>
      <c r="CY185" s="822"/>
      <c r="CZ185" s="822"/>
      <c r="DA185" s="822"/>
      <c r="DB185" s="822"/>
      <c r="DC185" s="822"/>
      <c r="DD185" s="822"/>
      <c r="DE185" s="822"/>
      <c r="DF185" s="822"/>
      <c r="DG185" s="822"/>
      <c r="DH185" s="822"/>
      <c r="DI185" s="822"/>
      <c r="DJ185" s="822"/>
      <c r="DK185" s="822"/>
      <c r="DL185" s="822"/>
      <c r="DM185" s="822"/>
      <c r="DN185" s="822"/>
    </row>
    <row r="186" spans="5:148" ht="17.100000000000001" customHeight="1" thickTop="1" x14ac:dyDescent="0.3">
      <c r="E186" s="762"/>
      <c r="F186" s="1059"/>
      <c r="G186" s="1059"/>
      <c r="H186" s="1059"/>
      <c r="I186" s="4756" t="s">
        <v>72</v>
      </c>
      <c r="J186" s="4757"/>
      <c r="K186" s="4757"/>
      <c r="L186" s="4794" t="s">
        <v>710</v>
      </c>
      <c r="M186" s="4794"/>
      <c r="N186" s="4757" t="s">
        <v>72</v>
      </c>
      <c r="O186" s="4757"/>
      <c r="P186" s="4762"/>
      <c r="Q186" s="1059"/>
      <c r="R186" s="1059"/>
      <c r="S186" s="4756" t="s">
        <v>72</v>
      </c>
      <c r="T186" s="4757"/>
      <c r="U186" s="4757"/>
      <c r="V186" s="4792" t="s">
        <v>710</v>
      </c>
      <c r="W186" s="4792"/>
      <c r="X186" s="4757" t="s">
        <v>72</v>
      </c>
      <c r="Y186" s="4757"/>
      <c r="Z186" s="4762"/>
      <c r="AA186" s="1059"/>
      <c r="AB186" s="1059"/>
      <c r="AC186" s="4756" t="s">
        <v>72</v>
      </c>
      <c r="AD186" s="4757"/>
      <c r="AE186" s="4757"/>
      <c r="AF186" s="4790" t="s">
        <v>710</v>
      </c>
      <c r="AG186" s="4790"/>
      <c r="AH186" s="4757" t="s">
        <v>72</v>
      </c>
      <c r="AI186" s="4757"/>
      <c r="AJ186" s="4762"/>
      <c r="AK186" s="1059"/>
      <c r="AL186" s="1059"/>
      <c r="AM186" s="4853" t="s">
        <v>1472</v>
      </c>
      <c r="AN186" s="4853"/>
      <c r="AO186" s="4853"/>
      <c r="AP186" s="1059"/>
      <c r="AQ186" s="1059"/>
      <c r="AR186" s="4756" t="s">
        <v>72</v>
      </c>
      <c r="AS186" s="4757"/>
      <c r="AT186" s="4757"/>
      <c r="AU186" s="4790" t="s">
        <v>939</v>
      </c>
      <c r="AV186" s="4790"/>
      <c r="AW186" s="4757" t="s">
        <v>72</v>
      </c>
      <c r="AX186" s="4757"/>
      <c r="AY186" s="4762"/>
      <c r="AZ186" s="1059"/>
      <c r="BA186" s="1059"/>
      <c r="BB186" s="4756" t="s">
        <v>72</v>
      </c>
      <c r="BC186" s="4757"/>
      <c r="BD186" s="4757"/>
      <c r="BE186" s="4792" t="s">
        <v>939</v>
      </c>
      <c r="BF186" s="4792"/>
      <c r="BG186" s="4757" t="s">
        <v>72</v>
      </c>
      <c r="BH186" s="4757"/>
      <c r="BI186" s="4762"/>
      <c r="BJ186" s="1059"/>
      <c r="BK186" s="1059"/>
      <c r="BL186" s="4756" t="s">
        <v>72</v>
      </c>
      <c r="BM186" s="4757"/>
      <c r="BN186" s="4757"/>
      <c r="BO186" s="4794" t="s">
        <v>939</v>
      </c>
      <c r="BP186" s="4794"/>
      <c r="BQ186" s="4757" t="s">
        <v>72</v>
      </c>
      <c r="BR186" s="4757"/>
      <c r="BS186" s="4762"/>
      <c r="BT186" s="1059"/>
      <c r="BU186" s="1059"/>
      <c r="BV186" s="1059"/>
      <c r="BW186" s="764"/>
      <c r="BX186" s="822"/>
      <c r="BY186" s="822"/>
      <c r="BZ186" s="822"/>
      <c r="CA186" s="822"/>
      <c r="CB186" s="822"/>
      <c r="CC186" s="822"/>
      <c r="CD186" s="822"/>
      <c r="CE186" s="822"/>
      <c r="CF186" s="822"/>
      <c r="CG186" s="822"/>
      <c r="CH186" s="822"/>
      <c r="CI186" s="822"/>
      <c r="CJ186" s="822"/>
      <c r="CK186" s="822"/>
      <c r="CL186" s="822"/>
      <c r="CM186" s="822"/>
      <c r="CN186" s="822"/>
      <c r="CO186" s="822"/>
      <c r="CP186" s="822"/>
      <c r="CQ186" s="822"/>
      <c r="CR186" s="822"/>
      <c r="CS186" s="822"/>
      <c r="CT186" s="822"/>
      <c r="CU186" s="822"/>
      <c r="CV186" s="822"/>
      <c r="CW186" s="822"/>
      <c r="CX186" s="822"/>
      <c r="CY186" s="822"/>
      <c r="CZ186" s="822"/>
      <c r="DA186" s="822"/>
      <c r="DB186" s="822"/>
      <c r="DC186" s="822"/>
      <c r="DD186" s="822"/>
      <c r="DE186" s="822"/>
      <c r="DF186" s="822"/>
      <c r="DG186" s="822"/>
      <c r="DH186" s="822"/>
      <c r="DI186" s="822"/>
      <c r="DJ186" s="822"/>
      <c r="DK186" s="822"/>
      <c r="DL186" s="822"/>
      <c r="DM186" s="822"/>
      <c r="DN186" s="822"/>
      <c r="DO186" s="822"/>
      <c r="DP186" s="822"/>
      <c r="DQ186" s="822"/>
      <c r="DR186" s="822"/>
      <c r="DS186" s="822"/>
      <c r="DT186" s="822"/>
      <c r="DU186" s="822"/>
      <c r="DV186" s="822"/>
      <c r="DW186" s="822"/>
      <c r="DX186" s="822"/>
      <c r="DY186" s="822"/>
    </row>
    <row r="187" spans="5:148" ht="17.100000000000001" customHeight="1" x14ac:dyDescent="0.3">
      <c r="E187" s="762"/>
      <c r="F187" s="1059"/>
      <c r="G187" s="1059"/>
      <c r="H187" s="1059"/>
      <c r="I187" s="4758"/>
      <c r="J187" s="4759"/>
      <c r="K187" s="4759"/>
      <c r="L187" s="4807"/>
      <c r="M187" s="4807"/>
      <c r="N187" s="4759"/>
      <c r="O187" s="4759"/>
      <c r="P187" s="4763"/>
      <c r="Q187" s="1059"/>
      <c r="R187" s="1059"/>
      <c r="S187" s="4758"/>
      <c r="T187" s="4759"/>
      <c r="U187" s="4759"/>
      <c r="V187" s="4805"/>
      <c r="W187" s="4805"/>
      <c r="X187" s="4759"/>
      <c r="Y187" s="4759"/>
      <c r="Z187" s="4763"/>
      <c r="AA187" s="1059"/>
      <c r="AB187" s="1059"/>
      <c r="AC187" s="4758"/>
      <c r="AD187" s="4759"/>
      <c r="AE187" s="4759"/>
      <c r="AF187" s="4806"/>
      <c r="AG187" s="4806"/>
      <c r="AH187" s="4759"/>
      <c r="AI187" s="4759"/>
      <c r="AJ187" s="4763"/>
      <c r="AK187" s="1059"/>
      <c r="AL187" s="1059"/>
      <c r="AM187" s="4853"/>
      <c r="AN187" s="4853"/>
      <c r="AO187" s="4853"/>
      <c r="AP187" s="1059"/>
      <c r="AQ187" s="1059"/>
      <c r="AR187" s="4758"/>
      <c r="AS187" s="4759"/>
      <c r="AT187" s="4759"/>
      <c r="AU187" s="4806"/>
      <c r="AV187" s="4806"/>
      <c r="AW187" s="4759"/>
      <c r="AX187" s="4759"/>
      <c r="AY187" s="4763"/>
      <c r="AZ187" s="1059"/>
      <c r="BA187" s="1059"/>
      <c r="BB187" s="4758"/>
      <c r="BC187" s="4759"/>
      <c r="BD187" s="4759"/>
      <c r="BE187" s="4805"/>
      <c r="BF187" s="4805"/>
      <c r="BG187" s="4759"/>
      <c r="BH187" s="4759"/>
      <c r="BI187" s="4763"/>
      <c r="BJ187" s="1059"/>
      <c r="BK187" s="1059"/>
      <c r="BL187" s="4758"/>
      <c r="BM187" s="4759"/>
      <c r="BN187" s="4759"/>
      <c r="BO187" s="4807"/>
      <c r="BP187" s="4807"/>
      <c r="BQ187" s="4759"/>
      <c r="BR187" s="4759"/>
      <c r="BS187" s="4763"/>
      <c r="BT187" s="1059"/>
      <c r="BU187" s="1059"/>
      <c r="BV187" s="1059"/>
      <c r="BW187" s="764"/>
      <c r="BX187" s="822"/>
      <c r="BY187" s="822"/>
      <c r="BZ187" s="822"/>
      <c r="CA187" s="822"/>
      <c r="CB187" s="822"/>
      <c r="CC187" s="822"/>
      <c r="CD187" s="822"/>
      <c r="CE187" s="822"/>
      <c r="CF187" s="822"/>
      <c r="CG187" s="822"/>
      <c r="CH187" s="822"/>
      <c r="CI187" s="822"/>
      <c r="CJ187" s="822"/>
      <c r="CK187" s="822"/>
      <c r="CL187" s="822"/>
      <c r="CM187" s="822"/>
      <c r="CN187" s="822"/>
      <c r="CO187" s="822"/>
      <c r="CP187" s="822"/>
      <c r="CQ187" s="822"/>
      <c r="CR187" s="822"/>
      <c r="CS187" s="822"/>
      <c r="CT187" s="822"/>
      <c r="CU187" s="822"/>
      <c r="CV187" s="822"/>
      <c r="CW187" s="822"/>
      <c r="CX187" s="822"/>
      <c r="CY187" s="822"/>
      <c r="CZ187" s="822"/>
      <c r="DA187" s="822"/>
      <c r="DB187" s="822"/>
      <c r="DC187" s="822"/>
      <c r="DD187" s="822"/>
      <c r="DE187" s="822"/>
      <c r="DF187" s="822"/>
      <c r="DG187" s="822"/>
      <c r="DH187" s="822"/>
      <c r="DI187" s="822"/>
      <c r="DJ187" s="822"/>
      <c r="DK187" s="822"/>
      <c r="DL187" s="822"/>
      <c r="DM187" s="822"/>
      <c r="DN187" s="822"/>
      <c r="DO187" s="822"/>
      <c r="DP187" s="822"/>
      <c r="DQ187" s="822"/>
      <c r="DR187" s="822"/>
      <c r="DS187" s="822"/>
      <c r="DT187" s="822"/>
      <c r="DU187" s="822"/>
      <c r="DV187" s="822"/>
      <c r="DW187" s="822"/>
      <c r="DX187" s="822"/>
      <c r="DY187" s="822"/>
    </row>
    <row r="188" spans="5:148" ht="17.100000000000001" customHeight="1" x14ac:dyDescent="0.3">
      <c r="E188" s="762"/>
      <c r="F188" s="1059"/>
      <c r="G188" s="1059"/>
      <c r="H188" s="1059"/>
      <c r="I188" s="4766"/>
      <c r="J188" s="4768"/>
      <c r="K188" s="4769"/>
      <c r="L188" s="4769"/>
      <c r="M188" s="4769"/>
      <c r="N188" s="4769"/>
      <c r="O188" s="4770"/>
      <c r="P188" s="4777"/>
      <c r="Q188" s="1059"/>
      <c r="R188" s="1059"/>
      <c r="S188" s="4766"/>
      <c r="T188" s="4768"/>
      <c r="U188" s="4769"/>
      <c r="V188" s="4769"/>
      <c r="W188" s="4769"/>
      <c r="X188" s="4769"/>
      <c r="Y188" s="4770"/>
      <c r="Z188" s="4777"/>
      <c r="AA188" s="1059"/>
      <c r="AB188" s="1059"/>
      <c r="AC188" s="4766"/>
      <c r="AD188" s="4768"/>
      <c r="AE188" s="4769"/>
      <c r="AF188" s="4769"/>
      <c r="AG188" s="4769"/>
      <c r="AH188" s="4769"/>
      <c r="AI188" s="4770"/>
      <c r="AJ188" s="4777"/>
      <c r="AK188" s="1059"/>
      <c r="AL188" s="1059"/>
      <c r="AM188" s="4853"/>
      <c r="AN188" s="4853"/>
      <c r="AO188" s="4853"/>
      <c r="AP188" s="1059"/>
      <c r="AQ188" s="1059"/>
      <c r="AR188" s="4766"/>
      <c r="AS188" s="4768"/>
      <c r="AT188" s="4769"/>
      <c r="AU188" s="4769"/>
      <c r="AV188" s="4769"/>
      <c r="AW188" s="4769"/>
      <c r="AX188" s="4770"/>
      <c r="AY188" s="4777"/>
      <c r="AZ188" s="1059"/>
      <c r="BA188" s="1059"/>
      <c r="BB188" s="4766"/>
      <c r="BC188" s="4768"/>
      <c r="BD188" s="4769"/>
      <c r="BE188" s="4769"/>
      <c r="BF188" s="4769"/>
      <c r="BG188" s="4769"/>
      <c r="BH188" s="4770"/>
      <c r="BI188" s="4777"/>
      <c r="BJ188" s="1059"/>
      <c r="BK188" s="1059"/>
      <c r="BL188" s="4766"/>
      <c r="BM188" s="4768"/>
      <c r="BN188" s="4769"/>
      <c r="BO188" s="4769"/>
      <c r="BP188" s="4769"/>
      <c r="BQ188" s="4769"/>
      <c r="BR188" s="4770"/>
      <c r="BS188" s="4777"/>
      <c r="BT188" s="1059"/>
      <c r="BU188" s="1059"/>
      <c r="BV188" s="1059"/>
      <c r="BW188" s="764"/>
      <c r="BX188" s="822"/>
      <c r="BY188" s="822"/>
      <c r="BZ188" s="822"/>
      <c r="CA188" s="822"/>
      <c r="CB188" s="822"/>
      <c r="CC188" s="822"/>
      <c r="CD188" s="822"/>
      <c r="CE188" s="822"/>
      <c r="CF188" s="822"/>
      <c r="CG188" s="822"/>
      <c r="CH188" s="822"/>
      <c r="CI188" s="822"/>
      <c r="CJ188" s="4826" t="str">
        <f>IF(J188=0,"",J188)</f>
        <v/>
      </c>
      <c r="CK188" s="4827"/>
      <c r="CL188" s="4827"/>
      <c r="CM188" s="4827"/>
      <c r="CN188" s="4827"/>
      <c r="CO188" s="4828"/>
      <c r="CP188" s="822"/>
      <c r="CQ188" s="822"/>
      <c r="CR188" s="822"/>
      <c r="CS188" s="822"/>
      <c r="CT188" s="4826" t="str">
        <f>IF(T188=0,"",T188)</f>
        <v/>
      </c>
      <c r="CU188" s="4827"/>
      <c r="CV188" s="4827"/>
      <c r="CW188" s="4827"/>
      <c r="CX188" s="4827"/>
      <c r="CY188" s="4828"/>
      <c r="CZ188" s="822"/>
      <c r="DA188" s="822"/>
      <c r="DB188" s="822"/>
      <c r="DC188" s="822"/>
      <c r="DD188" s="4826" t="str">
        <f>IF(AD188=0,"",AD188)</f>
        <v/>
      </c>
      <c r="DE188" s="4827"/>
      <c r="DF188" s="4827"/>
      <c r="DG188" s="4827"/>
      <c r="DH188" s="4827"/>
      <c r="DI188" s="4828"/>
      <c r="DJ188" s="822"/>
      <c r="DK188" s="822"/>
      <c r="DL188" s="822"/>
      <c r="DM188" s="822"/>
      <c r="DN188" s="822"/>
      <c r="DO188" s="822"/>
      <c r="DP188" s="822"/>
      <c r="DQ188" s="822"/>
      <c r="DR188" s="822"/>
      <c r="DS188" s="4826" t="str">
        <f>IF(AS188=0,"",AS188)</f>
        <v/>
      </c>
      <c r="DT188" s="4827"/>
      <c r="DU188" s="4827"/>
      <c r="DV188" s="4827"/>
      <c r="DW188" s="4827"/>
      <c r="DX188" s="4828"/>
      <c r="DY188" s="822"/>
      <c r="DZ188" s="822"/>
      <c r="EA188" s="822"/>
      <c r="EB188" s="822"/>
      <c r="EC188" s="4826" t="str">
        <f>IF(BC188=0,"",BC188)</f>
        <v/>
      </c>
      <c r="ED188" s="4827"/>
      <c r="EE188" s="4827"/>
      <c r="EF188" s="4827"/>
      <c r="EG188" s="4827"/>
      <c r="EH188" s="4828"/>
      <c r="EI188" s="822"/>
      <c r="EJ188" s="822"/>
      <c r="EK188" s="822"/>
      <c r="EL188" s="822"/>
      <c r="EM188" s="4826" t="str">
        <f>IF(BM188=0,"",BM188)</f>
        <v/>
      </c>
      <c r="EN188" s="4827"/>
      <c r="EO188" s="4827"/>
      <c r="EP188" s="4827"/>
      <c r="EQ188" s="4827"/>
      <c r="ER188" s="4828"/>
    </row>
    <row r="189" spans="5:148" ht="17.100000000000001" customHeight="1" x14ac:dyDescent="0.3">
      <c r="E189" s="762"/>
      <c r="F189" s="1059"/>
      <c r="G189" s="1059"/>
      <c r="H189" s="1059"/>
      <c r="I189" s="4766"/>
      <c r="J189" s="4771"/>
      <c r="K189" s="4772"/>
      <c r="L189" s="4772"/>
      <c r="M189" s="4772"/>
      <c r="N189" s="4772"/>
      <c r="O189" s="4773"/>
      <c r="P189" s="4777"/>
      <c r="Q189" s="1059"/>
      <c r="R189" s="1059"/>
      <c r="S189" s="4766"/>
      <c r="T189" s="4771"/>
      <c r="U189" s="4772"/>
      <c r="V189" s="4772"/>
      <c r="W189" s="4772"/>
      <c r="X189" s="4772"/>
      <c r="Y189" s="4773"/>
      <c r="Z189" s="4777"/>
      <c r="AA189" s="1059"/>
      <c r="AB189" s="1059"/>
      <c r="AC189" s="4766"/>
      <c r="AD189" s="4771"/>
      <c r="AE189" s="4772"/>
      <c r="AF189" s="4772"/>
      <c r="AG189" s="4772"/>
      <c r="AH189" s="4772"/>
      <c r="AI189" s="4773"/>
      <c r="AJ189" s="4777"/>
      <c r="AK189" s="1059"/>
      <c r="AL189" s="1059"/>
      <c r="AM189" s="2285">
        <f>AN207</f>
        <v>0</v>
      </c>
      <c r="AN189" s="2276" t="s">
        <v>710</v>
      </c>
      <c r="AO189" s="1278"/>
      <c r="AP189" s="1059"/>
      <c r="AQ189" s="1059"/>
      <c r="AR189" s="4766"/>
      <c r="AS189" s="4771"/>
      <c r="AT189" s="4772"/>
      <c r="AU189" s="4772"/>
      <c r="AV189" s="4772"/>
      <c r="AW189" s="4772"/>
      <c r="AX189" s="4773"/>
      <c r="AY189" s="4777"/>
      <c r="AZ189" s="1059"/>
      <c r="BA189" s="1059"/>
      <c r="BB189" s="4766"/>
      <c r="BC189" s="4771"/>
      <c r="BD189" s="4772"/>
      <c r="BE189" s="4772"/>
      <c r="BF189" s="4772"/>
      <c r="BG189" s="4772"/>
      <c r="BH189" s="4773"/>
      <c r="BI189" s="4777"/>
      <c r="BJ189" s="1059"/>
      <c r="BK189" s="1059"/>
      <c r="BL189" s="4766"/>
      <c r="BM189" s="4771"/>
      <c r="BN189" s="4772"/>
      <c r="BO189" s="4772"/>
      <c r="BP189" s="4772"/>
      <c r="BQ189" s="4772"/>
      <c r="BR189" s="4773"/>
      <c r="BS189" s="4777"/>
      <c r="BT189" s="1059"/>
      <c r="BU189" s="1059"/>
      <c r="BV189" s="1059"/>
      <c r="BW189" s="764"/>
      <c r="BX189" s="822"/>
      <c r="BY189" s="822"/>
      <c r="BZ189" s="822"/>
      <c r="CA189" s="822"/>
      <c r="CB189" s="822"/>
      <c r="CC189" s="822"/>
      <c r="CD189" s="822"/>
      <c r="CE189" s="822"/>
      <c r="CF189" s="822"/>
      <c r="CG189" s="822"/>
      <c r="CH189" s="822"/>
      <c r="CI189" s="822"/>
      <c r="CJ189" s="4829"/>
      <c r="CK189" s="4830"/>
      <c r="CL189" s="4830"/>
      <c r="CM189" s="4830"/>
      <c r="CN189" s="4830"/>
      <c r="CO189" s="4831"/>
      <c r="CP189" s="822"/>
      <c r="CQ189" s="822"/>
      <c r="CR189" s="822"/>
      <c r="CS189" s="822"/>
      <c r="CT189" s="4829"/>
      <c r="CU189" s="4830"/>
      <c r="CV189" s="4830"/>
      <c r="CW189" s="4830"/>
      <c r="CX189" s="4830"/>
      <c r="CY189" s="4831"/>
      <c r="CZ189" s="822"/>
      <c r="DA189" s="822"/>
      <c r="DB189" s="822"/>
      <c r="DC189" s="822"/>
      <c r="DD189" s="4829"/>
      <c r="DE189" s="4830"/>
      <c r="DF189" s="4830"/>
      <c r="DG189" s="4830"/>
      <c r="DH189" s="4830"/>
      <c r="DI189" s="4831"/>
      <c r="DJ189" s="822"/>
      <c r="DK189" s="822"/>
      <c r="DL189" s="822"/>
      <c r="DM189" s="822"/>
      <c r="DN189" s="822"/>
      <c r="DO189" s="822"/>
      <c r="DP189" s="822"/>
      <c r="DQ189" s="822"/>
      <c r="DR189" s="822"/>
      <c r="DS189" s="4829"/>
      <c r="DT189" s="4830"/>
      <c r="DU189" s="4830"/>
      <c r="DV189" s="4830"/>
      <c r="DW189" s="4830"/>
      <c r="DX189" s="4831"/>
      <c r="DY189" s="822"/>
      <c r="DZ189" s="822"/>
      <c r="EA189" s="822"/>
      <c r="EB189" s="822"/>
      <c r="EC189" s="4829"/>
      <c r="ED189" s="4830"/>
      <c r="EE189" s="4830"/>
      <c r="EF189" s="4830"/>
      <c r="EG189" s="4830"/>
      <c r="EH189" s="4831"/>
      <c r="EI189" s="822"/>
      <c r="EJ189" s="822"/>
      <c r="EK189" s="822"/>
      <c r="EL189" s="822"/>
      <c r="EM189" s="4829"/>
      <c r="EN189" s="4830"/>
      <c r="EO189" s="4830"/>
      <c r="EP189" s="4830"/>
      <c r="EQ189" s="4830"/>
      <c r="ER189" s="4831"/>
    </row>
    <row r="190" spans="5:148" ht="17.100000000000001" customHeight="1" x14ac:dyDescent="0.3">
      <c r="E190" s="762"/>
      <c r="F190" s="1059"/>
      <c r="G190" s="1059"/>
      <c r="H190" s="1059"/>
      <c r="I190" s="4766"/>
      <c r="J190" s="4774"/>
      <c r="K190" s="4775"/>
      <c r="L190" s="4775"/>
      <c r="M190" s="4775"/>
      <c r="N190" s="4775"/>
      <c r="O190" s="4776"/>
      <c r="P190" s="4777"/>
      <c r="Q190" s="1059"/>
      <c r="R190" s="1059"/>
      <c r="S190" s="4766"/>
      <c r="T190" s="4774"/>
      <c r="U190" s="4775"/>
      <c r="V190" s="4775"/>
      <c r="W190" s="4775"/>
      <c r="X190" s="4775"/>
      <c r="Y190" s="4776"/>
      <c r="Z190" s="4777"/>
      <c r="AA190" s="1059"/>
      <c r="AB190" s="1059"/>
      <c r="AC190" s="4766"/>
      <c r="AD190" s="4774"/>
      <c r="AE190" s="4775"/>
      <c r="AF190" s="4775"/>
      <c r="AG190" s="4775"/>
      <c r="AH190" s="4775"/>
      <c r="AI190" s="4776"/>
      <c r="AJ190" s="4777"/>
      <c r="AK190" s="1059"/>
      <c r="AL190" s="1059"/>
      <c r="AM190" s="2285">
        <f>AN207</f>
        <v>0</v>
      </c>
      <c r="AN190" s="2277" t="s">
        <v>941</v>
      </c>
      <c r="AO190" s="1278"/>
      <c r="AP190" s="1059"/>
      <c r="AQ190" s="1059"/>
      <c r="AR190" s="4766"/>
      <c r="AS190" s="4774"/>
      <c r="AT190" s="4775"/>
      <c r="AU190" s="4775"/>
      <c r="AV190" s="4775"/>
      <c r="AW190" s="4775"/>
      <c r="AX190" s="4776"/>
      <c r="AY190" s="4777"/>
      <c r="AZ190" s="1059"/>
      <c r="BA190" s="1059"/>
      <c r="BB190" s="4766"/>
      <c r="BC190" s="4774"/>
      <c r="BD190" s="4775"/>
      <c r="BE190" s="4775"/>
      <c r="BF190" s="4775"/>
      <c r="BG190" s="4775"/>
      <c r="BH190" s="4776"/>
      <c r="BI190" s="4777"/>
      <c r="BJ190" s="1059"/>
      <c r="BK190" s="1059"/>
      <c r="BL190" s="4766"/>
      <c r="BM190" s="4774"/>
      <c r="BN190" s="4775"/>
      <c r="BO190" s="4775"/>
      <c r="BP190" s="4775"/>
      <c r="BQ190" s="4775"/>
      <c r="BR190" s="4776"/>
      <c r="BS190" s="4777"/>
      <c r="BT190" s="1059"/>
      <c r="BU190" s="1059"/>
      <c r="BV190" s="1059"/>
      <c r="BW190" s="764"/>
      <c r="BX190" s="822"/>
      <c r="BY190" s="822"/>
      <c r="BZ190" s="822"/>
      <c r="CA190" s="822"/>
      <c r="CB190" s="822"/>
      <c r="CC190" s="822"/>
      <c r="CD190" s="822"/>
      <c r="CE190" s="822"/>
      <c r="CF190" s="822"/>
      <c r="CG190" s="822"/>
      <c r="CH190" s="822"/>
      <c r="CI190" s="822"/>
      <c r="CJ190" s="4832"/>
      <c r="CK190" s="4833"/>
      <c r="CL190" s="4833"/>
      <c r="CM190" s="4833"/>
      <c r="CN190" s="4833"/>
      <c r="CO190" s="4834"/>
      <c r="CP190" s="822"/>
      <c r="CQ190" s="822"/>
      <c r="CR190" s="822"/>
      <c r="CS190" s="822"/>
      <c r="CT190" s="4832"/>
      <c r="CU190" s="4833"/>
      <c r="CV190" s="4833"/>
      <c r="CW190" s="4833"/>
      <c r="CX190" s="4833"/>
      <c r="CY190" s="4834"/>
      <c r="CZ190" s="822"/>
      <c r="DA190" s="822"/>
      <c r="DB190" s="822"/>
      <c r="DC190" s="822"/>
      <c r="DD190" s="4832"/>
      <c r="DE190" s="4833"/>
      <c r="DF190" s="4833"/>
      <c r="DG190" s="4833"/>
      <c r="DH190" s="4833"/>
      <c r="DI190" s="4834"/>
      <c r="DJ190" s="822"/>
      <c r="DK190" s="822"/>
      <c r="DL190" s="822"/>
      <c r="DM190" s="822"/>
      <c r="DN190" s="822"/>
      <c r="DO190" s="822"/>
      <c r="DP190" s="822"/>
      <c r="DQ190" s="822"/>
      <c r="DR190" s="822"/>
      <c r="DS190" s="4832"/>
      <c r="DT190" s="4833"/>
      <c r="DU190" s="4833"/>
      <c r="DV190" s="4833"/>
      <c r="DW190" s="4833"/>
      <c r="DX190" s="4834"/>
      <c r="DY190" s="822"/>
      <c r="DZ190" s="822"/>
      <c r="EA190" s="822"/>
      <c r="EB190" s="822"/>
      <c r="EC190" s="4832"/>
      <c r="ED190" s="4833"/>
      <c r="EE190" s="4833"/>
      <c r="EF190" s="4833"/>
      <c r="EG190" s="4833"/>
      <c r="EH190" s="4834"/>
      <c r="EI190" s="822"/>
      <c r="EJ190" s="822"/>
      <c r="EK190" s="822"/>
      <c r="EL190" s="822"/>
      <c r="EM190" s="4832"/>
      <c r="EN190" s="4833"/>
      <c r="EO190" s="4833"/>
      <c r="EP190" s="4833"/>
      <c r="EQ190" s="4833"/>
      <c r="ER190" s="4834"/>
    </row>
    <row r="191" spans="5:148" ht="17.100000000000001" customHeight="1" thickBot="1" x14ac:dyDescent="0.35">
      <c r="E191" s="762"/>
      <c r="F191" s="1059"/>
      <c r="G191" s="1059"/>
      <c r="H191" s="1059"/>
      <c r="I191" s="4767"/>
      <c r="J191" s="4789" t="s">
        <v>505</v>
      </c>
      <c r="K191" s="4789"/>
      <c r="L191" s="4789"/>
      <c r="M191" s="4789"/>
      <c r="N191" s="4789"/>
      <c r="O191" s="4789"/>
      <c r="P191" s="4778"/>
      <c r="Q191" s="1059"/>
      <c r="R191" s="1059"/>
      <c r="S191" s="4767"/>
      <c r="T191" s="4789" t="s">
        <v>505</v>
      </c>
      <c r="U191" s="4789"/>
      <c r="V191" s="4789"/>
      <c r="W191" s="4789"/>
      <c r="X191" s="4789"/>
      <c r="Y191" s="4789"/>
      <c r="Z191" s="4778"/>
      <c r="AA191" s="1059"/>
      <c r="AB191" s="1059"/>
      <c r="AC191" s="4767"/>
      <c r="AD191" s="4789" t="s">
        <v>505</v>
      </c>
      <c r="AE191" s="4789"/>
      <c r="AF191" s="4789"/>
      <c r="AG191" s="4789"/>
      <c r="AH191" s="4789"/>
      <c r="AI191" s="4789"/>
      <c r="AJ191" s="4778"/>
      <c r="AK191" s="1059"/>
      <c r="AL191" s="1059"/>
      <c r="AM191" s="2285">
        <f>AN207</f>
        <v>0</v>
      </c>
      <c r="AN191" s="2278" t="s">
        <v>144</v>
      </c>
      <c r="AO191" s="1278"/>
      <c r="AP191" s="1059"/>
      <c r="AQ191" s="1059"/>
      <c r="AR191" s="4767"/>
      <c r="AS191" s="4789" t="s">
        <v>505</v>
      </c>
      <c r="AT191" s="4789"/>
      <c r="AU191" s="4789"/>
      <c r="AV191" s="4789"/>
      <c r="AW191" s="4789"/>
      <c r="AX191" s="4789"/>
      <c r="AY191" s="4778"/>
      <c r="AZ191" s="1059"/>
      <c r="BA191" s="1059"/>
      <c r="BB191" s="4767"/>
      <c r="BC191" s="4789" t="s">
        <v>505</v>
      </c>
      <c r="BD191" s="4789"/>
      <c r="BE191" s="4789"/>
      <c r="BF191" s="4789"/>
      <c r="BG191" s="4789"/>
      <c r="BH191" s="4789"/>
      <c r="BI191" s="4778"/>
      <c r="BJ191" s="1059"/>
      <c r="BK191" s="1059"/>
      <c r="BL191" s="4767"/>
      <c r="BM191" s="4789" t="s">
        <v>505</v>
      </c>
      <c r="BN191" s="4789"/>
      <c r="BO191" s="4789"/>
      <c r="BP191" s="4789"/>
      <c r="BQ191" s="4789"/>
      <c r="BR191" s="4789"/>
      <c r="BS191" s="4778"/>
      <c r="BT191" s="1059"/>
      <c r="BU191" s="1059"/>
      <c r="BV191" s="1059"/>
      <c r="BW191" s="764"/>
      <c r="BX191" s="822"/>
      <c r="BY191" s="822"/>
      <c r="BZ191" s="822"/>
      <c r="CA191" s="822"/>
      <c r="CB191" s="822"/>
      <c r="CC191" s="822"/>
      <c r="CD191" s="822"/>
      <c r="CE191" s="822"/>
      <c r="CF191" s="822"/>
      <c r="CG191" s="822"/>
      <c r="CH191" s="822"/>
      <c r="CI191" s="822"/>
      <c r="CJ191" s="822"/>
      <c r="CK191" s="822"/>
      <c r="CL191" s="822"/>
      <c r="CM191" s="822"/>
      <c r="CN191" s="822"/>
      <c r="CO191" s="822"/>
      <c r="CP191" s="822"/>
      <c r="CQ191" s="822"/>
      <c r="CR191" s="822"/>
      <c r="CS191" s="822"/>
      <c r="CT191" s="822"/>
      <c r="CU191" s="822"/>
      <c r="CV191" s="822"/>
      <c r="CW191" s="822"/>
      <c r="CX191" s="822"/>
      <c r="CY191" s="822"/>
      <c r="CZ191" s="822"/>
      <c r="DA191" s="822"/>
      <c r="DB191" s="822"/>
      <c r="DC191" s="822"/>
      <c r="DD191" s="822"/>
      <c r="DE191" s="822"/>
      <c r="DF191" s="822"/>
      <c r="DG191" s="822"/>
      <c r="DH191" s="822"/>
      <c r="DI191" s="822"/>
      <c r="DJ191" s="822"/>
      <c r="DK191" s="822"/>
      <c r="DL191" s="822"/>
      <c r="DM191" s="822"/>
      <c r="DN191" s="822"/>
      <c r="DO191" s="822"/>
      <c r="DP191" s="822"/>
      <c r="DQ191" s="822"/>
      <c r="DR191" s="822"/>
      <c r="DS191" s="822"/>
      <c r="DT191" s="822"/>
      <c r="DU191" s="822"/>
      <c r="DV191" s="822"/>
      <c r="DW191" s="822"/>
      <c r="DX191" s="822"/>
      <c r="DY191" s="822"/>
      <c r="DZ191" s="822"/>
      <c r="EA191" s="822"/>
      <c r="EB191" s="822"/>
      <c r="EC191" s="822"/>
      <c r="ED191" s="822"/>
      <c r="EE191" s="822"/>
      <c r="EF191" s="822"/>
      <c r="EG191" s="822"/>
      <c r="EH191" s="822"/>
      <c r="EI191" s="822"/>
      <c r="EJ191" s="822"/>
      <c r="EK191" s="822"/>
      <c r="EL191" s="822"/>
      <c r="EM191" s="822"/>
      <c r="EN191" s="822"/>
      <c r="EO191" s="822"/>
      <c r="EP191" s="822"/>
      <c r="EQ191" s="822"/>
      <c r="ER191" s="822"/>
    </row>
    <row r="192" spans="5:148" ht="17.100000000000001" customHeight="1" thickTop="1" x14ac:dyDescent="0.3">
      <c r="E192" s="762"/>
      <c r="F192" s="1059"/>
      <c r="G192" s="1059"/>
      <c r="H192" s="1059"/>
      <c r="I192" s="1059"/>
      <c r="J192" s="1059"/>
      <c r="K192" s="1059"/>
      <c r="L192" s="1059"/>
      <c r="M192" s="1059"/>
      <c r="N192" s="1059"/>
      <c r="O192" s="1059"/>
      <c r="P192" s="1059"/>
      <c r="Q192" s="1059"/>
      <c r="R192" s="1059"/>
      <c r="S192" s="1059"/>
      <c r="T192" s="1059"/>
      <c r="U192" s="1059"/>
      <c r="V192" s="1059"/>
      <c r="W192" s="1059"/>
      <c r="X192" s="1059"/>
      <c r="Y192" s="1059"/>
      <c r="Z192" s="1059"/>
      <c r="AA192" s="1059"/>
      <c r="AB192" s="1059"/>
      <c r="AC192" s="1059"/>
      <c r="AD192" s="1059"/>
      <c r="AE192" s="1059"/>
      <c r="AF192" s="1059"/>
      <c r="AG192" s="1059"/>
      <c r="AH192" s="1059"/>
      <c r="AI192" s="1059"/>
      <c r="AJ192" s="1059"/>
      <c r="AK192" s="1059"/>
      <c r="AL192" s="1059"/>
      <c r="AM192" s="2285">
        <f>AN207</f>
        <v>0</v>
      </c>
      <c r="AN192" s="2279" t="s">
        <v>939</v>
      </c>
      <c r="AO192" s="1278"/>
      <c r="AP192" s="1059"/>
      <c r="AQ192" s="1059"/>
      <c r="AR192" s="1059"/>
      <c r="AS192" s="1059"/>
      <c r="AT192" s="1059"/>
      <c r="AU192" s="1059"/>
      <c r="AV192" s="1059"/>
      <c r="AW192" s="1059"/>
      <c r="AX192" s="1059"/>
      <c r="AY192" s="1059"/>
      <c r="AZ192" s="1059"/>
      <c r="BA192" s="1059"/>
      <c r="BB192" s="1059"/>
      <c r="BC192" s="1059"/>
      <c r="BD192" s="1059"/>
      <c r="BE192" s="1059"/>
      <c r="BF192" s="1059"/>
      <c r="BG192" s="1059"/>
      <c r="BH192" s="1059"/>
      <c r="BI192" s="1059"/>
      <c r="BJ192" s="1059"/>
      <c r="BK192" s="1059"/>
      <c r="BL192" s="1059"/>
      <c r="BM192" s="1059"/>
      <c r="BN192" s="1059"/>
      <c r="BO192" s="1059"/>
      <c r="BP192" s="1059"/>
      <c r="BQ192" s="1059"/>
      <c r="BR192" s="1059"/>
      <c r="BS192" s="1059"/>
      <c r="BT192" s="1059"/>
      <c r="BU192" s="1059"/>
      <c r="BV192" s="1059"/>
      <c r="BW192" s="764"/>
      <c r="BX192" s="822"/>
      <c r="BY192" s="822"/>
      <c r="BZ192" s="822"/>
      <c r="CA192" s="822"/>
      <c r="CB192" s="822"/>
      <c r="CC192" s="822"/>
      <c r="CD192" s="822"/>
      <c r="CE192" s="822"/>
      <c r="CF192" s="822"/>
      <c r="CG192" s="822"/>
      <c r="CH192" s="822"/>
      <c r="CI192" s="822"/>
      <c r="CJ192" s="822"/>
      <c r="CK192" s="822"/>
      <c r="CL192" s="822"/>
      <c r="CM192" s="822"/>
      <c r="CN192" s="822"/>
      <c r="CO192" s="822"/>
      <c r="CP192" s="822"/>
      <c r="CQ192" s="822"/>
      <c r="CR192" s="822"/>
      <c r="CS192" s="822"/>
      <c r="CT192" s="822"/>
      <c r="CU192" s="822"/>
      <c r="CV192" s="822"/>
      <c r="CW192" s="822"/>
      <c r="CX192" s="822"/>
      <c r="CY192" s="822"/>
      <c r="CZ192" s="822"/>
      <c r="DA192" s="822"/>
      <c r="DB192" s="822"/>
      <c r="DC192" s="822"/>
      <c r="DD192" s="822"/>
      <c r="DE192" s="822"/>
      <c r="DF192" s="822"/>
      <c r="DG192" s="822"/>
      <c r="DH192" s="822"/>
      <c r="DI192" s="822"/>
      <c r="DJ192" s="822"/>
      <c r="DK192" s="822"/>
      <c r="DL192" s="822"/>
      <c r="DM192" s="822"/>
      <c r="DN192" s="822"/>
      <c r="DO192" s="822"/>
      <c r="DP192" s="822"/>
      <c r="DQ192" s="822"/>
      <c r="DR192" s="822"/>
      <c r="DS192" s="822"/>
      <c r="DT192" s="822"/>
      <c r="DU192" s="822"/>
      <c r="DV192" s="822"/>
      <c r="DW192" s="822"/>
      <c r="DX192" s="822"/>
      <c r="DY192" s="822"/>
      <c r="DZ192" s="822"/>
      <c r="EA192" s="822"/>
      <c r="EB192" s="822"/>
      <c r="EC192" s="822"/>
      <c r="ED192" s="822"/>
      <c r="EE192" s="822"/>
      <c r="EF192" s="822"/>
      <c r="EG192" s="822"/>
      <c r="EH192" s="822"/>
      <c r="EI192" s="822"/>
      <c r="EJ192" s="822"/>
      <c r="EK192" s="822"/>
      <c r="EL192" s="822"/>
      <c r="EM192" s="822"/>
      <c r="EN192" s="822"/>
      <c r="EO192" s="822"/>
      <c r="EP192" s="822"/>
      <c r="EQ192" s="822"/>
      <c r="ER192" s="822"/>
    </row>
    <row r="193" spans="3:148" ht="17.100000000000001" customHeight="1" thickBot="1" x14ac:dyDescent="0.35">
      <c r="E193" s="762"/>
      <c r="F193" s="1059"/>
      <c r="G193" s="1059"/>
      <c r="H193" s="1059"/>
      <c r="I193" s="1059"/>
      <c r="J193" s="1059"/>
      <c r="K193" s="1059"/>
      <c r="L193" s="1059"/>
      <c r="M193" s="1059"/>
      <c r="N193" s="1059"/>
      <c r="O193" s="1059"/>
      <c r="P193" s="1059"/>
      <c r="Q193" s="1059"/>
      <c r="R193" s="1059"/>
      <c r="S193" s="1059"/>
      <c r="T193" s="1059"/>
      <c r="U193" s="1059"/>
      <c r="V193" s="1059"/>
      <c r="W193" s="1059"/>
      <c r="X193" s="1059"/>
      <c r="Y193" s="1059"/>
      <c r="Z193" s="1059"/>
      <c r="AA193" s="1059"/>
      <c r="AB193" s="1059"/>
      <c r="AC193" s="1059"/>
      <c r="AD193" s="1059"/>
      <c r="AE193" s="1059"/>
      <c r="AF193" s="1059"/>
      <c r="AG193" s="1059"/>
      <c r="AH193" s="1059"/>
      <c r="AI193" s="1059"/>
      <c r="AJ193" s="1059"/>
      <c r="AK193" s="1059"/>
      <c r="AL193" s="1059"/>
      <c r="AM193" s="2285">
        <f>AN207</f>
        <v>0</v>
      </c>
      <c r="AN193" s="2280" t="s">
        <v>942</v>
      </c>
      <c r="AO193" s="1278"/>
      <c r="AP193" s="1059"/>
      <c r="AQ193" s="1059"/>
      <c r="AR193" s="1059"/>
      <c r="AS193" s="1059"/>
      <c r="AT193" s="1059"/>
      <c r="AU193" s="1059"/>
      <c r="AV193" s="1059"/>
      <c r="AW193" s="1059"/>
      <c r="AX193" s="1059"/>
      <c r="AY193" s="1059"/>
      <c r="AZ193" s="1059"/>
      <c r="BA193" s="1059"/>
      <c r="BB193" s="1059"/>
      <c r="BC193" s="1059"/>
      <c r="BD193" s="1059"/>
      <c r="BE193" s="1059"/>
      <c r="BF193" s="1059"/>
      <c r="BG193" s="1059"/>
      <c r="BH193" s="1059"/>
      <c r="BI193" s="1059"/>
      <c r="BJ193" s="1059"/>
      <c r="BK193" s="1059"/>
      <c r="BL193" s="1059"/>
      <c r="BM193" s="1059"/>
      <c r="BN193" s="1059"/>
      <c r="BO193" s="1059"/>
      <c r="BP193" s="1059"/>
      <c r="BQ193" s="1059"/>
      <c r="BR193" s="1059"/>
      <c r="BS193" s="1059"/>
      <c r="BT193" s="1059"/>
      <c r="BU193" s="1059"/>
      <c r="BV193" s="1059"/>
      <c r="BW193" s="764"/>
      <c r="BX193" s="822"/>
      <c r="BY193" s="822"/>
      <c r="BZ193" s="822"/>
      <c r="CA193" s="822"/>
      <c r="CB193" s="822"/>
      <c r="CC193" s="822"/>
      <c r="CD193" s="822"/>
      <c r="CE193" s="822"/>
      <c r="CF193" s="822"/>
      <c r="CG193" s="822"/>
      <c r="CH193" s="822"/>
      <c r="CI193" s="822"/>
      <c r="CJ193" s="822"/>
      <c r="CK193" s="822"/>
      <c r="CL193" s="822"/>
      <c r="CM193" s="822"/>
      <c r="CN193" s="822"/>
      <c r="CO193" s="822"/>
      <c r="CP193" s="822"/>
      <c r="CQ193" s="822"/>
      <c r="CR193" s="822"/>
      <c r="CS193" s="822"/>
      <c r="CT193" s="822"/>
      <c r="CU193" s="822"/>
      <c r="CV193" s="822"/>
      <c r="CW193" s="822"/>
      <c r="CX193" s="822"/>
      <c r="CY193" s="822"/>
      <c r="CZ193" s="822"/>
      <c r="DA193" s="822"/>
      <c r="DB193" s="822"/>
      <c r="DC193" s="822"/>
      <c r="DD193" s="822"/>
      <c r="DE193" s="822"/>
      <c r="DF193" s="822"/>
      <c r="DG193" s="822"/>
      <c r="DH193" s="822"/>
      <c r="DI193" s="822"/>
      <c r="DJ193" s="822"/>
      <c r="DK193" s="822"/>
      <c r="DL193" s="822"/>
      <c r="DM193" s="822"/>
      <c r="DN193" s="822"/>
      <c r="DO193" s="822"/>
      <c r="DP193" s="822"/>
      <c r="DQ193" s="822"/>
      <c r="DR193" s="822"/>
      <c r="DS193" s="822"/>
      <c r="DT193" s="822"/>
      <c r="DU193" s="822"/>
      <c r="DV193" s="822"/>
      <c r="DW193" s="822"/>
      <c r="DX193" s="822"/>
      <c r="DY193" s="822"/>
      <c r="DZ193" s="822"/>
      <c r="EA193" s="822"/>
      <c r="EB193" s="822"/>
      <c r="EC193" s="822"/>
      <c r="ED193" s="822"/>
      <c r="EE193" s="822"/>
      <c r="EF193" s="822"/>
      <c r="EG193" s="822"/>
      <c r="EH193" s="822"/>
      <c r="EI193" s="822"/>
      <c r="EJ193" s="822"/>
      <c r="EK193" s="822"/>
      <c r="EL193" s="822"/>
      <c r="EM193" s="822"/>
      <c r="EN193" s="822"/>
      <c r="EO193" s="822"/>
      <c r="EP193" s="822"/>
      <c r="EQ193" s="822"/>
      <c r="ER193" s="822"/>
    </row>
    <row r="194" spans="3:148" ht="17.100000000000001" customHeight="1" thickTop="1" x14ac:dyDescent="0.3">
      <c r="E194" s="762"/>
      <c r="F194" s="1059"/>
      <c r="G194" s="1059"/>
      <c r="H194" s="1059"/>
      <c r="I194" s="4756" t="s">
        <v>72</v>
      </c>
      <c r="J194" s="4757"/>
      <c r="K194" s="4757"/>
      <c r="L194" s="4787" t="s">
        <v>941</v>
      </c>
      <c r="M194" s="4801"/>
      <c r="N194" s="4757" t="s">
        <v>72</v>
      </c>
      <c r="O194" s="4757"/>
      <c r="P194" s="4762"/>
      <c r="Q194" s="1059"/>
      <c r="R194" s="1059"/>
      <c r="S194" s="4756" t="s">
        <v>72</v>
      </c>
      <c r="T194" s="4757"/>
      <c r="U194" s="4757"/>
      <c r="V194" s="4783" t="s">
        <v>941</v>
      </c>
      <c r="W194" s="4799"/>
      <c r="X194" s="4757" t="s">
        <v>72</v>
      </c>
      <c r="Y194" s="4757"/>
      <c r="Z194" s="4762"/>
      <c r="AA194" s="1059"/>
      <c r="AB194" s="1059"/>
      <c r="AC194" s="4756" t="s">
        <v>72</v>
      </c>
      <c r="AD194" s="4757"/>
      <c r="AE194" s="4757"/>
      <c r="AF194" s="4785" t="s">
        <v>941</v>
      </c>
      <c r="AG194" s="4803"/>
      <c r="AH194" s="4757" t="s">
        <v>72</v>
      </c>
      <c r="AI194" s="4757"/>
      <c r="AJ194" s="4762"/>
      <c r="AK194" s="1059"/>
      <c r="AL194" s="1059"/>
      <c r="AM194" s="2285">
        <f>AN207</f>
        <v>0</v>
      </c>
      <c r="AN194" s="2281" t="s">
        <v>940</v>
      </c>
      <c r="AO194" s="1278"/>
      <c r="AP194" s="1059"/>
      <c r="AQ194" s="1059"/>
      <c r="AR194" s="4756" t="s">
        <v>72</v>
      </c>
      <c r="AS194" s="4757"/>
      <c r="AT194" s="4757"/>
      <c r="AU194" s="4785" t="s">
        <v>942</v>
      </c>
      <c r="AV194" s="4803"/>
      <c r="AW194" s="4757" t="s">
        <v>72</v>
      </c>
      <c r="AX194" s="4757"/>
      <c r="AY194" s="4762"/>
      <c r="AZ194" s="1059"/>
      <c r="BA194" s="1059"/>
      <c r="BB194" s="4756" t="s">
        <v>72</v>
      </c>
      <c r="BC194" s="4757"/>
      <c r="BD194" s="4757"/>
      <c r="BE194" s="4783" t="s">
        <v>942</v>
      </c>
      <c r="BF194" s="4799"/>
      <c r="BG194" s="4757" t="s">
        <v>72</v>
      </c>
      <c r="BH194" s="4757"/>
      <c r="BI194" s="4762"/>
      <c r="BJ194" s="1059"/>
      <c r="BK194" s="1059"/>
      <c r="BL194" s="4756" t="s">
        <v>72</v>
      </c>
      <c r="BM194" s="4757"/>
      <c r="BN194" s="4757"/>
      <c r="BO194" s="4787" t="s">
        <v>942</v>
      </c>
      <c r="BP194" s="4801"/>
      <c r="BQ194" s="4757" t="s">
        <v>72</v>
      </c>
      <c r="BR194" s="4757"/>
      <c r="BS194" s="4762"/>
      <c r="BT194" s="1059"/>
      <c r="BU194" s="1059"/>
      <c r="BV194" s="1059"/>
      <c r="BW194" s="764"/>
      <c r="BX194" s="822"/>
      <c r="BY194" s="822"/>
      <c r="BZ194" s="822"/>
      <c r="CA194" s="822"/>
      <c r="CB194" s="822"/>
      <c r="CC194" s="822"/>
      <c r="CD194" s="822"/>
      <c r="CE194" s="822"/>
      <c r="CF194" s="822"/>
      <c r="CG194" s="822"/>
      <c r="CH194" s="822"/>
      <c r="CI194" s="822"/>
      <c r="CJ194" s="822"/>
      <c r="CK194" s="822"/>
      <c r="CL194" s="822"/>
      <c r="CM194" s="822"/>
      <c r="CN194" s="822"/>
      <c r="CO194" s="822"/>
      <c r="CP194" s="822"/>
      <c r="CQ194" s="822"/>
      <c r="CR194" s="822"/>
      <c r="CS194" s="822"/>
      <c r="CT194" s="822"/>
      <c r="CU194" s="822"/>
      <c r="CV194" s="822"/>
      <c r="CW194" s="822"/>
      <c r="CX194" s="822"/>
      <c r="CY194" s="822"/>
      <c r="CZ194" s="822"/>
      <c r="DA194" s="822"/>
      <c r="DB194" s="822"/>
      <c r="DC194" s="822"/>
      <c r="DD194" s="822"/>
      <c r="DE194" s="822"/>
      <c r="DF194" s="822"/>
      <c r="DG194" s="822"/>
      <c r="DH194" s="822"/>
      <c r="DI194" s="822"/>
      <c r="DJ194" s="822"/>
      <c r="DK194" s="822"/>
      <c r="DL194" s="822"/>
      <c r="DM194" s="822"/>
      <c r="DN194" s="822"/>
      <c r="DO194" s="822"/>
      <c r="DP194" s="822"/>
      <c r="DQ194" s="822"/>
      <c r="DR194" s="822"/>
      <c r="DS194" s="822"/>
      <c r="DT194" s="822"/>
      <c r="DU194" s="822"/>
      <c r="DV194" s="822"/>
      <c r="DW194" s="822"/>
      <c r="DX194" s="822"/>
      <c r="DY194" s="822"/>
      <c r="DZ194" s="822"/>
      <c r="EA194" s="822"/>
      <c r="EB194" s="822"/>
      <c r="EC194" s="822"/>
      <c r="ED194" s="822"/>
      <c r="EE194" s="822"/>
      <c r="EF194" s="822"/>
      <c r="EG194" s="822"/>
      <c r="EH194" s="822"/>
      <c r="EI194" s="822"/>
      <c r="EJ194" s="822"/>
      <c r="EK194" s="822"/>
      <c r="EL194" s="822"/>
      <c r="EM194" s="822"/>
      <c r="EN194" s="822"/>
      <c r="EO194" s="822"/>
      <c r="EP194" s="822"/>
      <c r="EQ194" s="822"/>
      <c r="ER194" s="822"/>
    </row>
    <row r="195" spans="3:148" ht="17.100000000000001" customHeight="1" x14ac:dyDescent="0.3">
      <c r="E195" s="762"/>
      <c r="F195" s="1059"/>
      <c r="G195" s="1059"/>
      <c r="H195" s="1059"/>
      <c r="I195" s="4758"/>
      <c r="J195" s="4759"/>
      <c r="K195" s="4759"/>
      <c r="L195" s="4802"/>
      <c r="M195" s="4802"/>
      <c r="N195" s="4759"/>
      <c r="O195" s="4759"/>
      <c r="P195" s="4763"/>
      <c r="Q195" s="1059"/>
      <c r="R195" s="1059"/>
      <c r="S195" s="4758"/>
      <c r="T195" s="4759"/>
      <c r="U195" s="4759"/>
      <c r="V195" s="4800"/>
      <c r="W195" s="4800"/>
      <c r="X195" s="4759"/>
      <c r="Y195" s="4759"/>
      <c r="Z195" s="4763"/>
      <c r="AA195" s="1059"/>
      <c r="AB195" s="1059"/>
      <c r="AC195" s="4758"/>
      <c r="AD195" s="4759"/>
      <c r="AE195" s="4759"/>
      <c r="AF195" s="4804"/>
      <c r="AG195" s="4804"/>
      <c r="AH195" s="4759"/>
      <c r="AI195" s="4759"/>
      <c r="AJ195" s="4763"/>
      <c r="AK195" s="1059"/>
      <c r="AL195" s="1059"/>
      <c r="AM195" s="2285">
        <f>AN207</f>
        <v>0</v>
      </c>
      <c r="AN195" s="2282" t="s">
        <v>710</v>
      </c>
      <c r="AO195" s="1278"/>
      <c r="AP195" s="1059"/>
      <c r="AQ195" s="1059"/>
      <c r="AR195" s="4758"/>
      <c r="AS195" s="4759"/>
      <c r="AT195" s="4759"/>
      <c r="AU195" s="4804"/>
      <c r="AV195" s="4804"/>
      <c r="AW195" s="4759"/>
      <c r="AX195" s="4759"/>
      <c r="AY195" s="4763"/>
      <c r="AZ195" s="1059"/>
      <c r="BA195" s="1059"/>
      <c r="BB195" s="4758"/>
      <c r="BC195" s="4759"/>
      <c r="BD195" s="4759"/>
      <c r="BE195" s="4800"/>
      <c r="BF195" s="4800"/>
      <c r="BG195" s="4759"/>
      <c r="BH195" s="4759"/>
      <c r="BI195" s="4763"/>
      <c r="BJ195" s="1059"/>
      <c r="BK195" s="1059"/>
      <c r="BL195" s="4758"/>
      <c r="BM195" s="4759"/>
      <c r="BN195" s="4759"/>
      <c r="BO195" s="4802"/>
      <c r="BP195" s="4802"/>
      <c r="BQ195" s="4759"/>
      <c r="BR195" s="4759"/>
      <c r="BS195" s="4763"/>
      <c r="BT195" s="1059"/>
      <c r="BU195" s="1059"/>
      <c r="BV195" s="1059"/>
      <c r="BW195" s="764"/>
      <c r="CJ195" s="822"/>
      <c r="CK195" s="822"/>
      <c r="CL195" s="822"/>
      <c r="CM195" s="822"/>
      <c r="CN195" s="822"/>
      <c r="CO195" s="822"/>
      <c r="CP195" s="822"/>
      <c r="CQ195" s="822"/>
      <c r="CR195" s="822"/>
      <c r="CS195" s="822"/>
      <c r="CT195" s="822"/>
      <c r="CU195" s="822"/>
      <c r="CV195" s="822"/>
      <c r="CW195" s="822"/>
      <c r="CX195" s="822"/>
      <c r="CY195" s="822"/>
      <c r="CZ195" s="822"/>
      <c r="DA195" s="822"/>
      <c r="DB195" s="822"/>
      <c r="DC195" s="822"/>
      <c r="DD195" s="822"/>
      <c r="DE195" s="822"/>
      <c r="DF195" s="822"/>
      <c r="DG195" s="822"/>
      <c r="DH195" s="822"/>
      <c r="DI195" s="822"/>
      <c r="DJ195" s="822"/>
      <c r="DK195" s="822"/>
      <c r="DL195" s="822"/>
      <c r="DM195" s="822"/>
      <c r="DN195" s="822"/>
      <c r="DO195" s="822"/>
      <c r="DP195" s="822"/>
      <c r="DQ195" s="822"/>
      <c r="DR195" s="822"/>
      <c r="DS195" s="822"/>
      <c r="DT195" s="822"/>
      <c r="DU195" s="822"/>
      <c r="DV195" s="822"/>
      <c r="DW195" s="822"/>
      <c r="DX195" s="822"/>
      <c r="DY195" s="822"/>
      <c r="DZ195" s="822"/>
      <c r="EA195" s="822"/>
      <c r="EB195" s="822"/>
      <c r="EC195" s="822"/>
      <c r="ED195" s="822"/>
      <c r="EE195" s="822"/>
      <c r="EF195" s="822"/>
      <c r="EG195" s="822"/>
      <c r="EH195" s="822"/>
      <c r="EI195" s="822"/>
      <c r="EJ195" s="822"/>
      <c r="EK195" s="822"/>
      <c r="EL195" s="822"/>
      <c r="EM195" s="822"/>
      <c r="EN195" s="822"/>
      <c r="EO195" s="822"/>
      <c r="EP195" s="822"/>
      <c r="EQ195" s="822"/>
      <c r="ER195" s="822"/>
    </row>
    <row r="196" spans="3:148" ht="17.100000000000001" customHeight="1" x14ac:dyDescent="0.3">
      <c r="E196" s="762"/>
      <c r="F196" s="1059"/>
      <c r="G196" s="1059"/>
      <c r="H196" s="1059"/>
      <c r="I196" s="4766"/>
      <c r="J196" s="4768"/>
      <c r="K196" s="4769"/>
      <c r="L196" s="4769"/>
      <c r="M196" s="4769"/>
      <c r="N196" s="4769"/>
      <c r="O196" s="4770"/>
      <c r="P196" s="4777"/>
      <c r="Q196" s="1059"/>
      <c r="R196" s="1059"/>
      <c r="S196" s="4766"/>
      <c r="T196" s="4768"/>
      <c r="U196" s="4769"/>
      <c r="V196" s="4769"/>
      <c r="W196" s="4769"/>
      <c r="X196" s="4769"/>
      <c r="Y196" s="4770"/>
      <c r="Z196" s="4777"/>
      <c r="AA196" s="1059"/>
      <c r="AB196" s="1059"/>
      <c r="AC196" s="4766"/>
      <c r="AD196" s="4768"/>
      <c r="AE196" s="4769"/>
      <c r="AF196" s="4769"/>
      <c r="AG196" s="4769"/>
      <c r="AH196" s="4769"/>
      <c r="AI196" s="4770"/>
      <c r="AJ196" s="4777"/>
      <c r="AK196" s="1059"/>
      <c r="AL196" s="1059"/>
      <c r="AM196" s="2285">
        <f>AN207</f>
        <v>0</v>
      </c>
      <c r="AN196" s="2283" t="s">
        <v>941</v>
      </c>
      <c r="AO196" s="1278"/>
      <c r="AP196" s="1059"/>
      <c r="AQ196" s="1059"/>
      <c r="AR196" s="4766"/>
      <c r="AS196" s="4768"/>
      <c r="AT196" s="4769"/>
      <c r="AU196" s="4769"/>
      <c r="AV196" s="4769"/>
      <c r="AW196" s="4769"/>
      <c r="AX196" s="4770"/>
      <c r="AY196" s="4777"/>
      <c r="AZ196" s="1059"/>
      <c r="BA196" s="1059"/>
      <c r="BB196" s="4766"/>
      <c r="BC196" s="4768"/>
      <c r="BD196" s="4769"/>
      <c r="BE196" s="4769"/>
      <c r="BF196" s="4769"/>
      <c r="BG196" s="4769"/>
      <c r="BH196" s="4770"/>
      <c r="BI196" s="4777"/>
      <c r="BJ196" s="1059"/>
      <c r="BK196" s="1059"/>
      <c r="BL196" s="4766"/>
      <c r="BM196" s="4768"/>
      <c r="BN196" s="4769"/>
      <c r="BO196" s="4769"/>
      <c r="BP196" s="4769"/>
      <c r="BQ196" s="4769"/>
      <c r="BR196" s="4770"/>
      <c r="BS196" s="4777"/>
      <c r="BT196" s="1059"/>
      <c r="BU196" s="1059"/>
      <c r="BV196" s="1059"/>
      <c r="BW196" s="764"/>
      <c r="BX196" s="822"/>
      <c r="BY196" s="822"/>
      <c r="BZ196" s="822"/>
      <c r="CA196" s="822"/>
      <c r="CB196" s="822"/>
      <c r="CC196" s="822"/>
      <c r="CD196" s="822"/>
      <c r="CE196" s="822"/>
      <c r="CF196" s="822"/>
      <c r="CG196" s="822"/>
      <c r="CH196" s="822"/>
      <c r="CI196" s="822"/>
      <c r="CJ196" s="4826" t="str">
        <f>IF(J196=0,"",J196)</f>
        <v/>
      </c>
      <c r="CK196" s="4827"/>
      <c r="CL196" s="4827"/>
      <c r="CM196" s="4827"/>
      <c r="CN196" s="4827"/>
      <c r="CO196" s="4828"/>
      <c r="CP196" s="822"/>
      <c r="CQ196" s="822"/>
      <c r="CR196" s="822"/>
      <c r="CS196" s="822"/>
      <c r="CT196" s="4826" t="str">
        <f>IF(T196=0,"",T196)</f>
        <v/>
      </c>
      <c r="CU196" s="4827"/>
      <c r="CV196" s="4827"/>
      <c r="CW196" s="4827"/>
      <c r="CX196" s="4827"/>
      <c r="CY196" s="4828"/>
      <c r="CZ196" s="822"/>
      <c r="DA196" s="822"/>
      <c r="DB196" s="822"/>
      <c r="DC196" s="822"/>
      <c r="DD196" s="4826" t="str">
        <f>IF(AD196=0,"",AD196)</f>
        <v/>
      </c>
      <c r="DE196" s="4827"/>
      <c r="DF196" s="4827"/>
      <c r="DG196" s="4827"/>
      <c r="DH196" s="4827"/>
      <c r="DI196" s="4828"/>
      <c r="DJ196" s="822"/>
      <c r="DK196" s="822"/>
      <c r="DL196" s="822"/>
      <c r="DM196" s="822"/>
      <c r="DN196" s="822"/>
      <c r="DO196" s="822"/>
      <c r="DP196" s="822"/>
      <c r="DQ196" s="822"/>
      <c r="DR196" s="822"/>
      <c r="DS196" s="4826" t="str">
        <f>IF(AS196=0,"",AS196)</f>
        <v/>
      </c>
      <c r="DT196" s="4827"/>
      <c r="DU196" s="4827"/>
      <c r="DV196" s="4827"/>
      <c r="DW196" s="4827"/>
      <c r="DX196" s="4828"/>
      <c r="DY196" s="822"/>
      <c r="DZ196" s="822"/>
      <c r="EA196" s="822"/>
      <c r="EB196" s="822"/>
      <c r="EC196" s="4826" t="str">
        <f>IF(BC196=0,"",BC196)</f>
        <v/>
      </c>
      <c r="ED196" s="4827"/>
      <c r="EE196" s="4827"/>
      <c r="EF196" s="4827"/>
      <c r="EG196" s="4827"/>
      <c r="EH196" s="4828"/>
      <c r="EI196" s="822"/>
      <c r="EJ196" s="822"/>
      <c r="EK196" s="822"/>
      <c r="EL196" s="822"/>
      <c r="EM196" s="4826" t="str">
        <f>IF(BM196=0,"",BM196)</f>
        <v/>
      </c>
      <c r="EN196" s="4827"/>
      <c r="EO196" s="4827"/>
      <c r="EP196" s="4827"/>
      <c r="EQ196" s="4827"/>
      <c r="ER196" s="4828"/>
    </row>
    <row r="197" spans="3:148" ht="17.100000000000001" customHeight="1" x14ac:dyDescent="0.3">
      <c r="E197" s="762"/>
      <c r="F197" s="1059"/>
      <c r="G197" s="1059"/>
      <c r="H197" s="1059"/>
      <c r="I197" s="4766"/>
      <c r="J197" s="4771"/>
      <c r="K197" s="4772"/>
      <c r="L197" s="4772"/>
      <c r="M197" s="4772"/>
      <c r="N197" s="4772"/>
      <c r="O197" s="4773"/>
      <c r="P197" s="4777"/>
      <c r="Q197" s="1059"/>
      <c r="R197" s="1059"/>
      <c r="S197" s="4766"/>
      <c r="T197" s="4771"/>
      <c r="U197" s="4772"/>
      <c r="V197" s="4772"/>
      <c r="W197" s="4772"/>
      <c r="X197" s="4772"/>
      <c r="Y197" s="4773"/>
      <c r="Z197" s="4777"/>
      <c r="AA197" s="1059"/>
      <c r="AB197" s="1059"/>
      <c r="AC197" s="4766"/>
      <c r="AD197" s="4771"/>
      <c r="AE197" s="4772"/>
      <c r="AF197" s="4772"/>
      <c r="AG197" s="4772"/>
      <c r="AH197" s="4772"/>
      <c r="AI197" s="4773"/>
      <c r="AJ197" s="4777"/>
      <c r="AK197" s="1059"/>
      <c r="AL197" s="1059"/>
      <c r="AM197" s="2285">
        <f>AN207</f>
        <v>0</v>
      </c>
      <c r="AN197" s="2284" t="s">
        <v>144</v>
      </c>
      <c r="AO197" s="1278"/>
      <c r="AP197" s="1059"/>
      <c r="AQ197" s="1059"/>
      <c r="AR197" s="4766"/>
      <c r="AS197" s="4771"/>
      <c r="AT197" s="4772"/>
      <c r="AU197" s="4772"/>
      <c r="AV197" s="4772"/>
      <c r="AW197" s="4772"/>
      <c r="AX197" s="4773"/>
      <c r="AY197" s="4777"/>
      <c r="AZ197" s="1059"/>
      <c r="BA197" s="1059"/>
      <c r="BB197" s="4766"/>
      <c r="BC197" s="4771"/>
      <c r="BD197" s="4772"/>
      <c r="BE197" s="4772"/>
      <c r="BF197" s="4772"/>
      <c r="BG197" s="4772"/>
      <c r="BH197" s="4773"/>
      <c r="BI197" s="4777"/>
      <c r="BJ197" s="1059"/>
      <c r="BK197" s="1059"/>
      <c r="BL197" s="4766"/>
      <c r="BM197" s="4771"/>
      <c r="BN197" s="4772"/>
      <c r="BO197" s="4772"/>
      <c r="BP197" s="4772"/>
      <c r="BQ197" s="4772"/>
      <c r="BR197" s="4773"/>
      <c r="BS197" s="4777"/>
      <c r="BT197" s="1059"/>
      <c r="BU197" s="1059"/>
      <c r="BV197" s="1059"/>
      <c r="BW197" s="764"/>
      <c r="BX197" s="822"/>
      <c r="BY197" s="822"/>
      <c r="BZ197" s="822"/>
      <c r="CA197" s="822"/>
      <c r="CB197" s="822"/>
      <c r="CC197" s="822"/>
      <c r="CD197" s="822"/>
      <c r="CE197" s="822"/>
      <c r="CF197" s="822"/>
      <c r="CG197" s="822"/>
      <c r="CH197" s="822"/>
      <c r="CI197" s="822"/>
      <c r="CJ197" s="4829"/>
      <c r="CK197" s="4830"/>
      <c r="CL197" s="4830"/>
      <c r="CM197" s="4830"/>
      <c r="CN197" s="4830"/>
      <c r="CO197" s="4831"/>
      <c r="CP197" s="822"/>
      <c r="CQ197" s="822"/>
      <c r="CR197" s="822"/>
      <c r="CS197" s="822"/>
      <c r="CT197" s="4829"/>
      <c r="CU197" s="4830"/>
      <c r="CV197" s="4830"/>
      <c r="CW197" s="4830"/>
      <c r="CX197" s="4830"/>
      <c r="CY197" s="4831"/>
      <c r="CZ197" s="822"/>
      <c r="DA197" s="822"/>
      <c r="DB197" s="822"/>
      <c r="DC197" s="822"/>
      <c r="DD197" s="4829"/>
      <c r="DE197" s="4830"/>
      <c r="DF197" s="4830"/>
      <c r="DG197" s="4830"/>
      <c r="DH197" s="4830"/>
      <c r="DI197" s="4831"/>
      <c r="DJ197" s="822"/>
      <c r="DK197" s="822"/>
      <c r="DL197" s="822"/>
      <c r="DM197" s="822"/>
      <c r="DN197" s="822"/>
      <c r="DO197" s="822"/>
      <c r="DP197" s="822"/>
      <c r="DQ197" s="822"/>
      <c r="DR197" s="822"/>
      <c r="DS197" s="4829"/>
      <c r="DT197" s="4830"/>
      <c r="DU197" s="4830"/>
      <c r="DV197" s="4830"/>
      <c r="DW197" s="4830"/>
      <c r="DX197" s="4831"/>
      <c r="DY197" s="822"/>
      <c r="DZ197" s="822"/>
      <c r="EA197" s="822"/>
      <c r="EB197" s="822"/>
      <c r="EC197" s="4829"/>
      <c r="ED197" s="4830"/>
      <c r="EE197" s="4830"/>
      <c r="EF197" s="4830"/>
      <c r="EG197" s="4830"/>
      <c r="EH197" s="4831"/>
      <c r="EI197" s="822"/>
      <c r="EJ197" s="822"/>
      <c r="EK197" s="822"/>
      <c r="EL197" s="822"/>
      <c r="EM197" s="4829"/>
      <c r="EN197" s="4830"/>
      <c r="EO197" s="4830"/>
      <c r="EP197" s="4830"/>
      <c r="EQ197" s="4830"/>
      <c r="ER197" s="4831"/>
    </row>
    <row r="198" spans="3:148" ht="17.100000000000001" customHeight="1" x14ac:dyDescent="0.3">
      <c r="C198" s="1436"/>
      <c r="E198" s="762"/>
      <c r="F198" s="1059"/>
      <c r="G198" s="1059"/>
      <c r="H198" s="1059"/>
      <c r="I198" s="4766"/>
      <c r="J198" s="4774"/>
      <c r="K198" s="4775"/>
      <c r="L198" s="4775"/>
      <c r="M198" s="4775"/>
      <c r="N198" s="4775"/>
      <c r="O198" s="4776"/>
      <c r="P198" s="4777"/>
      <c r="Q198" s="1059"/>
      <c r="R198" s="1059"/>
      <c r="S198" s="4766"/>
      <c r="T198" s="4774"/>
      <c r="U198" s="4775"/>
      <c r="V198" s="4775"/>
      <c r="W198" s="4775"/>
      <c r="X198" s="4775"/>
      <c r="Y198" s="4776"/>
      <c r="Z198" s="4777"/>
      <c r="AA198" s="1059"/>
      <c r="AB198" s="1059"/>
      <c r="AC198" s="4766"/>
      <c r="AD198" s="4774"/>
      <c r="AE198" s="4775"/>
      <c r="AF198" s="4775"/>
      <c r="AG198" s="4775"/>
      <c r="AH198" s="4775"/>
      <c r="AI198" s="4776"/>
      <c r="AJ198" s="4777"/>
      <c r="AK198" s="1059"/>
      <c r="AL198" s="1059"/>
      <c r="AM198" s="2285">
        <f>AN207</f>
        <v>0</v>
      </c>
      <c r="AN198" s="2276" t="s">
        <v>939</v>
      </c>
      <c r="AO198" s="1278"/>
      <c r="AP198" s="1059"/>
      <c r="AQ198" s="1059"/>
      <c r="AR198" s="4766"/>
      <c r="AS198" s="4774"/>
      <c r="AT198" s="4775"/>
      <c r="AU198" s="4775"/>
      <c r="AV198" s="4775"/>
      <c r="AW198" s="4775"/>
      <c r="AX198" s="4776"/>
      <c r="AY198" s="4777"/>
      <c r="AZ198" s="1059"/>
      <c r="BA198" s="1059"/>
      <c r="BB198" s="4766"/>
      <c r="BC198" s="4774"/>
      <c r="BD198" s="4775"/>
      <c r="BE198" s="4775"/>
      <c r="BF198" s="4775"/>
      <c r="BG198" s="4775"/>
      <c r="BH198" s="4776"/>
      <c r="BI198" s="4777"/>
      <c r="BJ198" s="1059"/>
      <c r="BK198" s="1059"/>
      <c r="BL198" s="4766"/>
      <c r="BM198" s="4774"/>
      <c r="BN198" s="4775"/>
      <c r="BO198" s="4775"/>
      <c r="BP198" s="4775"/>
      <c r="BQ198" s="4775"/>
      <c r="BR198" s="4776"/>
      <c r="BS198" s="4777"/>
      <c r="BT198" s="1059"/>
      <c r="BU198" s="1059"/>
      <c r="BV198" s="1059"/>
      <c r="BW198" s="764"/>
      <c r="BX198" s="822"/>
      <c r="BY198" s="822"/>
      <c r="BZ198" s="822"/>
      <c r="CA198" s="822"/>
      <c r="CB198" s="822"/>
      <c r="CC198" s="822"/>
      <c r="CD198" s="822"/>
      <c r="CE198" s="822"/>
      <c r="CF198" s="822"/>
      <c r="CG198" s="822"/>
      <c r="CH198" s="822"/>
      <c r="CI198" s="822"/>
      <c r="CJ198" s="4832"/>
      <c r="CK198" s="4833"/>
      <c r="CL198" s="4833"/>
      <c r="CM198" s="4833"/>
      <c r="CN198" s="4833"/>
      <c r="CO198" s="4834"/>
      <c r="CP198" s="822"/>
      <c r="CQ198" s="822"/>
      <c r="CR198" s="822"/>
      <c r="CS198" s="822"/>
      <c r="CT198" s="4832"/>
      <c r="CU198" s="4833"/>
      <c r="CV198" s="4833"/>
      <c r="CW198" s="4833"/>
      <c r="CX198" s="4833"/>
      <c r="CY198" s="4834"/>
      <c r="CZ198" s="822"/>
      <c r="DA198" s="822"/>
      <c r="DB198" s="822"/>
      <c r="DC198" s="822"/>
      <c r="DD198" s="4832"/>
      <c r="DE198" s="4833"/>
      <c r="DF198" s="4833"/>
      <c r="DG198" s="4833"/>
      <c r="DH198" s="4833"/>
      <c r="DI198" s="4834"/>
      <c r="DJ198" s="822"/>
      <c r="DK198" s="822"/>
      <c r="DL198" s="822"/>
      <c r="DM198" s="822"/>
      <c r="DN198" s="822"/>
      <c r="DO198" s="822"/>
      <c r="DP198" s="822"/>
      <c r="DQ198" s="822"/>
      <c r="DR198" s="822"/>
      <c r="DS198" s="4832"/>
      <c r="DT198" s="4833"/>
      <c r="DU198" s="4833"/>
      <c r="DV198" s="4833"/>
      <c r="DW198" s="4833"/>
      <c r="DX198" s="4834"/>
      <c r="DY198" s="822"/>
      <c r="DZ198" s="822"/>
      <c r="EA198" s="822"/>
      <c r="EB198" s="822"/>
      <c r="EC198" s="4832"/>
      <c r="ED198" s="4833"/>
      <c r="EE198" s="4833"/>
      <c r="EF198" s="4833"/>
      <c r="EG198" s="4833"/>
      <c r="EH198" s="4834"/>
      <c r="EI198" s="822"/>
      <c r="EJ198" s="822"/>
      <c r="EK198" s="822"/>
      <c r="EL198" s="822"/>
      <c r="EM198" s="4832"/>
      <c r="EN198" s="4833"/>
      <c r="EO198" s="4833"/>
      <c r="EP198" s="4833"/>
      <c r="EQ198" s="4833"/>
      <c r="ER198" s="4834"/>
    </row>
    <row r="199" spans="3:148" ht="17.100000000000001" customHeight="1" thickBot="1" x14ac:dyDescent="0.35">
      <c r="C199" s="1436"/>
      <c r="E199" s="762"/>
      <c r="F199" s="1059"/>
      <c r="G199" s="1059"/>
      <c r="H199" s="1059"/>
      <c r="I199" s="4767"/>
      <c r="J199" s="4789" t="s">
        <v>505</v>
      </c>
      <c r="K199" s="4789"/>
      <c r="L199" s="4789"/>
      <c r="M199" s="4789"/>
      <c r="N199" s="4789"/>
      <c r="O199" s="4789"/>
      <c r="P199" s="4778"/>
      <c r="Q199" s="1059"/>
      <c r="R199" s="1059"/>
      <c r="S199" s="4767"/>
      <c r="T199" s="4789" t="s">
        <v>505</v>
      </c>
      <c r="U199" s="4789"/>
      <c r="V199" s="4789"/>
      <c r="W199" s="4789"/>
      <c r="X199" s="4789"/>
      <c r="Y199" s="4789"/>
      <c r="Z199" s="4778"/>
      <c r="AA199" s="1059"/>
      <c r="AB199" s="1059"/>
      <c r="AC199" s="4767"/>
      <c r="AD199" s="4789" t="s">
        <v>505</v>
      </c>
      <c r="AE199" s="4789"/>
      <c r="AF199" s="4789"/>
      <c r="AG199" s="4789"/>
      <c r="AH199" s="4789"/>
      <c r="AI199" s="4789"/>
      <c r="AJ199" s="4778"/>
      <c r="AK199" s="1059"/>
      <c r="AL199" s="1059"/>
      <c r="AM199" s="2285">
        <f>AN207</f>
        <v>0</v>
      </c>
      <c r="AN199" s="2277" t="s">
        <v>942</v>
      </c>
      <c r="AO199" s="1278"/>
      <c r="AP199" s="1059"/>
      <c r="AQ199" s="1059"/>
      <c r="AR199" s="4767"/>
      <c r="AS199" s="4789" t="s">
        <v>505</v>
      </c>
      <c r="AT199" s="4789"/>
      <c r="AU199" s="4789"/>
      <c r="AV199" s="4789"/>
      <c r="AW199" s="4789"/>
      <c r="AX199" s="4789"/>
      <c r="AY199" s="4778"/>
      <c r="AZ199" s="1059"/>
      <c r="BA199" s="1059"/>
      <c r="BB199" s="4767"/>
      <c r="BC199" s="4789" t="s">
        <v>505</v>
      </c>
      <c r="BD199" s="4789"/>
      <c r="BE199" s="4789"/>
      <c r="BF199" s="4789"/>
      <c r="BG199" s="4789"/>
      <c r="BH199" s="4789"/>
      <c r="BI199" s="4778"/>
      <c r="BJ199" s="1059"/>
      <c r="BK199" s="1059"/>
      <c r="BL199" s="4767"/>
      <c r="BM199" s="4789" t="s">
        <v>505</v>
      </c>
      <c r="BN199" s="4789"/>
      <c r="BO199" s="4789"/>
      <c r="BP199" s="4789"/>
      <c r="BQ199" s="4789"/>
      <c r="BR199" s="4789"/>
      <c r="BS199" s="4778"/>
      <c r="BT199" s="1059"/>
      <c r="BU199" s="1059"/>
      <c r="BV199" s="1059"/>
      <c r="BW199" s="764"/>
      <c r="BX199" s="822"/>
      <c r="BY199" s="822"/>
      <c r="BZ199" s="822"/>
      <c r="CA199" s="822"/>
      <c r="CB199" s="822"/>
      <c r="CC199" s="822"/>
      <c r="CD199" s="822"/>
      <c r="CE199" s="822"/>
      <c r="CF199" s="822"/>
      <c r="CG199" s="822"/>
      <c r="CH199" s="822"/>
      <c r="CI199" s="822"/>
      <c r="CQ199" s="822"/>
      <c r="CR199" s="822"/>
      <c r="CS199" s="822"/>
      <c r="CT199" s="822"/>
      <c r="CU199" s="822"/>
      <c r="CV199" s="822"/>
      <c r="CW199" s="822"/>
      <c r="CX199" s="822"/>
      <c r="CY199" s="822"/>
      <c r="CZ199" s="822"/>
      <c r="DA199" s="822"/>
      <c r="DB199" s="822"/>
      <c r="DC199" s="822"/>
      <c r="DD199" s="822"/>
      <c r="DE199" s="822"/>
      <c r="DF199" s="822"/>
      <c r="DG199" s="822"/>
      <c r="DH199" s="822"/>
      <c r="DI199" s="822"/>
      <c r="DJ199" s="822"/>
      <c r="DK199" s="822"/>
      <c r="DL199" s="822"/>
      <c r="DM199" s="822"/>
      <c r="DN199" s="822"/>
      <c r="DO199" s="822"/>
      <c r="DP199" s="822"/>
      <c r="DQ199" s="822"/>
      <c r="DR199" s="822"/>
      <c r="DZ199" s="822"/>
      <c r="EA199" s="822"/>
      <c r="EB199" s="822"/>
      <c r="EC199" s="822"/>
      <c r="ED199" s="822"/>
      <c r="EE199" s="822"/>
      <c r="EF199" s="822"/>
      <c r="EG199" s="822"/>
      <c r="EH199" s="822"/>
      <c r="EI199" s="822"/>
      <c r="EJ199" s="822"/>
      <c r="EK199" s="822"/>
      <c r="EL199" s="822"/>
      <c r="EM199" s="822"/>
      <c r="EN199" s="822"/>
      <c r="EO199" s="822"/>
      <c r="EP199" s="822"/>
      <c r="EQ199" s="822"/>
      <c r="ER199" s="822"/>
    </row>
    <row r="200" spans="3:148" ht="17.100000000000001" customHeight="1" thickTop="1" x14ac:dyDescent="0.3">
      <c r="C200" s="1436"/>
      <c r="E200" s="762"/>
      <c r="F200" s="1059"/>
      <c r="G200" s="1059"/>
      <c r="H200" s="1059"/>
      <c r="I200" s="1059"/>
      <c r="J200" s="1059"/>
      <c r="K200" s="1059"/>
      <c r="L200" s="1059"/>
      <c r="M200" s="1059"/>
      <c r="N200" s="1059"/>
      <c r="O200" s="1059"/>
      <c r="P200" s="1059"/>
      <c r="Q200" s="1059"/>
      <c r="R200" s="1059"/>
      <c r="S200" s="1059"/>
      <c r="T200" s="1059"/>
      <c r="U200" s="1059"/>
      <c r="V200" s="1059"/>
      <c r="W200" s="1059"/>
      <c r="X200" s="1059"/>
      <c r="Y200" s="1059"/>
      <c r="Z200" s="1059"/>
      <c r="AA200" s="1059"/>
      <c r="AB200" s="1059"/>
      <c r="AC200" s="1059"/>
      <c r="AD200" s="1059"/>
      <c r="AE200" s="1059"/>
      <c r="AF200" s="1059"/>
      <c r="AG200" s="1059"/>
      <c r="AH200" s="1059"/>
      <c r="AI200" s="1059"/>
      <c r="AJ200" s="1059"/>
      <c r="AK200" s="1059"/>
      <c r="AL200" s="1059"/>
      <c r="AM200" s="2285">
        <f>AN207</f>
        <v>0</v>
      </c>
      <c r="AN200" s="2278" t="s">
        <v>940</v>
      </c>
      <c r="AO200" s="1278"/>
      <c r="AP200" s="1059"/>
      <c r="AQ200" s="1059"/>
      <c r="AR200" s="1059"/>
      <c r="AS200" s="1059"/>
      <c r="AT200" s="1059"/>
      <c r="AU200" s="1059"/>
      <c r="AV200" s="1059"/>
      <c r="AW200" s="1059"/>
      <c r="AX200" s="1059"/>
      <c r="AY200" s="1059"/>
      <c r="AZ200" s="1059"/>
      <c r="BA200" s="1059"/>
      <c r="BB200" s="1059"/>
      <c r="BC200" s="1059"/>
      <c r="BD200" s="1059"/>
      <c r="BE200" s="1059"/>
      <c r="BF200" s="1059"/>
      <c r="BG200" s="1059"/>
      <c r="BH200" s="1059"/>
      <c r="BI200" s="1059"/>
      <c r="BJ200" s="1059"/>
      <c r="BK200" s="1059"/>
      <c r="BL200" s="1059"/>
      <c r="BM200" s="1059"/>
      <c r="BN200" s="1059"/>
      <c r="BO200" s="1059"/>
      <c r="BP200" s="1059"/>
      <c r="BQ200" s="1059"/>
      <c r="BR200" s="1059"/>
      <c r="BS200" s="1059"/>
      <c r="BT200" s="1059"/>
      <c r="BU200" s="1059"/>
      <c r="BV200" s="1059"/>
      <c r="BW200" s="764"/>
      <c r="BX200" s="822"/>
      <c r="BY200" s="822"/>
      <c r="BZ200" s="822"/>
      <c r="CA200" s="822"/>
      <c r="CB200" s="822"/>
      <c r="CC200" s="822"/>
      <c r="CD200" s="822"/>
      <c r="CE200" s="822"/>
      <c r="CF200" s="822"/>
      <c r="CG200" s="822"/>
      <c r="CH200" s="822"/>
      <c r="CI200" s="822"/>
      <c r="CQ200" s="822"/>
      <c r="CR200" s="822"/>
      <c r="CS200" s="822"/>
      <c r="CT200" s="822"/>
      <c r="CU200" s="822"/>
      <c r="CV200" s="822"/>
      <c r="CW200" s="822"/>
      <c r="CX200" s="822"/>
      <c r="CY200" s="822"/>
      <c r="CZ200" s="822"/>
      <c r="DA200" s="822"/>
      <c r="DB200" s="822"/>
      <c r="DC200" s="822"/>
      <c r="DD200" s="822"/>
      <c r="DE200" s="822"/>
      <c r="DF200" s="822"/>
      <c r="DG200" s="822"/>
      <c r="DH200" s="822"/>
      <c r="DI200" s="822"/>
      <c r="DJ200" s="822"/>
      <c r="DK200" s="822"/>
      <c r="DL200" s="822"/>
      <c r="DM200" s="822"/>
      <c r="DN200" s="822"/>
      <c r="DO200" s="822"/>
      <c r="DP200" s="822"/>
      <c r="DQ200" s="822"/>
      <c r="DR200" s="822"/>
      <c r="DZ200" s="822"/>
      <c r="EA200" s="822"/>
      <c r="EB200" s="822"/>
      <c r="EC200" s="822"/>
      <c r="ED200" s="822"/>
      <c r="EE200" s="822"/>
      <c r="EF200" s="822"/>
      <c r="EG200" s="822"/>
      <c r="EH200" s="822"/>
      <c r="EI200" s="822"/>
      <c r="EJ200" s="822"/>
      <c r="EK200" s="822"/>
      <c r="EL200" s="822"/>
      <c r="EM200" s="822"/>
      <c r="EN200" s="822"/>
      <c r="EO200" s="822"/>
      <c r="EP200" s="822"/>
      <c r="EQ200" s="822"/>
      <c r="ER200" s="822"/>
    </row>
    <row r="201" spans="3:148" ht="17.100000000000001" customHeight="1" thickBot="1" x14ac:dyDescent="0.35">
      <c r="C201" s="1436"/>
      <c r="E201" s="762"/>
      <c r="F201" s="1059"/>
      <c r="G201" s="1059"/>
      <c r="H201" s="1059"/>
      <c r="I201" s="1059"/>
      <c r="J201" s="1059"/>
      <c r="K201" s="1059"/>
      <c r="L201" s="1059"/>
      <c r="M201" s="1059"/>
      <c r="N201" s="1059"/>
      <c r="O201" s="1059"/>
      <c r="P201" s="1059"/>
      <c r="Q201" s="1059"/>
      <c r="R201" s="1059"/>
      <c r="S201" s="1059"/>
      <c r="T201" s="1059"/>
      <c r="U201" s="1059"/>
      <c r="V201" s="1059"/>
      <c r="W201" s="1059"/>
      <c r="X201" s="1059"/>
      <c r="Y201" s="1059"/>
      <c r="Z201" s="1059"/>
      <c r="AA201" s="1059"/>
      <c r="AB201" s="1059"/>
      <c r="AC201" s="1059"/>
      <c r="AD201" s="1059"/>
      <c r="AE201" s="1059"/>
      <c r="AF201" s="1059"/>
      <c r="AG201" s="1059"/>
      <c r="AH201" s="1059"/>
      <c r="AI201" s="1059"/>
      <c r="AJ201" s="1059"/>
      <c r="AK201" s="1059"/>
      <c r="AL201" s="1059"/>
      <c r="AM201" s="2285">
        <f>AN207</f>
        <v>0</v>
      </c>
      <c r="AN201" s="2279" t="s">
        <v>710</v>
      </c>
      <c r="AO201" s="1278"/>
      <c r="AP201" s="1059"/>
      <c r="AQ201" s="1059"/>
      <c r="AR201" s="1059"/>
      <c r="AS201" s="1059"/>
      <c r="AT201" s="1059"/>
      <c r="AU201" s="1059"/>
      <c r="AV201" s="1059"/>
      <c r="AW201" s="1059"/>
      <c r="AX201" s="1059"/>
      <c r="AY201" s="1059"/>
      <c r="AZ201" s="1059"/>
      <c r="BA201" s="1059"/>
      <c r="BB201" s="1059"/>
      <c r="BC201" s="1059"/>
      <c r="BD201" s="1059"/>
      <c r="BE201" s="1059"/>
      <c r="BF201" s="1059"/>
      <c r="BG201" s="1059"/>
      <c r="BH201" s="1059"/>
      <c r="BI201" s="1059"/>
      <c r="BJ201" s="1059"/>
      <c r="BK201" s="1059"/>
      <c r="BL201" s="1059"/>
      <c r="BM201" s="1059"/>
      <c r="BN201" s="1059"/>
      <c r="BO201" s="1059"/>
      <c r="BP201" s="1059"/>
      <c r="BQ201" s="1059"/>
      <c r="BR201" s="1059"/>
      <c r="BS201" s="1059"/>
      <c r="BT201" s="1059"/>
      <c r="BU201" s="1059"/>
      <c r="BV201" s="1059"/>
      <c r="BW201" s="764"/>
      <c r="BX201" s="822"/>
      <c r="BY201" s="822"/>
      <c r="BZ201" s="822"/>
      <c r="CA201" s="822"/>
      <c r="CB201" s="822"/>
      <c r="CC201" s="822"/>
      <c r="CD201" s="822"/>
      <c r="CE201" s="822"/>
      <c r="CF201" s="822"/>
      <c r="CG201" s="822"/>
      <c r="CH201" s="822"/>
      <c r="CI201" s="822"/>
      <c r="CJ201" s="822"/>
      <c r="CK201" s="822"/>
      <c r="CL201" s="822"/>
      <c r="CM201" s="822"/>
      <c r="CN201" s="822"/>
      <c r="CO201" s="822"/>
      <c r="CP201" s="822"/>
      <c r="CQ201" s="822"/>
      <c r="CR201" s="822"/>
      <c r="CS201" s="822"/>
      <c r="CT201" s="822"/>
      <c r="CU201" s="822"/>
      <c r="CV201" s="822"/>
      <c r="CW201" s="822"/>
      <c r="CX201" s="822"/>
      <c r="CY201" s="822"/>
      <c r="CZ201" s="822"/>
      <c r="DA201" s="822"/>
      <c r="DB201" s="822"/>
      <c r="DC201" s="822"/>
      <c r="DD201" s="822"/>
      <c r="DE201" s="822"/>
      <c r="DF201" s="822"/>
      <c r="DG201" s="822"/>
      <c r="DH201" s="822"/>
      <c r="DI201" s="822"/>
      <c r="DJ201" s="822"/>
      <c r="DK201" s="822"/>
      <c r="DL201" s="822"/>
      <c r="DM201" s="822"/>
      <c r="DN201" s="822"/>
      <c r="DO201" s="822"/>
      <c r="DP201" s="822"/>
      <c r="DQ201" s="822"/>
      <c r="DR201" s="822"/>
      <c r="DS201" s="822"/>
      <c r="DT201" s="822"/>
      <c r="DU201" s="822"/>
      <c r="DV201" s="822"/>
      <c r="DW201" s="822"/>
      <c r="DX201" s="822"/>
      <c r="DY201" s="822"/>
      <c r="DZ201" s="822"/>
      <c r="EA201" s="822"/>
      <c r="EB201" s="822"/>
      <c r="EC201" s="822"/>
      <c r="ED201" s="822"/>
      <c r="EE201" s="822"/>
      <c r="EF201" s="822"/>
      <c r="EG201" s="822"/>
      <c r="EH201" s="822"/>
      <c r="EI201" s="822"/>
      <c r="EJ201" s="822"/>
      <c r="EK201" s="822"/>
      <c r="EL201" s="822"/>
      <c r="EM201" s="822"/>
      <c r="EN201" s="822"/>
      <c r="EO201" s="822"/>
      <c r="EP201" s="822"/>
      <c r="EQ201" s="822"/>
      <c r="ER201" s="822"/>
    </row>
    <row r="202" spans="3:148" ht="17.100000000000001" customHeight="1" thickTop="1" x14ac:dyDescent="0.3">
      <c r="C202" s="1436"/>
      <c r="E202" s="762"/>
      <c r="F202" s="1059"/>
      <c r="G202" s="1059"/>
      <c r="H202" s="1059"/>
      <c r="I202" s="4756" t="s">
        <v>72</v>
      </c>
      <c r="J202" s="4757"/>
      <c r="K202" s="4757"/>
      <c r="L202" s="4764" t="s">
        <v>144</v>
      </c>
      <c r="M202" s="4764"/>
      <c r="N202" s="4757" t="s">
        <v>72</v>
      </c>
      <c r="O202" s="4757"/>
      <c r="P202" s="4762"/>
      <c r="Q202" s="1059"/>
      <c r="R202" s="1059"/>
      <c r="S202" s="4756" t="s">
        <v>72</v>
      </c>
      <c r="T202" s="4757"/>
      <c r="U202" s="4757"/>
      <c r="V202" s="4779" t="s">
        <v>144</v>
      </c>
      <c r="W202" s="4779"/>
      <c r="X202" s="4757" t="s">
        <v>72</v>
      </c>
      <c r="Y202" s="4757"/>
      <c r="Z202" s="4762"/>
      <c r="AA202" s="1059"/>
      <c r="AB202" s="1059"/>
      <c r="AC202" s="4756" t="s">
        <v>72</v>
      </c>
      <c r="AD202" s="4757"/>
      <c r="AE202" s="4757"/>
      <c r="AF202" s="4781" t="s">
        <v>144</v>
      </c>
      <c r="AG202" s="4781"/>
      <c r="AH202" s="4757" t="s">
        <v>72</v>
      </c>
      <c r="AI202" s="4757"/>
      <c r="AJ202" s="4762"/>
      <c r="AK202" s="1059"/>
      <c r="AL202" s="1059"/>
      <c r="AM202" s="2285">
        <f>AN207</f>
        <v>0</v>
      </c>
      <c r="AN202" s="2280" t="s">
        <v>941</v>
      </c>
      <c r="AO202" s="1278"/>
      <c r="AP202" s="1059"/>
      <c r="AQ202" s="1059"/>
      <c r="AR202" s="4756" t="s">
        <v>72</v>
      </c>
      <c r="AS202" s="4757"/>
      <c r="AT202" s="4757"/>
      <c r="AU202" s="4781" t="s">
        <v>940</v>
      </c>
      <c r="AV202" s="4781"/>
      <c r="AW202" s="4757" t="s">
        <v>72</v>
      </c>
      <c r="AX202" s="4757"/>
      <c r="AY202" s="4762"/>
      <c r="AZ202" s="1059"/>
      <c r="BA202" s="1059"/>
      <c r="BB202" s="4756" t="s">
        <v>72</v>
      </c>
      <c r="BC202" s="4757"/>
      <c r="BD202" s="4757"/>
      <c r="BE202" s="4779" t="s">
        <v>940</v>
      </c>
      <c r="BF202" s="4779"/>
      <c r="BG202" s="4757" t="s">
        <v>72</v>
      </c>
      <c r="BH202" s="4757"/>
      <c r="BI202" s="4762"/>
      <c r="BJ202" s="1059"/>
      <c r="BK202" s="1059"/>
      <c r="BL202" s="4756" t="s">
        <v>72</v>
      </c>
      <c r="BM202" s="4757"/>
      <c r="BN202" s="4757"/>
      <c r="BO202" s="4764" t="s">
        <v>940</v>
      </c>
      <c r="BP202" s="4764"/>
      <c r="BQ202" s="4757" t="s">
        <v>72</v>
      </c>
      <c r="BR202" s="4757"/>
      <c r="BS202" s="4762"/>
      <c r="BT202" s="1059"/>
      <c r="BU202" s="1059"/>
      <c r="BV202" s="1059"/>
      <c r="BW202" s="764"/>
      <c r="BX202" s="822"/>
      <c r="BY202" s="822"/>
      <c r="BZ202" s="822"/>
      <c r="CA202" s="822"/>
      <c r="CB202" s="822"/>
      <c r="CC202" s="822"/>
      <c r="CD202" s="822"/>
      <c r="CE202" s="822"/>
      <c r="CF202" s="822"/>
      <c r="CG202" s="822"/>
      <c r="CH202" s="822"/>
      <c r="CI202" s="822"/>
      <c r="CJ202" s="822"/>
      <c r="CK202" s="822"/>
      <c r="CL202" s="822"/>
      <c r="CM202" s="822"/>
      <c r="CN202" s="822"/>
      <c r="CO202" s="822"/>
      <c r="CP202" s="822"/>
      <c r="CQ202" s="822"/>
      <c r="CR202" s="822"/>
      <c r="CS202" s="822"/>
      <c r="CT202" s="822"/>
      <c r="CU202" s="822"/>
      <c r="CV202" s="822"/>
      <c r="CW202" s="822"/>
      <c r="CX202" s="822"/>
      <c r="CY202" s="822"/>
      <c r="CZ202" s="822"/>
      <c r="DA202" s="822"/>
      <c r="DB202" s="822"/>
      <c r="DC202" s="822"/>
      <c r="DD202" s="822"/>
      <c r="DE202" s="822"/>
      <c r="DF202" s="822"/>
      <c r="DG202" s="822"/>
      <c r="DH202" s="822"/>
      <c r="DI202" s="822"/>
      <c r="DJ202" s="822"/>
      <c r="DK202" s="822"/>
      <c r="DL202" s="822"/>
      <c r="DM202" s="822"/>
      <c r="DN202" s="822"/>
      <c r="DO202" s="822"/>
      <c r="DP202" s="822"/>
      <c r="DQ202" s="822"/>
      <c r="DR202" s="822"/>
      <c r="DS202" s="822"/>
      <c r="DT202" s="822"/>
      <c r="DU202" s="822"/>
      <c r="DV202" s="822"/>
      <c r="DW202" s="822"/>
      <c r="DX202" s="822"/>
      <c r="DY202" s="822"/>
      <c r="DZ202" s="822"/>
      <c r="EA202" s="822"/>
      <c r="EB202" s="822"/>
      <c r="EC202" s="822"/>
      <c r="ED202" s="822"/>
      <c r="EE202" s="822"/>
      <c r="EF202" s="822"/>
      <c r="EG202" s="822"/>
      <c r="EH202" s="822"/>
      <c r="EI202" s="822"/>
      <c r="EJ202" s="822"/>
      <c r="EK202" s="822"/>
      <c r="EL202" s="822"/>
      <c r="EM202" s="822"/>
      <c r="EN202" s="822"/>
      <c r="EO202" s="822"/>
      <c r="EP202" s="822"/>
      <c r="EQ202" s="822"/>
      <c r="ER202" s="822"/>
    </row>
    <row r="203" spans="3:148" ht="17.100000000000001" customHeight="1" x14ac:dyDescent="0.3">
      <c r="C203" s="1436"/>
      <c r="E203" s="762"/>
      <c r="F203" s="1059"/>
      <c r="G203" s="1059"/>
      <c r="H203" s="1059"/>
      <c r="I203" s="4758"/>
      <c r="J203" s="4759"/>
      <c r="K203" s="4759"/>
      <c r="L203" s="4798"/>
      <c r="M203" s="4798"/>
      <c r="N203" s="4759"/>
      <c r="O203" s="4759"/>
      <c r="P203" s="4763"/>
      <c r="Q203" s="1059"/>
      <c r="R203" s="1059"/>
      <c r="S203" s="4758"/>
      <c r="T203" s="4759"/>
      <c r="U203" s="4759"/>
      <c r="V203" s="4796"/>
      <c r="W203" s="4796"/>
      <c r="X203" s="4759"/>
      <c r="Y203" s="4759"/>
      <c r="Z203" s="4763"/>
      <c r="AA203" s="1059"/>
      <c r="AB203" s="1059"/>
      <c r="AC203" s="4758"/>
      <c r="AD203" s="4759"/>
      <c r="AE203" s="4759"/>
      <c r="AF203" s="4797"/>
      <c r="AG203" s="4797"/>
      <c r="AH203" s="4759"/>
      <c r="AI203" s="4759"/>
      <c r="AJ203" s="4763"/>
      <c r="AK203" s="1059"/>
      <c r="AL203" s="1059"/>
      <c r="AM203" s="2285">
        <f>AN207</f>
        <v>0</v>
      </c>
      <c r="AN203" s="2281" t="s">
        <v>144</v>
      </c>
      <c r="AO203" s="1278"/>
      <c r="AP203" s="1059"/>
      <c r="AQ203" s="1059"/>
      <c r="AR203" s="4758"/>
      <c r="AS203" s="4759"/>
      <c r="AT203" s="4759"/>
      <c r="AU203" s="4797"/>
      <c r="AV203" s="4797"/>
      <c r="AW203" s="4759"/>
      <c r="AX203" s="4759"/>
      <c r="AY203" s="4763"/>
      <c r="AZ203" s="1059"/>
      <c r="BA203" s="1059"/>
      <c r="BB203" s="4758"/>
      <c r="BC203" s="4759"/>
      <c r="BD203" s="4759"/>
      <c r="BE203" s="4796"/>
      <c r="BF203" s="4796"/>
      <c r="BG203" s="4759"/>
      <c r="BH203" s="4759"/>
      <c r="BI203" s="4763"/>
      <c r="BJ203" s="1059"/>
      <c r="BK203" s="1059"/>
      <c r="BL203" s="4758"/>
      <c r="BM203" s="4759"/>
      <c r="BN203" s="4759"/>
      <c r="BO203" s="4798"/>
      <c r="BP203" s="4798"/>
      <c r="BQ203" s="4759"/>
      <c r="BR203" s="4759"/>
      <c r="BS203" s="4763"/>
      <c r="BT203" s="1059"/>
      <c r="BU203" s="1059"/>
      <c r="BV203" s="1059"/>
      <c r="BW203" s="764"/>
      <c r="BX203" s="822"/>
      <c r="BY203" s="822"/>
      <c r="BZ203" s="822"/>
      <c r="CA203" s="822"/>
      <c r="CB203" s="822"/>
      <c r="CC203" s="822"/>
      <c r="CD203" s="822"/>
      <c r="CE203" s="822"/>
      <c r="CF203" s="822"/>
      <c r="CG203" s="822"/>
      <c r="CH203" s="822"/>
      <c r="CI203" s="822"/>
      <c r="CJ203" s="822"/>
      <c r="CK203" s="822"/>
      <c r="CL203" s="822"/>
      <c r="CM203" s="822"/>
      <c r="CN203" s="822"/>
      <c r="CO203" s="822"/>
      <c r="CP203" s="822"/>
      <c r="CQ203" s="822"/>
      <c r="CR203" s="822"/>
      <c r="CS203" s="822"/>
      <c r="CT203" s="822"/>
      <c r="CU203" s="822"/>
      <c r="CV203" s="822"/>
      <c r="CW203" s="822"/>
      <c r="CX203" s="822"/>
      <c r="CY203" s="822"/>
      <c r="CZ203" s="822"/>
      <c r="DA203" s="822"/>
      <c r="DB203" s="822"/>
      <c r="DC203" s="822"/>
      <c r="DD203" s="822"/>
      <c r="DE203" s="822"/>
      <c r="DF203" s="822"/>
      <c r="DG203" s="822"/>
      <c r="DH203" s="822"/>
      <c r="DI203" s="822"/>
      <c r="DJ203" s="822"/>
      <c r="DK203" s="822"/>
      <c r="DL203" s="822"/>
      <c r="DM203" s="822"/>
      <c r="DN203" s="822"/>
      <c r="DO203" s="822"/>
      <c r="DP203" s="822"/>
      <c r="DQ203" s="822"/>
      <c r="DR203" s="822"/>
      <c r="DS203" s="822"/>
      <c r="DT203" s="822"/>
      <c r="DU203" s="822"/>
      <c r="DV203" s="822"/>
      <c r="DW203" s="822"/>
      <c r="DX203" s="822"/>
      <c r="DY203" s="822"/>
      <c r="DZ203" s="822"/>
      <c r="EA203" s="822"/>
      <c r="EB203" s="822"/>
      <c r="EC203" s="822"/>
      <c r="ED203" s="822"/>
      <c r="EE203" s="822"/>
      <c r="EF203" s="822"/>
      <c r="EG203" s="822"/>
      <c r="EH203" s="822"/>
      <c r="EI203" s="822"/>
      <c r="EJ203" s="822"/>
      <c r="EK203" s="822"/>
      <c r="EL203" s="822"/>
      <c r="EM203" s="822"/>
      <c r="EN203" s="822"/>
      <c r="EO203" s="822"/>
      <c r="EP203" s="822"/>
      <c r="EQ203" s="822"/>
      <c r="ER203" s="822"/>
    </row>
    <row r="204" spans="3:148" ht="17.100000000000001" customHeight="1" x14ac:dyDescent="0.3">
      <c r="C204" s="1436"/>
      <c r="E204" s="762"/>
      <c r="F204" s="1059"/>
      <c r="G204" s="1059"/>
      <c r="H204" s="1059"/>
      <c r="I204" s="4766"/>
      <c r="J204" s="4768"/>
      <c r="K204" s="4769"/>
      <c r="L204" s="4769"/>
      <c r="M204" s="4769"/>
      <c r="N204" s="4769"/>
      <c r="O204" s="4770"/>
      <c r="P204" s="4777"/>
      <c r="Q204" s="1059"/>
      <c r="R204" s="1059"/>
      <c r="S204" s="4766"/>
      <c r="T204" s="4768"/>
      <c r="U204" s="4769"/>
      <c r="V204" s="4769"/>
      <c r="W204" s="4769"/>
      <c r="X204" s="4769"/>
      <c r="Y204" s="4770"/>
      <c r="Z204" s="4777"/>
      <c r="AA204" s="1059"/>
      <c r="AB204" s="1059"/>
      <c r="AC204" s="4766"/>
      <c r="AD204" s="4768"/>
      <c r="AE204" s="4769"/>
      <c r="AF204" s="4769"/>
      <c r="AG204" s="4769"/>
      <c r="AH204" s="4769"/>
      <c r="AI204" s="4770"/>
      <c r="AJ204" s="4777"/>
      <c r="AK204" s="1059"/>
      <c r="AL204" s="1059"/>
      <c r="AM204" s="2285">
        <f>AN207</f>
        <v>0</v>
      </c>
      <c r="AN204" s="2282" t="s">
        <v>939</v>
      </c>
      <c r="AO204" s="1278"/>
      <c r="AP204" s="1059"/>
      <c r="AQ204" s="1059"/>
      <c r="AR204" s="4766"/>
      <c r="AS204" s="4768"/>
      <c r="AT204" s="4769"/>
      <c r="AU204" s="4769"/>
      <c r="AV204" s="4769"/>
      <c r="AW204" s="4769"/>
      <c r="AX204" s="4770"/>
      <c r="AY204" s="4777"/>
      <c r="AZ204" s="1059"/>
      <c r="BA204" s="1059"/>
      <c r="BB204" s="4766"/>
      <c r="BC204" s="4768"/>
      <c r="BD204" s="4769"/>
      <c r="BE204" s="4769"/>
      <c r="BF204" s="4769"/>
      <c r="BG204" s="4769"/>
      <c r="BH204" s="4770"/>
      <c r="BI204" s="4777"/>
      <c r="BJ204" s="1059"/>
      <c r="BK204" s="1059"/>
      <c r="BL204" s="4766"/>
      <c r="BM204" s="4768"/>
      <c r="BN204" s="4769"/>
      <c r="BO204" s="4769"/>
      <c r="BP204" s="4769"/>
      <c r="BQ204" s="4769"/>
      <c r="BR204" s="4770"/>
      <c r="BS204" s="4777"/>
      <c r="BT204" s="1059"/>
      <c r="BU204" s="1059"/>
      <c r="BV204" s="1059"/>
      <c r="BW204" s="764"/>
      <c r="BX204" s="822"/>
      <c r="BY204" s="822"/>
      <c r="BZ204" s="822"/>
      <c r="CA204" s="822"/>
      <c r="CB204" s="822"/>
      <c r="CC204" s="822"/>
      <c r="CD204" s="822"/>
      <c r="CE204" s="822"/>
      <c r="CF204" s="822"/>
      <c r="CG204" s="822"/>
      <c r="CH204" s="822"/>
      <c r="CI204" s="822"/>
      <c r="CJ204" s="4826" t="str">
        <f>IF(J204=0,"",J204)</f>
        <v/>
      </c>
      <c r="CK204" s="4827"/>
      <c r="CL204" s="4827"/>
      <c r="CM204" s="4827"/>
      <c r="CN204" s="4827"/>
      <c r="CO204" s="4828"/>
      <c r="CP204" s="822"/>
      <c r="CQ204" s="822"/>
      <c r="CR204" s="822"/>
      <c r="CS204" s="822"/>
      <c r="CT204" s="4826" t="str">
        <f>IF(T204=0,"",T204)</f>
        <v/>
      </c>
      <c r="CU204" s="4827"/>
      <c r="CV204" s="4827"/>
      <c r="CW204" s="4827"/>
      <c r="CX204" s="4827"/>
      <c r="CY204" s="4828"/>
      <c r="CZ204" s="822"/>
      <c r="DA204" s="822"/>
      <c r="DB204" s="822"/>
      <c r="DC204" s="822"/>
      <c r="DD204" s="4826" t="str">
        <f>IF(AD204=0,"",AD204)</f>
        <v/>
      </c>
      <c r="DE204" s="4827"/>
      <c r="DF204" s="4827"/>
      <c r="DG204" s="4827"/>
      <c r="DH204" s="4827"/>
      <c r="DI204" s="4828"/>
      <c r="DJ204" s="822"/>
      <c r="DK204" s="822"/>
      <c r="DL204" s="822"/>
      <c r="DM204" s="822"/>
      <c r="DN204" s="822"/>
      <c r="DO204" s="822"/>
      <c r="DP204" s="822"/>
      <c r="DQ204" s="822"/>
      <c r="DR204" s="822"/>
      <c r="DS204" s="4826" t="str">
        <f>IF(AS204=0,"",AS204)</f>
        <v/>
      </c>
      <c r="DT204" s="4827"/>
      <c r="DU204" s="4827"/>
      <c r="DV204" s="4827"/>
      <c r="DW204" s="4827"/>
      <c r="DX204" s="4828"/>
      <c r="DY204" s="822"/>
      <c r="DZ204" s="822"/>
      <c r="EA204" s="822"/>
      <c r="EB204" s="822"/>
      <c r="EC204" s="4826" t="str">
        <f>IF(BC204=0,"",BC204)</f>
        <v/>
      </c>
      <c r="ED204" s="4827"/>
      <c r="EE204" s="4827"/>
      <c r="EF204" s="4827"/>
      <c r="EG204" s="4827"/>
      <c r="EH204" s="4828"/>
      <c r="EI204" s="822"/>
      <c r="EJ204" s="822"/>
      <c r="EK204" s="822"/>
      <c r="EL204" s="822"/>
      <c r="EM204" s="4826" t="str">
        <f>IF(BM204=0,"",BM204)</f>
        <v/>
      </c>
      <c r="EN204" s="4827"/>
      <c r="EO204" s="4827"/>
      <c r="EP204" s="4827"/>
      <c r="EQ204" s="4827"/>
      <c r="ER204" s="4828"/>
    </row>
    <row r="205" spans="3:148" ht="17.100000000000001" customHeight="1" x14ac:dyDescent="0.3">
      <c r="E205" s="762"/>
      <c r="F205" s="1059"/>
      <c r="G205" s="1059"/>
      <c r="H205" s="1059"/>
      <c r="I205" s="4766"/>
      <c r="J205" s="4771"/>
      <c r="K205" s="4772"/>
      <c r="L205" s="4772"/>
      <c r="M205" s="4772"/>
      <c r="N205" s="4772"/>
      <c r="O205" s="4773"/>
      <c r="P205" s="4777"/>
      <c r="Q205" s="1059"/>
      <c r="R205" s="1059"/>
      <c r="S205" s="4766"/>
      <c r="T205" s="4771"/>
      <c r="U205" s="4772"/>
      <c r="V205" s="4772"/>
      <c r="W205" s="4772"/>
      <c r="X205" s="4772"/>
      <c r="Y205" s="4773"/>
      <c r="Z205" s="4777"/>
      <c r="AA205" s="1059"/>
      <c r="AB205" s="1059"/>
      <c r="AC205" s="4766"/>
      <c r="AD205" s="4771"/>
      <c r="AE205" s="4772"/>
      <c r="AF205" s="4772"/>
      <c r="AG205" s="4772"/>
      <c r="AH205" s="4772"/>
      <c r="AI205" s="4773"/>
      <c r="AJ205" s="4777"/>
      <c r="AK205" s="1059"/>
      <c r="AL205" s="1059"/>
      <c r="AM205" s="2285">
        <f>AN207</f>
        <v>0</v>
      </c>
      <c r="AN205" s="2283" t="s">
        <v>942</v>
      </c>
      <c r="AO205" s="1278"/>
      <c r="AP205" s="1059"/>
      <c r="AQ205" s="1059"/>
      <c r="AR205" s="4766"/>
      <c r="AS205" s="4771"/>
      <c r="AT205" s="4772"/>
      <c r="AU205" s="4772"/>
      <c r="AV205" s="4772"/>
      <c r="AW205" s="4772"/>
      <c r="AX205" s="4773"/>
      <c r="AY205" s="4777"/>
      <c r="AZ205" s="1059"/>
      <c r="BA205" s="1059"/>
      <c r="BB205" s="4766"/>
      <c r="BC205" s="4771"/>
      <c r="BD205" s="4772"/>
      <c r="BE205" s="4772"/>
      <c r="BF205" s="4772"/>
      <c r="BG205" s="4772"/>
      <c r="BH205" s="4773"/>
      <c r="BI205" s="4777"/>
      <c r="BJ205" s="1059"/>
      <c r="BK205" s="1059"/>
      <c r="BL205" s="4766"/>
      <c r="BM205" s="4771"/>
      <c r="BN205" s="4772"/>
      <c r="BO205" s="4772"/>
      <c r="BP205" s="4772"/>
      <c r="BQ205" s="4772"/>
      <c r="BR205" s="4773"/>
      <c r="BS205" s="4777"/>
      <c r="BT205" s="1059"/>
      <c r="BU205" s="1059"/>
      <c r="BV205" s="1059"/>
      <c r="BW205" s="764"/>
      <c r="BX205" s="822"/>
      <c r="BY205" s="822"/>
      <c r="BZ205" s="822"/>
      <c r="CA205" s="822"/>
      <c r="CB205" s="822"/>
      <c r="CC205" s="822"/>
      <c r="CD205" s="822"/>
      <c r="CE205" s="822"/>
      <c r="CF205" s="822"/>
      <c r="CG205" s="822"/>
      <c r="CH205" s="822"/>
      <c r="CI205" s="822"/>
      <c r="CJ205" s="4829"/>
      <c r="CK205" s="4830"/>
      <c r="CL205" s="4830"/>
      <c r="CM205" s="4830"/>
      <c r="CN205" s="4830"/>
      <c r="CO205" s="4831"/>
      <c r="CP205" s="822"/>
      <c r="CQ205" s="822"/>
      <c r="CR205" s="822"/>
      <c r="CS205" s="822"/>
      <c r="CT205" s="4829"/>
      <c r="CU205" s="4830"/>
      <c r="CV205" s="4830"/>
      <c r="CW205" s="4830"/>
      <c r="CX205" s="4830"/>
      <c r="CY205" s="4831"/>
      <c r="CZ205" s="822"/>
      <c r="DA205" s="822"/>
      <c r="DB205" s="822"/>
      <c r="DC205" s="822"/>
      <c r="DD205" s="4829"/>
      <c r="DE205" s="4830"/>
      <c r="DF205" s="4830"/>
      <c r="DG205" s="4830"/>
      <c r="DH205" s="4830"/>
      <c r="DI205" s="4831"/>
      <c r="DJ205" s="822"/>
      <c r="DK205" s="822"/>
      <c r="DL205" s="822"/>
      <c r="DM205" s="822"/>
      <c r="DN205" s="822"/>
      <c r="DO205" s="822"/>
      <c r="DP205" s="822"/>
      <c r="DQ205" s="822"/>
      <c r="DR205" s="822"/>
      <c r="DS205" s="4829"/>
      <c r="DT205" s="4830"/>
      <c r="DU205" s="4830"/>
      <c r="DV205" s="4830"/>
      <c r="DW205" s="4830"/>
      <c r="DX205" s="4831"/>
      <c r="DY205" s="822"/>
      <c r="DZ205" s="822"/>
      <c r="EA205" s="822"/>
      <c r="EB205" s="822"/>
      <c r="EC205" s="4829"/>
      <c r="ED205" s="4830"/>
      <c r="EE205" s="4830"/>
      <c r="EF205" s="4830"/>
      <c r="EG205" s="4830"/>
      <c r="EH205" s="4831"/>
      <c r="EI205" s="822"/>
      <c r="EJ205" s="822"/>
      <c r="EK205" s="822"/>
      <c r="EL205" s="822"/>
      <c r="EM205" s="4829"/>
      <c r="EN205" s="4830"/>
      <c r="EO205" s="4830"/>
      <c r="EP205" s="4830"/>
      <c r="EQ205" s="4830"/>
      <c r="ER205" s="4831"/>
    </row>
    <row r="206" spans="3:148" ht="17.100000000000001" customHeight="1" x14ac:dyDescent="0.3">
      <c r="E206" s="762"/>
      <c r="F206" s="1059"/>
      <c r="G206" s="1059"/>
      <c r="H206" s="1059"/>
      <c r="I206" s="4766"/>
      <c r="J206" s="4774"/>
      <c r="K206" s="4775"/>
      <c r="L206" s="4775"/>
      <c r="M206" s="4775"/>
      <c r="N206" s="4775"/>
      <c r="O206" s="4776"/>
      <c r="P206" s="4777"/>
      <c r="Q206" s="1059"/>
      <c r="R206" s="1059"/>
      <c r="S206" s="4766"/>
      <c r="T206" s="4774"/>
      <c r="U206" s="4775"/>
      <c r="V206" s="4775"/>
      <c r="W206" s="4775"/>
      <c r="X206" s="4775"/>
      <c r="Y206" s="4776"/>
      <c r="Z206" s="4777"/>
      <c r="AA206" s="1059"/>
      <c r="AB206" s="1059"/>
      <c r="AC206" s="4766"/>
      <c r="AD206" s="4774"/>
      <c r="AE206" s="4775"/>
      <c r="AF206" s="4775"/>
      <c r="AG206" s="4775"/>
      <c r="AH206" s="4775"/>
      <c r="AI206" s="4776"/>
      <c r="AJ206" s="4777"/>
      <c r="AK206" s="1059"/>
      <c r="AL206" s="1059"/>
      <c r="AM206" s="2285">
        <f>AN207</f>
        <v>0</v>
      </c>
      <c r="AN206" s="2284" t="s">
        <v>940</v>
      </c>
      <c r="AO206" s="1278"/>
      <c r="AP206" s="1059"/>
      <c r="AQ206" s="1059"/>
      <c r="AR206" s="4766"/>
      <c r="AS206" s="4774"/>
      <c r="AT206" s="4775"/>
      <c r="AU206" s="4775"/>
      <c r="AV206" s="4775"/>
      <c r="AW206" s="4775"/>
      <c r="AX206" s="4776"/>
      <c r="AY206" s="4777"/>
      <c r="AZ206" s="1059"/>
      <c r="BA206" s="1059"/>
      <c r="BB206" s="4766"/>
      <c r="BC206" s="4774"/>
      <c r="BD206" s="4775"/>
      <c r="BE206" s="4775"/>
      <c r="BF206" s="4775"/>
      <c r="BG206" s="4775"/>
      <c r="BH206" s="4776"/>
      <c r="BI206" s="4777"/>
      <c r="BJ206" s="1059"/>
      <c r="BK206" s="1059"/>
      <c r="BL206" s="4766"/>
      <c r="BM206" s="4774"/>
      <c r="BN206" s="4775"/>
      <c r="BO206" s="4775"/>
      <c r="BP206" s="4775"/>
      <c r="BQ206" s="4775"/>
      <c r="BR206" s="4776"/>
      <c r="BS206" s="4777"/>
      <c r="BT206" s="1059"/>
      <c r="BU206" s="1059"/>
      <c r="BV206" s="1059"/>
      <c r="BW206" s="764"/>
      <c r="BX206" s="822"/>
      <c r="BY206" s="822"/>
      <c r="BZ206" s="822"/>
      <c r="CA206" s="822"/>
      <c r="CB206" s="822"/>
      <c r="CC206" s="822"/>
      <c r="CD206" s="822"/>
      <c r="CE206" s="822"/>
      <c r="CF206" s="822"/>
      <c r="CG206" s="822"/>
      <c r="CH206" s="822"/>
      <c r="CI206" s="822"/>
      <c r="CJ206" s="4832"/>
      <c r="CK206" s="4833"/>
      <c r="CL206" s="4833"/>
      <c r="CM206" s="4833"/>
      <c r="CN206" s="4833"/>
      <c r="CO206" s="4834"/>
      <c r="CP206" s="822"/>
      <c r="CQ206" s="822"/>
      <c r="CR206" s="822"/>
      <c r="CS206" s="822"/>
      <c r="CT206" s="4832"/>
      <c r="CU206" s="4833"/>
      <c r="CV206" s="4833"/>
      <c r="CW206" s="4833"/>
      <c r="CX206" s="4833"/>
      <c r="CY206" s="4834"/>
      <c r="CZ206" s="822"/>
      <c r="DA206" s="822"/>
      <c r="DB206" s="822"/>
      <c r="DC206" s="822"/>
      <c r="DD206" s="4832"/>
      <c r="DE206" s="4833"/>
      <c r="DF206" s="4833"/>
      <c r="DG206" s="4833"/>
      <c r="DH206" s="4833"/>
      <c r="DI206" s="4834"/>
      <c r="DJ206" s="822"/>
      <c r="DK206" s="822"/>
      <c r="DL206" s="822"/>
      <c r="DM206" s="822"/>
      <c r="DN206" s="822"/>
      <c r="DO206" s="822"/>
      <c r="DP206" s="822"/>
      <c r="DQ206" s="822"/>
      <c r="DR206" s="822"/>
      <c r="DS206" s="4832"/>
      <c r="DT206" s="4833"/>
      <c r="DU206" s="4833"/>
      <c r="DV206" s="4833"/>
      <c r="DW206" s="4833"/>
      <c r="DX206" s="4834"/>
      <c r="DY206" s="822"/>
      <c r="DZ206" s="822"/>
      <c r="EA206" s="822"/>
      <c r="EB206" s="822"/>
      <c r="EC206" s="4832"/>
      <c r="ED206" s="4833"/>
      <c r="EE206" s="4833"/>
      <c r="EF206" s="4833"/>
      <c r="EG206" s="4833"/>
      <c r="EH206" s="4834"/>
      <c r="EI206" s="822"/>
      <c r="EJ206" s="822"/>
      <c r="EK206" s="822"/>
      <c r="EL206" s="822"/>
      <c r="EM206" s="4832"/>
      <c r="EN206" s="4833"/>
      <c r="EO206" s="4833"/>
      <c r="EP206" s="4833"/>
      <c r="EQ206" s="4833"/>
      <c r="ER206" s="4834"/>
    </row>
    <row r="207" spans="3:148" ht="17.100000000000001" customHeight="1" thickBot="1" x14ac:dyDescent="0.35">
      <c r="E207" s="762"/>
      <c r="F207" s="1059"/>
      <c r="G207" s="1059"/>
      <c r="H207" s="1059"/>
      <c r="I207" s="4767"/>
      <c r="J207" s="4789" t="s">
        <v>505</v>
      </c>
      <c r="K207" s="4789"/>
      <c r="L207" s="4789"/>
      <c r="M207" s="4789"/>
      <c r="N207" s="4789"/>
      <c r="O207" s="4789"/>
      <c r="P207" s="4778"/>
      <c r="Q207" s="1059"/>
      <c r="R207" s="1059"/>
      <c r="S207" s="4767"/>
      <c r="T207" s="4789" t="s">
        <v>505</v>
      </c>
      <c r="U207" s="4789"/>
      <c r="V207" s="4789"/>
      <c r="W207" s="4789"/>
      <c r="X207" s="4789"/>
      <c r="Y207" s="4789"/>
      <c r="Z207" s="4778"/>
      <c r="AA207" s="1059"/>
      <c r="AB207" s="1059"/>
      <c r="AC207" s="4767"/>
      <c r="AD207" s="4789" t="s">
        <v>505</v>
      </c>
      <c r="AE207" s="4789"/>
      <c r="AF207" s="4789"/>
      <c r="AG207" s="4789"/>
      <c r="AH207" s="4789"/>
      <c r="AI207" s="4789"/>
      <c r="AJ207" s="4778"/>
      <c r="AK207" s="1059"/>
      <c r="AL207" s="1059"/>
      <c r="AM207" s="1277"/>
      <c r="AN207" s="1279">
        <f>IF(COUNTA(J188,T188,AD188,J196,T196,AD196,J204,T204,AD204,AS188,BC188,BM188,AS196,BC196,BM196,AS204,BC204,BM204)=18,1,0)</f>
        <v>0</v>
      </c>
      <c r="AO207" s="1279"/>
      <c r="AP207" s="1059"/>
      <c r="AQ207" s="1059"/>
      <c r="AR207" s="4767"/>
      <c r="AS207" s="4789" t="s">
        <v>505</v>
      </c>
      <c r="AT207" s="4789"/>
      <c r="AU207" s="4789"/>
      <c r="AV207" s="4789"/>
      <c r="AW207" s="4789"/>
      <c r="AX207" s="4789"/>
      <c r="AY207" s="4778"/>
      <c r="AZ207" s="1059"/>
      <c r="BA207" s="1059"/>
      <c r="BB207" s="4767"/>
      <c r="BC207" s="4789" t="s">
        <v>505</v>
      </c>
      <c r="BD207" s="4789"/>
      <c r="BE207" s="4789"/>
      <c r="BF207" s="4789"/>
      <c r="BG207" s="4789"/>
      <c r="BH207" s="4789"/>
      <c r="BI207" s="4778"/>
      <c r="BJ207" s="1059"/>
      <c r="BK207" s="1059"/>
      <c r="BL207" s="4767"/>
      <c r="BM207" s="4789" t="s">
        <v>505</v>
      </c>
      <c r="BN207" s="4789"/>
      <c r="BO207" s="4789"/>
      <c r="BP207" s="4789"/>
      <c r="BQ207" s="4789"/>
      <c r="BR207" s="4789"/>
      <c r="BS207" s="4778"/>
      <c r="BT207" s="1059"/>
      <c r="BU207" s="1059"/>
      <c r="BV207" s="1059"/>
      <c r="BW207" s="764"/>
      <c r="BX207" s="822"/>
      <c r="BY207" s="822"/>
      <c r="BZ207" s="822"/>
      <c r="CA207" s="822"/>
      <c r="CB207" s="822"/>
      <c r="CC207" s="822"/>
      <c r="CD207" s="822"/>
      <c r="CE207" s="822"/>
      <c r="CF207" s="822"/>
      <c r="CG207" s="822"/>
      <c r="CH207" s="822"/>
      <c r="CI207" s="822"/>
      <c r="CJ207" s="822"/>
      <c r="CK207" s="822"/>
      <c r="CL207" s="822"/>
      <c r="CM207" s="822"/>
      <c r="CN207" s="822"/>
      <c r="CO207" s="822"/>
      <c r="CP207" s="822"/>
      <c r="CQ207" s="822"/>
      <c r="CR207" s="822"/>
      <c r="CS207" s="822"/>
      <c r="CT207" s="822"/>
      <c r="CU207" s="822"/>
      <c r="CV207" s="822"/>
      <c r="CW207" s="822"/>
      <c r="CX207" s="822"/>
      <c r="CY207" s="822"/>
      <c r="CZ207" s="822"/>
      <c r="DA207" s="822"/>
      <c r="DB207" s="822"/>
      <c r="DC207" s="822"/>
      <c r="DD207" s="822"/>
      <c r="DE207" s="822"/>
      <c r="DF207" s="822"/>
      <c r="DG207" s="822"/>
      <c r="DH207" s="822"/>
      <c r="DI207" s="822"/>
      <c r="DJ207" s="822"/>
      <c r="DK207" s="822"/>
      <c r="DL207" s="822"/>
      <c r="DM207" s="822"/>
      <c r="DN207" s="822"/>
      <c r="DO207" s="822"/>
      <c r="DP207" s="822"/>
      <c r="DQ207" s="822"/>
      <c r="DR207" s="822"/>
      <c r="DS207" s="822"/>
      <c r="DT207" s="822"/>
      <c r="DU207" s="822"/>
      <c r="DV207" s="822"/>
      <c r="DW207" s="822"/>
      <c r="DX207" s="822"/>
      <c r="DY207" s="822"/>
    </row>
    <row r="208" spans="3:148" ht="17.100000000000001" customHeight="1" thickTop="1" x14ac:dyDescent="0.3">
      <c r="E208" s="762"/>
      <c r="F208" s="1170"/>
      <c r="G208" s="1059"/>
      <c r="H208" s="1059"/>
      <c r="I208" s="1059"/>
      <c r="J208" s="1059"/>
      <c r="K208" s="1059"/>
      <c r="L208" s="1059"/>
      <c r="M208" s="1059"/>
      <c r="N208" s="1059"/>
      <c r="O208" s="1059"/>
      <c r="P208" s="1059"/>
      <c r="Q208" s="1059"/>
      <c r="R208" s="1059"/>
      <c r="S208" s="1059"/>
      <c r="T208" s="1059"/>
      <c r="U208" s="1059"/>
      <c r="V208" s="1059"/>
      <c r="W208" s="1059"/>
      <c r="X208" s="1059"/>
      <c r="Y208" s="1059"/>
      <c r="Z208" s="1059"/>
      <c r="AA208" s="1059"/>
      <c r="AB208" s="1059"/>
      <c r="AC208" s="1059"/>
      <c r="AD208" s="1059"/>
      <c r="AE208" s="1059"/>
      <c r="AF208" s="1059"/>
      <c r="AG208" s="1059"/>
      <c r="AH208" s="1059"/>
      <c r="AI208" s="1059"/>
      <c r="AJ208" s="1059"/>
      <c r="AK208" s="1059"/>
      <c r="AL208" s="1059"/>
      <c r="AM208" s="1059"/>
      <c r="AN208" s="1059"/>
      <c r="AO208" s="1059"/>
      <c r="AP208" s="1264"/>
      <c r="AQ208" s="1059"/>
      <c r="AR208" s="1059"/>
      <c r="AS208" s="1059"/>
      <c r="AT208" s="1059"/>
      <c r="AU208" s="1059"/>
      <c r="AV208" s="1059"/>
      <c r="AW208" s="1059"/>
      <c r="AX208" s="1059"/>
      <c r="AY208" s="1059"/>
      <c r="AZ208" s="1059"/>
      <c r="BA208" s="1059"/>
      <c r="BB208" s="1059"/>
      <c r="BC208" s="1059"/>
      <c r="BD208" s="1059"/>
      <c r="BE208" s="1059"/>
      <c r="BF208" s="1059"/>
      <c r="BG208" s="1059"/>
      <c r="BH208" s="1059"/>
      <c r="BI208" s="1059"/>
      <c r="BJ208" s="1059"/>
      <c r="BK208" s="1059"/>
      <c r="BL208" s="1059"/>
      <c r="BM208" s="1059"/>
      <c r="BN208" s="1059"/>
      <c r="BO208" s="1059"/>
      <c r="BP208" s="1059"/>
      <c r="BQ208" s="1059"/>
      <c r="BR208" s="1059"/>
      <c r="BS208" s="1059"/>
      <c r="BT208" s="1059"/>
      <c r="BU208" s="1059"/>
      <c r="BV208" s="1169"/>
      <c r="BW208" s="764"/>
      <c r="BX208" s="822"/>
      <c r="BY208" s="822"/>
      <c r="BZ208" s="822"/>
      <c r="CA208" s="822"/>
      <c r="CB208" s="822"/>
      <c r="CC208" s="822"/>
      <c r="CD208" s="822"/>
      <c r="CE208" s="822"/>
      <c r="CF208" s="822"/>
      <c r="CG208" s="822"/>
      <c r="CH208" s="822"/>
      <c r="CI208" s="822"/>
    </row>
    <row r="209" spans="5:118" ht="17.100000000000001" customHeight="1" thickBot="1" x14ac:dyDescent="0.35">
      <c r="E209" s="783"/>
      <c r="F209" s="784"/>
      <c r="G209" s="1059"/>
      <c r="H209" s="1059"/>
      <c r="I209" s="1059"/>
      <c r="J209" s="1059"/>
      <c r="K209" s="1059"/>
      <c r="L209" s="1059"/>
      <c r="M209" s="1059"/>
      <c r="N209" s="1059"/>
      <c r="O209" s="1059"/>
      <c r="P209" s="1059"/>
      <c r="Q209" s="1059"/>
      <c r="R209" s="1059"/>
      <c r="S209" s="1059"/>
      <c r="T209" s="1059"/>
      <c r="U209" s="1059"/>
      <c r="V209" s="1059"/>
      <c r="W209" s="1059"/>
      <c r="X209" s="1059"/>
      <c r="Y209" s="1059"/>
      <c r="Z209" s="1059"/>
      <c r="AA209" s="1059"/>
      <c r="AB209" s="1059"/>
      <c r="AC209" s="1059"/>
      <c r="AD209" s="1059"/>
      <c r="AE209" s="1059"/>
      <c r="AF209" s="1059"/>
      <c r="AG209" s="1059"/>
      <c r="AH209" s="1059"/>
      <c r="AI209" s="1059"/>
      <c r="AJ209" s="1703"/>
      <c r="AK209" s="1703"/>
      <c r="AL209" s="1703"/>
      <c r="AM209" s="4808"/>
      <c r="AN209" s="4809"/>
      <c r="AO209" s="4810"/>
      <c r="AP209" s="1704"/>
      <c r="AQ209" s="1704"/>
      <c r="AR209" s="1704"/>
      <c r="AS209" s="1704"/>
      <c r="AT209" s="1704"/>
      <c r="AU209" s="1704"/>
      <c r="AV209" s="1704"/>
      <c r="AW209" s="1704"/>
      <c r="AX209" s="1704"/>
      <c r="AY209" s="1704"/>
      <c r="AZ209" s="1059"/>
      <c r="BA209" s="1059"/>
      <c r="BB209" s="1059"/>
      <c r="BC209" s="1059"/>
      <c r="BD209" s="1059"/>
      <c r="BE209" s="1059"/>
      <c r="BF209" s="1059"/>
      <c r="BG209" s="1059"/>
      <c r="BH209" s="1059"/>
      <c r="BI209" s="1059"/>
      <c r="BJ209" s="1059"/>
      <c r="BK209" s="1059"/>
      <c r="BL209" s="1059"/>
      <c r="BM209" s="1059"/>
      <c r="BN209" s="1059"/>
      <c r="BO209" s="1059"/>
      <c r="BP209" s="1059"/>
      <c r="BQ209" s="1059"/>
      <c r="BR209" s="1059"/>
      <c r="BS209" s="1059"/>
      <c r="BT209" s="1059"/>
      <c r="BU209" s="1059"/>
      <c r="BV209" s="784"/>
      <c r="BW209" s="785"/>
      <c r="BX209" s="822"/>
      <c r="BY209" s="822"/>
      <c r="BZ209" s="822"/>
      <c r="CA209" s="822"/>
      <c r="CB209" s="822"/>
      <c r="CC209" s="822"/>
      <c r="CD209" s="822"/>
      <c r="CE209" s="822"/>
      <c r="CF209" s="822"/>
      <c r="CG209" s="822"/>
      <c r="CH209" s="822"/>
      <c r="CI209" s="822"/>
      <c r="CJ209" s="822"/>
      <c r="CK209" s="822"/>
      <c r="CL209" s="822"/>
      <c r="CM209" s="822"/>
      <c r="CN209" s="822"/>
      <c r="CO209" s="822"/>
      <c r="CP209" s="822"/>
      <c r="CQ209" s="822"/>
      <c r="CR209" s="822"/>
      <c r="CS209" s="822"/>
      <c r="CT209" s="822"/>
      <c r="CU209" s="822"/>
      <c r="CV209" s="822"/>
      <c r="CW209" s="822"/>
      <c r="CX209" s="822"/>
      <c r="CY209" s="822"/>
      <c r="CZ209" s="822"/>
      <c r="DA209" s="822"/>
      <c r="DB209" s="822"/>
      <c r="DC209" s="822"/>
      <c r="DD209" s="822"/>
      <c r="DE209" s="822"/>
      <c r="DF209" s="822"/>
      <c r="DG209" s="822"/>
      <c r="DH209" s="822"/>
      <c r="DI209" s="822"/>
      <c r="DJ209" s="822"/>
      <c r="DK209" s="822"/>
      <c r="DL209" s="822"/>
      <c r="DM209" s="822"/>
      <c r="DN209" s="822"/>
    </row>
    <row r="210" spans="5:118" ht="17.100000000000001" customHeight="1" thickTop="1" x14ac:dyDescent="0.3">
      <c r="E210" s="1253"/>
      <c r="F210" s="1253"/>
      <c r="G210" s="762"/>
      <c r="H210" s="1059"/>
      <c r="I210" s="999"/>
      <c r="J210" s="787"/>
      <c r="K210" s="1059"/>
      <c r="L210" s="1059"/>
      <c r="M210" s="1059"/>
      <c r="N210" s="1059"/>
      <c r="O210" s="1059"/>
      <c r="P210" s="1059"/>
      <c r="Q210" s="1059"/>
      <c r="R210" s="1059"/>
      <c r="S210" s="1059"/>
      <c r="T210" s="1059"/>
      <c r="U210" s="1059"/>
      <c r="V210" s="1059"/>
      <c r="W210" s="1059"/>
      <c r="X210" s="1059"/>
      <c r="Y210" s="1059"/>
      <c r="Z210" s="1059"/>
      <c r="AA210" s="1059"/>
      <c r="AB210" s="1059"/>
      <c r="AC210" s="1059"/>
      <c r="AD210" s="1059"/>
      <c r="AE210" s="1059"/>
      <c r="AF210" s="1059"/>
      <c r="AG210" s="1059"/>
      <c r="AH210" s="1059"/>
      <c r="AI210" s="1059"/>
      <c r="AJ210" s="1705"/>
      <c r="AK210" s="1705"/>
      <c r="AL210" s="1705"/>
      <c r="AM210" s="1706"/>
      <c r="AN210" s="1707" t="str" cm="1">
        <f t="array" ref="AN210">_xlfn.IFS(AND(AN207=1,AM209=""),"ENTER SHEET INITIATION DATE ABOVE",AN207=1,"|",TRUE,"")</f>
        <v/>
      </c>
      <c r="AO210" s="1706"/>
      <c r="AP210" s="1059"/>
      <c r="AQ210" s="1059"/>
      <c r="AR210" s="1059"/>
      <c r="AS210" s="1059"/>
      <c r="AT210" s="1708"/>
      <c r="AU210" s="1059"/>
      <c r="AV210" s="1709"/>
      <c r="AW210" s="1059"/>
      <c r="AX210" s="1059"/>
      <c r="AY210" s="1059"/>
      <c r="AZ210" s="1059"/>
      <c r="BA210" s="1059"/>
      <c r="BB210" s="1059"/>
      <c r="BC210" s="1059"/>
      <c r="BD210" s="1059"/>
      <c r="BE210" s="1059"/>
      <c r="BF210" s="1059"/>
      <c r="BG210" s="1059"/>
      <c r="BH210" s="1059"/>
      <c r="BI210" s="1059"/>
      <c r="BJ210" s="1059"/>
      <c r="BK210" s="1059"/>
      <c r="BL210" s="1059"/>
      <c r="BM210" s="1059"/>
      <c r="BN210" s="1059"/>
      <c r="BO210" s="1059"/>
      <c r="BP210" s="1059"/>
      <c r="BQ210" s="1059"/>
      <c r="BR210" s="1059"/>
      <c r="BS210" s="1059"/>
      <c r="BT210" s="1059"/>
      <c r="BU210" s="764"/>
      <c r="BV210" s="1253"/>
      <c r="BW210" s="1253"/>
      <c r="BX210" s="822"/>
      <c r="BY210" s="822"/>
      <c r="BZ210" s="822"/>
      <c r="CA210" s="822"/>
      <c r="CB210" s="822"/>
      <c r="CC210" s="822"/>
      <c r="CD210" s="822"/>
      <c r="CE210" s="822"/>
      <c r="CF210" s="822"/>
      <c r="CG210" s="822"/>
      <c r="CH210" s="822"/>
      <c r="CI210" s="822"/>
      <c r="CJ210" s="822"/>
      <c r="CK210" s="822"/>
      <c r="CL210" s="822"/>
      <c r="CM210" s="822"/>
      <c r="CN210" s="822"/>
      <c r="CO210" s="822"/>
      <c r="CP210" s="822"/>
      <c r="CQ210" s="822"/>
      <c r="CR210" s="822"/>
      <c r="CS210" s="822"/>
      <c r="CT210" s="822"/>
      <c r="CU210" s="822"/>
      <c r="CV210" s="822"/>
      <c r="CW210" s="822"/>
      <c r="CX210" s="822"/>
      <c r="CY210" s="822"/>
      <c r="CZ210" s="822"/>
      <c r="DA210" s="822"/>
      <c r="DB210" s="822"/>
      <c r="DC210" s="822"/>
      <c r="DD210" s="822"/>
      <c r="DE210" s="822"/>
      <c r="DF210" s="822"/>
      <c r="DG210" s="822"/>
      <c r="DH210" s="822"/>
      <c r="DI210" s="822"/>
      <c r="DJ210" s="822"/>
      <c r="DK210" s="822"/>
      <c r="DL210" s="822"/>
      <c r="DM210" s="822"/>
      <c r="DN210" s="822"/>
    </row>
    <row r="211" spans="5:118" ht="17.100000000000001" customHeight="1" thickBot="1" x14ac:dyDescent="0.35">
      <c r="E211" s="1253"/>
      <c r="F211" s="1253"/>
      <c r="G211" s="783"/>
      <c r="H211" s="784"/>
      <c r="I211" s="784"/>
      <c r="J211" s="784"/>
      <c r="K211" s="784"/>
      <c r="L211" s="784"/>
      <c r="M211" s="784"/>
      <c r="N211" s="784"/>
      <c r="O211" s="784"/>
      <c r="P211" s="784"/>
      <c r="Q211" s="784"/>
      <c r="R211" s="784"/>
      <c r="S211" s="784"/>
      <c r="T211" s="784"/>
      <c r="U211" s="784"/>
      <c r="V211" s="784"/>
      <c r="W211" s="784"/>
      <c r="X211" s="784"/>
      <c r="Y211" s="784"/>
      <c r="Z211" s="784"/>
      <c r="AA211" s="1059"/>
      <c r="AB211" s="1059"/>
      <c r="AC211" s="1059"/>
      <c r="AD211" s="1059"/>
      <c r="AE211" s="1059"/>
      <c r="AF211" s="1059"/>
      <c r="AG211" s="1059"/>
      <c r="AH211" s="1059"/>
      <c r="AI211" s="1059"/>
      <c r="AJ211" s="1262"/>
      <c r="AK211" s="1262"/>
      <c r="AL211" s="1262"/>
      <c r="AM211" s="4808"/>
      <c r="AN211" s="4809"/>
      <c r="AO211" s="4810"/>
      <c r="AP211" s="1262"/>
      <c r="AQ211" s="1262"/>
      <c r="AR211" s="1262"/>
      <c r="AS211" s="1262"/>
      <c r="AT211" s="1263"/>
      <c r="AU211" s="1059"/>
      <c r="AV211" s="1059"/>
      <c r="AW211" s="1059"/>
      <c r="AX211" s="1059"/>
      <c r="AY211" s="1059"/>
      <c r="AZ211" s="1059"/>
      <c r="BA211" s="1059"/>
      <c r="BB211" s="784"/>
      <c r="BC211" s="784"/>
      <c r="BD211" s="784"/>
      <c r="BE211" s="784"/>
      <c r="BF211" s="784"/>
      <c r="BG211" s="784"/>
      <c r="BH211" s="784"/>
      <c r="BI211" s="784"/>
      <c r="BJ211" s="784"/>
      <c r="BK211" s="784"/>
      <c r="BL211" s="784"/>
      <c r="BM211" s="784"/>
      <c r="BN211" s="784"/>
      <c r="BO211" s="784"/>
      <c r="BP211" s="784"/>
      <c r="BQ211" s="784"/>
      <c r="BR211" s="784"/>
      <c r="BS211" s="784"/>
      <c r="BT211" s="784"/>
      <c r="BU211" s="785"/>
      <c r="BV211" s="1253"/>
      <c r="BW211" s="1253"/>
      <c r="BX211" s="822"/>
      <c r="BY211" s="822"/>
      <c r="BZ211" s="822"/>
      <c r="CA211" s="822"/>
      <c r="CB211" s="822"/>
      <c r="CC211" s="822"/>
      <c r="CD211" s="822"/>
      <c r="CE211" s="822"/>
      <c r="CF211" s="822"/>
      <c r="CG211" s="822"/>
      <c r="CH211" s="822"/>
      <c r="CI211" s="822"/>
      <c r="CJ211" s="822"/>
      <c r="CK211" s="822"/>
      <c r="CL211" s="822"/>
      <c r="CM211" s="822"/>
      <c r="CN211" s="822"/>
      <c r="CO211" s="822"/>
      <c r="CP211" s="822"/>
      <c r="CQ211" s="822"/>
      <c r="CR211" s="822"/>
      <c r="CS211" s="822"/>
      <c r="CT211" s="822"/>
      <c r="CU211" s="822"/>
      <c r="CV211" s="822"/>
      <c r="CW211" s="822"/>
      <c r="CX211" s="822"/>
      <c r="CY211" s="822"/>
      <c r="CZ211" s="822"/>
      <c r="DA211" s="822"/>
      <c r="DB211" s="822"/>
      <c r="DC211" s="822"/>
      <c r="DD211" s="822"/>
      <c r="DE211" s="822"/>
      <c r="DF211" s="822"/>
      <c r="DG211" s="822"/>
      <c r="DH211" s="822"/>
      <c r="DI211" s="822"/>
      <c r="DJ211" s="822"/>
      <c r="DK211" s="822"/>
      <c r="DL211" s="822"/>
      <c r="DM211" s="822"/>
      <c r="DN211" s="822"/>
    </row>
    <row r="212" spans="5:118" ht="17.100000000000001" customHeight="1" thickTop="1" x14ac:dyDescent="0.3">
      <c r="E212" s="1253"/>
      <c r="F212" s="1253"/>
      <c r="G212" s="1253"/>
      <c r="H212" s="1253"/>
      <c r="I212" s="1253"/>
      <c r="J212" s="1253"/>
      <c r="K212" s="1253"/>
      <c r="L212" s="1253"/>
      <c r="M212" s="1253"/>
      <c r="N212" s="1253"/>
      <c r="O212" s="1253"/>
      <c r="P212" s="1253"/>
      <c r="Q212" s="1253"/>
      <c r="R212" s="1253"/>
      <c r="S212" s="1253"/>
      <c r="T212" s="1253"/>
      <c r="U212" s="1253"/>
      <c r="V212" s="1253"/>
      <c r="W212" s="1253"/>
      <c r="X212" s="1253"/>
      <c r="Y212" s="1253"/>
      <c r="Z212" s="1253"/>
      <c r="AA212" s="762"/>
      <c r="AB212" s="1170"/>
      <c r="AC212" s="1059"/>
      <c r="AD212" s="1059"/>
      <c r="AE212" s="1059"/>
      <c r="AF212" s="1059"/>
      <c r="AG212" s="1059"/>
      <c r="AH212" s="1059"/>
      <c r="AI212" s="1059"/>
      <c r="AJ212" s="1059"/>
      <c r="AK212" s="1059"/>
      <c r="AL212" s="1059"/>
      <c r="AM212" s="1059"/>
      <c r="AN212" s="1701" t="str">
        <f>IF(AND(AN207=1,AM211=""),"ENTER SHEET COMPLETION DATE ABOVE","")</f>
        <v/>
      </c>
      <c r="AO212" s="1059"/>
      <c r="AP212" s="1059"/>
      <c r="AQ212" s="1059"/>
      <c r="AR212" s="1059"/>
      <c r="AS212" s="1059"/>
      <c r="AT212" s="1059"/>
      <c r="AU212" s="1059"/>
      <c r="AV212" s="1059"/>
      <c r="AW212" s="1059"/>
      <c r="AX212" s="1059"/>
      <c r="AY212" s="1059"/>
      <c r="AZ212" s="1169"/>
      <c r="BA212" s="764"/>
      <c r="BB212" s="1253"/>
      <c r="BC212" s="1253"/>
      <c r="BD212" s="1253"/>
      <c r="BE212" s="1253"/>
      <c r="BF212" s="1253"/>
      <c r="BG212" s="1253"/>
      <c r="BH212" s="1253"/>
      <c r="BI212" s="1253"/>
      <c r="BJ212" s="1253"/>
      <c r="BK212" s="1253"/>
      <c r="BL212" s="1253"/>
      <c r="BM212" s="1253"/>
      <c r="BN212" s="1253"/>
      <c r="BO212" s="1253"/>
      <c r="BP212" s="1253"/>
      <c r="BQ212" s="1253"/>
      <c r="BR212" s="1253"/>
      <c r="BS212" s="1253"/>
      <c r="BT212" s="1253"/>
      <c r="BU212" s="1253"/>
      <c r="BV212" s="1253"/>
      <c r="BW212" s="1253"/>
      <c r="BX212" s="822"/>
      <c r="BY212" s="822"/>
      <c r="BZ212" s="822"/>
      <c r="CA212" s="822"/>
      <c r="CB212" s="822"/>
      <c r="CC212" s="822"/>
      <c r="CD212" s="822"/>
      <c r="CE212" s="822"/>
      <c r="CF212" s="822"/>
      <c r="CG212" s="822"/>
      <c r="CH212" s="822"/>
      <c r="CI212" s="822"/>
      <c r="CJ212" s="822"/>
      <c r="CK212" s="822"/>
      <c r="CL212" s="822"/>
      <c r="CM212" s="822"/>
      <c r="CN212" s="822"/>
      <c r="CO212" s="822"/>
      <c r="CP212" s="822"/>
      <c r="CQ212" s="822"/>
      <c r="CR212" s="822"/>
      <c r="CS212" s="822"/>
      <c r="CT212" s="822"/>
      <c r="CU212" s="822"/>
      <c r="CV212" s="822"/>
      <c r="CW212" s="822"/>
      <c r="CX212" s="822"/>
      <c r="CY212" s="822"/>
      <c r="CZ212" s="822"/>
      <c r="DA212" s="822"/>
      <c r="DB212" s="822"/>
      <c r="DC212" s="822"/>
      <c r="DD212" s="822"/>
      <c r="DE212" s="822"/>
      <c r="DF212" s="822"/>
      <c r="DG212" s="822"/>
      <c r="DH212" s="822"/>
      <c r="DI212" s="822"/>
      <c r="DJ212" s="822"/>
      <c r="DK212" s="822"/>
      <c r="DL212" s="822"/>
      <c r="DM212" s="822"/>
      <c r="DN212" s="822"/>
    </row>
    <row r="213" spans="5:118" ht="17.100000000000001" customHeight="1" thickBot="1" x14ac:dyDescent="0.35">
      <c r="E213" s="1253"/>
      <c r="F213" s="1253"/>
      <c r="G213" s="1253"/>
      <c r="H213" s="1253"/>
      <c r="I213" s="1253"/>
      <c r="J213" s="1253"/>
      <c r="K213" s="1253"/>
      <c r="L213" s="1253"/>
      <c r="M213" s="1253"/>
      <c r="N213" s="1253"/>
      <c r="O213" s="1253"/>
      <c r="P213" s="1253"/>
      <c r="Q213" s="1253"/>
      <c r="R213" s="1253"/>
      <c r="S213" s="1253"/>
      <c r="T213" s="1253"/>
      <c r="U213" s="1253"/>
      <c r="V213" s="1253"/>
      <c r="W213" s="1253"/>
      <c r="X213" s="1253"/>
      <c r="Y213" s="1253"/>
      <c r="Z213" s="1253"/>
      <c r="AA213" s="783"/>
      <c r="AB213" s="784"/>
      <c r="AC213" s="784"/>
      <c r="AD213" s="784"/>
      <c r="AE213" s="784"/>
      <c r="AF213" s="784"/>
      <c r="AG213" s="784"/>
      <c r="AH213" s="784"/>
      <c r="AI213" s="784"/>
      <c r="AJ213" s="784"/>
      <c r="AK213" s="784"/>
      <c r="AL213" s="784"/>
      <c r="AM213" s="784"/>
      <c r="AN213" s="784"/>
      <c r="AO213" s="784"/>
      <c r="AP213" s="784"/>
      <c r="AQ213" s="784"/>
      <c r="AR213" s="784"/>
      <c r="AS213" s="784"/>
      <c r="AT213" s="784"/>
      <c r="AU213" s="784"/>
      <c r="AV213" s="784"/>
      <c r="AW213" s="784"/>
      <c r="AX213" s="784"/>
      <c r="AY213" s="784"/>
      <c r="AZ213" s="784"/>
      <c r="BA213" s="785"/>
      <c r="BB213" s="1253"/>
      <c r="BC213" s="1253"/>
      <c r="BD213" s="1253"/>
      <c r="BE213" s="1253"/>
      <c r="BF213" s="1253"/>
      <c r="BG213" s="1253"/>
      <c r="BH213" s="1253"/>
      <c r="BI213" s="1253"/>
      <c r="BJ213" s="1253"/>
      <c r="BK213" s="1253"/>
      <c r="BL213" s="1253"/>
      <c r="BM213" s="1253"/>
      <c r="BN213" s="1253"/>
      <c r="BO213" s="1253"/>
      <c r="BP213" s="1253"/>
      <c r="BQ213" s="1253"/>
      <c r="BR213" s="1253"/>
      <c r="BS213" s="1253"/>
      <c r="BT213" s="1253"/>
      <c r="BU213" s="1253"/>
      <c r="BV213" s="1253"/>
      <c r="BW213" s="1253"/>
      <c r="BX213" s="822"/>
      <c r="BY213" s="822"/>
      <c r="BZ213" s="822"/>
      <c r="CA213" s="822"/>
      <c r="CB213" s="822"/>
      <c r="CC213" s="822"/>
      <c r="CD213" s="822"/>
      <c r="CE213" s="822"/>
      <c r="CF213" s="822"/>
      <c r="CG213" s="822"/>
      <c r="CH213" s="822"/>
      <c r="CI213" s="822"/>
      <c r="CJ213" s="822"/>
      <c r="CK213" s="822"/>
      <c r="CL213" s="822"/>
      <c r="CM213" s="822"/>
      <c r="CN213" s="822"/>
      <c r="CO213" s="822"/>
      <c r="CP213" s="822"/>
      <c r="CQ213" s="822"/>
      <c r="CR213" s="822"/>
      <c r="CS213" s="822"/>
      <c r="CT213" s="822"/>
      <c r="CU213" s="822"/>
      <c r="CV213" s="822"/>
      <c r="CW213" s="822"/>
      <c r="CX213" s="822"/>
      <c r="CY213" s="822"/>
      <c r="CZ213" s="822"/>
      <c r="DA213" s="822"/>
      <c r="DB213" s="822"/>
      <c r="DC213" s="822"/>
      <c r="DD213" s="822"/>
      <c r="DE213" s="822"/>
      <c r="DF213" s="822"/>
      <c r="DG213" s="822"/>
      <c r="DH213" s="822"/>
      <c r="DI213" s="822"/>
      <c r="DJ213" s="822"/>
      <c r="DK213" s="822"/>
      <c r="DL213" s="822"/>
      <c r="DM213" s="822"/>
      <c r="DN213" s="822"/>
    </row>
    <row r="214" spans="5:118" ht="17.100000000000001" customHeight="1" thickTop="1" x14ac:dyDescent="0.3">
      <c r="R214" s="822"/>
      <c r="S214" s="822"/>
      <c r="T214" s="822"/>
      <c r="U214" s="822"/>
      <c r="V214" s="822"/>
      <c r="W214" s="822"/>
      <c r="X214" s="822"/>
      <c r="Y214" s="822"/>
      <c r="Z214" s="822"/>
      <c r="AA214" s="822"/>
      <c r="AB214" s="822"/>
      <c r="AC214" s="822"/>
      <c r="AD214" s="822"/>
      <c r="AE214" s="822"/>
      <c r="AF214" s="822"/>
      <c r="AG214" s="822"/>
      <c r="AH214" s="822"/>
      <c r="AI214" s="822"/>
      <c r="AJ214" s="822"/>
      <c r="AK214" s="822"/>
      <c r="AL214" s="822"/>
      <c r="AM214" s="822"/>
      <c r="AN214" s="822"/>
      <c r="AO214" s="822"/>
      <c r="AP214" s="822"/>
      <c r="AQ214" s="822"/>
      <c r="AR214" s="822"/>
      <c r="AS214" s="822"/>
      <c r="AT214" s="822"/>
      <c r="AU214" s="822"/>
      <c r="AV214" s="822"/>
      <c r="AW214" s="822"/>
      <c r="AX214" s="822"/>
      <c r="AY214" s="822"/>
      <c r="AZ214" s="822"/>
      <c r="BA214" s="822"/>
      <c r="BB214" s="822"/>
      <c r="BC214" s="822"/>
      <c r="BD214" s="822"/>
      <c r="BE214" s="822"/>
      <c r="BF214" s="822"/>
      <c r="BG214" s="822"/>
      <c r="BH214" s="822"/>
      <c r="BI214" s="822"/>
      <c r="BJ214" s="822"/>
      <c r="BK214" s="822"/>
      <c r="BL214" s="822"/>
      <c r="BM214" s="822"/>
      <c r="BN214" s="822"/>
      <c r="BO214" s="822"/>
      <c r="BP214" s="822"/>
      <c r="BQ214" s="822"/>
      <c r="BR214" s="822"/>
      <c r="BS214" s="822"/>
      <c r="BT214" s="822"/>
      <c r="BU214" s="822"/>
      <c r="BV214" s="822"/>
      <c r="BX214" s="822"/>
      <c r="BY214" s="822"/>
      <c r="BZ214" s="822"/>
      <c r="CA214" s="822"/>
      <c r="CB214" s="822"/>
      <c r="CC214" s="822"/>
      <c r="CD214" s="822"/>
      <c r="CE214" s="822"/>
      <c r="CF214" s="822"/>
      <c r="CG214" s="822"/>
      <c r="CH214" s="822"/>
      <c r="CI214" s="822"/>
      <c r="CJ214" s="822"/>
      <c r="CK214" s="822"/>
      <c r="CL214" s="822"/>
      <c r="CM214" s="822"/>
      <c r="CN214" s="822"/>
      <c r="CO214" s="822"/>
      <c r="CP214" s="822"/>
      <c r="CQ214" s="822"/>
      <c r="CR214" s="822"/>
      <c r="CS214" s="822"/>
      <c r="CT214" s="822"/>
      <c r="CU214" s="822"/>
      <c r="CV214" s="822"/>
      <c r="CW214" s="822"/>
      <c r="CX214" s="822"/>
      <c r="CY214" s="822"/>
      <c r="CZ214" s="822"/>
      <c r="DA214" s="822"/>
      <c r="DB214" s="822"/>
      <c r="DC214" s="822"/>
      <c r="DD214" s="822"/>
      <c r="DE214" s="822"/>
      <c r="DF214" s="822"/>
      <c r="DG214" s="822"/>
      <c r="DH214" s="822"/>
      <c r="DI214" s="822"/>
      <c r="DJ214" s="822"/>
      <c r="DK214" s="822"/>
      <c r="DL214" s="822"/>
      <c r="DM214" s="822"/>
      <c r="DN214" s="822"/>
    </row>
    <row r="215" spans="5:118" ht="17.100000000000001" customHeight="1" x14ac:dyDescent="0.3">
      <c r="R215" s="822"/>
      <c r="S215" s="822"/>
      <c r="T215" s="822"/>
      <c r="U215" s="822"/>
      <c r="V215" s="822"/>
      <c r="W215" s="822"/>
      <c r="X215" s="822"/>
      <c r="Y215" s="822"/>
      <c r="Z215" s="822"/>
      <c r="AA215" s="822"/>
      <c r="AB215" s="822"/>
      <c r="AC215" s="822"/>
      <c r="AD215" s="822"/>
      <c r="AE215" s="822"/>
      <c r="AF215" s="822"/>
      <c r="AG215" s="822"/>
      <c r="AH215" s="822"/>
      <c r="AI215" s="822"/>
      <c r="AJ215" s="822"/>
      <c r="AK215" s="822"/>
      <c r="AL215" s="822"/>
      <c r="AM215" s="822"/>
      <c r="AN215" s="34" t="s">
        <v>9</v>
      </c>
      <c r="AO215" s="822"/>
      <c r="AP215" s="822"/>
      <c r="AQ215" s="822"/>
      <c r="AR215" s="822"/>
      <c r="AS215" s="822"/>
      <c r="AT215" s="822"/>
      <c r="AU215" s="822"/>
      <c r="AV215" s="822"/>
      <c r="AW215" s="822"/>
      <c r="AX215" s="822"/>
      <c r="AY215" s="822"/>
      <c r="AZ215" s="822"/>
      <c r="BA215" s="822"/>
      <c r="BB215" s="822"/>
      <c r="BC215" s="822"/>
      <c r="BD215" s="822"/>
      <c r="BE215" s="822"/>
      <c r="BF215" s="822"/>
      <c r="BG215" s="822"/>
      <c r="BH215" s="822"/>
      <c r="BI215" s="822"/>
      <c r="BJ215" s="822"/>
      <c r="BK215" s="822"/>
      <c r="BL215" s="822"/>
      <c r="BM215" s="822"/>
      <c r="BN215" s="822"/>
      <c r="BO215" s="822"/>
      <c r="BP215" s="822"/>
      <c r="BQ215" s="822"/>
      <c r="BR215" s="822"/>
      <c r="BS215" s="822"/>
      <c r="BT215" s="822"/>
      <c r="BU215" s="822"/>
      <c r="BV215" s="822"/>
      <c r="BX215" s="822"/>
      <c r="BY215" s="822"/>
      <c r="BZ215" s="822"/>
      <c r="CA215" s="822"/>
      <c r="CB215" s="822"/>
      <c r="CC215" s="822"/>
      <c r="CD215" s="822"/>
      <c r="CE215" s="822"/>
      <c r="CF215" s="822"/>
      <c r="CG215" s="822"/>
      <c r="CH215" s="822"/>
      <c r="CI215" s="822"/>
      <c r="CJ215" s="822"/>
      <c r="CK215" s="822"/>
      <c r="CL215" s="822"/>
      <c r="CM215" s="822"/>
      <c r="CN215" s="822"/>
      <c r="CO215" s="822"/>
      <c r="CP215" s="822"/>
      <c r="CQ215" s="822"/>
      <c r="CR215" s="822"/>
      <c r="CS215" s="822"/>
      <c r="CT215" s="822"/>
      <c r="CU215" s="822"/>
      <c r="CV215" s="822"/>
      <c r="CW215" s="822"/>
      <c r="CX215" s="822"/>
      <c r="CY215" s="822"/>
      <c r="CZ215" s="822"/>
      <c r="DA215" s="822"/>
      <c r="DB215" s="822"/>
      <c r="DC215" s="822"/>
      <c r="DD215" s="822"/>
      <c r="DE215" s="822"/>
      <c r="DF215" s="822"/>
      <c r="DG215" s="822"/>
      <c r="DH215" s="822"/>
      <c r="DI215" s="822"/>
      <c r="DJ215" s="822"/>
      <c r="DK215" s="822"/>
      <c r="DL215" s="822"/>
      <c r="DM215" s="822"/>
      <c r="DN215" s="822"/>
    </row>
    <row r="216" spans="5:118" ht="17.100000000000001" customHeight="1" thickBot="1" x14ac:dyDescent="0.35">
      <c r="R216" s="822"/>
      <c r="S216" s="822"/>
      <c r="T216" s="822"/>
      <c r="U216" s="822"/>
      <c r="V216" s="822"/>
      <c r="W216" s="822"/>
      <c r="X216" s="822"/>
      <c r="Y216" s="822"/>
      <c r="Z216" s="822"/>
      <c r="AA216" s="822"/>
      <c r="AB216" s="822"/>
      <c r="AC216" s="822"/>
      <c r="AD216" s="822"/>
      <c r="AE216" s="822"/>
      <c r="AF216" s="822"/>
      <c r="AG216" s="822"/>
      <c r="AH216" s="822"/>
      <c r="AI216" s="822"/>
      <c r="AJ216" s="822"/>
      <c r="AK216" s="822"/>
      <c r="AL216" s="822"/>
      <c r="AM216" s="822"/>
      <c r="AN216" s="34" t="s">
        <v>9</v>
      </c>
      <c r="AO216" s="822"/>
      <c r="AP216" s="822"/>
      <c r="AQ216" s="822"/>
      <c r="AR216" s="822"/>
      <c r="AS216" s="822"/>
      <c r="AT216" s="822"/>
      <c r="AU216" s="822"/>
      <c r="AV216" s="822"/>
      <c r="AW216" s="822"/>
      <c r="AX216" s="822"/>
      <c r="AY216" s="822"/>
      <c r="AZ216" s="822"/>
      <c r="BA216" s="822"/>
      <c r="BB216" s="822"/>
      <c r="BC216" s="822"/>
      <c r="BD216" s="822"/>
      <c r="BE216" s="822"/>
      <c r="BF216" s="822"/>
      <c r="BG216" s="822"/>
      <c r="BH216" s="822"/>
      <c r="BI216" s="822"/>
      <c r="BJ216" s="822"/>
      <c r="BK216" s="822"/>
      <c r="BL216" s="822"/>
      <c r="BM216" s="822"/>
      <c r="BN216" s="822"/>
      <c r="BO216" s="822"/>
      <c r="BP216" s="822"/>
      <c r="BQ216" s="822"/>
      <c r="BR216" s="822"/>
      <c r="BS216" s="822"/>
      <c r="BT216" s="822"/>
      <c r="BU216" s="822"/>
      <c r="BV216" s="822"/>
      <c r="BX216" s="822"/>
      <c r="BY216" s="822"/>
      <c r="BZ216" s="822"/>
      <c r="CA216" s="822"/>
      <c r="CB216" s="822"/>
      <c r="CC216" s="822"/>
      <c r="CD216" s="822"/>
      <c r="CE216" s="822"/>
      <c r="CF216" s="822"/>
      <c r="CG216" s="822"/>
      <c r="CH216" s="822"/>
      <c r="CI216" s="822"/>
      <c r="CJ216" s="822"/>
      <c r="CK216" s="822"/>
      <c r="CL216" s="822"/>
      <c r="CM216" s="822"/>
      <c r="CN216" s="822"/>
      <c r="CO216" s="822"/>
      <c r="CP216" s="822"/>
      <c r="CQ216" s="822"/>
      <c r="CR216" s="822"/>
      <c r="CS216" s="822"/>
      <c r="CT216" s="822"/>
      <c r="CU216" s="822"/>
      <c r="CV216" s="822"/>
      <c r="CW216" s="822"/>
      <c r="CX216" s="822"/>
      <c r="CY216" s="822"/>
      <c r="CZ216" s="822"/>
      <c r="DA216" s="822"/>
      <c r="DB216" s="822"/>
      <c r="DC216" s="822"/>
      <c r="DD216" s="822"/>
      <c r="DE216" s="822"/>
      <c r="DF216" s="822"/>
      <c r="DG216" s="822"/>
      <c r="DH216" s="822"/>
      <c r="DI216" s="822"/>
      <c r="DJ216" s="822"/>
      <c r="DK216" s="822"/>
      <c r="DL216" s="822"/>
      <c r="DM216" s="822"/>
      <c r="DN216" s="822"/>
    </row>
    <row r="217" spans="5:118" ht="17.100000000000001" customHeight="1" thickTop="1" x14ac:dyDescent="0.3">
      <c r="E217" s="23"/>
      <c r="F217" s="23"/>
      <c r="G217" s="23"/>
      <c r="H217" s="23"/>
      <c r="I217" s="23"/>
      <c r="J217" s="23"/>
      <c r="K217" s="23"/>
      <c r="L217" s="23"/>
      <c r="M217" s="23"/>
      <c r="N217" s="23"/>
      <c r="O217" s="23"/>
      <c r="P217" s="23"/>
      <c r="Q217" s="23"/>
      <c r="R217" s="23"/>
      <c r="S217" s="23"/>
      <c r="T217" s="23"/>
      <c r="U217" s="23"/>
      <c r="V217" s="23"/>
      <c r="W217" s="23"/>
      <c r="X217" s="23"/>
      <c r="Y217" s="23"/>
      <c r="Z217" s="23"/>
      <c r="AA217" s="759"/>
      <c r="AB217" s="760"/>
      <c r="AC217" s="760"/>
      <c r="AD217" s="760"/>
      <c r="AE217" s="760"/>
      <c r="AF217" s="760"/>
      <c r="AG217" s="760"/>
      <c r="AH217" s="760"/>
      <c r="AI217" s="760"/>
      <c r="AJ217" s="760"/>
      <c r="AK217" s="760"/>
      <c r="AL217" s="760"/>
      <c r="AM217" s="760"/>
      <c r="AN217" s="760"/>
      <c r="AO217" s="760"/>
      <c r="AP217" s="760"/>
      <c r="AQ217" s="760"/>
      <c r="AR217" s="760"/>
      <c r="AS217" s="760"/>
      <c r="AT217" s="760"/>
      <c r="AU217" s="760"/>
      <c r="AV217" s="760"/>
      <c r="AW217" s="760"/>
      <c r="AX217" s="760"/>
      <c r="AY217" s="760"/>
      <c r="AZ217" s="760"/>
      <c r="BA217" s="761"/>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822"/>
      <c r="BY217" s="822"/>
      <c r="BZ217" s="822"/>
      <c r="CA217" s="822"/>
      <c r="CB217" s="822"/>
      <c r="CC217" s="822"/>
      <c r="CD217" s="822"/>
      <c r="CE217" s="822"/>
      <c r="CF217" s="822"/>
      <c r="CG217" s="822"/>
      <c r="CH217" s="822"/>
      <c r="CI217" s="822"/>
      <c r="CJ217" s="822"/>
      <c r="CK217" s="822"/>
      <c r="CL217" s="822"/>
      <c r="CM217" s="822"/>
      <c r="CN217" s="822"/>
      <c r="CO217" s="822"/>
      <c r="CP217" s="822"/>
      <c r="CQ217" s="822"/>
      <c r="CR217" s="822"/>
      <c r="CS217" s="822"/>
      <c r="CT217" s="822"/>
      <c r="CU217" s="822"/>
      <c r="CV217" s="822"/>
      <c r="CW217" s="822"/>
      <c r="CX217" s="822"/>
      <c r="CY217" s="822"/>
      <c r="CZ217" s="822"/>
      <c r="DA217" s="822"/>
      <c r="DB217" s="822"/>
      <c r="DC217" s="822"/>
      <c r="DD217" s="822"/>
      <c r="DE217" s="822"/>
      <c r="DF217" s="822"/>
      <c r="DG217" s="822"/>
      <c r="DH217" s="822"/>
      <c r="DI217" s="822"/>
      <c r="DJ217" s="822"/>
      <c r="DK217" s="822"/>
      <c r="DL217" s="822"/>
      <c r="DM217" s="822"/>
      <c r="DN217" s="822"/>
    </row>
    <row r="218" spans="5:118" ht="17.100000000000001" customHeight="1" thickBot="1" x14ac:dyDescent="0.35">
      <c r="E218" s="23"/>
      <c r="F218" s="23"/>
      <c r="G218" s="23"/>
      <c r="H218" s="23"/>
      <c r="I218" s="23"/>
      <c r="J218" s="23"/>
      <c r="K218" s="23"/>
      <c r="L218" s="23"/>
      <c r="M218" s="23"/>
      <c r="N218" s="23"/>
      <c r="O218" s="23"/>
      <c r="P218" s="23"/>
      <c r="Q218" s="23"/>
      <c r="R218" s="23"/>
      <c r="S218" s="23"/>
      <c r="T218" s="23"/>
      <c r="U218" s="23"/>
      <c r="V218" s="23"/>
      <c r="W218" s="23"/>
      <c r="X218" s="23"/>
      <c r="Y218" s="23"/>
      <c r="Z218" s="23"/>
      <c r="AA218" s="762"/>
      <c r="AB218" s="94"/>
      <c r="AC218" s="1273"/>
      <c r="AD218" s="1273"/>
      <c r="AE218" s="1273"/>
      <c r="AF218" s="1273"/>
      <c r="AG218" s="1273"/>
      <c r="AH218" s="1273"/>
      <c r="AI218" s="1273"/>
      <c r="AJ218" s="1273"/>
      <c r="AK218" s="1273"/>
      <c r="AL218" s="1273"/>
      <c r="AM218" s="1273"/>
      <c r="AN218" s="2286"/>
      <c r="AO218" s="1273"/>
      <c r="AP218" s="1273"/>
      <c r="AQ218" s="1273"/>
      <c r="AR218" s="1273"/>
      <c r="AS218" s="1273"/>
      <c r="AT218" s="1273"/>
      <c r="AU218" s="1273"/>
      <c r="AV218" s="1273"/>
      <c r="AW218" s="1273"/>
      <c r="AX218" s="1273"/>
      <c r="AY218" s="1273"/>
      <c r="AZ218" s="94"/>
      <c r="BA218" s="764"/>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822"/>
      <c r="BY218" s="822"/>
      <c r="BZ218" s="822"/>
      <c r="CA218" s="822"/>
      <c r="CB218" s="822"/>
      <c r="CC218" s="822"/>
      <c r="CD218" s="822"/>
      <c r="CE218" s="822"/>
      <c r="CF218" s="822"/>
      <c r="CG218" s="822"/>
      <c r="CH218" s="822"/>
      <c r="CI218" s="822"/>
      <c r="CJ218" s="822"/>
      <c r="CK218" s="822"/>
      <c r="CL218" s="822"/>
      <c r="CM218" s="822"/>
      <c r="CN218" s="822"/>
      <c r="CO218" s="822"/>
      <c r="CP218" s="822"/>
      <c r="CQ218" s="822"/>
      <c r="CR218" s="822"/>
      <c r="CS218" s="822"/>
      <c r="CT218" s="822"/>
      <c r="CU218" s="822"/>
      <c r="CV218" s="822"/>
      <c r="CW218" s="822"/>
      <c r="CX218" s="822"/>
      <c r="CY218" s="822"/>
      <c r="CZ218" s="822"/>
      <c r="DA218" s="822"/>
      <c r="DB218" s="822"/>
      <c r="DC218" s="822"/>
      <c r="DD218" s="822"/>
      <c r="DE218" s="822"/>
      <c r="DF218" s="822"/>
      <c r="DG218" s="822"/>
      <c r="DH218" s="822"/>
      <c r="DI218" s="822"/>
      <c r="DJ218" s="822"/>
      <c r="DK218" s="822"/>
      <c r="DL218" s="822"/>
      <c r="DM218" s="822"/>
      <c r="DN218" s="822"/>
    </row>
    <row r="219" spans="5:118" ht="17.100000000000001" customHeight="1" thickTop="1" x14ac:dyDescent="0.3">
      <c r="E219" s="23"/>
      <c r="F219" s="23"/>
      <c r="G219" s="759"/>
      <c r="H219" s="760"/>
      <c r="I219" s="760"/>
      <c r="J219" s="760"/>
      <c r="K219" s="760"/>
      <c r="L219" s="760"/>
      <c r="M219" s="760"/>
      <c r="N219" s="760"/>
      <c r="O219" s="760"/>
      <c r="P219" s="760"/>
      <c r="Q219" s="760"/>
      <c r="R219" s="760"/>
      <c r="S219" s="760"/>
      <c r="T219" s="760"/>
      <c r="U219" s="760"/>
      <c r="V219" s="760"/>
      <c r="W219" s="760"/>
      <c r="X219" s="760"/>
      <c r="Y219" s="760"/>
      <c r="Z219" s="760"/>
      <c r="AA219" s="1059"/>
      <c r="AB219" s="1059"/>
      <c r="AC219" s="1273"/>
      <c r="AD219" s="1273"/>
      <c r="AE219" s="1273"/>
      <c r="AF219" s="1273"/>
      <c r="AG219" s="1273"/>
      <c r="AH219" s="1273"/>
      <c r="AI219" s="1273"/>
      <c r="AJ219" s="1273"/>
      <c r="AK219" s="1273"/>
      <c r="AL219" s="1273"/>
      <c r="AM219" s="1273"/>
      <c r="AN219" s="1273"/>
      <c r="AO219" s="1273"/>
      <c r="AP219" s="1273"/>
      <c r="AQ219" s="1273"/>
      <c r="AR219" s="1273"/>
      <c r="AS219" s="1273"/>
      <c r="AT219" s="1273"/>
      <c r="AU219" s="1273"/>
      <c r="AV219" s="1273"/>
      <c r="AW219" s="1273"/>
      <c r="AX219" s="1273"/>
      <c r="AY219" s="1273"/>
      <c r="AZ219" s="1059"/>
      <c r="BA219" s="1059"/>
      <c r="BB219" s="760"/>
      <c r="BC219" s="760"/>
      <c r="BD219" s="760"/>
      <c r="BE219" s="760"/>
      <c r="BF219" s="760"/>
      <c r="BG219" s="760"/>
      <c r="BH219" s="760"/>
      <c r="BI219" s="760"/>
      <c r="BJ219" s="760"/>
      <c r="BK219" s="760"/>
      <c r="BL219" s="760"/>
      <c r="BM219" s="760"/>
      <c r="BN219" s="760"/>
      <c r="BO219" s="760"/>
      <c r="BP219" s="760"/>
      <c r="BQ219" s="760"/>
      <c r="BR219" s="760"/>
      <c r="BS219" s="760"/>
      <c r="BT219" s="760"/>
      <c r="BU219" s="761"/>
      <c r="BV219" s="19"/>
      <c r="BW219" s="19"/>
      <c r="BX219" s="822"/>
      <c r="BY219" s="822"/>
      <c r="BZ219" s="822"/>
      <c r="CA219" s="822"/>
      <c r="CB219" s="822"/>
      <c r="CC219" s="822"/>
      <c r="CD219" s="822"/>
      <c r="CE219" s="822"/>
      <c r="CF219" s="822"/>
      <c r="CG219" s="822"/>
      <c r="CH219" s="822"/>
      <c r="CI219" s="822"/>
      <c r="CJ219" s="822"/>
      <c r="CK219" s="822"/>
      <c r="CL219" s="822"/>
      <c r="CM219" s="822"/>
      <c r="CN219" s="822"/>
      <c r="CO219" s="822"/>
      <c r="CP219" s="822"/>
      <c r="CQ219" s="822"/>
      <c r="CR219" s="822"/>
      <c r="CS219" s="822"/>
      <c r="CT219" s="822"/>
      <c r="CU219" s="822"/>
      <c r="CV219" s="822"/>
      <c r="CW219" s="822"/>
      <c r="CX219" s="822"/>
      <c r="CY219" s="822"/>
      <c r="CZ219" s="822"/>
      <c r="DA219" s="822"/>
      <c r="DB219" s="822"/>
      <c r="DC219" s="822"/>
      <c r="DD219" s="822"/>
      <c r="DE219" s="822"/>
      <c r="DF219" s="822"/>
      <c r="DG219" s="822"/>
      <c r="DH219" s="822"/>
      <c r="DI219" s="822"/>
      <c r="DJ219" s="822"/>
      <c r="DK219" s="822"/>
      <c r="DL219" s="822"/>
      <c r="DM219" s="822"/>
      <c r="DN219" s="822"/>
    </row>
    <row r="220" spans="5:118" ht="17.100000000000001" customHeight="1" thickBot="1" x14ac:dyDescent="0.35">
      <c r="E220" s="23"/>
      <c r="F220" s="23"/>
      <c r="G220" s="762"/>
      <c r="H220" s="1059"/>
      <c r="I220" s="999"/>
      <c r="J220" s="787"/>
      <c r="K220" s="1059"/>
      <c r="L220" s="1059"/>
      <c r="M220" s="1059"/>
      <c r="N220" s="1059"/>
      <c r="O220" s="1059"/>
      <c r="P220" s="1059"/>
      <c r="Q220" s="1059"/>
      <c r="R220" s="1059"/>
      <c r="S220" s="1059"/>
      <c r="T220" s="1059"/>
      <c r="U220" s="1059"/>
      <c r="V220" s="1059"/>
      <c r="W220" s="1059"/>
      <c r="X220" s="1059"/>
      <c r="Y220" s="1059"/>
      <c r="Z220" s="1059"/>
      <c r="AA220" s="1059"/>
      <c r="AB220" s="1059"/>
      <c r="AC220" s="1059"/>
      <c r="AD220" s="1059"/>
      <c r="AE220" s="1059"/>
      <c r="AF220" s="1059"/>
      <c r="AG220" s="1123"/>
      <c r="AH220" s="1123"/>
      <c r="AI220" s="1123"/>
      <c r="AJ220" s="1261"/>
      <c r="AK220" s="1261"/>
      <c r="AL220" s="1261"/>
      <c r="AM220" s="4743" t="s">
        <v>945</v>
      </c>
      <c r="AN220" s="4743"/>
      <c r="AO220" s="4743"/>
      <c r="AP220" s="1261"/>
      <c r="AQ220" s="1261"/>
      <c r="AR220" s="1261"/>
      <c r="AS220" s="1261"/>
      <c r="AT220" s="1123"/>
      <c r="AU220" s="1123"/>
      <c r="AV220" s="1059"/>
      <c r="AW220" s="1059"/>
      <c r="AX220" s="1059"/>
      <c r="AY220" s="1059"/>
      <c r="AZ220" s="1059"/>
      <c r="BA220" s="1059"/>
      <c r="BB220" s="1059"/>
      <c r="BC220" s="1059"/>
      <c r="BD220" s="1059"/>
      <c r="BE220" s="1059"/>
      <c r="BF220" s="1059"/>
      <c r="BG220" s="1059"/>
      <c r="BH220" s="1059"/>
      <c r="BI220" s="1059"/>
      <c r="BJ220" s="1059"/>
      <c r="BK220" s="1059"/>
      <c r="BL220" s="1059"/>
      <c r="BM220" s="1059"/>
      <c r="BN220" s="1059"/>
      <c r="BO220" s="1059"/>
      <c r="BP220" s="1059"/>
      <c r="BQ220" s="1059"/>
      <c r="BR220" s="1059"/>
      <c r="BS220" s="1059"/>
      <c r="BT220" s="1059"/>
      <c r="BU220" s="764"/>
      <c r="BV220" s="19"/>
      <c r="BW220" s="19"/>
      <c r="BX220" s="822"/>
      <c r="BY220" s="822"/>
      <c r="BZ220" s="822"/>
      <c r="CA220" s="822"/>
      <c r="CB220" s="822"/>
      <c r="CC220" s="822"/>
      <c r="CD220" s="822"/>
      <c r="CE220" s="822"/>
      <c r="CF220" s="822"/>
      <c r="CG220" s="822"/>
      <c r="CH220" s="822"/>
      <c r="CI220" s="822"/>
      <c r="CJ220" s="822"/>
      <c r="CK220" s="822"/>
      <c r="CL220" s="822"/>
      <c r="CM220" s="822"/>
      <c r="CN220" s="822"/>
      <c r="CO220" s="822"/>
      <c r="CP220" s="822"/>
      <c r="CQ220" s="822"/>
      <c r="CR220" s="822"/>
      <c r="CS220" s="822"/>
      <c r="CT220" s="822"/>
      <c r="CU220" s="822"/>
      <c r="CV220" s="822"/>
      <c r="CW220" s="822"/>
      <c r="CX220" s="822"/>
      <c r="CY220" s="822"/>
      <c r="CZ220" s="822"/>
      <c r="DA220" s="822"/>
      <c r="DB220" s="822"/>
      <c r="DC220" s="822"/>
      <c r="DD220" s="822"/>
      <c r="DE220" s="822"/>
      <c r="DF220" s="822"/>
      <c r="DG220" s="822"/>
      <c r="DH220" s="822"/>
      <c r="DI220" s="822"/>
      <c r="DJ220" s="822"/>
      <c r="DK220" s="822"/>
      <c r="DL220" s="822"/>
      <c r="DM220" s="822"/>
      <c r="DN220" s="822"/>
    </row>
    <row r="221" spans="5:118" ht="17.100000000000001" customHeight="1" thickTop="1" x14ac:dyDescent="0.3">
      <c r="E221" s="759"/>
      <c r="F221" s="760"/>
      <c r="G221" s="1059"/>
      <c r="H221" s="1059"/>
      <c r="I221" s="1059"/>
      <c r="J221" s="1059"/>
      <c r="K221" s="1059"/>
      <c r="L221" s="1059"/>
      <c r="M221" s="1059"/>
      <c r="N221" s="1059"/>
      <c r="O221" s="1059"/>
      <c r="P221" s="1059"/>
      <c r="Q221" s="1059"/>
      <c r="R221" s="1059"/>
      <c r="S221" s="1059"/>
      <c r="T221" s="1059"/>
      <c r="U221" s="1059"/>
      <c r="V221" s="1059"/>
      <c r="W221" s="1059"/>
      <c r="X221" s="1059"/>
      <c r="Y221" s="1059"/>
      <c r="Z221" s="1059"/>
      <c r="AA221" s="1059"/>
      <c r="AB221" s="1059"/>
      <c r="AC221" s="1059"/>
      <c r="AD221" s="1059"/>
      <c r="AE221" s="1059"/>
      <c r="AF221" s="1059"/>
      <c r="AG221" s="1123"/>
      <c r="AH221" s="1123"/>
      <c r="AI221" s="1261"/>
      <c r="AJ221" s="1261"/>
      <c r="AK221" s="1261"/>
      <c r="AL221" s="1261"/>
      <c r="AM221" s="4743"/>
      <c r="AN221" s="4743"/>
      <c r="AO221" s="4743"/>
      <c r="AP221" s="1261"/>
      <c r="AQ221" s="1261"/>
      <c r="AR221" s="1261"/>
      <c r="AS221" s="1261"/>
      <c r="AT221" s="1123"/>
      <c r="AU221" s="1123"/>
      <c r="AV221" s="1059"/>
      <c r="AW221" s="1059"/>
      <c r="AX221" s="1059"/>
      <c r="AY221" s="1059"/>
      <c r="AZ221" s="1059"/>
      <c r="BA221" s="1059"/>
      <c r="BB221" s="1059"/>
      <c r="BC221" s="1059"/>
      <c r="BD221" s="1059"/>
      <c r="BE221" s="1059"/>
      <c r="BF221" s="1059"/>
      <c r="BG221" s="1059"/>
      <c r="BH221" s="1059"/>
      <c r="BI221" s="1059"/>
      <c r="BJ221" s="1059"/>
      <c r="BK221" s="1059"/>
      <c r="BL221" s="1059"/>
      <c r="BM221" s="1059"/>
      <c r="BN221" s="1059"/>
      <c r="BO221" s="1059"/>
      <c r="BP221" s="1059"/>
      <c r="BQ221" s="1059"/>
      <c r="BR221" s="1059"/>
      <c r="BS221" s="1059"/>
      <c r="BT221" s="1059"/>
      <c r="BU221" s="1059"/>
      <c r="BV221" s="760"/>
      <c r="BW221" s="761"/>
      <c r="BX221" s="822"/>
      <c r="BY221" s="822"/>
      <c r="BZ221" s="822"/>
      <c r="CA221" s="822"/>
      <c r="CB221" s="822"/>
      <c r="CC221" s="822"/>
      <c r="CD221" s="822"/>
      <c r="CE221" s="822"/>
      <c r="CF221" s="822"/>
      <c r="CG221" s="822"/>
      <c r="CH221" s="822"/>
      <c r="CI221" s="822"/>
      <c r="CJ221" s="822"/>
      <c r="CK221" s="822"/>
      <c r="CL221" s="822"/>
      <c r="CM221" s="822"/>
      <c r="CN221" s="822"/>
      <c r="CO221" s="822"/>
      <c r="CP221" s="822"/>
      <c r="CQ221" s="822"/>
      <c r="CR221" s="822"/>
      <c r="CS221" s="822"/>
      <c r="CT221" s="822"/>
      <c r="CU221" s="822"/>
      <c r="CV221" s="822"/>
      <c r="CW221" s="822"/>
      <c r="CX221" s="822"/>
      <c r="CY221" s="822"/>
      <c r="CZ221" s="822"/>
      <c r="DA221" s="822"/>
      <c r="DB221" s="822"/>
      <c r="DC221" s="822"/>
      <c r="DD221" s="822"/>
      <c r="DE221" s="822"/>
      <c r="DF221" s="822"/>
      <c r="DG221" s="822"/>
      <c r="DH221" s="822"/>
      <c r="DI221" s="822"/>
      <c r="DJ221" s="822"/>
      <c r="DK221" s="822"/>
      <c r="DL221" s="822"/>
      <c r="DM221" s="822"/>
      <c r="DN221" s="822"/>
    </row>
    <row r="222" spans="5:118" ht="17.100000000000001" customHeight="1" thickBot="1" x14ac:dyDescent="0.35">
      <c r="E222" s="762"/>
      <c r="F222" s="94"/>
      <c r="G222" s="1059"/>
      <c r="H222" s="1059"/>
      <c r="I222" s="1059"/>
      <c r="J222" s="1059"/>
      <c r="K222" s="1059"/>
      <c r="L222" s="1059"/>
      <c r="M222" s="1059"/>
      <c r="N222" s="1059"/>
      <c r="O222" s="1059"/>
      <c r="P222" s="1059"/>
      <c r="Q222" s="1059"/>
      <c r="R222" s="1059"/>
      <c r="S222" s="1059"/>
      <c r="T222" s="1059"/>
      <c r="U222" s="1059"/>
      <c r="V222" s="1059"/>
      <c r="W222" s="1059"/>
      <c r="X222" s="1059"/>
      <c r="Y222" s="1059"/>
      <c r="Z222" s="1059"/>
      <c r="AA222" s="1059"/>
      <c r="AB222" s="1059"/>
      <c r="AC222" s="1059"/>
      <c r="AD222" s="1059"/>
      <c r="AE222" s="1059"/>
      <c r="AF222" s="1059"/>
      <c r="AG222" s="1123"/>
      <c r="AH222" s="1123"/>
      <c r="AI222" s="1123"/>
      <c r="AJ222" s="1123"/>
      <c r="AK222" s="1123"/>
      <c r="AL222" s="1123"/>
      <c r="AM222" s="1274"/>
      <c r="AN222" s="1275">
        <v>1</v>
      </c>
      <c r="AO222" s="1274"/>
      <c r="AP222" s="1123"/>
      <c r="AQ222" s="1123"/>
      <c r="AR222" s="1123"/>
      <c r="AS222" s="1123"/>
      <c r="AT222" s="1123"/>
      <c r="AU222" s="1123"/>
      <c r="AV222" s="1059"/>
      <c r="AW222" s="1059"/>
      <c r="AX222" s="1059"/>
      <c r="AY222" s="1059"/>
      <c r="AZ222" s="1059"/>
      <c r="BA222" s="1059"/>
      <c r="BB222" s="1059"/>
      <c r="BC222" s="1059"/>
      <c r="BD222" s="1059"/>
      <c r="BE222" s="1059"/>
      <c r="BF222" s="1059"/>
      <c r="BG222" s="1059"/>
      <c r="BH222" s="1059"/>
      <c r="BI222" s="1059"/>
      <c r="BJ222" s="1059"/>
      <c r="BK222" s="1059"/>
      <c r="BL222" s="1059"/>
      <c r="BM222" s="1059"/>
      <c r="BN222" s="1059"/>
      <c r="BO222" s="1059"/>
      <c r="BP222" s="1059"/>
      <c r="BQ222" s="1059"/>
      <c r="BR222" s="1059"/>
      <c r="BS222" s="1059"/>
      <c r="BT222" s="1059"/>
      <c r="BU222" s="1059"/>
      <c r="BV222" s="94"/>
      <c r="BW222" s="764"/>
      <c r="BX222" s="822"/>
      <c r="BY222" s="822"/>
      <c r="BZ222" s="822"/>
      <c r="CA222" s="822"/>
      <c r="CB222" s="822"/>
      <c r="CC222" s="822"/>
      <c r="CD222" s="822"/>
      <c r="CE222" s="822"/>
      <c r="CF222" s="822"/>
      <c r="CG222" s="822"/>
      <c r="CH222" s="822"/>
      <c r="CI222" s="822"/>
      <c r="CJ222" s="822"/>
      <c r="CK222" s="822"/>
      <c r="CL222" s="822"/>
      <c r="CM222" s="822"/>
      <c r="CN222" s="822"/>
      <c r="CO222" s="822"/>
      <c r="CP222" s="822"/>
      <c r="CQ222" s="822"/>
      <c r="CR222" s="822"/>
      <c r="CS222" s="822"/>
      <c r="CT222" s="822"/>
      <c r="CU222" s="822"/>
      <c r="CV222" s="822"/>
      <c r="CW222" s="822"/>
      <c r="CX222" s="822"/>
      <c r="CY222" s="822"/>
      <c r="CZ222" s="822"/>
      <c r="DA222" s="822"/>
      <c r="DB222" s="822"/>
      <c r="DC222" s="822"/>
      <c r="DD222" s="822"/>
      <c r="DE222" s="822"/>
      <c r="DF222" s="822"/>
      <c r="DG222" s="822"/>
      <c r="DH222" s="822"/>
      <c r="DI222" s="822"/>
      <c r="DJ222" s="822"/>
      <c r="DK222" s="822"/>
      <c r="DL222" s="822"/>
      <c r="DM222" s="822"/>
      <c r="DN222" s="822"/>
    </row>
    <row r="223" spans="5:118" ht="17.100000000000001" customHeight="1" thickTop="1" x14ac:dyDescent="0.3">
      <c r="E223" s="762"/>
      <c r="F223" s="1059"/>
      <c r="G223" s="1059"/>
      <c r="H223" s="1059"/>
      <c r="I223" s="4756" t="s">
        <v>72</v>
      </c>
      <c r="J223" s="4757"/>
      <c r="K223" s="4757"/>
      <c r="L223" s="4794" t="s">
        <v>710</v>
      </c>
      <c r="M223" s="4794"/>
      <c r="N223" s="4757" t="s">
        <v>72</v>
      </c>
      <c r="O223" s="4757"/>
      <c r="P223" s="4762"/>
      <c r="Q223" s="1059"/>
      <c r="R223" s="1059"/>
      <c r="S223" s="4756" t="s">
        <v>72</v>
      </c>
      <c r="T223" s="4757"/>
      <c r="U223" s="4757"/>
      <c r="V223" s="4792" t="s">
        <v>710</v>
      </c>
      <c r="W223" s="4792"/>
      <c r="X223" s="4757" t="s">
        <v>72</v>
      </c>
      <c r="Y223" s="4757"/>
      <c r="Z223" s="4762"/>
      <c r="AA223" s="1059"/>
      <c r="AB223" s="1059"/>
      <c r="AC223" s="4756" t="s">
        <v>72</v>
      </c>
      <c r="AD223" s="4757"/>
      <c r="AE223" s="4757"/>
      <c r="AF223" s="4790" t="s">
        <v>710</v>
      </c>
      <c r="AG223" s="4790"/>
      <c r="AH223" s="4757" t="s">
        <v>72</v>
      </c>
      <c r="AI223" s="4757"/>
      <c r="AJ223" s="4762"/>
      <c r="AK223" s="1059"/>
      <c r="AL223" s="1059"/>
      <c r="AM223" s="4853" t="s">
        <v>1472</v>
      </c>
      <c r="AN223" s="4853"/>
      <c r="AO223" s="4853"/>
      <c r="AP223" s="1059"/>
      <c r="AQ223" s="1059"/>
      <c r="AR223" s="4756" t="s">
        <v>72</v>
      </c>
      <c r="AS223" s="4757"/>
      <c r="AT223" s="4757"/>
      <c r="AU223" s="4790" t="s">
        <v>939</v>
      </c>
      <c r="AV223" s="4790"/>
      <c r="AW223" s="4757" t="s">
        <v>72</v>
      </c>
      <c r="AX223" s="4757"/>
      <c r="AY223" s="4762"/>
      <c r="AZ223" s="1059"/>
      <c r="BA223" s="1059"/>
      <c r="BB223" s="4756" t="s">
        <v>72</v>
      </c>
      <c r="BC223" s="4757"/>
      <c r="BD223" s="4757"/>
      <c r="BE223" s="4792" t="s">
        <v>939</v>
      </c>
      <c r="BF223" s="4792"/>
      <c r="BG223" s="4757" t="s">
        <v>72</v>
      </c>
      <c r="BH223" s="4757"/>
      <c r="BI223" s="4762"/>
      <c r="BJ223" s="1059"/>
      <c r="BK223" s="1059"/>
      <c r="BL223" s="4756" t="s">
        <v>72</v>
      </c>
      <c r="BM223" s="4757"/>
      <c r="BN223" s="4757"/>
      <c r="BO223" s="4794" t="s">
        <v>939</v>
      </c>
      <c r="BP223" s="4794"/>
      <c r="BQ223" s="4757" t="s">
        <v>72</v>
      </c>
      <c r="BR223" s="4757"/>
      <c r="BS223" s="4762"/>
      <c r="BT223" s="1059"/>
      <c r="BU223" s="1059"/>
      <c r="BV223" s="1059"/>
      <c r="BW223" s="764"/>
      <c r="BX223" s="822"/>
      <c r="BY223" s="822"/>
      <c r="BZ223" s="822"/>
      <c r="CA223" s="822"/>
      <c r="CB223" s="822"/>
      <c r="CC223" s="822"/>
      <c r="CD223" s="822"/>
      <c r="CE223" s="822"/>
      <c r="CF223" s="822"/>
      <c r="CG223" s="822"/>
      <c r="CH223" s="822"/>
      <c r="CI223" s="822"/>
      <c r="CJ223" s="822"/>
      <c r="CK223" s="822"/>
      <c r="CL223" s="822"/>
      <c r="CM223" s="822"/>
      <c r="CN223" s="822"/>
      <c r="CO223" s="822"/>
      <c r="CP223" s="822"/>
      <c r="CQ223" s="822"/>
      <c r="CR223" s="822"/>
      <c r="CS223" s="822"/>
      <c r="CT223" s="822"/>
      <c r="CU223" s="822"/>
      <c r="CV223" s="822"/>
      <c r="CW223" s="822"/>
      <c r="CX223" s="822"/>
      <c r="CY223" s="822"/>
      <c r="CZ223" s="822"/>
      <c r="DA223" s="822"/>
      <c r="DB223" s="822"/>
      <c r="DC223" s="822"/>
      <c r="DD223" s="822"/>
      <c r="DE223" s="822"/>
      <c r="DF223" s="822"/>
      <c r="DG223" s="822"/>
      <c r="DH223" s="822"/>
      <c r="DI223" s="822"/>
      <c r="DJ223" s="822"/>
      <c r="DK223" s="822"/>
      <c r="DL223" s="822"/>
      <c r="DM223" s="822"/>
      <c r="DN223" s="822"/>
    </row>
    <row r="224" spans="5:118" ht="17.100000000000001" customHeight="1" x14ac:dyDescent="0.3">
      <c r="E224" s="762"/>
      <c r="F224" s="1059"/>
      <c r="G224" s="1059"/>
      <c r="H224" s="1059"/>
      <c r="I224" s="4758"/>
      <c r="J224" s="4759"/>
      <c r="K224" s="4759"/>
      <c r="L224" s="4807"/>
      <c r="M224" s="4807"/>
      <c r="N224" s="4759"/>
      <c r="O224" s="4759"/>
      <c r="P224" s="4763"/>
      <c r="Q224" s="1059"/>
      <c r="R224" s="1059"/>
      <c r="S224" s="4758"/>
      <c r="T224" s="4759"/>
      <c r="U224" s="4759"/>
      <c r="V224" s="4805"/>
      <c r="W224" s="4805"/>
      <c r="X224" s="4759"/>
      <c r="Y224" s="4759"/>
      <c r="Z224" s="4763"/>
      <c r="AA224" s="1059"/>
      <c r="AB224" s="1059"/>
      <c r="AC224" s="4758"/>
      <c r="AD224" s="4759"/>
      <c r="AE224" s="4759"/>
      <c r="AF224" s="4806"/>
      <c r="AG224" s="4806"/>
      <c r="AH224" s="4759"/>
      <c r="AI224" s="4759"/>
      <c r="AJ224" s="4763"/>
      <c r="AK224" s="1059"/>
      <c r="AL224" s="1059"/>
      <c r="AM224" s="4853"/>
      <c r="AN224" s="4853"/>
      <c r="AO224" s="4853"/>
      <c r="AP224" s="1059"/>
      <c r="AQ224" s="1059"/>
      <c r="AR224" s="4758"/>
      <c r="AS224" s="4759"/>
      <c r="AT224" s="4759"/>
      <c r="AU224" s="4806"/>
      <c r="AV224" s="4806"/>
      <c r="AW224" s="4759"/>
      <c r="AX224" s="4759"/>
      <c r="AY224" s="4763"/>
      <c r="AZ224" s="1059"/>
      <c r="BA224" s="1059"/>
      <c r="BB224" s="4758"/>
      <c r="BC224" s="4759"/>
      <c r="BD224" s="4759"/>
      <c r="BE224" s="4805"/>
      <c r="BF224" s="4805"/>
      <c r="BG224" s="4759"/>
      <c r="BH224" s="4759"/>
      <c r="BI224" s="4763"/>
      <c r="BJ224" s="1059"/>
      <c r="BK224" s="1059"/>
      <c r="BL224" s="4758"/>
      <c r="BM224" s="4759"/>
      <c r="BN224" s="4759"/>
      <c r="BO224" s="4807"/>
      <c r="BP224" s="4807"/>
      <c r="BQ224" s="4759"/>
      <c r="BR224" s="4759"/>
      <c r="BS224" s="4763"/>
      <c r="BT224" s="1059"/>
      <c r="BU224" s="1059"/>
      <c r="BV224" s="1059"/>
      <c r="BW224" s="764"/>
      <c r="BX224" s="822"/>
      <c r="BY224" s="822"/>
      <c r="BZ224" s="822"/>
      <c r="CA224" s="822"/>
      <c r="CB224" s="822"/>
      <c r="CC224" s="822"/>
      <c r="CD224" s="822"/>
      <c r="CE224" s="822"/>
      <c r="CF224" s="822"/>
      <c r="CG224" s="822"/>
      <c r="CH224" s="822"/>
      <c r="CI224" s="822"/>
      <c r="CJ224" s="822"/>
      <c r="CK224" s="822"/>
      <c r="CL224" s="822"/>
      <c r="CM224" s="822"/>
      <c r="CN224" s="822"/>
      <c r="CO224" s="822"/>
      <c r="CP224" s="822"/>
      <c r="CQ224" s="822"/>
      <c r="CR224" s="822"/>
      <c r="CS224" s="822"/>
      <c r="CT224" s="822"/>
      <c r="CU224" s="822"/>
      <c r="CV224" s="822"/>
      <c r="CW224" s="822"/>
      <c r="CX224" s="822"/>
      <c r="CY224" s="822"/>
      <c r="CZ224" s="822"/>
      <c r="DA224" s="822"/>
      <c r="DB224" s="822"/>
      <c r="DC224" s="822"/>
      <c r="DD224" s="822"/>
      <c r="DE224" s="822"/>
      <c r="DF224" s="822"/>
      <c r="DG224" s="822"/>
      <c r="DH224" s="822"/>
      <c r="DI224" s="822"/>
      <c r="DJ224" s="822"/>
      <c r="DK224" s="822"/>
      <c r="DL224" s="822"/>
      <c r="DM224" s="822"/>
      <c r="DN224" s="822"/>
    </row>
    <row r="225" spans="3:148" ht="17.100000000000001" customHeight="1" x14ac:dyDescent="0.3">
      <c r="E225" s="762"/>
      <c r="F225" s="1059"/>
      <c r="G225" s="1059"/>
      <c r="H225" s="1059"/>
      <c r="I225" s="4766"/>
      <c r="J225" s="4768"/>
      <c r="K225" s="4769"/>
      <c r="L225" s="4769"/>
      <c r="M225" s="4769"/>
      <c r="N225" s="4769"/>
      <c r="O225" s="4770"/>
      <c r="P225" s="4777"/>
      <c r="Q225" s="1059"/>
      <c r="R225" s="1059"/>
      <c r="S225" s="4766"/>
      <c r="T225" s="4768"/>
      <c r="U225" s="4769"/>
      <c r="V225" s="4769"/>
      <c r="W225" s="4769"/>
      <c r="X225" s="4769"/>
      <c r="Y225" s="4770"/>
      <c r="Z225" s="4777"/>
      <c r="AA225" s="1059"/>
      <c r="AB225" s="1059"/>
      <c r="AC225" s="4766"/>
      <c r="AD225" s="4768"/>
      <c r="AE225" s="4769"/>
      <c r="AF225" s="4769"/>
      <c r="AG225" s="4769"/>
      <c r="AH225" s="4769"/>
      <c r="AI225" s="4770"/>
      <c r="AJ225" s="4777"/>
      <c r="AK225" s="1059"/>
      <c r="AL225" s="1059"/>
      <c r="AM225" s="4853"/>
      <c r="AN225" s="4853"/>
      <c r="AO225" s="4853"/>
      <c r="AP225" s="1059"/>
      <c r="AQ225" s="1059"/>
      <c r="AR225" s="4766"/>
      <c r="AS225" s="4768"/>
      <c r="AT225" s="4769"/>
      <c r="AU225" s="4769"/>
      <c r="AV225" s="4769"/>
      <c r="AW225" s="4769"/>
      <c r="AX225" s="4770"/>
      <c r="AY225" s="4777"/>
      <c r="AZ225" s="1059"/>
      <c r="BA225" s="1059"/>
      <c r="BB225" s="4766"/>
      <c r="BC225" s="4768"/>
      <c r="BD225" s="4769"/>
      <c r="BE225" s="4769"/>
      <c r="BF225" s="4769"/>
      <c r="BG225" s="4769"/>
      <c r="BH225" s="4770"/>
      <c r="BI225" s="4777"/>
      <c r="BJ225" s="1059"/>
      <c r="BK225" s="1059"/>
      <c r="BL225" s="4766"/>
      <c r="BM225" s="4768"/>
      <c r="BN225" s="4769"/>
      <c r="BO225" s="4769"/>
      <c r="BP225" s="4769"/>
      <c r="BQ225" s="4769"/>
      <c r="BR225" s="4770"/>
      <c r="BS225" s="4777"/>
      <c r="BT225" s="1059"/>
      <c r="BU225" s="1059"/>
      <c r="BV225" s="1059"/>
      <c r="BW225" s="764"/>
      <c r="BX225" s="822"/>
      <c r="BY225" s="822"/>
      <c r="BZ225" s="822"/>
      <c r="CA225" s="822"/>
      <c r="CB225" s="822"/>
      <c r="CC225" s="822"/>
      <c r="CD225" s="822"/>
      <c r="CE225" s="822"/>
      <c r="CF225" s="822"/>
      <c r="CG225" s="822"/>
      <c r="CH225" s="822"/>
      <c r="CI225" s="822"/>
      <c r="CJ225" s="4826" t="str">
        <f>IF(J225=0,"",J225)</f>
        <v/>
      </c>
      <c r="CK225" s="4827"/>
      <c r="CL225" s="4827"/>
      <c r="CM225" s="4827"/>
      <c r="CN225" s="4827"/>
      <c r="CO225" s="4828"/>
      <c r="CP225" s="822"/>
      <c r="CQ225" s="822"/>
      <c r="CR225" s="822"/>
      <c r="CS225" s="822"/>
      <c r="CT225" s="4826" t="str">
        <f>IF(T225=0,"",T225)</f>
        <v/>
      </c>
      <c r="CU225" s="4827"/>
      <c r="CV225" s="4827"/>
      <c r="CW225" s="4827"/>
      <c r="CX225" s="4827"/>
      <c r="CY225" s="4828"/>
      <c r="CZ225" s="822"/>
      <c r="DA225" s="822"/>
      <c r="DB225" s="822"/>
      <c r="DC225" s="822"/>
      <c r="DD225" s="4826" t="str">
        <f>IF(AD225=0,"",AD225)</f>
        <v/>
      </c>
      <c r="DE225" s="4827"/>
      <c r="DF225" s="4827"/>
      <c r="DG225" s="4827"/>
      <c r="DH225" s="4827"/>
      <c r="DI225" s="4828"/>
      <c r="DJ225" s="822"/>
      <c r="DK225" s="822"/>
      <c r="DL225" s="822"/>
      <c r="DM225" s="822"/>
      <c r="DN225" s="822"/>
      <c r="DO225" s="822"/>
      <c r="DP225" s="822"/>
      <c r="DQ225" s="822"/>
      <c r="DR225" s="822"/>
      <c r="DS225" s="4826" t="str">
        <f>IF(AS225=0,"",AS225)</f>
        <v/>
      </c>
      <c r="DT225" s="4827"/>
      <c r="DU225" s="4827"/>
      <c r="DV225" s="4827"/>
      <c r="DW225" s="4827"/>
      <c r="DX225" s="4828"/>
      <c r="DY225" s="822"/>
      <c r="DZ225" s="822"/>
      <c r="EA225" s="822"/>
      <c r="EB225" s="822"/>
      <c r="EC225" s="4826" t="str">
        <f>IF(BC225=0,"",BC225)</f>
        <v/>
      </c>
      <c r="ED225" s="4827"/>
      <c r="EE225" s="4827"/>
      <c r="EF225" s="4827"/>
      <c r="EG225" s="4827"/>
      <c r="EH225" s="4828"/>
      <c r="EI225" s="822"/>
      <c r="EJ225" s="822"/>
      <c r="EK225" s="822"/>
      <c r="EL225" s="822"/>
      <c r="EM225" s="4826" t="str">
        <f>IF(BM225=0,"",BM225)</f>
        <v/>
      </c>
      <c r="EN225" s="4827"/>
      <c r="EO225" s="4827"/>
      <c r="EP225" s="4827"/>
      <c r="EQ225" s="4827"/>
      <c r="ER225" s="4828"/>
    </row>
    <row r="226" spans="3:148" ht="17.100000000000001" customHeight="1" x14ac:dyDescent="0.3">
      <c r="E226" s="762"/>
      <c r="F226" s="1059"/>
      <c r="G226" s="1059"/>
      <c r="H226" s="1059"/>
      <c r="I226" s="4766"/>
      <c r="J226" s="4771"/>
      <c r="K226" s="4772"/>
      <c r="L226" s="4772"/>
      <c r="M226" s="4772"/>
      <c r="N226" s="4772"/>
      <c r="O226" s="4773"/>
      <c r="P226" s="4777"/>
      <c r="Q226" s="1059"/>
      <c r="R226" s="1059"/>
      <c r="S226" s="4766"/>
      <c r="T226" s="4771"/>
      <c r="U226" s="4772"/>
      <c r="V226" s="4772"/>
      <c r="W226" s="4772"/>
      <c r="X226" s="4772"/>
      <c r="Y226" s="4773"/>
      <c r="Z226" s="4777"/>
      <c r="AA226" s="1059"/>
      <c r="AB226" s="1059"/>
      <c r="AC226" s="4766"/>
      <c r="AD226" s="4771"/>
      <c r="AE226" s="4772"/>
      <c r="AF226" s="4772"/>
      <c r="AG226" s="4772"/>
      <c r="AH226" s="4772"/>
      <c r="AI226" s="4773"/>
      <c r="AJ226" s="4777"/>
      <c r="AK226" s="1059"/>
      <c r="AL226" s="1059"/>
      <c r="AM226" s="2285">
        <f>AN244</f>
        <v>0</v>
      </c>
      <c r="AN226" s="2276" t="s">
        <v>710</v>
      </c>
      <c r="AO226" s="1278"/>
      <c r="AP226" s="1059"/>
      <c r="AQ226" s="1059"/>
      <c r="AR226" s="4766"/>
      <c r="AS226" s="4771"/>
      <c r="AT226" s="4772"/>
      <c r="AU226" s="4772"/>
      <c r="AV226" s="4772"/>
      <c r="AW226" s="4772"/>
      <c r="AX226" s="4773"/>
      <c r="AY226" s="4777"/>
      <c r="AZ226" s="1059"/>
      <c r="BA226" s="1059"/>
      <c r="BB226" s="4766"/>
      <c r="BC226" s="4771"/>
      <c r="BD226" s="4772"/>
      <c r="BE226" s="4772"/>
      <c r="BF226" s="4772"/>
      <c r="BG226" s="4772"/>
      <c r="BH226" s="4773"/>
      <c r="BI226" s="4777"/>
      <c r="BJ226" s="1059"/>
      <c r="BK226" s="1059"/>
      <c r="BL226" s="4766"/>
      <c r="BM226" s="4771"/>
      <c r="BN226" s="4772"/>
      <c r="BO226" s="4772"/>
      <c r="BP226" s="4772"/>
      <c r="BQ226" s="4772"/>
      <c r="BR226" s="4773"/>
      <c r="BS226" s="4777"/>
      <c r="BT226" s="1059"/>
      <c r="BU226" s="1059"/>
      <c r="BV226" s="1059"/>
      <c r="BW226" s="764"/>
      <c r="BX226" s="822"/>
      <c r="BY226" s="822"/>
      <c r="BZ226" s="822"/>
      <c r="CA226" s="822"/>
      <c r="CB226" s="822"/>
      <c r="CC226" s="822"/>
      <c r="CD226" s="822"/>
      <c r="CE226" s="822"/>
      <c r="CF226" s="822"/>
      <c r="CG226" s="822"/>
      <c r="CH226" s="822"/>
      <c r="CI226" s="822"/>
      <c r="CJ226" s="4829"/>
      <c r="CK226" s="4830"/>
      <c r="CL226" s="4830"/>
      <c r="CM226" s="4830"/>
      <c r="CN226" s="4830"/>
      <c r="CO226" s="4831"/>
      <c r="CP226" s="822"/>
      <c r="CQ226" s="822"/>
      <c r="CR226" s="822"/>
      <c r="CS226" s="822"/>
      <c r="CT226" s="4829"/>
      <c r="CU226" s="4830"/>
      <c r="CV226" s="4830"/>
      <c r="CW226" s="4830"/>
      <c r="CX226" s="4830"/>
      <c r="CY226" s="4831"/>
      <c r="CZ226" s="822"/>
      <c r="DA226" s="822"/>
      <c r="DB226" s="822"/>
      <c r="DC226" s="822"/>
      <c r="DD226" s="4829"/>
      <c r="DE226" s="4830"/>
      <c r="DF226" s="4830"/>
      <c r="DG226" s="4830"/>
      <c r="DH226" s="4830"/>
      <c r="DI226" s="4831"/>
      <c r="DJ226" s="822"/>
      <c r="DK226" s="822"/>
      <c r="DL226" s="822"/>
      <c r="DM226" s="822"/>
      <c r="DN226" s="822"/>
      <c r="DO226" s="822"/>
      <c r="DP226" s="822"/>
      <c r="DQ226" s="822"/>
      <c r="DR226" s="822"/>
      <c r="DS226" s="4829"/>
      <c r="DT226" s="4830"/>
      <c r="DU226" s="4830"/>
      <c r="DV226" s="4830"/>
      <c r="DW226" s="4830"/>
      <c r="DX226" s="4831"/>
      <c r="DY226" s="822"/>
      <c r="DZ226" s="822"/>
      <c r="EA226" s="822"/>
      <c r="EB226" s="822"/>
      <c r="EC226" s="4829"/>
      <c r="ED226" s="4830"/>
      <c r="EE226" s="4830"/>
      <c r="EF226" s="4830"/>
      <c r="EG226" s="4830"/>
      <c r="EH226" s="4831"/>
      <c r="EI226" s="822"/>
      <c r="EJ226" s="822"/>
      <c r="EK226" s="822"/>
      <c r="EL226" s="822"/>
      <c r="EM226" s="4829"/>
      <c r="EN226" s="4830"/>
      <c r="EO226" s="4830"/>
      <c r="EP226" s="4830"/>
      <c r="EQ226" s="4830"/>
      <c r="ER226" s="4831"/>
    </row>
    <row r="227" spans="3:148" ht="17.100000000000001" customHeight="1" x14ac:dyDescent="0.3">
      <c r="E227" s="762"/>
      <c r="F227" s="1059"/>
      <c r="G227" s="1059"/>
      <c r="H227" s="1059"/>
      <c r="I227" s="4766"/>
      <c r="J227" s="4774"/>
      <c r="K227" s="4775"/>
      <c r="L227" s="4775"/>
      <c r="M227" s="4775"/>
      <c r="N227" s="4775"/>
      <c r="O227" s="4776"/>
      <c r="P227" s="4777"/>
      <c r="Q227" s="1059"/>
      <c r="R227" s="1059"/>
      <c r="S227" s="4766"/>
      <c r="T227" s="4774"/>
      <c r="U227" s="4775"/>
      <c r="V227" s="4775"/>
      <c r="W227" s="4775"/>
      <c r="X227" s="4775"/>
      <c r="Y227" s="4776"/>
      <c r="Z227" s="4777"/>
      <c r="AA227" s="1059"/>
      <c r="AB227" s="1059"/>
      <c r="AC227" s="4766"/>
      <c r="AD227" s="4774"/>
      <c r="AE227" s="4775"/>
      <c r="AF227" s="4775"/>
      <c r="AG227" s="4775"/>
      <c r="AH227" s="4775"/>
      <c r="AI227" s="4776"/>
      <c r="AJ227" s="4777"/>
      <c r="AK227" s="1059"/>
      <c r="AL227" s="1059"/>
      <c r="AM227" s="2285">
        <f>AN244</f>
        <v>0</v>
      </c>
      <c r="AN227" s="2277" t="s">
        <v>941</v>
      </c>
      <c r="AO227" s="1278"/>
      <c r="AP227" s="1059"/>
      <c r="AQ227" s="1059"/>
      <c r="AR227" s="4766"/>
      <c r="AS227" s="4774"/>
      <c r="AT227" s="4775"/>
      <c r="AU227" s="4775"/>
      <c r="AV227" s="4775"/>
      <c r="AW227" s="4775"/>
      <c r="AX227" s="4776"/>
      <c r="AY227" s="4777"/>
      <c r="AZ227" s="1059"/>
      <c r="BA227" s="1059"/>
      <c r="BB227" s="4766"/>
      <c r="BC227" s="4774"/>
      <c r="BD227" s="4775"/>
      <c r="BE227" s="4775"/>
      <c r="BF227" s="4775"/>
      <c r="BG227" s="4775"/>
      <c r="BH227" s="4776"/>
      <c r="BI227" s="4777"/>
      <c r="BJ227" s="1059"/>
      <c r="BK227" s="1059"/>
      <c r="BL227" s="4766"/>
      <c r="BM227" s="4774"/>
      <c r="BN227" s="4775"/>
      <c r="BO227" s="4775"/>
      <c r="BP227" s="4775"/>
      <c r="BQ227" s="4775"/>
      <c r="BR227" s="4776"/>
      <c r="BS227" s="4777"/>
      <c r="BT227" s="1059"/>
      <c r="BU227" s="1059"/>
      <c r="BV227" s="1059"/>
      <c r="BW227" s="764"/>
      <c r="BX227" s="822"/>
      <c r="BY227" s="822"/>
      <c r="BZ227" s="822"/>
      <c r="CA227" s="822"/>
      <c r="CB227" s="822"/>
      <c r="CC227" s="822"/>
      <c r="CD227" s="822"/>
      <c r="CE227" s="822"/>
      <c r="CF227" s="822"/>
      <c r="CG227" s="822"/>
      <c r="CH227" s="822"/>
      <c r="CI227" s="822"/>
      <c r="CJ227" s="4832"/>
      <c r="CK227" s="4833"/>
      <c r="CL227" s="4833"/>
      <c r="CM227" s="4833"/>
      <c r="CN227" s="4833"/>
      <c r="CO227" s="4834"/>
      <c r="CP227" s="822"/>
      <c r="CQ227" s="822"/>
      <c r="CR227" s="822"/>
      <c r="CS227" s="822"/>
      <c r="CT227" s="4832"/>
      <c r="CU227" s="4833"/>
      <c r="CV227" s="4833"/>
      <c r="CW227" s="4833"/>
      <c r="CX227" s="4833"/>
      <c r="CY227" s="4834"/>
      <c r="CZ227" s="822"/>
      <c r="DA227" s="822"/>
      <c r="DB227" s="822"/>
      <c r="DC227" s="822"/>
      <c r="DD227" s="4832"/>
      <c r="DE227" s="4833"/>
      <c r="DF227" s="4833"/>
      <c r="DG227" s="4833"/>
      <c r="DH227" s="4833"/>
      <c r="DI227" s="4834"/>
      <c r="DJ227" s="822"/>
      <c r="DK227" s="822"/>
      <c r="DL227" s="822"/>
      <c r="DM227" s="822"/>
      <c r="DN227" s="822"/>
      <c r="DO227" s="822"/>
      <c r="DP227" s="822"/>
      <c r="DQ227" s="822"/>
      <c r="DR227" s="822"/>
      <c r="DS227" s="4832"/>
      <c r="DT227" s="4833"/>
      <c r="DU227" s="4833"/>
      <c r="DV227" s="4833"/>
      <c r="DW227" s="4833"/>
      <c r="DX227" s="4834"/>
      <c r="DY227" s="822"/>
      <c r="DZ227" s="822"/>
      <c r="EA227" s="822"/>
      <c r="EB227" s="822"/>
      <c r="EC227" s="4832"/>
      <c r="ED227" s="4833"/>
      <c r="EE227" s="4833"/>
      <c r="EF227" s="4833"/>
      <c r="EG227" s="4833"/>
      <c r="EH227" s="4834"/>
      <c r="EI227" s="822"/>
      <c r="EJ227" s="822"/>
      <c r="EK227" s="822"/>
      <c r="EL227" s="822"/>
      <c r="EM227" s="4832"/>
      <c r="EN227" s="4833"/>
      <c r="EO227" s="4833"/>
      <c r="EP227" s="4833"/>
      <c r="EQ227" s="4833"/>
      <c r="ER227" s="4834"/>
    </row>
    <row r="228" spans="3:148" ht="17.100000000000001" customHeight="1" thickBot="1" x14ac:dyDescent="0.35">
      <c r="E228" s="762"/>
      <c r="F228" s="1059"/>
      <c r="G228" s="1059"/>
      <c r="H228" s="1059"/>
      <c r="I228" s="4767"/>
      <c r="J228" s="4789" t="s">
        <v>505</v>
      </c>
      <c r="K228" s="4789"/>
      <c r="L228" s="4789"/>
      <c r="M228" s="4789"/>
      <c r="N228" s="4789"/>
      <c r="O228" s="4789"/>
      <c r="P228" s="4778"/>
      <c r="Q228" s="1059"/>
      <c r="R228" s="1059"/>
      <c r="S228" s="4767"/>
      <c r="T228" s="4789" t="s">
        <v>505</v>
      </c>
      <c r="U228" s="4789"/>
      <c r="V228" s="4789"/>
      <c r="W228" s="4789"/>
      <c r="X228" s="4789"/>
      <c r="Y228" s="4789"/>
      <c r="Z228" s="4778"/>
      <c r="AA228" s="1059"/>
      <c r="AB228" s="1059"/>
      <c r="AC228" s="4767"/>
      <c r="AD228" s="4789" t="s">
        <v>505</v>
      </c>
      <c r="AE228" s="4789"/>
      <c r="AF228" s="4789"/>
      <c r="AG228" s="4789"/>
      <c r="AH228" s="4789"/>
      <c r="AI228" s="4789"/>
      <c r="AJ228" s="4778"/>
      <c r="AK228" s="1059"/>
      <c r="AL228" s="1059"/>
      <c r="AM228" s="2285">
        <f>AN244</f>
        <v>0</v>
      </c>
      <c r="AN228" s="2278" t="s">
        <v>144</v>
      </c>
      <c r="AO228" s="1278"/>
      <c r="AP228" s="1059"/>
      <c r="AQ228" s="1059"/>
      <c r="AR228" s="4767"/>
      <c r="AS228" s="4789" t="s">
        <v>505</v>
      </c>
      <c r="AT228" s="4789"/>
      <c r="AU228" s="4789"/>
      <c r="AV228" s="4789"/>
      <c r="AW228" s="4789"/>
      <c r="AX228" s="4789"/>
      <c r="AY228" s="4778"/>
      <c r="AZ228" s="1059"/>
      <c r="BA228" s="1059"/>
      <c r="BB228" s="4767"/>
      <c r="BC228" s="4789" t="s">
        <v>505</v>
      </c>
      <c r="BD228" s="4789"/>
      <c r="BE228" s="4789"/>
      <c r="BF228" s="4789"/>
      <c r="BG228" s="4789"/>
      <c r="BH228" s="4789"/>
      <c r="BI228" s="4778"/>
      <c r="BJ228" s="1059"/>
      <c r="BK228" s="1059"/>
      <c r="BL228" s="4767"/>
      <c r="BM228" s="4789" t="s">
        <v>505</v>
      </c>
      <c r="BN228" s="4789"/>
      <c r="BO228" s="4789"/>
      <c r="BP228" s="4789"/>
      <c r="BQ228" s="4789"/>
      <c r="BR228" s="4789"/>
      <c r="BS228" s="4778"/>
      <c r="BT228" s="1059"/>
      <c r="BU228" s="1059"/>
      <c r="BV228" s="1059"/>
      <c r="BW228" s="764"/>
      <c r="BX228" s="822"/>
      <c r="BY228" s="822"/>
      <c r="BZ228" s="822"/>
      <c r="CA228" s="822"/>
      <c r="CB228" s="822"/>
      <c r="CC228" s="822"/>
      <c r="CD228" s="822"/>
      <c r="CE228" s="822"/>
      <c r="CF228" s="822"/>
      <c r="CG228" s="822"/>
      <c r="CH228" s="822"/>
      <c r="CI228" s="822"/>
      <c r="CJ228" s="822"/>
      <c r="CK228" s="822"/>
      <c r="CL228" s="822"/>
      <c r="CM228" s="822"/>
      <c r="CN228" s="822"/>
      <c r="CO228" s="822"/>
      <c r="CP228" s="822"/>
      <c r="CQ228" s="822"/>
      <c r="CR228" s="822"/>
      <c r="CS228" s="822"/>
      <c r="CT228" s="822"/>
      <c r="CU228" s="822"/>
      <c r="CV228" s="822"/>
      <c r="CW228" s="822"/>
      <c r="CX228" s="822"/>
      <c r="CY228" s="822"/>
      <c r="CZ228" s="822"/>
      <c r="DA228" s="822"/>
      <c r="DB228" s="822"/>
      <c r="DC228" s="822"/>
      <c r="DD228" s="822"/>
      <c r="DE228" s="822"/>
      <c r="DF228" s="822"/>
      <c r="DG228" s="822"/>
      <c r="DH228" s="822"/>
      <c r="DI228" s="822"/>
      <c r="DJ228" s="822"/>
      <c r="DK228" s="822"/>
      <c r="DL228" s="822"/>
      <c r="DM228" s="822"/>
      <c r="DN228" s="822"/>
      <c r="DO228" s="822"/>
      <c r="DP228" s="822"/>
      <c r="DQ228" s="822"/>
      <c r="DR228" s="822"/>
      <c r="DS228" s="822"/>
      <c r="DT228" s="822"/>
      <c r="DU228" s="822"/>
      <c r="DV228" s="822"/>
      <c r="DW228" s="822"/>
      <c r="DX228" s="822"/>
      <c r="DY228" s="822"/>
      <c r="DZ228" s="822"/>
      <c r="EA228" s="822"/>
      <c r="EB228" s="822"/>
      <c r="EC228" s="822"/>
      <c r="ED228" s="822"/>
      <c r="EE228" s="822"/>
      <c r="EF228" s="822"/>
      <c r="EG228" s="822"/>
      <c r="EH228" s="822"/>
      <c r="EI228" s="822"/>
      <c r="EJ228" s="822"/>
      <c r="EK228" s="822"/>
      <c r="EL228" s="822"/>
      <c r="EM228" s="822"/>
      <c r="EN228" s="822"/>
      <c r="EO228" s="822"/>
      <c r="EP228" s="822"/>
      <c r="EQ228" s="822"/>
      <c r="ER228" s="822"/>
    </row>
    <row r="229" spans="3:148" ht="17.100000000000001" customHeight="1" thickTop="1" x14ac:dyDescent="0.3">
      <c r="E229" s="762"/>
      <c r="F229" s="1059"/>
      <c r="G229" s="1059"/>
      <c r="H229" s="1059"/>
      <c r="I229" s="1059"/>
      <c r="J229" s="1059"/>
      <c r="K229" s="1059"/>
      <c r="L229" s="1059"/>
      <c r="M229" s="1059"/>
      <c r="N229" s="1059"/>
      <c r="O229" s="1059"/>
      <c r="P229" s="1059"/>
      <c r="Q229" s="1059"/>
      <c r="R229" s="1059"/>
      <c r="S229" s="1059"/>
      <c r="T229" s="1059"/>
      <c r="U229" s="1059"/>
      <c r="V229" s="1059"/>
      <c r="W229" s="1059"/>
      <c r="X229" s="1059"/>
      <c r="Y229" s="1059"/>
      <c r="Z229" s="1059"/>
      <c r="AA229" s="1059"/>
      <c r="AB229" s="1059"/>
      <c r="AC229" s="1059"/>
      <c r="AD229" s="1059"/>
      <c r="AE229" s="1059"/>
      <c r="AF229" s="1059"/>
      <c r="AG229" s="1059"/>
      <c r="AH229" s="1059"/>
      <c r="AI229" s="1059"/>
      <c r="AJ229" s="1059"/>
      <c r="AK229" s="1059"/>
      <c r="AL229" s="1059"/>
      <c r="AM229" s="2285">
        <f>AN244</f>
        <v>0</v>
      </c>
      <c r="AN229" s="2279" t="s">
        <v>939</v>
      </c>
      <c r="AO229" s="1278"/>
      <c r="AP229" s="1059"/>
      <c r="AQ229" s="1059"/>
      <c r="AR229" s="1059"/>
      <c r="AS229" s="1059"/>
      <c r="AT229" s="1059"/>
      <c r="AU229" s="1059"/>
      <c r="AV229" s="1059"/>
      <c r="AW229" s="1059"/>
      <c r="AX229" s="1059"/>
      <c r="AY229" s="1059"/>
      <c r="AZ229" s="1059"/>
      <c r="BA229" s="1059"/>
      <c r="BB229" s="1059"/>
      <c r="BC229" s="1059"/>
      <c r="BD229" s="1059"/>
      <c r="BE229" s="1059"/>
      <c r="BF229" s="1059"/>
      <c r="BG229" s="1059"/>
      <c r="BH229" s="1059"/>
      <c r="BI229" s="1059"/>
      <c r="BJ229" s="1059"/>
      <c r="BK229" s="1059"/>
      <c r="BL229" s="1059"/>
      <c r="BM229" s="1059"/>
      <c r="BN229" s="1059"/>
      <c r="BO229" s="1059"/>
      <c r="BP229" s="1059"/>
      <c r="BQ229" s="1059"/>
      <c r="BR229" s="1059"/>
      <c r="BS229" s="1059"/>
      <c r="BT229" s="1059"/>
      <c r="BU229" s="1059"/>
      <c r="BV229" s="1059"/>
      <c r="BW229" s="764"/>
      <c r="BX229" s="822"/>
      <c r="BY229" s="822"/>
      <c r="BZ229" s="822"/>
      <c r="CA229" s="822"/>
      <c r="CB229" s="822"/>
      <c r="CC229" s="822"/>
      <c r="CD229" s="822"/>
      <c r="CE229" s="822"/>
      <c r="CF229" s="822"/>
      <c r="CG229" s="822"/>
      <c r="CH229" s="822"/>
      <c r="CI229" s="822"/>
      <c r="CJ229" s="822"/>
      <c r="CK229" s="822"/>
      <c r="CL229" s="822"/>
      <c r="CM229" s="822"/>
      <c r="CN229" s="822"/>
      <c r="CO229" s="822"/>
      <c r="CP229" s="822"/>
      <c r="CQ229" s="822"/>
      <c r="CR229" s="822"/>
      <c r="CS229" s="822"/>
      <c r="CT229" s="822"/>
      <c r="CU229" s="822"/>
      <c r="CV229" s="822"/>
      <c r="CW229" s="822"/>
      <c r="CX229" s="822"/>
      <c r="CY229" s="822"/>
      <c r="CZ229" s="822"/>
      <c r="DA229" s="822"/>
      <c r="DB229" s="822"/>
      <c r="DC229" s="822"/>
      <c r="DD229" s="822"/>
      <c r="DE229" s="822"/>
      <c r="DF229" s="822"/>
      <c r="DG229" s="822"/>
      <c r="DH229" s="822"/>
      <c r="DI229" s="822"/>
      <c r="DJ229" s="822"/>
      <c r="DK229" s="822"/>
      <c r="DL229" s="822"/>
      <c r="DM229" s="822"/>
      <c r="DN229" s="822"/>
      <c r="DO229" s="822"/>
      <c r="DP229" s="822"/>
      <c r="DQ229" s="822"/>
      <c r="DR229" s="822"/>
      <c r="DS229" s="822"/>
      <c r="DT229" s="822"/>
      <c r="DU229" s="822"/>
      <c r="DV229" s="822"/>
      <c r="DW229" s="822"/>
      <c r="DX229" s="822"/>
      <c r="DY229" s="822"/>
      <c r="DZ229" s="822"/>
      <c r="EA229" s="822"/>
      <c r="EB229" s="822"/>
      <c r="EC229" s="822"/>
      <c r="ED229" s="822"/>
      <c r="EE229" s="822"/>
      <c r="EF229" s="822"/>
      <c r="EG229" s="822"/>
      <c r="EH229" s="822"/>
      <c r="EI229" s="822"/>
      <c r="EJ229" s="822"/>
      <c r="EK229" s="822"/>
      <c r="EL229" s="822"/>
      <c r="EM229" s="822"/>
      <c r="EN229" s="822"/>
      <c r="EO229" s="822"/>
      <c r="EP229" s="822"/>
      <c r="EQ229" s="822"/>
      <c r="ER229" s="822"/>
    </row>
    <row r="230" spans="3:148" ht="17.100000000000001" customHeight="1" thickBot="1" x14ac:dyDescent="0.35">
      <c r="E230" s="762"/>
      <c r="F230" s="1059"/>
      <c r="G230" s="1059"/>
      <c r="H230" s="1059"/>
      <c r="I230" s="1059"/>
      <c r="J230" s="1059"/>
      <c r="K230" s="1059"/>
      <c r="L230" s="1059"/>
      <c r="M230" s="1059"/>
      <c r="N230" s="1059"/>
      <c r="O230" s="1059"/>
      <c r="P230" s="1059"/>
      <c r="Q230" s="1059"/>
      <c r="R230" s="1059"/>
      <c r="S230" s="1059"/>
      <c r="T230" s="1059"/>
      <c r="U230" s="1059"/>
      <c r="V230" s="1059"/>
      <c r="W230" s="1059"/>
      <c r="X230" s="1059"/>
      <c r="Y230" s="1059"/>
      <c r="Z230" s="1059"/>
      <c r="AA230" s="1059"/>
      <c r="AB230" s="1059"/>
      <c r="AC230" s="1059"/>
      <c r="AD230" s="1059"/>
      <c r="AE230" s="1059"/>
      <c r="AF230" s="1059"/>
      <c r="AG230" s="1059"/>
      <c r="AH230" s="1059"/>
      <c r="AI230" s="1059"/>
      <c r="AJ230" s="1059"/>
      <c r="AK230" s="1059"/>
      <c r="AL230" s="1059"/>
      <c r="AM230" s="2285">
        <f>AN244</f>
        <v>0</v>
      </c>
      <c r="AN230" s="2280" t="s">
        <v>942</v>
      </c>
      <c r="AO230" s="1278"/>
      <c r="AP230" s="1059"/>
      <c r="AQ230" s="1059"/>
      <c r="AR230" s="1059"/>
      <c r="AS230" s="1059"/>
      <c r="AT230" s="1059"/>
      <c r="AU230" s="1059"/>
      <c r="AV230" s="1059"/>
      <c r="AW230" s="1059"/>
      <c r="AX230" s="1059"/>
      <c r="AY230" s="1059"/>
      <c r="AZ230" s="1059"/>
      <c r="BA230" s="1059"/>
      <c r="BB230" s="1059"/>
      <c r="BC230" s="1059"/>
      <c r="BD230" s="1059"/>
      <c r="BE230" s="1059"/>
      <c r="BF230" s="1059"/>
      <c r="BG230" s="1059"/>
      <c r="BH230" s="1059"/>
      <c r="BI230" s="1059"/>
      <c r="BJ230" s="1059"/>
      <c r="BK230" s="1059"/>
      <c r="BL230" s="1059"/>
      <c r="BM230" s="1059"/>
      <c r="BN230" s="1059"/>
      <c r="BO230" s="1059"/>
      <c r="BP230" s="1059"/>
      <c r="BQ230" s="1059"/>
      <c r="BR230" s="1059"/>
      <c r="BS230" s="1059"/>
      <c r="BT230" s="1059"/>
      <c r="BU230" s="1059"/>
      <c r="BV230" s="1059"/>
      <c r="BW230" s="764"/>
      <c r="BX230" s="822"/>
      <c r="BY230" s="822"/>
      <c r="BZ230" s="822"/>
      <c r="CA230" s="822"/>
      <c r="CB230" s="822"/>
      <c r="CC230" s="822"/>
      <c r="CD230" s="822"/>
      <c r="CE230" s="822"/>
      <c r="CF230" s="822"/>
      <c r="CG230" s="822"/>
      <c r="CH230" s="822"/>
      <c r="CI230" s="822"/>
      <c r="CJ230" s="822"/>
      <c r="CK230" s="822"/>
      <c r="CL230" s="822"/>
      <c r="CM230" s="822"/>
      <c r="CN230" s="822"/>
      <c r="CO230" s="822"/>
      <c r="CP230" s="822"/>
      <c r="CQ230" s="822"/>
      <c r="CR230" s="822"/>
      <c r="CS230" s="822"/>
      <c r="CT230" s="822"/>
      <c r="CU230" s="822"/>
      <c r="CV230" s="822"/>
      <c r="CW230" s="822"/>
      <c r="CX230" s="822"/>
      <c r="CY230" s="822"/>
      <c r="CZ230" s="822"/>
      <c r="DA230" s="822"/>
      <c r="DB230" s="822"/>
      <c r="DC230" s="822"/>
      <c r="DD230" s="822"/>
      <c r="DE230" s="822"/>
      <c r="DF230" s="822"/>
      <c r="DG230" s="822"/>
      <c r="DH230" s="822"/>
      <c r="DI230" s="822"/>
      <c r="DJ230" s="822"/>
      <c r="DK230" s="822"/>
      <c r="DL230" s="822"/>
      <c r="DM230" s="822"/>
      <c r="DN230" s="822"/>
      <c r="DO230" s="822"/>
      <c r="DP230" s="822"/>
      <c r="DQ230" s="822"/>
      <c r="DR230" s="822"/>
      <c r="DS230" s="822"/>
      <c r="DT230" s="822"/>
      <c r="DU230" s="822"/>
      <c r="DV230" s="822"/>
      <c r="DW230" s="822"/>
      <c r="DX230" s="822"/>
      <c r="DY230" s="822"/>
      <c r="DZ230" s="822"/>
      <c r="EA230" s="822"/>
      <c r="EB230" s="822"/>
      <c r="EC230" s="822"/>
      <c r="ED230" s="822"/>
      <c r="EE230" s="822"/>
      <c r="EF230" s="822"/>
      <c r="EG230" s="822"/>
      <c r="EH230" s="822"/>
      <c r="EI230" s="822"/>
      <c r="EJ230" s="822"/>
      <c r="EK230" s="822"/>
      <c r="EL230" s="822"/>
      <c r="EM230" s="822"/>
      <c r="EN230" s="822"/>
      <c r="EO230" s="822"/>
      <c r="EP230" s="822"/>
      <c r="EQ230" s="822"/>
      <c r="ER230" s="822"/>
    </row>
    <row r="231" spans="3:148" ht="17.100000000000001" customHeight="1" thickTop="1" x14ac:dyDescent="0.3">
      <c r="E231" s="762"/>
      <c r="F231" s="1059"/>
      <c r="G231" s="1059"/>
      <c r="H231" s="1059"/>
      <c r="I231" s="4756" t="s">
        <v>72</v>
      </c>
      <c r="J231" s="4757"/>
      <c r="K231" s="4757"/>
      <c r="L231" s="4787" t="s">
        <v>941</v>
      </c>
      <c r="M231" s="4801"/>
      <c r="N231" s="4757" t="s">
        <v>72</v>
      </c>
      <c r="O231" s="4757"/>
      <c r="P231" s="4762"/>
      <c r="Q231" s="1059"/>
      <c r="R231" s="1059"/>
      <c r="S231" s="4756" t="s">
        <v>72</v>
      </c>
      <c r="T231" s="4757"/>
      <c r="U231" s="4757"/>
      <c r="V231" s="4783" t="s">
        <v>941</v>
      </c>
      <c r="W231" s="4799"/>
      <c r="X231" s="4757" t="s">
        <v>72</v>
      </c>
      <c r="Y231" s="4757"/>
      <c r="Z231" s="4762"/>
      <c r="AA231" s="1059"/>
      <c r="AB231" s="1059"/>
      <c r="AC231" s="4756" t="s">
        <v>72</v>
      </c>
      <c r="AD231" s="4757"/>
      <c r="AE231" s="4757"/>
      <c r="AF231" s="4785" t="s">
        <v>941</v>
      </c>
      <c r="AG231" s="4803"/>
      <c r="AH231" s="4757" t="s">
        <v>72</v>
      </c>
      <c r="AI231" s="4757"/>
      <c r="AJ231" s="4762"/>
      <c r="AK231" s="1059"/>
      <c r="AL231" s="1059"/>
      <c r="AM231" s="2285">
        <f>AN244</f>
        <v>0</v>
      </c>
      <c r="AN231" s="2281" t="s">
        <v>940</v>
      </c>
      <c r="AO231" s="1278"/>
      <c r="AP231" s="1059"/>
      <c r="AQ231" s="1059"/>
      <c r="AR231" s="4756" t="s">
        <v>72</v>
      </c>
      <c r="AS231" s="4757"/>
      <c r="AT231" s="4757"/>
      <c r="AU231" s="4785" t="s">
        <v>942</v>
      </c>
      <c r="AV231" s="4803"/>
      <c r="AW231" s="4757" t="s">
        <v>72</v>
      </c>
      <c r="AX231" s="4757"/>
      <c r="AY231" s="4762"/>
      <c r="AZ231" s="1059"/>
      <c r="BA231" s="1059"/>
      <c r="BB231" s="4756" t="s">
        <v>72</v>
      </c>
      <c r="BC231" s="4757"/>
      <c r="BD231" s="4757"/>
      <c r="BE231" s="4783" t="s">
        <v>942</v>
      </c>
      <c r="BF231" s="4799"/>
      <c r="BG231" s="4757" t="s">
        <v>72</v>
      </c>
      <c r="BH231" s="4757"/>
      <c r="BI231" s="4762"/>
      <c r="BJ231" s="1059"/>
      <c r="BK231" s="1059"/>
      <c r="BL231" s="4756" t="s">
        <v>72</v>
      </c>
      <c r="BM231" s="4757"/>
      <c r="BN231" s="4757"/>
      <c r="BO231" s="4787" t="s">
        <v>942</v>
      </c>
      <c r="BP231" s="4801"/>
      <c r="BQ231" s="4757" t="s">
        <v>72</v>
      </c>
      <c r="BR231" s="4757"/>
      <c r="BS231" s="4762"/>
      <c r="BT231" s="1059"/>
      <c r="BU231" s="1059"/>
      <c r="BV231" s="1059"/>
      <c r="BW231" s="764"/>
      <c r="BX231" s="822"/>
      <c r="BY231" s="822"/>
      <c r="BZ231" s="822"/>
      <c r="CA231" s="822"/>
      <c r="CB231" s="822"/>
      <c r="CC231" s="822"/>
      <c r="CD231" s="822"/>
      <c r="CE231" s="822"/>
      <c r="CF231" s="822"/>
      <c r="CG231" s="822"/>
      <c r="CH231" s="822"/>
      <c r="CI231" s="822"/>
      <c r="CJ231" s="822"/>
      <c r="CK231" s="822"/>
      <c r="CL231" s="822"/>
      <c r="CM231" s="822"/>
      <c r="CN231" s="822"/>
      <c r="CO231" s="822"/>
      <c r="CP231" s="822"/>
      <c r="CQ231" s="822"/>
      <c r="CR231" s="822"/>
      <c r="CS231" s="822"/>
      <c r="CT231" s="822"/>
      <c r="CU231" s="822"/>
      <c r="CV231" s="822"/>
      <c r="CW231" s="822"/>
      <c r="CX231" s="822"/>
      <c r="CY231" s="822"/>
      <c r="CZ231" s="822"/>
      <c r="DA231" s="822"/>
      <c r="DB231" s="822"/>
      <c r="DC231" s="822"/>
      <c r="DD231" s="822"/>
      <c r="DE231" s="822"/>
      <c r="DF231" s="822"/>
      <c r="DG231" s="822"/>
      <c r="DH231" s="822"/>
      <c r="DI231" s="822"/>
      <c r="DJ231" s="822"/>
      <c r="DK231" s="822"/>
      <c r="DL231" s="822"/>
      <c r="DM231" s="822"/>
      <c r="DN231" s="822"/>
      <c r="DO231" s="822"/>
      <c r="DP231" s="822"/>
      <c r="DQ231" s="822"/>
      <c r="DR231" s="822"/>
      <c r="DS231" s="822"/>
      <c r="DT231" s="822"/>
      <c r="DU231" s="822"/>
      <c r="DV231" s="822"/>
      <c r="DW231" s="822"/>
      <c r="DX231" s="822"/>
      <c r="DY231" s="822"/>
      <c r="DZ231" s="822"/>
      <c r="EA231" s="822"/>
      <c r="EB231" s="822"/>
      <c r="EC231" s="822"/>
      <c r="ED231" s="822"/>
      <c r="EE231" s="822"/>
      <c r="EF231" s="822"/>
      <c r="EG231" s="822"/>
      <c r="EH231" s="822"/>
      <c r="EI231" s="822"/>
      <c r="EJ231" s="822"/>
      <c r="EK231" s="822"/>
      <c r="EL231" s="822"/>
      <c r="EM231" s="822"/>
      <c r="EN231" s="822"/>
      <c r="EO231" s="822"/>
      <c r="EP231" s="822"/>
      <c r="EQ231" s="822"/>
      <c r="ER231" s="822"/>
    </row>
    <row r="232" spans="3:148" ht="17.100000000000001" customHeight="1" x14ac:dyDescent="0.3">
      <c r="E232" s="762"/>
      <c r="F232" s="1059"/>
      <c r="G232" s="1059"/>
      <c r="H232" s="1059"/>
      <c r="I232" s="4758"/>
      <c r="J232" s="4759"/>
      <c r="K232" s="4759"/>
      <c r="L232" s="4802"/>
      <c r="M232" s="4802"/>
      <c r="N232" s="4759"/>
      <c r="O232" s="4759"/>
      <c r="P232" s="4763"/>
      <c r="Q232" s="1059"/>
      <c r="R232" s="1059"/>
      <c r="S232" s="4758"/>
      <c r="T232" s="4759"/>
      <c r="U232" s="4759"/>
      <c r="V232" s="4800"/>
      <c r="W232" s="4800"/>
      <c r="X232" s="4759"/>
      <c r="Y232" s="4759"/>
      <c r="Z232" s="4763"/>
      <c r="AA232" s="1059"/>
      <c r="AB232" s="1059"/>
      <c r="AC232" s="4758"/>
      <c r="AD232" s="4759"/>
      <c r="AE232" s="4759"/>
      <c r="AF232" s="4804"/>
      <c r="AG232" s="4804"/>
      <c r="AH232" s="4759"/>
      <c r="AI232" s="4759"/>
      <c r="AJ232" s="4763"/>
      <c r="AK232" s="1059"/>
      <c r="AL232" s="1059"/>
      <c r="AM232" s="2285">
        <f>AN244</f>
        <v>0</v>
      </c>
      <c r="AN232" s="2282" t="s">
        <v>710</v>
      </c>
      <c r="AO232" s="1278"/>
      <c r="AP232" s="1059"/>
      <c r="AQ232" s="1059"/>
      <c r="AR232" s="4758"/>
      <c r="AS232" s="4759"/>
      <c r="AT232" s="4759"/>
      <c r="AU232" s="4804"/>
      <c r="AV232" s="4804"/>
      <c r="AW232" s="4759"/>
      <c r="AX232" s="4759"/>
      <c r="AY232" s="4763"/>
      <c r="AZ232" s="1059"/>
      <c r="BA232" s="1059"/>
      <c r="BB232" s="4758"/>
      <c r="BC232" s="4759"/>
      <c r="BD232" s="4759"/>
      <c r="BE232" s="4800"/>
      <c r="BF232" s="4800"/>
      <c r="BG232" s="4759"/>
      <c r="BH232" s="4759"/>
      <c r="BI232" s="4763"/>
      <c r="BJ232" s="1059"/>
      <c r="BK232" s="1059"/>
      <c r="BL232" s="4758"/>
      <c r="BM232" s="4759"/>
      <c r="BN232" s="4759"/>
      <c r="BO232" s="4802"/>
      <c r="BP232" s="4802"/>
      <c r="BQ232" s="4759"/>
      <c r="BR232" s="4759"/>
      <c r="BS232" s="4763"/>
      <c r="BT232" s="1059"/>
      <c r="BU232" s="1059"/>
      <c r="BV232" s="1059"/>
      <c r="BW232" s="764"/>
      <c r="CJ232" s="822"/>
      <c r="CK232" s="822"/>
      <c r="CL232" s="822"/>
      <c r="CM232" s="822"/>
      <c r="CN232" s="822"/>
      <c r="CO232" s="822"/>
      <c r="CP232" s="822"/>
      <c r="CQ232" s="822"/>
      <c r="CR232" s="822"/>
      <c r="CS232" s="822"/>
      <c r="CT232" s="822"/>
      <c r="CU232" s="822"/>
      <c r="CV232" s="822"/>
      <c r="CW232" s="822"/>
      <c r="CX232" s="822"/>
      <c r="CY232" s="822"/>
      <c r="CZ232" s="822"/>
      <c r="DA232" s="822"/>
      <c r="DB232" s="822"/>
      <c r="DC232" s="822"/>
      <c r="DD232" s="822"/>
      <c r="DE232" s="822"/>
      <c r="DF232" s="822"/>
      <c r="DG232" s="822"/>
      <c r="DH232" s="822"/>
      <c r="DI232" s="822"/>
      <c r="DJ232" s="822"/>
      <c r="DK232" s="822"/>
      <c r="DL232" s="822"/>
      <c r="DM232" s="822"/>
      <c r="DN232" s="822"/>
      <c r="DO232" s="822"/>
      <c r="DP232" s="822"/>
      <c r="DQ232" s="822"/>
      <c r="DR232" s="822"/>
      <c r="DS232" s="822"/>
      <c r="DT232" s="822"/>
      <c r="DU232" s="822"/>
      <c r="DV232" s="822"/>
      <c r="DW232" s="822"/>
      <c r="DX232" s="822"/>
      <c r="DY232" s="822"/>
      <c r="DZ232" s="822"/>
      <c r="EA232" s="822"/>
      <c r="EB232" s="822"/>
      <c r="EC232" s="822"/>
      <c r="ED232" s="822"/>
      <c r="EE232" s="822"/>
      <c r="EF232" s="822"/>
      <c r="EG232" s="822"/>
      <c r="EH232" s="822"/>
      <c r="EI232" s="822"/>
      <c r="EJ232" s="822"/>
      <c r="EK232" s="822"/>
      <c r="EL232" s="822"/>
      <c r="EM232" s="822"/>
      <c r="EN232" s="822"/>
      <c r="EO232" s="822"/>
      <c r="EP232" s="822"/>
      <c r="EQ232" s="822"/>
      <c r="ER232" s="822"/>
    </row>
    <row r="233" spans="3:148" ht="17.100000000000001" customHeight="1" x14ac:dyDescent="0.3">
      <c r="E233" s="762"/>
      <c r="F233" s="1059"/>
      <c r="G233" s="1059"/>
      <c r="H233" s="1059"/>
      <c r="I233" s="4766"/>
      <c r="J233" s="4768"/>
      <c r="K233" s="4769"/>
      <c r="L233" s="4769"/>
      <c r="M233" s="4769"/>
      <c r="N233" s="4769"/>
      <c r="O233" s="4770"/>
      <c r="P233" s="4777"/>
      <c r="Q233" s="1059"/>
      <c r="R233" s="1059"/>
      <c r="S233" s="4766"/>
      <c r="T233" s="4768"/>
      <c r="U233" s="4769"/>
      <c r="V233" s="4769"/>
      <c r="W233" s="4769"/>
      <c r="X233" s="4769"/>
      <c r="Y233" s="4770"/>
      <c r="Z233" s="4777"/>
      <c r="AA233" s="1059"/>
      <c r="AB233" s="1059"/>
      <c r="AC233" s="4766"/>
      <c r="AD233" s="4768"/>
      <c r="AE233" s="4769"/>
      <c r="AF233" s="4769"/>
      <c r="AG233" s="4769"/>
      <c r="AH233" s="4769"/>
      <c r="AI233" s="4770"/>
      <c r="AJ233" s="4777"/>
      <c r="AK233" s="1059"/>
      <c r="AL233" s="1059"/>
      <c r="AM233" s="2285">
        <f>AN244</f>
        <v>0</v>
      </c>
      <c r="AN233" s="2283" t="s">
        <v>941</v>
      </c>
      <c r="AO233" s="1278"/>
      <c r="AP233" s="1059"/>
      <c r="AQ233" s="1059"/>
      <c r="AR233" s="4766"/>
      <c r="AS233" s="4768"/>
      <c r="AT233" s="4769"/>
      <c r="AU233" s="4769"/>
      <c r="AV233" s="4769"/>
      <c r="AW233" s="4769"/>
      <c r="AX233" s="4770"/>
      <c r="AY233" s="4777"/>
      <c r="AZ233" s="1059"/>
      <c r="BA233" s="1059"/>
      <c r="BB233" s="4766"/>
      <c r="BC233" s="4768"/>
      <c r="BD233" s="4769"/>
      <c r="BE233" s="4769"/>
      <c r="BF233" s="4769"/>
      <c r="BG233" s="4769"/>
      <c r="BH233" s="4770"/>
      <c r="BI233" s="4777"/>
      <c r="BJ233" s="1059"/>
      <c r="BK233" s="1059"/>
      <c r="BL233" s="4766"/>
      <c r="BM233" s="4768"/>
      <c r="BN233" s="4769"/>
      <c r="BO233" s="4769"/>
      <c r="BP233" s="4769"/>
      <c r="BQ233" s="4769"/>
      <c r="BR233" s="4770"/>
      <c r="BS233" s="4777"/>
      <c r="BT233" s="1059"/>
      <c r="BU233" s="1059"/>
      <c r="BV233" s="1059"/>
      <c r="BW233" s="764"/>
      <c r="BX233" s="822"/>
      <c r="BY233" s="822"/>
      <c r="BZ233" s="822"/>
      <c r="CA233" s="822"/>
      <c r="CB233" s="822"/>
      <c r="CC233" s="822"/>
      <c r="CD233" s="822"/>
      <c r="CE233" s="822"/>
      <c r="CF233" s="822"/>
      <c r="CG233" s="822"/>
      <c r="CH233" s="822"/>
      <c r="CI233" s="822"/>
      <c r="CJ233" s="4826" t="str">
        <f>IF(J233=0,"",J233)</f>
        <v/>
      </c>
      <c r="CK233" s="4827"/>
      <c r="CL233" s="4827"/>
      <c r="CM233" s="4827"/>
      <c r="CN233" s="4827"/>
      <c r="CO233" s="4828"/>
      <c r="CP233" s="822"/>
      <c r="CQ233" s="822"/>
      <c r="CR233" s="822"/>
      <c r="CS233" s="822"/>
      <c r="CT233" s="4826" t="str">
        <f>IF(T233=0,"",T233)</f>
        <v/>
      </c>
      <c r="CU233" s="4827"/>
      <c r="CV233" s="4827"/>
      <c r="CW233" s="4827"/>
      <c r="CX233" s="4827"/>
      <c r="CY233" s="4828"/>
      <c r="CZ233" s="822"/>
      <c r="DA233" s="822"/>
      <c r="DB233" s="822"/>
      <c r="DC233" s="822"/>
      <c r="DD233" s="4826" t="str">
        <f>IF(AD233=0,"",AD233)</f>
        <v/>
      </c>
      <c r="DE233" s="4827"/>
      <c r="DF233" s="4827"/>
      <c r="DG233" s="4827"/>
      <c r="DH233" s="4827"/>
      <c r="DI233" s="4828"/>
      <c r="DJ233" s="822"/>
      <c r="DK233" s="822"/>
      <c r="DL233" s="822"/>
      <c r="DM233" s="822"/>
      <c r="DN233" s="822"/>
      <c r="DO233" s="822"/>
      <c r="DP233" s="822"/>
      <c r="DQ233" s="822"/>
      <c r="DR233" s="822"/>
      <c r="DS233" s="4826" t="str">
        <f>IF(AS233=0,"",AS233)</f>
        <v/>
      </c>
      <c r="DT233" s="4827"/>
      <c r="DU233" s="4827"/>
      <c r="DV233" s="4827"/>
      <c r="DW233" s="4827"/>
      <c r="DX233" s="4828"/>
      <c r="DY233" s="822"/>
      <c r="DZ233" s="822"/>
      <c r="EA233" s="822"/>
      <c r="EB233" s="822"/>
      <c r="EC233" s="4826" t="str">
        <f>IF(BC233=0,"",BC233)</f>
        <v/>
      </c>
      <c r="ED233" s="4827"/>
      <c r="EE233" s="4827"/>
      <c r="EF233" s="4827"/>
      <c r="EG233" s="4827"/>
      <c r="EH233" s="4828"/>
      <c r="EI233" s="822"/>
      <c r="EJ233" s="822"/>
      <c r="EK233" s="822"/>
      <c r="EL233" s="822"/>
      <c r="EM233" s="4826" t="str">
        <f>IF(BM233=0,"",BM233)</f>
        <v/>
      </c>
      <c r="EN233" s="4827"/>
      <c r="EO233" s="4827"/>
      <c r="EP233" s="4827"/>
      <c r="EQ233" s="4827"/>
      <c r="ER233" s="4828"/>
    </row>
    <row r="234" spans="3:148" ht="17.100000000000001" customHeight="1" x14ac:dyDescent="0.3">
      <c r="E234" s="762"/>
      <c r="F234" s="1059"/>
      <c r="G234" s="1059"/>
      <c r="H234" s="1059"/>
      <c r="I234" s="4766"/>
      <c r="J234" s="4771"/>
      <c r="K234" s="4772"/>
      <c r="L234" s="4772"/>
      <c r="M234" s="4772"/>
      <c r="N234" s="4772"/>
      <c r="O234" s="4773"/>
      <c r="P234" s="4777"/>
      <c r="Q234" s="1059"/>
      <c r="R234" s="1059"/>
      <c r="S234" s="4766"/>
      <c r="T234" s="4771"/>
      <c r="U234" s="4772"/>
      <c r="V234" s="4772"/>
      <c r="W234" s="4772"/>
      <c r="X234" s="4772"/>
      <c r="Y234" s="4773"/>
      <c r="Z234" s="4777"/>
      <c r="AA234" s="1059"/>
      <c r="AB234" s="1059"/>
      <c r="AC234" s="4766"/>
      <c r="AD234" s="4771"/>
      <c r="AE234" s="4772"/>
      <c r="AF234" s="4772"/>
      <c r="AG234" s="4772"/>
      <c r="AH234" s="4772"/>
      <c r="AI234" s="4773"/>
      <c r="AJ234" s="4777"/>
      <c r="AK234" s="1059"/>
      <c r="AL234" s="1059"/>
      <c r="AM234" s="2285">
        <f>AN244</f>
        <v>0</v>
      </c>
      <c r="AN234" s="2284" t="s">
        <v>144</v>
      </c>
      <c r="AO234" s="1278"/>
      <c r="AP234" s="1059"/>
      <c r="AQ234" s="1059"/>
      <c r="AR234" s="4766"/>
      <c r="AS234" s="4771"/>
      <c r="AT234" s="4772"/>
      <c r="AU234" s="4772"/>
      <c r="AV234" s="4772"/>
      <c r="AW234" s="4772"/>
      <c r="AX234" s="4773"/>
      <c r="AY234" s="4777"/>
      <c r="AZ234" s="1059"/>
      <c r="BA234" s="1059"/>
      <c r="BB234" s="4766"/>
      <c r="BC234" s="4771"/>
      <c r="BD234" s="4772"/>
      <c r="BE234" s="4772"/>
      <c r="BF234" s="4772"/>
      <c r="BG234" s="4772"/>
      <c r="BH234" s="4773"/>
      <c r="BI234" s="4777"/>
      <c r="BJ234" s="1059"/>
      <c r="BK234" s="1059"/>
      <c r="BL234" s="4766"/>
      <c r="BM234" s="4771"/>
      <c r="BN234" s="4772"/>
      <c r="BO234" s="4772"/>
      <c r="BP234" s="4772"/>
      <c r="BQ234" s="4772"/>
      <c r="BR234" s="4773"/>
      <c r="BS234" s="4777"/>
      <c r="BT234" s="1059"/>
      <c r="BU234" s="1059"/>
      <c r="BV234" s="1059"/>
      <c r="BW234" s="764"/>
      <c r="BX234" s="822"/>
      <c r="BY234" s="822"/>
      <c r="BZ234" s="822"/>
      <c r="CA234" s="822"/>
      <c r="CB234" s="822"/>
      <c r="CC234" s="822"/>
      <c r="CD234" s="822"/>
      <c r="CE234" s="822"/>
      <c r="CF234" s="822"/>
      <c r="CG234" s="822"/>
      <c r="CH234" s="822"/>
      <c r="CI234" s="822"/>
      <c r="CJ234" s="4829"/>
      <c r="CK234" s="4830"/>
      <c r="CL234" s="4830"/>
      <c r="CM234" s="4830"/>
      <c r="CN234" s="4830"/>
      <c r="CO234" s="4831"/>
      <c r="CP234" s="822"/>
      <c r="CQ234" s="822"/>
      <c r="CR234" s="822"/>
      <c r="CS234" s="822"/>
      <c r="CT234" s="4829"/>
      <c r="CU234" s="4830"/>
      <c r="CV234" s="4830"/>
      <c r="CW234" s="4830"/>
      <c r="CX234" s="4830"/>
      <c r="CY234" s="4831"/>
      <c r="CZ234" s="822"/>
      <c r="DA234" s="822"/>
      <c r="DB234" s="822"/>
      <c r="DC234" s="822"/>
      <c r="DD234" s="4829"/>
      <c r="DE234" s="4830"/>
      <c r="DF234" s="4830"/>
      <c r="DG234" s="4830"/>
      <c r="DH234" s="4830"/>
      <c r="DI234" s="4831"/>
      <c r="DJ234" s="822"/>
      <c r="DK234" s="822"/>
      <c r="DL234" s="822"/>
      <c r="DM234" s="822"/>
      <c r="DN234" s="822"/>
      <c r="DO234" s="822"/>
      <c r="DP234" s="822"/>
      <c r="DQ234" s="822"/>
      <c r="DR234" s="822"/>
      <c r="DS234" s="4829"/>
      <c r="DT234" s="4830"/>
      <c r="DU234" s="4830"/>
      <c r="DV234" s="4830"/>
      <c r="DW234" s="4830"/>
      <c r="DX234" s="4831"/>
      <c r="DY234" s="822"/>
      <c r="DZ234" s="822"/>
      <c r="EA234" s="822"/>
      <c r="EB234" s="822"/>
      <c r="EC234" s="4829"/>
      <c r="ED234" s="4830"/>
      <c r="EE234" s="4830"/>
      <c r="EF234" s="4830"/>
      <c r="EG234" s="4830"/>
      <c r="EH234" s="4831"/>
      <c r="EI234" s="822"/>
      <c r="EJ234" s="822"/>
      <c r="EK234" s="822"/>
      <c r="EL234" s="822"/>
      <c r="EM234" s="4829"/>
      <c r="EN234" s="4830"/>
      <c r="EO234" s="4830"/>
      <c r="EP234" s="4830"/>
      <c r="EQ234" s="4830"/>
      <c r="ER234" s="4831"/>
    </row>
    <row r="235" spans="3:148" ht="17.100000000000001" customHeight="1" x14ac:dyDescent="0.3">
      <c r="C235" s="1436"/>
      <c r="E235" s="762"/>
      <c r="F235" s="1059"/>
      <c r="G235" s="1059"/>
      <c r="H235" s="1059"/>
      <c r="I235" s="4766"/>
      <c r="J235" s="4774"/>
      <c r="K235" s="4775"/>
      <c r="L235" s="4775"/>
      <c r="M235" s="4775"/>
      <c r="N235" s="4775"/>
      <c r="O235" s="4776"/>
      <c r="P235" s="4777"/>
      <c r="Q235" s="1059"/>
      <c r="R235" s="1059"/>
      <c r="S235" s="4766"/>
      <c r="T235" s="4774"/>
      <c r="U235" s="4775"/>
      <c r="V235" s="4775"/>
      <c r="W235" s="4775"/>
      <c r="X235" s="4775"/>
      <c r="Y235" s="4776"/>
      <c r="Z235" s="4777"/>
      <c r="AA235" s="1059"/>
      <c r="AB235" s="1059"/>
      <c r="AC235" s="4766"/>
      <c r="AD235" s="4774"/>
      <c r="AE235" s="4775"/>
      <c r="AF235" s="4775"/>
      <c r="AG235" s="4775"/>
      <c r="AH235" s="4775"/>
      <c r="AI235" s="4776"/>
      <c r="AJ235" s="4777"/>
      <c r="AK235" s="1059"/>
      <c r="AL235" s="1059"/>
      <c r="AM235" s="2285">
        <f>AN244</f>
        <v>0</v>
      </c>
      <c r="AN235" s="2276" t="s">
        <v>939</v>
      </c>
      <c r="AO235" s="1278"/>
      <c r="AP235" s="1059"/>
      <c r="AQ235" s="1059"/>
      <c r="AR235" s="4766"/>
      <c r="AS235" s="4774"/>
      <c r="AT235" s="4775"/>
      <c r="AU235" s="4775"/>
      <c r="AV235" s="4775"/>
      <c r="AW235" s="4775"/>
      <c r="AX235" s="4776"/>
      <c r="AY235" s="4777"/>
      <c r="AZ235" s="1059"/>
      <c r="BA235" s="1059"/>
      <c r="BB235" s="4766"/>
      <c r="BC235" s="4774"/>
      <c r="BD235" s="4775"/>
      <c r="BE235" s="4775"/>
      <c r="BF235" s="4775"/>
      <c r="BG235" s="4775"/>
      <c r="BH235" s="4776"/>
      <c r="BI235" s="4777"/>
      <c r="BJ235" s="1059"/>
      <c r="BK235" s="1059"/>
      <c r="BL235" s="4766"/>
      <c r="BM235" s="4774"/>
      <c r="BN235" s="4775"/>
      <c r="BO235" s="4775"/>
      <c r="BP235" s="4775"/>
      <c r="BQ235" s="4775"/>
      <c r="BR235" s="4776"/>
      <c r="BS235" s="4777"/>
      <c r="BT235" s="1059"/>
      <c r="BU235" s="1059"/>
      <c r="BV235" s="1059"/>
      <c r="BW235" s="764"/>
      <c r="BX235" s="822"/>
      <c r="BY235" s="822"/>
      <c r="BZ235" s="822"/>
      <c r="CA235" s="822"/>
      <c r="CB235" s="822"/>
      <c r="CC235" s="822"/>
      <c r="CD235" s="822"/>
      <c r="CE235" s="822"/>
      <c r="CF235" s="822"/>
      <c r="CG235" s="822"/>
      <c r="CH235" s="822"/>
      <c r="CI235" s="822"/>
      <c r="CJ235" s="4832"/>
      <c r="CK235" s="4833"/>
      <c r="CL235" s="4833"/>
      <c r="CM235" s="4833"/>
      <c r="CN235" s="4833"/>
      <c r="CO235" s="4834"/>
      <c r="CP235" s="822"/>
      <c r="CQ235" s="822"/>
      <c r="CR235" s="822"/>
      <c r="CS235" s="822"/>
      <c r="CT235" s="4832"/>
      <c r="CU235" s="4833"/>
      <c r="CV235" s="4833"/>
      <c r="CW235" s="4833"/>
      <c r="CX235" s="4833"/>
      <c r="CY235" s="4834"/>
      <c r="CZ235" s="822"/>
      <c r="DA235" s="822"/>
      <c r="DB235" s="822"/>
      <c r="DC235" s="822"/>
      <c r="DD235" s="4832"/>
      <c r="DE235" s="4833"/>
      <c r="DF235" s="4833"/>
      <c r="DG235" s="4833"/>
      <c r="DH235" s="4833"/>
      <c r="DI235" s="4834"/>
      <c r="DJ235" s="822"/>
      <c r="DK235" s="822"/>
      <c r="DL235" s="822"/>
      <c r="DM235" s="822"/>
      <c r="DN235" s="822"/>
      <c r="DO235" s="822"/>
      <c r="DP235" s="822"/>
      <c r="DQ235" s="822"/>
      <c r="DR235" s="822"/>
      <c r="DS235" s="4832"/>
      <c r="DT235" s="4833"/>
      <c r="DU235" s="4833"/>
      <c r="DV235" s="4833"/>
      <c r="DW235" s="4833"/>
      <c r="DX235" s="4834"/>
      <c r="DY235" s="822"/>
      <c r="DZ235" s="822"/>
      <c r="EA235" s="822"/>
      <c r="EB235" s="822"/>
      <c r="EC235" s="4832"/>
      <c r="ED235" s="4833"/>
      <c r="EE235" s="4833"/>
      <c r="EF235" s="4833"/>
      <c r="EG235" s="4833"/>
      <c r="EH235" s="4834"/>
      <c r="EI235" s="822"/>
      <c r="EJ235" s="822"/>
      <c r="EK235" s="822"/>
      <c r="EL235" s="822"/>
      <c r="EM235" s="4832"/>
      <c r="EN235" s="4833"/>
      <c r="EO235" s="4833"/>
      <c r="EP235" s="4833"/>
      <c r="EQ235" s="4833"/>
      <c r="ER235" s="4834"/>
    </row>
    <row r="236" spans="3:148" ht="17.100000000000001" customHeight="1" thickBot="1" x14ac:dyDescent="0.35">
      <c r="C236" s="1436"/>
      <c r="E236" s="762"/>
      <c r="F236" s="1059"/>
      <c r="G236" s="1059"/>
      <c r="H236" s="1059"/>
      <c r="I236" s="4767"/>
      <c r="J236" s="4789" t="s">
        <v>505</v>
      </c>
      <c r="K236" s="4789"/>
      <c r="L236" s="4789"/>
      <c r="M236" s="4789"/>
      <c r="N236" s="4789"/>
      <c r="O236" s="4789"/>
      <c r="P236" s="4778"/>
      <c r="Q236" s="1059"/>
      <c r="R236" s="1059"/>
      <c r="S236" s="4767"/>
      <c r="T236" s="4789" t="s">
        <v>505</v>
      </c>
      <c r="U236" s="4789"/>
      <c r="V236" s="4789"/>
      <c r="W236" s="4789"/>
      <c r="X236" s="4789"/>
      <c r="Y236" s="4789"/>
      <c r="Z236" s="4778"/>
      <c r="AA236" s="1059"/>
      <c r="AB236" s="1059"/>
      <c r="AC236" s="4767"/>
      <c r="AD236" s="4789" t="s">
        <v>505</v>
      </c>
      <c r="AE236" s="4789"/>
      <c r="AF236" s="4789"/>
      <c r="AG236" s="4789"/>
      <c r="AH236" s="4789"/>
      <c r="AI236" s="4789"/>
      <c r="AJ236" s="4778"/>
      <c r="AK236" s="1059"/>
      <c r="AL236" s="1059"/>
      <c r="AM236" s="2285">
        <f>AN244</f>
        <v>0</v>
      </c>
      <c r="AN236" s="2277" t="s">
        <v>942</v>
      </c>
      <c r="AO236" s="1278"/>
      <c r="AP236" s="1059"/>
      <c r="AQ236" s="1059"/>
      <c r="AR236" s="4767"/>
      <c r="AS236" s="4789" t="s">
        <v>505</v>
      </c>
      <c r="AT236" s="4789"/>
      <c r="AU236" s="4789"/>
      <c r="AV236" s="4789"/>
      <c r="AW236" s="4789"/>
      <c r="AX236" s="4789"/>
      <c r="AY236" s="4778"/>
      <c r="AZ236" s="1059"/>
      <c r="BA236" s="1059"/>
      <c r="BB236" s="4767"/>
      <c r="BC236" s="4789" t="s">
        <v>505</v>
      </c>
      <c r="BD236" s="4789"/>
      <c r="BE236" s="4789"/>
      <c r="BF236" s="4789"/>
      <c r="BG236" s="4789"/>
      <c r="BH236" s="4789"/>
      <c r="BI236" s="4778"/>
      <c r="BJ236" s="1059"/>
      <c r="BK236" s="1059"/>
      <c r="BL236" s="4767"/>
      <c r="BM236" s="4789" t="s">
        <v>505</v>
      </c>
      <c r="BN236" s="4789"/>
      <c r="BO236" s="4789"/>
      <c r="BP236" s="4789"/>
      <c r="BQ236" s="4789"/>
      <c r="BR236" s="4789"/>
      <c r="BS236" s="4778"/>
      <c r="BT236" s="1059"/>
      <c r="BU236" s="1059"/>
      <c r="BV236" s="1059"/>
      <c r="BW236" s="764"/>
      <c r="BX236" s="822"/>
      <c r="BY236" s="822"/>
      <c r="BZ236" s="822"/>
      <c r="CA236" s="822"/>
      <c r="CB236" s="822"/>
      <c r="CC236" s="822"/>
      <c r="CD236" s="822"/>
      <c r="CE236" s="822"/>
      <c r="CF236" s="822"/>
      <c r="CG236" s="822"/>
      <c r="CH236" s="822"/>
      <c r="CI236" s="822"/>
      <c r="CQ236" s="822"/>
      <c r="CR236" s="822"/>
      <c r="CS236" s="822"/>
      <c r="CT236" s="822"/>
      <c r="CU236" s="822"/>
      <c r="CV236" s="822"/>
      <c r="CW236" s="822"/>
      <c r="CX236" s="822"/>
      <c r="CY236" s="822"/>
      <c r="CZ236" s="822"/>
      <c r="DA236" s="822"/>
      <c r="DB236" s="822"/>
      <c r="DC236" s="822"/>
      <c r="DD236" s="822"/>
      <c r="DE236" s="822"/>
      <c r="DF236" s="822"/>
      <c r="DG236" s="822"/>
      <c r="DH236" s="822"/>
      <c r="DI236" s="822"/>
      <c r="DJ236" s="822"/>
      <c r="DK236" s="822"/>
      <c r="DL236" s="822"/>
      <c r="DM236" s="822"/>
      <c r="DN236" s="822"/>
      <c r="DO236" s="822"/>
      <c r="DP236" s="822"/>
      <c r="DQ236" s="822"/>
      <c r="DR236" s="822"/>
      <c r="DZ236" s="822"/>
      <c r="EA236" s="822"/>
      <c r="EB236" s="822"/>
      <c r="EC236" s="822"/>
      <c r="ED236" s="822"/>
      <c r="EE236" s="822"/>
      <c r="EF236" s="822"/>
      <c r="EG236" s="822"/>
      <c r="EH236" s="822"/>
      <c r="EI236" s="822"/>
      <c r="EJ236" s="822"/>
      <c r="EK236" s="822"/>
      <c r="EL236" s="822"/>
      <c r="EM236" s="822"/>
      <c r="EN236" s="822"/>
      <c r="EO236" s="822"/>
      <c r="EP236" s="822"/>
      <c r="EQ236" s="822"/>
      <c r="ER236" s="822"/>
    </row>
    <row r="237" spans="3:148" ht="17.100000000000001" customHeight="1" thickTop="1" x14ac:dyDescent="0.3">
      <c r="C237" s="1436"/>
      <c r="E237" s="762"/>
      <c r="F237" s="1059"/>
      <c r="G237" s="1059"/>
      <c r="H237" s="1059"/>
      <c r="I237" s="1059"/>
      <c r="J237" s="1059"/>
      <c r="K237" s="1059"/>
      <c r="L237" s="1059"/>
      <c r="M237" s="1059"/>
      <c r="N237" s="1059"/>
      <c r="O237" s="1059"/>
      <c r="P237" s="1059"/>
      <c r="Q237" s="1059"/>
      <c r="R237" s="1059"/>
      <c r="S237" s="1059"/>
      <c r="T237" s="1059"/>
      <c r="U237" s="1059"/>
      <c r="V237" s="1059"/>
      <c r="W237" s="1059"/>
      <c r="X237" s="1059"/>
      <c r="Y237" s="1059"/>
      <c r="Z237" s="1059"/>
      <c r="AA237" s="1059"/>
      <c r="AB237" s="1059"/>
      <c r="AC237" s="1059"/>
      <c r="AD237" s="1059"/>
      <c r="AE237" s="1059"/>
      <c r="AF237" s="1059"/>
      <c r="AG237" s="1059"/>
      <c r="AH237" s="1059"/>
      <c r="AI237" s="1059"/>
      <c r="AJ237" s="1059"/>
      <c r="AK237" s="1059"/>
      <c r="AL237" s="1059"/>
      <c r="AM237" s="2285">
        <f>AN244</f>
        <v>0</v>
      </c>
      <c r="AN237" s="2278" t="s">
        <v>940</v>
      </c>
      <c r="AO237" s="1278"/>
      <c r="AP237" s="1059"/>
      <c r="AQ237" s="1059"/>
      <c r="AR237" s="1059"/>
      <c r="AS237" s="1059"/>
      <c r="AT237" s="1059"/>
      <c r="AU237" s="1059"/>
      <c r="AV237" s="1059"/>
      <c r="AW237" s="1059"/>
      <c r="AX237" s="1059"/>
      <c r="AY237" s="1059"/>
      <c r="AZ237" s="1059"/>
      <c r="BA237" s="1059"/>
      <c r="BB237" s="1059"/>
      <c r="BC237" s="1059"/>
      <c r="BD237" s="1059"/>
      <c r="BE237" s="1059"/>
      <c r="BF237" s="1059"/>
      <c r="BG237" s="1059"/>
      <c r="BH237" s="1059"/>
      <c r="BI237" s="1059"/>
      <c r="BJ237" s="1059"/>
      <c r="BK237" s="1059"/>
      <c r="BL237" s="1059"/>
      <c r="BM237" s="1059"/>
      <c r="BN237" s="1059"/>
      <c r="BO237" s="1059"/>
      <c r="BP237" s="1059"/>
      <c r="BQ237" s="1059"/>
      <c r="BR237" s="1059"/>
      <c r="BS237" s="1059"/>
      <c r="BT237" s="1059"/>
      <c r="BU237" s="1059"/>
      <c r="BV237" s="1059"/>
      <c r="BW237" s="764"/>
      <c r="BX237" s="822"/>
      <c r="BY237" s="822"/>
      <c r="BZ237" s="822"/>
      <c r="CA237" s="822"/>
      <c r="CB237" s="822"/>
      <c r="CC237" s="822"/>
      <c r="CD237" s="822"/>
      <c r="CE237" s="822"/>
      <c r="CF237" s="822"/>
      <c r="CG237" s="822"/>
      <c r="CH237" s="822"/>
      <c r="CI237" s="822"/>
      <c r="CQ237" s="822"/>
      <c r="CR237" s="822"/>
      <c r="CS237" s="822"/>
      <c r="CT237" s="822"/>
      <c r="CU237" s="822"/>
      <c r="CV237" s="822"/>
      <c r="CW237" s="822"/>
      <c r="CX237" s="822"/>
      <c r="CY237" s="822"/>
      <c r="CZ237" s="822"/>
      <c r="DA237" s="822"/>
      <c r="DB237" s="822"/>
      <c r="DC237" s="822"/>
      <c r="DD237" s="822"/>
      <c r="DE237" s="822"/>
      <c r="DF237" s="822"/>
      <c r="DG237" s="822"/>
      <c r="DH237" s="822"/>
      <c r="DI237" s="822"/>
      <c r="DJ237" s="822"/>
      <c r="DK237" s="822"/>
      <c r="DL237" s="822"/>
      <c r="DM237" s="822"/>
      <c r="DN237" s="822"/>
      <c r="DO237" s="822"/>
      <c r="DP237" s="822"/>
      <c r="DQ237" s="822"/>
      <c r="DR237" s="822"/>
      <c r="DZ237" s="822"/>
      <c r="EA237" s="822"/>
      <c r="EB237" s="822"/>
      <c r="EC237" s="822"/>
      <c r="ED237" s="822"/>
      <c r="EE237" s="822"/>
      <c r="EF237" s="822"/>
      <c r="EG237" s="822"/>
      <c r="EH237" s="822"/>
      <c r="EI237" s="822"/>
      <c r="EJ237" s="822"/>
      <c r="EK237" s="822"/>
      <c r="EL237" s="822"/>
      <c r="EM237" s="822"/>
      <c r="EN237" s="822"/>
      <c r="EO237" s="822"/>
      <c r="EP237" s="822"/>
      <c r="EQ237" s="822"/>
      <c r="ER237" s="822"/>
    </row>
    <row r="238" spans="3:148" ht="17.100000000000001" customHeight="1" thickBot="1" x14ac:dyDescent="0.35">
      <c r="C238" s="1436"/>
      <c r="E238" s="762"/>
      <c r="F238" s="1059"/>
      <c r="G238" s="1059"/>
      <c r="H238" s="1059"/>
      <c r="I238" s="1059"/>
      <c r="J238" s="1059"/>
      <c r="K238" s="1059"/>
      <c r="L238" s="1059"/>
      <c r="M238" s="1059"/>
      <c r="N238" s="1059"/>
      <c r="O238" s="1059"/>
      <c r="P238" s="1059"/>
      <c r="Q238" s="1059"/>
      <c r="R238" s="1059"/>
      <c r="S238" s="1059"/>
      <c r="T238" s="1059"/>
      <c r="U238" s="1059"/>
      <c r="V238" s="1059"/>
      <c r="W238" s="1059"/>
      <c r="X238" s="1059"/>
      <c r="Y238" s="1059"/>
      <c r="Z238" s="1059"/>
      <c r="AA238" s="1059"/>
      <c r="AB238" s="1059"/>
      <c r="AC238" s="1059"/>
      <c r="AD238" s="1059"/>
      <c r="AE238" s="1059"/>
      <c r="AF238" s="1059"/>
      <c r="AG238" s="1059"/>
      <c r="AH238" s="1059"/>
      <c r="AI238" s="1059"/>
      <c r="AJ238" s="1059"/>
      <c r="AK238" s="1059"/>
      <c r="AL238" s="1059"/>
      <c r="AM238" s="2285">
        <f>AN244</f>
        <v>0</v>
      </c>
      <c r="AN238" s="2279" t="s">
        <v>710</v>
      </c>
      <c r="AO238" s="1278"/>
      <c r="AP238" s="1059"/>
      <c r="AQ238" s="1059"/>
      <c r="AR238" s="1059"/>
      <c r="AS238" s="1059"/>
      <c r="AT238" s="1059"/>
      <c r="AU238" s="1059"/>
      <c r="AV238" s="1059"/>
      <c r="AW238" s="1059"/>
      <c r="AX238" s="1059"/>
      <c r="AY238" s="1059"/>
      <c r="AZ238" s="1059"/>
      <c r="BA238" s="1059"/>
      <c r="BB238" s="1059"/>
      <c r="BC238" s="1059"/>
      <c r="BD238" s="1059"/>
      <c r="BE238" s="1059"/>
      <c r="BF238" s="1059"/>
      <c r="BG238" s="1059"/>
      <c r="BH238" s="1059"/>
      <c r="BI238" s="1059"/>
      <c r="BJ238" s="1059"/>
      <c r="BK238" s="1059"/>
      <c r="BL238" s="1059"/>
      <c r="BM238" s="1059"/>
      <c r="BN238" s="1059"/>
      <c r="BO238" s="1059"/>
      <c r="BP238" s="1059"/>
      <c r="BQ238" s="1059"/>
      <c r="BR238" s="1059"/>
      <c r="BS238" s="1059"/>
      <c r="BT238" s="1059"/>
      <c r="BU238" s="1059"/>
      <c r="BV238" s="1059"/>
      <c r="BW238" s="764"/>
      <c r="BX238" s="822"/>
      <c r="BY238" s="822"/>
      <c r="BZ238" s="822"/>
      <c r="CA238" s="822"/>
      <c r="CB238" s="822"/>
      <c r="CC238" s="822"/>
      <c r="CD238" s="822"/>
      <c r="CE238" s="822"/>
      <c r="CF238" s="822"/>
      <c r="CG238" s="822"/>
      <c r="CH238" s="822"/>
      <c r="CI238" s="822"/>
      <c r="CJ238" s="822"/>
      <c r="CK238" s="822"/>
      <c r="CL238" s="822"/>
      <c r="CM238" s="822"/>
      <c r="CN238" s="822"/>
      <c r="CO238" s="822"/>
      <c r="CP238" s="822"/>
      <c r="CQ238" s="822"/>
      <c r="CR238" s="822"/>
      <c r="CS238" s="822"/>
      <c r="CT238" s="822"/>
      <c r="CU238" s="822"/>
      <c r="CV238" s="822"/>
      <c r="CW238" s="822"/>
      <c r="CX238" s="822"/>
      <c r="CY238" s="822"/>
      <c r="CZ238" s="822"/>
      <c r="DA238" s="822"/>
      <c r="DB238" s="822"/>
      <c r="DC238" s="822"/>
      <c r="DD238" s="822"/>
      <c r="DE238" s="822"/>
      <c r="DF238" s="822"/>
      <c r="DG238" s="822"/>
      <c r="DH238" s="822"/>
      <c r="DI238" s="822"/>
      <c r="DJ238" s="822"/>
      <c r="DK238" s="822"/>
      <c r="DL238" s="822"/>
      <c r="DM238" s="822"/>
      <c r="DN238" s="822"/>
      <c r="DO238" s="822"/>
      <c r="DP238" s="822"/>
      <c r="DQ238" s="822"/>
      <c r="DR238" s="822"/>
      <c r="DS238" s="822"/>
      <c r="DT238" s="822"/>
      <c r="DU238" s="822"/>
      <c r="DV238" s="822"/>
      <c r="DW238" s="822"/>
      <c r="DX238" s="822"/>
      <c r="DY238" s="822"/>
      <c r="DZ238" s="822"/>
      <c r="EA238" s="822"/>
      <c r="EB238" s="822"/>
      <c r="EC238" s="822"/>
      <c r="ED238" s="822"/>
      <c r="EE238" s="822"/>
      <c r="EF238" s="822"/>
      <c r="EG238" s="822"/>
      <c r="EH238" s="822"/>
      <c r="EI238" s="822"/>
      <c r="EJ238" s="822"/>
      <c r="EK238" s="822"/>
      <c r="EL238" s="822"/>
      <c r="EM238" s="822"/>
      <c r="EN238" s="822"/>
      <c r="EO238" s="822"/>
      <c r="EP238" s="822"/>
      <c r="EQ238" s="822"/>
      <c r="ER238" s="822"/>
    </row>
    <row r="239" spans="3:148" ht="17.100000000000001" customHeight="1" thickTop="1" x14ac:dyDescent="0.3">
      <c r="C239" s="1436"/>
      <c r="E239" s="762"/>
      <c r="F239" s="1059"/>
      <c r="G239" s="1059"/>
      <c r="H239" s="1059"/>
      <c r="I239" s="4756" t="s">
        <v>72</v>
      </c>
      <c r="J239" s="4757"/>
      <c r="K239" s="4757"/>
      <c r="L239" s="4764" t="s">
        <v>144</v>
      </c>
      <c r="M239" s="4764"/>
      <c r="N239" s="4757" t="s">
        <v>72</v>
      </c>
      <c r="O239" s="4757"/>
      <c r="P239" s="4762"/>
      <c r="Q239" s="1059"/>
      <c r="R239" s="1059"/>
      <c r="S239" s="4756" t="s">
        <v>72</v>
      </c>
      <c r="T239" s="4757"/>
      <c r="U239" s="4757"/>
      <c r="V239" s="4779" t="s">
        <v>144</v>
      </c>
      <c r="W239" s="4779"/>
      <c r="X239" s="4757" t="s">
        <v>72</v>
      </c>
      <c r="Y239" s="4757"/>
      <c r="Z239" s="4762"/>
      <c r="AA239" s="1059"/>
      <c r="AB239" s="1059"/>
      <c r="AC239" s="4756" t="s">
        <v>72</v>
      </c>
      <c r="AD239" s="4757"/>
      <c r="AE239" s="4757"/>
      <c r="AF239" s="4781" t="s">
        <v>144</v>
      </c>
      <c r="AG239" s="4781"/>
      <c r="AH239" s="4757" t="s">
        <v>72</v>
      </c>
      <c r="AI239" s="4757"/>
      <c r="AJ239" s="4762"/>
      <c r="AK239" s="1059"/>
      <c r="AL239" s="1059"/>
      <c r="AM239" s="2285">
        <f>AN244</f>
        <v>0</v>
      </c>
      <c r="AN239" s="2280" t="s">
        <v>941</v>
      </c>
      <c r="AO239" s="1278"/>
      <c r="AP239" s="1059"/>
      <c r="AQ239" s="1059"/>
      <c r="AR239" s="4756" t="s">
        <v>72</v>
      </c>
      <c r="AS239" s="4757"/>
      <c r="AT239" s="4757"/>
      <c r="AU239" s="4781" t="s">
        <v>940</v>
      </c>
      <c r="AV239" s="4781"/>
      <c r="AW239" s="4757" t="s">
        <v>72</v>
      </c>
      <c r="AX239" s="4757"/>
      <c r="AY239" s="4762"/>
      <c r="AZ239" s="1059"/>
      <c r="BA239" s="1059"/>
      <c r="BB239" s="4756" t="s">
        <v>72</v>
      </c>
      <c r="BC239" s="4757"/>
      <c r="BD239" s="4757"/>
      <c r="BE239" s="4779" t="s">
        <v>940</v>
      </c>
      <c r="BF239" s="4779"/>
      <c r="BG239" s="4757" t="s">
        <v>72</v>
      </c>
      <c r="BH239" s="4757"/>
      <c r="BI239" s="4762"/>
      <c r="BJ239" s="1059"/>
      <c r="BK239" s="1059"/>
      <c r="BL239" s="4756" t="s">
        <v>72</v>
      </c>
      <c r="BM239" s="4757"/>
      <c r="BN239" s="4757"/>
      <c r="BO239" s="4764" t="s">
        <v>940</v>
      </c>
      <c r="BP239" s="4764"/>
      <c r="BQ239" s="4757" t="s">
        <v>72</v>
      </c>
      <c r="BR239" s="4757"/>
      <c r="BS239" s="4762"/>
      <c r="BT239" s="1059"/>
      <c r="BU239" s="1059"/>
      <c r="BV239" s="1059"/>
      <c r="BW239" s="764"/>
      <c r="BX239" s="822"/>
      <c r="BY239" s="822"/>
      <c r="BZ239" s="822"/>
      <c r="CA239" s="822"/>
      <c r="CB239" s="822"/>
      <c r="CC239" s="822"/>
      <c r="CD239" s="822"/>
      <c r="CE239" s="822"/>
      <c r="CF239" s="822"/>
      <c r="CG239" s="822"/>
      <c r="CH239" s="822"/>
      <c r="CI239" s="822"/>
      <c r="CJ239" s="822"/>
      <c r="CK239" s="822"/>
      <c r="CL239" s="822"/>
      <c r="CM239" s="822"/>
      <c r="CN239" s="822"/>
      <c r="CO239" s="822"/>
      <c r="CP239" s="822"/>
      <c r="CQ239" s="822"/>
      <c r="CR239" s="822"/>
      <c r="CS239" s="822"/>
      <c r="CT239" s="822"/>
      <c r="CU239" s="822"/>
      <c r="CV239" s="822"/>
      <c r="CW239" s="822"/>
      <c r="CX239" s="822"/>
      <c r="CY239" s="822"/>
      <c r="CZ239" s="822"/>
      <c r="DA239" s="822"/>
      <c r="DB239" s="822"/>
      <c r="DC239" s="822"/>
      <c r="DD239" s="822"/>
      <c r="DE239" s="822"/>
      <c r="DF239" s="822"/>
      <c r="DG239" s="822"/>
      <c r="DH239" s="822"/>
      <c r="DI239" s="822"/>
      <c r="DJ239" s="822"/>
      <c r="DK239" s="822"/>
      <c r="DL239" s="822"/>
      <c r="DM239" s="822"/>
      <c r="DN239" s="822"/>
      <c r="DO239" s="822"/>
      <c r="DP239" s="822"/>
      <c r="DQ239" s="822"/>
      <c r="DR239" s="822"/>
      <c r="DS239" s="822"/>
      <c r="DT239" s="822"/>
      <c r="DU239" s="822"/>
      <c r="DV239" s="822"/>
      <c r="DW239" s="822"/>
      <c r="DX239" s="822"/>
      <c r="DY239" s="822"/>
      <c r="DZ239" s="822"/>
      <c r="EA239" s="822"/>
      <c r="EB239" s="822"/>
      <c r="EC239" s="822"/>
      <c r="ED239" s="822"/>
      <c r="EE239" s="822"/>
      <c r="EF239" s="822"/>
      <c r="EG239" s="822"/>
      <c r="EH239" s="822"/>
      <c r="EI239" s="822"/>
      <c r="EJ239" s="822"/>
      <c r="EK239" s="822"/>
      <c r="EL239" s="822"/>
      <c r="EM239" s="822"/>
      <c r="EN239" s="822"/>
      <c r="EO239" s="822"/>
      <c r="EP239" s="822"/>
      <c r="EQ239" s="822"/>
      <c r="ER239" s="822"/>
    </row>
    <row r="240" spans="3:148" ht="17.100000000000001" customHeight="1" x14ac:dyDescent="0.3">
      <c r="C240" s="1436"/>
      <c r="E240" s="762"/>
      <c r="F240" s="1059"/>
      <c r="G240" s="1059"/>
      <c r="H240" s="1059"/>
      <c r="I240" s="4758"/>
      <c r="J240" s="4759"/>
      <c r="K240" s="4759"/>
      <c r="L240" s="4798"/>
      <c r="M240" s="4798"/>
      <c r="N240" s="4759"/>
      <c r="O240" s="4759"/>
      <c r="P240" s="4763"/>
      <c r="Q240" s="1059"/>
      <c r="R240" s="1059"/>
      <c r="S240" s="4758"/>
      <c r="T240" s="4759"/>
      <c r="U240" s="4759"/>
      <c r="V240" s="4796"/>
      <c r="W240" s="4796"/>
      <c r="X240" s="4759"/>
      <c r="Y240" s="4759"/>
      <c r="Z240" s="4763"/>
      <c r="AA240" s="1059"/>
      <c r="AB240" s="1059"/>
      <c r="AC240" s="4758"/>
      <c r="AD240" s="4759"/>
      <c r="AE240" s="4759"/>
      <c r="AF240" s="4797"/>
      <c r="AG240" s="4797"/>
      <c r="AH240" s="4759"/>
      <c r="AI240" s="4759"/>
      <c r="AJ240" s="4763"/>
      <c r="AK240" s="1059"/>
      <c r="AL240" s="1059"/>
      <c r="AM240" s="2285">
        <f>AN244</f>
        <v>0</v>
      </c>
      <c r="AN240" s="2281" t="s">
        <v>144</v>
      </c>
      <c r="AO240" s="1278"/>
      <c r="AP240" s="1059"/>
      <c r="AQ240" s="1059"/>
      <c r="AR240" s="4758"/>
      <c r="AS240" s="4759"/>
      <c r="AT240" s="4759"/>
      <c r="AU240" s="4797"/>
      <c r="AV240" s="4797"/>
      <c r="AW240" s="4759"/>
      <c r="AX240" s="4759"/>
      <c r="AY240" s="4763"/>
      <c r="AZ240" s="1059"/>
      <c r="BA240" s="1059"/>
      <c r="BB240" s="4758"/>
      <c r="BC240" s="4759"/>
      <c r="BD240" s="4759"/>
      <c r="BE240" s="4796"/>
      <c r="BF240" s="4796"/>
      <c r="BG240" s="4759"/>
      <c r="BH240" s="4759"/>
      <c r="BI240" s="4763"/>
      <c r="BJ240" s="1059"/>
      <c r="BK240" s="1059"/>
      <c r="BL240" s="4758"/>
      <c r="BM240" s="4759"/>
      <c r="BN240" s="4759"/>
      <c r="BO240" s="4798"/>
      <c r="BP240" s="4798"/>
      <c r="BQ240" s="4759"/>
      <c r="BR240" s="4759"/>
      <c r="BS240" s="4763"/>
      <c r="BT240" s="1059"/>
      <c r="BU240" s="1059"/>
      <c r="BV240" s="1059"/>
      <c r="BW240" s="764"/>
      <c r="BX240" s="822"/>
      <c r="BY240" s="822"/>
      <c r="BZ240" s="822"/>
      <c r="CA240" s="822"/>
      <c r="CB240" s="822"/>
      <c r="CC240" s="822"/>
      <c r="CD240" s="822"/>
      <c r="CE240" s="822"/>
      <c r="CF240" s="822"/>
      <c r="CG240" s="822"/>
      <c r="CH240" s="822"/>
      <c r="CI240" s="822"/>
      <c r="CJ240" s="822"/>
      <c r="CK240" s="822"/>
      <c r="CL240" s="822"/>
      <c r="CM240" s="822"/>
      <c r="CN240" s="822"/>
      <c r="CO240" s="822"/>
      <c r="CP240" s="822"/>
      <c r="CQ240" s="822"/>
      <c r="CR240" s="822"/>
      <c r="CS240" s="822"/>
      <c r="CT240" s="822"/>
      <c r="CU240" s="822"/>
      <c r="CV240" s="822"/>
      <c r="CW240" s="822"/>
      <c r="CX240" s="822"/>
      <c r="CY240" s="822"/>
      <c r="CZ240" s="822"/>
      <c r="DA240" s="822"/>
      <c r="DB240" s="822"/>
      <c r="DC240" s="822"/>
      <c r="DD240" s="822"/>
      <c r="DE240" s="822"/>
      <c r="DF240" s="822"/>
      <c r="DG240" s="822"/>
      <c r="DH240" s="822"/>
      <c r="DI240" s="822"/>
      <c r="DJ240" s="822"/>
      <c r="DK240" s="822"/>
      <c r="DL240" s="822"/>
      <c r="DM240" s="822"/>
      <c r="DN240" s="822"/>
      <c r="DO240" s="822"/>
      <c r="DP240" s="822"/>
      <c r="DQ240" s="822"/>
      <c r="DR240" s="822"/>
      <c r="DS240" s="822"/>
      <c r="DT240" s="822"/>
      <c r="DU240" s="822"/>
      <c r="DV240" s="822"/>
      <c r="DW240" s="822"/>
      <c r="DX240" s="822"/>
      <c r="DY240" s="822"/>
      <c r="DZ240" s="822"/>
      <c r="EA240" s="822"/>
      <c r="EB240" s="822"/>
      <c r="EC240" s="822"/>
      <c r="ED240" s="822"/>
      <c r="EE240" s="822"/>
      <c r="EF240" s="822"/>
      <c r="EG240" s="822"/>
      <c r="EH240" s="822"/>
      <c r="EI240" s="822"/>
      <c r="EJ240" s="822"/>
      <c r="EK240" s="822"/>
      <c r="EL240" s="822"/>
      <c r="EM240" s="822"/>
      <c r="EN240" s="822"/>
      <c r="EO240" s="822"/>
      <c r="EP240" s="822"/>
      <c r="EQ240" s="822"/>
      <c r="ER240" s="822"/>
    </row>
    <row r="241" spans="5:148" ht="17.100000000000001" customHeight="1" x14ac:dyDescent="0.3">
      <c r="E241" s="762"/>
      <c r="F241" s="1059"/>
      <c r="G241" s="1059"/>
      <c r="H241" s="1059"/>
      <c r="I241" s="4766"/>
      <c r="J241" s="4768"/>
      <c r="K241" s="4769"/>
      <c r="L241" s="4769"/>
      <c r="M241" s="4769"/>
      <c r="N241" s="4769"/>
      <c r="O241" s="4770"/>
      <c r="P241" s="4777"/>
      <c r="Q241" s="1059"/>
      <c r="R241" s="1059"/>
      <c r="S241" s="4766"/>
      <c r="T241" s="4768"/>
      <c r="U241" s="4769"/>
      <c r="V241" s="4769"/>
      <c r="W241" s="4769"/>
      <c r="X241" s="4769"/>
      <c r="Y241" s="4770"/>
      <c r="Z241" s="4777"/>
      <c r="AA241" s="1059"/>
      <c r="AB241" s="1059"/>
      <c r="AC241" s="4766"/>
      <c r="AD241" s="4768"/>
      <c r="AE241" s="4769"/>
      <c r="AF241" s="4769"/>
      <c r="AG241" s="4769"/>
      <c r="AH241" s="4769"/>
      <c r="AI241" s="4770"/>
      <c r="AJ241" s="4777"/>
      <c r="AK241" s="1059"/>
      <c r="AL241" s="1059"/>
      <c r="AM241" s="2285">
        <f>AN244</f>
        <v>0</v>
      </c>
      <c r="AN241" s="2282" t="s">
        <v>939</v>
      </c>
      <c r="AO241" s="1278"/>
      <c r="AP241" s="1059"/>
      <c r="AQ241" s="1059"/>
      <c r="AR241" s="4766"/>
      <c r="AS241" s="4768"/>
      <c r="AT241" s="4769"/>
      <c r="AU241" s="4769"/>
      <c r="AV241" s="4769"/>
      <c r="AW241" s="4769"/>
      <c r="AX241" s="4770"/>
      <c r="AY241" s="4777"/>
      <c r="AZ241" s="1059"/>
      <c r="BA241" s="1059"/>
      <c r="BB241" s="4766"/>
      <c r="BC241" s="4768"/>
      <c r="BD241" s="4769"/>
      <c r="BE241" s="4769"/>
      <c r="BF241" s="4769"/>
      <c r="BG241" s="4769"/>
      <c r="BH241" s="4770"/>
      <c r="BI241" s="4777"/>
      <c r="BJ241" s="1059"/>
      <c r="BK241" s="1059"/>
      <c r="BL241" s="4766"/>
      <c r="BM241" s="4768"/>
      <c r="BN241" s="4769"/>
      <c r="BO241" s="4769"/>
      <c r="BP241" s="4769"/>
      <c r="BQ241" s="4769"/>
      <c r="BR241" s="4770"/>
      <c r="BS241" s="4777"/>
      <c r="BT241" s="1059"/>
      <c r="BU241" s="1059"/>
      <c r="BV241" s="1059"/>
      <c r="BW241" s="764"/>
      <c r="BX241" s="822"/>
      <c r="BY241" s="822"/>
      <c r="BZ241" s="822"/>
      <c r="CA241" s="822"/>
      <c r="CB241" s="822"/>
      <c r="CC241" s="822"/>
      <c r="CD241" s="822"/>
      <c r="CE241" s="822"/>
      <c r="CF241" s="822"/>
      <c r="CG241" s="822"/>
      <c r="CH241" s="822"/>
      <c r="CI241" s="822"/>
      <c r="CJ241" s="4826" t="str">
        <f>IF(J241=0,"",J241)</f>
        <v/>
      </c>
      <c r="CK241" s="4827"/>
      <c r="CL241" s="4827"/>
      <c r="CM241" s="4827"/>
      <c r="CN241" s="4827"/>
      <c r="CO241" s="4828"/>
      <c r="CP241" s="822"/>
      <c r="CQ241" s="822"/>
      <c r="CR241" s="822"/>
      <c r="CS241" s="822"/>
      <c r="CT241" s="4826" t="str">
        <f>IF(T241=0,"",T241)</f>
        <v/>
      </c>
      <c r="CU241" s="4827"/>
      <c r="CV241" s="4827"/>
      <c r="CW241" s="4827"/>
      <c r="CX241" s="4827"/>
      <c r="CY241" s="4828"/>
      <c r="CZ241" s="822"/>
      <c r="DA241" s="822"/>
      <c r="DB241" s="822"/>
      <c r="DC241" s="822"/>
      <c r="DD241" s="4826" t="str">
        <f>IF(AD241=0,"",AD241)</f>
        <v/>
      </c>
      <c r="DE241" s="4827"/>
      <c r="DF241" s="4827"/>
      <c r="DG241" s="4827"/>
      <c r="DH241" s="4827"/>
      <c r="DI241" s="4828"/>
      <c r="DJ241" s="822"/>
      <c r="DK241" s="822"/>
      <c r="DL241" s="822"/>
      <c r="DM241" s="822"/>
      <c r="DN241" s="822"/>
      <c r="DO241" s="822"/>
      <c r="DP241" s="822"/>
      <c r="DQ241" s="822"/>
      <c r="DR241" s="822"/>
      <c r="DS241" s="4826" t="str">
        <f>IF(AS241=0,"",AS241)</f>
        <v/>
      </c>
      <c r="DT241" s="4827"/>
      <c r="DU241" s="4827"/>
      <c r="DV241" s="4827"/>
      <c r="DW241" s="4827"/>
      <c r="DX241" s="4828"/>
      <c r="DY241" s="822"/>
      <c r="DZ241" s="822"/>
      <c r="EA241" s="822"/>
      <c r="EB241" s="822"/>
      <c r="EC241" s="4826" t="str">
        <f>IF(BC241=0,"",BC241)</f>
        <v/>
      </c>
      <c r="ED241" s="4827"/>
      <c r="EE241" s="4827"/>
      <c r="EF241" s="4827"/>
      <c r="EG241" s="4827"/>
      <c r="EH241" s="4828"/>
      <c r="EI241" s="822"/>
      <c r="EJ241" s="822"/>
      <c r="EK241" s="822"/>
      <c r="EL241" s="822"/>
      <c r="EM241" s="4826" t="str">
        <f>IF(BM241=0,"",BM241)</f>
        <v/>
      </c>
      <c r="EN241" s="4827"/>
      <c r="EO241" s="4827"/>
      <c r="EP241" s="4827"/>
      <c r="EQ241" s="4827"/>
      <c r="ER241" s="4828"/>
    </row>
    <row r="242" spans="5:148" ht="17.100000000000001" customHeight="1" x14ac:dyDescent="0.3">
      <c r="E242" s="762"/>
      <c r="F242" s="1059"/>
      <c r="G242" s="1059"/>
      <c r="H242" s="1059"/>
      <c r="I242" s="4766"/>
      <c r="J242" s="4771"/>
      <c r="K242" s="4772"/>
      <c r="L242" s="4772"/>
      <c r="M242" s="4772"/>
      <c r="N242" s="4772"/>
      <c r="O242" s="4773"/>
      <c r="P242" s="4777"/>
      <c r="Q242" s="1059"/>
      <c r="R242" s="1059"/>
      <c r="S242" s="4766"/>
      <c r="T242" s="4771"/>
      <c r="U242" s="4772"/>
      <c r="V242" s="4772"/>
      <c r="W242" s="4772"/>
      <c r="X242" s="4772"/>
      <c r="Y242" s="4773"/>
      <c r="Z242" s="4777"/>
      <c r="AA242" s="1059"/>
      <c r="AB242" s="1059"/>
      <c r="AC242" s="4766"/>
      <c r="AD242" s="4771"/>
      <c r="AE242" s="4772"/>
      <c r="AF242" s="4772"/>
      <c r="AG242" s="4772"/>
      <c r="AH242" s="4772"/>
      <c r="AI242" s="4773"/>
      <c r="AJ242" s="4777"/>
      <c r="AK242" s="1059"/>
      <c r="AL242" s="1059"/>
      <c r="AM242" s="2285">
        <f>AN244</f>
        <v>0</v>
      </c>
      <c r="AN242" s="2283" t="s">
        <v>942</v>
      </c>
      <c r="AO242" s="1278"/>
      <c r="AP242" s="1059"/>
      <c r="AQ242" s="1059"/>
      <c r="AR242" s="4766"/>
      <c r="AS242" s="4771"/>
      <c r="AT242" s="4772"/>
      <c r="AU242" s="4772"/>
      <c r="AV242" s="4772"/>
      <c r="AW242" s="4772"/>
      <c r="AX242" s="4773"/>
      <c r="AY242" s="4777"/>
      <c r="AZ242" s="1059"/>
      <c r="BA242" s="1059"/>
      <c r="BB242" s="4766"/>
      <c r="BC242" s="4771"/>
      <c r="BD242" s="4772"/>
      <c r="BE242" s="4772"/>
      <c r="BF242" s="4772"/>
      <c r="BG242" s="4772"/>
      <c r="BH242" s="4773"/>
      <c r="BI242" s="4777"/>
      <c r="BJ242" s="1059"/>
      <c r="BK242" s="1059"/>
      <c r="BL242" s="4766"/>
      <c r="BM242" s="4771"/>
      <c r="BN242" s="4772"/>
      <c r="BO242" s="4772"/>
      <c r="BP242" s="4772"/>
      <c r="BQ242" s="4772"/>
      <c r="BR242" s="4773"/>
      <c r="BS242" s="4777"/>
      <c r="BT242" s="1059"/>
      <c r="BU242" s="1059"/>
      <c r="BV242" s="1059"/>
      <c r="BW242" s="764"/>
      <c r="BX242" s="822"/>
      <c r="BY242" s="822"/>
      <c r="BZ242" s="822"/>
      <c r="CA242" s="822"/>
      <c r="CB242" s="822"/>
      <c r="CC242" s="822"/>
      <c r="CD242" s="822"/>
      <c r="CE242" s="822"/>
      <c r="CF242" s="822"/>
      <c r="CG242" s="822"/>
      <c r="CH242" s="822"/>
      <c r="CI242" s="822"/>
      <c r="CJ242" s="4829"/>
      <c r="CK242" s="4830"/>
      <c r="CL242" s="4830"/>
      <c r="CM242" s="4830"/>
      <c r="CN242" s="4830"/>
      <c r="CO242" s="4831"/>
      <c r="CP242" s="822"/>
      <c r="CQ242" s="822"/>
      <c r="CR242" s="822"/>
      <c r="CS242" s="822"/>
      <c r="CT242" s="4829"/>
      <c r="CU242" s="4830"/>
      <c r="CV242" s="4830"/>
      <c r="CW242" s="4830"/>
      <c r="CX242" s="4830"/>
      <c r="CY242" s="4831"/>
      <c r="CZ242" s="822"/>
      <c r="DA242" s="822"/>
      <c r="DB242" s="822"/>
      <c r="DC242" s="822"/>
      <c r="DD242" s="4829"/>
      <c r="DE242" s="4830"/>
      <c r="DF242" s="4830"/>
      <c r="DG242" s="4830"/>
      <c r="DH242" s="4830"/>
      <c r="DI242" s="4831"/>
      <c r="DJ242" s="822"/>
      <c r="DK242" s="822"/>
      <c r="DL242" s="822"/>
      <c r="DM242" s="822"/>
      <c r="DN242" s="822"/>
      <c r="DO242" s="822"/>
      <c r="DP242" s="822"/>
      <c r="DQ242" s="822"/>
      <c r="DR242" s="822"/>
      <c r="DS242" s="4829"/>
      <c r="DT242" s="4830"/>
      <c r="DU242" s="4830"/>
      <c r="DV242" s="4830"/>
      <c r="DW242" s="4830"/>
      <c r="DX242" s="4831"/>
      <c r="DY242" s="822"/>
      <c r="DZ242" s="822"/>
      <c r="EA242" s="822"/>
      <c r="EB242" s="822"/>
      <c r="EC242" s="4829"/>
      <c r="ED242" s="4830"/>
      <c r="EE242" s="4830"/>
      <c r="EF242" s="4830"/>
      <c r="EG242" s="4830"/>
      <c r="EH242" s="4831"/>
      <c r="EI242" s="822"/>
      <c r="EJ242" s="822"/>
      <c r="EK242" s="822"/>
      <c r="EL242" s="822"/>
      <c r="EM242" s="4829"/>
      <c r="EN242" s="4830"/>
      <c r="EO242" s="4830"/>
      <c r="EP242" s="4830"/>
      <c r="EQ242" s="4830"/>
      <c r="ER242" s="4831"/>
    </row>
    <row r="243" spans="5:148" ht="17.100000000000001" customHeight="1" x14ac:dyDescent="0.3">
      <c r="E243" s="762"/>
      <c r="F243" s="1059"/>
      <c r="G243" s="1059"/>
      <c r="H243" s="1059"/>
      <c r="I243" s="4766"/>
      <c r="J243" s="4774"/>
      <c r="K243" s="4775"/>
      <c r="L243" s="4775"/>
      <c r="M243" s="4775"/>
      <c r="N243" s="4775"/>
      <c r="O243" s="4776"/>
      <c r="P243" s="4777"/>
      <c r="Q243" s="1059"/>
      <c r="R243" s="1059"/>
      <c r="S243" s="4766"/>
      <c r="T243" s="4774"/>
      <c r="U243" s="4775"/>
      <c r="V243" s="4775"/>
      <c r="W243" s="4775"/>
      <c r="X243" s="4775"/>
      <c r="Y243" s="4776"/>
      <c r="Z243" s="4777"/>
      <c r="AA243" s="1059"/>
      <c r="AB243" s="1059"/>
      <c r="AC243" s="4766"/>
      <c r="AD243" s="4774"/>
      <c r="AE243" s="4775"/>
      <c r="AF243" s="4775"/>
      <c r="AG243" s="4775"/>
      <c r="AH243" s="4775"/>
      <c r="AI243" s="4776"/>
      <c r="AJ243" s="4777"/>
      <c r="AK243" s="1059"/>
      <c r="AL243" s="1059"/>
      <c r="AM243" s="2285">
        <f>AN244</f>
        <v>0</v>
      </c>
      <c r="AN243" s="2284" t="s">
        <v>940</v>
      </c>
      <c r="AO243" s="1278"/>
      <c r="AP243" s="1059"/>
      <c r="AQ243" s="1059"/>
      <c r="AR243" s="4766"/>
      <c r="AS243" s="4774"/>
      <c r="AT243" s="4775"/>
      <c r="AU243" s="4775"/>
      <c r="AV243" s="4775"/>
      <c r="AW243" s="4775"/>
      <c r="AX243" s="4776"/>
      <c r="AY243" s="4777"/>
      <c r="AZ243" s="1059"/>
      <c r="BA243" s="1059"/>
      <c r="BB243" s="4766"/>
      <c r="BC243" s="4774"/>
      <c r="BD243" s="4775"/>
      <c r="BE243" s="4775"/>
      <c r="BF243" s="4775"/>
      <c r="BG243" s="4775"/>
      <c r="BH243" s="4776"/>
      <c r="BI243" s="4777"/>
      <c r="BJ243" s="1059"/>
      <c r="BK243" s="1059"/>
      <c r="BL243" s="4766"/>
      <c r="BM243" s="4774"/>
      <c r="BN243" s="4775"/>
      <c r="BO243" s="4775"/>
      <c r="BP243" s="4775"/>
      <c r="BQ243" s="4775"/>
      <c r="BR243" s="4776"/>
      <c r="BS243" s="4777"/>
      <c r="BT243" s="1059"/>
      <c r="BU243" s="1059"/>
      <c r="BV243" s="1059"/>
      <c r="BW243" s="764"/>
      <c r="BX243" s="822"/>
      <c r="BY243" s="822"/>
      <c r="BZ243" s="822"/>
      <c r="CA243" s="822"/>
      <c r="CB243" s="822"/>
      <c r="CC243" s="822"/>
      <c r="CD243" s="822"/>
      <c r="CE243" s="822"/>
      <c r="CF243" s="822"/>
      <c r="CG243" s="822"/>
      <c r="CH243" s="822"/>
      <c r="CI243" s="822"/>
      <c r="CJ243" s="4832"/>
      <c r="CK243" s="4833"/>
      <c r="CL243" s="4833"/>
      <c r="CM243" s="4833"/>
      <c r="CN243" s="4833"/>
      <c r="CO243" s="4834"/>
      <c r="CP243" s="822"/>
      <c r="CQ243" s="822"/>
      <c r="CR243" s="822"/>
      <c r="CS243" s="822"/>
      <c r="CT243" s="4832"/>
      <c r="CU243" s="4833"/>
      <c r="CV243" s="4833"/>
      <c r="CW243" s="4833"/>
      <c r="CX243" s="4833"/>
      <c r="CY243" s="4834"/>
      <c r="CZ243" s="822"/>
      <c r="DA243" s="822"/>
      <c r="DB243" s="822"/>
      <c r="DC243" s="822"/>
      <c r="DD243" s="4832"/>
      <c r="DE243" s="4833"/>
      <c r="DF243" s="4833"/>
      <c r="DG243" s="4833"/>
      <c r="DH243" s="4833"/>
      <c r="DI243" s="4834"/>
      <c r="DJ243" s="822"/>
      <c r="DK243" s="822"/>
      <c r="DL243" s="822"/>
      <c r="DM243" s="822"/>
      <c r="DN243" s="822"/>
      <c r="DO243" s="822"/>
      <c r="DP243" s="822"/>
      <c r="DQ243" s="822"/>
      <c r="DR243" s="822"/>
      <c r="DS243" s="4832"/>
      <c r="DT243" s="4833"/>
      <c r="DU243" s="4833"/>
      <c r="DV243" s="4833"/>
      <c r="DW243" s="4833"/>
      <c r="DX243" s="4834"/>
      <c r="DY243" s="822"/>
      <c r="DZ243" s="822"/>
      <c r="EA243" s="822"/>
      <c r="EB243" s="822"/>
      <c r="EC243" s="4832"/>
      <c r="ED243" s="4833"/>
      <c r="EE243" s="4833"/>
      <c r="EF243" s="4833"/>
      <c r="EG243" s="4833"/>
      <c r="EH243" s="4834"/>
      <c r="EI243" s="822"/>
      <c r="EJ243" s="822"/>
      <c r="EK243" s="822"/>
      <c r="EL243" s="822"/>
      <c r="EM243" s="4832"/>
      <c r="EN243" s="4833"/>
      <c r="EO243" s="4833"/>
      <c r="EP243" s="4833"/>
      <c r="EQ243" s="4833"/>
      <c r="ER243" s="4834"/>
    </row>
    <row r="244" spans="5:148" ht="17.100000000000001" customHeight="1" thickBot="1" x14ac:dyDescent="0.35">
      <c r="E244" s="762"/>
      <c r="F244" s="1059"/>
      <c r="G244" s="1059"/>
      <c r="H244" s="1059"/>
      <c r="I244" s="4767"/>
      <c r="J244" s="4789" t="s">
        <v>505</v>
      </c>
      <c r="K244" s="4789"/>
      <c r="L244" s="4789"/>
      <c r="M244" s="4789"/>
      <c r="N244" s="4789"/>
      <c r="O244" s="4789"/>
      <c r="P244" s="4778"/>
      <c r="Q244" s="1059"/>
      <c r="R244" s="1059"/>
      <c r="S244" s="4767"/>
      <c r="T244" s="4789" t="s">
        <v>505</v>
      </c>
      <c r="U244" s="4789"/>
      <c r="V244" s="4789"/>
      <c r="W244" s="4789"/>
      <c r="X244" s="4789"/>
      <c r="Y244" s="4789"/>
      <c r="Z244" s="4778"/>
      <c r="AA244" s="1059"/>
      <c r="AB244" s="1059"/>
      <c r="AC244" s="4767"/>
      <c r="AD244" s="4789" t="s">
        <v>505</v>
      </c>
      <c r="AE244" s="4789"/>
      <c r="AF244" s="4789"/>
      <c r="AG244" s="4789"/>
      <c r="AH244" s="4789"/>
      <c r="AI244" s="4789"/>
      <c r="AJ244" s="4778"/>
      <c r="AK244" s="1059"/>
      <c r="AL244" s="1059"/>
      <c r="AM244" s="1277"/>
      <c r="AN244" s="1279">
        <f>IF(COUNTA(J225,T225,AD225,J233,T233,AD233,J241,T241,AD241,AS225,BC225,BM225,AS233,BC233,BM233,AS241,BC241,BM241)=18,1,0)</f>
        <v>0</v>
      </c>
      <c r="AO244" s="1279"/>
      <c r="AP244" s="1059"/>
      <c r="AQ244" s="1059"/>
      <c r="AR244" s="4767"/>
      <c r="AS244" s="4789" t="s">
        <v>505</v>
      </c>
      <c r="AT244" s="4789"/>
      <c r="AU244" s="4789"/>
      <c r="AV244" s="4789"/>
      <c r="AW244" s="4789"/>
      <c r="AX244" s="4789"/>
      <c r="AY244" s="4778"/>
      <c r="AZ244" s="1059"/>
      <c r="BA244" s="1059"/>
      <c r="BB244" s="4767"/>
      <c r="BC244" s="4789" t="s">
        <v>505</v>
      </c>
      <c r="BD244" s="4789"/>
      <c r="BE244" s="4789"/>
      <c r="BF244" s="4789"/>
      <c r="BG244" s="4789"/>
      <c r="BH244" s="4789"/>
      <c r="BI244" s="4778"/>
      <c r="BJ244" s="1059"/>
      <c r="BK244" s="1059"/>
      <c r="BL244" s="4767"/>
      <c r="BM244" s="4789" t="s">
        <v>505</v>
      </c>
      <c r="BN244" s="4789"/>
      <c r="BO244" s="4789"/>
      <c r="BP244" s="4789"/>
      <c r="BQ244" s="4789"/>
      <c r="BR244" s="4789"/>
      <c r="BS244" s="4778"/>
      <c r="BT244" s="1059"/>
      <c r="BU244" s="1059"/>
      <c r="BV244" s="1059"/>
      <c r="BW244" s="764"/>
      <c r="BX244" s="822"/>
      <c r="BY244" s="822"/>
      <c r="BZ244" s="822"/>
      <c r="CA244" s="822"/>
      <c r="CB244" s="822"/>
      <c r="CC244" s="822"/>
      <c r="CD244" s="822"/>
      <c r="CE244" s="822"/>
      <c r="CF244" s="822"/>
      <c r="CG244" s="822"/>
      <c r="CH244" s="822"/>
      <c r="CI244" s="822"/>
      <c r="CJ244" s="822"/>
      <c r="CK244" s="822"/>
      <c r="CL244" s="822"/>
      <c r="CM244" s="822"/>
      <c r="CN244" s="822"/>
      <c r="CO244" s="822"/>
      <c r="CP244" s="822"/>
      <c r="CQ244" s="822"/>
      <c r="CR244" s="822"/>
      <c r="CS244" s="822"/>
      <c r="CT244" s="822"/>
      <c r="CU244" s="822"/>
      <c r="CV244" s="822"/>
      <c r="CW244" s="822"/>
      <c r="CX244" s="822"/>
      <c r="CY244" s="822"/>
      <c r="CZ244" s="822"/>
      <c r="DA244" s="822"/>
      <c r="DB244" s="822"/>
      <c r="DC244" s="822"/>
      <c r="DD244" s="822"/>
      <c r="DE244" s="822"/>
      <c r="DF244" s="822"/>
      <c r="DG244" s="822"/>
      <c r="DH244" s="822"/>
      <c r="DI244" s="822"/>
      <c r="DJ244" s="822"/>
      <c r="DK244" s="822"/>
      <c r="DL244" s="822"/>
      <c r="DM244" s="822"/>
      <c r="DN244" s="822"/>
      <c r="DO244" s="822"/>
      <c r="DP244" s="822"/>
      <c r="DQ244" s="822"/>
      <c r="DR244" s="822"/>
      <c r="DS244" s="822"/>
      <c r="DT244" s="822"/>
      <c r="DU244" s="822"/>
      <c r="DV244" s="822"/>
      <c r="DW244" s="822"/>
      <c r="DX244" s="822"/>
      <c r="DY244" s="822"/>
    </row>
    <row r="245" spans="5:148" ht="17.100000000000001" customHeight="1" thickTop="1" x14ac:dyDescent="0.3">
      <c r="E245" s="762"/>
      <c r="F245" s="1170"/>
      <c r="G245" s="1059"/>
      <c r="H245" s="1059"/>
      <c r="I245" s="1059"/>
      <c r="J245" s="1059"/>
      <c r="K245" s="1059"/>
      <c r="L245" s="1059"/>
      <c r="M245" s="1059"/>
      <c r="N245" s="1059"/>
      <c r="O245" s="1059"/>
      <c r="P245" s="1059"/>
      <c r="Q245" s="1059"/>
      <c r="R245" s="1059"/>
      <c r="S245" s="1059"/>
      <c r="T245" s="1059"/>
      <c r="U245" s="1059"/>
      <c r="V245" s="1059"/>
      <c r="W245" s="1059"/>
      <c r="X245" s="1059"/>
      <c r="Y245" s="1059"/>
      <c r="Z245" s="1059"/>
      <c r="AA245" s="1059"/>
      <c r="AB245" s="1059"/>
      <c r="AC245" s="1059"/>
      <c r="AD245" s="1059"/>
      <c r="AE245" s="1059"/>
      <c r="AF245" s="1059"/>
      <c r="AG245" s="1059"/>
      <c r="AH245" s="1059"/>
      <c r="AI245" s="1059"/>
      <c r="AJ245" s="1059"/>
      <c r="AK245" s="1059"/>
      <c r="AL245" s="1059"/>
      <c r="AM245" s="1059"/>
      <c r="AN245" s="1059"/>
      <c r="AO245" s="1059"/>
      <c r="AP245" s="1264"/>
      <c r="AQ245" s="1059"/>
      <c r="AR245" s="1059"/>
      <c r="AS245" s="1059"/>
      <c r="AT245" s="1059"/>
      <c r="AU245" s="1059"/>
      <c r="AV245" s="1059"/>
      <c r="AW245" s="1059"/>
      <c r="AX245" s="1059"/>
      <c r="AY245" s="1059"/>
      <c r="AZ245" s="1059"/>
      <c r="BA245" s="1059"/>
      <c r="BB245" s="1059"/>
      <c r="BC245" s="1059"/>
      <c r="BD245" s="1059"/>
      <c r="BE245" s="1059"/>
      <c r="BF245" s="1059"/>
      <c r="BG245" s="1059"/>
      <c r="BH245" s="1059"/>
      <c r="BI245" s="1059"/>
      <c r="BJ245" s="1059"/>
      <c r="BK245" s="1059"/>
      <c r="BL245" s="1059"/>
      <c r="BM245" s="1059"/>
      <c r="BN245" s="1059"/>
      <c r="BO245" s="1059"/>
      <c r="BP245" s="1059"/>
      <c r="BQ245" s="1059"/>
      <c r="BR245" s="1059"/>
      <c r="BS245" s="1059"/>
      <c r="BT245" s="1059"/>
      <c r="BU245" s="1059"/>
      <c r="BV245" s="1169"/>
      <c r="BW245" s="764"/>
      <c r="BX245" s="822"/>
      <c r="BY245" s="822"/>
      <c r="BZ245" s="822"/>
      <c r="CA245" s="822"/>
      <c r="CB245" s="822"/>
      <c r="CC245" s="822"/>
      <c r="CD245" s="822"/>
      <c r="CE245" s="822"/>
      <c r="CF245" s="822"/>
      <c r="CG245" s="822"/>
      <c r="CH245" s="822"/>
      <c r="CI245" s="822"/>
    </row>
    <row r="246" spans="5:148" ht="17.100000000000001" customHeight="1" thickBot="1" x14ac:dyDescent="0.35">
      <c r="E246" s="783"/>
      <c r="F246" s="784"/>
      <c r="G246" s="1059"/>
      <c r="H246" s="1059"/>
      <c r="I246" s="1059"/>
      <c r="J246" s="1059"/>
      <c r="K246" s="1059"/>
      <c r="L246" s="1059"/>
      <c r="M246" s="1059"/>
      <c r="N246" s="1059"/>
      <c r="O246" s="1059"/>
      <c r="P246" s="1059"/>
      <c r="Q246" s="1059"/>
      <c r="R246" s="1059"/>
      <c r="S246" s="1059"/>
      <c r="T246" s="1059"/>
      <c r="U246" s="1059"/>
      <c r="V246" s="1059"/>
      <c r="W246" s="1059"/>
      <c r="X246" s="1059"/>
      <c r="Y246" s="1059"/>
      <c r="Z246" s="1059"/>
      <c r="AA246" s="1059"/>
      <c r="AB246" s="1059"/>
      <c r="AC246" s="1059"/>
      <c r="AD246" s="1059"/>
      <c r="AE246" s="1059"/>
      <c r="AF246" s="1059"/>
      <c r="AG246" s="1059"/>
      <c r="AH246" s="1059"/>
      <c r="AI246" s="1059"/>
      <c r="AJ246" s="1703"/>
      <c r="AK246" s="1703"/>
      <c r="AL246" s="1703"/>
      <c r="AM246" s="4808"/>
      <c r="AN246" s="4809"/>
      <c r="AO246" s="4810"/>
      <c r="AP246" s="1704"/>
      <c r="AQ246" s="1704"/>
      <c r="AR246" s="1704"/>
      <c r="AS246" s="1704"/>
      <c r="AT246" s="1704"/>
      <c r="AU246" s="1704"/>
      <c r="AV246" s="1704"/>
      <c r="AW246" s="1704"/>
      <c r="AX246" s="1704"/>
      <c r="AY246" s="1704"/>
      <c r="AZ246" s="1059"/>
      <c r="BA246" s="1059"/>
      <c r="BB246" s="1059"/>
      <c r="BC246" s="1059"/>
      <c r="BD246" s="1059"/>
      <c r="BE246" s="1059"/>
      <c r="BF246" s="1059"/>
      <c r="BG246" s="1059"/>
      <c r="BH246" s="1059"/>
      <c r="BI246" s="1059"/>
      <c r="BJ246" s="1059"/>
      <c r="BK246" s="1059"/>
      <c r="BL246" s="1059"/>
      <c r="BM246" s="1059"/>
      <c r="BN246" s="1059"/>
      <c r="BO246" s="1059"/>
      <c r="BP246" s="1059"/>
      <c r="BQ246" s="1059"/>
      <c r="BR246" s="1059"/>
      <c r="BS246" s="1059"/>
      <c r="BT246" s="1059"/>
      <c r="BU246" s="1059"/>
      <c r="BV246" s="784"/>
      <c r="BW246" s="785"/>
      <c r="BX246" s="822"/>
      <c r="BY246" s="822"/>
      <c r="BZ246" s="822"/>
      <c r="CA246" s="822"/>
      <c r="CB246" s="822"/>
      <c r="CC246" s="822"/>
      <c r="CD246" s="822"/>
      <c r="CE246" s="822"/>
      <c r="CF246" s="822"/>
      <c r="CG246" s="822"/>
      <c r="CH246" s="822"/>
      <c r="CI246" s="822"/>
      <c r="CJ246" s="822"/>
      <c r="CK246" s="822"/>
      <c r="CL246" s="822"/>
      <c r="CM246" s="822"/>
      <c r="CN246" s="822"/>
      <c r="CO246" s="822"/>
      <c r="CP246" s="822"/>
      <c r="CQ246" s="822"/>
      <c r="CR246" s="822"/>
      <c r="CS246" s="822"/>
      <c r="CT246" s="822"/>
      <c r="CU246" s="822"/>
      <c r="CV246" s="822"/>
      <c r="CW246" s="822"/>
      <c r="CX246" s="822"/>
      <c r="CY246" s="822"/>
      <c r="CZ246" s="822"/>
      <c r="DA246" s="822"/>
      <c r="DB246" s="822"/>
      <c r="DC246" s="822"/>
      <c r="DD246" s="822"/>
      <c r="DE246" s="822"/>
      <c r="DF246" s="822"/>
      <c r="DG246" s="822"/>
      <c r="DH246" s="822"/>
      <c r="DI246" s="822"/>
      <c r="DJ246" s="822"/>
      <c r="DK246" s="822"/>
      <c r="DL246" s="822"/>
      <c r="DM246" s="822"/>
      <c r="DN246" s="822"/>
    </row>
    <row r="247" spans="5:148" ht="17.100000000000001" customHeight="1" thickTop="1" x14ac:dyDescent="0.3">
      <c r="E247" s="1253"/>
      <c r="F247" s="1253"/>
      <c r="G247" s="762"/>
      <c r="H247" s="1059"/>
      <c r="I247" s="999"/>
      <c r="J247" s="787"/>
      <c r="K247" s="1059"/>
      <c r="L247" s="1059"/>
      <c r="M247" s="1059"/>
      <c r="N247" s="1059"/>
      <c r="O247" s="1059"/>
      <c r="P247" s="1059"/>
      <c r="Q247" s="1059"/>
      <c r="R247" s="1059"/>
      <c r="S247" s="1059"/>
      <c r="T247" s="1059"/>
      <c r="U247" s="1059"/>
      <c r="V247" s="1059"/>
      <c r="W247" s="1059"/>
      <c r="X247" s="1059"/>
      <c r="Y247" s="1059"/>
      <c r="Z247" s="1059"/>
      <c r="AA247" s="1059"/>
      <c r="AB247" s="1059"/>
      <c r="AC247" s="1059"/>
      <c r="AD247" s="1059"/>
      <c r="AE247" s="1059"/>
      <c r="AF247" s="1059"/>
      <c r="AG247" s="1059"/>
      <c r="AH247" s="1059"/>
      <c r="AI247" s="1059"/>
      <c r="AJ247" s="1705"/>
      <c r="AK247" s="1705"/>
      <c r="AL247" s="1705"/>
      <c r="AM247" s="1706"/>
      <c r="AN247" s="1707" t="str" cm="1">
        <f t="array" ref="AN247">_xlfn.IFS(AND(AN244=1,AM246=""),"ENTER SHEET INITIATION DATE ABOVE",AN244=1,"|",TRUE,"")</f>
        <v/>
      </c>
      <c r="AO247" s="1706"/>
      <c r="AP247" s="1059"/>
      <c r="AQ247" s="1059"/>
      <c r="AR247" s="1059"/>
      <c r="AS247" s="1059"/>
      <c r="AT247" s="1708"/>
      <c r="AU247" s="1059"/>
      <c r="AV247" s="1709"/>
      <c r="AW247" s="1059"/>
      <c r="AX247" s="1059"/>
      <c r="AY247" s="1059"/>
      <c r="AZ247" s="1059"/>
      <c r="BA247" s="1059"/>
      <c r="BB247" s="1059"/>
      <c r="BC247" s="1059"/>
      <c r="BD247" s="1059"/>
      <c r="BE247" s="1059"/>
      <c r="BF247" s="1059"/>
      <c r="BG247" s="1059"/>
      <c r="BH247" s="1059"/>
      <c r="BI247" s="1059"/>
      <c r="BJ247" s="1059"/>
      <c r="BK247" s="1059"/>
      <c r="BL247" s="1059"/>
      <c r="BM247" s="1059"/>
      <c r="BN247" s="1059"/>
      <c r="BO247" s="1059"/>
      <c r="BP247" s="1059"/>
      <c r="BQ247" s="1059"/>
      <c r="BR247" s="1059"/>
      <c r="BS247" s="1059"/>
      <c r="BT247" s="1059"/>
      <c r="BU247" s="764"/>
      <c r="BV247" s="1253"/>
      <c r="BW247" s="1253"/>
      <c r="BX247" s="822"/>
      <c r="BY247" s="822"/>
      <c r="BZ247" s="822"/>
      <c r="CA247" s="822"/>
      <c r="CB247" s="822"/>
      <c r="CC247" s="822"/>
      <c r="CD247" s="822"/>
      <c r="CE247" s="822"/>
      <c r="CF247" s="822"/>
      <c r="CG247" s="822"/>
      <c r="CH247" s="822"/>
      <c r="CI247" s="822"/>
      <c r="CJ247" s="822"/>
      <c r="CK247" s="822"/>
      <c r="CL247" s="822"/>
      <c r="CM247" s="822"/>
      <c r="CN247" s="822"/>
      <c r="CO247" s="822"/>
      <c r="CP247" s="822"/>
      <c r="CQ247" s="822"/>
      <c r="CR247" s="822"/>
      <c r="CS247" s="822"/>
      <c r="CT247" s="822"/>
      <c r="CU247" s="822"/>
      <c r="CV247" s="822"/>
      <c r="CW247" s="822"/>
      <c r="CX247" s="822"/>
      <c r="CY247" s="822"/>
      <c r="CZ247" s="822"/>
      <c r="DA247" s="822"/>
      <c r="DB247" s="822"/>
      <c r="DC247" s="822"/>
      <c r="DD247" s="822"/>
      <c r="DE247" s="822"/>
      <c r="DF247" s="822"/>
      <c r="DG247" s="822"/>
      <c r="DH247" s="822"/>
      <c r="DI247" s="822"/>
      <c r="DJ247" s="822"/>
      <c r="DK247" s="822"/>
      <c r="DL247" s="822"/>
      <c r="DM247" s="822"/>
      <c r="DN247" s="822"/>
    </row>
    <row r="248" spans="5:148" ht="17.100000000000001" customHeight="1" thickBot="1" x14ac:dyDescent="0.35">
      <c r="E248" s="1253"/>
      <c r="F248" s="1253"/>
      <c r="G248" s="783"/>
      <c r="H248" s="784"/>
      <c r="I248" s="784"/>
      <c r="J248" s="784"/>
      <c r="K248" s="784"/>
      <c r="L248" s="784"/>
      <c r="M248" s="784"/>
      <c r="N248" s="784"/>
      <c r="O248" s="784"/>
      <c r="P248" s="784"/>
      <c r="Q248" s="784"/>
      <c r="R248" s="784"/>
      <c r="S248" s="784"/>
      <c r="T248" s="784"/>
      <c r="U248" s="784"/>
      <c r="V248" s="784"/>
      <c r="W248" s="784"/>
      <c r="X248" s="784"/>
      <c r="Y248" s="784"/>
      <c r="Z248" s="784"/>
      <c r="AA248" s="1059"/>
      <c r="AB248" s="1059"/>
      <c r="AC248" s="1059"/>
      <c r="AD248" s="1059"/>
      <c r="AE248" s="1059"/>
      <c r="AF248" s="1059"/>
      <c r="AG248" s="1059"/>
      <c r="AH248" s="1059"/>
      <c r="AI248" s="1059"/>
      <c r="AJ248" s="1262"/>
      <c r="AK248" s="1262"/>
      <c r="AL248" s="1262"/>
      <c r="AM248" s="4808"/>
      <c r="AN248" s="4809"/>
      <c r="AO248" s="4810"/>
      <c r="AP248" s="1262"/>
      <c r="AQ248" s="1262"/>
      <c r="AR248" s="1262"/>
      <c r="AS248" s="1262"/>
      <c r="AT248" s="1263"/>
      <c r="AU248" s="1059"/>
      <c r="AV248" s="1059"/>
      <c r="AW248" s="1059"/>
      <c r="AX248" s="1059"/>
      <c r="AY248" s="1059"/>
      <c r="AZ248" s="1059"/>
      <c r="BA248" s="1059"/>
      <c r="BB248" s="784"/>
      <c r="BC248" s="784"/>
      <c r="BD248" s="784"/>
      <c r="BE248" s="784"/>
      <c r="BF248" s="784"/>
      <c r="BG248" s="784"/>
      <c r="BH248" s="784"/>
      <c r="BI248" s="784"/>
      <c r="BJ248" s="784"/>
      <c r="BK248" s="784"/>
      <c r="BL248" s="784"/>
      <c r="BM248" s="784"/>
      <c r="BN248" s="784"/>
      <c r="BO248" s="784"/>
      <c r="BP248" s="784"/>
      <c r="BQ248" s="784"/>
      <c r="BR248" s="784"/>
      <c r="BS248" s="784"/>
      <c r="BT248" s="784"/>
      <c r="BU248" s="785"/>
      <c r="BV248" s="1253"/>
      <c r="BW248" s="1253"/>
      <c r="BX248" s="822"/>
      <c r="BY248" s="822"/>
      <c r="BZ248" s="822"/>
      <c r="CA248" s="822"/>
      <c r="CB248" s="822"/>
      <c r="CC248" s="822"/>
      <c r="CD248" s="822"/>
      <c r="CE248" s="822"/>
      <c r="CF248" s="822"/>
      <c r="CG248" s="822"/>
      <c r="CH248" s="822"/>
      <c r="CI248" s="822"/>
      <c r="CJ248" s="822"/>
      <c r="CK248" s="822"/>
      <c r="CL248" s="822"/>
      <c r="CM248" s="822"/>
      <c r="CN248" s="822"/>
      <c r="CO248" s="822"/>
      <c r="CP248" s="822"/>
      <c r="CQ248" s="822"/>
      <c r="CR248" s="822"/>
      <c r="CS248" s="822"/>
      <c r="CT248" s="822"/>
      <c r="CU248" s="822"/>
      <c r="CV248" s="822"/>
      <c r="CW248" s="822"/>
      <c r="CX248" s="822"/>
      <c r="CY248" s="822"/>
      <c r="CZ248" s="822"/>
      <c r="DA248" s="822"/>
      <c r="DB248" s="822"/>
      <c r="DC248" s="822"/>
      <c r="DD248" s="822"/>
      <c r="DE248" s="822"/>
      <c r="DF248" s="822"/>
      <c r="DG248" s="822"/>
      <c r="DH248" s="822"/>
      <c r="DI248" s="822"/>
      <c r="DJ248" s="822"/>
      <c r="DK248" s="822"/>
      <c r="DL248" s="822"/>
      <c r="DM248" s="822"/>
      <c r="DN248" s="822"/>
    </row>
    <row r="249" spans="5:148" ht="17.100000000000001" customHeight="1" thickTop="1" x14ac:dyDescent="0.3">
      <c r="E249" s="1253"/>
      <c r="F249" s="1253"/>
      <c r="G249" s="1253"/>
      <c r="H249" s="1253"/>
      <c r="I249" s="1253"/>
      <c r="J249" s="1253"/>
      <c r="K249" s="1253"/>
      <c r="L249" s="1253"/>
      <c r="M249" s="1253"/>
      <c r="N249" s="1253"/>
      <c r="O249" s="1253"/>
      <c r="P249" s="1253"/>
      <c r="Q249" s="1253"/>
      <c r="R249" s="1253"/>
      <c r="S249" s="1253"/>
      <c r="T249" s="1253"/>
      <c r="U249" s="1253"/>
      <c r="V249" s="1253"/>
      <c r="W249" s="1253"/>
      <c r="X249" s="1253"/>
      <c r="Y249" s="1253"/>
      <c r="Z249" s="1253"/>
      <c r="AA249" s="762"/>
      <c r="AB249" s="1170"/>
      <c r="AC249" s="1059"/>
      <c r="AD249" s="1059"/>
      <c r="AE249" s="1059"/>
      <c r="AF249" s="1059"/>
      <c r="AG249" s="1059"/>
      <c r="AH249" s="1059"/>
      <c r="AI249" s="1059"/>
      <c r="AJ249" s="1059"/>
      <c r="AK249" s="1059"/>
      <c r="AL249" s="1059"/>
      <c r="AM249" s="1059"/>
      <c r="AN249" s="1701" t="str">
        <f>IF(AND(AN244=1,AM248=""),"ENTER SHEET COMPLETION DATE ABOVE","")</f>
        <v/>
      </c>
      <c r="AO249" s="1059"/>
      <c r="AP249" s="1059"/>
      <c r="AQ249" s="1059"/>
      <c r="AR249" s="1059"/>
      <c r="AS249" s="1059"/>
      <c r="AT249" s="1059"/>
      <c r="AU249" s="1059"/>
      <c r="AV249" s="1059"/>
      <c r="AW249" s="1059"/>
      <c r="AX249" s="1059"/>
      <c r="AY249" s="1059"/>
      <c r="AZ249" s="1169"/>
      <c r="BA249" s="764"/>
      <c r="BB249" s="1253"/>
      <c r="BC249" s="1253"/>
      <c r="BD249" s="1253"/>
      <c r="BE249" s="1253"/>
      <c r="BF249" s="1253"/>
      <c r="BG249" s="1253"/>
      <c r="BH249" s="1253"/>
      <c r="BI249" s="1253"/>
      <c r="BJ249" s="1253"/>
      <c r="BK249" s="1253"/>
      <c r="BL249" s="1253"/>
      <c r="BM249" s="1253"/>
      <c r="BN249" s="1253"/>
      <c r="BO249" s="1253"/>
      <c r="BP249" s="1253"/>
      <c r="BQ249" s="1253"/>
      <c r="BR249" s="1253"/>
      <c r="BS249" s="1253"/>
      <c r="BT249" s="1253"/>
      <c r="BU249" s="1253"/>
      <c r="BV249" s="1253"/>
      <c r="BW249" s="1253"/>
      <c r="BX249" s="822"/>
      <c r="BY249" s="822"/>
      <c r="BZ249" s="822"/>
      <c r="CA249" s="822"/>
      <c r="CB249" s="822"/>
      <c r="CC249" s="822"/>
      <c r="CD249" s="822"/>
      <c r="CE249" s="822"/>
      <c r="CF249" s="822"/>
      <c r="CG249" s="822"/>
      <c r="CH249" s="822"/>
      <c r="CI249" s="822"/>
      <c r="CJ249" s="822"/>
      <c r="CK249" s="822"/>
      <c r="CL249" s="822"/>
      <c r="CM249" s="822"/>
      <c r="CN249" s="822"/>
      <c r="CO249" s="822"/>
      <c r="CP249" s="822"/>
      <c r="CQ249" s="822"/>
      <c r="CR249" s="822"/>
      <c r="CS249" s="822"/>
      <c r="CT249" s="822"/>
      <c r="CU249" s="822"/>
      <c r="CV249" s="822"/>
      <c r="CW249" s="822"/>
      <c r="CX249" s="822"/>
      <c r="CY249" s="822"/>
      <c r="CZ249" s="822"/>
      <c r="DA249" s="822"/>
      <c r="DB249" s="822"/>
      <c r="DC249" s="822"/>
      <c r="DD249" s="822"/>
      <c r="DE249" s="822"/>
      <c r="DF249" s="822"/>
      <c r="DG249" s="822"/>
      <c r="DH249" s="822"/>
      <c r="DI249" s="822"/>
      <c r="DJ249" s="822"/>
      <c r="DK249" s="822"/>
      <c r="DL249" s="822"/>
      <c r="DM249" s="822"/>
      <c r="DN249" s="822"/>
    </row>
    <row r="250" spans="5:148" ht="17.100000000000001" customHeight="1" thickBot="1" x14ac:dyDescent="0.35">
      <c r="E250" s="1253"/>
      <c r="F250" s="1253"/>
      <c r="G250" s="1253"/>
      <c r="H250" s="1253"/>
      <c r="I250" s="1253"/>
      <c r="J250" s="1253"/>
      <c r="K250" s="1253"/>
      <c r="L250" s="1253"/>
      <c r="M250" s="1253"/>
      <c r="N250" s="1253"/>
      <c r="O250" s="1253"/>
      <c r="P250" s="1253"/>
      <c r="Q250" s="1253"/>
      <c r="R250" s="1253"/>
      <c r="S250" s="1253"/>
      <c r="T250" s="1253"/>
      <c r="U250" s="1253"/>
      <c r="V250" s="1253"/>
      <c r="W250" s="1253"/>
      <c r="X250" s="1253"/>
      <c r="Y250" s="1253"/>
      <c r="Z250" s="1253"/>
      <c r="AA250" s="783"/>
      <c r="AB250" s="784"/>
      <c r="AC250" s="784"/>
      <c r="AD250" s="784"/>
      <c r="AE250" s="784"/>
      <c r="AF250" s="784"/>
      <c r="AG250" s="784"/>
      <c r="AH250" s="784"/>
      <c r="AI250" s="784"/>
      <c r="AJ250" s="784"/>
      <c r="AK250" s="784"/>
      <c r="AL250" s="784"/>
      <c r="AM250" s="784"/>
      <c r="AN250" s="784"/>
      <c r="AO250" s="784"/>
      <c r="AP250" s="784"/>
      <c r="AQ250" s="784"/>
      <c r="AR250" s="784"/>
      <c r="AS250" s="784"/>
      <c r="AT250" s="784"/>
      <c r="AU250" s="784"/>
      <c r="AV250" s="784"/>
      <c r="AW250" s="784"/>
      <c r="AX250" s="784"/>
      <c r="AY250" s="784"/>
      <c r="AZ250" s="784"/>
      <c r="BA250" s="785"/>
      <c r="BB250" s="1253"/>
      <c r="BC250" s="1253"/>
      <c r="BD250" s="1253"/>
      <c r="BE250" s="1253"/>
      <c r="BF250" s="1253"/>
      <c r="BG250" s="1253"/>
      <c r="BH250" s="1253"/>
      <c r="BI250" s="1253"/>
      <c r="BJ250" s="1253"/>
      <c r="BK250" s="1253"/>
      <c r="BL250" s="1253"/>
      <c r="BM250" s="1253"/>
      <c r="BN250" s="1253"/>
      <c r="BO250" s="1253"/>
      <c r="BP250" s="1253"/>
      <c r="BQ250" s="1253"/>
      <c r="BR250" s="1253"/>
      <c r="BS250" s="1253"/>
      <c r="BT250" s="1253"/>
      <c r="BU250" s="1253"/>
      <c r="BV250" s="1253"/>
      <c r="BW250" s="1253"/>
      <c r="BX250" s="822"/>
      <c r="BY250" s="822"/>
      <c r="BZ250" s="822"/>
      <c r="CA250" s="822"/>
      <c r="CB250" s="822"/>
      <c r="CC250" s="822"/>
      <c r="CD250" s="822"/>
      <c r="CE250" s="822"/>
      <c r="CF250" s="822"/>
      <c r="CG250" s="822"/>
      <c r="CH250" s="822"/>
      <c r="CI250" s="822"/>
      <c r="CJ250" s="822"/>
      <c r="CK250" s="822"/>
      <c r="CL250" s="822"/>
      <c r="CM250" s="822"/>
      <c r="CN250" s="822"/>
      <c r="CO250" s="822"/>
      <c r="CP250" s="822"/>
      <c r="CQ250" s="822"/>
      <c r="CR250" s="822"/>
      <c r="CS250" s="822"/>
      <c r="CT250" s="822"/>
      <c r="CU250" s="822"/>
      <c r="CV250" s="822"/>
      <c r="CW250" s="822"/>
      <c r="CX250" s="822"/>
      <c r="CY250" s="822"/>
      <c r="CZ250" s="822"/>
      <c r="DA250" s="822"/>
      <c r="DB250" s="822"/>
      <c r="DC250" s="822"/>
      <c r="DD250" s="822"/>
      <c r="DE250" s="822"/>
      <c r="DF250" s="822"/>
      <c r="DG250" s="822"/>
      <c r="DH250" s="822"/>
      <c r="DI250" s="822"/>
      <c r="DJ250" s="822"/>
      <c r="DK250" s="822"/>
      <c r="DL250" s="822"/>
      <c r="DM250" s="822"/>
      <c r="DN250" s="822"/>
    </row>
    <row r="251" spans="5:148" ht="17.100000000000001" customHeight="1" thickTop="1" x14ac:dyDescent="0.3">
      <c r="R251" s="822"/>
      <c r="S251" s="822"/>
      <c r="T251" s="822"/>
      <c r="U251" s="822"/>
      <c r="V251" s="822"/>
      <c r="W251" s="822"/>
      <c r="X251" s="822"/>
      <c r="Y251" s="822"/>
      <c r="Z251" s="822"/>
      <c r="AA251" s="822"/>
      <c r="AB251" s="822"/>
      <c r="AC251" s="822"/>
      <c r="AD251" s="822"/>
      <c r="AE251" s="822"/>
      <c r="AF251" s="822"/>
      <c r="AG251" s="822"/>
      <c r="AH251" s="822"/>
      <c r="AI251" s="822"/>
      <c r="AJ251" s="822"/>
      <c r="AK251" s="822"/>
      <c r="AL251" s="822"/>
      <c r="AM251" s="822"/>
      <c r="AN251" s="822"/>
      <c r="AO251" s="822"/>
      <c r="AP251" s="822"/>
      <c r="AQ251" s="822"/>
      <c r="AR251" s="822"/>
      <c r="AS251" s="822"/>
      <c r="AT251" s="822"/>
      <c r="AU251" s="822"/>
      <c r="AV251" s="822"/>
      <c r="AW251" s="822"/>
      <c r="AX251" s="822"/>
      <c r="AY251" s="822"/>
      <c r="AZ251" s="822"/>
      <c r="BA251" s="822"/>
      <c r="BB251" s="822"/>
      <c r="BC251" s="822"/>
      <c r="BD251" s="822"/>
      <c r="BE251" s="822"/>
      <c r="BF251" s="822"/>
      <c r="BG251" s="822"/>
      <c r="BH251" s="822"/>
      <c r="BI251" s="822"/>
      <c r="BJ251" s="822"/>
      <c r="BK251" s="822"/>
      <c r="BL251" s="822"/>
      <c r="BM251" s="822"/>
      <c r="BN251" s="822"/>
      <c r="BO251" s="822"/>
      <c r="BP251" s="822"/>
      <c r="BQ251" s="822"/>
      <c r="BR251" s="822"/>
      <c r="BS251" s="822"/>
      <c r="BT251" s="822"/>
      <c r="BU251" s="822"/>
      <c r="BV251" s="822"/>
      <c r="BX251" s="822"/>
      <c r="BY251" s="822"/>
      <c r="BZ251" s="822"/>
      <c r="CA251" s="822"/>
      <c r="CB251" s="822"/>
      <c r="CC251" s="822"/>
      <c r="CD251" s="822"/>
      <c r="CE251" s="822"/>
      <c r="CF251" s="822"/>
      <c r="CG251" s="822"/>
      <c r="CH251" s="822"/>
      <c r="CI251" s="822"/>
      <c r="CJ251" s="822"/>
      <c r="CK251" s="822"/>
      <c r="CL251" s="822"/>
      <c r="CM251" s="822"/>
      <c r="CN251" s="822"/>
      <c r="CO251" s="822"/>
      <c r="CP251" s="822"/>
      <c r="CQ251" s="822"/>
      <c r="CR251" s="822"/>
      <c r="CS251" s="822"/>
      <c r="CT251" s="822"/>
      <c r="CU251" s="822"/>
      <c r="CV251" s="822"/>
      <c r="CW251" s="822"/>
      <c r="CX251" s="822"/>
      <c r="CY251" s="822"/>
      <c r="CZ251" s="822"/>
      <c r="DA251" s="822"/>
      <c r="DB251" s="822"/>
      <c r="DC251" s="822"/>
      <c r="DD251" s="822"/>
      <c r="DE251" s="822"/>
      <c r="DF251" s="822"/>
      <c r="DG251" s="822"/>
      <c r="DH251" s="822"/>
      <c r="DI251" s="822"/>
      <c r="DJ251" s="822"/>
      <c r="DK251" s="822"/>
      <c r="DL251" s="822"/>
      <c r="DM251" s="822"/>
      <c r="DN251" s="822"/>
    </row>
    <row r="252" spans="5:148" ht="17.100000000000001" customHeight="1" x14ac:dyDescent="0.3">
      <c r="R252" s="822"/>
      <c r="S252" s="822"/>
      <c r="T252" s="822"/>
      <c r="U252" s="822"/>
      <c r="V252" s="822"/>
      <c r="W252" s="822"/>
      <c r="X252" s="822"/>
      <c r="Y252" s="822"/>
      <c r="Z252" s="822"/>
      <c r="AA252" s="822"/>
      <c r="AB252" s="822"/>
      <c r="AC252" s="822"/>
      <c r="AD252" s="822"/>
      <c r="AE252" s="822"/>
      <c r="AF252" s="822"/>
      <c r="AG252" s="822"/>
      <c r="AH252" s="822"/>
      <c r="AI252" s="822"/>
      <c r="AJ252" s="822"/>
      <c r="AK252" s="822"/>
      <c r="AL252" s="822"/>
      <c r="AM252" s="822"/>
      <c r="AN252" s="34" t="s">
        <v>9</v>
      </c>
      <c r="AO252" s="822"/>
      <c r="AP252" s="822"/>
      <c r="AQ252" s="822"/>
      <c r="AR252" s="822"/>
      <c r="AS252" s="822"/>
      <c r="AT252" s="822"/>
      <c r="AU252" s="822"/>
      <c r="AV252" s="822"/>
      <c r="AW252" s="822"/>
      <c r="AX252" s="822"/>
      <c r="AY252" s="822"/>
      <c r="AZ252" s="822"/>
      <c r="BA252" s="822"/>
      <c r="BB252" s="822"/>
      <c r="BC252" s="822"/>
      <c r="BD252" s="822"/>
      <c r="BE252" s="822"/>
      <c r="BF252" s="822"/>
      <c r="BG252" s="822"/>
      <c r="BH252" s="822"/>
      <c r="BI252" s="822"/>
      <c r="BJ252" s="822"/>
      <c r="BK252" s="822"/>
      <c r="BL252" s="822"/>
      <c r="BM252" s="822"/>
      <c r="BN252" s="822"/>
      <c r="BO252" s="822"/>
      <c r="BP252" s="822"/>
      <c r="BQ252" s="822"/>
      <c r="BR252" s="822"/>
      <c r="BS252" s="822"/>
      <c r="BT252" s="822"/>
      <c r="BU252" s="822"/>
      <c r="BV252" s="822"/>
      <c r="BX252" s="822"/>
      <c r="BY252" s="822"/>
      <c r="BZ252" s="822"/>
      <c r="CA252" s="822"/>
      <c r="CB252" s="822"/>
      <c r="CC252" s="822"/>
      <c r="CD252" s="822"/>
      <c r="CE252" s="822"/>
      <c r="CF252" s="822"/>
      <c r="CG252" s="822"/>
      <c r="CH252" s="822"/>
      <c r="CI252" s="822"/>
      <c r="CJ252" s="822"/>
      <c r="CK252" s="822"/>
      <c r="CL252" s="822"/>
      <c r="CM252" s="822"/>
      <c r="CN252" s="822"/>
      <c r="CO252" s="822"/>
      <c r="CP252" s="822"/>
      <c r="CQ252" s="822"/>
      <c r="CR252" s="822"/>
      <c r="CS252" s="822"/>
      <c r="CT252" s="822"/>
      <c r="CU252" s="822"/>
      <c r="CV252" s="822"/>
      <c r="CW252" s="822"/>
      <c r="CX252" s="822"/>
      <c r="CY252" s="822"/>
      <c r="CZ252" s="822"/>
      <c r="DA252" s="822"/>
      <c r="DB252" s="822"/>
      <c r="DC252" s="822"/>
      <c r="DD252" s="822"/>
      <c r="DE252" s="822"/>
      <c r="DF252" s="822"/>
      <c r="DG252" s="822"/>
      <c r="DH252" s="822"/>
      <c r="DI252" s="822"/>
      <c r="DJ252" s="822"/>
      <c r="DK252" s="822"/>
      <c r="DL252" s="822"/>
      <c r="DM252" s="822"/>
      <c r="DN252" s="822"/>
    </row>
    <row r="253" spans="5:148" ht="17.100000000000001" customHeight="1" thickBot="1" x14ac:dyDescent="0.35">
      <c r="R253" s="822"/>
      <c r="S253" s="822"/>
      <c r="T253" s="822"/>
      <c r="U253" s="822"/>
      <c r="V253" s="822"/>
      <c r="W253" s="822"/>
      <c r="X253" s="822"/>
      <c r="Y253" s="822"/>
      <c r="Z253" s="822"/>
      <c r="AA253" s="822"/>
      <c r="AB253" s="822"/>
      <c r="AC253" s="822"/>
      <c r="AD253" s="822"/>
      <c r="AE253" s="822"/>
      <c r="AF253" s="822"/>
      <c r="AG253" s="822"/>
      <c r="AH253" s="822"/>
      <c r="AI253" s="822"/>
      <c r="AJ253" s="822"/>
      <c r="AK253" s="822"/>
      <c r="AL253" s="822"/>
      <c r="AM253" s="822"/>
      <c r="AN253" s="34" t="s">
        <v>9</v>
      </c>
      <c r="AO253" s="822"/>
      <c r="AP253" s="822"/>
      <c r="AQ253" s="822"/>
      <c r="AR253" s="822"/>
      <c r="AS253" s="822"/>
      <c r="AT253" s="822"/>
      <c r="AU253" s="822"/>
      <c r="AV253" s="822"/>
      <c r="AW253" s="822"/>
      <c r="AX253" s="822"/>
      <c r="AY253" s="822"/>
      <c r="AZ253" s="822"/>
      <c r="BA253" s="822"/>
      <c r="BB253" s="822"/>
      <c r="BC253" s="822"/>
      <c r="BD253" s="822"/>
      <c r="BE253" s="822"/>
      <c r="BF253" s="822"/>
      <c r="BG253" s="822"/>
      <c r="BH253" s="822"/>
      <c r="BI253" s="822"/>
      <c r="BJ253" s="822"/>
      <c r="BK253" s="822"/>
      <c r="BL253" s="822"/>
      <c r="BM253" s="822"/>
      <c r="BN253" s="822"/>
      <c r="BO253" s="822"/>
      <c r="BP253" s="822"/>
      <c r="BQ253" s="822"/>
      <c r="BR253" s="822"/>
      <c r="BS253" s="822"/>
      <c r="BT253" s="822"/>
      <c r="BU253" s="822"/>
      <c r="BV253" s="822"/>
      <c r="BX253" s="822"/>
      <c r="BY253" s="822"/>
      <c r="BZ253" s="822"/>
      <c r="CA253" s="822"/>
      <c r="CB253" s="822"/>
      <c r="CC253" s="822"/>
      <c r="CD253" s="822"/>
      <c r="CE253" s="822"/>
      <c r="CF253" s="822"/>
      <c r="CG253" s="822"/>
      <c r="CH253" s="822"/>
      <c r="CI253" s="822"/>
      <c r="CJ253" s="822"/>
      <c r="CK253" s="822"/>
      <c r="CL253" s="822"/>
      <c r="CM253" s="822"/>
      <c r="CN253" s="822"/>
      <c r="CO253" s="822"/>
      <c r="CP253" s="822"/>
      <c r="CQ253" s="822"/>
      <c r="CR253" s="822"/>
      <c r="CS253" s="822"/>
      <c r="CT253" s="822"/>
      <c r="CU253" s="822"/>
      <c r="CV253" s="822"/>
      <c r="CW253" s="822"/>
      <c r="CX253" s="822"/>
      <c r="CY253" s="822"/>
      <c r="CZ253" s="822"/>
      <c r="DA253" s="822"/>
      <c r="DB253" s="822"/>
      <c r="DC253" s="822"/>
      <c r="DD253" s="822"/>
      <c r="DE253" s="822"/>
      <c r="DF253" s="822"/>
      <c r="DG253" s="822"/>
      <c r="DH253" s="822"/>
      <c r="DI253" s="822"/>
      <c r="DJ253" s="822"/>
      <c r="DK253" s="822"/>
      <c r="DL253" s="822"/>
      <c r="DM253" s="822"/>
      <c r="DN253" s="822"/>
    </row>
    <row r="254" spans="5:148" ht="17.100000000000001" customHeight="1" thickTop="1" x14ac:dyDescent="0.3">
      <c r="E254" s="23"/>
      <c r="F254" s="23"/>
      <c r="G254" s="23"/>
      <c r="H254" s="23"/>
      <c r="I254" s="23"/>
      <c r="J254" s="23"/>
      <c r="K254" s="23"/>
      <c r="L254" s="23"/>
      <c r="M254" s="23"/>
      <c r="N254" s="23"/>
      <c r="O254" s="23"/>
      <c r="P254" s="23"/>
      <c r="Q254" s="23"/>
      <c r="R254" s="23"/>
      <c r="S254" s="23"/>
      <c r="T254" s="23"/>
      <c r="U254" s="23"/>
      <c r="V254" s="23"/>
      <c r="W254" s="23"/>
      <c r="X254" s="23"/>
      <c r="Y254" s="23"/>
      <c r="Z254" s="23"/>
      <c r="AA254" s="759"/>
      <c r="AB254" s="760"/>
      <c r="AC254" s="760"/>
      <c r="AD254" s="760"/>
      <c r="AE254" s="760"/>
      <c r="AF254" s="760"/>
      <c r="AG254" s="760"/>
      <c r="AH254" s="760"/>
      <c r="AI254" s="760"/>
      <c r="AJ254" s="760"/>
      <c r="AK254" s="760"/>
      <c r="AL254" s="760"/>
      <c r="AM254" s="760"/>
      <c r="AN254" s="760"/>
      <c r="AO254" s="760"/>
      <c r="AP254" s="760"/>
      <c r="AQ254" s="760"/>
      <c r="AR254" s="760"/>
      <c r="AS254" s="760"/>
      <c r="AT254" s="760"/>
      <c r="AU254" s="760"/>
      <c r="AV254" s="760"/>
      <c r="AW254" s="760"/>
      <c r="AX254" s="760"/>
      <c r="AY254" s="760"/>
      <c r="AZ254" s="760"/>
      <c r="BA254" s="761"/>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822"/>
      <c r="BY254" s="822"/>
      <c r="BZ254" s="822"/>
      <c r="CA254" s="822"/>
      <c r="CB254" s="822"/>
      <c r="CC254" s="822"/>
      <c r="CD254" s="822"/>
      <c r="CE254" s="822"/>
      <c r="CF254" s="822"/>
      <c r="CG254" s="822"/>
      <c r="CH254" s="822"/>
      <c r="CI254" s="822"/>
      <c r="CJ254" s="822"/>
      <c r="CK254" s="822"/>
      <c r="CL254" s="822"/>
      <c r="CM254" s="822"/>
      <c r="CN254" s="822"/>
      <c r="CO254" s="822"/>
      <c r="CP254" s="822"/>
      <c r="CQ254" s="822"/>
      <c r="CR254" s="822"/>
      <c r="CS254" s="822"/>
      <c r="CT254" s="822"/>
      <c r="CU254" s="822"/>
      <c r="CV254" s="822"/>
      <c r="CW254" s="822"/>
      <c r="CX254" s="822"/>
      <c r="CY254" s="822"/>
      <c r="CZ254" s="822"/>
      <c r="DA254" s="822"/>
      <c r="DB254" s="822"/>
      <c r="DC254" s="822"/>
      <c r="DD254" s="822"/>
      <c r="DE254" s="822"/>
      <c r="DF254" s="822"/>
      <c r="DG254" s="822"/>
      <c r="DH254" s="822"/>
      <c r="DI254" s="822"/>
      <c r="DJ254" s="822"/>
      <c r="DK254" s="822"/>
      <c r="DL254" s="822"/>
      <c r="DM254" s="822"/>
      <c r="DN254" s="822"/>
    </row>
    <row r="255" spans="5:148" ht="17.100000000000001" customHeight="1" thickBot="1" x14ac:dyDescent="0.35">
      <c r="E255" s="23"/>
      <c r="F255" s="23"/>
      <c r="G255" s="23"/>
      <c r="H255" s="23"/>
      <c r="I255" s="23"/>
      <c r="J255" s="23"/>
      <c r="K255" s="23"/>
      <c r="L255" s="23"/>
      <c r="M255" s="23"/>
      <c r="N255" s="23"/>
      <c r="O255" s="23"/>
      <c r="P255" s="23"/>
      <c r="Q255" s="23"/>
      <c r="R255" s="23"/>
      <c r="S255" s="23"/>
      <c r="T255" s="23"/>
      <c r="U255" s="23"/>
      <c r="V255" s="23"/>
      <c r="W255" s="23"/>
      <c r="X255" s="23"/>
      <c r="Y255" s="23"/>
      <c r="Z255" s="23"/>
      <c r="AA255" s="762"/>
      <c r="AB255" s="94"/>
      <c r="AC255" s="1273"/>
      <c r="AD255" s="1273"/>
      <c r="AE255" s="1273"/>
      <c r="AF255" s="1273"/>
      <c r="AG255" s="1273"/>
      <c r="AH255" s="1273"/>
      <c r="AI255" s="1273"/>
      <c r="AJ255" s="1273"/>
      <c r="AK255" s="1273"/>
      <c r="AL255" s="1273"/>
      <c r="AM255" s="1273"/>
      <c r="AN255" s="2286"/>
      <c r="AO255" s="1273"/>
      <c r="AP255" s="1273"/>
      <c r="AQ255" s="1273"/>
      <c r="AR255" s="1273"/>
      <c r="AS255" s="1273"/>
      <c r="AT255" s="1273"/>
      <c r="AU255" s="1273"/>
      <c r="AV255" s="1273"/>
      <c r="AW255" s="1273"/>
      <c r="AX255" s="1273"/>
      <c r="AY255" s="1273"/>
      <c r="AZ255" s="94"/>
      <c r="BA255" s="764"/>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822"/>
      <c r="BY255" s="822"/>
      <c r="BZ255" s="822"/>
      <c r="CA255" s="822"/>
      <c r="CB255" s="822"/>
      <c r="CC255" s="822"/>
      <c r="CD255" s="822"/>
      <c r="CE255" s="822"/>
      <c r="CF255" s="822"/>
      <c r="CG255" s="822"/>
      <c r="CH255" s="822"/>
      <c r="CI255" s="822"/>
      <c r="CJ255" s="822"/>
      <c r="CK255" s="822"/>
      <c r="CL255" s="822"/>
      <c r="CM255" s="822"/>
      <c r="CN255" s="822"/>
      <c r="CO255" s="822"/>
      <c r="CP255" s="822"/>
      <c r="CQ255" s="822"/>
      <c r="CR255" s="822"/>
      <c r="CS255" s="822"/>
      <c r="CT255" s="822"/>
      <c r="CU255" s="822"/>
      <c r="CV255" s="822"/>
      <c r="CW255" s="822"/>
      <c r="CX255" s="822"/>
      <c r="CY255" s="822"/>
      <c r="CZ255" s="822"/>
      <c r="DA255" s="822"/>
      <c r="DB255" s="822"/>
      <c r="DC255" s="822"/>
      <c r="DD255" s="822"/>
      <c r="DE255" s="822"/>
      <c r="DF255" s="822"/>
      <c r="DG255" s="822"/>
      <c r="DH255" s="822"/>
      <c r="DI255" s="822"/>
      <c r="DJ255" s="822"/>
      <c r="DK255" s="822"/>
      <c r="DL255" s="822"/>
      <c r="DM255" s="822"/>
      <c r="DN255" s="822"/>
    </row>
    <row r="256" spans="5:148" ht="17.100000000000001" customHeight="1" thickTop="1" x14ac:dyDescent="0.3">
      <c r="E256" s="23"/>
      <c r="F256" s="23"/>
      <c r="G256" s="759"/>
      <c r="H256" s="760"/>
      <c r="I256" s="760"/>
      <c r="J256" s="760"/>
      <c r="K256" s="760"/>
      <c r="L256" s="760"/>
      <c r="M256" s="760"/>
      <c r="N256" s="760"/>
      <c r="O256" s="760"/>
      <c r="P256" s="760"/>
      <c r="Q256" s="760"/>
      <c r="R256" s="760"/>
      <c r="S256" s="760"/>
      <c r="T256" s="760"/>
      <c r="U256" s="760"/>
      <c r="V256" s="760"/>
      <c r="W256" s="760"/>
      <c r="X256" s="760"/>
      <c r="Y256" s="760"/>
      <c r="Z256" s="760"/>
      <c r="AA256" s="1059"/>
      <c r="AB256" s="1059"/>
      <c r="AC256" s="1273"/>
      <c r="AD256" s="1273"/>
      <c r="AE256" s="1273"/>
      <c r="AF256" s="1273"/>
      <c r="AG256" s="1273"/>
      <c r="AH256" s="1273"/>
      <c r="AI256" s="1273"/>
      <c r="AJ256" s="1273"/>
      <c r="AK256" s="1273"/>
      <c r="AL256" s="1273"/>
      <c r="AM256" s="1273"/>
      <c r="AN256" s="1273"/>
      <c r="AO256" s="1273"/>
      <c r="AP256" s="1273"/>
      <c r="AQ256" s="1273"/>
      <c r="AR256" s="1273"/>
      <c r="AS256" s="1273"/>
      <c r="AT256" s="1273"/>
      <c r="AU256" s="1273"/>
      <c r="AV256" s="1273"/>
      <c r="AW256" s="1273"/>
      <c r="AX256" s="1273"/>
      <c r="AY256" s="1273"/>
      <c r="AZ256" s="1059"/>
      <c r="BA256" s="1059"/>
      <c r="BB256" s="760"/>
      <c r="BC256" s="760"/>
      <c r="BD256" s="760"/>
      <c r="BE256" s="760"/>
      <c r="BF256" s="760"/>
      <c r="BG256" s="760"/>
      <c r="BH256" s="760"/>
      <c r="BI256" s="760"/>
      <c r="BJ256" s="760"/>
      <c r="BK256" s="760"/>
      <c r="BL256" s="760"/>
      <c r="BM256" s="760"/>
      <c r="BN256" s="760"/>
      <c r="BO256" s="760"/>
      <c r="BP256" s="760"/>
      <c r="BQ256" s="760"/>
      <c r="BR256" s="760"/>
      <c r="BS256" s="760"/>
      <c r="BT256" s="760"/>
      <c r="BU256" s="761"/>
      <c r="BV256" s="19"/>
      <c r="BW256" s="19"/>
      <c r="BX256" s="822"/>
      <c r="BY256" s="822"/>
      <c r="BZ256" s="822"/>
      <c r="CA256" s="822"/>
      <c r="CB256" s="822"/>
      <c r="CC256" s="822"/>
      <c r="CD256" s="822"/>
      <c r="CE256" s="822"/>
      <c r="CF256" s="822"/>
      <c r="CG256" s="822"/>
      <c r="CH256" s="822"/>
      <c r="CI256" s="822"/>
      <c r="CJ256" s="822"/>
      <c r="CK256" s="822"/>
      <c r="CL256" s="822"/>
      <c r="CM256" s="822"/>
      <c r="CN256" s="822"/>
      <c r="CO256" s="822"/>
      <c r="CP256" s="822"/>
      <c r="CQ256" s="822"/>
      <c r="CR256" s="822"/>
      <c r="CS256" s="822"/>
      <c r="CT256" s="822"/>
      <c r="CU256" s="822"/>
      <c r="CV256" s="822"/>
      <c r="CW256" s="822"/>
      <c r="CX256" s="822"/>
      <c r="CY256" s="822"/>
      <c r="CZ256" s="822"/>
      <c r="DA256" s="822"/>
      <c r="DB256" s="822"/>
      <c r="DC256" s="822"/>
      <c r="DD256" s="822"/>
      <c r="DE256" s="822"/>
      <c r="DF256" s="822"/>
      <c r="DG256" s="822"/>
      <c r="DH256" s="822"/>
      <c r="DI256" s="822"/>
      <c r="DJ256" s="822"/>
      <c r="DK256" s="822"/>
      <c r="DL256" s="822"/>
      <c r="DM256" s="822"/>
      <c r="DN256" s="822"/>
    </row>
    <row r="257" spans="3:148" ht="17.100000000000001" customHeight="1" thickBot="1" x14ac:dyDescent="0.35">
      <c r="E257" s="23"/>
      <c r="F257" s="23"/>
      <c r="G257" s="762"/>
      <c r="H257" s="1059"/>
      <c r="I257" s="999"/>
      <c r="J257" s="787"/>
      <c r="K257" s="1059"/>
      <c r="L257" s="1059"/>
      <c r="M257" s="1059"/>
      <c r="N257" s="1059"/>
      <c r="O257" s="1059"/>
      <c r="P257" s="1059"/>
      <c r="Q257" s="1059"/>
      <c r="R257" s="1059"/>
      <c r="S257" s="1059"/>
      <c r="T257" s="1059"/>
      <c r="U257" s="1059"/>
      <c r="V257" s="1059"/>
      <c r="W257" s="1059"/>
      <c r="X257" s="1059"/>
      <c r="Y257" s="1059"/>
      <c r="Z257" s="1059"/>
      <c r="AA257" s="1059"/>
      <c r="AB257" s="1059"/>
      <c r="AC257" s="1059"/>
      <c r="AD257" s="1059"/>
      <c r="AE257" s="1059"/>
      <c r="AF257" s="1059"/>
      <c r="AG257" s="1123"/>
      <c r="AH257" s="1123"/>
      <c r="AI257" s="1123"/>
      <c r="AJ257" s="1261"/>
      <c r="AK257" s="1261"/>
      <c r="AL257" s="1261"/>
      <c r="AM257" s="4743" t="s">
        <v>946</v>
      </c>
      <c r="AN257" s="4743"/>
      <c r="AO257" s="4743"/>
      <c r="AP257" s="1261"/>
      <c r="AQ257" s="1261"/>
      <c r="AR257" s="1261"/>
      <c r="AS257" s="1261"/>
      <c r="AT257" s="1123"/>
      <c r="AU257" s="1123"/>
      <c r="AV257" s="1059"/>
      <c r="AW257" s="1059"/>
      <c r="AX257" s="1059"/>
      <c r="AY257" s="1059"/>
      <c r="AZ257" s="1059"/>
      <c r="BA257" s="1059"/>
      <c r="BB257" s="1059"/>
      <c r="BC257" s="1059"/>
      <c r="BD257" s="1059"/>
      <c r="BE257" s="1059"/>
      <c r="BF257" s="1059"/>
      <c r="BG257" s="1059"/>
      <c r="BH257" s="1059"/>
      <c r="BI257" s="1059"/>
      <c r="BJ257" s="1059"/>
      <c r="BK257" s="1059"/>
      <c r="BL257" s="1059"/>
      <c r="BM257" s="1059"/>
      <c r="BN257" s="1059"/>
      <c r="BO257" s="1059"/>
      <c r="BP257" s="1059"/>
      <c r="BQ257" s="1059"/>
      <c r="BR257" s="1059"/>
      <c r="BS257" s="1059"/>
      <c r="BT257" s="1059"/>
      <c r="BU257" s="764"/>
      <c r="BV257" s="19"/>
      <c r="BW257" s="19"/>
      <c r="BX257" s="822"/>
      <c r="BY257" s="822"/>
      <c r="BZ257" s="822"/>
      <c r="CA257" s="822"/>
      <c r="CB257" s="822"/>
      <c r="CC257" s="822"/>
      <c r="CD257" s="822"/>
      <c r="CE257" s="822"/>
      <c r="CF257" s="822"/>
      <c r="CG257" s="822"/>
      <c r="CH257" s="822"/>
      <c r="CI257" s="822"/>
      <c r="CJ257" s="822"/>
      <c r="CK257" s="822"/>
      <c r="CL257" s="822"/>
      <c r="CM257" s="822"/>
      <c r="CN257" s="822"/>
      <c r="CO257" s="822"/>
      <c r="CP257" s="822"/>
      <c r="CQ257" s="822"/>
      <c r="CR257" s="822"/>
      <c r="CS257" s="822"/>
      <c r="CT257" s="822"/>
      <c r="CU257" s="822"/>
      <c r="CV257" s="822"/>
      <c r="CW257" s="822"/>
      <c r="CX257" s="822"/>
      <c r="CY257" s="822"/>
      <c r="CZ257" s="822"/>
      <c r="DA257" s="822"/>
      <c r="DB257" s="822"/>
      <c r="DC257" s="822"/>
      <c r="DD257" s="822"/>
      <c r="DE257" s="822"/>
      <c r="DF257" s="822"/>
      <c r="DG257" s="822"/>
      <c r="DH257" s="822"/>
      <c r="DI257" s="822"/>
      <c r="DJ257" s="822"/>
      <c r="DK257" s="822"/>
      <c r="DL257" s="822"/>
      <c r="DM257" s="822"/>
      <c r="DN257" s="822"/>
    </row>
    <row r="258" spans="3:148" ht="17.100000000000001" customHeight="1" thickTop="1" x14ac:dyDescent="0.3">
      <c r="E258" s="759"/>
      <c r="F258" s="760"/>
      <c r="G258" s="1059"/>
      <c r="H258" s="1059"/>
      <c r="I258" s="1059"/>
      <c r="J258" s="1059"/>
      <c r="K258" s="1059"/>
      <c r="L258" s="1059"/>
      <c r="M258" s="1059"/>
      <c r="N258" s="1059"/>
      <c r="O258" s="1059"/>
      <c r="P258" s="1059"/>
      <c r="Q258" s="1059"/>
      <c r="R258" s="1059"/>
      <c r="S258" s="1059"/>
      <c r="T258" s="1059"/>
      <c r="U258" s="1059"/>
      <c r="V258" s="1059"/>
      <c r="W258" s="1059"/>
      <c r="X258" s="1059"/>
      <c r="Y258" s="1059"/>
      <c r="Z258" s="1059"/>
      <c r="AA258" s="1059"/>
      <c r="AB258" s="1059"/>
      <c r="AC258" s="1059"/>
      <c r="AD258" s="1059"/>
      <c r="AE258" s="1059"/>
      <c r="AF258" s="1059"/>
      <c r="AG258" s="1123"/>
      <c r="AH258" s="1123"/>
      <c r="AI258" s="1261"/>
      <c r="AJ258" s="1261"/>
      <c r="AK258" s="1261"/>
      <c r="AL258" s="1261"/>
      <c r="AM258" s="4743"/>
      <c r="AN258" s="4743"/>
      <c r="AO258" s="4743"/>
      <c r="AP258" s="1261"/>
      <c r="AQ258" s="1261"/>
      <c r="AR258" s="1261"/>
      <c r="AS258" s="1261"/>
      <c r="AT258" s="1123"/>
      <c r="AU258" s="1123"/>
      <c r="AV258" s="1059"/>
      <c r="AW258" s="1059"/>
      <c r="AX258" s="1059"/>
      <c r="AY258" s="1059"/>
      <c r="AZ258" s="1059"/>
      <c r="BA258" s="1059"/>
      <c r="BB258" s="1059"/>
      <c r="BC258" s="1059"/>
      <c r="BD258" s="1059"/>
      <c r="BE258" s="1059"/>
      <c r="BF258" s="1059"/>
      <c r="BG258" s="1059"/>
      <c r="BH258" s="1059"/>
      <c r="BI258" s="1059"/>
      <c r="BJ258" s="1059"/>
      <c r="BK258" s="1059"/>
      <c r="BL258" s="1059"/>
      <c r="BM258" s="1059"/>
      <c r="BN258" s="1059"/>
      <c r="BO258" s="1059"/>
      <c r="BP258" s="1059"/>
      <c r="BQ258" s="1059"/>
      <c r="BR258" s="1059"/>
      <c r="BS258" s="1059"/>
      <c r="BT258" s="1059"/>
      <c r="BU258" s="1059"/>
      <c r="BV258" s="760"/>
      <c r="BW258" s="761"/>
      <c r="BX258" s="822"/>
      <c r="BY258" s="822"/>
      <c r="BZ258" s="822"/>
      <c r="CA258" s="822"/>
      <c r="CB258" s="822"/>
      <c r="CC258" s="822"/>
      <c r="CD258" s="822"/>
      <c r="CE258" s="822"/>
      <c r="CF258" s="822"/>
      <c r="CG258" s="822"/>
      <c r="CH258" s="822"/>
      <c r="CI258" s="822"/>
      <c r="CJ258" s="822"/>
      <c r="CK258" s="822"/>
      <c r="CL258" s="822"/>
      <c r="CM258" s="822"/>
      <c r="CN258" s="822"/>
      <c r="CO258" s="822"/>
      <c r="CP258" s="822"/>
      <c r="CQ258" s="822"/>
      <c r="CR258" s="822"/>
      <c r="CS258" s="822"/>
      <c r="CT258" s="822"/>
      <c r="CU258" s="822"/>
      <c r="CV258" s="822"/>
      <c r="CW258" s="822"/>
      <c r="CX258" s="822"/>
      <c r="CY258" s="822"/>
      <c r="CZ258" s="822"/>
      <c r="DA258" s="822"/>
      <c r="DB258" s="822"/>
      <c r="DC258" s="822"/>
      <c r="DD258" s="822"/>
      <c r="DE258" s="822"/>
      <c r="DF258" s="822"/>
      <c r="DG258" s="822"/>
      <c r="DH258" s="822"/>
      <c r="DI258" s="822"/>
      <c r="DJ258" s="822"/>
      <c r="DK258" s="822"/>
      <c r="DL258" s="822"/>
      <c r="DM258" s="822"/>
      <c r="DN258" s="822"/>
    </row>
    <row r="259" spans="3:148" ht="17.100000000000001" customHeight="1" thickBot="1" x14ac:dyDescent="0.35">
      <c r="E259" s="762"/>
      <c r="F259" s="94"/>
      <c r="G259" s="1059"/>
      <c r="H259" s="1059"/>
      <c r="I259" s="1059"/>
      <c r="J259" s="1059"/>
      <c r="K259" s="1059"/>
      <c r="L259" s="1059"/>
      <c r="M259" s="1059"/>
      <c r="N259" s="1059"/>
      <c r="O259" s="1059"/>
      <c r="P259" s="1059"/>
      <c r="Q259" s="1059"/>
      <c r="R259" s="1059"/>
      <c r="S259" s="1059"/>
      <c r="T259" s="1059"/>
      <c r="U259" s="1059"/>
      <c r="V259" s="1059"/>
      <c r="W259" s="1059"/>
      <c r="X259" s="1059"/>
      <c r="Y259" s="1059"/>
      <c r="Z259" s="1059"/>
      <c r="AA259" s="1059"/>
      <c r="AB259" s="1059"/>
      <c r="AC259" s="1059"/>
      <c r="AD259" s="1059"/>
      <c r="AE259" s="1059"/>
      <c r="AF259" s="1059"/>
      <c r="AG259" s="1123"/>
      <c r="AH259" s="1123"/>
      <c r="AI259" s="1123"/>
      <c r="AJ259" s="1123"/>
      <c r="AK259" s="1123"/>
      <c r="AL259" s="1123"/>
      <c r="AM259" s="1274"/>
      <c r="AN259" s="1275">
        <v>1</v>
      </c>
      <c r="AO259" s="1274"/>
      <c r="AP259" s="1123"/>
      <c r="AQ259" s="1123"/>
      <c r="AR259" s="1123"/>
      <c r="AS259" s="1123"/>
      <c r="AT259" s="1123"/>
      <c r="AU259" s="1123"/>
      <c r="AV259" s="1059"/>
      <c r="AW259" s="1059"/>
      <c r="AX259" s="1059"/>
      <c r="AY259" s="1059"/>
      <c r="AZ259" s="1059"/>
      <c r="BA259" s="1059"/>
      <c r="BB259" s="1059"/>
      <c r="BC259" s="1059"/>
      <c r="BD259" s="1059"/>
      <c r="BE259" s="1059"/>
      <c r="BF259" s="1059"/>
      <c r="BG259" s="1059"/>
      <c r="BH259" s="1059"/>
      <c r="BI259" s="1059"/>
      <c r="BJ259" s="1059"/>
      <c r="BK259" s="1059"/>
      <c r="BL259" s="1059"/>
      <c r="BM259" s="1059"/>
      <c r="BN259" s="1059"/>
      <c r="BO259" s="1059"/>
      <c r="BP259" s="1059"/>
      <c r="BQ259" s="1059"/>
      <c r="BR259" s="1059"/>
      <c r="BS259" s="1059"/>
      <c r="BT259" s="1059"/>
      <c r="BU259" s="1059"/>
      <c r="BV259" s="94"/>
      <c r="BW259" s="764"/>
      <c r="BX259" s="822"/>
      <c r="BY259" s="822"/>
      <c r="BZ259" s="822"/>
      <c r="CA259" s="822"/>
      <c r="CB259" s="822"/>
      <c r="CC259" s="822"/>
      <c r="CD259" s="822"/>
      <c r="CE259" s="822"/>
      <c r="CF259" s="822"/>
      <c r="CG259" s="822"/>
      <c r="CH259" s="822"/>
      <c r="CI259" s="822"/>
      <c r="CJ259" s="822"/>
      <c r="CK259" s="822"/>
      <c r="CL259" s="822"/>
      <c r="CM259" s="822"/>
      <c r="CN259" s="822"/>
      <c r="CO259" s="822"/>
      <c r="CP259" s="822"/>
      <c r="CQ259" s="822"/>
      <c r="CR259" s="822"/>
      <c r="CS259" s="822"/>
      <c r="CT259" s="822"/>
      <c r="CU259" s="822"/>
      <c r="CV259" s="822"/>
      <c r="CW259" s="822"/>
      <c r="CX259" s="822"/>
      <c r="CY259" s="822"/>
      <c r="CZ259" s="822"/>
      <c r="DA259" s="822"/>
      <c r="DB259" s="822"/>
      <c r="DC259" s="822"/>
      <c r="DD259" s="822"/>
      <c r="DE259" s="822"/>
      <c r="DF259" s="822"/>
      <c r="DG259" s="822"/>
      <c r="DH259" s="822"/>
      <c r="DI259" s="822"/>
      <c r="DJ259" s="822"/>
      <c r="DK259" s="822"/>
      <c r="DL259" s="822"/>
      <c r="DM259" s="822"/>
      <c r="DN259" s="822"/>
    </row>
    <row r="260" spans="3:148" ht="17.100000000000001" customHeight="1" thickTop="1" x14ac:dyDescent="0.3">
      <c r="E260" s="762"/>
      <c r="F260" s="1059"/>
      <c r="G260" s="1059"/>
      <c r="H260" s="1059"/>
      <c r="I260" s="4756" t="s">
        <v>72</v>
      </c>
      <c r="J260" s="4757"/>
      <c r="K260" s="4757"/>
      <c r="L260" s="4794" t="s">
        <v>710</v>
      </c>
      <c r="M260" s="4794"/>
      <c r="N260" s="4757" t="s">
        <v>72</v>
      </c>
      <c r="O260" s="4757"/>
      <c r="P260" s="4762"/>
      <c r="Q260" s="1059"/>
      <c r="R260" s="1059"/>
      <c r="S260" s="4756" t="s">
        <v>72</v>
      </c>
      <c r="T260" s="4757"/>
      <c r="U260" s="4757"/>
      <c r="V260" s="4792" t="s">
        <v>710</v>
      </c>
      <c r="W260" s="4792"/>
      <c r="X260" s="4757" t="s">
        <v>72</v>
      </c>
      <c r="Y260" s="4757"/>
      <c r="Z260" s="4762"/>
      <c r="AA260" s="1059"/>
      <c r="AB260" s="1059"/>
      <c r="AC260" s="4756" t="s">
        <v>72</v>
      </c>
      <c r="AD260" s="4757"/>
      <c r="AE260" s="4757"/>
      <c r="AF260" s="4790" t="s">
        <v>710</v>
      </c>
      <c r="AG260" s="4790"/>
      <c r="AH260" s="4757" t="s">
        <v>72</v>
      </c>
      <c r="AI260" s="4757"/>
      <c r="AJ260" s="4762"/>
      <c r="AK260" s="1059"/>
      <c r="AL260" s="1059"/>
      <c r="AM260" s="4853" t="s">
        <v>1472</v>
      </c>
      <c r="AN260" s="4853"/>
      <c r="AO260" s="4853"/>
      <c r="AP260" s="1059"/>
      <c r="AQ260" s="1059"/>
      <c r="AR260" s="4756" t="s">
        <v>72</v>
      </c>
      <c r="AS260" s="4757"/>
      <c r="AT260" s="4757"/>
      <c r="AU260" s="4790" t="s">
        <v>939</v>
      </c>
      <c r="AV260" s="4790"/>
      <c r="AW260" s="4757" t="s">
        <v>72</v>
      </c>
      <c r="AX260" s="4757"/>
      <c r="AY260" s="4762"/>
      <c r="AZ260" s="1059"/>
      <c r="BA260" s="1059"/>
      <c r="BB260" s="4756" t="s">
        <v>72</v>
      </c>
      <c r="BC260" s="4757"/>
      <c r="BD260" s="4757"/>
      <c r="BE260" s="4792" t="s">
        <v>939</v>
      </c>
      <c r="BF260" s="4792"/>
      <c r="BG260" s="4757" t="s">
        <v>72</v>
      </c>
      <c r="BH260" s="4757"/>
      <c r="BI260" s="4762"/>
      <c r="BJ260" s="1059"/>
      <c r="BK260" s="1059"/>
      <c r="BL260" s="4756" t="s">
        <v>72</v>
      </c>
      <c r="BM260" s="4757"/>
      <c r="BN260" s="4757"/>
      <c r="BO260" s="4794" t="s">
        <v>939</v>
      </c>
      <c r="BP260" s="4794"/>
      <c r="BQ260" s="4757" t="s">
        <v>72</v>
      </c>
      <c r="BR260" s="4757"/>
      <c r="BS260" s="4762"/>
      <c r="BT260" s="1059"/>
      <c r="BU260" s="1059"/>
      <c r="BV260" s="1059"/>
      <c r="BW260" s="764"/>
      <c r="BX260" s="822"/>
      <c r="BY260" s="822"/>
      <c r="BZ260" s="822"/>
      <c r="CA260" s="822"/>
      <c r="CB260" s="822"/>
      <c r="CC260" s="822"/>
      <c r="CD260" s="822"/>
      <c r="CE260" s="822"/>
      <c r="CF260" s="822"/>
      <c r="CG260" s="822"/>
      <c r="CH260" s="822"/>
      <c r="CI260" s="822"/>
      <c r="CJ260" s="822"/>
      <c r="CK260" s="822"/>
      <c r="CL260" s="822"/>
      <c r="CM260" s="822"/>
      <c r="CN260" s="822"/>
      <c r="CO260" s="822"/>
      <c r="CP260" s="822"/>
      <c r="CQ260" s="822"/>
      <c r="CR260" s="822"/>
      <c r="CS260" s="822"/>
      <c r="CT260" s="822"/>
      <c r="CU260" s="822"/>
      <c r="CV260" s="822"/>
      <c r="CW260" s="822"/>
      <c r="CX260" s="822"/>
      <c r="CY260" s="822"/>
      <c r="CZ260" s="822"/>
      <c r="DA260" s="822"/>
      <c r="DB260" s="822"/>
      <c r="DC260" s="822"/>
      <c r="DD260" s="822"/>
      <c r="DE260" s="822"/>
      <c r="DF260" s="822"/>
      <c r="DG260" s="822"/>
      <c r="DH260" s="822"/>
      <c r="DI260" s="822"/>
      <c r="DJ260" s="822"/>
      <c r="DK260" s="822"/>
      <c r="DL260" s="822"/>
      <c r="DM260" s="822"/>
      <c r="DN260" s="822"/>
    </row>
    <row r="261" spans="3:148" ht="17.100000000000001" customHeight="1" x14ac:dyDescent="0.3">
      <c r="E261" s="762"/>
      <c r="F261" s="1059"/>
      <c r="G261" s="1059"/>
      <c r="H261" s="1059"/>
      <c r="I261" s="4758"/>
      <c r="J261" s="4759"/>
      <c r="K261" s="4759"/>
      <c r="L261" s="4807"/>
      <c r="M261" s="4807"/>
      <c r="N261" s="4759"/>
      <c r="O261" s="4759"/>
      <c r="P261" s="4763"/>
      <c r="Q261" s="1059"/>
      <c r="R261" s="1059"/>
      <c r="S261" s="4758"/>
      <c r="T261" s="4759"/>
      <c r="U261" s="4759"/>
      <c r="V261" s="4805"/>
      <c r="W261" s="4805"/>
      <c r="X261" s="4759"/>
      <c r="Y261" s="4759"/>
      <c r="Z261" s="4763"/>
      <c r="AA261" s="1059"/>
      <c r="AB261" s="1059"/>
      <c r="AC261" s="4758"/>
      <c r="AD261" s="4759"/>
      <c r="AE261" s="4759"/>
      <c r="AF261" s="4806"/>
      <c r="AG261" s="4806"/>
      <c r="AH261" s="4759"/>
      <c r="AI261" s="4759"/>
      <c r="AJ261" s="4763"/>
      <c r="AK261" s="1059"/>
      <c r="AL261" s="1059"/>
      <c r="AM261" s="4853"/>
      <c r="AN261" s="4853"/>
      <c r="AO261" s="4853"/>
      <c r="AP261" s="1059"/>
      <c r="AQ261" s="1059"/>
      <c r="AR261" s="4758"/>
      <c r="AS261" s="4759"/>
      <c r="AT261" s="4759"/>
      <c r="AU261" s="4806"/>
      <c r="AV261" s="4806"/>
      <c r="AW261" s="4759"/>
      <c r="AX261" s="4759"/>
      <c r="AY261" s="4763"/>
      <c r="AZ261" s="1059"/>
      <c r="BA261" s="1059"/>
      <c r="BB261" s="4758"/>
      <c r="BC261" s="4759"/>
      <c r="BD261" s="4759"/>
      <c r="BE261" s="4805"/>
      <c r="BF261" s="4805"/>
      <c r="BG261" s="4759"/>
      <c r="BH261" s="4759"/>
      <c r="BI261" s="4763"/>
      <c r="BJ261" s="1059"/>
      <c r="BK261" s="1059"/>
      <c r="BL261" s="4758"/>
      <c r="BM261" s="4759"/>
      <c r="BN261" s="4759"/>
      <c r="BO261" s="4807"/>
      <c r="BP261" s="4807"/>
      <c r="BQ261" s="4759"/>
      <c r="BR261" s="4759"/>
      <c r="BS261" s="4763"/>
      <c r="BT261" s="1059"/>
      <c r="BU261" s="1059"/>
      <c r="BV261" s="1059"/>
      <c r="BW261" s="764"/>
      <c r="BX261" s="822"/>
      <c r="BY261" s="822"/>
      <c r="BZ261" s="822"/>
      <c r="CA261" s="822"/>
      <c r="CB261" s="822"/>
      <c r="CC261" s="822"/>
      <c r="CD261" s="822"/>
      <c r="CE261" s="822"/>
      <c r="CF261" s="822"/>
      <c r="CG261" s="822"/>
      <c r="CH261" s="822"/>
      <c r="CI261" s="822"/>
      <c r="CJ261" s="822"/>
      <c r="CK261" s="822"/>
      <c r="CL261" s="822"/>
      <c r="CM261" s="822"/>
      <c r="CN261" s="822"/>
      <c r="CO261" s="822"/>
      <c r="CP261" s="822"/>
      <c r="CQ261" s="822"/>
      <c r="CR261" s="822"/>
      <c r="CS261" s="822"/>
      <c r="CT261" s="822"/>
      <c r="CU261" s="822"/>
      <c r="CV261" s="822"/>
      <c r="CW261" s="822"/>
      <c r="CX261" s="822"/>
      <c r="CY261" s="822"/>
      <c r="CZ261" s="822"/>
      <c r="DA261" s="822"/>
      <c r="DB261" s="822"/>
      <c r="DC261" s="822"/>
      <c r="DD261" s="822"/>
      <c r="DE261" s="822"/>
      <c r="DF261" s="822"/>
      <c r="DG261" s="822"/>
      <c r="DH261" s="822"/>
      <c r="DI261" s="822"/>
      <c r="DJ261" s="822"/>
      <c r="DK261" s="822"/>
      <c r="DL261" s="822"/>
      <c r="DM261" s="822"/>
      <c r="DN261" s="822"/>
    </row>
    <row r="262" spans="3:148" ht="17.100000000000001" customHeight="1" x14ac:dyDescent="0.3">
      <c r="E262" s="762"/>
      <c r="F262" s="1059"/>
      <c r="G262" s="1059"/>
      <c r="H262" s="1059"/>
      <c r="I262" s="4766"/>
      <c r="J262" s="4768"/>
      <c r="K262" s="4769"/>
      <c r="L262" s="4769"/>
      <c r="M262" s="4769"/>
      <c r="N262" s="4769"/>
      <c r="O262" s="4770"/>
      <c r="P262" s="4777"/>
      <c r="Q262" s="1059"/>
      <c r="R262" s="1059"/>
      <c r="S262" s="4766"/>
      <c r="T262" s="4768"/>
      <c r="U262" s="4769"/>
      <c r="V262" s="4769"/>
      <c r="W262" s="4769"/>
      <c r="X262" s="4769"/>
      <c r="Y262" s="4770"/>
      <c r="Z262" s="4777"/>
      <c r="AA262" s="1059"/>
      <c r="AB262" s="1059"/>
      <c r="AC262" s="4766"/>
      <c r="AD262" s="4768"/>
      <c r="AE262" s="4769"/>
      <c r="AF262" s="4769"/>
      <c r="AG262" s="4769"/>
      <c r="AH262" s="4769"/>
      <c r="AI262" s="4770"/>
      <c r="AJ262" s="4777"/>
      <c r="AK262" s="1059"/>
      <c r="AL262" s="1059"/>
      <c r="AM262" s="4853"/>
      <c r="AN262" s="4853"/>
      <c r="AO262" s="4853"/>
      <c r="AP262" s="1059"/>
      <c r="AQ262" s="1059"/>
      <c r="AR262" s="4766"/>
      <c r="AS262" s="4768"/>
      <c r="AT262" s="4769"/>
      <c r="AU262" s="4769"/>
      <c r="AV262" s="4769"/>
      <c r="AW262" s="4769"/>
      <c r="AX262" s="4770"/>
      <c r="AY262" s="4777"/>
      <c r="AZ262" s="1059"/>
      <c r="BA262" s="1059"/>
      <c r="BB262" s="4766"/>
      <c r="BC262" s="4768"/>
      <c r="BD262" s="4769"/>
      <c r="BE262" s="4769"/>
      <c r="BF262" s="4769"/>
      <c r="BG262" s="4769"/>
      <c r="BH262" s="4770"/>
      <c r="BI262" s="4777"/>
      <c r="BJ262" s="1059"/>
      <c r="BK262" s="1059"/>
      <c r="BL262" s="4766"/>
      <c r="BM262" s="4768"/>
      <c r="BN262" s="4769"/>
      <c r="BO262" s="4769"/>
      <c r="BP262" s="4769"/>
      <c r="BQ262" s="4769"/>
      <c r="BR262" s="4770"/>
      <c r="BS262" s="4777"/>
      <c r="BT262" s="1059"/>
      <c r="BU262" s="1059"/>
      <c r="BV262" s="1059"/>
      <c r="BW262" s="764"/>
      <c r="BX262" s="822"/>
      <c r="BY262" s="822"/>
      <c r="BZ262" s="822"/>
      <c r="CA262" s="822"/>
      <c r="CB262" s="822"/>
      <c r="CC262" s="822"/>
      <c r="CD262" s="822"/>
      <c r="CE262" s="822"/>
      <c r="CF262" s="822"/>
      <c r="CG262" s="822"/>
      <c r="CH262" s="822"/>
      <c r="CI262" s="822"/>
      <c r="CJ262" s="4826" t="str">
        <f>IF(J262=0,"",J262)</f>
        <v/>
      </c>
      <c r="CK262" s="4827"/>
      <c r="CL262" s="4827"/>
      <c r="CM262" s="4827"/>
      <c r="CN262" s="4827"/>
      <c r="CO262" s="4828"/>
      <c r="CP262" s="822"/>
      <c r="CQ262" s="822"/>
      <c r="CR262" s="822"/>
      <c r="CS262" s="822"/>
      <c r="CT262" s="4826" t="str">
        <f>IF(T262=0,"",T262)</f>
        <v/>
      </c>
      <c r="CU262" s="4827"/>
      <c r="CV262" s="4827"/>
      <c r="CW262" s="4827"/>
      <c r="CX262" s="4827"/>
      <c r="CY262" s="4828"/>
      <c r="CZ262" s="822"/>
      <c r="DA262" s="822"/>
      <c r="DB262" s="822"/>
      <c r="DC262" s="822"/>
      <c r="DD262" s="4826" t="str">
        <f>IF(AD262=0,"",AD262)</f>
        <v/>
      </c>
      <c r="DE262" s="4827"/>
      <c r="DF262" s="4827"/>
      <c r="DG262" s="4827"/>
      <c r="DH262" s="4827"/>
      <c r="DI262" s="4828"/>
      <c r="DJ262" s="822"/>
      <c r="DK262" s="822"/>
      <c r="DL262" s="822"/>
      <c r="DM262" s="822"/>
      <c r="DN262" s="822"/>
      <c r="DO262" s="822"/>
      <c r="DP262" s="822"/>
      <c r="DQ262" s="822"/>
      <c r="DR262" s="822"/>
      <c r="DS262" s="4826" t="str">
        <f>IF(AS262=0,"",AS262)</f>
        <v/>
      </c>
      <c r="DT262" s="4827"/>
      <c r="DU262" s="4827"/>
      <c r="DV262" s="4827"/>
      <c r="DW262" s="4827"/>
      <c r="DX262" s="4828"/>
      <c r="DY262" s="822"/>
      <c r="DZ262" s="822"/>
      <c r="EA262" s="822"/>
      <c r="EB262" s="822"/>
      <c r="EC262" s="4826" t="str">
        <f>IF(BC262=0,"",BC262)</f>
        <v/>
      </c>
      <c r="ED262" s="4827"/>
      <c r="EE262" s="4827"/>
      <c r="EF262" s="4827"/>
      <c r="EG262" s="4827"/>
      <c r="EH262" s="4828"/>
      <c r="EI262" s="822"/>
      <c r="EJ262" s="822"/>
      <c r="EK262" s="822"/>
      <c r="EL262" s="822"/>
      <c r="EM262" s="4826" t="str">
        <f>IF(BM262=0,"",BM262)</f>
        <v/>
      </c>
      <c r="EN262" s="4827"/>
      <c r="EO262" s="4827"/>
      <c r="EP262" s="4827"/>
      <c r="EQ262" s="4827"/>
      <c r="ER262" s="4828"/>
    </row>
    <row r="263" spans="3:148" ht="17.100000000000001" customHeight="1" x14ac:dyDescent="0.3">
      <c r="E263" s="762"/>
      <c r="F263" s="1059"/>
      <c r="G263" s="1059"/>
      <c r="H263" s="1059"/>
      <c r="I263" s="4766"/>
      <c r="J263" s="4771"/>
      <c r="K263" s="4772"/>
      <c r="L263" s="4772"/>
      <c r="M263" s="4772"/>
      <c r="N263" s="4772"/>
      <c r="O263" s="4773"/>
      <c r="P263" s="4777"/>
      <c r="Q263" s="1059"/>
      <c r="R263" s="1059"/>
      <c r="S263" s="4766"/>
      <c r="T263" s="4771"/>
      <c r="U263" s="4772"/>
      <c r="V263" s="4772"/>
      <c r="W263" s="4772"/>
      <c r="X263" s="4772"/>
      <c r="Y263" s="4773"/>
      <c r="Z263" s="4777"/>
      <c r="AA263" s="1059"/>
      <c r="AB263" s="1059"/>
      <c r="AC263" s="4766"/>
      <c r="AD263" s="4771"/>
      <c r="AE263" s="4772"/>
      <c r="AF263" s="4772"/>
      <c r="AG263" s="4772"/>
      <c r="AH263" s="4772"/>
      <c r="AI263" s="4773"/>
      <c r="AJ263" s="4777"/>
      <c r="AK263" s="1059"/>
      <c r="AL263" s="1059"/>
      <c r="AM263" s="2285">
        <f>AN281</f>
        <v>0</v>
      </c>
      <c r="AN263" s="2276" t="s">
        <v>710</v>
      </c>
      <c r="AO263" s="1278"/>
      <c r="AP263" s="1059"/>
      <c r="AQ263" s="1059"/>
      <c r="AR263" s="4766"/>
      <c r="AS263" s="4771"/>
      <c r="AT263" s="4772"/>
      <c r="AU263" s="4772"/>
      <c r="AV263" s="4772"/>
      <c r="AW263" s="4772"/>
      <c r="AX263" s="4773"/>
      <c r="AY263" s="4777"/>
      <c r="AZ263" s="1059"/>
      <c r="BA263" s="1059"/>
      <c r="BB263" s="4766"/>
      <c r="BC263" s="4771"/>
      <c r="BD263" s="4772"/>
      <c r="BE263" s="4772"/>
      <c r="BF263" s="4772"/>
      <c r="BG263" s="4772"/>
      <c r="BH263" s="4773"/>
      <c r="BI263" s="4777"/>
      <c r="BJ263" s="1059"/>
      <c r="BK263" s="1059"/>
      <c r="BL263" s="4766"/>
      <c r="BM263" s="4771"/>
      <c r="BN263" s="4772"/>
      <c r="BO263" s="4772"/>
      <c r="BP263" s="4772"/>
      <c r="BQ263" s="4772"/>
      <c r="BR263" s="4773"/>
      <c r="BS263" s="4777"/>
      <c r="BT263" s="1059"/>
      <c r="BU263" s="1059"/>
      <c r="BV263" s="1059"/>
      <c r="BW263" s="764"/>
      <c r="BX263" s="822"/>
      <c r="BY263" s="822"/>
      <c r="BZ263" s="822"/>
      <c r="CA263" s="822"/>
      <c r="CB263" s="822"/>
      <c r="CC263" s="822"/>
      <c r="CD263" s="822"/>
      <c r="CE263" s="822"/>
      <c r="CF263" s="822"/>
      <c r="CG263" s="822"/>
      <c r="CH263" s="822"/>
      <c r="CI263" s="822"/>
      <c r="CJ263" s="4829"/>
      <c r="CK263" s="4830"/>
      <c r="CL263" s="4830"/>
      <c r="CM263" s="4830"/>
      <c r="CN263" s="4830"/>
      <c r="CO263" s="4831"/>
      <c r="CP263" s="822"/>
      <c r="CQ263" s="822"/>
      <c r="CR263" s="822"/>
      <c r="CS263" s="822"/>
      <c r="CT263" s="4829"/>
      <c r="CU263" s="4830"/>
      <c r="CV263" s="4830"/>
      <c r="CW263" s="4830"/>
      <c r="CX263" s="4830"/>
      <c r="CY263" s="4831"/>
      <c r="CZ263" s="822"/>
      <c r="DA263" s="822"/>
      <c r="DB263" s="822"/>
      <c r="DC263" s="822"/>
      <c r="DD263" s="4829"/>
      <c r="DE263" s="4830"/>
      <c r="DF263" s="4830"/>
      <c r="DG263" s="4830"/>
      <c r="DH263" s="4830"/>
      <c r="DI263" s="4831"/>
      <c r="DJ263" s="822"/>
      <c r="DK263" s="822"/>
      <c r="DL263" s="822"/>
      <c r="DM263" s="822"/>
      <c r="DN263" s="822"/>
      <c r="DO263" s="822"/>
      <c r="DP263" s="822"/>
      <c r="DQ263" s="822"/>
      <c r="DR263" s="822"/>
      <c r="DS263" s="4829"/>
      <c r="DT263" s="4830"/>
      <c r="DU263" s="4830"/>
      <c r="DV263" s="4830"/>
      <c r="DW263" s="4830"/>
      <c r="DX263" s="4831"/>
      <c r="DY263" s="822"/>
      <c r="DZ263" s="822"/>
      <c r="EA263" s="822"/>
      <c r="EB263" s="822"/>
      <c r="EC263" s="4829"/>
      <c r="ED263" s="4830"/>
      <c r="EE263" s="4830"/>
      <c r="EF263" s="4830"/>
      <c r="EG263" s="4830"/>
      <c r="EH263" s="4831"/>
      <c r="EI263" s="822"/>
      <c r="EJ263" s="822"/>
      <c r="EK263" s="822"/>
      <c r="EL263" s="822"/>
      <c r="EM263" s="4829"/>
      <c r="EN263" s="4830"/>
      <c r="EO263" s="4830"/>
      <c r="EP263" s="4830"/>
      <c r="EQ263" s="4830"/>
      <c r="ER263" s="4831"/>
    </row>
    <row r="264" spans="3:148" ht="17.100000000000001" customHeight="1" x14ac:dyDescent="0.3">
      <c r="E264" s="762"/>
      <c r="F264" s="1059"/>
      <c r="G264" s="1059"/>
      <c r="H264" s="1059"/>
      <c r="I264" s="4766"/>
      <c r="J264" s="4774"/>
      <c r="K264" s="4775"/>
      <c r="L264" s="4775"/>
      <c r="M264" s="4775"/>
      <c r="N264" s="4775"/>
      <c r="O264" s="4776"/>
      <c r="P264" s="4777"/>
      <c r="Q264" s="1059"/>
      <c r="R264" s="1059"/>
      <c r="S264" s="4766"/>
      <c r="T264" s="4774"/>
      <c r="U264" s="4775"/>
      <c r="V264" s="4775"/>
      <c r="W264" s="4775"/>
      <c r="X264" s="4775"/>
      <c r="Y264" s="4776"/>
      <c r="Z264" s="4777"/>
      <c r="AA264" s="1059"/>
      <c r="AB264" s="1059"/>
      <c r="AC264" s="4766"/>
      <c r="AD264" s="4774"/>
      <c r="AE264" s="4775"/>
      <c r="AF264" s="4775"/>
      <c r="AG264" s="4775"/>
      <c r="AH264" s="4775"/>
      <c r="AI264" s="4776"/>
      <c r="AJ264" s="4777"/>
      <c r="AK264" s="1059"/>
      <c r="AL264" s="1059"/>
      <c r="AM264" s="2285">
        <f>AN281</f>
        <v>0</v>
      </c>
      <c r="AN264" s="2277" t="s">
        <v>941</v>
      </c>
      <c r="AO264" s="1278"/>
      <c r="AP264" s="1059"/>
      <c r="AQ264" s="1059"/>
      <c r="AR264" s="4766"/>
      <c r="AS264" s="4774"/>
      <c r="AT264" s="4775"/>
      <c r="AU264" s="4775"/>
      <c r="AV264" s="4775"/>
      <c r="AW264" s="4775"/>
      <c r="AX264" s="4776"/>
      <c r="AY264" s="4777"/>
      <c r="AZ264" s="1059"/>
      <c r="BA264" s="1059"/>
      <c r="BB264" s="4766"/>
      <c r="BC264" s="4774"/>
      <c r="BD264" s="4775"/>
      <c r="BE264" s="4775"/>
      <c r="BF264" s="4775"/>
      <c r="BG264" s="4775"/>
      <c r="BH264" s="4776"/>
      <c r="BI264" s="4777"/>
      <c r="BJ264" s="1059"/>
      <c r="BK264" s="1059"/>
      <c r="BL264" s="4766"/>
      <c r="BM264" s="4774"/>
      <c r="BN264" s="4775"/>
      <c r="BO264" s="4775"/>
      <c r="BP264" s="4775"/>
      <c r="BQ264" s="4775"/>
      <c r="BR264" s="4776"/>
      <c r="BS264" s="4777"/>
      <c r="BT264" s="1059"/>
      <c r="BU264" s="1059"/>
      <c r="BV264" s="1059"/>
      <c r="BW264" s="764"/>
      <c r="BX264" s="822"/>
      <c r="BY264" s="822"/>
      <c r="BZ264" s="822"/>
      <c r="CA264" s="822"/>
      <c r="CB264" s="822"/>
      <c r="CC264" s="822"/>
      <c r="CD264" s="822"/>
      <c r="CE264" s="822"/>
      <c r="CF264" s="822"/>
      <c r="CG264" s="822"/>
      <c r="CH264" s="822"/>
      <c r="CI264" s="822"/>
      <c r="CJ264" s="4832"/>
      <c r="CK264" s="4833"/>
      <c r="CL264" s="4833"/>
      <c r="CM264" s="4833"/>
      <c r="CN264" s="4833"/>
      <c r="CO264" s="4834"/>
      <c r="CP264" s="822"/>
      <c r="CQ264" s="822"/>
      <c r="CR264" s="822"/>
      <c r="CS264" s="822"/>
      <c r="CT264" s="4832"/>
      <c r="CU264" s="4833"/>
      <c r="CV264" s="4833"/>
      <c r="CW264" s="4833"/>
      <c r="CX264" s="4833"/>
      <c r="CY264" s="4834"/>
      <c r="CZ264" s="822"/>
      <c r="DA264" s="822"/>
      <c r="DB264" s="822"/>
      <c r="DC264" s="822"/>
      <c r="DD264" s="4832"/>
      <c r="DE264" s="4833"/>
      <c r="DF264" s="4833"/>
      <c r="DG264" s="4833"/>
      <c r="DH264" s="4833"/>
      <c r="DI264" s="4834"/>
      <c r="DJ264" s="822"/>
      <c r="DK264" s="822"/>
      <c r="DL264" s="822"/>
      <c r="DM264" s="822"/>
      <c r="DN264" s="822"/>
      <c r="DO264" s="822"/>
      <c r="DP264" s="822"/>
      <c r="DQ264" s="822"/>
      <c r="DR264" s="822"/>
      <c r="DS264" s="4832"/>
      <c r="DT264" s="4833"/>
      <c r="DU264" s="4833"/>
      <c r="DV264" s="4833"/>
      <c r="DW264" s="4833"/>
      <c r="DX264" s="4834"/>
      <c r="DY264" s="822"/>
      <c r="DZ264" s="822"/>
      <c r="EA264" s="822"/>
      <c r="EB264" s="822"/>
      <c r="EC264" s="4832"/>
      <c r="ED264" s="4833"/>
      <c r="EE264" s="4833"/>
      <c r="EF264" s="4833"/>
      <c r="EG264" s="4833"/>
      <c r="EH264" s="4834"/>
      <c r="EI264" s="822"/>
      <c r="EJ264" s="822"/>
      <c r="EK264" s="822"/>
      <c r="EL264" s="822"/>
      <c r="EM264" s="4832"/>
      <c r="EN264" s="4833"/>
      <c r="EO264" s="4833"/>
      <c r="EP264" s="4833"/>
      <c r="EQ264" s="4833"/>
      <c r="ER264" s="4834"/>
    </row>
    <row r="265" spans="3:148" ht="17.100000000000001" customHeight="1" thickBot="1" x14ac:dyDescent="0.35">
      <c r="E265" s="762"/>
      <c r="F265" s="1059"/>
      <c r="G265" s="1059"/>
      <c r="H265" s="1059"/>
      <c r="I265" s="4767"/>
      <c r="J265" s="4789" t="s">
        <v>505</v>
      </c>
      <c r="K265" s="4789"/>
      <c r="L265" s="4789"/>
      <c r="M265" s="4789"/>
      <c r="N265" s="4789"/>
      <c r="O265" s="4789"/>
      <c r="P265" s="4778"/>
      <c r="Q265" s="1059"/>
      <c r="R265" s="1059"/>
      <c r="S265" s="4767"/>
      <c r="T265" s="4789" t="s">
        <v>505</v>
      </c>
      <c r="U265" s="4789"/>
      <c r="V265" s="4789"/>
      <c r="W265" s="4789"/>
      <c r="X265" s="4789"/>
      <c r="Y265" s="4789"/>
      <c r="Z265" s="4778"/>
      <c r="AA265" s="1059"/>
      <c r="AB265" s="1059"/>
      <c r="AC265" s="4767"/>
      <c r="AD265" s="4789" t="s">
        <v>505</v>
      </c>
      <c r="AE265" s="4789"/>
      <c r="AF265" s="4789"/>
      <c r="AG265" s="4789"/>
      <c r="AH265" s="4789"/>
      <c r="AI265" s="4789"/>
      <c r="AJ265" s="4778"/>
      <c r="AK265" s="1059"/>
      <c r="AL265" s="1059"/>
      <c r="AM265" s="2285">
        <f>AN281</f>
        <v>0</v>
      </c>
      <c r="AN265" s="2278" t="s">
        <v>144</v>
      </c>
      <c r="AO265" s="1278"/>
      <c r="AP265" s="1059"/>
      <c r="AQ265" s="1059"/>
      <c r="AR265" s="4767"/>
      <c r="AS265" s="4789" t="s">
        <v>505</v>
      </c>
      <c r="AT265" s="4789"/>
      <c r="AU265" s="4789"/>
      <c r="AV265" s="4789"/>
      <c r="AW265" s="4789"/>
      <c r="AX265" s="4789"/>
      <c r="AY265" s="4778"/>
      <c r="AZ265" s="1059"/>
      <c r="BA265" s="1059"/>
      <c r="BB265" s="4767"/>
      <c r="BC265" s="4789" t="s">
        <v>505</v>
      </c>
      <c r="BD265" s="4789"/>
      <c r="BE265" s="4789"/>
      <c r="BF265" s="4789"/>
      <c r="BG265" s="4789"/>
      <c r="BH265" s="4789"/>
      <c r="BI265" s="4778"/>
      <c r="BJ265" s="1059"/>
      <c r="BK265" s="1059"/>
      <c r="BL265" s="4767"/>
      <c r="BM265" s="4789" t="s">
        <v>505</v>
      </c>
      <c r="BN265" s="4789"/>
      <c r="BO265" s="4789"/>
      <c r="BP265" s="4789"/>
      <c r="BQ265" s="4789"/>
      <c r="BR265" s="4789"/>
      <c r="BS265" s="4778"/>
      <c r="BT265" s="1059"/>
      <c r="BU265" s="1059"/>
      <c r="BV265" s="1059"/>
      <c r="BW265" s="764"/>
      <c r="BX265" s="822"/>
      <c r="BY265" s="822"/>
      <c r="BZ265" s="822"/>
      <c r="CA265" s="822"/>
      <c r="CB265" s="822"/>
      <c r="CC265" s="822"/>
      <c r="CD265" s="822"/>
      <c r="CE265" s="822"/>
      <c r="CF265" s="822"/>
      <c r="CG265" s="822"/>
      <c r="CH265" s="822"/>
      <c r="CI265" s="822"/>
      <c r="CJ265" s="822"/>
      <c r="CK265" s="822"/>
      <c r="CL265" s="822"/>
      <c r="CM265" s="822"/>
      <c r="CN265" s="822"/>
      <c r="CO265" s="822"/>
      <c r="CP265" s="822"/>
      <c r="CQ265" s="822"/>
      <c r="CR265" s="822"/>
      <c r="CS265" s="822"/>
      <c r="CT265" s="822"/>
      <c r="CU265" s="822"/>
      <c r="CV265" s="822"/>
      <c r="CW265" s="822"/>
      <c r="CX265" s="822"/>
      <c r="CY265" s="822"/>
      <c r="CZ265" s="822"/>
      <c r="DA265" s="822"/>
      <c r="DB265" s="822"/>
      <c r="DC265" s="822"/>
      <c r="DD265" s="822"/>
      <c r="DE265" s="822"/>
      <c r="DF265" s="822"/>
      <c r="DG265" s="822"/>
      <c r="DH265" s="822"/>
      <c r="DI265" s="822"/>
      <c r="DJ265" s="822"/>
      <c r="DK265" s="822"/>
      <c r="DL265" s="822"/>
      <c r="DM265" s="822"/>
      <c r="DN265" s="822"/>
      <c r="DO265" s="822"/>
      <c r="DP265" s="822"/>
      <c r="DQ265" s="822"/>
      <c r="DR265" s="822"/>
      <c r="DS265" s="822"/>
      <c r="DT265" s="822"/>
      <c r="DU265" s="822"/>
      <c r="DV265" s="822"/>
      <c r="DW265" s="822"/>
      <c r="DX265" s="822"/>
      <c r="DY265" s="822"/>
      <c r="DZ265" s="822"/>
      <c r="EA265" s="822"/>
      <c r="EB265" s="822"/>
      <c r="EC265" s="822"/>
      <c r="ED265" s="822"/>
      <c r="EE265" s="822"/>
      <c r="EF265" s="822"/>
      <c r="EG265" s="822"/>
      <c r="EH265" s="822"/>
      <c r="EI265" s="822"/>
      <c r="EJ265" s="822"/>
      <c r="EK265" s="822"/>
      <c r="EL265" s="822"/>
      <c r="EM265" s="822"/>
      <c r="EN265" s="822"/>
      <c r="EO265" s="822"/>
      <c r="EP265" s="822"/>
      <c r="EQ265" s="822"/>
      <c r="ER265" s="822"/>
    </row>
    <row r="266" spans="3:148" ht="17.100000000000001" customHeight="1" thickTop="1" x14ac:dyDescent="0.3">
      <c r="E266" s="762"/>
      <c r="F266" s="1059"/>
      <c r="G266" s="1059"/>
      <c r="H266" s="1059"/>
      <c r="I266" s="1059"/>
      <c r="J266" s="1059"/>
      <c r="K266" s="1059"/>
      <c r="L266" s="1059"/>
      <c r="M266" s="1059"/>
      <c r="N266" s="1059"/>
      <c r="O266" s="1059"/>
      <c r="P266" s="1059"/>
      <c r="Q266" s="1059"/>
      <c r="R266" s="1059"/>
      <c r="S266" s="1059"/>
      <c r="T266" s="1059"/>
      <c r="U266" s="1059"/>
      <c r="V266" s="1059"/>
      <c r="W266" s="1059"/>
      <c r="X266" s="1059"/>
      <c r="Y266" s="1059"/>
      <c r="Z266" s="1059"/>
      <c r="AA266" s="1059"/>
      <c r="AB266" s="1059"/>
      <c r="AC266" s="1059"/>
      <c r="AD266" s="1059"/>
      <c r="AE266" s="1059"/>
      <c r="AF266" s="1059"/>
      <c r="AG266" s="1059"/>
      <c r="AH266" s="1059"/>
      <c r="AI266" s="1059"/>
      <c r="AJ266" s="1059"/>
      <c r="AK266" s="1059"/>
      <c r="AL266" s="1059"/>
      <c r="AM266" s="2285">
        <f>AN281</f>
        <v>0</v>
      </c>
      <c r="AN266" s="2279" t="s">
        <v>939</v>
      </c>
      <c r="AO266" s="1278"/>
      <c r="AP266" s="1059"/>
      <c r="AQ266" s="1059"/>
      <c r="AR266" s="1059"/>
      <c r="AS266" s="1059"/>
      <c r="AT266" s="1059"/>
      <c r="AU266" s="1059"/>
      <c r="AV266" s="1059"/>
      <c r="AW266" s="1059"/>
      <c r="AX266" s="1059"/>
      <c r="AY266" s="1059"/>
      <c r="AZ266" s="1059"/>
      <c r="BA266" s="1059"/>
      <c r="BB266" s="1059"/>
      <c r="BC266" s="1059"/>
      <c r="BD266" s="1059"/>
      <c r="BE266" s="1059"/>
      <c r="BF266" s="1059"/>
      <c r="BG266" s="1059"/>
      <c r="BH266" s="1059"/>
      <c r="BI266" s="1059"/>
      <c r="BJ266" s="1059"/>
      <c r="BK266" s="1059"/>
      <c r="BL266" s="1059"/>
      <c r="BM266" s="1059"/>
      <c r="BN266" s="1059"/>
      <c r="BO266" s="1059"/>
      <c r="BP266" s="1059"/>
      <c r="BQ266" s="1059"/>
      <c r="BR266" s="1059"/>
      <c r="BS266" s="1059"/>
      <c r="BT266" s="1059"/>
      <c r="BU266" s="1059"/>
      <c r="BV266" s="1059"/>
      <c r="BW266" s="764"/>
      <c r="BX266" s="822"/>
      <c r="BY266" s="822"/>
      <c r="BZ266" s="822"/>
      <c r="CA266" s="822"/>
      <c r="CB266" s="822"/>
      <c r="CC266" s="822"/>
      <c r="CD266" s="822"/>
      <c r="CE266" s="822"/>
      <c r="CF266" s="822"/>
      <c r="CG266" s="822"/>
      <c r="CH266" s="822"/>
      <c r="CI266" s="822"/>
      <c r="CJ266" s="822"/>
      <c r="CK266" s="822"/>
      <c r="CL266" s="822"/>
      <c r="CM266" s="822"/>
      <c r="CN266" s="822"/>
      <c r="CO266" s="822"/>
      <c r="CP266" s="822"/>
      <c r="CQ266" s="822"/>
      <c r="CR266" s="822"/>
      <c r="CS266" s="822"/>
      <c r="CT266" s="822"/>
      <c r="CU266" s="822"/>
      <c r="CV266" s="822"/>
      <c r="CW266" s="822"/>
      <c r="CX266" s="822"/>
      <c r="CY266" s="822"/>
      <c r="CZ266" s="822"/>
      <c r="DA266" s="822"/>
      <c r="DB266" s="822"/>
      <c r="DC266" s="822"/>
      <c r="DD266" s="822"/>
      <c r="DE266" s="822"/>
      <c r="DF266" s="822"/>
      <c r="DG266" s="822"/>
      <c r="DH266" s="822"/>
      <c r="DI266" s="822"/>
      <c r="DJ266" s="822"/>
      <c r="DK266" s="822"/>
      <c r="DL266" s="822"/>
      <c r="DM266" s="822"/>
      <c r="DN266" s="822"/>
      <c r="DO266" s="822"/>
      <c r="DP266" s="822"/>
      <c r="DQ266" s="822"/>
      <c r="DR266" s="822"/>
      <c r="DS266" s="822"/>
      <c r="DT266" s="822"/>
      <c r="DU266" s="822"/>
      <c r="DV266" s="822"/>
      <c r="DW266" s="822"/>
      <c r="DX266" s="822"/>
      <c r="DY266" s="822"/>
      <c r="DZ266" s="822"/>
      <c r="EA266" s="822"/>
      <c r="EB266" s="822"/>
      <c r="EC266" s="822"/>
      <c r="ED266" s="822"/>
      <c r="EE266" s="822"/>
      <c r="EF266" s="822"/>
      <c r="EG266" s="822"/>
      <c r="EH266" s="822"/>
      <c r="EI266" s="822"/>
      <c r="EJ266" s="822"/>
      <c r="EK266" s="822"/>
      <c r="EL266" s="822"/>
      <c r="EM266" s="822"/>
      <c r="EN266" s="822"/>
      <c r="EO266" s="822"/>
      <c r="EP266" s="822"/>
      <c r="EQ266" s="822"/>
      <c r="ER266" s="822"/>
    </row>
    <row r="267" spans="3:148" ht="17.100000000000001" customHeight="1" thickBot="1" x14ac:dyDescent="0.35">
      <c r="E267" s="762"/>
      <c r="F267" s="1059"/>
      <c r="G267" s="1059"/>
      <c r="H267" s="1059"/>
      <c r="I267" s="1059"/>
      <c r="J267" s="1059"/>
      <c r="K267" s="1059"/>
      <c r="L267" s="1059"/>
      <c r="M267" s="1059"/>
      <c r="N267" s="1059"/>
      <c r="O267" s="1059"/>
      <c r="P267" s="1059"/>
      <c r="Q267" s="1059"/>
      <c r="R267" s="1059"/>
      <c r="S267" s="1059"/>
      <c r="T267" s="1059"/>
      <c r="U267" s="1059"/>
      <c r="V267" s="1059"/>
      <c r="W267" s="1059"/>
      <c r="X267" s="1059"/>
      <c r="Y267" s="1059"/>
      <c r="Z267" s="1059"/>
      <c r="AA267" s="1059"/>
      <c r="AB267" s="1059"/>
      <c r="AC267" s="1059"/>
      <c r="AD267" s="1059"/>
      <c r="AE267" s="1059"/>
      <c r="AF267" s="1059"/>
      <c r="AG267" s="1059"/>
      <c r="AH267" s="1059"/>
      <c r="AI267" s="1059"/>
      <c r="AJ267" s="1059"/>
      <c r="AK267" s="1059"/>
      <c r="AL267" s="1059"/>
      <c r="AM267" s="2285">
        <f>AN281</f>
        <v>0</v>
      </c>
      <c r="AN267" s="2280" t="s">
        <v>942</v>
      </c>
      <c r="AO267" s="1278"/>
      <c r="AP267" s="1059"/>
      <c r="AQ267" s="1059"/>
      <c r="AR267" s="1059"/>
      <c r="AS267" s="1059"/>
      <c r="AT267" s="1059"/>
      <c r="AU267" s="1059"/>
      <c r="AV267" s="1059"/>
      <c r="AW267" s="1059"/>
      <c r="AX267" s="1059"/>
      <c r="AY267" s="1059"/>
      <c r="AZ267" s="1059"/>
      <c r="BA267" s="1059"/>
      <c r="BB267" s="1059"/>
      <c r="BC267" s="1059"/>
      <c r="BD267" s="1059"/>
      <c r="BE267" s="1059"/>
      <c r="BF267" s="1059"/>
      <c r="BG267" s="1059"/>
      <c r="BH267" s="1059"/>
      <c r="BI267" s="1059"/>
      <c r="BJ267" s="1059"/>
      <c r="BK267" s="1059"/>
      <c r="BL267" s="1059"/>
      <c r="BM267" s="1059"/>
      <c r="BN267" s="1059"/>
      <c r="BO267" s="1059"/>
      <c r="BP267" s="1059"/>
      <c r="BQ267" s="1059"/>
      <c r="BR267" s="1059"/>
      <c r="BS267" s="1059"/>
      <c r="BT267" s="1059"/>
      <c r="BU267" s="1059"/>
      <c r="BV267" s="1059"/>
      <c r="BW267" s="764"/>
      <c r="BX267" s="822"/>
      <c r="BY267" s="822"/>
      <c r="BZ267" s="822"/>
      <c r="CA267" s="822"/>
      <c r="CB267" s="822"/>
      <c r="CC267" s="822"/>
      <c r="CD267" s="822"/>
      <c r="CE267" s="822"/>
      <c r="CF267" s="822"/>
      <c r="CG267" s="822"/>
      <c r="CH267" s="822"/>
      <c r="CI267" s="822"/>
      <c r="CJ267" s="822"/>
      <c r="CK267" s="822"/>
      <c r="CL267" s="822"/>
      <c r="CM267" s="822"/>
      <c r="CN267" s="822"/>
      <c r="CO267" s="822"/>
      <c r="CP267" s="822"/>
      <c r="CQ267" s="822"/>
      <c r="CR267" s="822"/>
      <c r="CS267" s="822"/>
      <c r="CT267" s="822"/>
      <c r="CU267" s="822"/>
      <c r="CV267" s="822"/>
      <c r="CW267" s="822"/>
      <c r="CX267" s="822"/>
      <c r="CY267" s="822"/>
      <c r="CZ267" s="822"/>
      <c r="DA267" s="822"/>
      <c r="DB267" s="822"/>
      <c r="DC267" s="822"/>
      <c r="DD267" s="822"/>
      <c r="DE267" s="822"/>
      <c r="DF267" s="822"/>
      <c r="DG267" s="822"/>
      <c r="DH267" s="822"/>
      <c r="DI267" s="822"/>
      <c r="DJ267" s="822"/>
      <c r="DK267" s="822"/>
      <c r="DL267" s="822"/>
      <c r="DM267" s="822"/>
      <c r="DN267" s="822"/>
      <c r="DO267" s="822"/>
      <c r="DP267" s="822"/>
      <c r="DQ267" s="822"/>
      <c r="DR267" s="822"/>
      <c r="DS267" s="822"/>
      <c r="DT267" s="822"/>
      <c r="DU267" s="822"/>
      <c r="DV267" s="822"/>
      <c r="DW267" s="822"/>
      <c r="DX267" s="822"/>
      <c r="DY267" s="822"/>
      <c r="DZ267" s="822"/>
      <c r="EA267" s="822"/>
      <c r="EB267" s="822"/>
      <c r="EC267" s="822"/>
      <c r="ED267" s="822"/>
      <c r="EE267" s="822"/>
      <c r="EF267" s="822"/>
      <c r="EG267" s="822"/>
      <c r="EH267" s="822"/>
      <c r="EI267" s="822"/>
      <c r="EJ267" s="822"/>
      <c r="EK267" s="822"/>
      <c r="EL267" s="822"/>
      <c r="EM267" s="822"/>
      <c r="EN267" s="822"/>
      <c r="EO267" s="822"/>
      <c r="EP267" s="822"/>
      <c r="EQ267" s="822"/>
      <c r="ER267" s="822"/>
    </row>
    <row r="268" spans="3:148" ht="17.100000000000001" customHeight="1" thickTop="1" x14ac:dyDescent="0.3">
      <c r="E268" s="762"/>
      <c r="F268" s="1059"/>
      <c r="G268" s="1059"/>
      <c r="H268" s="1059"/>
      <c r="I268" s="4756" t="s">
        <v>72</v>
      </c>
      <c r="J268" s="4757"/>
      <c r="K268" s="4757"/>
      <c r="L268" s="4787" t="s">
        <v>941</v>
      </c>
      <c r="M268" s="4801"/>
      <c r="N268" s="4757" t="s">
        <v>72</v>
      </c>
      <c r="O268" s="4757"/>
      <c r="P268" s="4762"/>
      <c r="Q268" s="1059"/>
      <c r="R268" s="1059"/>
      <c r="S268" s="4756" t="s">
        <v>72</v>
      </c>
      <c r="T268" s="4757"/>
      <c r="U268" s="4757"/>
      <c r="V268" s="4783" t="s">
        <v>941</v>
      </c>
      <c r="W268" s="4799"/>
      <c r="X268" s="4757" t="s">
        <v>72</v>
      </c>
      <c r="Y268" s="4757"/>
      <c r="Z268" s="4762"/>
      <c r="AA268" s="1059"/>
      <c r="AB268" s="1059"/>
      <c r="AC268" s="4756" t="s">
        <v>72</v>
      </c>
      <c r="AD268" s="4757"/>
      <c r="AE268" s="4757"/>
      <c r="AF268" s="4785" t="s">
        <v>941</v>
      </c>
      <c r="AG268" s="4803"/>
      <c r="AH268" s="4757" t="s">
        <v>72</v>
      </c>
      <c r="AI268" s="4757"/>
      <c r="AJ268" s="4762"/>
      <c r="AK268" s="1059"/>
      <c r="AL268" s="1059"/>
      <c r="AM268" s="2285">
        <f>AN281</f>
        <v>0</v>
      </c>
      <c r="AN268" s="2281" t="s">
        <v>940</v>
      </c>
      <c r="AO268" s="1278"/>
      <c r="AP268" s="1059"/>
      <c r="AQ268" s="1059"/>
      <c r="AR268" s="4756" t="s">
        <v>72</v>
      </c>
      <c r="AS268" s="4757"/>
      <c r="AT268" s="4757"/>
      <c r="AU268" s="4785" t="s">
        <v>942</v>
      </c>
      <c r="AV268" s="4803"/>
      <c r="AW268" s="4757" t="s">
        <v>72</v>
      </c>
      <c r="AX268" s="4757"/>
      <c r="AY268" s="4762"/>
      <c r="AZ268" s="1059"/>
      <c r="BA268" s="1059"/>
      <c r="BB268" s="4756" t="s">
        <v>72</v>
      </c>
      <c r="BC268" s="4757"/>
      <c r="BD268" s="4757"/>
      <c r="BE268" s="4783" t="s">
        <v>942</v>
      </c>
      <c r="BF268" s="4799"/>
      <c r="BG268" s="4757" t="s">
        <v>72</v>
      </c>
      <c r="BH268" s="4757"/>
      <c r="BI268" s="4762"/>
      <c r="BJ268" s="1059"/>
      <c r="BK268" s="1059"/>
      <c r="BL268" s="4756" t="s">
        <v>72</v>
      </c>
      <c r="BM268" s="4757"/>
      <c r="BN268" s="4757"/>
      <c r="BO268" s="4787" t="s">
        <v>942</v>
      </c>
      <c r="BP268" s="4801"/>
      <c r="BQ268" s="4757" t="s">
        <v>72</v>
      </c>
      <c r="BR268" s="4757"/>
      <c r="BS268" s="4762"/>
      <c r="BT268" s="1059"/>
      <c r="BU268" s="1059"/>
      <c r="BV268" s="1059"/>
      <c r="BW268" s="764"/>
      <c r="BX268" s="822"/>
      <c r="BY268" s="822"/>
      <c r="BZ268" s="822"/>
      <c r="CA268" s="822"/>
      <c r="CB268" s="822"/>
      <c r="CC268" s="822"/>
      <c r="CD268" s="822"/>
      <c r="CE268" s="822"/>
      <c r="CF268" s="822"/>
      <c r="CG268" s="822"/>
      <c r="CH268" s="822"/>
      <c r="CI268" s="822"/>
      <c r="CJ268" s="822"/>
      <c r="CK268" s="822"/>
      <c r="CL268" s="822"/>
      <c r="CM268" s="822"/>
      <c r="CN268" s="822"/>
      <c r="CO268" s="822"/>
      <c r="CP268" s="822"/>
      <c r="CQ268" s="822"/>
      <c r="CR268" s="822"/>
      <c r="CS268" s="822"/>
      <c r="CT268" s="822"/>
      <c r="CU268" s="822"/>
      <c r="CV268" s="822"/>
      <c r="CW268" s="822"/>
      <c r="CX268" s="822"/>
      <c r="CY268" s="822"/>
      <c r="CZ268" s="822"/>
      <c r="DA268" s="822"/>
      <c r="DB268" s="822"/>
      <c r="DC268" s="822"/>
      <c r="DD268" s="822"/>
      <c r="DE268" s="822"/>
      <c r="DF268" s="822"/>
      <c r="DG268" s="822"/>
      <c r="DH268" s="822"/>
      <c r="DI268" s="822"/>
      <c r="DJ268" s="822"/>
      <c r="DK268" s="822"/>
      <c r="DL268" s="822"/>
      <c r="DM268" s="822"/>
      <c r="DN268" s="822"/>
      <c r="DO268" s="822"/>
      <c r="DP268" s="822"/>
      <c r="DQ268" s="822"/>
      <c r="DR268" s="822"/>
      <c r="DS268" s="822"/>
      <c r="DT268" s="822"/>
      <c r="DU268" s="822"/>
      <c r="DV268" s="822"/>
      <c r="DW268" s="822"/>
      <c r="DX268" s="822"/>
      <c r="DY268" s="822"/>
      <c r="DZ268" s="822"/>
      <c r="EA268" s="822"/>
      <c r="EB268" s="822"/>
      <c r="EC268" s="822"/>
      <c r="ED268" s="822"/>
      <c r="EE268" s="822"/>
      <c r="EF268" s="822"/>
      <c r="EG268" s="822"/>
      <c r="EH268" s="822"/>
      <c r="EI268" s="822"/>
      <c r="EJ268" s="822"/>
      <c r="EK268" s="822"/>
      <c r="EL268" s="822"/>
      <c r="EM268" s="822"/>
      <c r="EN268" s="822"/>
      <c r="EO268" s="822"/>
      <c r="EP268" s="822"/>
      <c r="EQ268" s="822"/>
      <c r="ER268" s="822"/>
    </row>
    <row r="269" spans="3:148" ht="17.100000000000001" customHeight="1" x14ac:dyDescent="0.3">
      <c r="E269" s="762"/>
      <c r="F269" s="1059"/>
      <c r="G269" s="1059"/>
      <c r="H269" s="1059"/>
      <c r="I269" s="4758"/>
      <c r="J269" s="4759"/>
      <c r="K269" s="4759"/>
      <c r="L269" s="4802"/>
      <c r="M269" s="4802"/>
      <c r="N269" s="4759"/>
      <c r="O269" s="4759"/>
      <c r="P269" s="4763"/>
      <c r="Q269" s="1059"/>
      <c r="R269" s="1059"/>
      <c r="S269" s="4758"/>
      <c r="T269" s="4759"/>
      <c r="U269" s="4759"/>
      <c r="V269" s="4800"/>
      <c r="W269" s="4800"/>
      <c r="X269" s="4759"/>
      <c r="Y269" s="4759"/>
      <c r="Z269" s="4763"/>
      <c r="AA269" s="1059"/>
      <c r="AB269" s="1059"/>
      <c r="AC269" s="4758"/>
      <c r="AD269" s="4759"/>
      <c r="AE269" s="4759"/>
      <c r="AF269" s="4804"/>
      <c r="AG269" s="4804"/>
      <c r="AH269" s="4759"/>
      <c r="AI269" s="4759"/>
      <c r="AJ269" s="4763"/>
      <c r="AK269" s="1059"/>
      <c r="AL269" s="1059"/>
      <c r="AM269" s="2285">
        <f>AN281</f>
        <v>0</v>
      </c>
      <c r="AN269" s="2282" t="s">
        <v>710</v>
      </c>
      <c r="AO269" s="1278"/>
      <c r="AP269" s="1059"/>
      <c r="AQ269" s="1059"/>
      <c r="AR269" s="4758"/>
      <c r="AS269" s="4759"/>
      <c r="AT269" s="4759"/>
      <c r="AU269" s="4804"/>
      <c r="AV269" s="4804"/>
      <c r="AW269" s="4759"/>
      <c r="AX269" s="4759"/>
      <c r="AY269" s="4763"/>
      <c r="AZ269" s="1059"/>
      <c r="BA269" s="1059"/>
      <c r="BB269" s="4758"/>
      <c r="BC269" s="4759"/>
      <c r="BD269" s="4759"/>
      <c r="BE269" s="4800"/>
      <c r="BF269" s="4800"/>
      <c r="BG269" s="4759"/>
      <c r="BH269" s="4759"/>
      <c r="BI269" s="4763"/>
      <c r="BJ269" s="1059"/>
      <c r="BK269" s="1059"/>
      <c r="BL269" s="4758"/>
      <c r="BM269" s="4759"/>
      <c r="BN269" s="4759"/>
      <c r="BO269" s="4802"/>
      <c r="BP269" s="4802"/>
      <c r="BQ269" s="4759"/>
      <c r="BR269" s="4759"/>
      <c r="BS269" s="4763"/>
      <c r="BT269" s="1059"/>
      <c r="BU269" s="1059"/>
      <c r="BV269" s="1059"/>
      <c r="BW269" s="764"/>
      <c r="CJ269" s="822"/>
      <c r="CK269" s="822"/>
      <c r="CL269" s="822"/>
      <c r="CM269" s="822"/>
      <c r="CN269" s="822"/>
      <c r="CO269" s="822"/>
      <c r="CP269" s="822"/>
      <c r="CQ269" s="822"/>
      <c r="CR269" s="822"/>
      <c r="CS269" s="822"/>
      <c r="CT269" s="822"/>
      <c r="CU269" s="822"/>
      <c r="CV269" s="822"/>
      <c r="CW269" s="822"/>
      <c r="CX269" s="822"/>
      <c r="CY269" s="822"/>
      <c r="CZ269" s="822"/>
      <c r="DA269" s="822"/>
      <c r="DB269" s="822"/>
      <c r="DC269" s="822"/>
      <c r="DD269" s="822"/>
      <c r="DE269" s="822"/>
      <c r="DF269" s="822"/>
      <c r="DG269" s="822"/>
      <c r="DH269" s="822"/>
      <c r="DI269" s="822"/>
      <c r="DJ269" s="822"/>
      <c r="DK269" s="822"/>
      <c r="DL269" s="822"/>
      <c r="DM269" s="822"/>
      <c r="DN269" s="822"/>
      <c r="DO269" s="822"/>
      <c r="DP269" s="822"/>
      <c r="DQ269" s="822"/>
      <c r="DR269" s="822"/>
      <c r="DS269" s="822"/>
      <c r="DT269" s="822"/>
      <c r="DU269" s="822"/>
      <c r="DV269" s="822"/>
      <c r="DW269" s="822"/>
      <c r="DX269" s="822"/>
      <c r="DY269" s="822"/>
      <c r="DZ269" s="822"/>
      <c r="EA269" s="822"/>
      <c r="EB269" s="822"/>
      <c r="EC269" s="822"/>
      <c r="ED269" s="822"/>
      <c r="EE269" s="822"/>
      <c r="EF269" s="822"/>
      <c r="EG269" s="822"/>
      <c r="EH269" s="822"/>
      <c r="EI269" s="822"/>
      <c r="EJ269" s="822"/>
      <c r="EK269" s="822"/>
      <c r="EL269" s="822"/>
      <c r="EM269" s="822"/>
      <c r="EN269" s="822"/>
      <c r="EO269" s="822"/>
      <c r="EP269" s="822"/>
      <c r="EQ269" s="822"/>
      <c r="ER269" s="822"/>
    </row>
    <row r="270" spans="3:148" ht="17.100000000000001" customHeight="1" x14ac:dyDescent="0.3">
      <c r="E270" s="762"/>
      <c r="F270" s="1059"/>
      <c r="G270" s="1059"/>
      <c r="H270" s="1059"/>
      <c r="I270" s="4766"/>
      <c r="J270" s="4768"/>
      <c r="K270" s="4769"/>
      <c r="L270" s="4769"/>
      <c r="M270" s="4769"/>
      <c r="N270" s="4769"/>
      <c r="O270" s="4770"/>
      <c r="P270" s="4777"/>
      <c r="Q270" s="1059"/>
      <c r="R270" s="1059"/>
      <c r="S270" s="4766"/>
      <c r="T270" s="4768"/>
      <c r="U270" s="4769"/>
      <c r="V270" s="4769"/>
      <c r="W270" s="4769"/>
      <c r="X270" s="4769"/>
      <c r="Y270" s="4770"/>
      <c r="Z270" s="4777"/>
      <c r="AA270" s="1059"/>
      <c r="AB270" s="1059"/>
      <c r="AC270" s="4766"/>
      <c r="AD270" s="4768"/>
      <c r="AE270" s="4769"/>
      <c r="AF270" s="4769"/>
      <c r="AG270" s="4769"/>
      <c r="AH270" s="4769"/>
      <c r="AI270" s="4770"/>
      <c r="AJ270" s="4777"/>
      <c r="AK270" s="1059"/>
      <c r="AL270" s="1059"/>
      <c r="AM270" s="2285">
        <f>AN281</f>
        <v>0</v>
      </c>
      <c r="AN270" s="2283" t="s">
        <v>941</v>
      </c>
      <c r="AO270" s="1278"/>
      <c r="AP270" s="1059"/>
      <c r="AQ270" s="1059"/>
      <c r="AR270" s="4766"/>
      <c r="AS270" s="4768"/>
      <c r="AT270" s="4769"/>
      <c r="AU270" s="4769"/>
      <c r="AV270" s="4769"/>
      <c r="AW270" s="4769"/>
      <c r="AX270" s="4770"/>
      <c r="AY270" s="4777"/>
      <c r="AZ270" s="1059"/>
      <c r="BA270" s="1059"/>
      <c r="BB270" s="4766"/>
      <c r="BC270" s="4768"/>
      <c r="BD270" s="4769"/>
      <c r="BE270" s="4769"/>
      <c r="BF270" s="4769"/>
      <c r="BG270" s="4769"/>
      <c r="BH270" s="4770"/>
      <c r="BI270" s="4777"/>
      <c r="BJ270" s="1059"/>
      <c r="BK270" s="1059"/>
      <c r="BL270" s="4766"/>
      <c r="BM270" s="4768"/>
      <c r="BN270" s="4769"/>
      <c r="BO270" s="4769"/>
      <c r="BP270" s="4769"/>
      <c r="BQ270" s="4769"/>
      <c r="BR270" s="4770"/>
      <c r="BS270" s="4777"/>
      <c r="BT270" s="1059"/>
      <c r="BU270" s="1059"/>
      <c r="BV270" s="1059"/>
      <c r="BW270" s="764"/>
      <c r="BX270" s="822"/>
      <c r="BY270" s="822"/>
      <c r="BZ270" s="822"/>
      <c r="CA270" s="822"/>
      <c r="CB270" s="822"/>
      <c r="CC270" s="822"/>
      <c r="CD270" s="822"/>
      <c r="CE270" s="822"/>
      <c r="CF270" s="822"/>
      <c r="CG270" s="822"/>
      <c r="CH270" s="822"/>
      <c r="CI270" s="822"/>
      <c r="CJ270" s="4826" t="str">
        <f>IF(J270=0,"",J270)</f>
        <v/>
      </c>
      <c r="CK270" s="4827"/>
      <c r="CL270" s="4827"/>
      <c r="CM270" s="4827"/>
      <c r="CN270" s="4827"/>
      <c r="CO270" s="4828"/>
      <c r="CP270" s="822"/>
      <c r="CQ270" s="822"/>
      <c r="CR270" s="822"/>
      <c r="CS270" s="822"/>
      <c r="CT270" s="4826" t="str">
        <f>IF(T270=0,"",T270)</f>
        <v/>
      </c>
      <c r="CU270" s="4827"/>
      <c r="CV270" s="4827"/>
      <c r="CW270" s="4827"/>
      <c r="CX270" s="4827"/>
      <c r="CY270" s="4828"/>
      <c r="CZ270" s="822"/>
      <c r="DA270" s="822"/>
      <c r="DB270" s="822"/>
      <c r="DC270" s="822"/>
      <c r="DD270" s="4826" t="str">
        <f>IF(AD270=0,"",AD270)</f>
        <v/>
      </c>
      <c r="DE270" s="4827"/>
      <c r="DF270" s="4827"/>
      <c r="DG270" s="4827"/>
      <c r="DH270" s="4827"/>
      <c r="DI270" s="4828"/>
      <c r="DJ270" s="822"/>
      <c r="DK270" s="822"/>
      <c r="DL270" s="822"/>
      <c r="DM270" s="822"/>
      <c r="DN270" s="822"/>
      <c r="DO270" s="822"/>
      <c r="DP270" s="822"/>
      <c r="DQ270" s="822"/>
      <c r="DR270" s="822"/>
      <c r="DS270" s="4826" t="str">
        <f>IF(AS270=0,"",AS270)</f>
        <v/>
      </c>
      <c r="DT270" s="4827"/>
      <c r="DU270" s="4827"/>
      <c r="DV270" s="4827"/>
      <c r="DW270" s="4827"/>
      <c r="DX270" s="4828"/>
      <c r="DY270" s="822"/>
      <c r="DZ270" s="822"/>
      <c r="EA270" s="822"/>
      <c r="EB270" s="822"/>
      <c r="EC270" s="4826" t="str">
        <f>IF(BC270=0,"",BC270)</f>
        <v/>
      </c>
      <c r="ED270" s="4827"/>
      <c r="EE270" s="4827"/>
      <c r="EF270" s="4827"/>
      <c r="EG270" s="4827"/>
      <c r="EH270" s="4828"/>
      <c r="EI270" s="822"/>
      <c r="EJ270" s="822"/>
      <c r="EK270" s="822"/>
      <c r="EL270" s="822"/>
      <c r="EM270" s="4826" t="str">
        <f>IF(BM270=0,"",BM270)</f>
        <v/>
      </c>
      <c r="EN270" s="4827"/>
      <c r="EO270" s="4827"/>
      <c r="EP270" s="4827"/>
      <c r="EQ270" s="4827"/>
      <c r="ER270" s="4828"/>
    </row>
    <row r="271" spans="3:148" ht="17.100000000000001" customHeight="1" x14ac:dyDescent="0.3">
      <c r="E271" s="762"/>
      <c r="F271" s="1059"/>
      <c r="G271" s="1059"/>
      <c r="H271" s="1059"/>
      <c r="I271" s="4766"/>
      <c r="J271" s="4771"/>
      <c r="K271" s="4772"/>
      <c r="L271" s="4772"/>
      <c r="M271" s="4772"/>
      <c r="N271" s="4772"/>
      <c r="O271" s="4773"/>
      <c r="P271" s="4777"/>
      <c r="Q271" s="1059"/>
      <c r="R271" s="1059"/>
      <c r="S271" s="4766"/>
      <c r="T271" s="4771"/>
      <c r="U271" s="4772"/>
      <c r="V271" s="4772"/>
      <c r="W271" s="4772"/>
      <c r="X271" s="4772"/>
      <c r="Y271" s="4773"/>
      <c r="Z271" s="4777"/>
      <c r="AA271" s="1059"/>
      <c r="AB271" s="1059"/>
      <c r="AC271" s="4766"/>
      <c r="AD271" s="4771"/>
      <c r="AE271" s="4772"/>
      <c r="AF271" s="4772"/>
      <c r="AG271" s="4772"/>
      <c r="AH271" s="4772"/>
      <c r="AI271" s="4773"/>
      <c r="AJ271" s="4777"/>
      <c r="AK271" s="1059"/>
      <c r="AL271" s="1059"/>
      <c r="AM271" s="2285">
        <f>AN281</f>
        <v>0</v>
      </c>
      <c r="AN271" s="2284" t="s">
        <v>144</v>
      </c>
      <c r="AO271" s="1278"/>
      <c r="AP271" s="1059"/>
      <c r="AQ271" s="1059"/>
      <c r="AR271" s="4766"/>
      <c r="AS271" s="4771"/>
      <c r="AT271" s="4772"/>
      <c r="AU271" s="4772"/>
      <c r="AV271" s="4772"/>
      <c r="AW271" s="4772"/>
      <c r="AX271" s="4773"/>
      <c r="AY271" s="4777"/>
      <c r="AZ271" s="1059"/>
      <c r="BA271" s="1059"/>
      <c r="BB271" s="4766"/>
      <c r="BC271" s="4771"/>
      <c r="BD271" s="4772"/>
      <c r="BE271" s="4772"/>
      <c r="BF271" s="4772"/>
      <c r="BG271" s="4772"/>
      <c r="BH271" s="4773"/>
      <c r="BI271" s="4777"/>
      <c r="BJ271" s="1059"/>
      <c r="BK271" s="1059"/>
      <c r="BL271" s="4766"/>
      <c r="BM271" s="4771"/>
      <c r="BN271" s="4772"/>
      <c r="BO271" s="4772"/>
      <c r="BP271" s="4772"/>
      <c r="BQ271" s="4772"/>
      <c r="BR271" s="4773"/>
      <c r="BS271" s="4777"/>
      <c r="BT271" s="1059"/>
      <c r="BU271" s="1059"/>
      <c r="BV271" s="1059"/>
      <c r="BW271" s="764"/>
      <c r="BX271" s="822"/>
      <c r="BY271" s="822"/>
      <c r="BZ271" s="822"/>
      <c r="CA271" s="822"/>
      <c r="CB271" s="822"/>
      <c r="CC271" s="822"/>
      <c r="CD271" s="822"/>
      <c r="CE271" s="822"/>
      <c r="CF271" s="822"/>
      <c r="CG271" s="822"/>
      <c r="CH271" s="822"/>
      <c r="CI271" s="822"/>
      <c r="CJ271" s="4829"/>
      <c r="CK271" s="4830"/>
      <c r="CL271" s="4830"/>
      <c r="CM271" s="4830"/>
      <c r="CN271" s="4830"/>
      <c r="CO271" s="4831"/>
      <c r="CP271" s="822"/>
      <c r="CQ271" s="822"/>
      <c r="CR271" s="822"/>
      <c r="CS271" s="822"/>
      <c r="CT271" s="4829"/>
      <c r="CU271" s="4830"/>
      <c r="CV271" s="4830"/>
      <c r="CW271" s="4830"/>
      <c r="CX271" s="4830"/>
      <c r="CY271" s="4831"/>
      <c r="CZ271" s="822"/>
      <c r="DA271" s="822"/>
      <c r="DB271" s="822"/>
      <c r="DC271" s="822"/>
      <c r="DD271" s="4829"/>
      <c r="DE271" s="4830"/>
      <c r="DF271" s="4830"/>
      <c r="DG271" s="4830"/>
      <c r="DH271" s="4830"/>
      <c r="DI271" s="4831"/>
      <c r="DJ271" s="822"/>
      <c r="DK271" s="822"/>
      <c r="DL271" s="822"/>
      <c r="DM271" s="822"/>
      <c r="DN271" s="822"/>
      <c r="DO271" s="822"/>
      <c r="DP271" s="822"/>
      <c r="DQ271" s="822"/>
      <c r="DR271" s="822"/>
      <c r="DS271" s="4829"/>
      <c r="DT271" s="4830"/>
      <c r="DU271" s="4830"/>
      <c r="DV271" s="4830"/>
      <c r="DW271" s="4830"/>
      <c r="DX271" s="4831"/>
      <c r="DY271" s="822"/>
      <c r="DZ271" s="822"/>
      <c r="EA271" s="822"/>
      <c r="EB271" s="822"/>
      <c r="EC271" s="4829"/>
      <c r="ED271" s="4830"/>
      <c r="EE271" s="4830"/>
      <c r="EF271" s="4830"/>
      <c r="EG271" s="4830"/>
      <c r="EH271" s="4831"/>
      <c r="EI271" s="822"/>
      <c r="EJ271" s="822"/>
      <c r="EK271" s="822"/>
      <c r="EL271" s="822"/>
      <c r="EM271" s="4829"/>
      <c r="EN271" s="4830"/>
      <c r="EO271" s="4830"/>
      <c r="EP271" s="4830"/>
      <c r="EQ271" s="4830"/>
      <c r="ER271" s="4831"/>
    </row>
    <row r="272" spans="3:148" ht="17.100000000000001" customHeight="1" x14ac:dyDescent="0.3">
      <c r="C272" s="1436"/>
      <c r="E272" s="762"/>
      <c r="F272" s="1059"/>
      <c r="G272" s="1059"/>
      <c r="H272" s="1059"/>
      <c r="I272" s="4766"/>
      <c r="J272" s="4774"/>
      <c r="K272" s="4775"/>
      <c r="L272" s="4775"/>
      <c r="M272" s="4775"/>
      <c r="N272" s="4775"/>
      <c r="O272" s="4776"/>
      <c r="P272" s="4777"/>
      <c r="Q272" s="1059"/>
      <c r="R272" s="1059"/>
      <c r="S272" s="4766"/>
      <c r="T272" s="4774"/>
      <c r="U272" s="4775"/>
      <c r="V272" s="4775"/>
      <c r="W272" s="4775"/>
      <c r="X272" s="4775"/>
      <c r="Y272" s="4776"/>
      <c r="Z272" s="4777"/>
      <c r="AA272" s="1059"/>
      <c r="AB272" s="1059"/>
      <c r="AC272" s="4766"/>
      <c r="AD272" s="4774"/>
      <c r="AE272" s="4775"/>
      <c r="AF272" s="4775"/>
      <c r="AG272" s="4775"/>
      <c r="AH272" s="4775"/>
      <c r="AI272" s="4776"/>
      <c r="AJ272" s="4777"/>
      <c r="AK272" s="1059"/>
      <c r="AL272" s="1059"/>
      <c r="AM272" s="2285">
        <f>AN281</f>
        <v>0</v>
      </c>
      <c r="AN272" s="2276" t="s">
        <v>939</v>
      </c>
      <c r="AO272" s="1278"/>
      <c r="AP272" s="1059"/>
      <c r="AQ272" s="1059"/>
      <c r="AR272" s="4766"/>
      <c r="AS272" s="4774"/>
      <c r="AT272" s="4775"/>
      <c r="AU272" s="4775"/>
      <c r="AV272" s="4775"/>
      <c r="AW272" s="4775"/>
      <c r="AX272" s="4776"/>
      <c r="AY272" s="4777"/>
      <c r="AZ272" s="1059"/>
      <c r="BA272" s="1059"/>
      <c r="BB272" s="4766"/>
      <c r="BC272" s="4774"/>
      <c r="BD272" s="4775"/>
      <c r="BE272" s="4775"/>
      <c r="BF272" s="4775"/>
      <c r="BG272" s="4775"/>
      <c r="BH272" s="4776"/>
      <c r="BI272" s="4777"/>
      <c r="BJ272" s="1059"/>
      <c r="BK272" s="1059"/>
      <c r="BL272" s="4766"/>
      <c r="BM272" s="4774"/>
      <c r="BN272" s="4775"/>
      <c r="BO272" s="4775"/>
      <c r="BP272" s="4775"/>
      <c r="BQ272" s="4775"/>
      <c r="BR272" s="4776"/>
      <c r="BS272" s="4777"/>
      <c r="BT272" s="1059"/>
      <c r="BU272" s="1059"/>
      <c r="BV272" s="1059"/>
      <c r="BW272" s="764"/>
      <c r="BX272" s="822"/>
      <c r="BY272" s="822"/>
      <c r="BZ272" s="822"/>
      <c r="CA272" s="822"/>
      <c r="CB272" s="822"/>
      <c r="CC272" s="822"/>
      <c r="CD272" s="822"/>
      <c r="CE272" s="822"/>
      <c r="CF272" s="822"/>
      <c r="CG272" s="822"/>
      <c r="CH272" s="822"/>
      <c r="CI272" s="822"/>
      <c r="CJ272" s="4832"/>
      <c r="CK272" s="4833"/>
      <c r="CL272" s="4833"/>
      <c r="CM272" s="4833"/>
      <c r="CN272" s="4833"/>
      <c r="CO272" s="4834"/>
      <c r="CP272" s="822"/>
      <c r="CQ272" s="822"/>
      <c r="CR272" s="822"/>
      <c r="CS272" s="822"/>
      <c r="CT272" s="4832"/>
      <c r="CU272" s="4833"/>
      <c r="CV272" s="4833"/>
      <c r="CW272" s="4833"/>
      <c r="CX272" s="4833"/>
      <c r="CY272" s="4834"/>
      <c r="CZ272" s="822"/>
      <c r="DA272" s="822"/>
      <c r="DB272" s="822"/>
      <c r="DC272" s="822"/>
      <c r="DD272" s="4832"/>
      <c r="DE272" s="4833"/>
      <c r="DF272" s="4833"/>
      <c r="DG272" s="4833"/>
      <c r="DH272" s="4833"/>
      <c r="DI272" s="4834"/>
      <c r="DJ272" s="822"/>
      <c r="DK272" s="822"/>
      <c r="DL272" s="822"/>
      <c r="DM272" s="822"/>
      <c r="DN272" s="822"/>
      <c r="DO272" s="822"/>
      <c r="DP272" s="822"/>
      <c r="DQ272" s="822"/>
      <c r="DR272" s="822"/>
      <c r="DS272" s="4832"/>
      <c r="DT272" s="4833"/>
      <c r="DU272" s="4833"/>
      <c r="DV272" s="4833"/>
      <c r="DW272" s="4833"/>
      <c r="DX272" s="4834"/>
      <c r="DY272" s="822"/>
      <c r="DZ272" s="822"/>
      <c r="EA272" s="822"/>
      <c r="EB272" s="822"/>
      <c r="EC272" s="4832"/>
      <c r="ED272" s="4833"/>
      <c r="EE272" s="4833"/>
      <c r="EF272" s="4833"/>
      <c r="EG272" s="4833"/>
      <c r="EH272" s="4834"/>
      <c r="EI272" s="822"/>
      <c r="EJ272" s="822"/>
      <c r="EK272" s="822"/>
      <c r="EL272" s="822"/>
      <c r="EM272" s="4832"/>
      <c r="EN272" s="4833"/>
      <c r="EO272" s="4833"/>
      <c r="EP272" s="4833"/>
      <c r="EQ272" s="4833"/>
      <c r="ER272" s="4834"/>
    </row>
    <row r="273" spans="3:148" ht="17.100000000000001" customHeight="1" thickBot="1" x14ac:dyDescent="0.35">
      <c r="C273" s="1436"/>
      <c r="E273" s="762"/>
      <c r="F273" s="1059"/>
      <c r="G273" s="1059"/>
      <c r="H273" s="1059"/>
      <c r="I273" s="4767"/>
      <c r="J273" s="4789" t="s">
        <v>505</v>
      </c>
      <c r="K273" s="4789"/>
      <c r="L273" s="4789"/>
      <c r="M273" s="4789"/>
      <c r="N273" s="4789"/>
      <c r="O273" s="4789"/>
      <c r="P273" s="4778"/>
      <c r="Q273" s="1059"/>
      <c r="R273" s="1059"/>
      <c r="S273" s="4767"/>
      <c r="T273" s="4789" t="s">
        <v>505</v>
      </c>
      <c r="U273" s="4789"/>
      <c r="V273" s="4789"/>
      <c r="W273" s="4789"/>
      <c r="X273" s="4789"/>
      <c r="Y273" s="4789"/>
      <c r="Z273" s="4778"/>
      <c r="AA273" s="1059"/>
      <c r="AB273" s="1059"/>
      <c r="AC273" s="4767"/>
      <c r="AD273" s="4789" t="s">
        <v>505</v>
      </c>
      <c r="AE273" s="4789"/>
      <c r="AF273" s="4789"/>
      <c r="AG273" s="4789"/>
      <c r="AH273" s="4789"/>
      <c r="AI273" s="4789"/>
      <c r="AJ273" s="4778"/>
      <c r="AK273" s="1059"/>
      <c r="AL273" s="1059"/>
      <c r="AM273" s="2285">
        <f>AN281</f>
        <v>0</v>
      </c>
      <c r="AN273" s="2277" t="s">
        <v>942</v>
      </c>
      <c r="AO273" s="1278"/>
      <c r="AP273" s="1059"/>
      <c r="AQ273" s="1059"/>
      <c r="AR273" s="4767"/>
      <c r="AS273" s="4789" t="s">
        <v>505</v>
      </c>
      <c r="AT273" s="4789"/>
      <c r="AU273" s="4789"/>
      <c r="AV273" s="4789"/>
      <c r="AW273" s="4789"/>
      <c r="AX273" s="4789"/>
      <c r="AY273" s="4778"/>
      <c r="AZ273" s="1059"/>
      <c r="BA273" s="1059"/>
      <c r="BB273" s="4767"/>
      <c r="BC273" s="4789" t="s">
        <v>505</v>
      </c>
      <c r="BD273" s="4789"/>
      <c r="BE273" s="4789"/>
      <c r="BF273" s="4789"/>
      <c r="BG273" s="4789"/>
      <c r="BH273" s="4789"/>
      <c r="BI273" s="4778"/>
      <c r="BJ273" s="1059"/>
      <c r="BK273" s="1059"/>
      <c r="BL273" s="4767"/>
      <c r="BM273" s="4789" t="s">
        <v>505</v>
      </c>
      <c r="BN273" s="4789"/>
      <c r="BO273" s="4789"/>
      <c r="BP273" s="4789"/>
      <c r="BQ273" s="4789"/>
      <c r="BR273" s="4789"/>
      <c r="BS273" s="4778"/>
      <c r="BT273" s="1059"/>
      <c r="BU273" s="1059"/>
      <c r="BV273" s="1059"/>
      <c r="BW273" s="764"/>
      <c r="BX273" s="822"/>
      <c r="BY273" s="822"/>
      <c r="BZ273" s="822"/>
      <c r="CA273" s="822"/>
      <c r="CB273" s="822"/>
      <c r="CC273" s="822"/>
      <c r="CD273" s="822"/>
      <c r="CE273" s="822"/>
      <c r="CF273" s="822"/>
      <c r="CG273" s="822"/>
      <c r="CH273" s="822"/>
      <c r="CI273" s="822"/>
      <c r="CQ273" s="822"/>
      <c r="CR273" s="822"/>
      <c r="CS273" s="822"/>
      <c r="CT273" s="822"/>
      <c r="CU273" s="822"/>
      <c r="CV273" s="822"/>
      <c r="CW273" s="822"/>
      <c r="CX273" s="822"/>
      <c r="CY273" s="822"/>
      <c r="CZ273" s="822"/>
      <c r="DA273" s="822"/>
      <c r="DB273" s="822"/>
      <c r="DC273" s="822"/>
      <c r="DD273" s="822"/>
      <c r="DE273" s="822"/>
      <c r="DF273" s="822"/>
      <c r="DG273" s="822"/>
      <c r="DH273" s="822"/>
      <c r="DI273" s="822"/>
      <c r="DJ273" s="822"/>
      <c r="DK273" s="822"/>
      <c r="DL273" s="822"/>
      <c r="DM273" s="822"/>
      <c r="DN273" s="822"/>
      <c r="DO273" s="822"/>
      <c r="DP273" s="822"/>
      <c r="DQ273" s="822"/>
      <c r="DR273" s="822"/>
      <c r="DZ273" s="822"/>
      <c r="EA273" s="822"/>
      <c r="EB273" s="822"/>
      <c r="EC273" s="822"/>
      <c r="ED273" s="822"/>
      <c r="EE273" s="822"/>
      <c r="EF273" s="822"/>
      <c r="EG273" s="822"/>
      <c r="EH273" s="822"/>
      <c r="EI273" s="822"/>
      <c r="EJ273" s="822"/>
      <c r="EK273" s="822"/>
      <c r="EL273" s="822"/>
      <c r="EM273" s="822"/>
      <c r="EN273" s="822"/>
      <c r="EO273" s="822"/>
      <c r="EP273" s="822"/>
      <c r="EQ273" s="822"/>
      <c r="ER273" s="822"/>
    </row>
    <row r="274" spans="3:148" ht="17.100000000000001" customHeight="1" thickTop="1" x14ac:dyDescent="0.3">
      <c r="C274" s="1436"/>
      <c r="E274" s="762"/>
      <c r="F274" s="1059"/>
      <c r="G274" s="1059"/>
      <c r="H274" s="1059"/>
      <c r="I274" s="1059"/>
      <c r="J274" s="1059"/>
      <c r="K274" s="1059"/>
      <c r="L274" s="1059"/>
      <c r="M274" s="1059"/>
      <c r="N274" s="1059"/>
      <c r="O274" s="1059"/>
      <c r="P274" s="1059"/>
      <c r="Q274" s="1059"/>
      <c r="R274" s="1059"/>
      <c r="S274" s="1059"/>
      <c r="T274" s="1059"/>
      <c r="U274" s="1059"/>
      <c r="V274" s="1059"/>
      <c r="W274" s="1059"/>
      <c r="X274" s="1059"/>
      <c r="Y274" s="1059"/>
      <c r="Z274" s="1059"/>
      <c r="AA274" s="1059"/>
      <c r="AB274" s="1059"/>
      <c r="AC274" s="1059"/>
      <c r="AD274" s="1059"/>
      <c r="AE274" s="1059"/>
      <c r="AF274" s="1059"/>
      <c r="AG274" s="1059"/>
      <c r="AH274" s="1059"/>
      <c r="AI274" s="1059"/>
      <c r="AJ274" s="1059"/>
      <c r="AK274" s="1059"/>
      <c r="AL274" s="1059"/>
      <c r="AM274" s="2285">
        <f>AN281</f>
        <v>0</v>
      </c>
      <c r="AN274" s="2278" t="s">
        <v>940</v>
      </c>
      <c r="AO274" s="1278"/>
      <c r="AP274" s="1059"/>
      <c r="AQ274" s="1059"/>
      <c r="AR274" s="1059"/>
      <c r="AS274" s="1059"/>
      <c r="AT274" s="1059"/>
      <c r="AU274" s="1059"/>
      <c r="AV274" s="1059"/>
      <c r="AW274" s="1059"/>
      <c r="AX274" s="1059"/>
      <c r="AY274" s="1059"/>
      <c r="AZ274" s="1059"/>
      <c r="BA274" s="1059"/>
      <c r="BB274" s="1059"/>
      <c r="BC274" s="1059"/>
      <c r="BD274" s="1059"/>
      <c r="BE274" s="1059"/>
      <c r="BF274" s="1059"/>
      <c r="BG274" s="1059"/>
      <c r="BH274" s="1059"/>
      <c r="BI274" s="1059"/>
      <c r="BJ274" s="1059"/>
      <c r="BK274" s="1059"/>
      <c r="BL274" s="1059"/>
      <c r="BM274" s="1059"/>
      <c r="BN274" s="1059"/>
      <c r="BO274" s="1059"/>
      <c r="BP274" s="1059"/>
      <c r="BQ274" s="1059"/>
      <c r="BR274" s="1059"/>
      <c r="BS274" s="1059"/>
      <c r="BT274" s="1059"/>
      <c r="BU274" s="1059"/>
      <c r="BV274" s="1059"/>
      <c r="BW274" s="764"/>
      <c r="BX274" s="822"/>
      <c r="BY274" s="822"/>
      <c r="BZ274" s="822"/>
      <c r="CA274" s="822"/>
      <c r="CB274" s="822"/>
      <c r="CC274" s="822"/>
      <c r="CD274" s="822"/>
      <c r="CE274" s="822"/>
      <c r="CF274" s="822"/>
      <c r="CG274" s="822"/>
      <c r="CH274" s="822"/>
      <c r="CI274" s="822"/>
      <c r="CQ274" s="822"/>
      <c r="CR274" s="822"/>
      <c r="CS274" s="822"/>
      <c r="CT274" s="822"/>
      <c r="CU274" s="822"/>
      <c r="CV274" s="822"/>
      <c r="CW274" s="822"/>
      <c r="CX274" s="822"/>
      <c r="CY274" s="822"/>
      <c r="CZ274" s="822"/>
      <c r="DA274" s="822"/>
      <c r="DB274" s="822"/>
      <c r="DC274" s="822"/>
      <c r="DD274" s="822"/>
      <c r="DE274" s="822"/>
      <c r="DF274" s="822"/>
      <c r="DG274" s="822"/>
      <c r="DH274" s="822"/>
      <c r="DI274" s="822"/>
      <c r="DJ274" s="822"/>
      <c r="DK274" s="822"/>
      <c r="DL274" s="822"/>
      <c r="DM274" s="822"/>
      <c r="DN274" s="822"/>
      <c r="DO274" s="822"/>
      <c r="DP274" s="822"/>
      <c r="DQ274" s="822"/>
      <c r="DR274" s="822"/>
      <c r="DZ274" s="822"/>
      <c r="EA274" s="822"/>
      <c r="EB274" s="822"/>
      <c r="EC274" s="822"/>
      <c r="ED274" s="822"/>
      <c r="EE274" s="822"/>
      <c r="EF274" s="822"/>
      <c r="EG274" s="822"/>
      <c r="EH274" s="822"/>
      <c r="EI274" s="822"/>
      <c r="EJ274" s="822"/>
      <c r="EK274" s="822"/>
      <c r="EL274" s="822"/>
      <c r="EM274" s="822"/>
      <c r="EN274" s="822"/>
      <c r="EO274" s="822"/>
      <c r="EP274" s="822"/>
      <c r="EQ274" s="822"/>
      <c r="ER274" s="822"/>
    </row>
    <row r="275" spans="3:148" ht="17.100000000000001" customHeight="1" thickBot="1" x14ac:dyDescent="0.35">
      <c r="C275" s="1436"/>
      <c r="E275" s="762"/>
      <c r="F275" s="1059"/>
      <c r="G275" s="1059"/>
      <c r="H275" s="1059"/>
      <c r="I275" s="1059"/>
      <c r="J275" s="1059"/>
      <c r="K275" s="1059"/>
      <c r="L275" s="1059"/>
      <c r="M275" s="1059"/>
      <c r="N275" s="1059"/>
      <c r="O275" s="1059"/>
      <c r="P275" s="1059"/>
      <c r="Q275" s="1059"/>
      <c r="R275" s="1059"/>
      <c r="S275" s="1059"/>
      <c r="T275" s="1059"/>
      <c r="U275" s="1059"/>
      <c r="V275" s="1059"/>
      <c r="W275" s="1059"/>
      <c r="X275" s="1059"/>
      <c r="Y275" s="1059"/>
      <c r="Z275" s="1059"/>
      <c r="AA275" s="1059"/>
      <c r="AB275" s="1059"/>
      <c r="AC275" s="1059"/>
      <c r="AD275" s="1059"/>
      <c r="AE275" s="1059"/>
      <c r="AF275" s="1059"/>
      <c r="AG275" s="1059"/>
      <c r="AH275" s="1059"/>
      <c r="AI275" s="1059"/>
      <c r="AJ275" s="1059"/>
      <c r="AK275" s="1059"/>
      <c r="AL275" s="1059"/>
      <c r="AM275" s="2285">
        <f>AN281</f>
        <v>0</v>
      </c>
      <c r="AN275" s="2279" t="s">
        <v>710</v>
      </c>
      <c r="AO275" s="1278"/>
      <c r="AP275" s="1059"/>
      <c r="AQ275" s="1059"/>
      <c r="AR275" s="1059"/>
      <c r="AS275" s="1059"/>
      <c r="AT275" s="1059"/>
      <c r="AU275" s="1059"/>
      <c r="AV275" s="1059"/>
      <c r="AW275" s="1059"/>
      <c r="AX275" s="1059"/>
      <c r="AY275" s="1059"/>
      <c r="AZ275" s="1059"/>
      <c r="BA275" s="1059"/>
      <c r="BB275" s="1059"/>
      <c r="BC275" s="1059"/>
      <c r="BD275" s="1059"/>
      <c r="BE275" s="1059"/>
      <c r="BF275" s="1059"/>
      <c r="BG275" s="1059"/>
      <c r="BH275" s="1059"/>
      <c r="BI275" s="1059"/>
      <c r="BJ275" s="1059"/>
      <c r="BK275" s="1059"/>
      <c r="BL275" s="1059"/>
      <c r="BM275" s="1059"/>
      <c r="BN275" s="1059"/>
      <c r="BO275" s="1059"/>
      <c r="BP275" s="1059"/>
      <c r="BQ275" s="1059"/>
      <c r="BR275" s="1059"/>
      <c r="BS275" s="1059"/>
      <c r="BT275" s="1059"/>
      <c r="BU275" s="1059"/>
      <c r="BV275" s="1059"/>
      <c r="BW275" s="764"/>
      <c r="BX275" s="822"/>
      <c r="BY275" s="822"/>
      <c r="BZ275" s="822"/>
      <c r="CA275" s="822"/>
      <c r="CB275" s="822"/>
      <c r="CC275" s="822"/>
      <c r="CD275" s="822"/>
      <c r="CE275" s="822"/>
      <c r="CF275" s="822"/>
      <c r="CG275" s="822"/>
      <c r="CH275" s="822"/>
      <c r="CI275" s="822"/>
      <c r="CJ275" s="822"/>
      <c r="CK275" s="822"/>
      <c r="CL275" s="822"/>
      <c r="CM275" s="822"/>
      <c r="CN275" s="822"/>
      <c r="CO275" s="822"/>
      <c r="CP275" s="822"/>
      <c r="CQ275" s="822"/>
      <c r="CR275" s="822"/>
      <c r="CS275" s="822"/>
      <c r="CT275" s="822"/>
      <c r="CU275" s="822"/>
      <c r="CV275" s="822"/>
      <c r="CW275" s="822"/>
      <c r="CX275" s="822"/>
      <c r="CY275" s="822"/>
      <c r="CZ275" s="822"/>
      <c r="DA275" s="822"/>
      <c r="DB275" s="822"/>
      <c r="DC275" s="822"/>
      <c r="DD275" s="822"/>
      <c r="DE275" s="822"/>
      <c r="DF275" s="822"/>
      <c r="DG275" s="822"/>
      <c r="DH275" s="822"/>
      <c r="DI275" s="822"/>
      <c r="DJ275" s="822"/>
      <c r="DK275" s="822"/>
      <c r="DL275" s="822"/>
      <c r="DM275" s="822"/>
      <c r="DN275" s="822"/>
      <c r="DO275" s="822"/>
      <c r="DP275" s="822"/>
      <c r="DQ275" s="822"/>
      <c r="DR275" s="822"/>
      <c r="DS275" s="822"/>
      <c r="DT275" s="822"/>
      <c r="DU275" s="822"/>
      <c r="DV275" s="822"/>
      <c r="DW275" s="822"/>
      <c r="DX275" s="822"/>
      <c r="DY275" s="822"/>
      <c r="DZ275" s="822"/>
      <c r="EA275" s="822"/>
      <c r="EB275" s="822"/>
      <c r="EC275" s="822"/>
      <c r="ED275" s="822"/>
      <c r="EE275" s="822"/>
      <c r="EF275" s="822"/>
      <c r="EG275" s="822"/>
      <c r="EH275" s="822"/>
      <c r="EI275" s="822"/>
      <c r="EJ275" s="822"/>
      <c r="EK275" s="822"/>
      <c r="EL275" s="822"/>
      <c r="EM275" s="822"/>
      <c r="EN275" s="822"/>
      <c r="EO275" s="822"/>
      <c r="EP275" s="822"/>
      <c r="EQ275" s="822"/>
      <c r="ER275" s="822"/>
    </row>
    <row r="276" spans="3:148" ht="17.100000000000001" customHeight="1" thickTop="1" x14ac:dyDescent="0.3">
      <c r="C276" s="1436"/>
      <c r="E276" s="762"/>
      <c r="F276" s="1059"/>
      <c r="G276" s="1059"/>
      <c r="H276" s="1059"/>
      <c r="I276" s="4756" t="s">
        <v>72</v>
      </c>
      <c r="J276" s="4757"/>
      <c r="K276" s="4757"/>
      <c r="L276" s="4764" t="s">
        <v>144</v>
      </c>
      <c r="M276" s="4764"/>
      <c r="N276" s="4757" t="s">
        <v>72</v>
      </c>
      <c r="O276" s="4757"/>
      <c r="P276" s="4762"/>
      <c r="Q276" s="1059"/>
      <c r="R276" s="1059"/>
      <c r="S276" s="4756" t="s">
        <v>72</v>
      </c>
      <c r="T276" s="4757"/>
      <c r="U276" s="4757"/>
      <c r="V276" s="4779" t="s">
        <v>144</v>
      </c>
      <c r="W276" s="4779"/>
      <c r="X276" s="4757" t="s">
        <v>72</v>
      </c>
      <c r="Y276" s="4757"/>
      <c r="Z276" s="4762"/>
      <c r="AA276" s="1059"/>
      <c r="AB276" s="1059"/>
      <c r="AC276" s="4756" t="s">
        <v>72</v>
      </c>
      <c r="AD276" s="4757"/>
      <c r="AE276" s="4757"/>
      <c r="AF276" s="4781" t="s">
        <v>144</v>
      </c>
      <c r="AG276" s="4781"/>
      <c r="AH276" s="4757" t="s">
        <v>72</v>
      </c>
      <c r="AI276" s="4757"/>
      <c r="AJ276" s="4762"/>
      <c r="AK276" s="1059"/>
      <c r="AL276" s="1059"/>
      <c r="AM276" s="2285">
        <f>AN281</f>
        <v>0</v>
      </c>
      <c r="AN276" s="2280" t="s">
        <v>941</v>
      </c>
      <c r="AO276" s="1278"/>
      <c r="AP276" s="1059"/>
      <c r="AQ276" s="1059"/>
      <c r="AR276" s="4756" t="s">
        <v>72</v>
      </c>
      <c r="AS276" s="4757"/>
      <c r="AT276" s="4757"/>
      <c r="AU276" s="4781" t="s">
        <v>940</v>
      </c>
      <c r="AV276" s="4781"/>
      <c r="AW276" s="4757" t="s">
        <v>72</v>
      </c>
      <c r="AX276" s="4757"/>
      <c r="AY276" s="4762"/>
      <c r="AZ276" s="1059"/>
      <c r="BA276" s="1059"/>
      <c r="BB276" s="4756" t="s">
        <v>72</v>
      </c>
      <c r="BC276" s="4757"/>
      <c r="BD276" s="4757"/>
      <c r="BE276" s="4779" t="s">
        <v>940</v>
      </c>
      <c r="BF276" s="4779"/>
      <c r="BG276" s="4757" t="s">
        <v>72</v>
      </c>
      <c r="BH276" s="4757"/>
      <c r="BI276" s="4762"/>
      <c r="BJ276" s="1059"/>
      <c r="BK276" s="1059"/>
      <c r="BL276" s="4756" t="s">
        <v>72</v>
      </c>
      <c r="BM276" s="4757"/>
      <c r="BN276" s="4757"/>
      <c r="BO276" s="4764" t="s">
        <v>940</v>
      </c>
      <c r="BP276" s="4764"/>
      <c r="BQ276" s="4757" t="s">
        <v>72</v>
      </c>
      <c r="BR276" s="4757"/>
      <c r="BS276" s="4762"/>
      <c r="BT276" s="1059"/>
      <c r="BU276" s="1059"/>
      <c r="BV276" s="1059"/>
      <c r="BW276" s="764"/>
      <c r="BX276" s="822"/>
      <c r="BY276" s="822"/>
      <c r="BZ276" s="822"/>
      <c r="CA276" s="822"/>
      <c r="CB276" s="822"/>
      <c r="CC276" s="822"/>
      <c r="CD276" s="822"/>
      <c r="CE276" s="822"/>
      <c r="CF276" s="822"/>
      <c r="CG276" s="822"/>
      <c r="CH276" s="822"/>
      <c r="CI276" s="822"/>
      <c r="CJ276" s="822"/>
      <c r="CK276" s="822"/>
      <c r="CL276" s="822"/>
      <c r="CM276" s="822"/>
      <c r="CN276" s="822"/>
      <c r="CO276" s="822"/>
      <c r="CP276" s="822"/>
      <c r="CQ276" s="822"/>
      <c r="CR276" s="822"/>
      <c r="CS276" s="822"/>
      <c r="CT276" s="822"/>
      <c r="CU276" s="822"/>
      <c r="CV276" s="822"/>
      <c r="CW276" s="822"/>
      <c r="CX276" s="822"/>
      <c r="CY276" s="822"/>
      <c r="CZ276" s="822"/>
      <c r="DA276" s="822"/>
      <c r="DB276" s="822"/>
      <c r="DC276" s="822"/>
      <c r="DD276" s="822"/>
      <c r="DE276" s="822"/>
      <c r="DF276" s="822"/>
      <c r="DG276" s="822"/>
      <c r="DH276" s="822"/>
      <c r="DI276" s="822"/>
      <c r="DJ276" s="822"/>
      <c r="DK276" s="822"/>
      <c r="DL276" s="822"/>
      <c r="DM276" s="822"/>
      <c r="DN276" s="822"/>
      <c r="DO276" s="822"/>
      <c r="DP276" s="822"/>
      <c r="DQ276" s="822"/>
      <c r="DR276" s="822"/>
      <c r="DS276" s="822"/>
      <c r="DT276" s="822"/>
      <c r="DU276" s="822"/>
      <c r="DV276" s="822"/>
      <c r="DW276" s="822"/>
      <c r="DX276" s="822"/>
      <c r="DY276" s="822"/>
      <c r="DZ276" s="822"/>
      <c r="EA276" s="822"/>
      <c r="EB276" s="822"/>
      <c r="EC276" s="822"/>
      <c r="ED276" s="822"/>
      <c r="EE276" s="822"/>
      <c r="EF276" s="822"/>
      <c r="EG276" s="822"/>
      <c r="EH276" s="822"/>
      <c r="EI276" s="822"/>
      <c r="EJ276" s="822"/>
      <c r="EK276" s="822"/>
      <c r="EL276" s="822"/>
      <c r="EM276" s="822"/>
      <c r="EN276" s="822"/>
      <c r="EO276" s="822"/>
      <c r="EP276" s="822"/>
      <c r="EQ276" s="822"/>
      <c r="ER276" s="822"/>
    </row>
    <row r="277" spans="3:148" ht="17.100000000000001" customHeight="1" x14ac:dyDescent="0.3">
      <c r="E277" s="762"/>
      <c r="F277" s="1059"/>
      <c r="G277" s="1059"/>
      <c r="H277" s="1059"/>
      <c r="I277" s="4758"/>
      <c r="J277" s="4759"/>
      <c r="K277" s="4759"/>
      <c r="L277" s="4798"/>
      <c r="M277" s="4798"/>
      <c r="N277" s="4759"/>
      <c r="O277" s="4759"/>
      <c r="P277" s="4763"/>
      <c r="Q277" s="1059"/>
      <c r="R277" s="1059"/>
      <c r="S277" s="4758"/>
      <c r="T277" s="4759"/>
      <c r="U277" s="4759"/>
      <c r="V277" s="4796"/>
      <c r="W277" s="4796"/>
      <c r="X277" s="4759"/>
      <c r="Y277" s="4759"/>
      <c r="Z277" s="4763"/>
      <c r="AA277" s="1059"/>
      <c r="AB277" s="1059"/>
      <c r="AC277" s="4758"/>
      <c r="AD277" s="4759"/>
      <c r="AE277" s="4759"/>
      <c r="AF277" s="4797"/>
      <c r="AG277" s="4797"/>
      <c r="AH277" s="4759"/>
      <c r="AI277" s="4759"/>
      <c r="AJ277" s="4763"/>
      <c r="AK277" s="1059"/>
      <c r="AL277" s="1059"/>
      <c r="AM277" s="2285">
        <f>AN281</f>
        <v>0</v>
      </c>
      <c r="AN277" s="2281" t="s">
        <v>144</v>
      </c>
      <c r="AO277" s="1278"/>
      <c r="AP277" s="1059"/>
      <c r="AQ277" s="1059"/>
      <c r="AR277" s="4758"/>
      <c r="AS277" s="4759"/>
      <c r="AT277" s="4759"/>
      <c r="AU277" s="4797"/>
      <c r="AV277" s="4797"/>
      <c r="AW277" s="4759"/>
      <c r="AX277" s="4759"/>
      <c r="AY277" s="4763"/>
      <c r="AZ277" s="1059"/>
      <c r="BA277" s="1059"/>
      <c r="BB277" s="4758"/>
      <c r="BC277" s="4759"/>
      <c r="BD277" s="4759"/>
      <c r="BE277" s="4796"/>
      <c r="BF277" s="4796"/>
      <c r="BG277" s="4759"/>
      <c r="BH277" s="4759"/>
      <c r="BI277" s="4763"/>
      <c r="BJ277" s="1059"/>
      <c r="BK277" s="1059"/>
      <c r="BL277" s="4758"/>
      <c r="BM277" s="4759"/>
      <c r="BN277" s="4759"/>
      <c r="BO277" s="4798"/>
      <c r="BP277" s="4798"/>
      <c r="BQ277" s="4759"/>
      <c r="BR277" s="4759"/>
      <c r="BS277" s="4763"/>
      <c r="BT277" s="1059"/>
      <c r="BU277" s="1059"/>
      <c r="BV277" s="1059"/>
      <c r="BW277" s="764"/>
      <c r="BX277" s="822"/>
      <c r="BY277" s="822"/>
      <c r="BZ277" s="822"/>
      <c r="CA277" s="822"/>
      <c r="CB277" s="822"/>
      <c r="CC277" s="822"/>
      <c r="CD277" s="822"/>
      <c r="CE277" s="822"/>
      <c r="CF277" s="822"/>
      <c r="CG277" s="822"/>
      <c r="CH277" s="822"/>
      <c r="CI277" s="822"/>
      <c r="CJ277" s="822"/>
      <c r="CK277" s="822"/>
      <c r="CL277" s="822"/>
      <c r="CM277" s="822"/>
      <c r="CN277" s="822"/>
      <c r="CO277" s="822"/>
      <c r="CP277" s="822"/>
      <c r="CQ277" s="822"/>
      <c r="CR277" s="822"/>
      <c r="CS277" s="822"/>
      <c r="CT277" s="822"/>
      <c r="CU277" s="822"/>
      <c r="CV277" s="822"/>
      <c r="CW277" s="822"/>
      <c r="CX277" s="822"/>
      <c r="CY277" s="822"/>
      <c r="CZ277" s="822"/>
      <c r="DA277" s="822"/>
      <c r="DB277" s="822"/>
      <c r="DC277" s="822"/>
      <c r="DD277" s="822"/>
      <c r="DE277" s="822"/>
      <c r="DF277" s="822"/>
      <c r="DG277" s="822"/>
      <c r="DH277" s="822"/>
      <c r="DI277" s="822"/>
      <c r="DJ277" s="822"/>
      <c r="DK277" s="822"/>
      <c r="DL277" s="822"/>
      <c r="DM277" s="822"/>
      <c r="DN277" s="822"/>
      <c r="DO277" s="822"/>
      <c r="DP277" s="822"/>
      <c r="DQ277" s="822"/>
      <c r="DR277" s="822"/>
      <c r="DS277" s="822"/>
      <c r="DT277" s="822"/>
      <c r="DU277" s="822"/>
      <c r="DV277" s="822"/>
      <c r="DW277" s="822"/>
      <c r="DX277" s="822"/>
      <c r="DY277" s="822"/>
      <c r="DZ277" s="822"/>
      <c r="EA277" s="822"/>
      <c r="EB277" s="822"/>
      <c r="EC277" s="822"/>
      <c r="ED277" s="822"/>
      <c r="EE277" s="822"/>
      <c r="EF277" s="822"/>
      <c r="EG277" s="822"/>
      <c r="EH277" s="822"/>
      <c r="EI277" s="822"/>
      <c r="EJ277" s="822"/>
      <c r="EK277" s="822"/>
      <c r="EL277" s="822"/>
      <c r="EM277" s="822"/>
      <c r="EN277" s="822"/>
      <c r="EO277" s="822"/>
      <c r="EP277" s="822"/>
      <c r="EQ277" s="822"/>
      <c r="ER277" s="822"/>
    </row>
    <row r="278" spans="3:148" ht="17.100000000000001" customHeight="1" x14ac:dyDescent="0.3">
      <c r="E278" s="762"/>
      <c r="F278" s="1059"/>
      <c r="G278" s="1059"/>
      <c r="H278" s="1059"/>
      <c r="I278" s="4766"/>
      <c r="J278" s="4768"/>
      <c r="K278" s="4769"/>
      <c r="L278" s="4769"/>
      <c r="M278" s="4769"/>
      <c r="N278" s="4769"/>
      <c r="O278" s="4770"/>
      <c r="P278" s="4777"/>
      <c r="Q278" s="1059"/>
      <c r="R278" s="1059"/>
      <c r="S278" s="4766"/>
      <c r="T278" s="4768"/>
      <c r="U278" s="4769"/>
      <c r="V278" s="4769"/>
      <c r="W278" s="4769"/>
      <c r="X278" s="4769"/>
      <c r="Y278" s="4770"/>
      <c r="Z278" s="4777"/>
      <c r="AA278" s="1059"/>
      <c r="AB278" s="1059"/>
      <c r="AC278" s="4766"/>
      <c r="AD278" s="4768"/>
      <c r="AE278" s="4769"/>
      <c r="AF278" s="4769"/>
      <c r="AG278" s="4769"/>
      <c r="AH278" s="4769"/>
      <c r="AI278" s="4770"/>
      <c r="AJ278" s="4777"/>
      <c r="AK278" s="1059"/>
      <c r="AL278" s="1059"/>
      <c r="AM278" s="2285">
        <f>AN281</f>
        <v>0</v>
      </c>
      <c r="AN278" s="2282" t="s">
        <v>939</v>
      </c>
      <c r="AO278" s="1278"/>
      <c r="AP278" s="1059"/>
      <c r="AQ278" s="1059"/>
      <c r="AR278" s="4766"/>
      <c r="AS278" s="4768"/>
      <c r="AT278" s="4769"/>
      <c r="AU278" s="4769"/>
      <c r="AV278" s="4769"/>
      <c r="AW278" s="4769"/>
      <c r="AX278" s="4770"/>
      <c r="AY278" s="4777"/>
      <c r="AZ278" s="1059"/>
      <c r="BA278" s="1059"/>
      <c r="BB278" s="4766"/>
      <c r="BC278" s="4768"/>
      <c r="BD278" s="4769"/>
      <c r="BE278" s="4769"/>
      <c r="BF278" s="4769"/>
      <c r="BG278" s="4769"/>
      <c r="BH278" s="4770"/>
      <c r="BI278" s="4777"/>
      <c r="BJ278" s="1059"/>
      <c r="BK278" s="1059"/>
      <c r="BL278" s="4766"/>
      <c r="BM278" s="4768"/>
      <c r="BN278" s="4769"/>
      <c r="BO278" s="4769"/>
      <c r="BP278" s="4769"/>
      <c r="BQ278" s="4769"/>
      <c r="BR278" s="4770"/>
      <c r="BS278" s="4777"/>
      <c r="BT278" s="1059"/>
      <c r="BU278" s="1059"/>
      <c r="BV278" s="1059"/>
      <c r="BW278" s="764"/>
      <c r="BX278" s="822"/>
      <c r="BY278" s="822"/>
      <c r="BZ278" s="822"/>
      <c r="CA278" s="822"/>
      <c r="CB278" s="822"/>
      <c r="CC278" s="822"/>
      <c r="CD278" s="822"/>
      <c r="CE278" s="822"/>
      <c r="CF278" s="822"/>
      <c r="CG278" s="822"/>
      <c r="CH278" s="822"/>
      <c r="CI278" s="822"/>
      <c r="CJ278" s="4826" t="str">
        <f>IF(J278=0,"",J278)</f>
        <v/>
      </c>
      <c r="CK278" s="4827"/>
      <c r="CL278" s="4827"/>
      <c r="CM278" s="4827"/>
      <c r="CN278" s="4827"/>
      <c r="CO278" s="4828"/>
      <c r="CP278" s="822"/>
      <c r="CQ278" s="822"/>
      <c r="CR278" s="822"/>
      <c r="CS278" s="822"/>
      <c r="CT278" s="4826" t="str">
        <f>IF(T278=0,"",T278)</f>
        <v/>
      </c>
      <c r="CU278" s="4827"/>
      <c r="CV278" s="4827"/>
      <c r="CW278" s="4827"/>
      <c r="CX278" s="4827"/>
      <c r="CY278" s="4828"/>
      <c r="CZ278" s="822"/>
      <c r="DA278" s="822"/>
      <c r="DB278" s="822"/>
      <c r="DC278" s="822"/>
      <c r="DD278" s="4826" t="str">
        <f>IF(AD278=0,"",AD278)</f>
        <v/>
      </c>
      <c r="DE278" s="4827"/>
      <c r="DF278" s="4827"/>
      <c r="DG278" s="4827"/>
      <c r="DH278" s="4827"/>
      <c r="DI278" s="4828"/>
      <c r="DJ278" s="822"/>
      <c r="DK278" s="822"/>
      <c r="DL278" s="822"/>
      <c r="DM278" s="822"/>
      <c r="DN278" s="822"/>
      <c r="DO278" s="822"/>
      <c r="DP278" s="822"/>
      <c r="DQ278" s="822"/>
      <c r="DR278" s="822"/>
      <c r="DS278" s="4826" t="str">
        <f>IF(AS278=0,"",AS278)</f>
        <v/>
      </c>
      <c r="DT278" s="4827"/>
      <c r="DU278" s="4827"/>
      <c r="DV278" s="4827"/>
      <c r="DW278" s="4827"/>
      <c r="DX278" s="4828"/>
      <c r="DY278" s="822"/>
      <c r="DZ278" s="822"/>
      <c r="EA278" s="822"/>
      <c r="EB278" s="822"/>
      <c r="EC278" s="4826" t="str">
        <f>IF(BC278=0,"",BC278)</f>
        <v/>
      </c>
      <c r="ED278" s="4827"/>
      <c r="EE278" s="4827"/>
      <c r="EF278" s="4827"/>
      <c r="EG278" s="4827"/>
      <c r="EH278" s="4828"/>
      <c r="EI278" s="822"/>
      <c r="EJ278" s="822"/>
      <c r="EK278" s="822"/>
      <c r="EL278" s="822"/>
      <c r="EM278" s="4826" t="str">
        <f>IF(BM278=0,"",BM278)</f>
        <v/>
      </c>
      <c r="EN278" s="4827"/>
      <c r="EO278" s="4827"/>
      <c r="EP278" s="4827"/>
      <c r="EQ278" s="4827"/>
      <c r="ER278" s="4828"/>
    </row>
    <row r="279" spans="3:148" ht="17.100000000000001" customHeight="1" x14ac:dyDescent="0.3">
      <c r="E279" s="762"/>
      <c r="F279" s="1059"/>
      <c r="G279" s="1059"/>
      <c r="H279" s="1059"/>
      <c r="I279" s="4766"/>
      <c r="J279" s="4771"/>
      <c r="K279" s="4772"/>
      <c r="L279" s="4772"/>
      <c r="M279" s="4772"/>
      <c r="N279" s="4772"/>
      <c r="O279" s="4773"/>
      <c r="P279" s="4777"/>
      <c r="Q279" s="1059"/>
      <c r="R279" s="1059"/>
      <c r="S279" s="4766"/>
      <c r="T279" s="4771"/>
      <c r="U279" s="4772"/>
      <c r="V279" s="4772"/>
      <c r="W279" s="4772"/>
      <c r="X279" s="4772"/>
      <c r="Y279" s="4773"/>
      <c r="Z279" s="4777"/>
      <c r="AA279" s="1059"/>
      <c r="AB279" s="1059"/>
      <c r="AC279" s="4766"/>
      <c r="AD279" s="4771"/>
      <c r="AE279" s="4772"/>
      <c r="AF279" s="4772"/>
      <c r="AG279" s="4772"/>
      <c r="AH279" s="4772"/>
      <c r="AI279" s="4773"/>
      <c r="AJ279" s="4777"/>
      <c r="AK279" s="1059"/>
      <c r="AL279" s="1059"/>
      <c r="AM279" s="2285">
        <f>AN281</f>
        <v>0</v>
      </c>
      <c r="AN279" s="2283" t="s">
        <v>942</v>
      </c>
      <c r="AO279" s="1278"/>
      <c r="AP279" s="1059"/>
      <c r="AQ279" s="1059"/>
      <c r="AR279" s="4766"/>
      <c r="AS279" s="4771"/>
      <c r="AT279" s="4772"/>
      <c r="AU279" s="4772"/>
      <c r="AV279" s="4772"/>
      <c r="AW279" s="4772"/>
      <c r="AX279" s="4773"/>
      <c r="AY279" s="4777"/>
      <c r="AZ279" s="1059"/>
      <c r="BA279" s="1059"/>
      <c r="BB279" s="4766"/>
      <c r="BC279" s="4771"/>
      <c r="BD279" s="4772"/>
      <c r="BE279" s="4772"/>
      <c r="BF279" s="4772"/>
      <c r="BG279" s="4772"/>
      <c r="BH279" s="4773"/>
      <c r="BI279" s="4777"/>
      <c r="BJ279" s="1059"/>
      <c r="BK279" s="1059"/>
      <c r="BL279" s="4766"/>
      <c r="BM279" s="4771"/>
      <c r="BN279" s="4772"/>
      <c r="BO279" s="4772"/>
      <c r="BP279" s="4772"/>
      <c r="BQ279" s="4772"/>
      <c r="BR279" s="4773"/>
      <c r="BS279" s="4777"/>
      <c r="BT279" s="1059"/>
      <c r="BU279" s="1059"/>
      <c r="BV279" s="1059"/>
      <c r="BW279" s="764"/>
      <c r="BX279" s="822"/>
      <c r="BY279" s="822"/>
      <c r="BZ279" s="822"/>
      <c r="CA279" s="822"/>
      <c r="CB279" s="822"/>
      <c r="CC279" s="822"/>
      <c r="CD279" s="822"/>
      <c r="CE279" s="822"/>
      <c r="CF279" s="822"/>
      <c r="CG279" s="822"/>
      <c r="CH279" s="822"/>
      <c r="CI279" s="822"/>
      <c r="CJ279" s="4829"/>
      <c r="CK279" s="4830"/>
      <c r="CL279" s="4830"/>
      <c r="CM279" s="4830"/>
      <c r="CN279" s="4830"/>
      <c r="CO279" s="4831"/>
      <c r="CP279" s="822"/>
      <c r="CQ279" s="822"/>
      <c r="CR279" s="822"/>
      <c r="CS279" s="822"/>
      <c r="CT279" s="4829"/>
      <c r="CU279" s="4830"/>
      <c r="CV279" s="4830"/>
      <c r="CW279" s="4830"/>
      <c r="CX279" s="4830"/>
      <c r="CY279" s="4831"/>
      <c r="CZ279" s="822"/>
      <c r="DA279" s="822"/>
      <c r="DB279" s="822"/>
      <c r="DC279" s="822"/>
      <c r="DD279" s="4829"/>
      <c r="DE279" s="4830"/>
      <c r="DF279" s="4830"/>
      <c r="DG279" s="4830"/>
      <c r="DH279" s="4830"/>
      <c r="DI279" s="4831"/>
      <c r="DJ279" s="822"/>
      <c r="DK279" s="822"/>
      <c r="DL279" s="822"/>
      <c r="DM279" s="822"/>
      <c r="DN279" s="822"/>
      <c r="DO279" s="822"/>
      <c r="DP279" s="822"/>
      <c r="DQ279" s="822"/>
      <c r="DR279" s="822"/>
      <c r="DS279" s="4829"/>
      <c r="DT279" s="4830"/>
      <c r="DU279" s="4830"/>
      <c r="DV279" s="4830"/>
      <c r="DW279" s="4830"/>
      <c r="DX279" s="4831"/>
      <c r="DY279" s="822"/>
      <c r="DZ279" s="822"/>
      <c r="EA279" s="822"/>
      <c r="EB279" s="822"/>
      <c r="EC279" s="4829"/>
      <c r="ED279" s="4830"/>
      <c r="EE279" s="4830"/>
      <c r="EF279" s="4830"/>
      <c r="EG279" s="4830"/>
      <c r="EH279" s="4831"/>
      <c r="EI279" s="822"/>
      <c r="EJ279" s="822"/>
      <c r="EK279" s="822"/>
      <c r="EL279" s="822"/>
      <c r="EM279" s="4829"/>
      <c r="EN279" s="4830"/>
      <c r="EO279" s="4830"/>
      <c r="EP279" s="4830"/>
      <c r="EQ279" s="4830"/>
      <c r="ER279" s="4831"/>
    </row>
    <row r="280" spans="3:148" ht="17.100000000000001" customHeight="1" x14ac:dyDescent="0.3">
      <c r="E280" s="762"/>
      <c r="F280" s="1059"/>
      <c r="G280" s="1059"/>
      <c r="H280" s="1059"/>
      <c r="I280" s="4766"/>
      <c r="J280" s="4774"/>
      <c r="K280" s="4775"/>
      <c r="L280" s="4775"/>
      <c r="M280" s="4775"/>
      <c r="N280" s="4775"/>
      <c r="O280" s="4776"/>
      <c r="P280" s="4777"/>
      <c r="Q280" s="1059"/>
      <c r="R280" s="1059"/>
      <c r="S280" s="4766"/>
      <c r="T280" s="4774"/>
      <c r="U280" s="4775"/>
      <c r="V280" s="4775"/>
      <c r="W280" s="4775"/>
      <c r="X280" s="4775"/>
      <c r="Y280" s="4776"/>
      <c r="Z280" s="4777"/>
      <c r="AA280" s="1059"/>
      <c r="AB280" s="1059"/>
      <c r="AC280" s="4766"/>
      <c r="AD280" s="4774"/>
      <c r="AE280" s="4775"/>
      <c r="AF280" s="4775"/>
      <c r="AG280" s="4775"/>
      <c r="AH280" s="4775"/>
      <c r="AI280" s="4776"/>
      <c r="AJ280" s="4777"/>
      <c r="AK280" s="1059"/>
      <c r="AL280" s="1059"/>
      <c r="AM280" s="2285">
        <f>AN281</f>
        <v>0</v>
      </c>
      <c r="AN280" s="2284" t="s">
        <v>940</v>
      </c>
      <c r="AO280" s="1278"/>
      <c r="AP280" s="1059"/>
      <c r="AQ280" s="1059"/>
      <c r="AR280" s="4766"/>
      <c r="AS280" s="4774"/>
      <c r="AT280" s="4775"/>
      <c r="AU280" s="4775"/>
      <c r="AV280" s="4775"/>
      <c r="AW280" s="4775"/>
      <c r="AX280" s="4776"/>
      <c r="AY280" s="4777"/>
      <c r="AZ280" s="1059"/>
      <c r="BA280" s="1059"/>
      <c r="BB280" s="4766"/>
      <c r="BC280" s="4774"/>
      <c r="BD280" s="4775"/>
      <c r="BE280" s="4775"/>
      <c r="BF280" s="4775"/>
      <c r="BG280" s="4775"/>
      <c r="BH280" s="4776"/>
      <c r="BI280" s="4777"/>
      <c r="BJ280" s="1059"/>
      <c r="BK280" s="1059"/>
      <c r="BL280" s="4766"/>
      <c r="BM280" s="4774"/>
      <c r="BN280" s="4775"/>
      <c r="BO280" s="4775"/>
      <c r="BP280" s="4775"/>
      <c r="BQ280" s="4775"/>
      <c r="BR280" s="4776"/>
      <c r="BS280" s="4777"/>
      <c r="BT280" s="1059"/>
      <c r="BU280" s="1059"/>
      <c r="BV280" s="1059"/>
      <c r="BW280" s="764"/>
      <c r="BX280" s="822"/>
      <c r="BY280" s="822"/>
      <c r="BZ280" s="822"/>
      <c r="CA280" s="822"/>
      <c r="CB280" s="822"/>
      <c r="CC280" s="822"/>
      <c r="CD280" s="822"/>
      <c r="CE280" s="822"/>
      <c r="CF280" s="822"/>
      <c r="CG280" s="822"/>
      <c r="CH280" s="822"/>
      <c r="CI280" s="822"/>
      <c r="CJ280" s="4832"/>
      <c r="CK280" s="4833"/>
      <c r="CL280" s="4833"/>
      <c r="CM280" s="4833"/>
      <c r="CN280" s="4833"/>
      <c r="CO280" s="4834"/>
      <c r="CP280" s="822"/>
      <c r="CQ280" s="822"/>
      <c r="CR280" s="822"/>
      <c r="CS280" s="822"/>
      <c r="CT280" s="4832"/>
      <c r="CU280" s="4833"/>
      <c r="CV280" s="4833"/>
      <c r="CW280" s="4833"/>
      <c r="CX280" s="4833"/>
      <c r="CY280" s="4834"/>
      <c r="CZ280" s="822"/>
      <c r="DA280" s="822"/>
      <c r="DB280" s="822"/>
      <c r="DC280" s="822"/>
      <c r="DD280" s="4832"/>
      <c r="DE280" s="4833"/>
      <c r="DF280" s="4833"/>
      <c r="DG280" s="4833"/>
      <c r="DH280" s="4833"/>
      <c r="DI280" s="4834"/>
      <c r="DJ280" s="822"/>
      <c r="DK280" s="822"/>
      <c r="DL280" s="822"/>
      <c r="DM280" s="822"/>
      <c r="DN280" s="822"/>
      <c r="DO280" s="822"/>
      <c r="DP280" s="822"/>
      <c r="DQ280" s="822"/>
      <c r="DR280" s="822"/>
      <c r="DS280" s="4832"/>
      <c r="DT280" s="4833"/>
      <c r="DU280" s="4833"/>
      <c r="DV280" s="4833"/>
      <c r="DW280" s="4833"/>
      <c r="DX280" s="4834"/>
      <c r="DY280" s="822"/>
      <c r="DZ280" s="822"/>
      <c r="EA280" s="822"/>
      <c r="EB280" s="822"/>
      <c r="EC280" s="4832"/>
      <c r="ED280" s="4833"/>
      <c r="EE280" s="4833"/>
      <c r="EF280" s="4833"/>
      <c r="EG280" s="4833"/>
      <c r="EH280" s="4834"/>
      <c r="EI280" s="822"/>
      <c r="EJ280" s="822"/>
      <c r="EK280" s="822"/>
      <c r="EL280" s="822"/>
      <c r="EM280" s="4832"/>
      <c r="EN280" s="4833"/>
      <c r="EO280" s="4833"/>
      <c r="EP280" s="4833"/>
      <c r="EQ280" s="4833"/>
      <c r="ER280" s="4834"/>
    </row>
    <row r="281" spans="3:148" ht="17.100000000000001" customHeight="1" thickBot="1" x14ac:dyDescent="0.35">
      <c r="E281" s="762"/>
      <c r="F281" s="1059"/>
      <c r="G281" s="1059"/>
      <c r="H281" s="1059"/>
      <c r="I281" s="4767"/>
      <c r="J281" s="4789" t="s">
        <v>505</v>
      </c>
      <c r="K281" s="4789"/>
      <c r="L281" s="4789"/>
      <c r="M281" s="4789"/>
      <c r="N281" s="4789"/>
      <c r="O281" s="4789"/>
      <c r="P281" s="4778"/>
      <c r="Q281" s="1059"/>
      <c r="R281" s="1059"/>
      <c r="S281" s="4767"/>
      <c r="T281" s="4789" t="s">
        <v>505</v>
      </c>
      <c r="U281" s="4789"/>
      <c r="V281" s="4789"/>
      <c r="W281" s="4789"/>
      <c r="X281" s="4789"/>
      <c r="Y281" s="4789"/>
      <c r="Z281" s="4778"/>
      <c r="AA281" s="1059"/>
      <c r="AB281" s="1059"/>
      <c r="AC281" s="4767"/>
      <c r="AD281" s="4789" t="s">
        <v>505</v>
      </c>
      <c r="AE281" s="4789"/>
      <c r="AF281" s="4789"/>
      <c r="AG281" s="4789"/>
      <c r="AH281" s="4789"/>
      <c r="AI281" s="4789"/>
      <c r="AJ281" s="4778"/>
      <c r="AK281" s="1059"/>
      <c r="AL281" s="1059"/>
      <c r="AM281" s="1277"/>
      <c r="AN281" s="1279">
        <f>IF(COUNTA(J262,T262,AD262,J270,T270,AD270,J278,T278,AD278,AS262,BC262,BM262,AS270,BC270,BM270,AS278,BC278,BM278)=18,1,0)</f>
        <v>0</v>
      </c>
      <c r="AO281" s="1279"/>
      <c r="AP281" s="1059"/>
      <c r="AQ281" s="1059"/>
      <c r="AR281" s="4767"/>
      <c r="AS281" s="4789" t="s">
        <v>505</v>
      </c>
      <c r="AT281" s="4789"/>
      <c r="AU281" s="4789"/>
      <c r="AV281" s="4789"/>
      <c r="AW281" s="4789"/>
      <c r="AX281" s="4789"/>
      <c r="AY281" s="4778"/>
      <c r="AZ281" s="1059"/>
      <c r="BA281" s="1059"/>
      <c r="BB281" s="4767"/>
      <c r="BC281" s="4789" t="s">
        <v>505</v>
      </c>
      <c r="BD281" s="4789"/>
      <c r="BE281" s="4789"/>
      <c r="BF281" s="4789"/>
      <c r="BG281" s="4789"/>
      <c r="BH281" s="4789"/>
      <c r="BI281" s="4778"/>
      <c r="BJ281" s="1059"/>
      <c r="BK281" s="1059"/>
      <c r="BL281" s="4767"/>
      <c r="BM281" s="4789" t="s">
        <v>505</v>
      </c>
      <c r="BN281" s="4789"/>
      <c r="BO281" s="4789"/>
      <c r="BP281" s="4789"/>
      <c r="BQ281" s="4789"/>
      <c r="BR281" s="4789"/>
      <c r="BS281" s="4778"/>
      <c r="BT281" s="1059"/>
      <c r="BU281" s="1059"/>
      <c r="BV281" s="1059"/>
      <c r="BW281" s="764"/>
      <c r="BX281" s="822"/>
      <c r="BY281" s="822"/>
      <c r="BZ281" s="822"/>
      <c r="CA281" s="822"/>
      <c r="CB281" s="822"/>
      <c r="CC281" s="822"/>
      <c r="CD281" s="822"/>
      <c r="CE281" s="822"/>
      <c r="CF281" s="822"/>
      <c r="CG281" s="822"/>
      <c r="CH281" s="822"/>
      <c r="CI281" s="822"/>
      <c r="CJ281" s="822"/>
      <c r="CK281" s="822"/>
      <c r="CL281" s="822"/>
      <c r="CM281" s="822"/>
      <c r="CN281" s="822"/>
      <c r="CO281" s="822"/>
      <c r="CP281" s="822"/>
      <c r="CQ281" s="822"/>
      <c r="CR281" s="822"/>
      <c r="CS281" s="822"/>
      <c r="CT281" s="822"/>
      <c r="CU281" s="822"/>
      <c r="CV281" s="822"/>
      <c r="CW281" s="822"/>
      <c r="CX281" s="822"/>
      <c r="CY281" s="822"/>
      <c r="CZ281" s="822"/>
      <c r="DA281" s="822"/>
      <c r="DB281" s="822"/>
      <c r="DC281" s="822"/>
      <c r="DD281" s="822"/>
      <c r="DE281" s="822"/>
      <c r="DF281" s="822"/>
      <c r="DG281" s="822"/>
      <c r="DH281" s="822"/>
      <c r="DI281" s="822"/>
      <c r="DJ281" s="822"/>
      <c r="DK281" s="822"/>
      <c r="DL281" s="822"/>
      <c r="DM281" s="822"/>
      <c r="DN281" s="822"/>
      <c r="DO281" s="822"/>
      <c r="DP281" s="822"/>
      <c r="DQ281" s="822"/>
      <c r="DR281" s="822"/>
      <c r="DS281" s="822"/>
      <c r="DT281" s="822"/>
      <c r="DU281" s="822"/>
      <c r="DV281" s="822"/>
      <c r="DW281" s="822"/>
      <c r="DX281" s="822"/>
      <c r="DY281" s="822"/>
    </row>
    <row r="282" spans="3:148" ht="17.100000000000001" customHeight="1" thickTop="1" x14ac:dyDescent="0.3">
      <c r="E282" s="762"/>
      <c r="F282" s="1170"/>
      <c r="G282" s="1059"/>
      <c r="H282" s="1059"/>
      <c r="I282" s="1059"/>
      <c r="J282" s="1059"/>
      <c r="K282" s="1059"/>
      <c r="L282" s="1059"/>
      <c r="M282" s="1059"/>
      <c r="N282" s="1059"/>
      <c r="O282" s="1059"/>
      <c r="P282" s="1059"/>
      <c r="Q282" s="1059"/>
      <c r="R282" s="1059"/>
      <c r="S282" s="1059"/>
      <c r="T282" s="1059"/>
      <c r="U282" s="1059"/>
      <c r="V282" s="1059"/>
      <c r="W282" s="1059"/>
      <c r="X282" s="1059"/>
      <c r="Y282" s="1059"/>
      <c r="Z282" s="1059"/>
      <c r="AA282" s="1059"/>
      <c r="AB282" s="1059"/>
      <c r="AC282" s="1059"/>
      <c r="AD282" s="1059"/>
      <c r="AE282" s="1059"/>
      <c r="AF282" s="1059"/>
      <c r="AG282" s="1059"/>
      <c r="AH282" s="1059"/>
      <c r="AI282" s="1059"/>
      <c r="AJ282" s="1059"/>
      <c r="AK282" s="1059"/>
      <c r="AL282" s="1059"/>
      <c r="AM282" s="1059"/>
      <c r="AN282" s="1059"/>
      <c r="AO282" s="1059"/>
      <c r="AP282" s="1264"/>
      <c r="AQ282" s="1059"/>
      <c r="AR282" s="1059"/>
      <c r="AS282" s="1059"/>
      <c r="AT282" s="1059"/>
      <c r="AU282" s="1059"/>
      <c r="AV282" s="1059"/>
      <c r="AW282" s="1059"/>
      <c r="AX282" s="1059"/>
      <c r="AY282" s="1059"/>
      <c r="AZ282" s="1059"/>
      <c r="BA282" s="1059"/>
      <c r="BB282" s="1059"/>
      <c r="BC282" s="1059"/>
      <c r="BD282" s="1059"/>
      <c r="BE282" s="1059"/>
      <c r="BF282" s="1059"/>
      <c r="BG282" s="1059"/>
      <c r="BH282" s="1059"/>
      <c r="BI282" s="1059"/>
      <c r="BJ282" s="1059"/>
      <c r="BK282" s="1059"/>
      <c r="BL282" s="1059"/>
      <c r="BM282" s="1059"/>
      <c r="BN282" s="1059"/>
      <c r="BO282" s="1059"/>
      <c r="BP282" s="1059"/>
      <c r="BQ282" s="1059"/>
      <c r="BR282" s="1059"/>
      <c r="BS282" s="1059"/>
      <c r="BT282" s="1059"/>
      <c r="BU282" s="1059"/>
      <c r="BV282" s="1169"/>
      <c r="BW282" s="764"/>
      <c r="BX282" s="822"/>
      <c r="BY282" s="822"/>
      <c r="BZ282" s="822"/>
      <c r="CA282" s="822"/>
      <c r="CB282" s="822"/>
      <c r="CC282" s="822"/>
      <c r="CD282" s="822"/>
      <c r="CE282" s="822"/>
      <c r="CF282" s="822"/>
      <c r="CG282" s="822"/>
      <c r="CH282" s="822"/>
      <c r="CI282" s="822"/>
    </row>
    <row r="283" spans="3:148" ht="17.100000000000001" customHeight="1" thickBot="1" x14ac:dyDescent="0.35">
      <c r="E283" s="783"/>
      <c r="F283" s="784"/>
      <c r="G283" s="1059"/>
      <c r="H283" s="1059"/>
      <c r="I283" s="1059"/>
      <c r="J283" s="1059"/>
      <c r="K283" s="1059"/>
      <c r="L283" s="1059"/>
      <c r="M283" s="1059"/>
      <c r="N283" s="1059"/>
      <c r="O283" s="1059"/>
      <c r="P283" s="1059"/>
      <c r="Q283" s="1059"/>
      <c r="R283" s="1059"/>
      <c r="S283" s="1059"/>
      <c r="T283" s="1059"/>
      <c r="U283" s="1059"/>
      <c r="V283" s="1059"/>
      <c r="W283" s="1059"/>
      <c r="X283" s="1059"/>
      <c r="Y283" s="1059"/>
      <c r="Z283" s="1059"/>
      <c r="AA283" s="1059"/>
      <c r="AB283" s="1059"/>
      <c r="AC283" s="1059"/>
      <c r="AD283" s="1059"/>
      <c r="AE283" s="1059"/>
      <c r="AF283" s="1059"/>
      <c r="AG283" s="1059"/>
      <c r="AH283" s="1059"/>
      <c r="AI283" s="1059"/>
      <c r="AJ283" s="1703"/>
      <c r="AK283" s="1703"/>
      <c r="AL283" s="1703"/>
      <c r="AM283" s="4808"/>
      <c r="AN283" s="4809"/>
      <c r="AO283" s="4810"/>
      <c r="AP283" s="1704"/>
      <c r="AQ283" s="1704"/>
      <c r="AR283" s="1704"/>
      <c r="AS283" s="1704"/>
      <c r="AT283" s="1704"/>
      <c r="AU283" s="1704"/>
      <c r="AV283" s="1704"/>
      <c r="AW283" s="1704"/>
      <c r="AX283" s="1704"/>
      <c r="AY283" s="1704"/>
      <c r="AZ283" s="1059"/>
      <c r="BA283" s="1059"/>
      <c r="BB283" s="1059"/>
      <c r="BC283" s="1059"/>
      <c r="BD283" s="1059"/>
      <c r="BE283" s="1059"/>
      <c r="BF283" s="1059"/>
      <c r="BG283" s="1059"/>
      <c r="BH283" s="1059"/>
      <c r="BI283" s="1059"/>
      <c r="BJ283" s="1059"/>
      <c r="BK283" s="1059"/>
      <c r="BL283" s="1059"/>
      <c r="BM283" s="1059"/>
      <c r="BN283" s="1059"/>
      <c r="BO283" s="1059"/>
      <c r="BP283" s="1059"/>
      <c r="BQ283" s="1059"/>
      <c r="BR283" s="1059"/>
      <c r="BS283" s="1059"/>
      <c r="BT283" s="1059"/>
      <c r="BU283" s="1059"/>
      <c r="BV283" s="784"/>
      <c r="BW283" s="785"/>
      <c r="BX283" s="822"/>
      <c r="BY283" s="822"/>
      <c r="BZ283" s="822"/>
      <c r="CA283" s="822"/>
      <c r="CB283" s="822"/>
      <c r="CC283" s="822"/>
      <c r="CD283" s="822"/>
      <c r="CE283" s="822"/>
      <c r="CF283" s="822"/>
      <c r="CG283" s="822"/>
      <c r="CH283" s="822"/>
      <c r="CI283" s="822"/>
      <c r="CJ283" s="822"/>
      <c r="CK283" s="822"/>
      <c r="CL283" s="822"/>
      <c r="CM283" s="822"/>
      <c r="CN283" s="822"/>
      <c r="CO283" s="822"/>
      <c r="CP283" s="822"/>
      <c r="CQ283" s="822"/>
      <c r="CR283" s="822"/>
      <c r="CS283" s="822"/>
      <c r="CT283" s="822"/>
      <c r="CU283" s="822"/>
      <c r="CV283" s="822"/>
      <c r="CW283" s="822"/>
      <c r="CX283" s="822"/>
      <c r="CY283" s="822"/>
      <c r="CZ283" s="822"/>
      <c r="DA283" s="822"/>
      <c r="DB283" s="822"/>
      <c r="DC283" s="822"/>
      <c r="DD283" s="822"/>
      <c r="DE283" s="822"/>
      <c r="DF283" s="822"/>
      <c r="DG283" s="822"/>
      <c r="DH283" s="822"/>
      <c r="DI283" s="822"/>
      <c r="DJ283" s="822"/>
      <c r="DK283" s="822"/>
      <c r="DL283" s="822"/>
      <c r="DM283" s="822"/>
      <c r="DN283" s="822"/>
    </row>
    <row r="284" spans="3:148" ht="17.100000000000001" customHeight="1" thickTop="1" x14ac:dyDescent="0.3">
      <c r="E284" s="1253"/>
      <c r="F284" s="1253"/>
      <c r="G284" s="762"/>
      <c r="H284" s="1059"/>
      <c r="I284" s="999"/>
      <c r="J284" s="787"/>
      <c r="K284" s="1059"/>
      <c r="L284" s="1059"/>
      <c r="M284" s="1059"/>
      <c r="N284" s="1059"/>
      <c r="O284" s="1059"/>
      <c r="P284" s="1059"/>
      <c r="Q284" s="1059"/>
      <c r="R284" s="1059"/>
      <c r="S284" s="1059"/>
      <c r="T284" s="1059"/>
      <c r="U284" s="1059"/>
      <c r="V284" s="1059"/>
      <c r="W284" s="1059"/>
      <c r="X284" s="1059"/>
      <c r="Y284" s="1059"/>
      <c r="Z284" s="1059"/>
      <c r="AA284" s="1059"/>
      <c r="AB284" s="1059"/>
      <c r="AC284" s="1059"/>
      <c r="AD284" s="1059"/>
      <c r="AE284" s="1059"/>
      <c r="AF284" s="1059"/>
      <c r="AG284" s="1059"/>
      <c r="AH284" s="1059"/>
      <c r="AI284" s="1059"/>
      <c r="AJ284" s="1705"/>
      <c r="AK284" s="1705"/>
      <c r="AL284" s="1705"/>
      <c r="AM284" s="1706"/>
      <c r="AN284" s="1707" t="str" cm="1">
        <f t="array" ref="AN284">_xlfn.IFS(AND(AN281=1,AM283=""),"ENTER SHEET INITIATION DATE ABOVE",AN281=1,"|",TRUE,"")</f>
        <v/>
      </c>
      <c r="AO284" s="1706"/>
      <c r="AP284" s="1059"/>
      <c r="AQ284" s="1059"/>
      <c r="AR284" s="1059"/>
      <c r="AS284" s="1059"/>
      <c r="AT284" s="1708"/>
      <c r="AU284" s="1059"/>
      <c r="AV284" s="1709"/>
      <c r="AW284" s="1059"/>
      <c r="AX284" s="1059"/>
      <c r="AY284" s="1059"/>
      <c r="AZ284" s="1059"/>
      <c r="BA284" s="1059"/>
      <c r="BB284" s="1059"/>
      <c r="BC284" s="1059"/>
      <c r="BD284" s="1059"/>
      <c r="BE284" s="1059"/>
      <c r="BF284" s="1059"/>
      <c r="BG284" s="1059"/>
      <c r="BH284" s="1059"/>
      <c r="BI284" s="1059"/>
      <c r="BJ284" s="1059"/>
      <c r="BK284" s="1059"/>
      <c r="BL284" s="1059"/>
      <c r="BM284" s="1059"/>
      <c r="BN284" s="1059"/>
      <c r="BO284" s="1059"/>
      <c r="BP284" s="1059"/>
      <c r="BQ284" s="1059"/>
      <c r="BR284" s="1059"/>
      <c r="BS284" s="1059"/>
      <c r="BT284" s="1059"/>
      <c r="BU284" s="764"/>
      <c r="BV284" s="1253"/>
      <c r="BW284" s="1253"/>
      <c r="BX284" s="822"/>
      <c r="BY284" s="822"/>
      <c r="BZ284" s="822"/>
      <c r="CA284" s="822"/>
      <c r="CB284" s="822"/>
      <c r="CC284" s="822"/>
      <c r="CD284" s="822"/>
      <c r="CE284" s="822"/>
      <c r="CF284" s="822"/>
      <c r="CG284" s="822"/>
      <c r="CH284" s="822"/>
      <c r="CI284" s="822"/>
      <c r="CJ284" s="822"/>
      <c r="CK284" s="822"/>
      <c r="CL284" s="822"/>
      <c r="CM284" s="822"/>
      <c r="CN284" s="822"/>
      <c r="CO284" s="822"/>
      <c r="CP284" s="822"/>
      <c r="CQ284" s="822"/>
      <c r="CR284" s="822"/>
      <c r="CS284" s="822"/>
      <c r="CT284" s="822"/>
      <c r="CU284" s="822"/>
      <c r="CV284" s="822"/>
      <c r="CW284" s="822"/>
      <c r="CX284" s="822"/>
      <c r="CY284" s="822"/>
      <c r="CZ284" s="822"/>
      <c r="DA284" s="822"/>
      <c r="DB284" s="822"/>
      <c r="DC284" s="822"/>
      <c r="DD284" s="822"/>
      <c r="DE284" s="822"/>
      <c r="DF284" s="822"/>
      <c r="DG284" s="822"/>
      <c r="DH284" s="822"/>
      <c r="DI284" s="822"/>
      <c r="DJ284" s="822"/>
      <c r="DK284" s="822"/>
      <c r="DL284" s="822"/>
      <c r="DM284" s="822"/>
      <c r="DN284" s="822"/>
    </row>
    <row r="285" spans="3:148" ht="17.100000000000001" customHeight="1" thickBot="1" x14ac:dyDescent="0.35">
      <c r="E285" s="1253"/>
      <c r="F285" s="1253"/>
      <c r="G285" s="783"/>
      <c r="H285" s="784"/>
      <c r="I285" s="784"/>
      <c r="J285" s="784"/>
      <c r="K285" s="784"/>
      <c r="L285" s="784"/>
      <c r="M285" s="784"/>
      <c r="N285" s="784"/>
      <c r="O285" s="784"/>
      <c r="P285" s="784"/>
      <c r="Q285" s="784"/>
      <c r="R285" s="784"/>
      <c r="S285" s="784"/>
      <c r="T285" s="784"/>
      <c r="U285" s="784"/>
      <c r="V285" s="784"/>
      <c r="W285" s="784"/>
      <c r="X285" s="784"/>
      <c r="Y285" s="784"/>
      <c r="Z285" s="784"/>
      <c r="AA285" s="1059"/>
      <c r="AB285" s="1059"/>
      <c r="AC285" s="1059"/>
      <c r="AD285" s="1059"/>
      <c r="AE285" s="1059"/>
      <c r="AF285" s="1059"/>
      <c r="AG285" s="1059"/>
      <c r="AH285" s="1059"/>
      <c r="AI285" s="1059"/>
      <c r="AJ285" s="1262"/>
      <c r="AK285" s="1262"/>
      <c r="AL285" s="1262"/>
      <c r="AM285" s="4808"/>
      <c r="AN285" s="4809"/>
      <c r="AO285" s="4810"/>
      <c r="AP285" s="1262"/>
      <c r="AQ285" s="1262"/>
      <c r="AR285" s="1262"/>
      <c r="AS285" s="1262"/>
      <c r="AT285" s="1263"/>
      <c r="AU285" s="1059"/>
      <c r="AV285" s="1059"/>
      <c r="AW285" s="1059"/>
      <c r="AX285" s="1059"/>
      <c r="AY285" s="1059"/>
      <c r="AZ285" s="1059"/>
      <c r="BA285" s="1059"/>
      <c r="BB285" s="784"/>
      <c r="BC285" s="784"/>
      <c r="BD285" s="784"/>
      <c r="BE285" s="784"/>
      <c r="BF285" s="784"/>
      <c r="BG285" s="784"/>
      <c r="BH285" s="784"/>
      <c r="BI285" s="784"/>
      <c r="BJ285" s="784"/>
      <c r="BK285" s="784"/>
      <c r="BL285" s="784"/>
      <c r="BM285" s="784"/>
      <c r="BN285" s="784"/>
      <c r="BO285" s="784"/>
      <c r="BP285" s="784"/>
      <c r="BQ285" s="784"/>
      <c r="BR285" s="784"/>
      <c r="BS285" s="784"/>
      <c r="BT285" s="784"/>
      <c r="BU285" s="785"/>
      <c r="BV285" s="1253"/>
      <c r="BW285" s="1253"/>
      <c r="BX285" s="822"/>
      <c r="BY285" s="822"/>
      <c r="BZ285" s="822"/>
      <c r="CA285" s="822"/>
      <c r="CB285" s="822"/>
      <c r="CC285" s="822"/>
      <c r="CD285" s="822"/>
      <c r="CE285" s="822"/>
      <c r="CF285" s="822"/>
      <c r="CG285" s="822"/>
      <c r="CH285" s="822"/>
      <c r="CI285" s="822"/>
      <c r="CJ285" s="822"/>
      <c r="CK285" s="822"/>
      <c r="CL285" s="822"/>
      <c r="CM285" s="822"/>
      <c r="CN285" s="822"/>
      <c r="CO285" s="822"/>
      <c r="CP285" s="822"/>
      <c r="CQ285" s="822"/>
      <c r="CR285" s="822"/>
      <c r="CS285" s="822"/>
      <c r="CT285" s="822"/>
      <c r="CU285" s="822"/>
      <c r="CV285" s="822"/>
      <c r="CW285" s="822"/>
      <c r="CX285" s="822"/>
      <c r="CY285" s="822"/>
      <c r="CZ285" s="822"/>
      <c r="DA285" s="822"/>
      <c r="DB285" s="822"/>
      <c r="DC285" s="822"/>
      <c r="DD285" s="822"/>
      <c r="DE285" s="822"/>
      <c r="DF285" s="822"/>
      <c r="DG285" s="822"/>
      <c r="DH285" s="822"/>
      <c r="DI285" s="822"/>
      <c r="DJ285" s="822"/>
      <c r="DK285" s="822"/>
      <c r="DL285" s="822"/>
      <c r="DM285" s="822"/>
      <c r="DN285" s="822"/>
    </row>
    <row r="286" spans="3:148" ht="17.100000000000001" customHeight="1" thickTop="1" x14ac:dyDescent="0.3">
      <c r="E286" s="1253"/>
      <c r="F286" s="1253"/>
      <c r="G286" s="1253"/>
      <c r="H286" s="1253"/>
      <c r="I286" s="1253"/>
      <c r="J286" s="1253"/>
      <c r="K286" s="1253"/>
      <c r="L286" s="1253"/>
      <c r="M286" s="1253"/>
      <c r="N286" s="1253"/>
      <c r="O286" s="1253"/>
      <c r="P286" s="1253"/>
      <c r="Q286" s="1253"/>
      <c r="R286" s="1253"/>
      <c r="S286" s="1253"/>
      <c r="T286" s="1253"/>
      <c r="U286" s="1253"/>
      <c r="V286" s="1253"/>
      <c r="W286" s="1253"/>
      <c r="X286" s="1253"/>
      <c r="Y286" s="1253"/>
      <c r="Z286" s="1253"/>
      <c r="AA286" s="762"/>
      <c r="AB286" s="1170"/>
      <c r="AC286" s="1059"/>
      <c r="AD286" s="1059"/>
      <c r="AE286" s="1059"/>
      <c r="AF286" s="1059"/>
      <c r="AG286" s="1059"/>
      <c r="AH286" s="1059"/>
      <c r="AI286" s="1059"/>
      <c r="AJ286" s="1059"/>
      <c r="AK286" s="1059"/>
      <c r="AL286" s="1059"/>
      <c r="AM286" s="1059"/>
      <c r="AN286" s="1701" t="str">
        <f>IF(AND(AN281=1,AM285=""),"ENTER SHEET COMPLETION DATE ABOVE","")</f>
        <v/>
      </c>
      <c r="AO286" s="1059"/>
      <c r="AP286" s="1059"/>
      <c r="AQ286" s="1059"/>
      <c r="AR286" s="1059"/>
      <c r="AS286" s="1059"/>
      <c r="AT286" s="1059"/>
      <c r="AU286" s="1059"/>
      <c r="AV286" s="1059"/>
      <c r="AW286" s="1059"/>
      <c r="AX286" s="1059"/>
      <c r="AY286" s="1059"/>
      <c r="AZ286" s="1169"/>
      <c r="BA286" s="764"/>
      <c r="BB286" s="1253"/>
      <c r="BC286" s="1253"/>
      <c r="BD286" s="1253"/>
      <c r="BE286" s="1253"/>
      <c r="BF286" s="1253"/>
      <c r="BG286" s="1253"/>
      <c r="BH286" s="1253"/>
      <c r="BI286" s="1253"/>
      <c r="BJ286" s="1253"/>
      <c r="BK286" s="1253"/>
      <c r="BL286" s="1253"/>
      <c r="BM286" s="1253"/>
      <c r="BN286" s="1253"/>
      <c r="BO286" s="1253"/>
      <c r="BP286" s="1253"/>
      <c r="BQ286" s="1253"/>
      <c r="BR286" s="1253"/>
      <c r="BS286" s="1253"/>
      <c r="BT286" s="1253"/>
      <c r="BU286" s="1253"/>
      <c r="BV286" s="1253"/>
      <c r="BW286" s="1253"/>
      <c r="BX286" s="822"/>
      <c r="BY286" s="822"/>
      <c r="BZ286" s="822"/>
      <c r="CA286" s="822"/>
      <c r="CB286" s="822"/>
      <c r="CC286" s="822"/>
      <c r="CD286" s="822"/>
      <c r="CE286" s="822"/>
      <c r="CF286" s="822"/>
      <c r="CG286" s="822"/>
      <c r="CH286" s="822"/>
      <c r="CI286" s="822"/>
      <c r="CJ286" s="822"/>
      <c r="CK286" s="822"/>
      <c r="CL286" s="822"/>
      <c r="CM286" s="822"/>
      <c r="CN286" s="822"/>
      <c r="CO286" s="822"/>
      <c r="CP286" s="822"/>
      <c r="CQ286" s="822"/>
      <c r="CR286" s="822"/>
      <c r="CS286" s="822"/>
      <c r="CT286" s="822"/>
      <c r="CU286" s="822"/>
      <c r="CV286" s="822"/>
      <c r="CW286" s="822"/>
      <c r="CX286" s="822"/>
      <c r="CY286" s="822"/>
      <c r="CZ286" s="822"/>
      <c r="DA286" s="822"/>
      <c r="DB286" s="822"/>
      <c r="DC286" s="822"/>
      <c r="DD286" s="822"/>
      <c r="DE286" s="822"/>
      <c r="DF286" s="822"/>
      <c r="DG286" s="822"/>
      <c r="DH286" s="822"/>
      <c r="DI286" s="822"/>
      <c r="DJ286" s="822"/>
      <c r="DK286" s="822"/>
      <c r="DL286" s="822"/>
      <c r="DM286" s="822"/>
      <c r="DN286" s="822"/>
    </row>
    <row r="287" spans="3:148" ht="17.100000000000001" customHeight="1" thickBot="1" x14ac:dyDescent="0.35">
      <c r="E287" s="1253"/>
      <c r="F287" s="1253"/>
      <c r="G287" s="1253"/>
      <c r="H287" s="1253"/>
      <c r="I287" s="1253"/>
      <c r="J287" s="1253"/>
      <c r="K287" s="1253"/>
      <c r="L287" s="1253"/>
      <c r="M287" s="1253"/>
      <c r="N287" s="1253"/>
      <c r="O287" s="1253"/>
      <c r="P287" s="1253"/>
      <c r="Q287" s="1253"/>
      <c r="R287" s="1253"/>
      <c r="S287" s="1253"/>
      <c r="T287" s="1253"/>
      <c r="U287" s="1253"/>
      <c r="V287" s="1253"/>
      <c r="W287" s="1253"/>
      <c r="X287" s="1253"/>
      <c r="Y287" s="1253"/>
      <c r="Z287" s="1253"/>
      <c r="AA287" s="783"/>
      <c r="AB287" s="784"/>
      <c r="AC287" s="784"/>
      <c r="AD287" s="784"/>
      <c r="AE287" s="784"/>
      <c r="AF287" s="784"/>
      <c r="AG287" s="784"/>
      <c r="AH287" s="784"/>
      <c r="AI287" s="784"/>
      <c r="AJ287" s="784"/>
      <c r="AK287" s="784"/>
      <c r="AL287" s="784"/>
      <c r="AM287" s="784"/>
      <c r="AN287" s="784"/>
      <c r="AO287" s="784"/>
      <c r="AP287" s="784"/>
      <c r="AQ287" s="784"/>
      <c r="AR287" s="784"/>
      <c r="AS287" s="784"/>
      <c r="AT287" s="784"/>
      <c r="AU287" s="784"/>
      <c r="AV287" s="784"/>
      <c r="AW287" s="784"/>
      <c r="AX287" s="784"/>
      <c r="AY287" s="784"/>
      <c r="AZ287" s="784"/>
      <c r="BA287" s="785"/>
      <c r="BB287" s="1253"/>
      <c r="BC287" s="1253"/>
      <c r="BD287" s="1253"/>
      <c r="BE287" s="1253"/>
      <c r="BF287" s="1253"/>
      <c r="BG287" s="1253"/>
      <c r="BH287" s="1253"/>
      <c r="BI287" s="1253"/>
      <c r="BJ287" s="1253"/>
      <c r="BK287" s="1253"/>
      <c r="BL287" s="1253"/>
      <c r="BM287" s="1253"/>
      <c r="BN287" s="1253"/>
      <c r="BO287" s="1253"/>
      <c r="BP287" s="1253"/>
      <c r="BQ287" s="1253"/>
      <c r="BR287" s="1253"/>
      <c r="BS287" s="1253"/>
      <c r="BT287" s="1253"/>
      <c r="BU287" s="1253"/>
      <c r="BV287" s="1253"/>
      <c r="BW287" s="1253"/>
      <c r="BX287" s="822"/>
      <c r="BY287" s="822"/>
      <c r="BZ287" s="822"/>
      <c r="CA287" s="822"/>
      <c r="CB287" s="822"/>
      <c r="CC287" s="822"/>
      <c r="CD287" s="822"/>
      <c r="CE287" s="822"/>
      <c r="CF287" s="822"/>
      <c r="CG287" s="822"/>
      <c r="CH287" s="822"/>
      <c r="CI287" s="822"/>
      <c r="CJ287" s="822"/>
      <c r="CK287" s="822"/>
      <c r="CL287" s="822"/>
      <c r="CM287" s="822"/>
      <c r="CN287" s="822"/>
      <c r="CO287" s="822"/>
      <c r="CP287" s="822"/>
      <c r="CQ287" s="822"/>
      <c r="CR287" s="822"/>
      <c r="CS287" s="822"/>
      <c r="CT287" s="822"/>
      <c r="CU287" s="822"/>
      <c r="CV287" s="822"/>
      <c r="CW287" s="822"/>
      <c r="CX287" s="822"/>
      <c r="CY287" s="822"/>
      <c r="CZ287" s="822"/>
      <c r="DA287" s="822"/>
      <c r="DB287" s="822"/>
      <c r="DC287" s="822"/>
      <c r="DD287" s="822"/>
      <c r="DE287" s="822"/>
      <c r="DF287" s="822"/>
      <c r="DG287" s="822"/>
      <c r="DH287" s="822"/>
      <c r="DI287" s="822"/>
      <c r="DJ287" s="822"/>
      <c r="DK287" s="822"/>
      <c r="DL287" s="822"/>
      <c r="DM287" s="822"/>
      <c r="DN287" s="822"/>
    </row>
    <row r="288" spans="3:148" ht="17.100000000000001" customHeight="1" thickTop="1" x14ac:dyDescent="0.3">
      <c r="R288" s="822"/>
      <c r="S288" s="822"/>
      <c r="T288" s="822"/>
      <c r="U288" s="822"/>
      <c r="V288" s="822"/>
      <c r="W288" s="822"/>
      <c r="X288" s="822"/>
      <c r="Y288" s="822"/>
      <c r="Z288" s="822"/>
      <c r="AA288" s="822"/>
      <c r="AB288" s="822"/>
      <c r="AC288" s="822"/>
      <c r="AD288" s="822"/>
      <c r="AE288" s="822"/>
      <c r="AF288" s="822"/>
      <c r="AG288" s="822"/>
      <c r="AH288" s="822"/>
      <c r="AI288" s="822"/>
      <c r="AJ288" s="822"/>
      <c r="AK288" s="822"/>
      <c r="AL288" s="822"/>
      <c r="AM288" s="822"/>
      <c r="AN288" s="822"/>
      <c r="AO288" s="822"/>
      <c r="AP288" s="822"/>
      <c r="AQ288" s="822"/>
      <c r="AR288" s="822"/>
      <c r="AS288" s="822"/>
      <c r="AT288" s="822"/>
      <c r="AU288" s="822"/>
      <c r="AV288" s="822"/>
      <c r="AW288" s="822"/>
      <c r="AX288" s="822"/>
      <c r="AY288" s="822"/>
      <c r="AZ288" s="822"/>
      <c r="BA288" s="822"/>
      <c r="BB288" s="822"/>
      <c r="BC288" s="822"/>
      <c r="BD288" s="822"/>
      <c r="BE288" s="822"/>
      <c r="BF288" s="822"/>
      <c r="BG288" s="822"/>
      <c r="BH288" s="822"/>
      <c r="BI288" s="822"/>
      <c r="BJ288" s="822"/>
      <c r="BK288" s="822"/>
      <c r="BL288" s="822"/>
      <c r="BM288" s="822"/>
      <c r="BN288" s="822"/>
      <c r="BO288" s="822"/>
      <c r="BP288" s="822"/>
      <c r="BQ288" s="822"/>
      <c r="BR288" s="822"/>
      <c r="BS288" s="822"/>
      <c r="BT288" s="822"/>
      <c r="BU288" s="822"/>
      <c r="BV288" s="822"/>
      <c r="BX288" s="822"/>
      <c r="BY288" s="822"/>
      <c r="BZ288" s="822"/>
      <c r="CA288" s="822"/>
      <c r="CB288" s="822"/>
      <c r="CC288" s="822"/>
      <c r="CD288" s="822"/>
      <c r="CE288" s="822"/>
      <c r="CF288" s="822"/>
      <c r="CG288" s="822"/>
      <c r="CH288" s="822"/>
      <c r="CI288" s="822"/>
      <c r="CJ288" s="822"/>
      <c r="CK288" s="822"/>
      <c r="CL288" s="822"/>
      <c r="CM288" s="822"/>
      <c r="CN288" s="822"/>
      <c r="CO288" s="822"/>
      <c r="CP288" s="822"/>
      <c r="CQ288" s="822"/>
      <c r="CR288" s="822"/>
      <c r="CS288" s="822"/>
      <c r="CT288" s="822"/>
      <c r="CU288" s="822"/>
      <c r="CV288" s="822"/>
      <c r="CW288" s="822"/>
      <c r="CX288" s="822"/>
      <c r="CY288" s="822"/>
      <c r="CZ288" s="822"/>
      <c r="DA288" s="822"/>
      <c r="DB288" s="822"/>
      <c r="DC288" s="822"/>
      <c r="DD288" s="822"/>
      <c r="DE288" s="822"/>
      <c r="DF288" s="822"/>
      <c r="DG288" s="822"/>
      <c r="DH288" s="822"/>
      <c r="DI288" s="822"/>
      <c r="DJ288" s="822"/>
      <c r="DK288" s="822"/>
      <c r="DL288" s="822"/>
      <c r="DM288" s="822"/>
      <c r="DN288" s="822"/>
    </row>
    <row r="289" spans="5:148" ht="17.100000000000001" customHeight="1" x14ac:dyDescent="0.3">
      <c r="R289" s="822"/>
      <c r="S289" s="822"/>
      <c r="T289" s="822"/>
      <c r="U289" s="822"/>
      <c r="V289" s="822"/>
      <c r="W289" s="822"/>
      <c r="X289" s="822"/>
      <c r="Y289" s="822"/>
      <c r="Z289" s="822"/>
      <c r="AA289" s="822"/>
      <c r="AB289" s="822"/>
      <c r="AC289" s="822"/>
      <c r="AD289" s="822"/>
      <c r="AE289" s="822"/>
      <c r="AF289" s="822"/>
      <c r="AG289" s="822"/>
      <c r="AH289" s="822"/>
      <c r="AI289" s="822"/>
      <c r="AJ289" s="822"/>
      <c r="AK289" s="822"/>
      <c r="AL289" s="822"/>
      <c r="AM289" s="822"/>
      <c r="AN289" s="34" t="s">
        <v>9</v>
      </c>
      <c r="AO289" s="822"/>
      <c r="AP289" s="822"/>
      <c r="AQ289" s="822"/>
      <c r="AR289" s="822"/>
      <c r="AS289" s="822"/>
      <c r="AT289" s="822"/>
      <c r="AU289" s="822"/>
      <c r="AV289" s="822"/>
      <c r="AW289" s="822"/>
      <c r="AX289" s="822"/>
      <c r="AY289" s="822"/>
      <c r="AZ289" s="822"/>
      <c r="BA289" s="822"/>
      <c r="BB289" s="822"/>
      <c r="BC289" s="822"/>
      <c r="BD289" s="822"/>
      <c r="BE289" s="822"/>
      <c r="BF289" s="822"/>
      <c r="BG289" s="822"/>
      <c r="BH289" s="822"/>
      <c r="BI289" s="822"/>
      <c r="BJ289" s="822"/>
      <c r="BK289" s="822"/>
      <c r="BL289" s="822"/>
      <c r="BM289" s="822"/>
      <c r="BN289" s="822"/>
      <c r="BO289" s="822"/>
      <c r="BP289" s="822"/>
      <c r="BQ289" s="822"/>
      <c r="BR289" s="822"/>
      <c r="BS289" s="822"/>
      <c r="BT289" s="822"/>
      <c r="BU289" s="822"/>
      <c r="BV289" s="822"/>
      <c r="BX289" s="822"/>
      <c r="BY289" s="822"/>
      <c r="BZ289" s="822"/>
      <c r="CA289" s="822"/>
      <c r="CB289" s="822"/>
      <c r="CC289" s="822"/>
      <c r="CD289" s="822"/>
      <c r="CE289" s="822"/>
      <c r="CF289" s="822"/>
      <c r="CG289" s="822"/>
      <c r="CH289" s="822"/>
      <c r="CI289" s="822"/>
      <c r="CJ289" s="822"/>
      <c r="CK289" s="822"/>
      <c r="CL289" s="822"/>
      <c r="CM289" s="822"/>
      <c r="CN289" s="822"/>
      <c r="CO289" s="822"/>
      <c r="CP289" s="822"/>
      <c r="CQ289" s="822"/>
      <c r="CR289" s="822"/>
      <c r="CS289" s="822"/>
      <c r="CT289" s="822"/>
      <c r="CU289" s="822"/>
      <c r="CV289" s="822"/>
      <c r="CW289" s="822"/>
      <c r="CX289" s="822"/>
      <c r="CY289" s="822"/>
      <c r="CZ289" s="822"/>
      <c r="DA289" s="822"/>
      <c r="DB289" s="822"/>
      <c r="DC289" s="822"/>
      <c r="DD289" s="822"/>
      <c r="DE289" s="822"/>
      <c r="DF289" s="822"/>
      <c r="DG289" s="822"/>
      <c r="DH289" s="822"/>
      <c r="DI289" s="822"/>
      <c r="DJ289" s="822"/>
      <c r="DK289" s="822"/>
      <c r="DL289" s="822"/>
      <c r="DM289" s="822"/>
      <c r="DN289" s="822"/>
    </row>
    <row r="290" spans="5:148" ht="17.100000000000001" customHeight="1" thickBot="1" x14ac:dyDescent="0.35">
      <c r="R290" s="822"/>
      <c r="S290" s="822"/>
      <c r="T290" s="822"/>
      <c r="U290" s="822"/>
      <c r="V290" s="822"/>
      <c r="W290" s="822"/>
      <c r="X290" s="822"/>
      <c r="Y290" s="822"/>
      <c r="Z290" s="822"/>
      <c r="AA290" s="822"/>
      <c r="AB290" s="822"/>
      <c r="AC290" s="822"/>
      <c r="AD290" s="822"/>
      <c r="AE290" s="822"/>
      <c r="AF290" s="822"/>
      <c r="AG290" s="822"/>
      <c r="AH290" s="822"/>
      <c r="AI290" s="822"/>
      <c r="AJ290" s="822"/>
      <c r="AK290" s="822"/>
      <c r="AL290" s="822"/>
      <c r="AM290" s="822"/>
      <c r="AN290" s="34" t="s">
        <v>9</v>
      </c>
      <c r="AO290" s="822"/>
      <c r="AP290" s="822"/>
      <c r="AQ290" s="822"/>
      <c r="AR290" s="822"/>
      <c r="AS290" s="822"/>
      <c r="AT290" s="822"/>
      <c r="AU290" s="822"/>
      <c r="AV290" s="822"/>
      <c r="AW290" s="822"/>
      <c r="AX290" s="822"/>
      <c r="AY290" s="822"/>
      <c r="AZ290" s="822"/>
      <c r="BA290" s="822"/>
      <c r="BB290" s="822"/>
      <c r="BC290" s="822"/>
      <c r="BD290" s="822"/>
      <c r="BE290" s="822"/>
      <c r="BF290" s="822"/>
      <c r="BG290" s="822"/>
      <c r="BH290" s="822"/>
      <c r="BI290" s="822"/>
      <c r="BJ290" s="822"/>
      <c r="BK290" s="822"/>
      <c r="BL290" s="822"/>
      <c r="BM290" s="822"/>
      <c r="BN290" s="822"/>
      <c r="BO290" s="822"/>
      <c r="BP290" s="822"/>
      <c r="BQ290" s="822"/>
      <c r="BR290" s="822"/>
      <c r="BS290" s="822"/>
      <c r="BT290" s="822"/>
      <c r="BU290" s="822"/>
      <c r="BV290" s="822"/>
      <c r="BX290" s="822"/>
      <c r="BY290" s="822"/>
      <c r="BZ290" s="822"/>
      <c r="CA290" s="822"/>
      <c r="CB290" s="822"/>
      <c r="CC290" s="822"/>
      <c r="CD290" s="822"/>
      <c r="CE290" s="822"/>
      <c r="CF290" s="822"/>
      <c r="CG290" s="822"/>
      <c r="CH290" s="822"/>
      <c r="CI290" s="822"/>
      <c r="CJ290" s="822"/>
      <c r="CK290" s="822"/>
      <c r="CL290" s="822"/>
      <c r="CM290" s="822"/>
      <c r="CN290" s="822"/>
      <c r="CO290" s="822"/>
      <c r="CP290" s="822"/>
      <c r="CQ290" s="822"/>
      <c r="CR290" s="822"/>
      <c r="CS290" s="822"/>
      <c r="CT290" s="822"/>
      <c r="CU290" s="822"/>
      <c r="CV290" s="822"/>
      <c r="CW290" s="822"/>
      <c r="CX290" s="822"/>
      <c r="CY290" s="822"/>
      <c r="CZ290" s="822"/>
      <c r="DA290" s="822"/>
      <c r="DB290" s="822"/>
      <c r="DC290" s="822"/>
      <c r="DD290" s="822"/>
      <c r="DE290" s="822"/>
      <c r="DF290" s="822"/>
      <c r="DG290" s="822"/>
      <c r="DH290" s="822"/>
      <c r="DI290" s="822"/>
      <c r="DJ290" s="822"/>
      <c r="DK290" s="822"/>
      <c r="DL290" s="822"/>
      <c r="DM290" s="822"/>
      <c r="DN290" s="822"/>
    </row>
    <row r="291" spans="5:148" ht="17.100000000000001" customHeight="1" thickTop="1" x14ac:dyDescent="0.3">
      <c r="E291" s="23"/>
      <c r="F291" s="23"/>
      <c r="G291" s="23"/>
      <c r="H291" s="23"/>
      <c r="I291" s="23"/>
      <c r="J291" s="23"/>
      <c r="K291" s="23"/>
      <c r="L291" s="23"/>
      <c r="M291" s="23"/>
      <c r="N291" s="23"/>
      <c r="O291" s="23"/>
      <c r="P291" s="23"/>
      <c r="Q291" s="23"/>
      <c r="R291" s="23"/>
      <c r="S291" s="23"/>
      <c r="T291" s="23"/>
      <c r="U291" s="23"/>
      <c r="V291" s="23"/>
      <c r="W291" s="23"/>
      <c r="X291" s="23"/>
      <c r="Y291" s="23"/>
      <c r="Z291" s="23"/>
      <c r="AA291" s="759"/>
      <c r="AB291" s="760"/>
      <c r="AC291" s="760"/>
      <c r="AD291" s="760"/>
      <c r="AE291" s="760"/>
      <c r="AF291" s="760"/>
      <c r="AG291" s="760"/>
      <c r="AH291" s="760"/>
      <c r="AI291" s="760"/>
      <c r="AJ291" s="760"/>
      <c r="AK291" s="760"/>
      <c r="AL291" s="760"/>
      <c r="AM291" s="760"/>
      <c r="AN291" s="760"/>
      <c r="AO291" s="760"/>
      <c r="AP291" s="760"/>
      <c r="AQ291" s="760"/>
      <c r="AR291" s="760"/>
      <c r="AS291" s="760"/>
      <c r="AT291" s="760"/>
      <c r="AU291" s="760"/>
      <c r="AV291" s="760"/>
      <c r="AW291" s="760"/>
      <c r="AX291" s="760"/>
      <c r="AY291" s="760"/>
      <c r="AZ291" s="760"/>
      <c r="BA291" s="761"/>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822"/>
      <c r="BY291" s="822"/>
      <c r="BZ291" s="822"/>
      <c r="CA291" s="822"/>
      <c r="CB291" s="822"/>
      <c r="CC291" s="822"/>
      <c r="CD291" s="822"/>
      <c r="CE291" s="822"/>
      <c r="CF291" s="822"/>
      <c r="CG291" s="822"/>
      <c r="CH291" s="822"/>
      <c r="CI291" s="822"/>
      <c r="CJ291" s="822"/>
      <c r="CK291" s="822"/>
      <c r="CL291" s="822"/>
      <c r="CM291" s="822"/>
      <c r="CN291" s="822"/>
      <c r="CO291" s="822"/>
      <c r="CP291" s="822"/>
      <c r="CQ291" s="822"/>
      <c r="CR291" s="822"/>
      <c r="CS291" s="822"/>
      <c r="CT291" s="822"/>
      <c r="CU291" s="822"/>
      <c r="CV291" s="822"/>
      <c r="CW291" s="822"/>
      <c r="CX291" s="822"/>
      <c r="CY291" s="822"/>
      <c r="CZ291" s="822"/>
      <c r="DA291" s="822"/>
      <c r="DB291" s="822"/>
      <c r="DC291" s="822"/>
      <c r="DD291" s="822"/>
      <c r="DE291" s="822"/>
      <c r="DF291" s="822"/>
      <c r="DG291" s="822"/>
      <c r="DH291" s="822"/>
      <c r="DI291" s="822"/>
      <c r="DJ291" s="822"/>
      <c r="DK291" s="822"/>
      <c r="DL291" s="822"/>
      <c r="DM291" s="822"/>
      <c r="DN291" s="822"/>
    </row>
    <row r="292" spans="5:148" ht="17.100000000000001" customHeight="1" thickBot="1" x14ac:dyDescent="0.35">
      <c r="E292" s="23"/>
      <c r="F292" s="23"/>
      <c r="G292" s="23"/>
      <c r="H292" s="23"/>
      <c r="I292" s="23"/>
      <c r="J292" s="23"/>
      <c r="K292" s="23"/>
      <c r="L292" s="23"/>
      <c r="M292" s="23"/>
      <c r="N292" s="23"/>
      <c r="O292" s="23"/>
      <c r="P292" s="23"/>
      <c r="Q292" s="23"/>
      <c r="R292" s="23"/>
      <c r="S292" s="23"/>
      <c r="T292" s="23"/>
      <c r="U292" s="23"/>
      <c r="V292" s="23"/>
      <c r="W292" s="23"/>
      <c r="X292" s="23"/>
      <c r="Y292" s="23"/>
      <c r="Z292" s="23"/>
      <c r="AA292" s="762"/>
      <c r="AB292" s="94"/>
      <c r="AC292" s="1273"/>
      <c r="AD292" s="1273"/>
      <c r="AE292" s="1273"/>
      <c r="AF292" s="1273"/>
      <c r="AG292" s="1273"/>
      <c r="AH292" s="1273"/>
      <c r="AI292" s="1273"/>
      <c r="AJ292" s="1273"/>
      <c r="AK292" s="1273"/>
      <c r="AL292" s="1273"/>
      <c r="AM292" s="1273"/>
      <c r="AN292" s="2286"/>
      <c r="AO292" s="1273"/>
      <c r="AP292" s="1273"/>
      <c r="AQ292" s="1273"/>
      <c r="AR292" s="1273"/>
      <c r="AS292" s="1273"/>
      <c r="AT292" s="1273"/>
      <c r="AU292" s="1273"/>
      <c r="AV292" s="1273"/>
      <c r="AW292" s="1273"/>
      <c r="AX292" s="1273"/>
      <c r="AY292" s="1273"/>
      <c r="AZ292" s="94"/>
      <c r="BA292" s="764"/>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822"/>
      <c r="BY292" s="822"/>
      <c r="BZ292" s="822"/>
      <c r="CA292" s="822"/>
      <c r="CB292" s="822"/>
      <c r="CC292" s="822"/>
      <c r="CD292" s="822"/>
      <c r="CE292" s="822"/>
      <c r="CF292" s="822"/>
      <c r="CG292" s="822"/>
      <c r="CH292" s="822"/>
      <c r="CI292" s="822"/>
      <c r="CJ292" s="822"/>
      <c r="CK292" s="822"/>
      <c r="CL292" s="822"/>
      <c r="CM292" s="822"/>
      <c r="CN292" s="822"/>
      <c r="CO292" s="822"/>
      <c r="CP292" s="822"/>
      <c r="CQ292" s="822"/>
      <c r="CR292" s="822"/>
      <c r="CS292" s="822"/>
      <c r="CT292" s="822"/>
      <c r="CU292" s="822"/>
      <c r="CV292" s="822"/>
      <c r="CW292" s="822"/>
      <c r="CX292" s="822"/>
      <c r="CY292" s="822"/>
      <c r="CZ292" s="822"/>
      <c r="DA292" s="822"/>
      <c r="DB292" s="822"/>
      <c r="DC292" s="822"/>
      <c r="DD292" s="822"/>
      <c r="DE292" s="822"/>
      <c r="DF292" s="822"/>
      <c r="DG292" s="822"/>
      <c r="DH292" s="822"/>
      <c r="DI292" s="822"/>
      <c r="DJ292" s="822"/>
      <c r="DK292" s="822"/>
      <c r="DL292" s="822"/>
      <c r="DM292" s="822"/>
      <c r="DN292" s="822"/>
    </row>
    <row r="293" spans="5:148" ht="17.100000000000001" customHeight="1" thickTop="1" x14ac:dyDescent="0.3">
      <c r="E293" s="23"/>
      <c r="F293" s="23"/>
      <c r="G293" s="759"/>
      <c r="H293" s="760"/>
      <c r="I293" s="760"/>
      <c r="J293" s="760"/>
      <c r="K293" s="760"/>
      <c r="L293" s="760"/>
      <c r="M293" s="760"/>
      <c r="N293" s="760"/>
      <c r="O293" s="760"/>
      <c r="P293" s="760"/>
      <c r="Q293" s="760"/>
      <c r="R293" s="760"/>
      <c r="S293" s="760"/>
      <c r="T293" s="760"/>
      <c r="U293" s="760"/>
      <c r="V293" s="760"/>
      <c r="W293" s="760"/>
      <c r="X293" s="760"/>
      <c r="Y293" s="760"/>
      <c r="Z293" s="760"/>
      <c r="AA293" s="1059"/>
      <c r="AB293" s="1059"/>
      <c r="AC293" s="1273"/>
      <c r="AD293" s="1273"/>
      <c r="AE293" s="1273"/>
      <c r="AF293" s="1273"/>
      <c r="AG293" s="1273"/>
      <c r="AH293" s="1273"/>
      <c r="AI293" s="1273"/>
      <c r="AJ293" s="1273"/>
      <c r="AK293" s="1273"/>
      <c r="AL293" s="1273"/>
      <c r="AM293" s="1273"/>
      <c r="AN293" s="1273"/>
      <c r="AO293" s="1273"/>
      <c r="AP293" s="1273"/>
      <c r="AQ293" s="1273"/>
      <c r="AR293" s="1273"/>
      <c r="AS293" s="1273"/>
      <c r="AT293" s="1273"/>
      <c r="AU293" s="1273"/>
      <c r="AV293" s="1273"/>
      <c r="AW293" s="1273"/>
      <c r="AX293" s="1273"/>
      <c r="AY293" s="1273"/>
      <c r="AZ293" s="1059"/>
      <c r="BA293" s="1059"/>
      <c r="BB293" s="760"/>
      <c r="BC293" s="760"/>
      <c r="BD293" s="760"/>
      <c r="BE293" s="760"/>
      <c r="BF293" s="760"/>
      <c r="BG293" s="760"/>
      <c r="BH293" s="760"/>
      <c r="BI293" s="760"/>
      <c r="BJ293" s="760"/>
      <c r="BK293" s="760"/>
      <c r="BL293" s="760"/>
      <c r="BM293" s="760"/>
      <c r="BN293" s="760"/>
      <c r="BO293" s="760"/>
      <c r="BP293" s="760"/>
      <c r="BQ293" s="760"/>
      <c r="BR293" s="760"/>
      <c r="BS293" s="760"/>
      <c r="BT293" s="760"/>
      <c r="BU293" s="761"/>
      <c r="BV293" s="19"/>
      <c r="BW293" s="19"/>
      <c r="BX293" s="822"/>
      <c r="BY293" s="822"/>
      <c r="BZ293" s="822"/>
      <c r="CA293" s="822"/>
      <c r="CB293" s="822"/>
      <c r="CC293" s="822"/>
      <c r="CD293" s="822"/>
      <c r="CE293" s="822"/>
      <c r="CF293" s="822"/>
      <c r="CG293" s="822"/>
      <c r="CH293" s="822"/>
      <c r="CI293" s="822"/>
      <c r="CJ293" s="822"/>
      <c r="CK293" s="822"/>
      <c r="CL293" s="822"/>
      <c r="CM293" s="822"/>
      <c r="CN293" s="822"/>
      <c r="CO293" s="822"/>
      <c r="CP293" s="822"/>
      <c r="CQ293" s="822"/>
      <c r="CR293" s="822"/>
      <c r="CS293" s="822"/>
      <c r="CT293" s="822"/>
      <c r="CU293" s="822"/>
      <c r="CV293" s="822"/>
      <c r="CW293" s="822"/>
      <c r="CX293" s="822"/>
      <c r="CY293" s="822"/>
      <c r="CZ293" s="822"/>
      <c r="DA293" s="822"/>
      <c r="DB293" s="822"/>
      <c r="DC293" s="822"/>
      <c r="DD293" s="822"/>
      <c r="DE293" s="822"/>
      <c r="DF293" s="822"/>
      <c r="DG293" s="822"/>
      <c r="DH293" s="822"/>
      <c r="DI293" s="822"/>
      <c r="DJ293" s="822"/>
      <c r="DK293" s="822"/>
      <c r="DL293" s="822"/>
      <c r="DM293" s="822"/>
      <c r="DN293" s="822"/>
    </row>
    <row r="294" spans="5:148" ht="17.100000000000001" customHeight="1" thickBot="1" x14ac:dyDescent="0.35">
      <c r="E294" s="23"/>
      <c r="F294" s="23"/>
      <c r="G294" s="762"/>
      <c r="H294" s="1059"/>
      <c r="I294" s="999"/>
      <c r="J294" s="787"/>
      <c r="K294" s="1059"/>
      <c r="L294" s="1059"/>
      <c r="M294" s="1059"/>
      <c r="N294" s="1059"/>
      <c r="O294" s="1059"/>
      <c r="P294" s="1059"/>
      <c r="Q294" s="1059"/>
      <c r="R294" s="1059"/>
      <c r="S294" s="1059"/>
      <c r="T294" s="1059"/>
      <c r="U294" s="1059"/>
      <c r="V294" s="1059"/>
      <c r="W294" s="1059"/>
      <c r="X294" s="1059"/>
      <c r="Y294" s="1059"/>
      <c r="Z294" s="1059"/>
      <c r="AA294" s="1059"/>
      <c r="AB294" s="1059"/>
      <c r="AC294" s="1059"/>
      <c r="AD294" s="1059"/>
      <c r="AE294" s="1059"/>
      <c r="AF294" s="1059"/>
      <c r="AG294" s="1123"/>
      <c r="AH294" s="1123"/>
      <c r="AI294" s="1123"/>
      <c r="AJ294" s="1261"/>
      <c r="AK294" s="1261"/>
      <c r="AL294" s="1261"/>
      <c r="AM294" s="4743" t="s">
        <v>947</v>
      </c>
      <c r="AN294" s="4743"/>
      <c r="AO294" s="4743"/>
      <c r="AP294" s="1261"/>
      <c r="AQ294" s="1261"/>
      <c r="AR294" s="1261"/>
      <c r="AS294" s="1261"/>
      <c r="AT294" s="1123"/>
      <c r="AU294" s="1123"/>
      <c r="AV294" s="1059"/>
      <c r="AW294" s="1059"/>
      <c r="AX294" s="1059"/>
      <c r="AY294" s="1059"/>
      <c r="AZ294" s="1059"/>
      <c r="BA294" s="1059"/>
      <c r="BB294" s="1059"/>
      <c r="BC294" s="1059"/>
      <c r="BD294" s="1059"/>
      <c r="BE294" s="1059"/>
      <c r="BF294" s="1059"/>
      <c r="BG294" s="1059"/>
      <c r="BH294" s="1059"/>
      <c r="BI294" s="1059"/>
      <c r="BJ294" s="1059"/>
      <c r="BK294" s="1059"/>
      <c r="BL294" s="1059"/>
      <c r="BM294" s="1059"/>
      <c r="BN294" s="1059"/>
      <c r="BO294" s="1059"/>
      <c r="BP294" s="1059"/>
      <c r="BQ294" s="1059"/>
      <c r="BR294" s="1059"/>
      <c r="BS294" s="1059"/>
      <c r="BT294" s="1059"/>
      <c r="BU294" s="764"/>
      <c r="BV294" s="19"/>
      <c r="BW294" s="19"/>
      <c r="BX294" s="822"/>
      <c r="BY294" s="822"/>
      <c r="BZ294" s="822"/>
      <c r="CA294" s="822"/>
      <c r="CB294" s="822"/>
      <c r="CC294" s="822"/>
      <c r="CD294" s="822"/>
      <c r="CE294" s="822"/>
      <c r="CF294" s="822"/>
      <c r="CG294" s="822"/>
      <c r="CH294" s="822"/>
      <c r="CI294" s="822"/>
      <c r="CJ294" s="822"/>
      <c r="CK294" s="822"/>
      <c r="CL294" s="822"/>
      <c r="CM294" s="822"/>
      <c r="CN294" s="822"/>
      <c r="CO294" s="822"/>
      <c r="CP294" s="822"/>
      <c r="CQ294" s="822"/>
      <c r="CR294" s="822"/>
      <c r="CS294" s="822"/>
      <c r="CT294" s="822"/>
      <c r="CU294" s="822"/>
      <c r="CV294" s="822"/>
      <c r="CW294" s="822"/>
      <c r="CX294" s="822"/>
      <c r="CY294" s="822"/>
      <c r="CZ294" s="822"/>
      <c r="DA294" s="822"/>
      <c r="DB294" s="822"/>
      <c r="DC294" s="822"/>
      <c r="DD294" s="822"/>
      <c r="DE294" s="822"/>
      <c r="DF294" s="822"/>
      <c r="DG294" s="822"/>
      <c r="DH294" s="822"/>
      <c r="DI294" s="822"/>
      <c r="DJ294" s="822"/>
      <c r="DK294" s="822"/>
      <c r="DL294" s="822"/>
      <c r="DM294" s="822"/>
      <c r="DN294" s="822"/>
    </row>
    <row r="295" spans="5:148" ht="17.100000000000001" customHeight="1" thickTop="1" x14ac:dyDescent="0.3">
      <c r="E295" s="759"/>
      <c r="F295" s="760"/>
      <c r="G295" s="1059"/>
      <c r="H295" s="1059"/>
      <c r="I295" s="1059"/>
      <c r="J295" s="1059"/>
      <c r="K295" s="1059"/>
      <c r="L295" s="1059"/>
      <c r="M295" s="1059"/>
      <c r="N295" s="1059"/>
      <c r="O295" s="1059"/>
      <c r="P295" s="1059"/>
      <c r="Q295" s="1059"/>
      <c r="R295" s="1059"/>
      <c r="S295" s="1059"/>
      <c r="T295" s="1059"/>
      <c r="U295" s="1059"/>
      <c r="V295" s="1059"/>
      <c r="W295" s="1059"/>
      <c r="X295" s="1059"/>
      <c r="Y295" s="1059"/>
      <c r="Z295" s="1059"/>
      <c r="AA295" s="1059"/>
      <c r="AB295" s="1059"/>
      <c r="AC295" s="1059"/>
      <c r="AD295" s="1059"/>
      <c r="AE295" s="1059"/>
      <c r="AF295" s="1059"/>
      <c r="AG295" s="1123"/>
      <c r="AH295" s="1123"/>
      <c r="AI295" s="1261"/>
      <c r="AJ295" s="1261"/>
      <c r="AK295" s="1261"/>
      <c r="AL295" s="1261"/>
      <c r="AM295" s="4743"/>
      <c r="AN295" s="4743"/>
      <c r="AO295" s="4743"/>
      <c r="AP295" s="1261"/>
      <c r="AQ295" s="1261"/>
      <c r="AR295" s="1261"/>
      <c r="AS295" s="1261"/>
      <c r="AT295" s="1123"/>
      <c r="AU295" s="1123"/>
      <c r="AV295" s="1059"/>
      <c r="AW295" s="1059"/>
      <c r="AX295" s="1059"/>
      <c r="AY295" s="1059"/>
      <c r="AZ295" s="1059"/>
      <c r="BA295" s="1059"/>
      <c r="BB295" s="1059"/>
      <c r="BC295" s="1059"/>
      <c r="BD295" s="1059"/>
      <c r="BE295" s="1059"/>
      <c r="BF295" s="1059"/>
      <c r="BG295" s="1059"/>
      <c r="BH295" s="1059"/>
      <c r="BI295" s="1059"/>
      <c r="BJ295" s="1059"/>
      <c r="BK295" s="1059"/>
      <c r="BL295" s="1059"/>
      <c r="BM295" s="1059"/>
      <c r="BN295" s="1059"/>
      <c r="BO295" s="1059"/>
      <c r="BP295" s="1059"/>
      <c r="BQ295" s="1059"/>
      <c r="BR295" s="1059"/>
      <c r="BS295" s="1059"/>
      <c r="BT295" s="1059"/>
      <c r="BU295" s="1059"/>
      <c r="BV295" s="760"/>
      <c r="BW295" s="761"/>
      <c r="BX295" s="822"/>
      <c r="BY295" s="822"/>
      <c r="BZ295" s="822"/>
      <c r="CA295" s="822"/>
      <c r="CB295" s="822"/>
      <c r="CC295" s="822"/>
      <c r="CD295" s="822"/>
      <c r="CE295" s="822"/>
      <c r="CF295" s="822"/>
      <c r="CG295" s="822"/>
      <c r="CH295" s="822"/>
      <c r="CI295" s="822"/>
      <c r="CJ295" s="822"/>
      <c r="CK295" s="822"/>
      <c r="CL295" s="822"/>
      <c r="CM295" s="822"/>
      <c r="CN295" s="822"/>
      <c r="CO295" s="822"/>
      <c r="CP295" s="822"/>
      <c r="CQ295" s="822"/>
      <c r="CR295" s="822"/>
      <c r="CS295" s="822"/>
      <c r="CT295" s="822"/>
      <c r="CU295" s="822"/>
      <c r="CV295" s="822"/>
      <c r="CW295" s="822"/>
      <c r="CX295" s="822"/>
      <c r="CY295" s="822"/>
      <c r="CZ295" s="822"/>
      <c r="DA295" s="822"/>
      <c r="DB295" s="822"/>
      <c r="DC295" s="822"/>
      <c r="DD295" s="822"/>
      <c r="DE295" s="822"/>
      <c r="DF295" s="822"/>
      <c r="DG295" s="822"/>
      <c r="DH295" s="822"/>
      <c r="DI295" s="822"/>
      <c r="DJ295" s="822"/>
      <c r="DK295" s="822"/>
      <c r="DL295" s="822"/>
      <c r="DM295" s="822"/>
      <c r="DN295" s="822"/>
    </row>
    <row r="296" spans="5:148" ht="17.100000000000001" customHeight="1" thickBot="1" x14ac:dyDescent="0.35">
      <c r="E296" s="762"/>
      <c r="F296" s="94"/>
      <c r="G296" s="1059"/>
      <c r="H296" s="1059"/>
      <c r="I296" s="1059"/>
      <c r="J296" s="1059"/>
      <c r="K296" s="1059"/>
      <c r="L296" s="1059"/>
      <c r="M296" s="1059"/>
      <c r="N296" s="1059"/>
      <c r="O296" s="1059"/>
      <c r="P296" s="1059"/>
      <c r="Q296" s="1059"/>
      <c r="R296" s="1059"/>
      <c r="S296" s="1059"/>
      <c r="T296" s="1059"/>
      <c r="U296" s="1059"/>
      <c r="V296" s="1059"/>
      <c r="W296" s="1059"/>
      <c r="X296" s="1059"/>
      <c r="Y296" s="1059"/>
      <c r="Z296" s="1059"/>
      <c r="AA296" s="1059"/>
      <c r="AB296" s="1059"/>
      <c r="AC296" s="1059"/>
      <c r="AD296" s="1059"/>
      <c r="AE296" s="1059"/>
      <c r="AF296" s="1059"/>
      <c r="AG296" s="1123"/>
      <c r="AH296" s="1123"/>
      <c r="AI296" s="1123"/>
      <c r="AJ296" s="1123"/>
      <c r="AK296" s="1123"/>
      <c r="AL296" s="1123"/>
      <c r="AM296" s="1274"/>
      <c r="AN296" s="1275">
        <v>1</v>
      </c>
      <c r="AO296" s="1274"/>
      <c r="AP296" s="1123"/>
      <c r="AQ296" s="1123"/>
      <c r="AR296" s="1123"/>
      <c r="AS296" s="1123"/>
      <c r="AT296" s="1123"/>
      <c r="AU296" s="1123"/>
      <c r="AV296" s="1059"/>
      <c r="AW296" s="1059"/>
      <c r="AX296" s="1059"/>
      <c r="AY296" s="1059"/>
      <c r="AZ296" s="1059"/>
      <c r="BA296" s="1059"/>
      <c r="BB296" s="1059"/>
      <c r="BC296" s="1059"/>
      <c r="BD296" s="1059"/>
      <c r="BE296" s="1059"/>
      <c r="BF296" s="1059"/>
      <c r="BG296" s="1059"/>
      <c r="BH296" s="1059"/>
      <c r="BI296" s="1059"/>
      <c r="BJ296" s="1059"/>
      <c r="BK296" s="1059"/>
      <c r="BL296" s="1059"/>
      <c r="BM296" s="1059"/>
      <c r="BN296" s="1059"/>
      <c r="BO296" s="1059"/>
      <c r="BP296" s="1059"/>
      <c r="BQ296" s="1059"/>
      <c r="BR296" s="1059"/>
      <c r="BS296" s="1059"/>
      <c r="BT296" s="1059"/>
      <c r="BU296" s="1059"/>
      <c r="BV296" s="94"/>
      <c r="BW296" s="764"/>
      <c r="BX296" s="822"/>
      <c r="BY296" s="822"/>
      <c r="BZ296" s="822"/>
      <c r="CA296" s="822"/>
      <c r="CB296" s="822"/>
      <c r="CC296" s="822"/>
      <c r="CD296" s="822"/>
      <c r="CE296" s="822"/>
      <c r="CF296" s="822"/>
      <c r="CG296" s="822"/>
      <c r="CH296" s="822"/>
      <c r="CI296" s="822"/>
      <c r="CJ296" s="822"/>
      <c r="CK296" s="822"/>
      <c r="CL296" s="822"/>
      <c r="CM296" s="822"/>
      <c r="CN296" s="822"/>
      <c r="CO296" s="822"/>
      <c r="CP296" s="822"/>
      <c r="CQ296" s="822"/>
      <c r="CR296" s="822"/>
      <c r="CS296" s="822"/>
      <c r="CT296" s="822"/>
      <c r="CU296" s="822"/>
      <c r="CV296" s="822"/>
      <c r="CW296" s="822"/>
      <c r="CX296" s="822"/>
      <c r="CY296" s="822"/>
      <c r="CZ296" s="822"/>
      <c r="DA296" s="822"/>
      <c r="DB296" s="822"/>
      <c r="DC296" s="822"/>
      <c r="DD296" s="822"/>
      <c r="DE296" s="822"/>
      <c r="DF296" s="822"/>
      <c r="DG296" s="822"/>
      <c r="DH296" s="822"/>
      <c r="DI296" s="822"/>
      <c r="DJ296" s="822"/>
      <c r="DK296" s="822"/>
      <c r="DL296" s="822"/>
      <c r="DM296" s="822"/>
      <c r="DN296" s="822"/>
    </row>
    <row r="297" spans="5:148" ht="17.100000000000001" customHeight="1" thickTop="1" x14ac:dyDescent="0.3">
      <c r="E297" s="762"/>
      <c r="F297" s="1059"/>
      <c r="G297" s="1059"/>
      <c r="H297" s="1059"/>
      <c r="I297" s="4756" t="s">
        <v>72</v>
      </c>
      <c r="J297" s="4757"/>
      <c r="K297" s="4757"/>
      <c r="L297" s="4794" t="s">
        <v>710</v>
      </c>
      <c r="M297" s="4794"/>
      <c r="N297" s="4757" t="s">
        <v>72</v>
      </c>
      <c r="O297" s="4757"/>
      <c r="P297" s="4762"/>
      <c r="Q297" s="1059"/>
      <c r="R297" s="1059"/>
      <c r="S297" s="4756" t="s">
        <v>72</v>
      </c>
      <c r="T297" s="4757"/>
      <c r="U297" s="4757"/>
      <c r="V297" s="4792" t="s">
        <v>710</v>
      </c>
      <c r="W297" s="4792"/>
      <c r="X297" s="4757" t="s">
        <v>72</v>
      </c>
      <c r="Y297" s="4757"/>
      <c r="Z297" s="4762"/>
      <c r="AA297" s="1059"/>
      <c r="AB297" s="1059"/>
      <c r="AC297" s="4756" t="s">
        <v>72</v>
      </c>
      <c r="AD297" s="4757"/>
      <c r="AE297" s="4757"/>
      <c r="AF297" s="4790" t="s">
        <v>710</v>
      </c>
      <c r="AG297" s="4790"/>
      <c r="AH297" s="4757" t="s">
        <v>72</v>
      </c>
      <c r="AI297" s="4757"/>
      <c r="AJ297" s="4762"/>
      <c r="AK297" s="1059"/>
      <c r="AL297" s="1059"/>
      <c r="AM297" s="4853" t="s">
        <v>1472</v>
      </c>
      <c r="AN297" s="4853"/>
      <c r="AO297" s="4853"/>
      <c r="AP297" s="1059"/>
      <c r="AQ297" s="1059"/>
      <c r="AR297" s="4756" t="s">
        <v>72</v>
      </c>
      <c r="AS297" s="4757"/>
      <c r="AT297" s="4757"/>
      <c r="AU297" s="4790" t="s">
        <v>939</v>
      </c>
      <c r="AV297" s="4790"/>
      <c r="AW297" s="4757" t="s">
        <v>72</v>
      </c>
      <c r="AX297" s="4757"/>
      <c r="AY297" s="4762"/>
      <c r="AZ297" s="1059"/>
      <c r="BA297" s="1059"/>
      <c r="BB297" s="4756" t="s">
        <v>72</v>
      </c>
      <c r="BC297" s="4757"/>
      <c r="BD297" s="4757"/>
      <c r="BE297" s="4792" t="s">
        <v>939</v>
      </c>
      <c r="BF297" s="4792"/>
      <c r="BG297" s="4757" t="s">
        <v>72</v>
      </c>
      <c r="BH297" s="4757"/>
      <c r="BI297" s="4762"/>
      <c r="BJ297" s="1059"/>
      <c r="BK297" s="1059"/>
      <c r="BL297" s="4756" t="s">
        <v>72</v>
      </c>
      <c r="BM297" s="4757"/>
      <c r="BN297" s="4757"/>
      <c r="BO297" s="4794" t="s">
        <v>939</v>
      </c>
      <c r="BP297" s="4794"/>
      <c r="BQ297" s="4757" t="s">
        <v>72</v>
      </c>
      <c r="BR297" s="4757"/>
      <c r="BS297" s="4762"/>
      <c r="BT297" s="1059"/>
      <c r="BU297" s="1059"/>
      <c r="BV297" s="1059"/>
      <c r="BW297" s="764"/>
      <c r="BX297" s="822"/>
      <c r="BY297" s="822"/>
      <c r="BZ297" s="822"/>
      <c r="CA297" s="822"/>
      <c r="CB297" s="822"/>
      <c r="CC297" s="822"/>
      <c r="CD297" s="822"/>
      <c r="CE297" s="822"/>
      <c r="CF297" s="822"/>
      <c r="CG297" s="822"/>
      <c r="CH297" s="822"/>
      <c r="CI297" s="822"/>
      <c r="CJ297" s="822"/>
      <c r="CK297" s="822"/>
      <c r="CL297" s="822"/>
      <c r="CM297" s="822"/>
      <c r="CN297" s="822"/>
      <c r="CO297" s="822"/>
      <c r="CP297" s="822"/>
      <c r="CQ297" s="822"/>
      <c r="CR297" s="822"/>
      <c r="CS297" s="822"/>
      <c r="CT297" s="822"/>
      <c r="CU297" s="822"/>
      <c r="CV297" s="822"/>
      <c r="CW297" s="822"/>
      <c r="CX297" s="822"/>
      <c r="CY297" s="822"/>
      <c r="CZ297" s="822"/>
      <c r="DA297" s="822"/>
      <c r="DB297" s="822"/>
      <c r="DC297" s="822"/>
      <c r="DD297" s="822"/>
      <c r="DE297" s="822"/>
      <c r="DF297" s="822"/>
      <c r="DG297" s="822"/>
      <c r="DH297" s="822"/>
      <c r="DI297" s="822"/>
      <c r="DJ297" s="822"/>
      <c r="DK297" s="822"/>
      <c r="DL297" s="822"/>
      <c r="DM297" s="822"/>
      <c r="DN297" s="822"/>
    </row>
    <row r="298" spans="5:148" ht="17.100000000000001" customHeight="1" x14ac:dyDescent="0.3">
      <c r="E298" s="762"/>
      <c r="F298" s="1059"/>
      <c r="G298" s="1059"/>
      <c r="H298" s="1059"/>
      <c r="I298" s="4758"/>
      <c r="J298" s="4759"/>
      <c r="K298" s="4759"/>
      <c r="L298" s="4807"/>
      <c r="M298" s="4807"/>
      <c r="N298" s="4759"/>
      <c r="O298" s="4759"/>
      <c r="P298" s="4763"/>
      <c r="Q298" s="1059"/>
      <c r="R298" s="1059"/>
      <c r="S298" s="4758"/>
      <c r="T298" s="4759"/>
      <c r="U298" s="4759"/>
      <c r="V298" s="4805"/>
      <c r="W298" s="4805"/>
      <c r="X298" s="4759"/>
      <c r="Y298" s="4759"/>
      <c r="Z298" s="4763"/>
      <c r="AA298" s="1059"/>
      <c r="AB298" s="1059"/>
      <c r="AC298" s="4758"/>
      <c r="AD298" s="4759"/>
      <c r="AE298" s="4759"/>
      <c r="AF298" s="4806"/>
      <c r="AG298" s="4806"/>
      <c r="AH298" s="4759"/>
      <c r="AI298" s="4759"/>
      <c r="AJ298" s="4763"/>
      <c r="AK298" s="1059"/>
      <c r="AL298" s="1059"/>
      <c r="AM298" s="4853"/>
      <c r="AN298" s="4853"/>
      <c r="AO298" s="4853"/>
      <c r="AP298" s="1059"/>
      <c r="AQ298" s="1059"/>
      <c r="AR298" s="4758"/>
      <c r="AS298" s="4759"/>
      <c r="AT298" s="4759"/>
      <c r="AU298" s="4806"/>
      <c r="AV298" s="4806"/>
      <c r="AW298" s="4759"/>
      <c r="AX298" s="4759"/>
      <c r="AY298" s="4763"/>
      <c r="AZ298" s="1059"/>
      <c r="BA298" s="1059"/>
      <c r="BB298" s="4758"/>
      <c r="BC298" s="4759"/>
      <c r="BD298" s="4759"/>
      <c r="BE298" s="4805"/>
      <c r="BF298" s="4805"/>
      <c r="BG298" s="4759"/>
      <c r="BH298" s="4759"/>
      <c r="BI298" s="4763"/>
      <c r="BJ298" s="1059"/>
      <c r="BK298" s="1059"/>
      <c r="BL298" s="4758"/>
      <c r="BM298" s="4759"/>
      <c r="BN298" s="4759"/>
      <c r="BO298" s="4807"/>
      <c r="BP298" s="4807"/>
      <c r="BQ298" s="4759"/>
      <c r="BR298" s="4759"/>
      <c r="BS298" s="4763"/>
      <c r="BT298" s="1059"/>
      <c r="BU298" s="1059"/>
      <c r="BV298" s="1059"/>
      <c r="BW298" s="764"/>
      <c r="BX298" s="822"/>
      <c r="BY298" s="822"/>
      <c r="BZ298" s="822"/>
      <c r="CA298" s="822"/>
      <c r="CB298" s="822"/>
      <c r="CC298" s="822"/>
      <c r="CD298" s="822"/>
      <c r="CE298" s="822"/>
      <c r="CF298" s="822"/>
      <c r="CG298" s="822"/>
      <c r="CH298" s="822"/>
      <c r="CI298" s="822"/>
      <c r="CJ298" s="822"/>
      <c r="CK298" s="822"/>
      <c r="CL298" s="822"/>
      <c r="CM298" s="822"/>
      <c r="CN298" s="822"/>
      <c r="CO298" s="822"/>
      <c r="CP298" s="822"/>
      <c r="CQ298" s="822"/>
      <c r="CR298" s="822"/>
      <c r="CS298" s="822"/>
      <c r="CT298" s="822"/>
      <c r="CU298" s="822"/>
      <c r="CV298" s="822"/>
      <c r="CW298" s="822"/>
      <c r="CX298" s="822"/>
      <c r="CY298" s="822"/>
      <c r="CZ298" s="822"/>
      <c r="DA298" s="822"/>
      <c r="DB298" s="822"/>
      <c r="DC298" s="822"/>
      <c r="DD298" s="822"/>
      <c r="DE298" s="822"/>
      <c r="DF298" s="822"/>
      <c r="DG298" s="822"/>
      <c r="DH298" s="822"/>
      <c r="DI298" s="822"/>
      <c r="DJ298" s="822"/>
      <c r="DK298" s="822"/>
      <c r="DL298" s="822"/>
      <c r="DM298" s="822"/>
      <c r="DN298" s="822"/>
    </row>
    <row r="299" spans="5:148" ht="17.100000000000001" customHeight="1" x14ac:dyDescent="0.3">
      <c r="E299" s="762"/>
      <c r="F299" s="1059"/>
      <c r="G299" s="1059"/>
      <c r="H299" s="1059"/>
      <c r="I299" s="4766"/>
      <c r="J299" s="4768"/>
      <c r="K299" s="4769"/>
      <c r="L299" s="4769"/>
      <c r="M299" s="4769"/>
      <c r="N299" s="4769"/>
      <c r="O299" s="4770"/>
      <c r="P299" s="4777"/>
      <c r="Q299" s="1059"/>
      <c r="R299" s="1059"/>
      <c r="S299" s="4766"/>
      <c r="T299" s="4768"/>
      <c r="U299" s="4769"/>
      <c r="V299" s="4769"/>
      <c r="W299" s="4769"/>
      <c r="X299" s="4769"/>
      <c r="Y299" s="4770"/>
      <c r="Z299" s="4777"/>
      <c r="AA299" s="1059"/>
      <c r="AB299" s="1059"/>
      <c r="AC299" s="4766"/>
      <c r="AD299" s="4768"/>
      <c r="AE299" s="4769"/>
      <c r="AF299" s="4769"/>
      <c r="AG299" s="4769"/>
      <c r="AH299" s="4769"/>
      <c r="AI299" s="4770"/>
      <c r="AJ299" s="4777"/>
      <c r="AK299" s="1059"/>
      <c r="AL299" s="1059"/>
      <c r="AM299" s="4853"/>
      <c r="AN299" s="4853"/>
      <c r="AO299" s="4853"/>
      <c r="AP299" s="1059"/>
      <c r="AQ299" s="1059"/>
      <c r="AR299" s="4766"/>
      <c r="AS299" s="4768"/>
      <c r="AT299" s="4769"/>
      <c r="AU299" s="4769"/>
      <c r="AV299" s="4769"/>
      <c r="AW299" s="4769"/>
      <c r="AX299" s="4770"/>
      <c r="AY299" s="4777"/>
      <c r="AZ299" s="1059"/>
      <c r="BA299" s="1059"/>
      <c r="BB299" s="4766"/>
      <c r="BC299" s="4768"/>
      <c r="BD299" s="4769"/>
      <c r="BE299" s="4769"/>
      <c r="BF299" s="4769"/>
      <c r="BG299" s="4769"/>
      <c r="BH299" s="4770"/>
      <c r="BI299" s="4777"/>
      <c r="BJ299" s="1059"/>
      <c r="BK299" s="1059"/>
      <c r="BL299" s="4766"/>
      <c r="BM299" s="4768"/>
      <c r="BN299" s="4769"/>
      <c r="BO299" s="4769"/>
      <c r="BP299" s="4769"/>
      <c r="BQ299" s="4769"/>
      <c r="BR299" s="4770"/>
      <c r="BS299" s="4777"/>
      <c r="BT299" s="1059"/>
      <c r="BU299" s="1059"/>
      <c r="BV299" s="1059"/>
      <c r="BW299" s="764"/>
      <c r="BX299" s="822"/>
      <c r="BY299" s="822"/>
      <c r="BZ299" s="822"/>
      <c r="CA299" s="822"/>
      <c r="CB299" s="822"/>
      <c r="CC299" s="822"/>
      <c r="CD299" s="822"/>
      <c r="CE299" s="822"/>
      <c r="CF299" s="822"/>
      <c r="CG299" s="822"/>
      <c r="CH299" s="822"/>
      <c r="CI299" s="822"/>
      <c r="CJ299" s="4826" t="str">
        <f>IF(J299=0,"",J299)</f>
        <v/>
      </c>
      <c r="CK299" s="4827"/>
      <c r="CL299" s="4827"/>
      <c r="CM299" s="4827"/>
      <c r="CN299" s="4827"/>
      <c r="CO299" s="4828"/>
      <c r="CP299" s="822"/>
      <c r="CQ299" s="822"/>
      <c r="CR299" s="822"/>
      <c r="CS299" s="822"/>
      <c r="CT299" s="4826" t="str">
        <f>IF(T299=0,"",T299)</f>
        <v/>
      </c>
      <c r="CU299" s="4827"/>
      <c r="CV299" s="4827"/>
      <c r="CW299" s="4827"/>
      <c r="CX299" s="4827"/>
      <c r="CY299" s="4828"/>
      <c r="CZ299" s="822"/>
      <c r="DA299" s="822"/>
      <c r="DB299" s="822"/>
      <c r="DC299" s="822"/>
      <c r="DD299" s="4826" t="str">
        <f>IF(AD299=0,"",AD299)</f>
        <v/>
      </c>
      <c r="DE299" s="4827"/>
      <c r="DF299" s="4827"/>
      <c r="DG299" s="4827"/>
      <c r="DH299" s="4827"/>
      <c r="DI299" s="4828"/>
      <c r="DJ299" s="822"/>
      <c r="DK299" s="822"/>
      <c r="DL299" s="822"/>
      <c r="DM299" s="822"/>
      <c r="DN299" s="822"/>
      <c r="DO299" s="822"/>
      <c r="DP299" s="822"/>
      <c r="DQ299" s="822"/>
      <c r="DR299" s="822"/>
      <c r="DS299" s="4826" t="str">
        <f>IF(AS299=0,"",AS299)</f>
        <v/>
      </c>
      <c r="DT299" s="4827"/>
      <c r="DU299" s="4827"/>
      <c r="DV299" s="4827"/>
      <c r="DW299" s="4827"/>
      <c r="DX299" s="4828"/>
      <c r="DY299" s="822"/>
      <c r="DZ299" s="822"/>
      <c r="EA299" s="822"/>
      <c r="EB299" s="822"/>
      <c r="EC299" s="4826" t="str">
        <f>IF(BC299=0,"",BC299)</f>
        <v/>
      </c>
      <c r="ED299" s="4827"/>
      <c r="EE299" s="4827"/>
      <c r="EF299" s="4827"/>
      <c r="EG299" s="4827"/>
      <c r="EH299" s="4828"/>
      <c r="EI299" s="822"/>
      <c r="EJ299" s="822"/>
      <c r="EK299" s="822"/>
      <c r="EL299" s="822"/>
      <c r="EM299" s="4826" t="str">
        <f>IF(BM299=0,"",BM299)</f>
        <v/>
      </c>
      <c r="EN299" s="4827"/>
      <c r="EO299" s="4827"/>
      <c r="EP299" s="4827"/>
      <c r="EQ299" s="4827"/>
      <c r="ER299" s="4828"/>
    </row>
    <row r="300" spans="5:148" ht="17.100000000000001" customHeight="1" x14ac:dyDescent="0.3">
      <c r="E300" s="762"/>
      <c r="F300" s="1059"/>
      <c r="G300" s="1059"/>
      <c r="H300" s="1059"/>
      <c r="I300" s="4766"/>
      <c r="J300" s="4771"/>
      <c r="K300" s="4772"/>
      <c r="L300" s="4772"/>
      <c r="M300" s="4772"/>
      <c r="N300" s="4772"/>
      <c r="O300" s="4773"/>
      <c r="P300" s="4777"/>
      <c r="Q300" s="1059"/>
      <c r="R300" s="1059"/>
      <c r="S300" s="4766"/>
      <c r="T300" s="4771"/>
      <c r="U300" s="4772"/>
      <c r="V300" s="4772"/>
      <c r="W300" s="4772"/>
      <c r="X300" s="4772"/>
      <c r="Y300" s="4773"/>
      <c r="Z300" s="4777"/>
      <c r="AA300" s="1059"/>
      <c r="AB300" s="1059"/>
      <c r="AC300" s="4766"/>
      <c r="AD300" s="4771"/>
      <c r="AE300" s="4772"/>
      <c r="AF300" s="4772"/>
      <c r="AG300" s="4772"/>
      <c r="AH300" s="4772"/>
      <c r="AI300" s="4773"/>
      <c r="AJ300" s="4777"/>
      <c r="AK300" s="1059"/>
      <c r="AL300" s="1059"/>
      <c r="AM300" s="2285">
        <f>AN318</f>
        <v>0</v>
      </c>
      <c r="AN300" s="2276" t="s">
        <v>710</v>
      </c>
      <c r="AO300" s="1278"/>
      <c r="AP300" s="1059"/>
      <c r="AQ300" s="1059"/>
      <c r="AR300" s="4766"/>
      <c r="AS300" s="4771"/>
      <c r="AT300" s="4772"/>
      <c r="AU300" s="4772"/>
      <c r="AV300" s="4772"/>
      <c r="AW300" s="4772"/>
      <c r="AX300" s="4773"/>
      <c r="AY300" s="4777"/>
      <c r="AZ300" s="1059"/>
      <c r="BA300" s="1059"/>
      <c r="BB300" s="4766"/>
      <c r="BC300" s="4771"/>
      <c r="BD300" s="4772"/>
      <c r="BE300" s="4772"/>
      <c r="BF300" s="4772"/>
      <c r="BG300" s="4772"/>
      <c r="BH300" s="4773"/>
      <c r="BI300" s="4777"/>
      <c r="BJ300" s="1059"/>
      <c r="BK300" s="1059"/>
      <c r="BL300" s="4766"/>
      <c r="BM300" s="4771"/>
      <c r="BN300" s="4772"/>
      <c r="BO300" s="4772"/>
      <c r="BP300" s="4772"/>
      <c r="BQ300" s="4772"/>
      <c r="BR300" s="4773"/>
      <c r="BS300" s="4777"/>
      <c r="BT300" s="1059"/>
      <c r="BU300" s="1059"/>
      <c r="BV300" s="1059"/>
      <c r="BW300" s="764"/>
      <c r="BX300" s="822"/>
      <c r="BY300" s="822"/>
      <c r="BZ300" s="822"/>
      <c r="CA300" s="822"/>
      <c r="CB300" s="822"/>
      <c r="CC300" s="822"/>
      <c r="CD300" s="822"/>
      <c r="CE300" s="822"/>
      <c r="CF300" s="822"/>
      <c r="CG300" s="822"/>
      <c r="CH300" s="822"/>
      <c r="CI300" s="822"/>
      <c r="CJ300" s="4829"/>
      <c r="CK300" s="4830"/>
      <c r="CL300" s="4830"/>
      <c r="CM300" s="4830"/>
      <c r="CN300" s="4830"/>
      <c r="CO300" s="4831"/>
      <c r="CP300" s="822"/>
      <c r="CQ300" s="822"/>
      <c r="CR300" s="822"/>
      <c r="CS300" s="822"/>
      <c r="CT300" s="4829"/>
      <c r="CU300" s="4830"/>
      <c r="CV300" s="4830"/>
      <c r="CW300" s="4830"/>
      <c r="CX300" s="4830"/>
      <c r="CY300" s="4831"/>
      <c r="CZ300" s="822"/>
      <c r="DA300" s="822"/>
      <c r="DB300" s="822"/>
      <c r="DC300" s="822"/>
      <c r="DD300" s="4829"/>
      <c r="DE300" s="4830"/>
      <c r="DF300" s="4830"/>
      <c r="DG300" s="4830"/>
      <c r="DH300" s="4830"/>
      <c r="DI300" s="4831"/>
      <c r="DJ300" s="822"/>
      <c r="DK300" s="822"/>
      <c r="DL300" s="822"/>
      <c r="DM300" s="822"/>
      <c r="DN300" s="822"/>
      <c r="DO300" s="822"/>
      <c r="DP300" s="822"/>
      <c r="DQ300" s="822"/>
      <c r="DR300" s="822"/>
      <c r="DS300" s="4829"/>
      <c r="DT300" s="4830"/>
      <c r="DU300" s="4830"/>
      <c r="DV300" s="4830"/>
      <c r="DW300" s="4830"/>
      <c r="DX300" s="4831"/>
      <c r="DY300" s="822"/>
      <c r="DZ300" s="822"/>
      <c r="EA300" s="822"/>
      <c r="EB300" s="822"/>
      <c r="EC300" s="4829"/>
      <c r="ED300" s="4830"/>
      <c r="EE300" s="4830"/>
      <c r="EF300" s="4830"/>
      <c r="EG300" s="4830"/>
      <c r="EH300" s="4831"/>
      <c r="EI300" s="822"/>
      <c r="EJ300" s="822"/>
      <c r="EK300" s="822"/>
      <c r="EL300" s="822"/>
      <c r="EM300" s="4829"/>
      <c r="EN300" s="4830"/>
      <c r="EO300" s="4830"/>
      <c r="EP300" s="4830"/>
      <c r="EQ300" s="4830"/>
      <c r="ER300" s="4831"/>
    </row>
    <row r="301" spans="5:148" ht="17.100000000000001" customHeight="1" x14ac:dyDescent="0.3">
      <c r="E301" s="762"/>
      <c r="F301" s="1059"/>
      <c r="G301" s="1059"/>
      <c r="H301" s="1059"/>
      <c r="I301" s="4766"/>
      <c r="J301" s="4774"/>
      <c r="K301" s="4775"/>
      <c r="L301" s="4775"/>
      <c r="M301" s="4775"/>
      <c r="N301" s="4775"/>
      <c r="O301" s="4776"/>
      <c r="P301" s="4777"/>
      <c r="Q301" s="1059"/>
      <c r="R301" s="1059"/>
      <c r="S301" s="4766"/>
      <c r="T301" s="4774"/>
      <c r="U301" s="4775"/>
      <c r="V301" s="4775"/>
      <c r="W301" s="4775"/>
      <c r="X301" s="4775"/>
      <c r="Y301" s="4776"/>
      <c r="Z301" s="4777"/>
      <c r="AA301" s="1059"/>
      <c r="AB301" s="1059"/>
      <c r="AC301" s="4766"/>
      <c r="AD301" s="4774"/>
      <c r="AE301" s="4775"/>
      <c r="AF301" s="4775"/>
      <c r="AG301" s="4775"/>
      <c r="AH301" s="4775"/>
      <c r="AI301" s="4776"/>
      <c r="AJ301" s="4777"/>
      <c r="AK301" s="1059"/>
      <c r="AL301" s="1059"/>
      <c r="AM301" s="2285">
        <f>AN318</f>
        <v>0</v>
      </c>
      <c r="AN301" s="2277" t="s">
        <v>941</v>
      </c>
      <c r="AO301" s="1278"/>
      <c r="AP301" s="1059"/>
      <c r="AQ301" s="1059"/>
      <c r="AR301" s="4766"/>
      <c r="AS301" s="4774"/>
      <c r="AT301" s="4775"/>
      <c r="AU301" s="4775"/>
      <c r="AV301" s="4775"/>
      <c r="AW301" s="4775"/>
      <c r="AX301" s="4776"/>
      <c r="AY301" s="4777"/>
      <c r="AZ301" s="1059"/>
      <c r="BA301" s="1059"/>
      <c r="BB301" s="4766"/>
      <c r="BC301" s="4774"/>
      <c r="BD301" s="4775"/>
      <c r="BE301" s="4775"/>
      <c r="BF301" s="4775"/>
      <c r="BG301" s="4775"/>
      <c r="BH301" s="4776"/>
      <c r="BI301" s="4777"/>
      <c r="BJ301" s="1059"/>
      <c r="BK301" s="1059"/>
      <c r="BL301" s="4766"/>
      <c r="BM301" s="4774"/>
      <c r="BN301" s="4775"/>
      <c r="BO301" s="4775"/>
      <c r="BP301" s="4775"/>
      <c r="BQ301" s="4775"/>
      <c r="BR301" s="4776"/>
      <c r="BS301" s="4777"/>
      <c r="BT301" s="1059"/>
      <c r="BU301" s="1059"/>
      <c r="BV301" s="1059"/>
      <c r="BW301" s="764"/>
      <c r="BX301" s="822"/>
      <c r="BY301" s="822"/>
      <c r="BZ301" s="822"/>
      <c r="CA301" s="822"/>
      <c r="CB301" s="822"/>
      <c r="CC301" s="822"/>
      <c r="CD301" s="822"/>
      <c r="CE301" s="822"/>
      <c r="CF301" s="822"/>
      <c r="CG301" s="822"/>
      <c r="CH301" s="822"/>
      <c r="CI301" s="822"/>
      <c r="CJ301" s="4832"/>
      <c r="CK301" s="4833"/>
      <c r="CL301" s="4833"/>
      <c r="CM301" s="4833"/>
      <c r="CN301" s="4833"/>
      <c r="CO301" s="4834"/>
      <c r="CP301" s="822"/>
      <c r="CQ301" s="822"/>
      <c r="CR301" s="822"/>
      <c r="CS301" s="822"/>
      <c r="CT301" s="4832"/>
      <c r="CU301" s="4833"/>
      <c r="CV301" s="4833"/>
      <c r="CW301" s="4833"/>
      <c r="CX301" s="4833"/>
      <c r="CY301" s="4834"/>
      <c r="CZ301" s="822"/>
      <c r="DA301" s="822"/>
      <c r="DB301" s="822"/>
      <c r="DC301" s="822"/>
      <c r="DD301" s="4832"/>
      <c r="DE301" s="4833"/>
      <c r="DF301" s="4833"/>
      <c r="DG301" s="4833"/>
      <c r="DH301" s="4833"/>
      <c r="DI301" s="4834"/>
      <c r="DJ301" s="822"/>
      <c r="DK301" s="822"/>
      <c r="DL301" s="822"/>
      <c r="DM301" s="822"/>
      <c r="DN301" s="822"/>
      <c r="DO301" s="822"/>
      <c r="DP301" s="822"/>
      <c r="DQ301" s="822"/>
      <c r="DR301" s="822"/>
      <c r="DS301" s="4832"/>
      <c r="DT301" s="4833"/>
      <c r="DU301" s="4833"/>
      <c r="DV301" s="4833"/>
      <c r="DW301" s="4833"/>
      <c r="DX301" s="4834"/>
      <c r="DY301" s="822"/>
      <c r="DZ301" s="822"/>
      <c r="EA301" s="822"/>
      <c r="EB301" s="822"/>
      <c r="EC301" s="4832"/>
      <c r="ED301" s="4833"/>
      <c r="EE301" s="4833"/>
      <c r="EF301" s="4833"/>
      <c r="EG301" s="4833"/>
      <c r="EH301" s="4834"/>
      <c r="EI301" s="822"/>
      <c r="EJ301" s="822"/>
      <c r="EK301" s="822"/>
      <c r="EL301" s="822"/>
      <c r="EM301" s="4832"/>
      <c r="EN301" s="4833"/>
      <c r="EO301" s="4833"/>
      <c r="EP301" s="4833"/>
      <c r="EQ301" s="4833"/>
      <c r="ER301" s="4834"/>
    </row>
    <row r="302" spans="5:148" ht="17.100000000000001" customHeight="1" thickBot="1" x14ac:dyDescent="0.35">
      <c r="E302" s="762"/>
      <c r="F302" s="1059"/>
      <c r="G302" s="1059"/>
      <c r="H302" s="1059"/>
      <c r="I302" s="4767"/>
      <c r="J302" s="4789" t="s">
        <v>505</v>
      </c>
      <c r="K302" s="4789"/>
      <c r="L302" s="4789"/>
      <c r="M302" s="4789"/>
      <c r="N302" s="4789"/>
      <c r="O302" s="4789"/>
      <c r="P302" s="4778"/>
      <c r="Q302" s="1059"/>
      <c r="R302" s="1059"/>
      <c r="S302" s="4767"/>
      <c r="T302" s="4789" t="s">
        <v>505</v>
      </c>
      <c r="U302" s="4789"/>
      <c r="V302" s="4789"/>
      <c r="W302" s="4789"/>
      <c r="X302" s="4789"/>
      <c r="Y302" s="4789"/>
      <c r="Z302" s="4778"/>
      <c r="AA302" s="1059"/>
      <c r="AB302" s="1059"/>
      <c r="AC302" s="4767"/>
      <c r="AD302" s="4789" t="s">
        <v>505</v>
      </c>
      <c r="AE302" s="4789"/>
      <c r="AF302" s="4789"/>
      <c r="AG302" s="4789"/>
      <c r="AH302" s="4789"/>
      <c r="AI302" s="4789"/>
      <c r="AJ302" s="4778"/>
      <c r="AK302" s="1059"/>
      <c r="AL302" s="1059"/>
      <c r="AM302" s="2285">
        <f>AN318</f>
        <v>0</v>
      </c>
      <c r="AN302" s="2278" t="s">
        <v>144</v>
      </c>
      <c r="AO302" s="1278"/>
      <c r="AP302" s="1059"/>
      <c r="AQ302" s="1059"/>
      <c r="AR302" s="4767"/>
      <c r="AS302" s="4789" t="s">
        <v>505</v>
      </c>
      <c r="AT302" s="4789"/>
      <c r="AU302" s="4789"/>
      <c r="AV302" s="4789"/>
      <c r="AW302" s="4789"/>
      <c r="AX302" s="4789"/>
      <c r="AY302" s="4778"/>
      <c r="AZ302" s="1059"/>
      <c r="BA302" s="1059"/>
      <c r="BB302" s="4767"/>
      <c r="BC302" s="4789" t="s">
        <v>505</v>
      </c>
      <c r="BD302" s="4789"/>
      <c r="BE302" s="4789"/>
      <c r="BF302" s="4789"/>
      <c r="BG302" s="4789"/>
      <c r="BH302" s="4789"/>
      <c r="BI302" s="4778"/>
      <c r="BJ302" s="1059"/>
      <c r="BK302" s="1059"/>
      <c r="BL302" s="4767"/>
      <c r="BM302" s="4789" t="s">
        <v>505</v>
      </c>
      <c r="BN302" s="4789"/>
      <c r="BO302" s="4789"/>
      <c r="BP302" s="4789"/>
      <c r="BQ302" s="4789"/>
      <c r="BR302" s="4789"/>
      <c r="BS302" s="4778"/>
      <c r="BT302" s="1059"/>
      <c r="BU302" s="1059"/>
      <c r="BV302" s="1059"/>
      <c r="BW302" s="764"/>
      <c r="BX302" s="822"/>
      <c r="BY302" s="822"/>
      <c r="BZ302" s="822"/>
      <c r="CA302" s="822"/>
      <c r="CB302" s="822"/>
      <c r="CC302" s="822"/>
      <c r="CD302" s="822"/>
      <c r="CE302" s="822"/>
      <c r="CF302" s="822"/>
      <c r="CG302" s="822"/>
      <c r="CH302" s="822"/>
      <c r="CI302" s="822"/>
      <c r="CJ302" s="822"/>
      <c r="CK302" s="822"/>
      <c r="CL302" s="822"/>
      <c r="CM302" s="822"/>
      <c r="CN302" s="822"/>
      <c r="CO302" s="822"/>
      <c r="CP302" s="822"/>
      <c r="CQ302" s="822"/>
      <c r="CR302" s="822"/>
      <c r="CS302" s="822"/>
      <c r="CT302" s="822"/>
      <c r="CU302" s="822"/>
      <c r="CV302" s="822"/>
      <c r="CW302" s="822"/>
      <c r="CX302" s="822"/>
      <c r="CY302" s="822"/>
      <c r="CZ302" s="822"/>
      <c r="DA302" s="822"/>
      <c r="DB302" s="822"/>
      <c r="DC302" s="822"/>
      <c r="DD302" s="822"/>
      <c r="DE302" s="822"/>
      <c r="DF302" s="822"/>
      <c r="DG302" s="822"/>
      <c r="DH302" s="822"/>
      <c r="DI302" s="822"/>
      <c r="DJ302" s="822"/>
      <c r="DK302" s="822"/>
      <c r="DL302" s="822"/>
      <c r="DM302" s="822"/>
      <c r="DN302" s="822"/>
      <c r="DO302" s="822"/>
      <c r="DP302" s="822"/>
      <c r="DQ302" s="822"/>
      <c r="DR302" s="822"/>
      <c r="DS302" s="822"/>
      <c r="DT302" s="822"/>
      <c r="DU302" s="822"/>
      <c r="DV302" s="822"/>
      <c r="DW302" s="822"/>
      <c r="DX302" s="822"/>
      <c r="DY302" s="822"/>
      <c r="DZ302" s="822"/>
      <c r="EA302" s="822"/>
      <c r="EB302" s="822"/>
      <c r="EC302" s="822"/>
      <c r="ED302" s="822"/>
      <c r="EE302" s="822"/>
      <c r="EF302" s="822"/>
      <c r="EG302" s="822"/>
      <c r="EH302" s="822"/>
      <c r="EI302" s="822"/>
      <c r="EJ302" s="822"/>
      <c r="EK302" s="822"/>
      <c r="EL302" s="822"/>
      <c r="EM302" s="822"/>
      <c r="EN302" s="822"/>
      <c r="EO302" s="822"/>
      <c r="EP302" s="822"/>
      <c r="EQ302" s="822"/>
      <c r="ER302" s="822"/>
    </row>
    <row r="303" spans="5:148" ht="17.100000000000001" customHeight="1" thickTop="1" x14ac:dyDescent="0.3">
      <c r="E303" s="762"/>
      <c r="F303" s="1059"/>
      <c r="G303" s="1059"/>
      <c r="H303" s="1059"/>
      <c r="I303" s="1059"/>
      <c r="J303" s="1059"/>
      <c r="K303" s="1059"/>
      <c r="L303" s="1059"/>
      <c r="M303" s="1059"/>
      <c r="N303" s="1059"/>
      <c r="O303" s="1059"/>
      <c r="P303" s="1059"/>
      <c r="Q303" s="1059"/>
      <c r="R303" s="1059"/>
      <c r="S303" s="1059"/>
      <c r="T303" s="1059"/>
      <c r="U303" s="1059"/>
      <c r="V303" s="1059"/>
      <c r="W303" s="1059"/>
      <c r="X303" s="1059"/>
      <c r="Y303" s="1059"/>
      <c r="Z303" s="1059"/>
      <c r="AA303" s="1059"/>
      <c r="AB303" s="1059"/>
      <c r="AC303" s="1059"/>
      <c r="AD303" s="1059"/>
      <c r="AE303" s="1059"/>
      <c r="AF303" s="1059"/>
      <c r="AG303" s="1059"/>
      <c r="AH303" s="1059"/>
      <c r="AI303" s="1059"/>
      <c r="AJ303" s="1059"/>
      <c r="AK303" s="1059"/>
      <c r="AL303" s="1059"/>
      <c r="AM303" s="2285">
        <f>AN318</f>
        <v>0</v>
      </c>
      <c r="AN303" s="2279" t="s">
        <v>939</v>
      </c>
      <c r="AO303" s="1278"/>
      <c r="AP303" s="1059"/>
      <c r="AQ303" s="1059"/>
      <c r="AR303" s="1059"/>
      <c r="AS303" s="1059"/>
      <c r="AT303" s="1059"/>
      <c r="AU303" s="1059"/>
      <c r="AV303" s="1059"/>
      <c r="AW303" s="1059"/>
      <c r="AX303" s="1059"/>
      <c r="AY303" s="1059"/>
      <c r="AZ303" s="1059"/>
      <c r="BA303" s="1059"/>
      <c r="BB303" s="1059"/>
      <c r="BC303" s="1059"/>
      <c r="BD303" s="1059"/>
      <c r="BE303" s="1059"/>
      <c r="BF303" s="1059"/>
      <c r="BG303" s="1059"/>
      <c r="BH303" s="1059"/>
      <c r="BI303" s="1059"/>
      <c r="BJ303" s="1059"/>
      <c r="BK303" s="1059"/>
      <c r="BL303" s="1059"/>
      <c r="BM303" s="1059"/>
      <c r="BN303" s="1059"/>
      <c r="BO303" s="1059"/>
      <c r="BP303" s="1059"/>
      <c r="BQ303" s="1059"/>
      <c r="BR303" s="1059"/>
      <c r="BS303" s="1059"/>
      <c r="BT303" s="1059"/>
      <c r="BU303" s="1059"/>
      <c r="BV303" s="1059"/>
      <c r="BW303" s="764"/>
      <c r="BX303" s="822"/>
      <c r="BY303" s="822"/>
      <c r="BZ303" s="822"/>
      <c r="CA303" s="822"/>
      <c r="CB303" s="822"/>
      <c r="CC303" s="822"/>
      <c r="CD303" s="822"/>
      <c r="CE303" s="822"/>
      <c r="CF303" s="822"/>
      <c r="CG303" s="822"/>
      <c r="CH303" s="822"/>
      <c r="CI303" s="822"/>
      <c r="CJ303" s="822"/>
      <c r="CK303" s="822"/>
      <c r="CL303" s="822"/>
      <c r="CM303" s="822"/>
      <c r="CN303" s="822"/>
      <c r="CO303" s="822"/>
      <c r="CP303" s="822"/>
      <c r="CQ303" s="822"/>
      <c r="CR303" s="822"/>
      <c r="CS303" s="822"/>
      <c r="CT303" s="822"/>
      <c r="CU303" s="822"/>
      <c r="CV303" s="822"/>
      <c r="CW303" s="822"/>
      <c r="CX303" s="822"/>
      <c r="CY303" s="822"/>
      <c r="CZ303" s="822"/>
      <c r="DA303" s="822"/>
      <c r="DB303" s="822"/>
      <c r="DC303" s="822"/>
      <c r="DD303" s="822"/>
      <c r="DE303" s="822"/>
      <c r="DF303" s="822"/>
      <c r="DG303" s="822"/>
      <c r="DH303" s="822"/>
      <c r="DI303" s="822"/>
      <c r="DJ303" s="822"/>
      <c r="DK303" s="822"/>
      <c r="DL303" s="822"/>
      <c r="DM303" s="822"/>
      <c r="DN303" s="822"/>
      <c r="DO303" s="822"/>
      <c r="DP303" s="822"/>
      <c r="DQ303" s="822"/>
      <c r="DR303" s="822"/>
      <c r="DS303" s="822"/>
      <c r="DT303" s="822"/>
      <c r="DU303" s="822"/>
      <c r="DV303" s="822"/>
      <c r="DW303" s="822"/>
      <c r="DX303" s="822"/>
      <c r="DY303" s="822"/>
      <c r="DZ303" s="822"/>
      <c r="EA303" s="822"/>
      <c r="EB303" s="822"/>
      <c r="EC303" s="822"/>
      <c r="ED303" s="822"/>
      <c r="EE303" s="822"/>
      <c r="EF303" s="822"/>
      <c r="EG303" s="822"/>
      <c r="EH303" s="822"/>
      <c r="EI303" s="822"/>
      <c r="EJ303" s="822"/>
      <c r="EK303" s="822"/>
      <c r="EL303" s="822"/>
      <c r="EM303" s="822"/>
      <c r="EN303" s="822"/>
      <c r="EO303" s="822"/>
      <c r="EP303" s="822"/>
      <c r="EQ303" s="822"/>
      <c r="ER303" s="822"/>
    </row>
    <row r="304" spans="5:148" ht="17.100000000000001" customHeight="1" thickBot="1" x14ac:dyDescent="0.35">
      <c r="E304" s="762"/>
      <c r="F304" s="1059"/>
      <c r="G304" s="1059"/>
      <c r="H304" s="1059"/>
      <c r="I304" s="1059"/>
      <c r="J304" s="1059"/>
      <c r="K304" s="1059"/>
      <c r="L304" s="1059"/>
      <c r="M304" s="1059"/>
      <c r="N304" s="1059"/>
      <c r="O304" s="1059"/>
      <c r="P304" s="1059"/>
      <c r="Q304" s="1059"/>
      <c r="R304" s="1059"/>
      <c r="S304" s="1059"/>
      <c r="T304" s="1059"/>
      <c r="U304" s="1059"/>
      <c r="V304" s="1059"/>
      <c r="W304" s="1059"/>
      <c r="X304" s="1059"/>
      <c r="Y304" s="1059"/>
      <c r="Z304" s="1059"/>
      <c r="AA304" s="1059"/>
      <c r="AB304" s="1059"/>
      <c r="AC304" s="1059"/>
      <c r="AD304" s="1059"/>
      <c r="AE304" s="1059"/>
      <c r="AF304" s="1059"/>
      <c r="AG304" s="1059"/>
      <c r="AH304" s="1059"/>
      <c r="AI304" s="1059"/>
      <c r="AJ304" s="1059"/>
      <c r="AK304" s="1059"/>
      <c r="AL304" s="1059"/>
      <c r="AM304" s="2285">
        <f>AN318</f>
        <v>0</v>
      </c>
      <c r="AN304" s="2280" t="s">
        <v>942</v>
      </c>
      <c r="AO304" s="1278"/>
      <c r="AP304" s="1059"/>
      <c r="AQ304" s="1059"/>
      <c r="AR304" s="1059"/>
      <c r="AS304" s="1059"/>
      <c r="AT304" s="1059"/>
      <c r="AU304" s="1059"/>
      <c r="AV304" s="1059"/>
      <c r="AW304" s="1059"/>
      <c r="AX304" s="1059"/>
      <c r="AY304" s="1059"/>
      <c r="AZ304" s="1059"/>
      <c r="BA304" s="1059"/>
      <c r="BB304" s="1059"/>
      <c r="BC304" s="1059"/>
      <c r="BD304" s="1059"/>
      <c r="BE304" s="1059"/>
      <c r="BF304" s="1059"/>
      <c r="BG304" s="1059"/>
      <c r="BH304" s="1059"/>
      <c r="BI304" s="1059"/>
      <c r="BJ304" s="1059"/>
      <c r="BK304" s="1059"/>
      <c r="BL304" s="1059"/>
      <c r="BM304" s="1059"/>
      <c r="BN304" s="1059"/>
      <c r="BO304" s="1059"/>
      <c r="BP304" s="1059"/>
      <c r="BQ304" s="1059"/>
      <c r="BR304" s="1059"/>
      <c r="BS304" s="1059"/>
      <c r="BT304" s="1059"/>
      <c r="BU304" s="1059"/>
      <c r="BV304" s="1059"/>
      <c r="BW304" s="764"/>
      <c r="BX304" s="822"/>
      <c r="BY304" s="822"/>
      <c r="BZ304" s="822"/>
      <c r="CA304" s="822"/>
      <c r="CB304" s="822"/>
      <c r="CC304" s="822"/>
      <c r="CD304" s="822"/>
      <c r="CE304" s="822"/>
      <c r="CF304" s="822"/>
      <c r="CG304" s="822"/>
      <c r="CH304" s="822"/>
      <c r="CI304" s="822"/>
      <c r="CJ304" s="822"/>
      <c r="CK304" s="822"/>
      <c r="CL304" s="822"/>
      <c r="CM304" s="822"/>
      <c r="CN304" s="822"/>
      <c r="CO304" s="822"/>
      <c r="CP304" s="822"/>
      <c r="CQ304" s="822"/>
      <c r="CR304" s="822"/>
      <c r="CS304" s="822"/>
      <c r="CT304" s="822"/>
      <c r="CU304" s="822"/>
      <c r="CV304" s="822"/>
      <c r="CW304" s="822"/>
      <c r="CX304" s="822"/>
      <c r="CY304" s="822"/>
      <c r="CZ304" s="822"/>
      <c r="DA304" s="822"/>
      <c r="DB304" s="822"/>
      <c r="DC304" s="822"/>
      <c r="DD304" s="822"/>
      <c r="DE304" s="822"/>
      <c r="DF304" s="822"/>
      <c r="DG304" s="822"/>
      <c r="DH304" s="822"/>
      <c r="DI304" s="822"/>
      <c r="DJ304" s="822"/>
      <c r="DK304" s="822"/>
      <c r="DL304" s="822"/>
      <c r="DM304" s="822"/>
      <c r="DN304" s="822"/>
      <c r="DO304" s="822"/>
      <c r="DP304" s="822"/>
      <c r="DQ304" s="822"/>
      <c r="DR304" s="822"/>
      <c r="DS304" s="822"/>
      <c r="DT304" s="822"/>
      <c r="DU304" s="822"/>
      <c r="DV304" s="822"/>
      <c r="DW304" s="822"/>
      <c r="DX304" s="822"/>
      <c r="DY304" s="822"/>
      <c r="DZ304" s="822"/>
      <c r="EA304" s="822"/>
      <c r="EB304" s="822"/>
      <c r="EC304" s="822"/>
      <c r="ED304" s="822"/>
      <c r="EE304" s="822"/>
      <c r="EF304" s="822"/>
      <c r="EG304" s="822"/>
      <c r="EH304" s="822"/>
      <c r="EI304" s="822"/>
      <c r="EJ304" s="822"/>
      <c r="EK304" s="822"/>
      <c r="EL304" s="822"/>
      <c r="EM304" s="822"/>
      <c r="EN304" s="822"/>
      <c r="EO304" s="822"/>
      <c r="EP304" s="822"/>
      <c r="EQ304" s="822"/>
      <c r="ER304" s="822"/>
    </row>
    <row r="305" spans="3:148" ht="17.100000000000001" customHeight="1" thickTop="1" x14ac:dyDescent="0.3">
      <c r="E305" s="762"/>
      <c r="F305" s="1059"/>
      <c r="G305" s="1059"/>
      <c r="H305" s="1059"/>
      <c r="I305" s="4756" t="s">
        <v>72</v>
      </c>
      <c r="J305" s="4757"/>
      <c r="K305" s="4757"/>
      <c r="L305" s="4787" t="s">
        <v>941</v>
      </c>
      <c r="M305" s="4801"/>
      <c r="N305" s="4757" t="s">
        <v>72</v>
      </c>
      <c r="O305" s="4757"/>
      <c r="P305" s="4762"/>
      <c r="Q305" s="1059"/>
      <c r="R305" s="1059"/>
      <c r="S305" s="4756" t="s">
        <v>72</v>
      </c>
      <c r="T305" s="4757"/>
      <c r="U305" s="4757"/>
      <c r="V305" s="4783" t="s">
        <v>941</v>
      </c>
      <c r="W305" s="4799"/>
      <c r="X305" s="4757" t="s">
        <v>72</v>
      </c>
      <c r="Y305" s="4757"/>
      <c r="Z305" s="4762"/>
      <c r="AA305" s="1059"/>
      <c r="AB305" s="1059"/>
      <c r="AC305" s="4756" t="s">
        <v>72</v>
      </c>
      <c r="AD305" s="4757"/>
      <c r="AE305" s="4757"/>
      <c r="AF305" s="4785" t="s">
        <v>941</v>
      </c>
      <c r="AG305" s="4803"/>
      <c r="AH305" s="4757" t="s">
        <v>72</v>
      </c>
      <c r="AI305" s="4757"/>
      <c r="AJ305" s="4762"/>
      <c r="AK305" s="1059"/>
      <c r="AL305" s="1059"/>
      <c r="AM305" s="2285">
        <f>AN318</f>
        <v>0</v>
      </c>
      <c r="AN305" s="2281" t="s">
        <v>940</v>
      </c>
      <c r="AO305" s="1278"/>
      <c r="AP305" s="1059"/>
      <c r="AQ305" s="1059"/>
      <c r="AR305" s="4756" t="s">
        <v>72</v>
      </c>
      <c r="AS305" s="4757"/>
      <c r="AT305" s="4757"/>
      <c r="AU305" s="4785" t="s">
        <v>942</v>
      </c>
      <c r="AV305" s="4803"/>
      <c r="AW305" s="4757" t="s">
        <v>72</v>
      </c>
      <c r="AX305" s="4757"/>
      <c r="AY305" s="4762"/>
      <c r="AZ305" s="1059"/>
      <c r="BA305" s="1059"/>
      <c r="BB305" s="4756" t="s">
        <v>72</v>
      </c>
      <c r="BC305" s="4757"/>
      <c r="BD305" s="4757"/>
      <c r="BE305" s="4783" t="s">
        <v>942</v>
      </c>
      <c r="BF305" s="4799"/>
      <c r="BG305" s="4757" t="s">
        <v>72</v>
      </c>
      <c r="BH305" s="4757"/>
      <c r="BI305" s="4762"/>
      <c r="BJ305" s="1059"/>
      <c r="BK305" s="1059"/>
      <c r="BL305" s="4756" t="s">
        <v>72</v>
      </c>
      <c r="BM305" s="4757"/>
      <c r="BN305" s="4757"/>
      <c r="BO305" s="4787" t="s">
        <v>942</v>
      </c>
      <c r="BP305" s="4801"/>
      <c r="BQ305" s="4757" t="s">
        <v>72</v>
      </c>
      <c r="BR305" s="4757"/>
      <c r="BS305" s="4762"/>
      <c r="BT305" s="1059"/>
      <c r="BU305" s="1059"/>
      <c r="BV305" s="1059"/>
      <c r="BW305" s="764"/>
      <c r="BX305" s="822"/>
      <c r="BY305" s="822"/>
      <c r="BZ305" s="822"/>
      <c r="CA305" s="822"/>
      <c r="CB305" s="822"/>
      <c r="CC305" s="822"/>
      <c r="CD305" s="822"/>
      <c r="CE305" s="822"/>
      <c r="CF305" s="822"/>
      <c r="CG305" s="822"/>
      <c r="CH305" s="822"/>
      <c r="CI305" s="822"/>
      <c r="CJ305" s="822"/>
      <c r="CK305" s="822"/>
      <c r="CL305" s="822"/>
      <c r="CM305" s="822"/>
      <c r="CN305" s="822"/>
      <c r="CO305" s="822"/>
      <c r="CP305" s="822"/>
      <c r="CQ305" s="822"/>
      <c r="CR305" s="822"/>
      <c r="CS305" s="822"/>
      <c r="CT305" s="822"/>
      <c r="CU305" s="822"/>
      <c r="CV305" s="822"/>
      <c r="CW305" s="822"/>
      <c r="CX305" s="822"/>
      <c r="CY305" s="822"/>
      <c r="CZ305" s="822"/>
      <c r="DA305" s="822"/>
      <c r="DB305" s="822"/>
      <c r="DC305" s="822"/>
      <c r="DD305" s="822"/>
      <c r="DE305" s="822"/>
      <c r="DF305" s="822"/>
      <c r="DG305" s="822"/>
      <c r="DH305" s="822"/>
      <c r="DI305" s="822"/>
      <c r="DJ305" s="822"/>
      <c r="DK305" s="822"/>
      <c r="DL305" s="822"/>
      <c r="DM305" s="822"/>
      <c r="DN305" s="822"/>
      <c r="DO305" s="822"/>
      <c r="DP305" s="822"/>
      <c r="DQ305" s="822"/>
      <c r="DR305" s="822"/>
      <c r="DS305" s="822"/>
      <c r="DT305" s="822"/>
      <c r="DU305" s="822"/>
      <c r="DV305" s="822"/>
      <c r="DW305" s="822"/>
      <c r="DX305" s="822"/>
      <c r="DY305" s="822"/>
      <c r="DZ305" s="822"/>
      <c r="EA305" s="822"/>
      <c r="EB305" s="822"/>
      <c r="EC305" s="822"/>
      <c r="ED305" s="822"/>
      <c r="EE305" s="822"/>
      <c r="EF305" s="822"/>
      <c r="EG305" s="822"/>
      <c r="EH305" s="822"/>
      <c r="EI305" s="822"/>
      <c r="EJ305" s="822"/>
      <c r="EK305" s="822"/>
      <c r="EL305" s="822"/>
      <c r="EM305" s="822"/>
      <c r="EN305" s="822"/>
      <c r="EO305" s="822"/>
      <c r="EP305" s="822"/>
      <c r="EQ305" s="822"/>
      <c r="ER305" s="822"/>
    </row>
    <row r="306" spans="3:148" ht="17.100000000000001" customHeight="1" x14ac:dyDescent="0.3">
      <c r="E306" s="762"/>
      <c r="F306" s="1059"/>
      <c r="G306" s="1059"/>
      <c r="H306" s="1059"/>
      <c r="I306" s="4758"/>
      <c r="J306" s="4759"/>
      <c r="K306" s="4759"/>
      <c r="L306" s="4802"/>
      <c r="M306" s="4802"/>
      <c r="N306" s="4759"/>
      <c r="O306" s="4759"/>
      <c r="P306" s="4763"/>
      <c r="Q306" s="1059"/>
      <c r="R306" s="1059"/>
      <c r="S306" s="4758"/>
      <c r="T306" s="4759"/>
      <c r="U306" s="4759"/>
      <c r="V306" s="4800"/>
      <c r="W306" s="4800"/>
      <c r="X306" s="4759"/>
      <c r="Y306" s="4759"/>
      <c r="Z306" s="4763"/>
      <c r="AA306" s="1059"/>
      <c r="AB306" s="1059"/>
      <c r="AC306" s="4758"/>
      <c r="AD306" s="4759"/>
      <c r="AE306" s="4759"/>
      <c r="AF306" s="4804"/>
      <c r="AG306" s="4804"/>
      <c r="AH306" s="4759"/>
      <c r="AI306" s="4759"/>
      <c r="AJ306" s="4763"/>
      <c r="AK306" s="1059"/>
      <c r="AL306" s="1059"/>
      <c r="AM306" s="2285">
        <f>AN318</f>
        <v>0</v>
      </c>
      <c r="AN306" s="2282" t="s">
        <v>710</v>
      </c>
      <c r="AO306" s="1278"/>
      <c r="AP306" s="1059"/>
      <c r="AQ306" s="1059"/>
      <c r="AR306" s="4758"/>
      <c r="AS306" s="4759"/>
      <c r="AT306" s="4759"/>
      <c r="AU306" s="4804"/>
      <c r="AV306" s="4804"/>
      <c r="AW306" s="4759"/>
      <c r="AX306" s="4759"/>
      <c r="AY306" s="4763"/>
      <c r="AZ306" s="1059"/>
      <c r="BA306" s="1059"/>
      <c r="BB306" s="4758"/>
      <c r="BC306" s="4759"/>
      <c r="BD306" s="4759"/>
      <c r="BE306" s="4800"/>
      <c r="BF306" s="4800"/>
      <c r="BG306" s="4759"/>
      <c r="BH306" s="4759"/>
      <c r="BI306" s="4763"/>
      <c r="BJ306" s="1059"/>
      <c r="BK306" s="1059"/>
      <c r="BL306" s="4758"/>
      <c r="BM306" s="4759"/>
      <c r="BN306" s="4759"/>
      <c r="BO306" s="4802"/>
      <c r="BP306" s="4802"/>
      <c r="BQ306" s="4759"/>
      <c r="BR306" s="4759"/>
      <c r="BS306" s="4763"/>
      <c r="BT306" s="1059"/>
      <c r="BU306" s="1059"/>
      <c r="BV306" s="1059"/>
      <c r="BW306" s="764"/>
      <c r="CJ306" s="822"/>
      <c r="CK306" s="822"/>
      <c r="CL306" s="822"/>
      <c r="CM306" s="822"/>
      <c r="CN306" s="822"/>
      <c r="CO306" s="822"/>
      <c r="CP306" s="822"/>
      <c r="CQ306" s="822"/>
      <c r="CR306" s="822"/>
      <c r="CS306" s="822"/>
      <c r="CT306" s="822"/>
      <c r="CU306" s="822"/>
      <c r="CV306" s="822"/>
      <c r="CW306" s="822"/>
      <c r="CX306" s="822"/>
      <c r="CY306" s="822"/>
      <c r="CZ306" s="822"/>
      <c r="DA306" s="822"/>
      <c r="DB306" s="822"/>
      <c r="DC306" s="822"/>
      <c r="DD306" s="822"/>
      <c r="DE306" s="822"/>
      <c r="DF306" s="822"/>
      <c r="DG306" s="822"/>
      <c r="DH306" s="822"/>
      <c r="DI306" s="822"/>
      <c r="DJ306" s="822"/>
      <c r="DK306" s="822"/>
      <c r="DL306" s="822"/>
      <c r="DM306" s="822"/>
      <c r="DN306" s="822"/>
      <c r="DO306" s="822"/>
      <c r="DP306" s="822"/>
      <c r="DQ306" s="822"/>
      <c r="DR306" s="822"/>
      <c r="DS306" s="822"/>
      <c r="DT306" s="822"/>
      <c r="DU306" s="822"/>
      <c r="DV306" s="822"/>
      <c r="DW306" s="822"/>
      <c r="DX306" s="822"/>
      <c r="DY306" s="822"/>
      <c r="DZ306" s="822"/>
      <c r="EA306" s="822"/>
      <c r="EB306" s="822"/>
      <c r="EC306" s="822"/>
      <c r="ED306" s="822"/>
      <c r="EE306" s="822"/>
      <c r="EF306" s="822"/>
      <c r="EG306" s="822"/>
      <c r="EH306" s="822"/>
      <c r="EI306" s="822"/>
      <c r="EJ306" s="822"/>
      <c r="EK306" s="822"/>
      <c r="EL306" s="822"/>
      <c r="EM306" s="822"/>
      <c r="EN306" s="822"/>
      <c r="EO306" s="822"/>
      <c r="EP306" s="822"/>
      <c r="EQ306" s="822"/>
      <c r="ER306" s="822"/>
    </row>
    <row r="307" spans="3:148" ht="17.100000000000001" customHeight="1" x14ac:dyDescent="0.3">
      <c r="E307" s="762"/>
      <c r="F307" s="1059"/>
      <c r="G307" s="1059"/>
      <c r="H307" s="1059"/>
      <c r="I307" s="4766"/>
      <c r="J307" s="4768"/>
      <c r="K307" s="4769"/>
      <c r="L307" s="4769"/>
      <c r="M307" s="4769"/>
      <c r="N307" s="4769"/>
      <c r="O307" s="4770"/>
      <c r="P307" s="4777"/>
      <c r="Q307" s="1059"/>
      <c r="R307" s="1059"/>
      <c r="S307" s="4766"/>
      <c r="T307" s="4768"/>
      <c r="U307" s="4769"/>
      <c r="V307" s="4769"/>
      <c r="W307" s="4769"/>
      <c r="X307" s="4769"/>
      <c r="Y307" s="4770"/>
      <c r="Z307" s="4777"/>
      <c r="AA307" s="1059"/>
      <c r="AB307" s="1059"/>
      <c r="AC307" s="4766"/>
      <c r="AD307" s="4768"/>
      <c r="AE307" s="4769"/>
      <c r="AF307" s="4769"/>
      <c r="AG307" s="4769"/>
      <c r="AH307" s="4769"/>
      <c r="AI307" s="4770"/>
      <c r="AJ307" s="4777"/>
      <c r="AK307" s="1059"/>
      <c r="AL307" s="1059"/>
      <c r="AM307" s="2285">
        <f>AN318</f>
        <v>0</v>
      </c>
      <c r="AN307" s="2283" t="s">
        <v>941</v>
      </c>
      <c r="AO307" s="1278"/>
      <c r="AP307" s="1059"/>
      <c r="AQ307" s="1059"/>
      <c r="AR307" s="4766"/>
      <c r="AS307" s="4768"/>
      <c r="AT307" s="4769"/>
      <c r="AU307" s="4769"/>
      <c r="AV307" s="4769"/>
      <c r="AW307" s="4769"/>
      <c r="AX307" s="4770"/>
      <c r="AY307" s="4777"/>
      <c r="AZ307" s="1059"/>
      <c r="BA307" s="1059"/>
      <c r="BB307" s="4766"/>
      <c r="BC307" s="4768"/>
      <c r="BD307" s="4769"/>
      <c r="BE307" s="4769"/>
      <c r="BF307" s="4769"/>
      <c r="BG307" s="4769"/>
      <c r="BH307" s="4770"/>
      <c r="BI307" s="4777"/>
      <c r="BJ307" s="1059"/>
      <c r="BK307" s="1059"/>
      <c r="BL307" s="4766"/>
      <c r="BM307" s="4768"/>
      <c r="BN307" s="4769"/>
      <c r="BO307" s="4769"/>
      <c r="BP307" s="4769"/>
      <c r="BQ307" s="4769"/>
      <c r="BR307" s="4770"/>
      <c r="BS307" s="4777"/>
      <c r="BT307" s="1059"/>
      <c r="BU307" s="1059"/>
      <c r="BV307" s="1059"/>
      <c r="BW307" s="764"/>
      <c r="BX307" s="822"/>
      <c r="BY307" s="822"/>
      <c r="BZ307" s="822"/>
      <c r="CA307" s="822"/>
      <c r="CB307" s="822"/>
      <c r="CC307" s="822"/>
      <c r="CD307" s="822"/>
      <c r="CE307" s="822"/>
      <c r="CF307" s="822"/>
      <c r="CG307" s="822"/>
      <c r="CH307" s="822"/>
      <c r="CI307" s="822"/>
      <c r="CJ307" s="4826" t="str">
        <f>IF(J307=0,"",J307)</f>
        <v/>
      </c>
      <c r="CK307" s="4827"/>
      <c r="CL307" s="4827"/>
      <c r="CM307" s="4827"/>
      <c r="CN307" s="4827"/>
      <c r="CO307" s="4828"/>
      <c r="CP307" s="822"/>
      <c r="CQ307" s="822"/>
      <c r="CR307" s="822"/>
      <c r="CS307" s="822"/>
      <c r="CT307" s="4826" t="str">
        <f>IF(T307=0,"",T307)</f>
        <v/>
      </c>
      <c r="CU307" s="4827"/>
      <c r="CV307" s="4827"/>
      <c r="CW307" s="4827"/>
      <c r="CX307" s="4827"/>
      <c r="CY307" s="4828"/>
      <c r="CZ307" s="822"/>
      <c r="DA307" s="822"/>
      <c r="DB307" s="822"/>
      <c r="DC307" s="822"/>
      <c r="DD307" s="4826" t="str">
        <f>IF(AD307=0,"",AD307)</f>
        <v/>
      </c>
      <c r="DE307" s="4827"/>
      <c r="DF307" s="4827"/>
      <c r="DG307" s="4827"/>
      <c r="DH307" s="4827"/>
      <c r="DI307" s="4828"/>
      <c r="DJ307" s="822"/>
      <c r="DK307" s="822"/>
      <c r="DL307" s="822"/>
      <c r="DM307" s="822"/>
      <c r="DN307" s="822"/>
      <c r="DO307" s="822"/>
      <c r="DP307" s="822"/>
      <c r="DQ307" s="822"/>
      <c r="DR307" s="822"/>
      <c r="DS307" s="4826" t="str">
        <f>IF(AS307=0,"",AS307)</f>
        <v/>
      </c>
      <c r="DT307" s="4827"/>
      <c r="DU307" s="4827"/>
      <c r="DV307" s="4827"/>
      <c r="DW307" s="4827"/>
      <c r="DX307" s="4828"/>
      <c r="DY307" s="822"/>
      <c r="DZ307" s="822"/>
      <c r="EA307" s="822"/>
      <c r="EB307" s="822"/>
      <c r="EC307" s="4826" t="str">
        <f>IF(BC307=0,"",BC307)</f>
        <v/>
      </c>
      <c r="ED307" s="4827"/>
      <c r="EE307" s="4827"/>
      <c r="EF307" s="4827"/>
      <c r="EG307" s="4827"/>
      <c r="EH307" s="4828"/>
      <c r="EI307" s="822"/>
      <c r="EJ307" s="822"/>
      <c r="EK307" s="822"/>
      <c r="EL307" s="822"/>
      <c r="EM307" s="4826" t="str">
        <f>IF(BM307=0,"",BM307)</f>
        <v/>
      </c>
      <c r="EN307" s="4827"/>
      <c r="EO307" s="4827"/>
      <c r="EP307" s="4827"/>
      <c r="EQ307" s="4827"/>
      <c r="ER307" s="4828"/>
    </row>
    <row r="308" spans="3:148" ht="17.100000000000001" customHeight="1" x14ac:dyDescent="0.3">
      <c r="E308" s="762"/>
      <c r="F308" s="1059"/>
      <c r="G308" s="1059"/>
      <c r="H308" s="1059"/>
      <c r="I308" s="4766"/>
      <c r="J308" s="4771"/>
      <c r="K308" s="4772"/>
      <c r="L308" s="4772"/>
      <c r="M308" s="4772"/>
      <c r="N308" s="4772"/>
      <c r="O308" s="4773"/>
      <c r="P308" s="4777"/>
      <c r="Q308" s="1059"/>
      <c r="R308" s="1059"/>
      <c r="S308" s="4766"/>
      <c r="T308" s="4771"/>
      <c r="U308" s="4772"/>
      <c r="V308" s="4772"/>
      <c r="W308" s="4772"/>
      <c r="X308" s="4772"/>
      <c r="Y308" s="4773"/>
      <c r="Z308" s="4777"/>
      <c r="AA308" s="1059"/>
      <c r="AB308" s="1059"/>
      <c r="AC308" s="4766"/>
      <c r="AD308" s="4771"/>
      <c r="AE308" s="4772"/>
      <c r="AF308" s="4772"/>
      <c r="AG308" s="4772"/>
      <c r="AH308" s="4772"/>
      <c r="AI308" s="4773"/>
      <c r="AJ308" s="4777"/>
      <c r="AK308" s="1059"/>
      <c r="AL308" s="1059"/>
      <c r="AM308" s="2285">
        <f>AN318</f>
        <v>0</v>
      </c>
      <c r="AN308" s="2284" t="s">
        <v>144</v>
      </c>
      <c r="AO308" s="1278"/>
      <c r="AP308" s="1059"/>
      <c r="AQ308" s="1059"/>
      <c r="AR308" s="4766"/>
      <c r="AS308" s="4771"/>
      <c r="AT308" s="4772"/>
      <c r="AU308" s="4772"/>
      <c r="AV308" s="4772"/>
      <c r="AW308" s="4772"/>
      <c r="AX308" s="4773"/>
      <c r="AY308" s="4777"/>
      <c r="AZ308" s="1059"/>
      <c r="BA308" s="1059"/>
      <c r="BB308" s="4766"/>
      <c r="BC308" s="4771"/>
      <c r="BD308" s="4772"/>
      <c r="BE308" s="4772"/>
      <c r="BF308" s="4772"/>
      <c r="BG308" s="4772"/>
      <c r="BH308" s="4773"/>
      <c r="BI308" s="4777"/>
      <c r="BJ308" s="1059"/>
      <c r="BK308" s="1059"/>
      <c r="BL308" s="4766"/>
      <c r="BM308" s="4771"/>
      <c r="BN308" s="4772"/>
      <c r="BO308" s="4772"/>
      <c r="BP308" s="4772"/>
      <c r="BQ308" s="4772"/>
      <c r="BR308" s="4773"/>
      <c r="BS308" s="4777"/>
      <c r="BT308" s="1059"/>
      <c r="BU308" s="1059"/>
      <c r="BV308" s="1059"/>
      <c r="BW308" s="764"/>
      <c r="BX308" s="822"/>
      <c r="BY308" s="822"/>
      <c r="BZ308" s="822"/>
      <c r="CA308" s="822"/>
      <c r="CB308" s="822"/>
      <c r="CC308" s="822"/>
      <c r="CD308" s="822"/>
      <c r="CE308" s="822"/>
      <c r="CF308" s="822"/>
      <c r="CG308" s="822"/>
      <c r="CH308" s="822"/>
      <c r="CI308" s="822"/>
      <c r="CJ308" s="4829"/>
      <c r="CK308" s="4830"/>
      <c r="CL308" s="4830"/>
      <c r="CM308" s="4830"/>
      <c r="CN308" s="4830"/>
      <c r="CO308" s="4831"/>
      <c r="CP308" s="822"/>
      <c r="CQ308" s="822"/>
      <c r="CR308" s="822"/>
      <c r="CS308" s="822"/>
      <c r="CT308" s="4829"/>
      <c r="CU308" s="4830"/>
      <c r="CV308" s="4830"/>
      <c r="CW308" s="4830"/>
      <c r="CX308" s="4830"/>
      <c r="CY308" s="4831"/>
      <c r="CZ308" s="822"/>
      <c r="DA308" s="822"/>
      <c r="DB308" s="822"/>
      <c r="DC308" s="822"/>
      <c r="DD308" s="4829"/>
      <c r="DE308" s="4830"/>
      <c r="DF308" s="4830"/>
      <c r="DG308" s="4830"/>
      <c r="DH308" s="4830"/>
      <c r="DI308" s="4831"/>
      <c r="DJ308" s="822"/>
      <c r="DK308" s="822"/>
      <c r="DL308" s="822"/>
      <c r="DM308" s="822"/>
      <c r="DN308" s="822"/>
      <c r="DO308" s="822"/>
      <c r="DP308" s="822"/>
      <c r="DQ308" s="822"/>
      <c r="DR308" s="822"/>
      <c r="DS308" s="4829"/>
      <c r="DT308" s="4830"/>
      <c r="DU308" s="4830"/>
      <c r="DV308" s="4830"/>
      <c r="DW308" s="4830"/>
      <c r="DX308" s="4831"/>
      <c r="DY308" s="822"/>
      <c r="DZ308" s="822"/>
      <c r="EA308" s="822"/>
      <c r="EB308" s="822"/>
      <c r="EC308" s="4829"/>
      <c r="ED308" s="4830"/>
      <c r="EE308" s="4830"/>
      <c r="EF308" s="4830"/>
      <c r="EG308" s="4830"/>
      <c r="EH308" s="4831"/>
      <c r="EI308" s="822"/>
      <c r="EJ308" s="822"/>
      <c r="EK308" s="822"/>
      <c r="EL308" s="822"/>
      <c r="EM308" s="4829"/>
      <c r="EN308" s="4830"/>
      <c r="EO308" s="4830"/>
      <c r="EP308" s="4830"/>
      <c r="EQ308" s="4830"/>
      <c r="ER308" s="4831"/>
    </row>
    <row r="309" spans="3:148" ht="17.100000000000001" customHeight="1" x14ac:dyDescent="0.3">
      <c r="C309" s="1436"/>
      <c r="E309" s="762"/>
      <c r="F309" s="1059"/>
      <c r="G309" s="1059"/>
      <c r="H309" s="1059"/>
      <c r="I309" s="4766"/>
      <c r="J309" s="4774"/>
      <c r="K309" s="4775"/>
      <c r="L309" s="4775"/>
      <c r="M309" s="4775"/>
      <c r="N309" s="4775"/>
      <c r="O309" s="4776"/>
      <c r="P309" s="4777"/>
      <c r="Q309" s="1059"/>
      <c r="R309" s="1059"/>
      <c r="S309" s="4766"/>
      <c r="T309" s="4774"/>
      <c r="U309" s="4775"/>
      <c r="V309" s="4775"/>
      <c r="W309" s="4775"/>
      <c r="X309" s="4775"/>
      <c r="Y309" s="4776"/>
      <c r="Z309" s="4777"/>
      <c r="AA309" s="1059"/>
      <c r="AB309" s="1059"/>
      <c r="AC309" s="4766"/>
      <c r="AD309" s="4774"/>
      <c r="AE309" s="4775"/>
      <c r="AF309" s="4775"/>
      <c r="AG309" s="4775"/>
      <c r="AH309" s="4775"/>
      <c r="AI309" s="4776"/>
      <c r="AJ309" s="4777"/>
      <c r="AK309" s="1059"/>
      <c r="AL309" s="1059"/>
      <c r="AM309" s="2285">
        <f>AN318</f>
        <v>0</v>
      </c>
      <c r="AN309" s="2276" t="s">
        <v>939</v>
      </c>
      <c r="AO309" s="1278"/>
      <c r="AP309" s="1059"/>
      <c r="AQ309" s="1059"/>
      <c r="AR309" s="4766"/>
      <c r="AS309" s="4774"/>
      <c r="AT309" s="4775"/>
      <c r="AU309" s="4775"/>
      <c r="AV309" s="4775"/>
      <c r="AW309" s="4775"/>
      <c r="AX309" s="4776"/>
      <c r="AY309" s="4777"/>
      <c r="AZ309" s="1059"/>
      <c r="BA309" s="1059"/>
      <c r="BB309" s="4766"/>
      <c r="BC309" s="4774"/>
      <c r="BD309" s="4775"/>
      <c r="BE309" s="4775"/>
      <c r="BF309" s="4775"/>
      <c r="BG309" s="4775"/>
      <c r="BH309" s="4776"/>
      <c r="BI309" s="4777"/>
      <c r="BJ309" s="1059"/>
      <c r="BK309" s="1059"/>
      <c r="BL309" s="4766"/>
      <c r="BM309" s="4774"/>
      <c r="BN309" s="4775"/>
      <c r="BO309" s="4775"/>
      <c r="BP309" s="4775"/>
      <c r="BQ309" s="4775"/>
      <c r="BR309" s="4776"/>
      <c r="BS309" s="4777"/>
      <c r="BT309" s="1059"/>
      <c r="BU309" s="1059"/>
      <c r="BV309" s="1059"/>
      <c r="BW309" s="764"/>
      <c r="BX309" s="822"/>
      <c r="BY309" s="822"/>
      <c r="BZ309" s="822"/>
      <c r="CA309" s="822"/>
      <c r="CB309" s="822"/>
      <c r="CC309" s="822"/>
      <c r="CD309" s="822"/>
      <c r="CE309" s="822"/>
      <c r="CF309" s="822"/>
      <c r="CG309" s="822"/>
      <c r="CH309" s="822"/>
      <c r="CI309" s="822"/>
      <c r="CJ309" s="4832"/>
      <c r="CK309" s="4833"/>
      <c r="CL309" s="4833"/>
      <c r="CM309" s="4833"/>
      <c r="CN309" s="4833"/>
      <c r="CO309" s="4834"/>
      <c r="CP309" s="822"/>
      <c r="CQ309" s="822"/>
      <c r="CR309" s="822"/>
      <c r="CS309" s="822"/>
      <c r="CT309" s="4832"/>
      <c r="CU309" s="4833"/>
      <c r="CV309" s="4833"/>
      <c r="CW309" s="4833"/>
      <c r="CX309" s="4833"/>
      <c r="CY309" s="4834"/>
      <c r="CZ309" s="822"/>
      <c r="DA309" s="822"/>
      <c r="DB309" s="822"/>
      <c r="DC309" s="822"/>
      <c r="DD309" s="4832"/>
      <c r="DE309" s="4833"/>
      <c r="DF309" s="4833"/>
      <c r="DG309" s="4833"/>
      <c r="DH309" s="4833"/>
      <c r="DI309" s="4834"/>
      <c r="DJ309" s="822"/>
      <c r="DK309" s="822"/>
      <c r="DL309" s="822"/>
      <c r="DM309" s="822"/>
      <c r="DN309" s="822"/>
      <c r="DO309" s="822"/>
      <c r="DP309" s="822"/>
      <c r="DQ309" s="822"/>
      <c r="DR309" s="822"/>
      <c r="DS309" s="4832"/>
      <c r="DT309" s="4833"/>
      <c r="DU309" s="4833"/>
      <c r="DV309" s="4833"/>
      <c r="DW309" s="4833"/>
      <c r="DX309" s="4834"/>
      <c r="DY309" s="822"/>
      <c r="DZ309" s="822"/>
      <c r="EA309" s="822"/>
      <c r="EB309" s="822"/>
      <c r="EC309" s="4832"/>
      <c r="ED309" s="4833"/>
      <c r="EE309" s="4833"/>
      <c r="EF309" s="4833"/>
      <c r="EG309" s="4833"/>
      <c r="EH309" s="4834"/>
      <c r="EI309" s="822"/>
      <c r="EJ309" s="822"/>
      <c r="EK309" s="822"/>
      <c r="EL309" s="822"/>
      <c r="EM309" s="4832"/>
      <c r="EN309" s="4833"/>
      <c r="EO309" s="4833"/>
      <c r="EP309" s="4833"/>
      <c r="EQ309" s="4833"/>
      <c r="ER309" s="4834"/>
    </row>
    <row r="310" spans="3:148" ht="17.100000000000001" customHeight="1" thickBot="1" x14ac:dyDescent="0.35">
      <c r="C310" s="1436"/>
      <c r="E310" s="762"/>
      <c r="F310" s="1059"/>
      <c r="G310" s="1059"/>
      <c r="H310" s="1059"/>
      <c r="I310" s="4767"/>
      <c r="J310" s="4789" t="s">
        <v>505</v>
      </c>
      <c r="K310" s="4789"/>
      <c r="L310" s="4789"/>
      <c r="M310" s="4789"/>
      <c r="N310" s="4789"/>
      <c r="O310" s="4789"/>
      <c r="P310" s="4778"/>
      <c r="Q310" s="1059"/>
      <c r="R310" s="1059"/>
      <c r="S310" s="4767"/>
      <c r="T310" s="4789" t="s">
        <v>505</v>
      </c>
      <c r="U310" s="4789"/>
      <c r="V310" s="4789"/>
      <c r="W310" s="4789"/>
      <c r="X310" s="4789"/>
      <c r="Y310" s="4789"/>
      <c r="Z310" s="4778"/>
      <c r="AA310" s="1059"/>
      <c r="AB310" s="1059"/>
      <c r="AC310" s="4767"/>
      <c r="AD310" s="4789" t="s">
        <v>505</v>
      </c>
      <c r="AE310" s="4789"/>
      <c r="AF310" s="4789"/>
      <c r="AG310" s="4789"/>
      <c r="AH310" s="4789"/>
      <c r="AI310" s="4789"/>
      <c r="AJ310" s="4778"/>
      <c r="AK310" s="1059"/>
      <c r="AL310" s="1059"/>
      <c r="AM310" s="2285">
        <f>AN318</f>
        <v>0</v>
      </c>
      <c r="AN310" s="2277" t="s">
        <v>942</v>
      </c>
      <c r="AO310" s="1278"/>
      <c r="AP310" s="1059"/>
      <c r="AQ310" s="1059"/>
      <c r="AR310" s="4767"/>
      <c r="AS310" s="4789" t="s">
        <v>505</v>
      </c>
      <c r="AT310" s="4789"/>
      <c r="AU310" s="4789"/>
      <c r="AV310" s="4789"/>
      <c r="AW310" s="4789"/>
      <c r="AX310" s="4789"/>
      <c r="AY310" s="4778"/>
      <c r="AZ310" s="1059"/>
      <c r="BA310" s="1059"/>
      <c r="BB310" s="4767"/>
      <c r="BC310" s="4789" t="s">
        <v>505</v>
      </c>
      <c r="BD310" s="4789"/>
      <c r="BE310" s="4789"/>
      <c r="BF310" s="4789"/>
      <c r="BG310" s="4789"/>
      <c r="BH310" s="4789"/>
      <c r="BI310" s="4778"/>
      <c r="BJ310" s="1059"/>
      <c r="BK310" s="1059"/>
      <c r="BL310" s="4767"/>
      <c r="BM310" s="4789" t="s">
        <v>505</v>
      </c>
      <c r="BN310" s="4789"/>
      <c r="BO310" s="4789"/>
      <c r="BP310" s="4789"/>
      <c r="BQ310" s="4789"/>
      <c r="BR310" s="4789"/>
      <c r="BS310" s="4778"/>
      <c r="BT310" s="1059"/>
      <c r="BU310" s="1059"/>
      <c r="BV310" s="1059"/>
      <c r="BW310" s="764"/>
      <c r="BX310" s="822"/>
      <c r="BY310" s="822"/>
      <c r="BZ310" s="822"/>
      <c r="CA310" s="822"/>
      <c r="CB310" s="822"/>
      <c r="CC310" s="822"/>
      <c r="CD310" s="822"/>
      <c r="CE310" s="822"/>
      <c r="CF310" s="822"/>
      <c r="CG310" s="822"/>
      <c r="CH310" s="822"/>
      <c r="CI310" s="822"/>
      <c r="CQ310" s="822"/>
      <c r="CR310" s="822"/>
      <c r="CS310" s="822"/>
      <c r="CT310" s="822"/>
      <c r="CU310" s="822"/>
      <c r="CV310" s="822"/>
      <c r="CW310" s="822"/>
      <c r="CX310" s="822"/>
      <c r="CY310" s="822"/>
      <c r="CZ310" s="822"/>
      <c r="DA310" s="822"/>
      <c r="DB310" s="822"/>
      <c r="DC310" s="822"/>
      <c r="DD310" s="822"/>
      <c r="DE310" s="822"/>
      <c r="DF310" s="822"/>
      <c r="DG310" s="822"/>
      <c r="DH310" s="822"/>
      <c r="DI310" s="822"/>
      <c r="DJ310" s="822"/>
      <c r="DK310" s="822"/>
      <c r="DL310" s="822"/>
      <c r="DM310" s="822"/>
      <c r="DN310" s="822"/>
      <c r="DO310" s="822"/>
      <c r="DP310" s="822"/>
      <c r="DQ310" s="822"/>
      <c r="DR310" s="822"/>
      <c r="DZ310" s="822"/>
      <c r="EA310" s="822"/>
      <c r="EB310" s="822"/>
      <c r="EC310" s="822"/>
      <c r="ED310" s="822"/>
      <c r="EE310" s="822"/>
      <c r="EF310" s="822"/>
      <c r="EG310" s="822"/>
      <c r="EH310" s="822"/>
      <c r="EI310" s="822"/>
      <c r="EJ310" s="822"/>
      <c r="EK310" s="822"/>
      <c r="EL310" s="822"/>
      <c r="EM310" s="822"/>
      <c r="EN310" s="822"/>
      <c r="EO310" s="822"/>
      <c r="EP310" s="822"/>
      <c r="EQ310" s="822"/>
      <c r="ER310" s="822"/>
    </row>
    <row r="311" spans="3:148" ht="17.100000000000001" customHeight="1" thickTop="1" x14ac:dyDescent="0.3">
      <c r="C311" s="1436"/>
      <c r="E311" s="762"/>
      <c r="F311" s="1059"/>
      <c r="G311" s="1059"/>
      <c r="H311" s="1059"/>
      <c r="I311" s="1059"/>
      <c r="J311" s="1059"/>
      <c r="K311" s="1059"/>
      <c r="L311" s="1059"/>
      <c r="M311" s="1059"/>
      <c r="N311" s="1059"/>
      <c r="O311" s="1059"/>
      <c r="P311" s="1059"/>
      <c r="Q311" s="1059"/>
      <c r="R311" s="1059"/>
      <c r="S311" s="1059"/>
      <c r="T311" s="1059"/>
      <c r="U311" s="1059"/>
      <c r="V311" s="1059"/>
      <c r="W311" s="1059"/>
      <c r="X311" s="1059"/>
      <c r="Y311" s="1059"/>
      <c r="Z311" s="1059"/>
      <c r="AA311" s="1059"/>
      <c r="AB311" s="1059"/>
      <c r="AC311" s="1059"/>
      <c r="AD311" s="1059"/>
      <c r="AE311" s="1059"/>
      <c r="AF311" s="1059"/>
      <c r="AG311" s="1059"/>
      <c r="AH311" s="1059"/>
      <c r="AI311" s="1059"/>
      <c r="AJ311" s="1059"/>
      <c r="AK311" s="1059"/>
      <c r="AL311" s="1059"/>
      <c r="AM311" s="2285">
        <f>AN318</f>
        <v>0</v>
      </c>
      <c r="AN311" s="2278" t="s">
        <v>940</v>
      </c>
      <c r="AO311" s="1278"/>
      <c r="AP311" s="1059"/>
      <c r="AQ311" s="1059"/>
      <c r="AR311" s="1059"/>
      <c r="AS311" s="1059"/>
      <c r="AT311" s="1059"/>
      <c r="AU311" s="1059"/>
      <c r="AV311" s="1059"/>
      <c r="AW311" s="1059"/>
      <c r="AX311" s="1059"/>
      <c r="AY311" s="1059"/>
      <c r="AZ311" s="1059"/>
      <c r="BA311" s="1059"/>
      <c r="BB311" s="1059"/>
      <c r="BC311" s="1059"/>
      <c r="BD311" s="1059"/>
      <c r="BE311" s="1059"/>
      <c r="BF311" s="1059"/>
      <c r="BG311" s="1059"/>
      <c r="BH311" s="1059"/>
      <c r="BI311" s="1059"/>
      <c r="BJ311" s="1059"/>
      <c r="BK311" s="1059"/>
      <c r="BL311" s="1059"/>
      <c r="BM311" s="1059"/>
      <c r="BN311" s="1059"/>
      <c r="BO311" s="1059"/>
      <c r="BP311" s="1059"/>
      <c r="BQ311" s="1059"/>
      <c r="BR311" s="1059"/>
      <c r="BS311" s="1059"/>
      <c r="BT311" s="1059"/>
      <c r="BU311" s="1059"/>
      <c r="BV311" s="1059"/>
      <c r="BW311" s="764"/>
      <c r="BX311" s="822"/>
      <c r="BY311" s="822"/>
      <c r="BZ311" s="822"/>
      <c r="CA311" s="822"/>
      <c r="CB311" s="822"/>
      <c r="CC311" s="822"/>
      <c r="CD311" s="822"/>
      <c r="CE311" s="822"/>
      <c r="CF311" s="822"/>
      <c r="CG311" s="822"/>
      <c r="CH311" s="822"/>
      <c r="CI311" s="822"/>
      <c r="CQ311" s="822"/>
      <c r="CR311" s="822"/>
      <c r="CS311" s="822"/>
      <c r="CT311" s="822"/>
      <c r="CU311" s="822"/>
      <c r="CV311" s="822"/>
      <c r="CW311" s="822"/>
      <c r="CX311" s="822"/>
      <c r="CY311" s="822"/>
      <c r="CZ311" s="822"/>
      <c r="DA311" s="822"/>
      <c r="DB311" s="822"/>
      <c r="DC311" s="822"/>
      <c r="DD311" s="822"/>
      <c r="DE311" s="822"/>
      <c r="DF311" s="822"/>
      <c r="DG311" s="822"/>
      <c r="DH311" s="822"/>
      <c r="DI311" s="822"/>
      <c r="DJ311" s="822"/>
      <c r="DK311" s="822"/>
      <c r="DL311" s="822"/>
      <c r="DM311" s="822"/>
      <c r="DN311" s="822"/>
      <c r="DO311" s="822"/>
      <c r="DP311" s="822"/>
      <c r="DQ311" s="822"/>
      <c r="DR311" s="822"/>
      <c r="DZ311" s="822"/>
      <c r="EA311" s="822"/>
      <c r="EB311" s="822"/>
      <c r="EC311" s="822"/>
      <c r="ED311" s="822"/>
      <c r="EE311" s="822"/>
      <c r="EF311" s="822"/>
      <c r="EG311" s="822"/>
      <c r="EH311" s="822"/>
      <c r="EI311" s="822"/>
      <c r="EJ311" s="822"/>
      <c r="EK311" s="822"/>
      <c r="EL311" s="822"/>
      <c r="EM311" s="822"/>
      <c r="EN311" s="822"/>
      <c r="EO311" s="822"/>
      <c r="EP311" s="822"/>
      <c r="EQ311" s="822"/>
      <c r="ER311" s="822"/>
    </row>
    <row r="312" spans="3:148" ht="17.100000000000001" customHeight="1" thickBot="1" x14ac:dyDescent="0.35">
      <c r="C312" s="1436"/>
      <c r="E312" s="762"/>
      <c r="F312" s="1059"/>
      <c r="G312" s="1059"/>
      <c r="H312" s="1059"/>
      <c r="I312" s="1059"/>
      <c r="J312" s="1059"/>
      <c r="K312" s="1059"/>
      <c r="L312" s="1059"/>
      <c r="M312" s="1059"/>
      <c r="N312" s="1059"/>
      <c r="O312" s="1059"/>
      <c r="P312" s="1059"/>
      <c r="Q312" s="1059"/>
      <c r="R312" s="1059"/>
      <c r="S312" s="1059"/>
      <c r="T312" s="1059"/>
      <c r="U312" s="1059"/>
      <c r="V312" s="1059"/>
      <c r="W312" s="1059"/>
      <c r="X312" s="1059"/>
      <c r="Y312" s="1059"/>
      <c r="Z312" s="1059"/>
      <c r="AA312" s="1059"/>
      <c r="AB312" s="1059"/>
      <c r="AC312" s="1059"/>
      <c r="AD312" s="1059"/>
      <c r="AE312" s="1059"/>
      <c r="AF312" s="1059"/>
      <c r="AG312" s="1059"/>
      <c r="AH312" s="1059"/>
      <c r="AI312" s="1059"/>
      <c r="AJ312" s="1059"/>
      <c r="AK312" s="1059"/>
      <c r="AL312" s="1059"/>
      <c r="AM312" s="2285">
        <f>AN318</f>
        <v>0</v>
      </c>
      <c r="AN312" s="2279" t="s">
        <v>710</v>
      </c>
      <c r="AO312" s="1278"/>
      <c r="AP312" s="1059"/>
      <c r="AQ312" s="1059"/>
      <c r="AR312" s="1059"/>
      <c r="AS312" s="1059"/>
      <c r="AT312" s="1059"/>
      <c r="AU312" s="1059"/>
      <c r="AV312" s="1059"/>
      <c r="AW312" s="1059"/>
      <c r="AX312" s="1059"/>
      <c r="AY312" s="1059"/>
      <c r="AZ312" s="1059"/>
      <c r="BA312" s="1059"/>
      <c r="BB312" s="1059"/>
      <c r="BC312" s="1059"/>
      <c r="BD312" s="1059"/>
      <c r="BE312" s="1059"/>
      <c r="BF312" s="1059"/>
      <c r="BG312" s="1059"/>
      <c r="BH312" s="1059"/>
      <c r="BI312" s="1059"/>
      <c r="BJ312" s="1059"/>
      <c r="BK312" s="1059"/>
      <c r="BL312" s="1059"/>
      <c r="BM312" s="1059"/>
      <c r="BN312" s="1059"/>
      <c r="BO312" s="1059"/>
      <c r="BP312" s="1059"/>
      <c r="BQ312" s="1059"/>
      <c r="BR312" s="1059"/>
      <c r="BS312" s="1059"/>
      <c r="BT312" s="1059"/>
      <c r="BU312" s="1059"/>
      <c r="BV312" s="1059"/>
      <c r="BW312" s="764"/>
      <c r="BX312" s="822"/>
      <c r="BY312" s="822"/>
      <c r="BZ312" s="822"/>
      <c r="CA312" s="822"/>
      <c r="CB312" s="822"/>
      <c r="CC312" s="822"/>
      <c r="CD312" s="822"/>
      <c r="CE312" s="822"/>
      <c r="CF312" s="822"/>
      <c r="CG312" s="822"/>
      <c r="CH312" s="822"/>
      <c r="CI312" s="822"/>
      <c r="CJ312" s="822"/>
      <c r="CK312" s="822"/>
      <c r="CL312" s="822"/>
      <c r="CM312" s="822"/>
      <c r="CN312" s="822"/>
      <c r="CO312" s="822"/>
      <c r="CP312" s="822"/>
      <c r="CQ312" s="822"/>
      <c r="CR312" s="822"/>
      <c r="CS312" s="822"/>
      <c r="CT312" s="822"/>
      <c r="CU312" s="822"/>
      <c r="CV312" s="822"/>
      <c r="CW312" s="822"/>
      <c r="CX312" s="822"/>
      <c r="CY312" s="822"/>
      <c r="CZ312" s="822"/>
      <c r="DA312" s="822"/>
      <c r="DB312" s="822"/>
      <c r="DC312" s="822"/>
      <c r="DD312" s="822"/>
      <c r="DE312" s="822"/>
      <c r="DF312" s="822"/>
      <c r="DG312" s="822"/>
      <c r="DH312" s="822"/>
      <c r="DI312" s="822"/>
      <c r="DJ312" s="822"/>
      <c r="DK312" s="822"/>
      <c r="DL312" s="822"/>
      <c r="DM312" s="822"/>
      <c r="DN312" s="822"/>
      <c r="DO312" s="822"/>
      <c r="DP312" s="822"/>
      <c r="DQ312" s="822"/>
      <c r="DR312" s="822"/>
      <c r="DS312" s="822"/>
      <c r="DT312" s="822"/>
      <c r="DU312" s="822"/>
      <c r="DV312" s="822"/>
      <c r="DW312" s="822"/>
      <c r="DX312" s="822"/>
      <c r="DY312" s="822"/>
      <c r="DZ312" s="822"/>
      <c r="EA312" s="822"/>
      <c r="EB312" s="822"/>
      <c r="EC312" s="822"/>
      <c r="ED312" s="822"/>
      <c r="EE312" s="822"/>
      <c r="EF312" s="822"/>
      <c r="EG312" s="822"/>
      <c r="EH312" s="822"/>
      <c r="EI312" s="822"/>
      <c r="EJ312" s="822"/>
      <c r="EK312" s="822"/>
      <c r="EL312" s="822"/>
      <c r="EM312" s="822"/>
      <c r="EN312" s="822"/>
      <c r="EO312" s="822"/>
      <c r="EP312" s="822"/>
      <c r="EQ312" s="822"/>
      <c r="ER312" s="822"/>
    </row>
    <row r="313" spans="3:148" ht="17.100000000000001" customHeight="1" thickTop="1" x14ac:dyDescent="0.3">
      <c r="E313" s="762"/>
      <c r="F313" s="1059"/>
      <c r="G313" s="1059"/>
      <c r="H313" s="1059"/>
      <c r="I313" s="4756" t="s">
        <v>72</v>
      </c>
      <c r="J313" s="4757"/>
      <c r="K313" s="4757"/>
      <c r="L313" s="4764" t="s">
        <v>144</v>
      </c>
      <c r="M313" s="4764"/>
      <c r="N313" s="4757" t="s">
        <v>72</v>
      </c>
      <c r="O313" s="4757"/>
      <c r="P313" s="4762"/>
      <c r="Q313" s="1059"/>
      <c r="R313" s="1059"/>
      <c r="S313" s="4756" t="s">
        <v>72</v>
      </c>
      <c r="T313" s="4757"/>
      <c r="U313" s="4757"/>
      <c r="V313" s="4779" t="s">
        <v>144</v>
      </c>
      <c r="W313" s="4779"/>
      <c r="X313" s="4757" t="s">
        <v>72</v>
      </c>
      <c r="Y313" s="4757"/>
      <c r="Z313" s="4762"/>
      <c r="AA313" s="1059"/>
      <c r="AB313" s="1059"/>
      <c r="AC313" s="4756" t="s">
        <v>72</v>
      </c>
      <c r="AD313" s="4757"/>
      <c r="AE313" s="4757"/>
      <c r="AF313" s="4781" t="s">
        <v>144</v>
      </c>
      <c r="AG313" s="4781"/>
      <c r="AH313" s="4757" t="s">
        <v>72</v>
      </c>
      <c r="AI313" s="4757"/>
      <c r="AJ313" s="4762"/>
      <c r="AK313" s="1059"/>
      <c r="AL313" s="1059"/>
      <c r="AM313" s="2285">
        <f>AN318</f>
        <v>0</v>
      </c>
      <c r="AN313" s="2280" t="s">
        <v>941</v>
      </c>
      <c r="AO313" s="1278"/>
      <c r="AP313" s="1059"/>
      <c r="AQ313" s="1059"/>
      <c r="AR313" s="4756" t="s">
        <v>72</v>
      </c>
      <c r="AS313" s="4757"/>
      <c r="AT313" s="4757"/>
      <c r="AU313" s="4781" t="s">
        <v>940</v>
      </c>
      <c r="AV313" s="4781"/>
      <c r="AW313" s="4757" t="s">
        <v>72</v>
      </c>
      <c r="AX313" s="4757"/>
      <c r="AY313" s="4762"/>
      <c r="AZ313" s="1059"/>
      <c r="BA313" s="1059"/>
      <c r="BB313" s="4756" t="s">
        <v>72</v>
      </c>
      <c r="BC313" s="4757"/>
      <c r="BD313" s="4757"/>
      <c r="BE313" s="4779" t="s">
        <v>940</v>
      </c>
      <c r="BF313" s="4779"/>
      <c r="BG313" s="4757" t="s">
        <v>72</v>
      </c>
      <c r="BH313" s="4757"/>
      <c r="BI313" s="4762"/>
      <c r="BJ313" s="1059"/>
      <c r="BK313" s="1059"/>
      <c r="BL313" s="4756" t="s">
        <v>72</v>
      </c>
      <c r="BM313" s="4757"/>
      <c r="BN313" s="4757"/>
      <c r="BO313" s="4764" t="s">
        <v>940</v>
      </c>
      <c r="BP313" s="4764"/>
      <c r="BQ313" s="4757" t="s">
        <v>72</v>
      </c>
      <c r="BR313" s="4757"/>
      <c r="BS313" s="4762"/>
      <c r="BT313" s="1059"/>
      <c r="BU313" s="1059"/>
      <c r="BV313" s="1059"/>
      <c r="BW313" s="764"/>
      <c r="BX313" s="822"/>
      <c r="BY313" s="822"/>
      <c r="BZ313" s="822"/>
      <c r="CA313" s="822"/>
      <c r="CB313" s="822"/>
      <c r="CC313" s="822"/>
      <c r="CD313" s="822"/>
      <c r="CE313" s="822"/>
      <c r="CF313" s="822"/>
      <c r="CG313" s="822"/>
      <c r="CH313" s="822"/>
      <c r="CI313" s="822"/>
      <c r="CJ313" s="822"/>
      <c r="CK313" s="822"/>
      <c r="CL313" s="822"/>
      <c r="CM313" s="822"/>
      <c r="CN313" s="822"/>
      <c r="CO313" s="822"/>
      <c r="CP313" s="822"/>
      <c r="CQ313" s="822"/>
      <c r="CR313" s="822"/>
      <c r="CS313" s="822"/>
      <c r="CT313" s="822"/>
      <c r="CU313" s="822"/>
      <c r="CV313" s="822"/>
      <c r="CW313" s="822"/>
      <c r="CX313" s="822"/>
      <c r="CY313" s="822"/>
      <c r="CZ313" s="822"/>
      <c r="DA313" s="822"/>
      <c r="DB313" s="822"/>
      <c r="DC313" s="822"/>
      <c r="DD313" s="822"/>
      <c r="DE313" s="822"/>
      <c r="DF313" s="822"/>
      <c r="DG313" s="822"/>
      <c r="DH313" s="822"/>
      <c r="DI313" s="822"/>
      <c r="DJ313" s="822"/>
      <c r="DK313" s="822"/>
      <c r="DL313" s="822"/>
      <c r="DM313" s="822"/>
      <c r="DN313" s="822"/>
      <c r="DO313" s="822"/>
      <c r="DP313" s="822"/>
      <c r="DQ313" s="822"/>
      <c r="DR313" s="822"/>
      <c r="DS313" s="822"/>
      <c r="DT313" s="822"/>
      <c r="DU313" s="822"/>
      <c r="DV313" s="822"/>
      <c r="DW313" s="822"/>
      <c r="DX313" s="822"/>
      <c r="DY313" s="822"/>
      <c r="DZ313" s="822"/>
      <c r="EA313" s="822"/>
      <c r="EB313" s="822"/>
      <c r="EC313" s="822"/>
      <c r="ED313" s="822"/>
      <c r="EE313" s="822"/>
      <c r="EF313" s="822"/>
      <c r="EG313" s="822"/>
      <c r="EH313" s="822"/>
      <c r="EI313" s="822"/>
      <c r="EJ313" s="822"/>
      <c r="EK313" s="822"/>
      <c r="EL313" s="822"/>
      <c r="EM313" s="822"/>
      <c r="EN313" s="822"/>
      <c r="EO313" s="822"/>
      <c r="EP313" s="822"/>
      <c r="EQ313" s="822"/>
      <c r="ER313" s="822"/>
    </row>
    <row r="314" spans="3:148" ht="17.100000000000001" customHeight="1" x14ac:dyDescent="0.3">
      <c r="E314" s="762"/>
      <c r="F314" s="1059"/>
      <c r="G314" s="1059"/>
      <c r="H314" s="1059"/>
      <c r="I314" s="4758"/>
      <c r="J314" s="4759"/>
      <c r="K314" s="4759"/>
      <c r="L314" s="4798"/>
      <c r="M314" s="4798"/>
      <c r="N314" s="4759"/>
      <c r="O314" s="4759"/>
      <c r="P314" s="4763"/>
      <c r="Q314" s="1059"/>
      <c r="R314" s="1059"/>
      <c r="S314" s="4758"/>
      <c r="T314" s="4759"/>
      <c r="U314" s="4759"/>
      <c r="V314" s="4796"/>
      <c r="W314" s="4796"/>
      <c r="X314" s="4759"/>
      <c r="Y314" s="4759"/>
      <c r="Z314" s="4763"/>
      <c r="AA314" s="1059"/>
      <c r="AB314" s="1059"/>
      <c r="AC314" s="4758"/>
      <c r="AD314" s="4759"/>
      <c r="AE314" s="4759"/>
      <c r="AF314" s="4797"/>
      <c r="AG314" s="4797"/>
      <c r="AH314" s="4759"/>
      <c r="AI314" s="4759"/>
      <c r="AJ314" s="4763"/>
      <c r="AK314" s="1059"/>
      <c r="AL314" s="1059"/>
      <c r="AM314" s="2285">
        <f>AN318</f>
        <v>0</v>
      </c>
      <c r="AN314" s="2281" t="s">
        <v>144</v>
      </c>
      <c r="AO314" s="1278"/>
      <c r="AP314" s="1059"/>
      <c r="AQ314" s="1059"/>
      <c r="AR314" s="4758"/>
      <c r="AS314" s="4759"/>
      <c r="AT314" s="4759"/>
      <c r="AU314" s="4797"/>
      <c r="AV314" s="4797"/>
      <c r="AW314" s="4759"/>
      <c r="AX314" s="4759"/>
      <c r="AY314" s="4763"/>
      <c r="AZ314" s="1059"/>
      <c r="BA314" s="1059"/>
      <c r="BB314" s="4758"/>
      <c r="BC314" s="4759"/>
      <c r="BD314" s="4759"/>
      <c r="BE314" s="4796"/>
      <c r="BF314" s="4796"/>
      <c r="BG314" s="4759"/>
      <c r="BH314" s="4759"/>
      <c r="BI314" s="4763"/>
      <c r="BJ314" s="1059"/>
      <c r="BK314" s="1059"/>
      <c r="BL314" s="4758"/>
      <c r="BM314" s="4759"/>
      <c r="BN314" s="4759"/>
      <c r="BO314" s="4798"/>
      <c r="BP314" s="4798"/>
      <c r="BQ314" s="4759"/>
      <c r="BR314" s="4759"/>
      <c r="BS314" s="4763"/>
      <c r="BT314" s="1059"/>
      <c r="BU314" s="1059"/>
      <c r="BV314" s="1059"/>
      <c r="BW314" s="764"/>
      <c r="BX314" s="822"/>
      <c r="BY314" s="822"/>
      <c r="BZ314" s="822"/>
      <c r="CA314" s="822"/>
      <c r="CB314" s="822"/>
      <c r="CC314" s="822"/>
      <c r="CD314" s="822"/>
      <c r="CE314" s="822"/>
      <c r="CF314" s="822"/>
      <c r="CG314" s="822"/>
      <c r="CH314" s="822"/>
      <c r="CI314" s="822"/>
      <c r="CJ314" s="822"/>
      <c r="CK314" s="822"/>
      <c r="CL314" s="822"/>
      <c r="CM314" s="822"/>
      <c r="CN314" s="822"/>
      <c r="CO314" s="822"/>
      <c r="CP314" s="822"/>
      <c r="CQ314" s="822"/>
      <c r="CR314" s="822"/>
      <c r="CS314" s="822"/>
      <c r="CT314" s="822"/>
      <c r="CU314" s="822"/>
      <c r="CV314" s="822"/>
      <c r="CW314" s="822"/>
      <c r="CX314" s="822"/>
      <c r="CY314" s="822"/>
      <c r="CZ314" s="822"/>
      <c r="DA314" s="822"/>
      <c r="DB314" s="822"/>
      <c r="DC314" s="822"/>
      <c r="DD314" s="822"/>
      <c r="DE314" s="822"/>
      <c r="DF314" s="822"/>
      <c r="DG314" s="822"/>
      <c r="DH314" s="822"/>
      <c r="DI314" s="822"/>
      <c r="DJ314" s="822"/>
      <c r="DK314" s="822"/>
      <c r="DL314" s="822"/>
      <c r="DM314" s="822"/>
      <c r="DN314" s="822"/>
      <c r="DO314" s="822"/>
      <c r="DP314" s="822"/>
      <c r="DQ314" s="822"/>
      <c r="DR314" s="822"/>
      <c r="DS314" s="822"/>
      <c r="DT314" s="822"/>
      <c r="DU314" s="822"/>
      <c r="DV314" s="822"/>
      <c r="DW314" s="822"/>
      <c r="DX314" s="822"/>
      <c r="DY314" s="822"/>
      <c r="DZ314" s="822"/>
      <c r="EA314" s="822"/>
      <c r="EB314" s="822"/>
      <c r="EC314" s="822"/>
      <c r="ED314" s="822"/>
      <c r="EE314" s="822"/>
      <c r="EF314" s="822"/>
      <c r="EG314" s="822"/>
      <c r="EH314" s="822"/>
      <c r="EI314" s="822"/>
      <c r="EJ314" s="822"/>
      <c r="EK314" s="822"/>
      <c r="EL314" s="822"/>
      <c r="EM314" s="822"/>
      <c r="EN314" s="822"/>
      <c r="EO314" s="822"/>
      <c r="EP314" s="822"/>
      <c r="EQ314" s="822"/>
      <c r="ER314" s="822"/>
    </row>
    <row r="315" spans="3:148" ht="17.100000000000001" customHeight="1" x14ac:dyDescent="0.3">
      <c r="E315" s="762"/>
      <c r="F315" s="1059"/>
      <c r="G315" s="1059"/>
      <c r="H315" s="1059"/>
      <c r="I315" s="4766"/>
      <c r="J315" s="4768"/>
      <c r="K315" s="4769"/>
      <c r="L315" s="4769"/>
      <c r="M315" s="4769"/>
      <c r="N315" s="4769"/>
      <c r="O315" s="4770"/>
      <c r="P315" s="4777"/>
      <c r="Q315" s="1059"/>
      <c r="R315" s="1059"/>
      <c r="S315" s="4766"/>
      <c r="T315" s="4768"/>
      <c r="U315" s="4769"/>
      <c r="V315" s="4769"/>
      <c r="W315" s="4769"/>
      <c r="X315" s="4769"/>
      <c r="Y315" s="4770"/>
      <c r="Z315" s="4777"/>
      <c r="AA315" s="1059"/>
      <c r="AB315" s="1059"/>
      <c r="AC315" s="4766"/>
      <c r="AD315" s="4768"/>
      <c r="AE315" s="4769"/>
      <c r="AF315" s="4769"/>
      <c r="AG315" s="4769"/>
      <c r="AH315" s="4769"/>
      <c r="AI315" s="4770"/>
      <c r="AJ315" s="4777"/>
      <c r="AK315" s="1059"/>
      <c r="AL315" s="1059"/>
      <c r="AM315" s="2285">
        <f>AN318</f>
        <v>0</v>
      </c>
      <c r="AN315" s="2282" t="s">
        <v>939</v>
      </c>
      <c r="AO315" s="1278"/>
      <c r="AP315" s="1059"/>
      <c r="AQ315" s="1059"/>
      <c r="AR315" s="4766"/>
      <c r="AS315" s="4768"/>
      <c r="AT315" s="4769"/>
      <c r="AU315" s="4769"/>
      <c r="AV315" s="4769"/>
      <c r="AW315" s="4769"/>
      <c r="AX315" s="4770"/>
      <c r="AY315" s="4777"/>
      <c r="AZ315" s="1059"/>
      <c r="BA315" s="1059"/>
      <c r="BB315" s="4766"/>
      <c r="BC315" s="4768"/>
      <c r="BD315" s="4769"/>
      <c r="BE315" s="4769"/>
      <c r="BF315" s="4769"/>
      <c r="BG315" s="4769"/>
      <c r="BH315" s="4770"/>
      <c r="BI315" s="4777"/>
      <c r="BJ315" s="1059"/>
      <c r="BK315" s="1059"/>
      <c r="BL315" s="4766"/>
      <c r="BM315" s="4768"/>
      <c r="BN315" s="4769"/>
      <c r="BO315" s="4769"/>
      <c r="BP315" s="4769"/>
      <c r="BQ315" s="4769"/>
      <c r="BR315" s="4770"/>
      <c r="BS315" s="4777"/>
      <c r="BT315" s="1059"/>
      <c r="BU315" s="1059"/>
      <c r="BV315" s="1059"/>
      <c r="BW315" s="764"/>
      <c r="BX315" s="822"/>
      <c r="BY315" s="822"/>
      <c r="BZ315" s="822"/>
      <c r="CA315" s="822"/>
      <c r="CB315" s="822"/>
      <c r="CC315" s="822"/>
      <c r="CD315" s="822"/>
      <c r="CE315" s="822"/>
      <c r="CF315" s="822"/>
      <c r="CG315" s="822"/>
      <c r="CH315" s="822"/>
      <c r="CI315" s="822"/>
      <c r="CJ315" s="4826" t="str">
        <f>IF(J315=0,"",J315)</f>
        <v/>
      </c>
      <c r="CK315" s="4827"/>
      <c r="CL315" s="4827"/>
      <c r="CM315" s="4827"/>
      <c r="CN315" s="4827"/>
      <c r="CO315" s="4828"/>
      <c r="CP315" s="822"/>
      <c r="CQ315" s="822"/>
      <c r="CR315" s="822"/>
      <c r="CS315" s="822"/>
      <c r="CT315" s="4826" t="str">
        <f>IF(T315=0,"",T315)</f>
        <v/>
      </c>
      <c r="CU315" s="4827"/>
      <c r="CV315" s="4827"/>
      <c r="CW315" s="4827"/>
      <c r="CX315" s="4827"/>
      <c r="CY315" s="4828"/>
      <c r="CZ315" s="822"/>
      <c r="DA315" s="822"/>
      <c r="DB315" s="822"/>
      <c r="DC315" s="822"/>
      <c r="DD315" s="4826" t="str">
        <f>IF(AD315=0,"",AD315)</f>
        <v/>
      </c>
      <c r="DE315" s="4827"/>
      <c r="DF315" s="4827"/>
      <c r="DG315" s="4827"/>
      <c r="DH315" s="4827"/>
      <c r="DI315" s="4828"/>
      <c r="DJ315" s="822"/>
      <c r="DK315" s="822"/>
      <c r="DL315" s="822"/>
      <c r="DM315" s="822"/>
      <c r="DN315" s="822"/>
      <c r="DO315" s="822"/>
      <c r="DP315" s="822"/>
      <c r="DQ315" s="822"/>
      <c r="DR315" s="822"/>
      <c r="DS315" s="4826" t="str">
        <f>IF(AS315=0,"",AS315)</f>
        <v/>
      </c>
      <c r="DT315" s="4827"/>
      <c r="DU315" s="4827"/>
      <c r="DV315" s="4827"/>
      <c r="DW315" s="4827"/>
      <c r="DX315" s="4828"/>
      <c r="DY315" s="822"/>
      <c r="DZ315" s="822"/>
      <c r="EA315" s="822"/>
      <c r="EB315" s="822"/>
      <c r="EC315" s="4826" t="str">
        <f>IF(BC315=0,"",BC315)</f>
        <v/>
      </c>
      <c r="ED315" s="4827"/>
      <c r="EE315" s="4827"/>
      <c r="EF315" s="4827"/>
      <c r="EG315" s="4827"/>
      <c r="EH315" s="4828"/>
      <c r="EI315" s="822"/>
      <c r="EJ315" s="822"/>
      <c r="EK315" s="822"/>
      <c r="EL315" s="822"/>
      <c r="EM315" s="4826" t="str">
        <f>IF(BM315=0,"",BM315)</f>
        <v/>
      </c>
      <c r="EN315" s="4827"/>
      <c r="EO315" s="4827"/>
      <c r="EP315" s="4827"/>
      <c r="EQ315" s="4827"/>
      <c r="ER315" s="4828"/>
    </row>
    <row r="316" spans="3:148" ht="17.100000000000001" customHeight="1" x14ac:dyDescent="0.3">
      <c r="E316" s="762"/>
      <c r="F316" s="1059"/>
      <c r="G316" s="1059"/>
      <c r="H316" s="1059"/>
      <c r="I316" s="4766"/>
      <c r="J316" s="4771"/>
      <c r="K316" s="4772"/>
      <c r="L316" s="4772"/>
      <c r="M316" s="4772"/>
      <c r="N316" s="4772"/>
      <c r="O316" s="4773"/>
      <c r="P316" s="4777"/>
      <c r="Q316" s="1059"/>
      <c r="R316" s="1059"/>
      <c r="S316" s="4766"/>
      <c r="T316" s="4771"/>
      <c r="U316" s="4772"/>
      <c r="V316" s="4772"/>
      <c r="W316" s="4772"/>
      <c r="X316" s="4772"/>
      <c r="Y316" s="4773"/>
      <c r="Z316" s="4777"/>
      <c r="AA316" s="1059"/>
      <c r="AB316" s="1059"/>
      <c r="AC316" s="4766"/>
      <c r="AD316" s="4771"/>
      <c r="AE316" s="4772"/>
      <c r="AF316" s="4772"/>
      <c r="AG316" s="4772"/>
      <c r="AH316" s="4772"/>
      <c r="AI316" s="4773"/>
      <c r="AJ316" s="4777"/>
      <c r="AK316" s="1059"/>
      <c r="AL316" s="1059"/>
      <c r="AM316" s="2285">
        <f>AN318</f>
        <v>0</v>
      </c>
      <c r="AN316" s="2283" t="s">
        <v>942</v>
      </c>
      <c r="AO316" s="1278"/>
      <c r="AP316" s="1059"/>
      <c r="AQ316" s="1059"/>
      <c r="AR316" s="4766"/>
      <c r="AS316" s="4771"/>
      <c r="AT316" s="4772"/>
      <c r="AU316" s="4772"/>
      <c r="AV316" s="4772"/>
      <c r="AW316" s="4772"/>
      <c r="AX316" s="4773"/>
      <c r="AY316" s="4777"/>
      <c r="AZ316" s="1059"/>
      <c r="BA316" s="1059"/>
      <c r="BB316" s="4766"/>
      <c r="BC316" s="4771"/>
      <c r="BD316" s="4772"/>
      <c r="BE316" s="4772"/>
      <c r="BF316" s="4772"/>
      <c r="BG316" s="4772"/>
      <c r="BH316" s="4773"/>
      <c r="BI316" s="4777"/>
      <c r="BJ316" s="1059"/>
      <c r="BK316" s="1059"/>
      <c r="BL316" s="4766"/>
      <c r="BM316" s="4771"/>
      <c r="BN316" s="4772"/>
      <c r="BO316" s="4772"/>
      <c r="BP316" s="4772"/>
      <c r="BQ316" s="4772"/>
      <c r="BR316" s="4773"/>
      <c r="BS316" s="4777"/>
      <c r="BT316" s="1059"/>
      <c r="BU316" s="1059"/>
      <c r="BV316" s="1059"/>
      <c r="BW316" s="764"/>
      <c r="BX316" s="822"/>
      <c r="BY316" s="822"/>
      <c r="BZ316" s="822"/>
      <c r="CA316" s="822"/>
      <c r="CB316" s="822"/>
      <c r="CC316" s="822"/>
      <c r="CD316" s="822"/>
      <c r="CE316" s="822"/>
      <c r="CF316" s="822"/>
      <c r="CG316" s="822"/>
      <c r="CH316" s="822"/>
      <c r="CI316" s="822"/>
      <c r="CJ316" s="4829"/>
      <c r="CK316" s="4830"/>
      <c r="CL316" s="4830"/>
      <c r="CM316" s="4830"/>
      <c r="CN316" s="4830"/>
      <c r="CO316" s="4831"/>
      <c r="CP316" s="822"/>
      <c r="CQ316" s="822"/>
      <c r="CR316" s="822"/>
      <c r="CS316" s="822"/>
      <c r="CT316" s="4829"/>
      <c r="CU316" s="4830"/>
      <c r="CV316" s="4830"/>
      <c r="CW316" s="4830"/>
      <c r="CX316" s="4830"/>
      <c r="CY316" s="4831"/>
      <c r="CZ316" s="822"/>
      <c r="DA316" s="822"/>
      <c r="DB316" s="822"/>
      <c r="DC316" s="822"/>
      <c r="DD316" s="4829"/>
      <c r="DE316" s="4830"/>
      <c r="DF316" s="4830"/>
      <c r="DG316" s="4830"/>
      <c r="DH316" s="4830"/>
      <c r="DI316" s="4831"/>
      <c r="DJ316" s="822"/>
      <c r="DK316" s="822"/>
      <c r="DL316" s="822"/>
      <c r="DM316" s="822"/>
      <c r="DN316" s="822"/>
      <c r="DO316" s="822"/>
      <c r="DP316" s="822"/>
      <c r="DQ316" s="822"/>
      <c r="DR316" s="822"/>
      <c r="DS316" s="4829"/>
      <c r="DT316" s="4830"/>
      <c r="DU316" s="4830"/>
      <c r="DV316" s="4830"/>
      <c r="DW316" s="4830"/>
      <c r="DX316" s="4831"/>
      <c r="DY316" s="822"/>
      <c r="DZ316" s="822"/>
      <c r="EA316" s="822"/>
      <c r="EB316" s="822"/>
      <c r="EC316" s="4829"/>
      <c r="ED316" s="4830"/>
      <c r="EE316" s="4830"/>
      <c r="EF316" s="4830"/>
      <c r="EG316" s="4830"/>
      <c r="EH316" s="4831"/>
      <c r="EI316" s="822"/>
      <c r="EJ316" s="822"/>
      <c r="EK316" s="822"/>
      <c r="EL316" s="822"/>
      <c r="EM316" s="4829"/>
      <c r="EN316" s="4830"/>
      <c r="EO316" s="4830"/>
      <c r="EP316" s="4830"/>
      <c r="EQ316" s="4830"/>
      <c r="ER316" s="4831"/>
    </row>
    <row r="317" spans="3:148" ht="17.100000000000001" customHeight="1" x14ac:dyDescent="0.3">
      <c r="E317" s="762"/>
      <c r="F317" s="1059"/>
      <c r="G317" s="1059"/>
      <c r="H317" s="1059"/>
      <c r="I317" s="4766"/>
      <c r="J317" s="4774"/>
      <c r="K317" s="4775"/>
      <c r="L317" s="4775"/>
      <c r="M317" s="4775"/>
      <c r="N317" s="4775"/>
      <c r="O317" s="4776"/>
      <c r="P317" s="4777"/>
      <c r="Q317" s="1059"/>
      <c r="R317" s="1059"/>
      <c r="S317" s="4766"/>
      <c r="T317" s="4774"/>
      <c r="U317" s="4775"/>
      <c r="V317" s="4775"/>
      <c r="W317" s="4775"/>
      <c r="X317" s="4775"/>
      <c r="Y317" s="4776"/>
      <c r="Z317" s="4777"/>
      <c r="AA317" s="1059"/>
      <c r="AB317" s="1059"/>
      <c r="AC317" s="4766"/>
      <c r="AD317" s="4774"/>
      <c r="AE317" s="4775"/>
      <c r="AF317" s="4775"/>
      <c r="AG317" s="4775"/>
      <c r="AH317" s="4775"/>
      <c r="AI317" s="4776"/>
      <c r="AJ317" s="4777"/>
      <c r="AK317" s="1059"/>
      <c r="AL317" s="1059"/>
      <c r="AM317" s="2285">
        <f>AN318</f>
        <v>0</v>
      </c>
      <c r="AN317" s="2284" t="s">
        <v>940</v>
      </c>
      <c r="AO317" s="1278"/>
      <c r="AP317" s="1059"/>
      <c r="AQ317" s="1059"/>
      <c r="AR317" s="4766"/>
      <c r="AS317" s="4774"/>
      <c r="AT317" s="4775"/>
      <c r="AU317" s="4775"/>
      <c r="AV317" s="4775"/>
      <c r="AW317" s="4775"/>
      <c r="AX317" s="4776"/>
      <c r="AY317" s="4777"/>
      <c r="AZ317" s="1059"/>
      <c r="BA317" s="1059"/>
      <c r="BB317" s="4766"/>
      <c r="BC317" s="4774"/>
      <c r="BD317" s="4775"/>
      <c r="BE317" s="4775"/>
      <c r="BF317" s="4775"/>
      <c r="BG317" s="4775"/>
      <c r="BH317" s="4776"/>
      <c r="BI317" s="4777"/>
      <c r="BJ317" s="1059"/>
      <c r="BK317" s="1059"/>
      <c r="BL317" s="4766"/>
      <c r="BM317" s="4774"/>
      <c r="BN317" s="4775"/>
      <c r="BO317" s="4775"/>
      <c r="BP317" s="4775"/>
      <c r="BQ317" s="4775"/>
      <c r="BR317" s="4776"/>
      <c r="BS317" s="4777"/>
      <c r="BT317" s="1059"/>
      <c r="BU317" s="1059"/>
      <c r="BV317" s="1059"/>
      <c r="BW317" s="764"/>
      <c r="BX317" s="822"/>
      <c r="BY317" s="822"/>
      <c r="BZ317" s="822"/>
      <c r="CA317" s="822"/>
      <c r="CB317" s="822"/>
      <c r="CC317" s="822"/>
      <c r="CD317" s="822"/>
      <c r="CE317" s="822"/>
      <c r="CF317" s="822"/>
      <c r="CG317" s="822"/>
      <c r="CH317" s="822"/>
      <c r="CI317" s="822"/>
      <c r="CJ317" s="4832"/>
      <c r="CK317" s="4833"/>
      <c r="CL317" s="4833"/>
      <c r="CM317" s="4833"/>
      <c r="CN317" s="4833"/>
      <c r="CO317" s="4834"/>
      <c r="CP317" s="822"/>
      <c r="CQ317" s="822"/>
      <c r="CR317" s="822"/>
      <c r="CS317" s="822"/>
      <c r="CT317" s="4832"/>
      <c r="CU317" s="4833"/>
      <c r="CV317" s="4833"/>
      <c r="CW317" s="4833"/>
      <c r="CX317" s="4833"/>
      <c r="CY317" s="4834"/>
      <c r="CZ317" s="822"/>
      <c r="DA317" s="822"/>
      <c r="DB317" s="822"/>
      <c r="DC317" s="822"/>
      <c r="DD317" s="4832"/>
      <c r="DE317" s="4833"/>
      <c r="DF317" s="4833"/>
      <c r="DG317" s="4833"/>
      <c r="DH317" s="4833"/>
      <c r="DI317" s="4834"/>
      <c r="DJ317" s="822"/>
      <c r="DK317" s="822"/>
      <c r="DL317" s="822"/>
      <c r="DM317" s="822"/>
      <c r="DN317" s="822"/>
      <c r="DO317" s="822"/>
      <c r="DP317" s="822"/>
      <c r="DQ317" s="822"/>
      <c r="DR317" s="822"/>
      <c r="DS317" s="4832"/>
      <c r="DT317" s="4833"/>
      <c r="DU317" s="4833"/>
      <c r="DV317" s="4833"/>
      <c r="DW317" s="4833"/>
      <c r="DX317" s="4834"/>
      <c r="DY317" s="822"/>
      <c r="DZ317" s="822"/>
      <c r="EA317" s="822"/>
      <c r="EB317" s="822"/>
      <c r="EC317" s="4832"/>
      <c r="ED317" s="4833"/>
      <c r="EE317" s="4833"/>
      <c r="EF317" s="4833"/>
      <c r="EG317" s="4833"/>
      <c r="EH317" s="4834"/>
      <c r="EI317" s="822"/>
      <c r="EJ317" s="822"/>
      <c r="EK317" s="822"/>
      <c r="EL317" s="822"/>
      <c r="EM317" s="4832"/>
      <c r="EN317" s="4833"/>
      <c r="EO317" s="4833"/>
      <c r="EP317" s="4833"/>
      <c r="EQ317" s="4833"/>
      <c r="ER317" s="4834"/>
    </row>
    <row r="318" spans="3:148" ht="17.100000000000001" customHeight="1" thickBot="1" x14ac:dyDescent="0.35">
      <c r="E318" s="762"/>
      <c r="F318" s="1059"/>
      <c r="G318" s="1059"/>
      <c r="H318" s="1059"/>
      <c r="I318" s="4767"/>
      <c r="J318" s="4789" t="s">
        <v>505</v>
      </c>
      <c r="K318" s="4789"/>
      <c r="L318" s="4789"/>
      <c r="M318" s="4789"/>
      <c r="N318" s="4789"/>
      <c r="O318" s="4789"/>
      <c r="P318" s="4778"/>
      <c r="Q318" s="1059"/>
      <c r="R318" s="1059"/>
      <c r="S318" s="4767"/>
      <c r="T318" s="4789" t="s">
        <v>505</v>
      </c>
      <c r="U318" s="4789"/>
      <c r="V318" s="4789"/>
      <c r="W318" s="4789"/>
      <c r="X318" s="4789"/>
      <c r="Y318" s="4789"/>
      <c r="Z318" s="4778"/>
      <c r="AA318" s="1059"/>
      <c r="AB318" s="1059"/>
      <c r="AC318" s="4767"/>
      <c r="AD318" s="4789" t="s">
        <v>505</v>
      </c>
      <c r="AE318" s="4789"/>
      <c r="AF318" s="4789"/>
      <c r="AG318" s="4789"/>
      <c r="AH318" s="4789"/>
      <c r="AI318" s="4789"/>
      <c r="AJ318" s="4778"/>
      <c r="AK318" s="1059"/>
      <c r="AL318" s="1059"/>
      <c r="AM318" s="1277"/>
      <c r="AN318" s="1279">
        <f>IF(COUNTA(J299,T299,AD299,J307,T307,AD307,J315,T315,AD315,AS299,BC299,BM299,AS307,BC307,BM307,AS315,BC315,BM315)=18,1,0)</f>
        <v>0</v>
      </c>
      <c r="AO318" s="1279"/>
      <c r="AP318" s="1059"/>
      <c r="AQ318" s="1059"/>
      <c r="AR318" s="4767"/>
      <c r="AS318" s="4789" t="s">
        <v>505</v>
      </c>
      <c r="AT318" s="4789"/>
      <c r="AU318" s="4789"/>
      <c r="AV318" s="4789"/>
      <c r="AW318" s="4789"/>
      <c r="AX318" s="4789"/>
      <c r="AY318" s="4778"/>
      <c r="AZ318" s="1059"/>
      <c r="BA318" s="1059"/>
      <c r="BB318" s="4767"/>
      <c r="BC318" s="4789" t="s">
        <v>505</v>
      </c>
      <c r="BD318" s="4789"/>
      <c r="BE318" s="4789"/>
      <c r="BF318" s="4789"/>
      <c r="BG318" s="4789"/>
      <c r="BH318" s="4789"/>
      <c r="BI318" s="4778"/>
      <c r="BJ318" s="1059"/>
      <c r="BK318" s="1059"/>
      <c r="BL318" s="4767"/>
      <c r="BM318" s="4789" t="s">
        <v>505</v>
      </c>
      <c r="BN318" s="4789"/>
      <c r="BO318" s="4789"/>
      <c r="BP318" s="4789"/>
      <c r="BQ318" s="4789"/>
      <c r="BR318" s="4789"/>
      <c r="BS318" s="4778"/>
      <c r="BT318" s="1059"/>
      <c r="BU318" s="1059"/>
      <c r="BV318" s="1059"/>
      <c r="BW318" s="764"/>
      <c r="BX318" s="822"/>
      <c r="BY318" s="822"/>
      <c r="BZ318" s="822"/>
      <c r="CA318" s="822"/>
      <c r="CB318" s="822"/>
      <c r="CC318" s="822"/>
      <c r="CD318" s="822"/>
      <c r="CE318" s="822"/>
      <c r="CF318" s="822"/>
      <c r="CG318" s="822"/>
      <c r="CH318" s="822"/>
      <c r="CI318" s="822"/>
      <c r="CJ318" s="822"/>
      <c r="CK318" s="822"/>
      <c r="CL318" s="822"/>
      <c r="CM318" s="822"/>
      <c r="CN318" s="822"/>
      <c r="CO318" s="822"/>
      <c r="CP318" s="822"/>
      <c r="CQ318" s="822"/>
      <c r="CR318" s="822"/>
      <c r="CS318" s="822"/>
      <c r="CT318" s="822"/>
      <c r="CU318" s="822"/>
      <c r="CV318" s="822"/>
      <c r="CW318" s="822"/>
      <c r="CX318" s="822"/>
      <c r="CY318" s="822"/>
      <c r="CZ318" s="822"/>
      <c r="DA318" s="822"/>
      <c r="DB318" s="822"/>
      <c r="DC318" s="822"/>
      <c r="DD318" s="822"/>
      <c r="DE318" s="822"/>
      <c r="DF318" s="822"/>
      <c r="DG318" s="822"/>
      <c r="DH318" s="822"/>
      <c r="DI318" s="822"/>
      <c r="DJ318" s="822"/>
      <c r="DK318" s="822"/>
      <c r="DL318" s="822"/>
      <c r="DM318" s="822"/>
      <c r="DN318" s="822"/>
      <c r="DO318" s="822"/>
      <c r="DP318" s="822"/>
      <c r="DQ318" s="822"/>
      <c r="DR318" s="822"/>
      <c r="DS318" s="822"/>
      <c r="DT318" s="822"/>
      <c r="DU318" s="822"/>
      <c r="DV318" s="822"/>
      <c r="DW318" s="822"/>
      <c r="DX318" s="822"/>
      <c r="DY318" s="822"/>
    </row>
    <row r="319" spans="3:148" ht="17.100000000000001" customHeight="1" thickTop="1" x14ac:dyDescent="0.3">
      <c r="E319" s="762"/>
      <c r="F319" s="1170"/>
      <c r="G319" s="1059"/>
      <c r="H319" s="1059"/>
      <c r="I319" s="1059"/>
      <c r="J319" s="1059"/>
      <c r="K319" s="1059"/>
      <c r="L319" s="1059"/>
      <c r="M319" s="1059"/>
      <c r="N319" s="1059"/>
      <c r="O319" s="1059"/>
      <c r="P319" s="1059"/>
      <c r="Q319" s="1059"/>
      <c r="R319" s="1059"/>
      <c r="S319" s="1059"/>
      <c r="T319" s="1059"/>
      <c r="U319" s="1059"/>
      <c r="V319" s="1059"/>
      <c r="W319" s="1059"/>
      <c r="X319" s="1059"/>
      <c r="Y319" s="1059"/>
      <c r="Z319" s="1059"/>
      <c r="AA319" s="1059"/>
      <c r="AB319" s="1059"/>
      <c r="AC319" s="1059"/>
      <c r="AD319" s="1059"/>
      <c r="AE319" s="1059"/>
      <c r="AF319" s="1059"/>
      <c r="AG319" s="1059"/>
      <c r="AH319" s="1059"/>
      <c r="AI319" s="1059"/>
      <c r="AJ319" s="1059"/>
      <c r="AK319" s="1059"/>
      <c r="AL319" s="1059"/>
      <c r="AM319" s="1059"/>
      <c r="AN319" s="1059"/>
      <c r="AO319" s="1059"/>
      <c r="AP319" s="1264"/>
      <c r="AQ319" s="1059"/>
      <c r="AR319" s="1059"/>
      <c r="AS319" s="1059"/>
      <c r="AT319" s="1059"/>
      <c r="AU319" s="1059"/>
      <c r="AV319" s="1059"/>
      <c r="AW319" s="1059"/>
      <c r="AX319" s="1059"/>
      <c r="AY319" s="1059"/>
      <c r="AZ319" s="1059"/>
      <c r="BA319" s="1059"/>
      <c r="BB319" s="1059"/>
      <c r="BC319" s="1059"/>
      <c r="BD319" s="1059"/>
      <c r="BE319" s="1059"/>
      <c r="BF319" s="1059"/>
      <c r="BG319" s="1059"/>
      <c r="BH319" s="1059"/>
      <c r="BI319" s="1059"/>
      <c r="BJ319" s="1059"/>
      <c r="BK319" s="1059"/>
      <c r="BL319" s="1059"/>
      <c r="BM319" s="1059"/>
      <c r="BN319" s="1059"/>
      <c r="BO319" s="1059"/>
      <c r="BP319" s="1059"/>
      <c r="BQ319" s="1059"/>
      <c r="BR319" s="1059"/>
      <c r="BS319" s="1059"/>
      <c r="BT319" s="1059"/>
      <c r="BU319" s="1059"/>
      <c r="BV319" s="1169"/>
      <c r="BW319" s="764"/>
      <c r="BX319" s="822"/>
      <c r="BY319" s="822"/>
      <c r="BZ319" s="822"/>
      <c r="CA319" s="822"/>
      <c r="CB319" s="822"/>
      <c r="CC319" s="822"/>
      <c r="CD319" s="822"/>
      <c r="CE319" s="822"/>
      <c r="CF319" s="822"/>
      <c r="CG319" s="822"/>
      <c r="CH319" s="822"/>
      <c r="CI319" s="822"/>
    </row>
    <row r="320" spans="3:148" ht="17.100000000000001" customHeight="1" thickBot="1" x14ac:dyDescent="0.35">
      <c r="E320" s="783"/>
      <c r="F320" s="784"/>
      <c r="G320" s="1059"/>
      <c r="H320" s="1059"/>
      <c r="I320" s="1059"/>
      <c r="J320" s="1059"/>
      <c r="K320" s="1059"/>
      <c r="L320" s="1059"/>
      <c r="M320" s="1059"/>
      <c r="N320" s="1059"/>
      <c r="O320" s="1059"/>
      <c r="P320" s="1059"/>
      <c r="Q320" s="1059"/>
      <c r="R320" s="1059"/>
      <c r="S320" s="1059"/>
      <c r="T320" s="1059"/>
      <c r="U320" s="1059"/>
      <c r="V320" s="1059"/>
      <c r="W320" s="1059"/>
      <c r="X320" s="1059"/>
      <c r="Y320" s="1059"/>
      <c r="Z320" s="1059"/>
      <c r="AA320" s="1059"/>
      <c r="AB320" s="1059"/>
      <c r="AC320" s="1059"/>
      <c r="AD320" s="1059"/>
      <c r="AE320" s="1059"/>
      <c r="AF320" s="1059"/>
      <c r="AG320" s="1059"/>
      <c r="AH320" s="1059"/>
      <c r="AI320" s="1059"/>
      <c r="AJ320" s="1703"/>
      <c r="AK320" s="1703"/>
      <c r="AL320" s="1703"/>
      <c r="AM320" s="4808"/>
      <c r="AN320" s="4809"/>
      <c r="AO320" s="4810"/>
      <c r="AP320" s="1704"/>
      <c r="AQ320" s="1704"/>
      <c r="AR320" s="1704"/>
      <c r="AS320" s="1704"/>
      <c r="AT320" s="1704"/>
      <c r="AU320" s="1704"/>
      <c r="AV320" s="1704"/>
      <c r="AW320" s="1704"/>
      <c r="AX320" s="1704"/>
      <c r="AY320" s="1704"/>
      <c r="AZ320" s="1059"/>
      <c r="BA320" s="1059"/>
      <c r="BB320" s="1059"/>
      <c r="BC320" s="1059"/>
      <c r="BD320" s="1059"/>
      <c r="BE320" s="1059"/>
      <c r="BF320" s="1059"/>
      <c r="BG320" s="1059"/>
      <c r="BH320" s="1059"/>
      <c r="BI320" s="1059"/>
      <c r="BJ320" s="1059"/>
      <c r="BK320" s="1059"/>
      <c r="BL320" s="1059"/>
      <c r="BM320" s="1059"/>
      <c r="BN320" s="1059"/>
      <c r="BO320" s="1059"/>
      <c r="BP320" s="1059"/>
      <c r="BQ320" s="1059"/>
      <c r="BR320" s="1059"/>
      <c r="BS320" s="1059"/>
      <c r="BT320" s="1059"/>
      <c r="BU320" s="1059"/>
      <c r="BV320" s="784"/>
      <c r="BW320" s="785"/>
      <c r="BX320" s="822"/>
      <c r="BY320" s="822"/>
      <c r="BZ320" s="822"/>
      <c r="CA320" s="822"/>
      <c r="CB320" s="822"/>
      <c r="CC320" s="822"/>
      <c r="CD320" s="822"/>
      <c r="CE320" s="822"/>
      <c r="CF320" s="822"/>
      <c r="CG320" s="822"/>
      <c r="CH320" s="822"/>
      <c r="CI320" s="822"/>
      <c r="CJ320" s="822"/>
      <c r="CK320" s="822"/>
      <c r="CL320" s="822"/>
      <c r="CM320" s="822"/>
      <c r="CN320" s="822"/>
      <c r="CO320" s="822"/>
      <c r="CP320" s="822"/>
      <c r="CQ320" s="822"/>
      <c r="CR320" s="822"/>
      <c r="CS320" s="822"/>
      <c r="CT320" s="822"/>
      <c r="CU320" s="822"/>
      <c r="CV320" s="822"/>
      <c r="CW320" s="822"/>
      <c r="CX320" s="822"/>
      <c r="CY320" s="822"/>
      <c r="CZ320" s="822"/>
      <c r="DA320" s="822"/>
      <c r="DB320" s="822"/>
      <c r="DC320" s="822"/>
      <c r="DD320" s="822"/>
      <c r="DE320" s="822"/>
      <c r="DF320" s="822"/>
      <c r="DG320" s="822"/>
      <c r="DH320" s="822"/>
      <c r="DI320" s="822"/>
      <c r="DJ320" s="822"/>
      <c r="DK320" s="822"/>
      <c r="DL320" s="822"/>
      <c r="DM320" s="822"/>
      <c r="DN320" s="822"/>
    </row>
    <row r="321" spans="5:148" ht="17.100000000000001" customHeight="1" thickTop="1" x14ac:dyDescent="0.3">
      <c r="E321" s="1253"/>
      <c r="F321" s="1253"/>
      <c r="G321" s="762"/>
      <c r="H321" s="1059"/>
      <c r="I321" s="999"/>
      <c r="J321" s="787"/>
      <c r="K321" s="1059"/>
      <c r="L321" s="1059"/>
      <c r="M321" s="1059"/>
      <c r="N321" s="1059"/>
      <c r="O321" s="1059"/>
      <c r="P321" s="1059"/>
      <c r="Q321" s="1059"/>
      <c r="R321" s="1059"/>
      <c r="S321" s="1059"/>
      <c r="T321" s="1059"/>
      <c r="U321" s="1059"/>
      <c r="V321" s="1059"/>
      <c r="W321" s="1059"/>
      <c r="X321" s="1059"/>
      <c r="Y321" s="1059"/>
      <c r="Z321" s="1059"/>
      <c r="AA321" s="1059"/>
      <c r="AB321" s="1059"/>
      <c r="AC321" s="1059"/>
      <c r="AD321" s="1059"/>
      <c r="AE321" s="1059"/>
      <c r="AF321" s="1059"/>
      <c r="AG321" s="1059"/>
      <c r="AH321" s="1059"/>
      <c r="AI321" s="1059"/>
      <c r="AJ321" s="1705"/>
      <c r="AK321" s="1705"/>
      <c r="AL321" s="1705"/>
      <c r="AM321" s="1706"/>
      <c r="AN321" s="1707" t="str" cm="1">
        <f t="array" ref="AN321">_xlfn.IFS(AND(AN318=1,AM320=""),"ENTER SHEET INITIATION DATE ABOVE",AN318=1,"|",TRUE,"")</f>
        <v/>
      </c>
      <c r="AO321" s="1706"/>
      <c r="AP321" s="1059"/>
      <c r="AQ321" s="1059"/>
      <c r="AR321" s="1059"/>
      <c r="AS321" s="1059"/>
      <c r="AT321" s="1708"/>
      <c r="AU321" s="1059"/>
      <c r="AV321" s="1709"/>
      <c r="AW321" s="1059"/>
      <c r="AX321" s="1059"/>
      <c r="AY321" s="1059"/>
      <c r="AZ321" s="1059"/>
      <c r="BA321" s="1059"/>
      <c r="BB321" s="1059"/>
      <c r="BC321" s="1059"/>
      <c r="BD321" s="1059"/>
      <c r="BE321" s="1059"/>
      <c r="BF321" s="1059"/>
      <c r="BG321" s="1059"/>
      <c r="BH321" s="1059"/>
      <c r="BI321" s="1059"/>
      <c r="BJ321" s="1059"/>
      <c r="BK321" s="1059"/>
      <c r="BL321" s="1059"/>
      <c r="BM321" s="1059"/>
      <c r="BN321" s="1059"/>
      <c r="BO321" s="1059"/>
      <c r="BP321" s="1059"/>
      <c r="BQ321" s="1059"/>
      <c r="BR321" s="1059"/>
      <c r="BS321" s="1059"/>
      <c r="BT321" s="1059"/>
      <c r="BU321" s="764"/>
      <c r="BV321" s="1253"/>
      <c r="BW321" s="1253"/>
      <c r="BX321" s="822"/>
      <c r="BY321" s="822"/>
      <c r="BZ321" s="822"/>
      <c r="CA321" s="822"/>
      <c r="CB321" s="822"/>
      <c r="CC321" s="822"/>
      <c r="CD321" s="822"/>
      <c r="CE321" s="822"/>
      <c r="CF321" s="822"/>
      <c r="CG321" s="822"/>
      <c r="CH321" s="822"/>
      <c r="CI321" s="822"/>
      <c r="CJ321" s="822"/>
      <c r="CK321" s="822"/>
      <c r="CL321" s="822"/>
      <c r="CM321" s="822"/>
      <c r="CN321" s="822"/>
      <c r="CO321" s="822"/>
      <c r="CP321" s="822"/>
      <c r="CQ321" s="822"/>
      <c r="CR321" s="822"/>
      <c r="CS321" s="822"/>
      <c r="CT321" s="822"/>
      <c r="CU321" s="822"/>
      <c r="CV321" s="822"/>
      <c r="CW321" s="822"/>
      <c r="CX321" s="822"/>
      <c r="CY321" s="822"/>
      <c r="CZ321" s="822"/>
      <c r="DA321" s="822"/>
      <c r="DB321" s="822"/>
      <c r="DC321" s="822"/>
      <c r="DD321" s="822"/>
      <c r="DE321" s="822"/>
      <c r="DF321" s="822"/>
      <c r="DG321" s="822"/>
      <c r="DH321" s="822"/>
      <c r="DI321" s="822"/>
      <c r="DJ321" s="822"/>
      <c r="DK321" s="822"/>
      <c r="DL321" s="822"/>
      <c r="DM321" s="822"/>
      <c r="DN321" s="822"/>
    </row>
    <row r="322" spans="5:148" ht="17.100000000000001" customHeight="1" thickBot="1" x14ac:dyDescent="0.35">
      <c r="E322" s="1253"/>
      <c r="F322" s="1253"/>
      <c r="G322" s="783"/>
      <c r="H322" s="784"/>
      <c r="I322" s="784"/>
      <c r="J322" s="784"/>
      <c r="K322" s="784"/>
      <c r="L322" s="784"/>
      <c r="M322" s="784"/>
      <c r="N322" s="784"/>
      <c r="O322" s="784"/>
      <c r="P322" s="784"/>
      <c r="Q322" s="784"/>
      <c r="R322" s="784"/>
      <c r="S322" s="784"/>
      <c r="T322" s="784"/>
      <c r="U322" s="784"/>
      <c r="V322" s="784"/>
      <c r="W322" s="784"/>
      <c r="X322" s="784"/>
      <c r="Y322" s="784"/>
      <c r="Z322" s="784"/>
      <c r="AA322" s="1059"/>
      <c r="AB322" s="1059"/>
      <c r="AC322" s="1059"/>
      <c r="AD322" s="1059"/>
      <c r="AE322" s="1059"/>
      <c r="AF322" s="1059"/>
      <c r="AG322" s="1059"/>
      <c r="AH322" s="1059"/>
      <c r="AI322" s="1059"/>
      <c r="AJ322" s="1262"/>
      <c r="AK322" s="1262"/>
      <c r="AL322" s="1262"/>
      <c r="AM322" s="4808"/>
      <c r="AN322" s="4809"/>
      <c r="AO322" s="4810"/>
      <c r="AP322" s="1262"/>
      <c r="AQ322" s="1262"/>
      <c r="AR322" s="1262"/>
      <c r="AS322" s="1262"/>
      <c r="AT322" s="1263"/>
      <c r="AU322" s="1059"/>
      <c r="AV322" s="1059"/>
      <c r="AW322" s="1059"/>
      <c r="AX322" s="1059"/>
      <c r="AY322" s="1059"/>
      <c r="AZ322" s="1059"/>
      <c r="BA322" s="1059"/>
      <c r="BB322" s="784"/>
      <c r="BC322" s="784"/>
      <c r="BD322" s="784"/>
      <c r="BE322" s="784"/>
      <c r="BF322" s="784"/>
      <c r="BG322" s="784"/>
      <c r="BH322" s="784"/>
      <c r="BI322" s="784"/>
      <c r="BJ322" s="784"/>
      <c r="BK322" s="784"/>
      <c r="BL322" s="784"/>
      <c r="BM322" s="784"/>
      <c r="BN322" s="784"/>
      <c r="BO322" s="784"/>
      <c r="BP322" s="784"/>
      <c r="BQ322" s="784"/>
      <c r="BR322" s="784"/>
      <c r="BS322" s="784"/>
      <c r="BT322" s="784"/>
      <c r="BU322" s="785"/>
      <c r="BV322" s="1253"/>
      <c r="BW322" s="1253"/>
      <c r="BX322" s="822"/>
      <c r="BY322" s="822"/>
      <c r="BZ322" s="822"/>
      <c r="CA322" s="822"/>
      <c r="CB322" s="822"/>
      <c r="CC322" s="822"/>
      <c r="CD322" s="822"/>
      <c r="CE322" s="822"/>
      <c r="CF322" s="822"/>
      <c r="CG322" s="822"/>
      <c r="CH322" s="822"/>
      <c r="CI322" s="822"/>
      <c r="CJ322" s="822"/>
      <c r="CK322" s="822"/>
      <c r="CL322" s="822"/>
      <c r="CM322" s="822"/>
      <c r="CN322" s="822"/>
      <c r="CO322" s="822"/>
      <c r="CP322" s="822"/>
      <c r="CQ322" s="822"/>
      <c r="CR322" s="822"/>
      <c r="CS322" s="822"/>
      <c r="CT322" s="822"/>
      <c r="CU322" s="822"/>
      <c r="CV322" s="822"/>
      <c r="CW322" s="822"/>
      <c r="CX322" s="822"/>
      <c r="CY322" s="822"/>
      <c r="CZ322" s="822"/>
      <c r="DA322" s="822"/>
      <c r="DB322" s="822"/>
      <c r="DC322" s="822"/>
      <c r="DD322" s="822"/>
      <c r="DE322" s="822"/>
      <c r="DF322" s="822"/>
      <c r="DG322" s="822"/>
      <c r="DH322" s="822"/>
      <c r="DI322" s="822"/>
      <c r="DJ322" s="822"/>
      <c r="DK322" s="822"/>
      <c r="DL322" s="822"/>
      <c r="DM322" s="822"/>
      <c r="DN322" s="822"/>
    </row>
    <row r="323" spans="5:148" ht="17.100000000000001" customHeight="1" thickTop="1" x14ac:dyDescent="0.3">
      <c r="E323" s="1253"/>
      <c r="F323" s="1253"/>
      <c r="G323" s="1253"/>
      <c r="H323" s="1253"/>
      <c r="I323" s="1253"/>
      <c r="J323" s="1253"/>
      <c r="K323" s="1253"/>
      <c r="L323" s="1253"/>
      <c r="M323" s="1253"/>
      <c r="N323" s="1253"/>
      <c r="O323" s="1253"/>
      <c r="P323" s="1253"/>
      <c r="Q323" s="1253"/>
      <c r="R323" s="1253"/>
      <c r="S323" s="1253"/>
      <c r="T323" s="1253"/>
      <c r="U323" s="1253"/>
      <c r="V323" s="1253"/>
      <c r="W323" s="1253"/>
      <c r="X323" s="1253"/>
      <c r="Y323" s="1253"/>
      <c r="Z323" s="1253"/>
      <c r="AA323" s="762"/>
      <c r="AB323" s="1170"/>
      <c r="AC323" s="1059"/>
      <c r="AD323" s="1059"/>
      <c r="AE323" s="1059"/>
      <c r="AF323" s="1059"/>
      <c r="AG323" s="1059"/>
      <c r="AH323" s="1059"/>
      <c r="AI323" s="1059"/>
      <c r="AJ323" s="1059"/>
      <c r="AK323" s="1059"/>
      <c r="AL323" s="1059"/>
      <c r="AM323" s="1059"/>
      <c r="AN323" s="1701" t="str">
        <f>IF(AND(AN318=1,AM322=""),"ENTER SHEET COMPLETION DATE ABOVE","")</f>
        <v/>
      </c>
      <c r="AO323" s="1059"/>
      <c r="AP323" s="1059"/>
      <c r="AQ323" s="1059"/>
      <c r="AR323" s="1059"/>
      <c r="AS323" s="1059"/>
      <c r="AT323" s="1059"/>
      <c r="AU323" s="1059"/>
      <c r="AV323" s="1059"/>
      <c r="AW323" s="1059"/>
      <c r="AX323" s="1059"/>
      <c r="AY323" s="1059"/>
      <c r="AZ323" s="1169"/>
      <c r="BA323" s="764"/>
      <c r="BB323" s="1253"/>
      <c r="BC323" s="1253"/>
      <c r="BD323" s="1253"/>
      <c r="BE323" s="1253"/>
      <c r="BF323" s="1253"/>
      <c r="BG323" s="1253"/>
      <c r="BH323" s="1253"/>
      <c r="BI323" s="1253"/>
      <c r="BJ323" s="1253"/>
      <c r="BK323" s="1253"/>
      <c r="BL323" s="1253"/>
      <c r="BM323" s="1253"/>
      <c r="BN323" s="1253"/>
      <c r="BO323" s="1253"/>
      <c r="BP323" s="1253"/>
      <c r="BQ323" s="1253"/>
      <c r="BR323" s="1253"/>
      <c r="BS323" s="1253"/>
      <c r="BT323" s="1253"/>
      <c r="BU323" s="1253"/>
      <c r="BV323" s="1253"/>
      <c r="BW323" s="1253"/>
      <c r="BX323" s="822"/>
      <c r="BY323" s="822"/>
      <c r="BZ323" s="822"/>
      <c r="CA323" s="822"/>
      <c r="CB323" s="822"/>
      <c r="CC323" s="822"/>
      <c r="CD323" s="822"/>
      <c r="CE323" s="822"/>
      <c r="CF323" s="822"/>
      <c r="CG323" s="822"/>
      <c r="CH323" s="822"/>
      <c r="CI323" s="822"/>
      <c r="CJ323" s="822"/>
      <c r="CK323" s="822"/>
      <c r="CL323" s="822"/>
      <c r="CM323" s="822"/>
      <c r="CN323" s="822"/>
      <c r="CO323" s="822"/>
      <c r="CP323" s="822"/>
      <c r="CQ323" s="822"/>
      <c r="CR323" s="822"/>
      <c r="CS323" s="822"/>
      <c r="CT323" s="822"/>
      <c r="CU323" s="822"/>
      <c r="CV323" s="822"/>
      <c r="CW323" s="822"/>
      <c r="CX323" s="822"/>
      <c r="CY323" s="822"/>
      <c r="CZ323" s="822"/>
      <c r="DA323" s="822"/>
      <c r="DB323" s="822"/>
      <c r="DC323" s="822"/>
      <c r="DD323" s="822"/>
      <c r="DE323" s="822"/>
      <c r="DF323" s="822"/>
      <c r="DG323" s="822"/>
      <c r="DH323" s="822"/>
      <c r="DI323" s="822"/>
      <c r="DJ323" s="822"/>
      <c r="DK323" s="822"/>
      <c r="DL323" s="822"/>
      <c r="DM323" s="822"/>
      <c r="DN323" s="822"/>
    </row>
    <row r="324" spans="5:148" ht="17.100000000000001" customHeight="1" thickBot="1" x14ac:dyDescent="0.35">
      <c r="E324" s="1253"/>
      <c r="F324" s="1253"/>
      <c r="G324" s="1253"/>
      <c r="H324" s="1253"/>
      <c r="I324" s="1253"/>
      <c r="J324" s="1253"/>
      <c r="K324" s="1253"/>
      <c r="L324" s="1253"/>
      <c r="M324" s="1253"/>
      <c r="N324" s="1253"/>
      <c r="O324" s="1253"/>
      <c r="P324" s="1253"/>
      <c r="Q324" s="1253"/>
      <c r="R324" s="1253"/>
      <c r="S324" s="1253"/>
      <c r="T324" s="1253"/>
      <c r="U324" s="1253"/>
      <c r="V324" s="1253"/>
      <c r="W324" s="1253"/>
      <c r="X324" s="1253"/>
      <c r="Y324" s="1253"/>
      <c r="Z324" s="1253"/>
      <c r="AA324" s="783"/>
      <c r="AB324" s="784"/>
      <c r="AC324" s="784"/>
      <c r="AD324" s="784"/>
      <c r="AE324" s="784"/>
      <c r="AF324" s="784"/>
      <c r="AG324" s="784"/>
      <c r="AH324" s="784"/>
      <c r="AI324" s="784"/>
      <c r="AJ324" s="784"/>
      <c r="AK324" s="784"/>
      <c r="AL324" s="784"/>
      <c r="AM324" s="784"/>
      <c r="AN324" s="784"/>
      <c r="AO324" s="784"/>
      <c r="AP324" s="784"/>
      <c r="AQ324" s="784"/>
      <c r="AR324" s="784"/>
      <c r="AS324" s="784"/>
      <c r="AT324" s="784"/>
      <c r="AU324" s="784"/>
      <c r="AV324" s="784"/>
      <c r="AW324" s="784"/>
      <c r="AX324" s="784"/>
      <c r="AY324" s="784"/>
      <c r="AZ324" s="784"/>
      <c r="BA324" s="785"/>
      <c r="BB324" s="1253"/>
      <c r="BC324" s="1253"/>
      <c r="BD324" s="1253"/>
      <c r="BE324" s="1253"/>
      <c r="BF324" s="1253"/>
      <c r="BG324" s="1253"/>
      <c r="BH324" s="1253"/>
      <c r="BI324" s="1253"/>
      <c r="BJ324" s="1253"/>
      <c r="BK324" s="1253"/>
      <c r="BL324" s="1253"/>
      <c r="BM324" s="1253"/>
      <c r="BN324" s="1253"/>
      <c r="BO324" s="1253"/>
      <c r="BP324" s="1253"/>
      <c r="BQ324" s="1253"/>
      <c r="BR324" s="1253"/>
      <c r="BS324" s="1253"/>
      <c r="BT324" s="1253"/>
      <c r="BU324" s="1253"/>
      <c r="BV324" s="1253"/>
      <c r="BW324" s="1253"/>
      <c r="BX324" s="822"/>
      <c r="BY324" s="822"/>
      <c r="BZ324" s="822"/>
      <c r="CA324" s="822"/>
      <c r="CB324" s="822"/>
      <c r="CC324" s="822"/>
      <c r="CD324" s="822"/>
      <c r="CE324" s="822"/>
      <c r="CF324" s="822"/>
      <c r="CG324" s="822"/>
      <c r="CH324" s="822"/>
      <c r="CI324" s="822"/>
      <c r="CJ324" s="822"/>
      <c r="CK324" s="822"/>
      <c r="CL324" s="822"/>
      <c r="CM324" s="822"/>
      <c r="CN324" s="822"/>
      <c r="CO324" s="822"/>
      <c r="CP324" s="822"/>
      <c r="CQ324" s="822"/>
      <c r="CR324" s="822"/>
      <c r="CS324" s="822"/>
      <c r="CT324" s="822"/>
      <c r="CU324" s="822"/>
      <c r="CV324" s="822"/>
      <c r="CW324" s="822"/>
      <c r="CX324" s="822"/>
      <c r="CY324" s="822"/>
      <c r="CZ324" s="822"/>
      <c r="DA324" s="822"/>
      <c r="DB324" s="822"/>
      <c r="DC324" s="822"/>
      <c r="DD324" s="822"/>
      <c r="DE324" s="822"/>
      <c r="DF324" s="822"/>
      <c r="DG324" s="822"/>
      <c r="DH324" s="822"/>
      <c r="DI324" s="822"/>
      <c r="DJ324" s="822"/>
      <c r="DK324" s="822"/>
      <c r="DL324" s="822"/>
      <c r="DM324" s="822"/>
      <c r="DN324" s="822"/>
    </row>
    <row r="325" spans="5:148" ht="17.100000000000001" customHeight="1" thickTop="1" x14ac:dyDescent="0.3">
      <c r="R325" s="822"/>
      <c r="S325" s="822"/>
      <c r="T325" s="822"/>
      <c r="U325" s="822"/>
      <c r="V325" s="822"/>
      <c r="W325" s="822"/>
      <c r="X325" s="822"/>
      <c r="Y325" s="822"/>
      <c r="Z325" s="822"/>
      <c r="AA325" s="822"/>
      <c r="AB325" s="822"/>
      <c r="AC325" s="822"/>
      <c r="AD325" s="822"/>
      <c r="AE325" s="822"/>
      <c r="AF325" s="822"/>
      <c r="AG325" s="822"/>
      <c r="AH325" s="822"/>
      <c r="AI325" s="822"/>
      <c r="AJ325" s="822"/>
      <c r="AK325" s="822"/>
      <c r="AL325" s="822"/>
      <c r="AM325" s="822"/>
      <c r="AN325" s="822"/>
      <c r="AO325" s="822"/>
      <c r="AP325" s="822"/>
      <c r="AQ325" s="822"/>
      <c r="AR325" s="822"/>
      <c r="AS325" s="822"/>
      <c r="AT325" s="822"/>
      <c r="AU325" s="822"/>
      <c r="AV325" s="822"/>
      <c r="AW325" s="822"/>
      <c r="AX325" s="822"/>
      <c r="AY325" s="822"/>
      <c r="AZ325" s="822"/>
      <c r="BA325" s="822"/>
      <c r="BB325" s="822"/>
      <c r="BC325" s="822"/>
      <c r="BD325" s="822"/>
      <c r="BE325" s="822"/>
      <c r="BF325" s="822"/>
      <c r="BG325" s="822"/>
      <c r="BH325" s="822"/>
      <c r="BI325" s="822"/>
      <c r="BJ325" s="822"/>
      <c r="BK325" s="822"/>
      <c r="BL325" s="822"/>
      <c r="BM325" s="822"/>
      <c r="BN325" s="822"/>
      <c r="BO325" s="822"/>
      <c r="BP325" s="822"/>
      <c r="BQ325" s="822"/>
      <c r="BR325" s="822"/>
      <c r="BS325" s="822"/>
      <c r="BT325" s="822"/>
      <c r="BU325" s="822"/>
      <c r="BV325" s="822"/>
      <c r="BX325" s="822"/>
      <c r="BY325" s="822"/>
      <c r="BZ325" s="822"/>
      <c r="CA325" s="822"/>
      <c r="CB325" s="822"/>
      <c r="CC325" s="822"/>
      <c r="CD325" s="822"/>
      <c r="CE325" s="822"/>
      <c r="CF325" s="822"/>
      <c r="CG325" s="822"/>
      <c r="CH325" s="822"/>
      <c r="CI325" s="822"/>
      <c r="CJ325" s="822"/>
      <c r="CK325" s="822"/>
      <c r="CL325" s="822"/>
      <c r="CM325" s="822"/>
      <c r="CN325" s="822"/>
      <c r="CO325" s="822"/>
      <c r="CP325" s="822"/>
      <c r="CQ325" s="822"/>
      <c r="CR325" s="822"/>
      <c r="CS325" s="822"/>
      <c r="CT325" s="822"/>
      <c r="CU325" s="822"/>
      <c r="CV325" s="822"/>
      <c r="CW325" s="822"/>
      <c r="CX325" s="822"/>
      <c r="CY325" s="822"/>
      <c r="CZ325" s="822"/>
      <c r="DA325" s="822"/>
      <c r="DB325" s="822"/>
      <c r="DC325" s="822"/>
      <c r="DD325" s="822"/>
      <c r="DE325" s="822"/>
      <c r="DF325" s="822"/>
      <c r="DG325" s="822"/>
      <c r="DH325" s="822"/>
      <c r="DI325" s="822"/>
      <c r="DJ325" s="822"/>
      <c r="DK325" s="822"/>
      <c r="DL325" s="822"/>
      <c r="DM325" s="822"/>
      <c r="DN325" s="822"/>
    </row>
    <row r="326" spans="5:148" ht="17.100000000000001" customHeight="1" x14ac:dyDescent="0.3">
      <c r="R326" s="822"/>
      <c r="S326" s="822"/>
      <c r="T326" s="822"/>
      <c r="U326" s="822"/>
      <c r="V326" s="822"/>
      <c r="W326" s="822"/>
      <c r="X326" s="822"/>
      <c r="Y326" s="822"/>
      <c r="Z326" s="822"/>
      <c r="AA326" s="822"/>
      <c r="AB326" s="822"/>
      <c r="AC326" s="822"/>
      <c r="AD326" s="822"/>
      <c r="AE326" s="822"/>
      <c r="AF326" s="822"/>
      <c r="AG326" s="822"/>
      <c r="AH326" s="822"/>
      <c r="AI326" s="822"/>
      <c r="AJ326" s="822"/>
      <c r="AK326" s="822"/>
      <c r="AL326" s="822"/>
      <c r="AM326" s="822"/>
      <c r="AN326" s="34" t="s">
        <v>9</v>
      </c>
      <c r="AO326" s="822"/>
      <c r="AP326" s="822"/>
      <c r="AQ326" s="822"/>
      <c r="AR326" s="822"/>
      <c r="AS326" s="822"/>
      <c r="AT326" s="822"/>
      <c r="AU326" s="822"/>
      <c r="AV326" s="822"/>
      <c r="AW326" s="822"/>
      <c r="AX326" s="822"/>
      <c r="AY326" s="822"/>
      <c r="AZ326" s="822"/>
      <c r="BA326" s="822"/>
      <c r="BB326" s="822"/>
      <c r="BC326" s="822"/>
      <c r="BD326" s="822"/>
      <c r="BE326" s="822"/>
      <c r="BF326" s="822"/>
      <c r="BG326" s="822"/>
      <c r="BH326" s="822"/>
      <c r="BI326" s="822"/>
      <c r="BJ326" s="822"/>
      <c r="BK326" s="822"/>
      <c r="BL326" s="822"/>
      <c r="BM326" s="822"/>
      <c r="BN326" s="822"/>
      <c r="BO326" s="822"/>
      <c r="BP326" s="822"/>
      <c r="BQ326" s="822"/>
      <c r="BR326" s="822"/>
      <c r="BS326" s="822"/>
      <c r="BT326" s="822"/>
      <c r="BU326" s="822"/>
      <c r="BV326" s="822"/>
      <c r="BX326" s="822"/>
      <c r="BY326" s="822"/>
      <c r="BZ326" s="822"/>
      <c r="CA326" s="822"/>
      <c r="CB326" s="822"/>
      <c r="CC326" s="822"/>
      <c r="CD326" s="822"/>
      <c r="CE326" s="822"/>
      <c r="CF326" s="822"/>
      <c r="CG326" s="822"/>
      <c r="CH326" s="822"/>
      <c r="CI326" s="822"/>
      <c r="CJ326" s="822"/>
      <c r="CK326" s="822"/>
      <c r="CL326" s="822"/>
      <c r="CM326" s="822"/>
      <c r="CN326" s="822"/>
      <c r="CO326" s="822"/>
      <c r="CP326" s="822"/>
      <c r="CQ326" s="822"/>
      <c r="CR326" s="822"/>
      <c r="CS326" s="822"/>
      <c r="CT326" s="822"/>
      <c r="CU326" s="822"/>
      <c r="CV326" s="822"/>
      <c r="CW326" s="822"/>
      <c r="CX326" s="822"/>
      <c r="CY326" s="822"/>
      <c r="CZ326" s="822"/>
      <c r="DA326" s="822"/>
      <c r="DB326" s="822"/>
      <c r="DC326" s="822"/>
      <c r="DD326" s="822"/>
      <c r="DE326" s="822"/>
      <c r="DF326" s="822"/>
      <c r="DG326" s="822"/>
      <c r="DH326" s="822"/>
      <c r="DI326" s="822"/>
      <c r="DJ326" s="822"/>
      <c r="DK326" s="822"/>
      <c r="DL326" s="822"/>
      <c r="DM326" s="822"/>
      <c r="DN326" s="822"/>
    </row>
    <row r="327" spans="5:148" ht="17.100000000000001" customHeight="1" thickBot="1" x14ac:dyDescent="0.35">
      <c r="R327" s="822"/>
      <c r="S327" s="822"/>
      <c r="T327" s="822"/>
      <c r="U327" s="822"/>
      <c r="V327" s="822"/>
      <c r="W327" s="822"/>
      <c r="X327" s="822"/>
      <c r="Y327" s="822"/>
      <c r="Z327" s="822"/>
      <c r="AA327" s="822"/>
      <c r="AB327" s="822"/>
      <c r="AC327" s="822"/>
      <c r="AD327" s="822"/>
      <c r="AE327" s="822"/>
      <c r="AF327" s="822"/>
      <c r="AG327" s="822"/>
      <c r="AH327" s="822"/>
      <c r="AI327" s="822"/>
      <c r="AJ327" s="822"/>
      <c r="AK327" s="822"/>
      <c r="AL327" s="822"/>
      <c r="AM327" s="822"/>
      <c r="AN327" s="34" t="s">
        <v>9</v>
      </c>
      <c r="AO327" s="822"/>
      <c r="AP327" s="822"/>
      <c r="AQ327" s="822"/>
      <c r="AR327" s="822"/>
      <c r="AS327" s="822"/>
      <c r="AT327" s="822"/>
      <c r="AU327" s="822"/>
      <c r="AV327" s="822"/>
      <c r="AW327" s="822"/>
      <c r="AX327" s="822"/>
      <c r="AY327" s="822"/>
      <c r="AZ327" s="822"/>
      <c r="BA327" s="822"/>
      <c r="BB327" s="822"/>
      <c r="BC327" s="822"/>
      <c r="BD327" s="822"/>
      <c r="BE327" s="822"/>
      <c r="BF327" s="822"/>
      <c r="BG327" s="822"/>
      <c r="BH327" s="822"/>
      <c r="BI327" s="822"/>
      <c r="BJ327" s="822"/>
      <c r="BK327" s="822"/>
      <c r="BL327" s="822"/>
      <c r="BM327" s="822"/>
      <c r="BN327" s="822"/>
      <c r="BO327" s="822"/>
      <c r="BP327" s="822"/>
      <c r="BQ327" s="822"/>
      <c r="BR327" s="822"/>
      <c r="BS327" s="822"/>
      <c r="BT327" s="822"/>
      <c r="BU327" s="822"/>
      <c r="BV327" s="822"/>
      <c r="BX327" s="822"/>
      <c r="BY327" s="822"/>
      <c r="BZ327" s="822"/>
      <c r="CA327" s="822"/>
      <c r="CB327" s="822"/>
      <c r="CC327" s="822"/>
      <c r="CD327" s="822"/>
      <c r="CE327" s="822"/>
      <c r="CF327" s="822"/>
      <c r="CG327" s="822"/>
      <c r="CH327" s="822"/>
      <c r="CI327" s="822"/>
      <c r="CJ327" s="822"/>
      <c r="CK327" s="822"/>
      <c r="CL327" s="822"/>
      <c r="CM327" s="822"/>
      <c r="CN327" s="822"/>
      <c r="CO327" s="822"/>
      <c r="CP327" s="822"/>
      <c r="CQ327" s="822"/>
      <c r="CR327" s="822"/>
      <c r="CS327" s="822"/>
      <c r="CT327" s="822"/>
      <c r="CU327" s="822"/>
      <c r="CV327" s="822"/>
      <c r="CW327" s="822"/>
      <c r="CX327" s="822"/>
      <c r="CY327" s="822"/>
      <c r="CZ327" s="822"/>
      <c r="DA327" s="822"/>
      <c r="DB327" s="822"/>
      <c r="DC327" s="822"/>
      <c r="DD327" s="822"/>
      <c r="DE327" s="822"/>
      <c r="DF327" s="822"/>
      <c r="DG327" s="822"/>
      <c r="DH327" s="822"/>
      <c r="DI327" s="822"/>
      <c r="DJ327" s="822"/>
      <c r="DK327" s="822"/>
      <c r="DL327" s="822"/>
      <c r="DM327" s="822"/>
      <c r="DN327" s="822"/>
    </row>
    <row r="328" spans="5:148" ht="17.100000000000001" customHeight="1" thickTop="1" x14ac:dyDescent="0.3">
      <c r="E328" s="23"/>
      <c r="F328" s="23"/>
      <c r="G328" s="23"/>
      <c r="H328" s="23"/>
      <c r="I328" s="23"/>
      <c r="J328" s="23"/>
      <c r="K328" s="23"/>
      <c r="L328" s="23"/>
      <c r="M328" s="23"/>
      <c r="N328" s="23"/>
      <c r="O328" s="23"/>
      <c r="P328" s="23"/>
      <c r="Q328" s="23"/>
      <c r="R328" s="23"/>
      <c r="S328" s="23"/>
      <c r="T328" s="23"/>
      <c r="U328" s="23"/>
      <c r="V328" s="23"/>
      <c r="W328" s="23"/>
      <c r="X328" s="23"/>
      <c r="Y328" s="23"/>
      <c r="Z328" s="23"/>
      <c r="AA328" s="759"/>
      <c r="AB328" s="760"/>
      <c r="AC328" s="760"/>
      <c r="AD328" s="760"/>
      <c r="AE328" s="760"/>
      <c r="AF328" s="760"/>
      <c r="AG328" s="760"/>
      <c r="AH328" s="760"/>
      <c r="AI328" s="760"/>
      <c r="AJ328" s="760"/>
      <c r="AK328" s="760"/>
      <c r="AL328" s="760"/>
      <c r="AM328" s="760"/>
      <c r="AN328" s="760"/>
      <c r="AO328" s="760"/>
      <c r="AP328" s="760"/>
      <c r="AQ328" s="760"/>
      <c r="AR328" s="760"/>
      <c r="AS328" s="760"/>
      <c r="AT328" s="760"/>
      <c r="AU328" s="760"/>
      <c r="AV328" s="760"/>
      <c r="AW328" s="760"/>
      <c r="AX328" s="760"/>
      <c r="AY328" s="760"/>
      <c r="AZ328" s="760"/>
      <c r="BA328" s="761"/>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822"/>
      <c r="BY328" s="822"/>
      <c r="BZ328" s="822"/>
      <c r="CA328" s="822"/>
      <c r="CB328" s="822"/>
      <c r="CC328" s="822"/>
      <c r="CD328" s="822"/>
      <c r="CE328" s="822"/>
      <c r="CF328" s="822"/>
      <c r="CG328" s="822"/>
      <c r="CH328" s="822"/>
      <c r="CI328" s="822"/>
      <c r="CJ328" s="822"/>
      <c r="CK328" s="822"/>
      <c r="CL328" s="822"/>
      <c r="CM328" s="822"/>
      <c r="CN328" s="822"/>
      <c r="CO328" s="822"/>
      <c r="CP328" s="822"/>
      <c r="CQ328" s="822"/>
      <c r="CR328" s="822"/>
      <c r="CS328" s="822"/>
      <c r="CT328" s="822"/>
      <c r="CU328" s="822"/>
      <c r="CV328" s="822"/>
      <c r="CW328" s="822"/>
      <c r="CX328" s="822"/>
      <c r="CY328" s="822"/>
      <c r="CZ328" s="822"/>
      <c r="DA328" s="822"/>
      <c r="DB328" s="822"/>
      <c r="DC328" s="822"/>
      <c r="DD328" s="822"/>
      <c r="DE328" s="822"/>
      <c r="DF328" s="822"/>
      <c r="DG328" s="822"/>
      <c r="DH328" s="822"/>
      <c r="DI328" s="822"/>
      <c r="DJ328" s="822"/>
      <c r="DK328" s="822"/>
      <c r="DL328" s="822"/>
      <c r="DM328" s="822"/>
      <c r="DN328" s="822"/>
    </row>
    <row r="329" spans="5:148" ht="17.100000000000001" customHeight="1" thickBot="1" x14ac:dyDescent="0.35">
      <c r="E329" s="23"/>
      <c r="F329" s="23"/>
      <c r="G329" s="23"/>
      <c r="H329" s="23"/>
      <c r="I329" s="23"/>
      <c r="J329" s="23"/>
      <c r="K329" s="23"/>
      <c r="L329" s="23"/>
      <c r="M329" s="23"/>
      <c r="N329" s="23"/>
      <c r="O329" s="23"/>
      <c r="P329" s="23"/>
      <c r="Q329" s="23"/>
      <c r="R329" s="23"/>
      <c r="S329" s="23"/>
      <c r="T329" s="23"/>
      <c r="U329" s="23"/>
      <c r="V329" s="23"/>
      <c r="W329" s="23"/>
      <c r="X329" s="23"/>
      <c r="Y329" s="23"/>
      <c r="Z329" s="23"/>
      <c r="AA329" s="762"/>
      <c r="AB329" s="94"/>
      <c r="AC329" s="1273"/>
      <c r="AD329" s="1273"/>
      <c r="AE329" s="1273"/>
      <c r="AF329" s="1273"/>
      <c r="AG329" s="1273"/>
      <c r="AH329" s="1273"/>
      <c r="AI329" s="1273"/>
      <c r="AJ329" s="1273"/>
      <c r="AK329" s="1273"/>
      <c r="AL329" s="1273"/>
      <c r="AM329" s="1273"/>
      <c r="AN329" s="2286"/>
      <c r="AO329" s="1273"/>
      <c r="AP329" s="1273"/>
      <c r="AQ329" s="1273"/>
      <c r="AR329" s="1273"/>
      <c r="AS329" s="1273"/>
      <c r="AT329" s="1273"/>
      <c r="AU329" s="1273"/>
      <c r="AV329" s="1273"/>
      <c r="AW329" s="1273"/>
      <c r="AX329" s="1273"/>
      <c r="AY329" s="1273"/>
      <c r="AZ329" s="94"/>
      <c r="BA329" s="764"/>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822"/>
      <c r="BY329" s="822"/>
      <c r="BZ329" s="822"/>
      <c r="CA329" s="822"/>
      <c r="CB329" s="822"/>
      <c r="CC329" s="822"/>
      <c r="CD329" s="822"/>
      <c r="CE329" s="822"/>
      <c r="CF329" s="822"/>
      <c r="CG329" s="822"/>
      <c r="CH329" s="822"/>
      <c r="CI329" s="822"/>
      <c r="CJ329" s="822"/>
      <c r="CK329" s="822"/>
      <c r="CL329" s="822"/>
      <c r="CM329" s="822"/>
      <c r="CN329" s="822"/>
      <c r="CO329" s="822"/>
      <c r="CP329" s="822"/>
      <c r="CQ329" s="822"/>
      <c r="CR329" s="822"/>
      <c r="CS329" s="822"/>
      <c r="CT329" s="822"/>
      <c r="CU329" s="822"/>
      <c r="CV329" s="822"/>
      <c r="CW329" s="822"/>
      <c r="CX329" s="822"/>
      <c r="CY329" s="822"/>
      <c r="CZ329" s="822"/>
      <c r="DA329" s="822"/>
      <c r="DB329" s="822"/>
      <c r="DC329" s="822"/>
      <c r="DD329" s="822"/>
      <c r="DE329" s="822"/>
      <c r="DF329" s="822"/>
      <c r="DG329" s="822"/>
      <c r="DH329" s="822"/>
      <c r="DI329" s="822"/>
      <c r="DJ329" s="822"/>
      <c r="DK329" s="822"/>
      <c r="DL329" s="822"/>
      <c r="DM329" s="822"/>
      <c r="DN329" s="822"/>
    </row>
    <row r="330" spans="5:148" ht="17.100000000000001" customHeight="1" thickTop="1" x14ac:dyDescent="0.3">
      <c r="E330" s="23"/>
      <c r="F330" s="23"/>
      <c r="G330" s="759"/>
      <c r="H330" s="760"/>
      <c r="I330" s="760"/>
      <c r="J330" s="760"/>
      <c r="K330" s="760"/>
      <c r="L330" s="760"/>
      <c r="M330" s="760"/>
      <c r="N330" s="760"/>
      <c r="O330" s="760"/>
      <c r="P330" s="760"/>
      <c r="Q330" s="760"/>
      <c r="R330" s="760"/>
      <c r="S330" s="760"/>
      <c r="T330" s="760"/>
      <c r="U330" s="760"/>
      <c r="V330" s="760"/>
      <c r="W330" s="760"/>
      <c r="X330" s="760"/>
      <c r="Y330" s="760"/>
      <c r="Z330" s="760"/>
      <c r="AA330" s="1059"/>
      <c r="AB330" s="1059"/>
      <c r="AC330" s="1273"/>
      <c r="AD330" s="1273"/>
      <c r="AE330" s="1273"/>
      <c r="AF330" s="1273"/>
      <c r="AG330" s="1273"/>
      <c r="AH330" s="1273"/>
      <c r="AI330" s="1273"/>
      <c r="AJ330" s="1273"/>
      <c r="AK330" s="1273"/>
      <c r="AL330" s="1273"/>
      <c r="AM330" s="1273"/>
      <c r="AN330" s="1273"/>
      <c r="AO330" s="1273"/>
      <c r="AP330" s="1273"/>
      <c r="AQ330" s="1273"/>
      <c r="AR330" s="1273"/>
      <c r="AS330" s="1273"/>
      <c r="AT330" s="1273"/>
      <c r="AU330" s="1273"/>
      <c r="AV330" s="1273"/>
      <c r="AW330" s="1273"/>
      <c r="AX330" s="1273"/>
      <c r="AY330" s="1273"/>
      <c r="AZ330" s="1059"/>
      <c r="BA330" s="1059"/>
      <c r="BB330" s="760"/>
      <c r="BC330" s="760"/>
      <c r="BD330" s="760"/>
      <c r="BE330" s="760"/>
      <c r="BF330" s="760"/>
      <c r="BG330" s="760"/>
      <c r="BH330" s="760"/>
      <c r="BI330" s="760"/>
      <c r="BJ330" s="760"/>
      <c r="BK330" s="760"/>
      <c r="BL330" s="760"/>
      <c r="BM330" s="760"/>
      <c r="BN330" s="760"/>
      <c r="BO330" s="760"/>
      <c r="BP330" s="760"/>
      <c r="BQ330" s="760"/>
      <c r="BR330" s="760"/>
      <c r="BS330" s="760"/>
      <c r="BT330" s="760"/>
      <c r="BU330" s="761"/>
      <c r="BV330" s="19"/>
      <c r="BW330" s="19"/>
      <c r="BX330" s="822"/>
      <c r="BY330" s="822"/>
      <c r="BZ330" s="822"/>
      <c r="CA330" s="822"/>
      <c r="CB330" s="822"/>
      <c r="CC330" s="822"/>
      <c r="CD330" s="822"/>
      <c r="CE330" s="822"/>
      <c r="CF330" s="822"/>
      <c r="CG330" s="822"/>
      <c r="CH330" s="822"/>
      <c r="CI330" s="822"/>
      <c r="CJ330" s="822"/>
      <c r="CK330" s="822"/>
      <c r="CL330" s="822"/>
      <c r="CM330" s="822"/>
      <c r="CN330" s="822"/>
      <c r="CO330" s="822"/>
      <c r="CP330" s="822"/>
      <c r="CQ330" s="822"/>
      <c r="CR330" s="822"/>
      <c r="CS330" s="822"/>
      <c r="CT330" s="822"/>
      <c r="CU330" s="822"/>
      <c r="CV330" s="822"/>
      <c r="CW330" s="822"/>
      <c r="CX330" s="822"/>
      <c r="CY330" s="822"/>
      <c r="CZ330" s="822"/>
      <c r="DA330" s="822"/>
      <c r="DB330" s="822"/>
      <c r="DC330" s="822"/>
      <c r="DD330" s="822"/>
      <c r="DE330" s="822"/>
      <c r="DF330" s="822"/>
      <c r="DG330" s="822"/>
      <c r="DH330" s="822"/>
      <c r="DI330" s="822"/>
      <c r="DJ330" s="822"/>
      <c r="DK330" s="822"/>
      <c r="DL330" s="822"/>
      <c r="DM330" s="822"/>
      <c r="DN330" s="822"/>
    </row>
    <row r="331" spans="5:148" ht="17.100000000000001" customHeight="1" thickBot="1" x14ac:dyDescent="0.35">
      <c r="E331" s="23"/>
      <c r="F331" s="23"/>
      <c r="G331" s="762"/>
      <c r="H331" s="1059"/>
      <c r="I331" s="999"/>
      <c r="J331" s="787"/>
      <c r="K331" s="1059"/>
      <c r="L331" s="1059"/>
      <c r="M331" s="1059"/>
      <c r="N331" s="1059"/>
      <c r="O331" s="1059"/>
      <c r="P331" s="1059"/>
      <c r="Q331" s="1059"/>
      <c r="R331" s="1059"/>
      <c r="S331" s="1059"/>
      <c r="T331" s="1059"/>
      <c r="U331" s="1059"/>
      <c r="V331" s="1059"/>
      <c r="W331" s="1059"/>
      <c r="X331" s="1059"/>
      <c r="Y331" s="1059"/>
      <c r="Z331" s="1059"/>
      <c r="AA331" s="1059"/>
      <c r="AB331" s="1059"/>
      <c r="AC331" s="1059"/>
      <c r="AD331" s="1059"/>
      <c r="AE331" s="1059"/>
      <c r="AF331" s="1059"/>
      <c r="AG331" s="1123"/>
      <c r="AH331" s="1123"/>
      <c r="AI331" s="1123"/>
      <c r="AJ331" s="1261"/>
      <c r="AK331" s="1261"/>
      <c r="AL331" s="1261"/>
      <c r="AM331" s="4743" t="s">
        <v>948</v>
      </c>
      <c r="AN331" s="4743"/>
      <c r="AO331" s="4743"/>
      <c r="AP331" s="1261"/>
      <c r="AQ331" s="1261"/>
      <c r="AR331" s="1261"/>
      <c r="AS331" s="1261"/>
      <c r="AT331" s="1123"/>
      <c r="AU331" s="1123"/>
      <c r="AV331" s="1059"/>
      <c r="AW331" s="1059"/>
      <c r="AX331" s="1059"/>
      <c r="AY331" s="1059"/>
      <c r="AZ331" s="1059"/>
      <c r="BA331" s="1059"/>
      <c r="BB331" s="1059"/>
      <c r="BC331" s="1059"/>
      <c r="BD331" s="1059"/>
      <c r="BE331" s="1059"/>
      <c r="BF331" s="1059"/>
      <c r="BG331" s="1059"/>
      <c r="BH331" s="1059"/>
      <c r="BI331" s="1059"/>
      <c r="BJ331" s="1059"/>
      <c r="BK331" s="1059"/>
      <c r="BL331" s="1059"/>
      <c r="BM331" s="1059"/>
      <c r="BN331" s="1059"/>
      <c r="BO331" s="1059"/>
      <c r="BP331" s="1059"/>
      <c r="BQ331" s="1059"/>
      <c r="BR331" s="1059"/>
      <c r="BS331" s="1059"/>
      <c r="BT331" s="1059"/>
      <c r="BU331" s="764"/>
      <c r="BV331" s="19"/>
      <c r="BW331" s="19"/>
      <c r="BX331" s="822"/>
      <c r="BY331" s="822"/>
      <c r="BZ331" s="822"/>
      <c r="CA331" s="822"/>
      <c r="CB331" s="822"/>
      <c r="CC331" s="822"/>
      <c r="CD331" s="822"/>
      <c r="CE331" s="822"/>
      <c r="CF331" s="822"/>
      <c r="CG331" s="822"/>
      <c r="CH331" s="822"/>
      <c r="CI331" s="822"/>
      <c r="CJ331" s="822"/>
      <c r="CK331" s="822"/>
      <c r="CL331" s="822"/>
      <c r="CM331" s="822"/>
      <c r="CN331" s="822"/>
      <c r="CO331" s="822"/>
      <c r="CP331" s="822"/>
      <c r="CQ331" s="822"/>
      <c r="CR331" s="822"/>
      <c r="CS331" s="822"/>
      <c r="CT331" s="822"/>
      <c r="CU331" s="822"/>
      <c r="CV331" s="822"/>
      <c r="CW331" s="822"/>
      <c r="CX331" s="822"/>
      <c r="CY331" s="822"/>
      <c r="CZ331" s="822"/>
      <c r="DA331" s="822"/>
      <c r="DB331" s="822"/>
      <c r="DC331" s="822"/>
      <c r="DD331" s="822"/>
      <c r="DE331" s="822"/>
      <c r="DF331" s="822"/>
      <c r="DG331" s="822"/>
      <c r="DH331" s="822"/>
      <c r="DI331" s="822"/>
      <c r="DJ331" s="822"/>
      <c r="DK331" s="822"/>
      <c r="DL331" s="822"/>
      <c r="DM331" s="822"/>
      <c r="DN331" s="822"/>
    </row>
    <row r="332" spans="5:148" ht="17.100000000000001" customHeight="1" thickTop="1" x14ac:dyDescent="0.3">
      <c r="E332" s="759"/>
      <c r="F332" s="760"/>
      <c r="G332" s="1059"/>
      <c r="H332" s="1059"/>
      <c r="I332" s="1059"/>
      <c r="J332" s="1059"/>
      <c r="K332" s="1059"/>
      <c r="L332" s="1059"/>
      <c r="M332" s="1059"/>
      <c r="N332" s="1059"/>
      <c r="O332" s="1059"/>
      <c r="P332" s="1059"/>
      <c r="Q332" s="1059"/>
      <c r="R332" s="1059"/>
      <c r="S332" s="1059"/>
      <c r="T332" s="1059"/>
      <c r="U332" s="1059"/>
      <c r="V332" s="1059"/>
      <c r="W332" s="1059"/>
      <c r="X332" s="1059"/>
      <c r="Y332" s="1059"/>
      <c r="Z332" s="1059"/>
      <c r="AA332" s="1059"/>
      <c r="AB332" s="1059"/>
      <c r="AC332" s="1059"/>
      <c r="AD332" s="1059"/>
      <c r="AE332" s="1059"/>
      <c r="AF332" s="1059"/>
      <c r="AG332" s="1123"/>
      <c r="AH332" s="1123"/>
      <c r="AI332" s="1261"/>
      <c r="AJ332" s="1261"/>
      <c r="AK332" s="1261"/>
      <c r="AL332" s="1261"/>
      <c r="AM332" s="4743"/>
      <c r="AN332" s="4743"/>
      <c r="AO332" s="4743"/>
      <c r="AP332" s="1261"/>
      <c r="AQ332" s="1261"/>
      <c r="AR332" s="1261"/>
      <c r="AS332" s="1261"/>
      <c r="AT332" s="1123"/>
      <c r="AU332" s="1123"/>
      <c r="AV332" s="1059"/>
      <c r="AW332" s="1059"/>
      <c r="AX332" s="1059"/>
      <c r="AY332" s="1059"/>
      <c r="AZ332" s="1059"/>
      <c r="BA332" s="1059"/>
      <c r="BB332" s="1059"/>
      <c r="BC332" s="1059"/>
      <c r="BD332" s="1059"/>
      <c r="BE332" s="1059"/>
      <c r="BF332" s="1059"/>
      <c r="BG332" s="1059"/>
      <c r="BH332" s="1059"/>
      <c r="BI332" s="1059"/>
      <c r="BJ332" s="1059"/>
      <c r="BK332" s="1059"/>
      <c r="BL332" s="1059"/>
      <c r="BM332" s="1059"/>
      <c r="BN332" s="1059"/>
      <c r="BO332" s="1059"/>
      <c r="BP332" s="1059"/>
      <c r="BQ332" s="1059"/>
      <c r="BR332" s="1059"/>
      <c r="BS332" s="1059"/>
      <c r="BT332" s="1059"/>
      <c r="BU332" s="1059"/>
      <c r="BV332" s="760"/>
      <c r="BW332" s="761"/>
      <c r="BX332" s="822"/>
      <c r="BY332" s="822"/>
      <c r="BZ332" s="822"/>
      <c r="CA332" s="822"/>
      <c r="CB332" s="822"/>
      <c r="CC332" s="822"/>
      <c r="CD332" s="822"/>
      <c r="CE332" s="822"/>
      <c r="CF332" s="822"/>
      <c r="CG332" s="822"/>
      <c r="CH332" s="822"/>
      <c r="CI332" s="822"/>
      <c r="CJ332" s="822"/>
      <c r="CK332" s="822"/>
      <c r="CL332" s="822"/>
      <c r="CM332" s="822"/>
      <c r="CN332" s="822"/>
      <c r="CO332" s="822"/>
      <c r="CP332" s="822"/>
      <c r="CQ332" s="822"/>
      <c r="CR332" s="822"/>
      <c r="CS332" s="822"/>
      <c r="CT332" s="822"/>
      <c r="CU332" s="822"/>
      <c r="CV332" s="822"/>
      <c r="CW332" s="822"/>
      <c r="CX332" s="822"/>
      <c r="CY332" s="822"/>
      <c r="CZ332" s="822"/>
      <c r="DA332" s="822"/>
      <c r="DB332" s="822"/>
      <c r="DC332" s="822"/>
      <c r="DD332" s="822"/>
      <c r="DE332" s="822"/>
      <c r="DF332" s="822"/>
      <c r="DG332" s="822"/>
      <c r="DH332" s="822"/>
      <c r="DI332" s="822"/>
      <c r="DJ332" s="822"/>
      <c r="DK332" s="822"/>
      <c r="DL332" s="822"/>
      <c r="DM332" s="822"/>
      <c r="DN332" s="822"/>
    </row>
    <row r="333" spans="5:148" ht="17.100000000000001" customHeight="1" thickBot="1" x14ac:dyDescent="0.35">
      <c r="E333" s="762"/>
      <c r="F333" s="94"/>
      <c r="G333" s="1059"/>
      <c r="H333" s="1059"/>
      <c r="I333" s="1059"/>
      <c r="J333" s="1059"/>
      <c r="K333" s="1059"/>
      <c r="L333" s="1059"/>
      <c r="M333" s="1059"/>
      <c r="N333" s="1059"/>
      <c r="O333" s="1059"/>
      <c r="P333" s="1059"/>
      <c r="Q333" s="1059"/>
      <c r="R333" s="1059"/>
      <c r="S333" s="1059"/>
      <c r="T333" s="1059"/>
      <c r="U333" s="1059"/>
      <c r="V333" s="1059"/>
      <c r="W333" s="1059"/>
      <c r="X333" s="1059"/>
      <c r="Y333" s="1059"/>
      <c r="Z333" s="1059"/>
      <c r="AA333" s="1059"/>
      <c r="AB333" s="1059"/>
      <c r="AC333" s="1059"/>
      <c r="AD333" s="1059"/>
      <c r="AE333" s="1059"/>
      <c r="AF333" s="1059"/>
      <c r="AG333" s="1123"/>
      <c r="AH333" s="1123"/>
      <c r="AI333" s="1123"/>
      <c r="AJ333" s="1123"/>
      <c r="AK333" s="1123"/>
      <c r="AL333" s="1123"/>
      <c r="AM333" s="1274"/>
      <c r="AN333" s="1275">
        <v>1</v>
      </c>
      <c r="AO333" s="1274"/>
      <c r="AP333" s="1123"/>
      <c r="AQ333" s="1123"/>
      <c r="AR333" s="1123"/>
      <c r="AS333" s="1123"/>
      <c r="AT333" s="1123"/>
      <c r="AU333" s="1123"/>
      <c r="AV333" s="1059"/>
      <c r="AW333" s="1059"/>
      <c r="AX333" s="1059"/>
      <c r="AY333" s="1059"/>
      <c r="AZ333" s="1059"/>
      <c r="BA333" s="1059"/>
      <c r="BB333" s="1059"/>
      <c r="BC333" s="1059"/>
      <c r="BD333" s="1059"/>
      <c r="BE333" s="1059"/>
      <c r="BF333" s="1059"/>
      <c r="BG333" s="1059"/>
      <c r="BH333" s="1059"/>
      <c r="BI333" s="1059"/>
      <c r="BJ333" s="1059"/>
      <c r="BK333" s="1059"/>
      <c r="BL333" s="1059"/>
      <c r="BM333" s="1059"/>
      <c r="BN333" s="1059"/>
      <c r="BO333" s="1059"/>
      <c r="BP333" s="1059"/>
      <c r="BQ333" s="1059"/>
      <c r="BR333" s="1059"/>
      <c r="BS333" s="1059"/>
      <c r="BT333" s="1059"/>
      <c r="BU333" s="1059"/>
      <c r="BV333" s="94"/>
      <c r="BW333" s="764"/>
      <c r="BX333" s="822"/>
      <c r="BY333" s="822"/>
      <c r="BZ333" s="822"/>
      <c r="CA333" s="822"/>
      <c r="CB333" s="822"/>
      <c r="CC333" s="822"/>
      <c r="CD333" s="822"/>
      <c r="CE333" s="822"/>
      <c r="CF333" s="822"/>
      <c r="CG333" s="822"/>
      <c r="CH333" s="822"/>
      <c r="CI333" s="822"/>
      <c r="CJ333" s="822"/>
      <c r="CK333" s="822"/>
      <c r="CL333" s="822"/>
      <c r="CM333" s="822"/>
      <c r="CN333" s="822"/>
      <c r="CO333" s="822"/>
      <c r="CP333" s="822"/>
      <c r="CQ333" s="822"/>
      <c r="CR333" s="822"/>
      <c r="CS333" s="822"/>
      <c r="CT333" s="822"/>
      <c r="CU333" s="822"/>
      <c r="CV333" s="822"/>
      <c r="CW333" s="822"/>
      <c r="CX333" s="822"/>
      <c r="CY333" s="822"/>
      <c r="CZ333" s="822"/>
      <c r="DA333" s="822"/>
      <c r="DB333" s="822"/>
      <c r="DC333" s="822"/>
      <c r="DD333" s="822"/>
      <c r="DE333" s="822"/>
      <c r="DF333" s="822"/>
      <c r="DG333" s="822"/>
      <c r="DH333" s="822"/>
      <c r="DI333" s="822"/>
      <c r="DJ333" s="822"/>
      <c r="DK333" s="822"/>
      <c r="DL333" s="822"/>
      <c r="DM333" s="822"/>
      <c r="DN333" s="822"/>
    </row>
    <row r="334" spans="5:148" ht="17.100000000000001" customHeight="1" thickTop="1" x14ac:dyDescent="0.3">
      <c r="E334" s="762"/>
      <c r="F334" s="1059"/>
      <c r="G334" s="1059"/>
      <c r="H334" s="1059"/>
      <c r="I334" s="4756" t="s">
        <v>72</v>
      </c>
      <c r="J334" s="4757"/>
      <c r="K334" s="4757"/>
      <c r="L334" s="4794" t="s">
        <v>710</v>
      </c>
      <c r="M334" s="4794"/>
      <c r="N334" s="4757" t="s">
        <v>72</v>
      </c>
      <c r="O334" s="4757"/>
      <c r="P334" s="4762"/>
      <c r="Q334" s="1059"/>
      <c r="R334" s="1059"/>
      <c r="S334" s="4756" t="s">
        <v>72</v>
      </c>
      <c r="T334" s="4757"/>
      <c r="U334" s="4757"/>
      <c r="V334" s="4792" t="s">
        <v>710</v>
      </c>
      <c r="W334" s="4792"/>
      <c r="X334" s="4757" t="s">
        <v>72</v>
      </c>
      <c r="Y334" s="4757"/>
      <c r="Z334" s="4762"/>
      <c r="AA334" s="1059"/>
      <c r="AB334" s="1059"/>
      <c r="AC334" s="4756" t="s">
        <v>72</v>
      </c>
      <c r="AD334" s="4757"/>
      <c r="AE334" s="4757"/>
      <c r="AF334" s="4790" t="s">
        <v>710</v>
      </c>
      <c r="AG334" s="4790"/>
      <c r="AH334" s="4757" t="s">
        <v>72</v>
      </c>
      <c r="AI334" s="4757"/>
      <c r="AJ334" s="4762"/>
      <c r="AK334" s="1059"/>
      <c r="AL334" s="1059"/>
      <c r="AM334" s="4853" t="s">
        <v>1472</v>
      </c>
      <c r="AN334" s="4853"/>
      <c r="AO334" s="4853"/>
      <c r="AP334" s="1059"/>
      <c r="AQ334" s="1059"/>
      <c r="AR334" s="4756" t="s">
        <v>72</v>
      </c>
      <c r="AS334" s="4757"/>
      <c r="AT334" s="4757"/>
      <c r="AU334" s="4790" t="s">
        <v>939</v>
      </c>
      <c r="AV334" s="4790"/>
      <c r="AW334" s="4757" t="s">
        <v>72</v>
      </c>
      <c r="AX334" s="4757"/>
      <c r="AY334" s="4762"/>
      <c r="AZ334" s="1059"/>
      <c r="BA334" s="1059"/>
      <c r="BB334" s="4756" t="s">
        <v>72</v>
      </c>
      <c r="BC334" s="4757"/>
      <c r="BD334" s="4757"/>
      <c r="BE334" s="4792" t="s">
        <v>939</v>
      </c>
      <c r="BF334" s="4792"/>
      <c r="BG334" s="4757" t="s">
        <v>72</v>
      </c>
      <c r="BH334" s="4757"/>
      <c r="BI334" s="4762"/>
      <c r="BJ334" s="1059"/>
      <c r="BK334" s="1059"/>
      <c r="BL334" s="4756" t="s">
        <v>72</v>
      </c>
      <c r="BM334" s="4757"/>
      <c r="BN334" s="4757"/>
      <c r="BO334" s="4794" t="s">
        <v>939</v>
      </c>
      <c r="BP334" s="4794"/>
      <c r="BQ334" s="4757" t="s">
        <v>72</v>
      </c>
      <c r="BR334" s="4757"/>
      <c r="BS334" s="4762"/>
      <c r="BT334" s="1059"/>
      <c r="BU334" s="1059"/>
      <c r="BV334" s="1059"/>
      <c r="BW334" s="764"/>
      <c r="BX334" s="822"/>
      <c r="BY334" s="822"/>
      <c r="BZ334" s="822"/>
      <c r="CA334" s="822"/>
      <c r="CB334" s="822"/>
      <c r="CC334" s="822"/>
      <c r="CD334" s="822"/>
      <c r="CE334" s="822"/>
      <c r="CF334" s="822"/>
      <c r="CG334" s="822"/>
      <c r="CH334" s="822"/>
      <c r="CI334" s="822"/>
      <c r="CJ334" s="822"/>
      <c r="CK334" s="822"/>
      <c r="CL334" s="822"/>
      <c r="CM334" s="822"/>
      <c r="CN334" s="822"/>
      <c r="CO334" s="822"/>
      <c r="CP334" s="822"/>
      <c r="CQ334" s="822"/>
      <c r="CR334" s="822"/>
      <c r="CS334" s="822"/>
      <c r="CT334" s="822"/>
      <c r="CU334" s="822"/>
      <c r="CV334" s="822"/>
      <c r="CW334" s="822"/>
      <c r="CX334" s="822"/>
      <c r="CY334" s="822"/>
      <c r="CZ334" s="822"/>
      <c r="DA334" s="822"/>
      <c r="DB334" s="822"/>
      <c r="DC334" s="822"/>
      <c r="DD334" s="822"/>
      <c r="DE334" s="822"/>
      <c r="DF334" s="822"/>
      <c r="DG334" s="822"/>
      <c r="DH334" s="822"/>
      <c r="DI334" s="822"/>
      <c r="DJ334" s="822"/>
      <c r="DK334" s="822"/>
      <c r="DL334" s="822"/>
      <c r="DM334" s="822"/>
      <c r="DN334" s="822"/>
    </row>
    <row r="335" spans="5:148" ht="17.100000000000001" customHeight="1" x14ac:dyDescent="0.3">
      <c r="E335" s="762"/>
      <c r="F335" s="1059"/>
      <c r="G335" s="1059"/>
      <c r="H335" s="1059"/>
      <c r="I335" s="4758"/>
      <c r="J335" s="4759"/>
      <c r="K335" s="4759"/>
      <c r="L335" s="4807"/>
      <c r="M335" s="4807"/>
      <c r="N335" s="4759"/>
      <c r="O335" s="4759"/>
      <c r="P335" s="4763"/>
      <c r="Q335" s="1059"/>
      <c r="R335" s="1059"/>
      <c r="S335" s="4758"/>
      <c r="T335" s="4759"/>
      <c r="U335" s="4759"/>
      <c r="V335" s="4805"/>
      <c r="W335" s="4805"/>
      <c r="X335" s="4759"/>
      <c r="Y335" s="4759"/>
      <c r="Z335" s="4763"/>
      <c r="AA335" s="1059"/>
      <c r="AB335" s="1059"/>
      <c r="AC335" s="4758"/>
      <c r="AD335" s="4759"/>
      <c r="AE335" s="4759"/>
      <c r="AF335" s="4806"/>
      <c r="AG335" s="4806"/>
      <c r="AH335" s="4759"/>
      <c r="AI335" s="4759"/>
      <c r="AJ335" s="4763"/>
      <c r="AK335" s="1059"/>
      <c r="AL335" s="1059"/>
      <c r="AM335" s="4853"/>
      <c r="AN335" s="4853"/>
      <c r="AO335" s="4853"/>
      <c r="AP335" s="1059"/>
      <c r="AQ335" s="1059"/>
      <c r="AR335" s="4758"/>
      <c r="AS335" s="4759"/>
      <c r="AT335" s="4759"/>
      <c r="AU335" s="4806"/>
      <c r="AV335" s="4806"/>
      <c r="AW335" s="4759"/>
      <c r="AX335" s="4759"/>
      <c r="AY335" s="4763"/>
      <c r="AZ335" s="1059"/>
      <c r="BA335" s="1059"/>
      <c r="BB335" s="4758"/>
      <c r="BC335" s="4759"/>
      <c r="BD335" s="4759"/>
      <c r="BE335" s="4805"/>
      <c r="BF335" s="4805"/>
      <c r="BG335" s="4759"/>
      <c r="BH335" s="4759"/>
      <c r="BI335" s="4763"/>
      <c r="BJ335" s="1059"/>
      <c r="BK335" s="1059"/>
      <c r="BL335" s="4758"/>
      <c r="BM335" s="4759"/>
      <c r="BN335" s="4759"/>
      <c r="BO335" s="4807"/>
      <c r="BP335" s="4807"/>
      <c r="BQ335" s="4759"/>
      <c r="BR335" s="4759"/>
      <c r="BS335" s="4763"/>
      <c r="BT335" s="1059"/>
      <c r="BU335" s="1059"/>
      <c r="BV335" s="1059"/>
      <c r="BW335" s="764"/>
      <c r="BX335" s="822"/>
      <c r="BY335" s="822"/>
      <c r="BZ335" s="822"/>
      <c r="CA335" s="822"/>
      <c r="CB335" s="822"/>
      <c r="CC335" s="822"/>
      <c r="CD335" s="822"/>
      <c r="CE335" s="822"/>
      <c r="CF335" s="822"/>
      <c r="CG335" s="822"/>
      <c r="CH335" s="822"/>
      <c r="CI335" s="822"/>
      <c r="CJ335" s="822"/>
      <c r="CK335" s="822"/>
      <c r="CL335" s="822"/>
      <c r="CM335" s="822"/>
      <c r="CN335" s="822"/>
      <c r="CO335" s="822"/>
      <c r="CP335" s="822"/>
      <c r="CQ335" s="822"/>
      <c r="CR335" s="822"/>
      <c r="CS335" s="822"/>
      <c r="CT335" s="822"/>
      <c r="CU335" s="822"/>
      <c r="CV335" s="822"/>
      <c r="CW335" s="822"/>
      <c r="CX335" s="822"/>
      <c r="CY335" s="822"/>
      <c r="CZ335" s="822"/>
      <c r="DA335" s="822"/>
      <c r="DB335" s="822"/>
      <c r="DC335" s="822"/>
      <c r="DD335" s="822"/>
      <c r="DE335" s="822"/>
      <c r="DF335" s="822"/>
      <c r="DG335" s="822"/>
      <c r="DH335" s="822"/>
      <c r="DI335" s="822"/>
      <c r="DJ335" s="822"/>
      <c r="DK335" s="822"/>
      <c r="DL335" s="822"/>
      <c r="DM335" s="822"/>
      <c r="DN335" s="822"/>
    </row>
    <row r="336" spans="5:148" ht="17.100000000000001" customHeight="1" x14ac:dyDescent="0.3">
      <c r="E336" s="762"/>
      <c r="F336" s="1059"/>
      <c r="G336" s="1059"/>
      <c r="H336" s="1059"/>
      <c r="I336" s="4766"/>
      <c r="J336" s="4768"/>
      <c r="K336" s="4769"/>
      <c r="L336" s="4769"/>
      <c r="M336" s="4769"/>
      <c r="N336" s="4769"/>
      <c r="O336" s="4770"/>
      <c r="P336" s="4777"/>
      <c r="Q336" s="1059"/>
      <c r="R336" s="1059"/>
      <c r="S336" s="4766"/>
      <c r="T336" s="4768"/>
      <c r="U336" s="4769"/>
      <c r="V336" s="4769"/>
      <c r="W336" s="4769"/>
      <c r="X336" s="4769"/>
      <c r="Y336" s="4770"/>
      <c r="Z336" s="4777"/>
      <c r="AA336" s="1059"/>
      <c r="AB336" s="1059"/>
      <c r="AC336" s="4766"/>
      <c r="AD336" s="4768"/>
      <c r="AE336" s="4769"/>
      <c r="AF336" s="4769"/>
      <c r="AG336" s="4769"/>
      <c r="AH336" s="4769"/>
      <c r="AI336" s="4770"/>
      <c r="AJ336" s="4777"/>
      <c r="AK336" s="1059"/>
      <c r="AL336" s="1059"/>
      <c r="AM336" s="4853"/>
      <c r="AN336" s="4853"/>
      <c r="AO336" s="4853"/>
      <c r="AP336" s="1059"/>
      <c r="AQ336" s="1059"/>
      <c r="AR336" s="4766"/>
      <c r="AS336" s="4768"/>
      <c r="AT336" s="4769"/>
      <c r="AU336" s="4769"/>
      <c r="AV336" s="4769"/>
      <c r="AW336" s="4769"/>
      <c r="AX336" s="4770"/>
      <c r="AY336" s="4777"/>
      <c r="AZ336" s="1059"/>
      <c r="BA336" s="1059"/>
      <c r="BB336" s="4766"/>
      <c r="BC336" s="4768"/>
      <c r="BD336" s="4769"/>
      <c r="BE336" s="4769"/>
      <c r="BF336" s="4769"/>
      <c r="BG336" s="4769"/>
      <c r="BH336" s="4770"/>
      <c r="BI336" s="4777"/>
      <c r="BJ336" s="1059"/>
      <c r="BK336" s="1059"/>
      <c r="BL336" s="4766"/>
      <c r="BM336" s="4768"/>
      <c r="BN336" s="4769"/>
      <c r="BO336" s="4769"/>
      <c r="BP336" s="4769"/>
      <c r="BQ336" s="4769"/>
      <c r="BR336" s="4770"/>
      <c r="BS336" s="4777"/>
      <c r="BT336" s="1059"/>
      <c r="BU336" s="1059"/>
      <c r="BV336" s="1059"/>
      <c r="BW336" s="764"/>
      <c r="BX336" s="822"/>
      <c r="BY336" s="822"/>
      <c r="BZ336" s="822"/>
      <c r="CA336" s="822"/>
      <c r="CB336" s="822"/>
      <c r="CC336" s="822"/>
      <c r="CD336" s="822"/>
      <c r="CE336" s="822"/>
      <c r="CF336" s="822"/>
      <c r="CG336" s="822"/>
      <c r="CH336" s="822"/>
      <c r="CI336" s="822"/>
      <c r="CJ336" s="4826" t="str">
        <f>IF(J336=0,"",J336)</f>
        <v/>
      </c>
      <c r="CK336" s="4827"/>
      <c r="CL336" s="4827"/>
      <c r="CM336" s="4827"/>
      <c r="CN336" s="4827"/>
      <c r="CO336" s="4828"/>
      <c r="CP336" s="822"/>
      <c r="CQ336" s="822"/>
      <c r="CR336" s="822"/>
      <c r="CS336" s="822"/>
      <c r="CT336" s="4826" t="str">
        <f>IF(T336=0,"",T336)</f>
        <v/>
      </c>
      <c r="CU336" s="4827"/>
      <c r="CV336" s="4827"/>
      <c r="CW336" s="4827"/>
      <c r="CX336" s="4827"/>
      <c r="CY336" s="4828"/>
      <c r="CZ336" s="822"/>
      <c r="DA336" s="822"/>
      <c r="DB336" s="822"/>
      <c r="DC336" s="822"/>
      <c r="DD336" s="4826" t="str">
        <f>IF(AD336=0,"",AD336)</f>
        <v/>
      </c>
      <c r="DE336" s="4827"/>
      <c r="DF336" s="4827"/>
      <c r="DG336" s="4827"/>
      <c r="DH336" s="4827"/>
      <c r="DI336" s="4828"/>
      <c r="DJ336" s="822"/>
      <c r="DK336" s="822"/>
      <c r="DL336" s="822"/>
      <c r="DM336" s="822"/>
      <c r="DN336" s="822"/>
      <c r="DO336" s="822"/>
      <c r="DP336" s="822"/>
      <c r="DQ336" s="822"/>
      <c r="DR336" s="822"/>
      <c r="DS336" s="4826" t="str">
        <f>IF(AS336=0,"",AS336)</f>
        <v/>
      </c>
      <c r="DT336" s="4827"/>
      <c r="DU336" s="4827"/>
      <c r="DV336" s="4827"/>
      <c r="DW336" s="4827"/>
      <c r="DX336" s="4828"/>
      <c r="DY336" s="822"/>
      <c r="DZ336" s="822"/>
      <c r="EA336" s="822"/>
      <c r="EB336" s="822"/>
      <c r="EC336" s="4826" t="str">
        <f>IF(BC336=0,"",BC336)</f>
        <v/>
      </c>
      <c r="ED336" s="4827"/>
      <c r="EE336" s="4827"/>
      <c r="EF336" s="4827"/>
      <c r="EG336" s="4827"/>
      <c r="EH336" s="4828"/>
      <c r="EI336" s="822"/>
      <c r="EJ336" s="822"/>
      <c r="EK336" s="822"/>
      <c r="EL336" s="822"/>
      <c r="EM336" s="4826" t="str">
        <f>IF(BM336=0,"",BM336)</f>
        <v/>
      </c>
      <c r="EN336" s="4827"/>
      <c r="EO336" s="4827"/>
      <c r="EP336" s="4827"/>
      <c r="EQ336" s="4827"/>
      <c r="ER336" s="4828"/>
    </row>
    <row r="337" spans="3:148" ht="17.100000000000001" customHeight="1" x14ac:dyDescent="0.3">
      <c r="E337" s="762"/>
      <c r="F337" s="1059"/>
      <c r="G337" s="1059"/>
      <c r="H337" s="1059"/>
      <c r="I337" s="4766"/>
      <c r="J337" s="4771"/>
      <c r="K337" s="4772"/>
      <c r="L337" s="4772"/>
      <c r="M337" s="4772"/>
      <c r="N337" s="4772"/>
      <c r="O337" s="4773"/>
      <c r="P337" s="4777"/>
      <c r="Q337" s="1059"/>
      <c r="R337" s="1059"/>
      <c r="S337" s="4766"/>
      <c r="T337" s="4771"/>
      <c r="U337" s="4772"/>
      <c r="V337" s="4772"/>
      <c r="W337" s="4772"/>
      <c r="X337" s="4772"/>
      <c r="Y337" s="4773"/>
      <c r="Z337" s="4777"/>
      <c r="AA337" s="1059"/>
      <c r="AB337" s="1059"/>
      <c r="AC337" s="4766"/>
      <c r="AD337" s="4771"/>
      <c r="AE337" s="4772"/>
      <c r="AF337" s="4772"/>
      <c r="AG337" s="4772"/>
      <c r="AH337" s="4772"/>
      <c r="AI337" s="4773"/>
      <c r="AJ337" s="4777"/>
      <c r="AK337" s="1059"/>
      <c r="AL337" s="1059"/>
      <c r="AM337" s="2285">
        <f>AN355</f>
        <v>0</v>
      </c>
      <c r="AN337" s="2276" t="s">
        <v>710</v>
      </c>
      <c r="AO337" s="1278"/>
      <c r="AP337" s="1059"/>
      <c r="AQ337" s="1059"/>
      <c r="AR337" s="4766"/>
      <c r="AS337" s="4771"/>
      <c r="AT337" s="4772"/>
      <c r="AU337" s="4772"/>
      <c r="AV337" s="4772"/>
      <c r="AW337" s="4772"/>
      <c r="AX337" s="4773"/>
      <c r="AY337" s="4777"/>
      <c r="AZ337" s="1059"/>
      <c r="BA337" s="1059"/>
      <c r="BB337" s="4766"/>
      <c r="BC337" s="4771"/>
      <c r="BD337" s="4772"/>
      <c r="BE337" s="4772"/>
      <c r="BF337" s="4772"/>
      <c r="BG337" s="4772"/>
      <c r="BH337" s="4773"/>
      <c r="BI337" s="4777"/>
      <c r="BJ337" s="1059"/>
      <c r="BK337" s="1059"/>
      <c r="BL337" s="4766"/>
      <c r="BM337" s="4771"/>
      <c r="BN337" s="4772"/>
      <c r="BO337" s="4772"/>
      <c r="BP337" s="4772"/>
      <c r="BQ337" s="4772"/>
      <c r="BR337" s="4773"/>
      <c r="BS337" s="4777"/>
      <c r="BT337" s="1059"/>
      <c r="BU337" s="1059"/>
      <c r="BV337" s="1059"/>
      <c r="BW337" s="764"/>
      <c r="BX337" s="822"/>
      <c r="BY337" s="822"/>
      <c r="BZ337" s="822"/>
      <c r="CA337" s="822"/>
      <c r="CB337" s="822"/>
      <c r="CC337" s="822"/>
      <c r="CD337" s="822"/>
      <c r="CE337" s="822"/>
      <c r="CF337" s="822"/>
      <c r="CG337" s="822"/>
      <c r="CH337" s="822"/>
      <c r="CI337" s="822"/>
      <c r="CJ337" s="4829"/>
      <c r="CK337" s="4830"/>
      <c r="CL337" s="4830"/>
      <c r="CM337" s="4830"/>
      <c r="CN337" s="4830"/>
      <c r="CO337" s="4831"/>
      <c r="CP337" s="822"/>
      <c r="CQ337" s="822"/>
      <c r="CR337" s="822"/>
      <c r="CS337" s="822"/>
      <c r="CT337" s="4829"/>
      <c r="CU337" s="4830"/>
      <c r="CV337" s="4830"/>
      <c r="CW337" s="4830"/>
      <c r="CX337" s="4830"/>
      <c r="CY337" s="4831"/>
      <c r="CZ337" s="822"/>
      <c r="DA337" s="822"/>
      <c r="DB337" s="822"/>
      <c r="DC337" s="822"/>
      <c r="DD337" s="4829"/>
      <c r="DE337" s="4830"/>
      <c r="DF337" s="4830"/>
      <c r="DG337" s="4830"/>
      <c r="DH337" s="4830"/>
      <c r="DI337" s="4831"/>
      <c r="DJ337" s="822"/>
      <c r="DK337" s="822"/>
      <c r="DL337" s="822"/>
      <c r="DM337" s="822"/>
      <c r="DN337" s="822"/>
      <c r="DO337" s="822"/>
      <c r="DP337" s="822"/>
      <c r="DQ337" s="822"/>
      <c r="DR337" s="822"/>
      <c r="DS337" s="4829"/>
      <c r="DT337" s="4830"/>
      <c r="DU337" s="4830"/>
      <c r="DV337" s="4830"/>
      <c r="DW337" s="4830"/>
      <c r="DX337" s="4831"/>
      <c r="DY337" s="822"/>
      <c r="DZ337" s="822"/>
      <c r="EA337" s="822"/>
      <c r="EB337" s="822"/>
      <c r="EC337" s="4829"/>
      <c r="ED337" s="4830"/>
      <c r="EE337" s="4830"/>
      <c r="EF337" s="4830"/>
      <c r="EG337" s="4830"/>
      <c r="EH337" s="4831"/>
      <c r="EI337" s="822"/>
      <c r="EJ337" s="822"/>
      <c r="EK337" s="822"/>
      <c r="EL337" s="822"/>
      <c r="EM337" s="4829"/>
      <c r="EN337" s="4830"/>
      <c r="EO337" s="4830"/>
      <c r="EP337" s="4830"/>
      <c r="EQ337" s="4830"/>
      <c r="ER337" s="4831"/>
    </row>
    <row r="338" spans="3:148" ht="17.100000000000001" customHeight="1" x14ac:dyDescent="0.3">
      <c r="E338" s="762"/>
      <c r="F338" s="1059"/>
      <c r="G338" s="1059"/>
      <c r="H338" s="1059"/>
      <c r="I338" s="4766"/>
      <c r="J338" s="4774"/>
      <c r="K338" s="4775"/>
      <c r="L338" s="4775"/>
      <c r="M338" s="4775"/>
      <c r="N338" s="4775"/>
      <c r="O338" s="4776"/>
      <c r="P338" s="4777"/>
      <c r="Q338" s="1059"/>
      <c r="R338" s="1059"/>
      <c r="S338" s="4766"/>
      <c r="T338" s="4774"/>
      <c r="U338" s="4775"/>
      <c r="V338" s="4775"/>
      <c r="W338" s="4775"/>
      <c r="X338" s="4775"/>
      <c r="Y338" s="4776"/>
      <c r="Z338" s="4777"/>
      <c r="AA338" s="1059"/>
      <c r="AB338" s="1059"/>
      <c r="AC338" s="4766"/>
      <c r="AD338" s="4774"/>
      <c r="AE338" s="4775"/>
      <c r="AF338" s="4775"/>
      <c r="AG338" s="4775"/>
      <c r="AH338" s="4775"/>
      <c r="AI338" s="4776"/>
      <c r="AJ338" s="4777"/>
      <c r="AK338" s="1059"/>
      <c r="AL338" s="1059"/>
      <c r="AM338" s="2285">
        <f>AN355</f>
        <v>0</v>
      </c>
      <c r="AN338" s="2277" t="s">
        <v>941</v>
      </c>
      <c r="AO338" s="1278"/>
      <c r="AP338" s="1059"/>
      <c r="AQ338" s="1059"/>
      <c r="AR338" s="4766"/>
      <c r="AS338" s="4774"/>
      <c r="AT338" s="4775"/>
      <c r="AU338" s="4775"/>
      <c r="AV338" s="4775"/>
      <c r="AW338" s="4775"/>
      <c r="AX338" s="4776"/>
      <c r="AY338" s="4777"/>
      <c r="AZ338" s="1059"/>
      <c r="BA338" s="1059"/>
      <c r="BB338" s="4766"/>
      <c r="BC338" s="4774"/>
      <c r="BD338" s="4775"/>
      <c r="BE338" s="4775"/>
      <c r="BF338" s="4775"/>
      <c r="BG338" s="4775"/>
      <c r="BH338" s="4776"/>
      <c r="BI338" s="4777"/>
      <c r="BJ338" s="1059"/>
      <c r="BK338" s="1059"/>
      <c r="BL338" s="4766"/>
      <c r="BM338" s="4774"/>
      <c r="BN338" s="4775"/>
      <c r="BO338" s="4775"/>
      <c r="BP338" s="4775"/>
      <c r="BQ338" s="4775"/>
      <c r="BR338" s="4776"/>
      <c r="BS338" s="4777"/>
      <c r="BT338" s="1059"/>
      <c r="BU338" s="1059"/>
      <c r="BV338" s="1059"/>
      <c r="BW338" s="764"/>
      <c r="BX338" s="822"/>
      <c r="BY338" s="822"/>
      <c r="BZ338" s="822"/>
      <c r="CA338" s="822"/>
      <c r="CB338" s="822"/>
      <c r="CC338" s="822"/>
      <c r="CD338" s="822"/>
      <c r="CE338" s="822"/>
      <c r="CF338" s="822"/>
      <c r="CG338" s="822"/>
      <c r="CH338" s="822"/>
      <c r="CI338" s="822"/>
      <c r="CJ338" s="4832"/>
      <c r="CK338" s="4833"/>
      <c r="CL338" s="4833"/>
      <c r="CM338" s="4833"/>
      <c r="CN338" s="4833"/>
      <c r="CO338" s="4834"/>
      <c r="CP338" s="822"/>
      <c r="CQ338" s="822"/>
      <c r="CR338" s="822"/>
      <c r="CS338" s="822"/>
      <c r="CT338" s="4832"/>
      <c r="CU338" s="4833"/>
      <c r="CV338" s="4833"/>
      <c r="CW338" s="4833"/>
      <c r="CX338" s="4833"/>
      <c r="CY338" s="4834"/>
      <c r="CZ338" s="822"/>
      <c r="DA338" s="822"/>
      <c r="DB338" s="822"/>
      <c r="DC338" s="822"/>
      <c r="DD338" s="4832"/>
      <c r="DE338" s="4833"/>
      <c r="DF338" s="4833"/>
      <c r="DG338" s="4833"/>
      <c r="DH338" s="4833"/>
      <c r="DI338" s="4834"/>
      <c r="DJ338" s="822"/>
      <c r="DK338" s="822"/>
      <c r="DL338" s="822"/>
      <c r="DM338" s="822"/>
      <c r="DN338" s="822"/>
      <c r="DO338" s="822"/>
      <c r="DP338" s="822"/>
      <c r="DQ338" s="822"/>
      <c r="DR338" s="822"/>
      <c r="DS338" s="4832"/>
      <c r="DT338" s="4833"/>
      <c r="DU338" s="4833"/>
      <c r="DV338" s="4833"/>
      <c r="DW338" s="4833"/>
      <c r="DX338" s="4834"/>
      <c r="DY338" s="822"/>
      <c r="DZ338" s="822"/>
      <c r="EA338" s="822"/>
      <c r="EB338" s="822"/>
      <c r="EC338" s="4832"/>
      <c r="ED338" s="4833"/>
      <c r="EE338" s="4833"/>
      <c r="EF338" s="4833"/>
      <c r="EG338" s="4833"/>
      <c r="EH338" s="4834"/>
      <c r="EI338" s="822"/>
      <c r="EJ338" s="822"/>
      <c r="EK338" s="822"/>
      <c r="EL338" s="822"/>
      <c r="EM338" s="4832"/>
      <c r="EN338" s="4833"/>
      <c r="EO338" s="4833"/>
      <c r="EP338" s="4833"/>
      <c r="EQ338" s="4833"/>
      <c r="ER338" s="4834"/>
    </row>
    <row r="339" spans="3:148" ht="17.100000000000001" customHeight="1" thickBot="1" x14ac:dyDescent="0.35">
      <c r="E339" s="762"/>
      <c r="F339" s="1059"/>
      <c r="G339" s="1059"/>
      <c r="H339" s="1059"/>
      <c r="I339" s="4767"/>
      <c r="J339" s="4789" t="s">
        <v>505</v>
      </c>
      <c r="K339" s="4789"/>
      <c r="L339" s="4789"/>
      <c r="M339" s="4789"/>
      <c r="N339" s="4789"/>
      <c r="O339" s="4789"/>
      <c r="P339" s="4778"/>
      <c r="Q339" s="1059"/>
      <c r="R339" s="1059"/>
      <c r="S339" s="4767"/>
      <c r="T339" s="4789" t="s">
        <v>505</v>
      </c>
      <c r="U339" s="4789"/>
      <c r="V339" s="4789"/>
      <c r="W339" s="4789"/>
      <c r="X339" s="4789"/>
      <c r="Y339" s="4789"/>
      <c r="Z339" s="4778"/>
      <c r="AA339" s="1059"/>
      <c r="AB339" s="1059"/>
      <c r="AC339" s="4767"/>
      <c r="AD339" s="4789" t="s">
        <v>505</v>
      </c>
      <c r="AE339" s="4789"/>
      <c r="AF339" s="4789"/>
      <c r="AG339" s="4789"/>
      <c r="AH339" s="4789"/>
      <c r="AI339" s="4789"/>
      <c r="AJ339" s="4778"/>
      <c r="AK339" s="1059"/>
      <c r="AL339" s="1059"/>
      <c r="AM339" s="2285">
        <f>AN355</f>
        <v>0</v>
      </c>
      <c r="AN339" s="2278" t="s">
        <v>144</v>
      </c>
      <c r="AO339" s="1278"/>
      <c r="AP339" s="1059"/>
      <c r="AQ339" s="1059"/>
      <c r="AR339" s="4767"/>
      <c r="AS339" s="4789" t="s">
        <v>505</v>
      </c>
      <c r="AT339" s="4789"/>
      <c r="AU339" s="4789"/>
      <c r="AV339" s="4789"/>
      <c r="AW339" s="4789"/>
      <c r="AX339" s="4789"/>
      <c r="AY339" s="4778"/>
      <c r="AZ339" s="1059"/>
      <c r="BA339" s="1059"/>
      <c r="BB339" s="4767"/>
      <c r="BC339" s="4789" t="s">
        <v>505</v>
      </c>
      <c r="BD339" s="4789"/>
      <c r="BE339" s="4789"/>
      <c r="BF339" s="4789"/>
      <c r="BG339" s="4789"/>
      <c r="BH339" s="4789"/>
      <c r="BI339" s="4778"/>
      <c r="BJ339" s="1059"/>
      <c r="BK339" s="1059"/>
      <c r="BL339" s="4767"/>
      <c r="BM339" s="4789" t="s">
        <v>505</v>
      </c>
      <c r="BN339" s="4789"/>
      <c r="BO339" s="4789"/>
      <c r="BP339" s="4789"/>
      <c r="BQ339" s="4789"/>
      <c r="BR339" s="4789"/>
      <c r="BS339" s="4778"/>
      <c r="BT339" s="1059"/>
      <c r="BU339" s="1059"/>
      <c r="BV339" s="1059"/>
      <c r="BW339" s="764"/>
      <c r="BX339" s="822"/>
      <c r="BY339" s="822"/>
      <c r="BZ339" s="822"/>
      <c r="CA339" s="822"/>
      <c r="CB339" s="822"/>
      <c r="CC339" s="822"/>
      <c r="CD339" s="822"/>
      <c r="CE339" s="822"/>
      <c r="CF339" s="822"/>
      <c r="CG339" s="822"/>
      <c r="CH339" s="822"/>
      <c r="CI339" s="822"/>
      <c r="CJ339" s="822"/>
      <c r="CK339" s="822"/>
      <c r="CL339" s="822"/>
      <c r="CM339" s="822"/>
      <c r="CN339" s="822"/>
      <c r="CO339" s="822"/>
      <c r="CP339" s="822"/>
      <c r="CQ339" s="822"/>
      <c r="CR339" s="822"/>
      <c r="CS339" s="822"/>
      <c r="CT339" s="822"/>
      <c r="CU339" s="822"/>
      <c r="CV339" s="822"/>
      <c r="CW339" s="822"/>
      <c r="CX339" s="822"/>
      <c r="CY339" s="822"/>
      <c r="CZ339" s="822"/>
      <c r="DA339" s="822"/>
      <c r="DB339" s="822"/>
      <c r="DC339" s="822"/>
      <c r="DD339" s="822"/>
      <c r="DE339" s="822"/>
      <c r="DF339" s="822"/>
      <c r="DG339" s="822"/>
      <c r="DH339" s="822"/>
      <c r="DI339" s="822"/>
      <c r="DJ339" s="822"/>
      <c r="DK339" s="822"/>
      <c r="DL339" s="822"/>
      <c r="DM339" s="822"/>
      <c r="DN339" s="822"/>
      <c r="DO339" s="822"/>
      <c r="DP339" s="822"/>
      <c r="DQ339" s="822"/>
      <c r="DR339" s="822"/>
      <c r="DS339" s="822"/>
      <c r="DT339" s="822"/>
      <c r="DU339" s="822"/>
      <c r="DV339" s="822"/>
      <c r="DW339" s="822"/>
      <c r="DX339" s="822"/>
      <c r="DY339" s="822"/>
      <c r="DZ339" s="822"/>
      <c r="EA339" s="822"/>
      <c r="EB339" s="822"/>
      <c r="EC339" s="822"/>
      <c r="ED339" s="822"/>
      <c r="EE339" s="822"/>
      <c r="EF339" s="822"/>
      <c r="EG339" s="822"/>
      <c r="EH339" s="822"/>
      <c r="EI339" s="822"/>
      <c r="EJ339" s="822"/>
      <c r="EK339" s="822"/>
      <c r="EL339" s="822"/>
      <c r="EM339" s="822"/>
      <c r="EN339" s="822"/>
      <c r="EO339" s="822"/>
      <c r="EP339" s="822"/>
      <c r="EQ339" s="822"/>
      <c r="ER339" s="822"/>
    </row>
    <row r="340" spans="3:148" ht="17.100000000000001" customHeight="1" thickTop="1" x14ac:dyDescent="0.3">
      <c r="E340" s="762"/>
      <c r="F340" s="1059"/>
      <c r="G340" s="1059"/>
      <c r="H340" s="1059"/>
      <c r="I340" s="1059"/>
      <c r="J340" s="1059"/>
      <c r="K340" s="1059"/>
      <c r="L340" s="1059"/>
      <c r="M340" s="1059"/>
      <c r="N340" s="1059"/>
      <c r="O340" s="1059"/>
      <c r="P340" s="1059"/>
      <c r="Q340" s="1059"/>
      <c r="R340" s="1059"/>
      <c r="S340" s="1059"/>
      <c r="T340" s="1059"/>
      <c r="U340" s="1059"/>
      <c r="V340" s="1059"/>
      <c r="W340" s="1059"/>
      <c r="X340" s="1059"/>
      <c r="Y340" s="1059"/>
      <c r="Z340" s="1059"/>
      <c r="AA340" s="1059"/>
      <c r="AB340" s="1059"/>
      <c r="AC340" s="1059"/>
      <c r="AD340" s="1059"/>
      <c r="AE340" s="1059"/>
      <c r="AF340" s="1059"/>
      <c r="AG340" s="1059"/>
      <c r="AH340" s="1059"/>
      <c r="AI340" s="1059"/>
      <c r="AJ340" s="1059"/>
      <c r="AK340" s="1059"/>
      <c r="AL340" s="1059"/>
      <c r="AM340" s="2285">
        <f>AN355</f>
        <v>0</v>
      </c>
      <c r="AN340" s="2279" t="s">
        <v>939</v>
      </c>
      <c r="AO340" s="1278"/>
      <c r="AP340" s="1059"/>
      <c r="AQ340" s="1059"/>
      <c r="AR340" s="1059"/>
      <c r="AS340" s="1059"/>
      <c r="AT340" s="1059"/>
      <c r="AU340" s="1059"/>
      <c r="AV340" s="1059"/>
      <c r="AW340" s="1059"/>
      <c r="AX340" s="1059"/>
      <c r="AY340" s="1059"/>
      <c r="AZ340" s="1059"/>
      <c r="BA340" s="1059"/>
      <c r="BB340" s="1059"/>
      <c r="BC340" s="1059"/>
      <c r="BD340" s="1059"/>
      <c r="BE340" s="1059"/>
      <c r="BF340" s="1059"/>
      <c r="BG340" s="1059"/>
      <c r="BH340" s="1059"/>
      <c r="BI340" s="1059"/>
      <c r="BJ340" s="1059"/>
      <c r="BK340" s="1059"/>
      <c r="BL340" s="1059"/>
      <c r="BM340" s="1059"/>
      <c r="BN340" s="1059"/>
      <c r="BO340" s="1059"/>
      <c r="BP340" s="1059"/>
      <c r="BQ340" s="1059"/>
      <c r="BR340" s="1059"/>
      <c r="BS340" s="1059"/>
      <c r="BT340" s="1059"/>
      <c r="BU340" s="1059"/>
      <c r="BV340" s="1059"/>
      <c r="BW340" s="764"/>
      <c r="BX340" s="822"/>
      <c r="BY340" s="822"/>
      <c r="BZ340" s="822"/>
      <c r="CA340" s="822"/>
      <c r="CB340" s="822"/>
      <c r="CC340" s="822"/>
      <c r="CD340" s="822"/>
      <c r="CE340" s="822"/>
      <c r="CF340" s="822"/>
      <c r="CG340" s="822"/>
      <c r="CH340" s="822"/>
      <c r="CI340" s="822"/>
      <c r="CJ340" s="822"/>
      <c r="CK340" s="822"/>
      <c r="CL340" s="822"/>
      <c r="CM340" s="822"/>
      <c r="CN340" s="822"/>
      <c r="CO340" s="822"/>
      <c r="CP340" s="822"/>
      <c r="CQ340" s="822"/>
      <c r="CR340" s="822"/>
      <c r="CS340" s="822"/>
      <c r="CT340" s="822"/>
      <c r="CU340" s="822"/>
      <c r="CV340" s="822"/>
      <c r="CW340" s="822"/>
      <c r="CX340" s="822"/>
      <c r="CY340" s="822"/>
      <c r="CZ340" s="822"/>
      <c r="DA340" s="822"/>
      <c r="DB340" s="822"/>
      <c r="DC340" s="822"/>
      <c r="DD340" s="822"/>
      <c r="DE340" s="822"/>
      <c r="DF340" s="822"/>
      <c r="DG340" s="822"/>
      <c r="DH340" s="822"/>
      <c r="DI340" s="822"/>
      <c r="DJ340" s="822"/>
      <c r="DK340" s="822"/>
      <c r="DL340" s="822"/>
      <c r="DM340" s="822"/>
      <c r="DN340" s="822"/>
      <c r="DO340" s="822"/>
      <c r="DP340" s="822"/>
      <c r="DQ340" s="822"/>
      <c r="DR340" s="822"/>
      <c r="DS340" s="822"/>
      <c r="DT340" s="822"/>
      <c r="DU340" s="822"/>
      <c r="DV340" s="822"/>
      <c r="DW340" s="822"/>
      <c r="DX340" s="822"/>
      <c r="DY340" s="822"/>
      <c r="DZ340" s="822"/>
      <c r="EA340" s="822"/>
      <c r="EB340" s="822"/>
      <c r="EC340" s="822"/>
      <c r="ED340" s="822"/>
      <c r="EE340" s="822"/>
      <c r="EF340" s="822"/>
      <c r="EG340" s="822"/>
      <c r="EH340" s="822"/>
      <c r="EI340" s="822"/>
      <c r="EJ340" s="822"/>
      <c r="EK340" s="822"/>
      <c r="EL340" s="822"/>
      <c r="EM340" s="822"/>
      <c r="EN340" s="822"/>
      <c r="EO340" s="822"/>
      <c r="EP340" s="822"/>
      <c r="EQ340" s="822"/>
      <c r="ER340" s="822"/>
    </row>
    <row r="341" spans="3:148" ht="17.100000000000001" customHeight="1" thickBot="1" x14ac:dyDescent="0.35">
      <c r="E341" s="762"/>
      <c r="F341" s="1059"/>
      <c r="G341" s="1059"/>
      <c r="H341" s="1059"/>
      <c r="I341" s="1059"/>
      <c r="J341" s="1059"/>
      <c r="K341" s="1059"/>
      <c r="L341" s="1059"/>
      <c r="M341" s="1059"/>
      <c r="N341" s="1059"/>
      <c r="O341" s="1059"/>
      <c r="P341" s="1059"/>
      <c r="Q341" s="1059"/>
      <c r="R341" s="1059"/>
      <c r="S341" s="1059"/>
      <c r="T341" s="1059"/>
      <c r="U341" s="1059"/>
      <c r="V341" s="1059"/>
      <c r="W341" s="1059"/>
      <c r="X341" s="1059"/>
      <c r="Y341" s="1059"/>
      <c r="Z341" s="1059"/>
      <c r="AA341" s="1059"/>
      <c r="AB341" s="1059"/>
      <c r="AC341" s="1059"/>
      <c r="AD341" s="1059"/>
      <c r="AE341" s="1059"/>
      <c r="AF341" s="1059"/>
      <c r="AG341" s="1059"/>
      <c r="AH341" s="1059"/>
      <c r="AI341" s="1059"/>
      <c r="AJ341" s="1059"/>
      <c r="AK341" s="1059"/>
      <c r="AL341" s="1059"/>
      <c r="AM341" s="2285">
        <f>AN355</f>
        <v>0</v>
      </c>
      <c r="AN341" s="2280" t="s">
        <v>942</v>
      </c>
      <c r="AO341" s="1278"/>
      <c r="AP341" s="1059"/>
      <c r="AQ341" s="1059"/>
      <c r="AR341" s="1059"/>
      <c r="AS341" s="1059"/>
      <c r="AT341" s="1059"/>
      <c r="AU341" s="1059"/>
      <c r="AV341" s="1059"/>
      <c r="AW341" s="1059"/>
      <c r="AX341" s="1059"/>
      <c r="AY341" s="1059"/>
      <c r="AZ341" s="1059"/>
      <c r="BA341" s="1059"/>
      <c r="BB341" s="1059"/>
      <c r="BC341" s="1059"/>
      <c r="BD341" s="1059"/>
      <c r="BE341" s="1059"/>
      <c r="BF341" s="1059"/>
      <c r="BG341" s="1059"/>
      <c r="BH341" s="1059"/>
      <c r="BI341" s="1059"/>
      <c r="BJ341" s="1059"/>
      <c r="BK341" s="1059"/>
      <c r="BL341" s="1059"/>
      <c r="BM341" s="1059"/>
      <c r="BN341" s="1059"/>
      <c r="BO341" s="1059"/>
      <c r="BP341" s="1059"/>
      <c r="BQ341" s="1059"/>
      <c r="BR341" s="1059"/>
      <c r="BS341" s="1059"/>
      <c r="BT341" s="1059"/>
      <c r="BU341" s="1059"/>
      <c r="BV341" s="1059"/>
      <c r="BW341" s="764"/>
      <c r="BX341" s="822"/>
      <c r="BY341" s="822"/>
      <c r="BZ341" s="822"/>
      <c r="CA341" s="822"/>
      <c r="CB341" s="822"/>
      <c r="CC341" s="822"/>
      <c r="CD341" s="822"/>
      <c r="CE341" s="822"/>
      <c r="CF341" s="822"/>
      <c r="CG341" s="822"/>
      <c r="CH341" s="822"/>
      <c r="CI341" s="822"/>
      <c r="CJ341" s="822"/>
      <c r="CK341" s="822"/>
      <c r="CL341" s="822"/>
      <c r="CM341" s="822"/>
      <c r="CN341" s="822"/>
      <c r="CO341" s="822"/>
      <c r="CP341" s="822"/>
      <c r="CQ341" s="822"/>
      <c r="CR341" s="822"/>
      <c r="CS341" s="822"/>
      <c r="CT341" s="822"/>
      <c r="CU341" s="822"/>
      <c r="CV341" s="822"/>
      <c r="CW341" s="822"/>
      <c r="CX341" s="822"/>
      <c r="CY341" s="822"/>
      <c r="CZ341" s="822"/>
      <c r="DA341" s="822"/>
      <c r="DB341" s="822"/>
      <c r="DC341" s="822"/>
      <c r="DD341" s="822"/>
      <c r="DE341" s="822"/>
      <c r="DF341" s="822"/>
      <c r="DG341" s="822"/>
      <c r="DH341" s="822"/>
      <c r="DI341" s="822"/>
      <c r="DJ341" s="822"/>
      <c r="DK341" s="822"/>
      <c r="DL341" s="822"/>
      <c r="DM341" s="822"/>
      <c r="DN341" s="822"/>
      <c r="DO341" s="822"/>
      <c r="DP341" s="822"/>
      <c r="DQ341" s="822"/>
      <c r="DR341" s="822"/>
      <c r="DS341" s="822"/>
      <c r="DT341" s="822"/>
      <c r="DU341" s="822"/>
      <c r="DV341" s="822"/>
      <c r="DW341" s="822"/>
      <c r="DX341" s="822"/>
      <c r="DY341" s="822"/>
      <c r="DZ341" s="822"/>
      <c r="EA341" s="822"/>
      <c r="EB341" s="822"/>
      <c r="EC341" s="822"/>
      <c r="ED341" s="822"/>
      <c r="EE341" s="822"/>
      <c r="EF341" s="822"/>
      <c r="EG341" s="822"/>
      <c r="EH341" s="822"/>
      <c r="EI341" s="822"/>
      <c r="EJ341" s="822"/>
      <c r="EK341" s="822"/>
      <c r="EL341" s="822"/>
      <c r="EM341" s="822"/>
      <c r="EN341" s="822"/>
      <c r="EO341" s="822"/>
      <c r="EP341" s="822"/>
      <c r="EQ341" s="822"/>
      <c r="ER341" s="822"/>
    </row>
    <row r="342" spans="3:148" ht="17.100000000000001" customHeight="1" thickTop="1" x14ac:dyDescent="0.3">
      <c r="E342" s="762"/>
      <c r="F342" s="1059"/>
      <c r="G342" s="1059"/>
      <c r="H342" s="1059"/>
      <c r="I342" s="4756" t="s">
        <v>72</v>
      </c>
      <c r="J342" s="4757"/>
      <c r="K342" s="4757"/>
      <c r="L342" s="4787" t="s">
        <v>941</v>
      </c>
      <c r="M342" s="4801"/>
      <c r="N342" s="4757" t="s">
        <v>72</v>
      </c>
      <c r="O342" s="4757"/>
      <c r="P342" s="4762"/>
      <c r="Q342" s="1059"/>
      <c r="R342" s="1059"/>
      <c r="S342" s="4756" t="s">
        <v>72</v>
      </c>
      <c r="T342" s="4757"/>
      <c r="U342" s="4757"/>
      <c r="V342" s="4783" t="s">
        <v>941</v>
      </c>
      <c r="W342" s="4799"/>
      <c r="X342" s="4757" t="s">
        <v>72</v>
      </c>
      <c r="Y342" s="4757"/>
      <c r="Z342" s="4762"/>
      <c r="AA342" s="1059"/>
      <c r="AB342" s="1059"/>
      <c r="AC342" s="4756" t="s">
        <v>72</v>
      </c>
      <c r="AD342" s="4757"/>
      <c r="AE342" s="4757"/>
      <c r="AF342" s="4785" t="s">
        <v>941</v>
      </c>
      <c r="AG342" s="4803"/>
      <c r="AH342" s="4757" t="s">
        <v>72</v>
      </c>
      <c r="AI342" s="4757"/>
      <c r="AJ342" s="4762"/>
      <c r="AK342" s="1059"/>
      <c r="AL342" s="1059"/>
      <c r="AM342" s="2285">
        <f>AN355</f>
        <v>0</v>
      </c>
      <c r="AN342" s="2281" t="s">
        <v>940</v>
      </c>
      <c r="AO342" s="1278"/>
      <c r="AP342" s="1059"/>
      <c r="AQ342" s="1059"/>
      <c r="AR342" s="4756" t="s">
        <v>72</v>
      </c>
      <c r="AS342" s="4757"/>
      <c r="AT342" s="4757"/>
      <c r="AU342" s="4785" t="s">
        <v>942</v>
      </c>
      <c r="AV342" s="4803"/>
      <c r="AW342" s="4757" t="s">
        <v>72</v>
      </c>
      <c r="AX342" s="4757"/>
      <c r="AY342" s="4762"/>
      <c r="AZ342" s="1059"/>
      <c r="BA342" s="1059"/>
      <c r="BB342" s="4756" t="s">
        <v>72</v>
      </c>
      <c r="BC342" s="4757"/>
      <c r="BD342" s="4757"/>
      <c r="BE342" s="4783" t="s">
        <v>942</v>
      </c>
      <c r="BF342" s="4799"/>
      <c r="BG342" s="4757" t="s">
        <v>72</v>
      </c>
      <c r="BH342" s="4757"/>
      <c r="BI342" s="4762"/>
      <c r="BJ342" s="1059"/>
      <c r="BK342" s="1059"/>
      <c r="BL342" s="4756" t="s">
        <v>72</v>
      </c>
      <c r="BM342" s="4757"/>
      <c r="BN342" s="4757"/>
      <c r="BO342" s="4787" t="s">
        <v>942</v>
      </c>
      <c r="BP342" s="4801"/>
      <c r="BQ342" s="4757" t="s">
        <v>72</v>
      </c>
      <c r="BR342" s="4757"/>
      <c r="BS342" s="4762"/>
      <c r="BT342" s="1059"/>
      <c r="BU342" s="1059"/>
      <c r="BV342" s="1059"/>
      <c r="BW342" s="764"/>
      <c r="BX342" s="822"/>
      <c r="BY342" s="822"/>
      <c r="BZ342" s="822"/>
      <c r="CA342" s="822"/>
      <c r="CB342" s="822"/>
      <c r="CC342" s="822"/>
      <c r="CD342" s="822"/>
      <c r="CE342" s="822"/>
      <c r="CF342" s="822"/>
      <c r="CG342" s="822"/>
      <c r="CH342" s="822"/>
      <c r="CI342" s="822"/>
      <c r="CJ342" s="822"/>
      <c r="CK342" s="822"/>
      <c r="CL342" s="822"/>
      <c r="CM342" s="822"/>
      <c r="CN342" s="822"/>
      <c r="CO342" s="822"/>
      <c r="CP342" s="822"/>
      <c r="CQ342" s="822"/>
      <c r="CR342" s="822"/>
      <c r="CS342" s="822"/>
      <c r="CT342" s="822"/>
      <c r="CU342" s="822"/>
      <c r="CV342" s="822"/>
      <c r="CW342" s="822"/>
      <c r="CX342" s="822"/>
      <c r="CY342" s="822"/>
      <c r="CZ342" s="822"/>
      <c r="DA342" s="822"/>
      <c r="DB342" s="822"/>
      <c r="DC342" s="822"/>
      <c r="DD342" s="822"/>
      <c r="DE342" s="822"/>
      <c r="DF342" s="822"/>
      <c r="DG342" s="822"/>
      <c r="DH342" s="822"/>
      <c r="DI342" s="822"/>
      <c r="DJ342" s="822"/>
      <c r="DK342" s="822"/>
      <c r="DL342" s="822"/>
      <c r="DM342" s="822"/>
      <c r="DN342" s="822"/>
      <c r="DO342" s="822"/>
      <c r="DP342" s="822"/>
      <c r="DQ342" s="822"/>
      <c r="DR342" s="822"/>
      <c r="DS342" s="822"/>
      <c r="DT342" s="822"/>
      <c r="DU342" s="822"/>
      <c r="DV342" s="822"/>
      <c r="DW342" s="822"/>
      <c r="DX342" s="822"/>
      <c r="DY342" s="822"/>
      <c r="DZ342" s="822"/>
      <c r="EA342" s="822"/>
      <c r="EB342" s="822"/>
      <c r="EC342" s="822"/>
      <c r="ED342" s="822"/>
      <c r="EE342" s="822"/>
      <c r="EF342" s="822"/>
      <c r="EG342" s="822"/>
      <c r="EH342" s="822"/>
      <c r="EI342" s="822"/>
      <c r="EJ342" s="822"/>
      <c r="EK342" s="822"/>
      <c r="EL342" s="822"/>
      <c r="EM342" s="822"/>
      <c r="EN342" s="822"/>
      <c r="EO342" s="822"/>
      <c r="EP342" s="822"/>
      <c r="EQ342" s="822"/>
      <c r="ER342" s="822"/>
    </row>
    <row r="343" spans="3:148" ht="17.100000000000001" customHeight="1" x14ac:dyDescent="0.3">
      <c r="E343" s="762"/>
      <c r="F343" s="1059"/>
      <c r="G343" s="1059"/>
      <c r="H343" s="1059"/>
      <c r="I343" s="4758"/>
      <c r="J343" s="4759"/>
      <c r="K343" s="4759"/>
      <c r="L343" s="4802"/>
      <c r="M343" s="4802"/>
      <c r="N343" s="4759"/>
      <c r="O343" s="4759"/>
      <c r="P343" s="4763"/>
      <c r="Q343" s="1059"/>
      <c r="R343" s="1059"/>
      <c r="S343" s="4758"/>
      <c r="T343" s="4759"/>
      <c r="U343" s="4759"/>
      <c r="V343" s="4800"/>
      <c r="W343" s="4800"/>
      <c r="X343" s="4759"/>
      <c r="Y343" s="4759"/>
      <c r="Z343" s="4763"/>
      <c r="AA343" s="1059"/>
      <c r="AB343" s="1059"/>
      <c r="AC343" s="4758"/>
      <c r="AD343" s="4759"/>
      <c r="AE343" s="4759"/>
      <c r="AF343" s="4804"/>
      <c r="AG343" s="4804"/>
      <c r="AH343" s="4759"/>
      <c r="AI343" s="4759"/>
      <c r="AJ343" s="4763"/>
      <c r="AK343" s="1059"/>
      <c r="AL343" s="1059"/>
      <c r="AM343" s="2285">
        <f>AN355</f>
        <v>0</v>
      </c>
      <c r="AN343" s="2282" t="s">
        <v>710</v>
      </c>
      <c r="AO343" s="1278"/>
      <c r="AP343" s="1059"/>
      <c r="AQ343" s="1059"/>
      <c r="AR343" s="4758"/>
      <c r="AS343" s="4759"/>
      <c r="AT343" s="4759"/>
      <c r="AU343" s="4804"/>
      <c r="AV343" s="4804"/>
      <c r="AW343" s="4759"/>
      <c r="AX343" s="4759"/>
      <c r="AY343" s="4763"/>
      <c r="AZ343" s="1059"/>
      <c r="BA343" s="1059"/>
      <c r="BB343" s="4758"/>
      <c r="BC343" s="4759"/>
      <c r="BD343" s="4759"/>
      <c r="BE343" s="4800"/>
      <c r="BF343" s="4800"/>
      <c r="BG343" s="4759"/>
      <c r="BH343" s="4759"/>
      <c r="BI343" s="4763"/>
      <c r="BJ343" s="1059"/>
      <c r="BK343" s="1059"/>
      <c r="BL343" s="4758"/>
      <c r="BM343" s="4759"/>
      <c r="BN343" s="4759"/>
      <c r="BO343" s="4802"/>
      <c r="BP343" s="4802"/>
      <c r="BQ343" s="4759"/>
      <c r="BR343" s="4759"/>
      <c r="BS343" s="4763"/>
      <c r="BT343" s="1059"/>
      <c r="BU343" s="1059"/>
      <c r="BV343" s="1059"/>
      <c r="BW343" s="764"/>
      <c r="CJ343" s="822"/>
      <c r="CK343" s="822"/>
      <c r="CL343" s="822"/>
      <c r="CM343" s="822"/>
      <c r="CN343" s="822"/>
      <c r="CO343" s="822"/>
      <c r="CP343" s="822"/>
      <c r="CQ343" s="822"/>
      <c r="CR343" s="822"/>
      <c r="CS343" s="822"/>
      <c r="CT343" s="822"/>
      <c r="CU343" s="822"/>
      <c r="CV343" s="822"/>
      <c r="CW343" s="822"/>
      <c r="CX343" s="822"/>
      <c r="CY343" s="822"/>
      <c r="CZ343" s="822"/>
      <c r="DA343" s="822"/>
      <c r="DB343" s="822"/>
      <c r="DC343" s="822"/>
      <c r="DD343" s="822"/>
      <c r="DE343" s="822"/>
      <c r="DF343" s="822"/>
      <c r="DG343" s="822"/>
      <c r="DH343" s="822"/>
      <c r="DI343" s="822"/>
      <c r="DJ343" s="822"/>
      <c r="DK343" s="822"/>
      <c r="DL343" s="822"/>
      <c r="DM343" s="822"/>
      <c r="DN343" s="822"/>
      <c r="DO343" s="822"/>
      <c r="DP343" s="822"/>
      <c r="DQ343" s="822"/>
      <c r="DR343" s="822"/>
      <c r="DS343" s="822"/>
      <c r="DT343" s="822"/>
      <c r="DU343" s="822"/>
      <c r="DV343" s="822"/>
      <c r="DW343" s="822"/>
      <c r="DX343" s="822"/>
      <c r="DY343" s="822"/>
      <c r="DZ343" s="822"/>
      <c r="EA343" s="822"/>
      <c r="EB343" s="822"/>
      <c r="EC343" s="822"/>
      <c r="ED343" s="822"/>
      <c r="EE343" s="822"/>
      <c r="EF343" s="822"/>
      <c r="EG343" s="822"/>
      <c r="EH343" s="822"/>
      <c r="EI343" s="822"/>
      <c r="EJ343" s="822"/>
      <c r="EK343" s="822"/>
      <c r="EL343" s="822"/>
      <c r="EM343" s="822"/>
      <c r="EN343" s="822"/>
      <c r="EO343" s="822"/>
      <c r="EP343" s="822"/>
      <c r="EQ343" s="822"/>
      <c r="ER343" s="822"/>
    </row>
    <row r="344" spans="3:148" ht="17.100000000000001" customHeight="1" x14ac:dyDescent="0.3">
      <c r="E344" s="762"/>
      <c r="F344" s="1059"/>
      <c r="G344" s="1059"/>
      <c r="H344" s="1059"/>
      <c r="I344" s="4766"/>
      <c r="J344" s="4768"/>
      <c r="K344" s="4769"/>
      <c r="L344" s="4769"/>
      <c r="M344" s="4769"/>
      <c r="N344" s="4769"/>
      <c r="O344" s="4770"/>
      <c r="P344" s="4777"/>
      <c r="Q344" s="1059"/>
      <c r="R344" s="1059"/>
      <c r="S344" s="4766"/>
      <c r="T344" s="4768"/>
      <c r="U344" s="4769"/>
      <c r="V344" s="4769"/>
      <c r="W344" s="4769"/>
      <c r="X344" s="4769"/>
      <c r="Y344" s="4770"/>
      <c r="Z344" s="4777"/>
      <c r="AA344" s="1059"/>
      <c r="AB344" s="1059"/>
      <c r="AC344" s="4766"/>
      <c r="AD344" s="4768"/>
      <c r="AE344" s="4769"/>
      <c r="AF344" s="4769"/>
      <c r="AG344" s="4769"/>
      <c r="AH344" s="4769"/>
      <c r="AI344" s="4770"/>
      <c r="AJ344" s="4777"/>
      <c r="AK344" s="1059"/>
      <c r="AL344" s="1059"/>
      <c r="AM344" s="2285">
        <f>AN355</f>
        <v>0</v>
      </c>
      <c r="AN344" s="2283" t="s">
        <v>941</v>
      </c>
      <c r="AO344" s="1278"/>
      <c r="AP344" s="1059"/>
      <c r="AQ344" s="1059"/>
      <c r="AR344" s="4766"/>
      <c r="AS344" s="4768"/>
      <c r="AT344" s="4769"/>
      <c r="AU344" s="4769"/>
      <c r="AV344" s="4769"/>
      <c r="AW344" s="4769"/>
      <c r="AX344" s="4770"/>
      <c r="AY344" s="4777"/>
      <c r="AZ344" s="1059"/>
      <c r="BA344" s="1059"/>
      <c r="BB344" s="4766"/>
      <c r="BC344" s="4768"/>
      <c r="BD344" s="4769"/>
      <c r="BE344" s="4769"/>
      <c r="BF344" s="4769"/>
      <c r="BG344" s="4769"/>
      <c r="BH344" s="4770"/>
      <c r="BI344" s="4777"/>
      <c r="BJ344" s="1059"/>
      <c r="BK344" s="1059"/>
      <c r="BL344" s="4766"/>
      <c r="BM344" s="4768"/>
      <c r="BN344" s="4769"/>
      <c r="BO344" s="4769"/>
      <c r="BP344" s="4769"/>
      <c r="BQ344" s="4769"/>
      <c r="BR344" s="4770"/>
      <c r="BS344" s="4777"/>
      <c r="BT344" s="1059"/>
      <c r="BU344" s="1059"/>
      <c r="BV344" s="1059"/>
      <c r="BW344" s="764"/>
      <c r="BX344" s="822"/>
      <c r="BY344" s="822"/>
      <c r="BZ344" s="822"/>
      <c r="CA344" s="822"/>
      <c r="CB344" s="822"/>
      <c r="CC344" s="822"/>
      <c r="CD344" s="822"/>
      <c r="CE344" s="822"/>
      <c r="CF344" s="822"/>
      <c r="CG344" s="822"/>
      <c r="CH344" s="822"/>
      <c r="CI344" s="822"/>
      <c r="CJ344" s="4826" t="str">
        <f>IF(J344=0,"",J344)</f>
        <v/>
      </c>
      <c r="CK344" s="4827"/>
      <c r="CL344" s="4827"/>
      <c r="CM344" s="4827"/>
      <c r="CN344" s="4827"/>
      <c r="CO344" s="4828"/>
      <c r="CP344" s="822"/>
      <c r="CQ344" s="822"/>
      <c r="CR344" s="822"/>
      <c r="CS344" s="822"/>
      <c r="CT344" s="4826" t="str">
        <f>IF(T344=0,"",T344)</f>
        <v/>
      </c>
      <c r="CU344" s="4827"/>
      <c r="CV344" s="4827"/>
      <c r="CW344" s="4827"/>
      <c r="CX344" s="4827"/>
      <c r="CY344" s="4828"/>
      <c r="CZ344" s="822"/>
      <c r="DA344" s="822"/>
      <c r="DB344" s="822"/>
      <c r="DC344" s="822"/>
      <c r="DD344" s="4826" t="str">
        <f>IF(AD344=0,"",AD344)</f>
        <v/>
      </c>
      <c r="DE344" s="4827"/>
      <c r="DF344" s="4827"/>
      <c r="DG344" s="4827"/>
      <c r="DH344" s="4827"/>
      <c r="DI344" s="4828"/>
      <c r="DJ344" s="822"/>
      <c r="DK344" s="822"/>
      <c r="DL344" s="822"/>
      <c r="DM344" s="822"/>
      <c r="DN344" s="822"/>
      <c r="DO344" s="822"/>
      <c r="DP344" s="822"/>
      <c r="DQ344" s="822"/>
      <c r="DR344" s="822"/>
      <c r="DS344" s="4826" t="str">
        <f>IF(AS344=0,"",AS344)</f>
        <v/>
      </c>
      <c r="DT344" s="4827"/>
      <c r="DU344" s="4827"/>
      <c r="DV344" s="4827"/>
      <c r="DW344" s="4827"/>
      <c r="DX344" s="4828"/>
      <c r="DY344" s="822"/>
      <c r="DZ344" s="822"/>
      <c r="EA344" s="822"/>
      <c r="EB344" s="822"/>
      <c r="EC344" s="4826" t="str">
        <f>IF(BC344=0,"",BC344)</f>
        <v/>
      </c>
      <c r="ED344" s="4827"/>
      <c r="EE344" s="4827"/>
      <c r="EF344" s="4827"/>
      <c r="EG344" s="4827"/>
      <c r="EH344" s="4828"/>
      <c r="EI344" s="822"/>
      <c r="EJ344" s="822"/>
      <c r="EK344" s="822"/>
      <c r="EL344" s="822"/>
      <c r="EM344" s="4826" t="str">
        <f>IF(BM344=0,"",BM344)</f>
        <v/>
      </c>
      <c r="EN344" s="4827"/>
      <c r="EO344" s="4827"/>
      <c r="EP344" s="4827"/>
      <c r="EQ344" s="4827"/>
      <c r="ER344" s="4828"/>
    </row>
    <row r="345" spans="3:148" ht="17.100000000000001" customHeight="1" x14ac:dyDescent="0.3">
      <c r="E345" s="762"/>
      <c r="F345" s="1059"/>
      <c r="G345" s="1059"/>
      <c r="H345" s="1059"/>
      <c r="I345" s="4766"/>
      <c r="J345" s="4771"/>
      <c r="K345" s="4772"/>
      <c r="L345" s="4772"/>
      <c r="M345" s="4772"/>
      <c r="N345" s="4772"/>
      <c r="O345" s="4773"/>
      <c r="P345" s="4777"/>
      <c r="Q345" s="1059"/>
      <c r="R345" s="1059"/>
      <c r="S345" s="4766"/>
      <c r="T345" s="4771"/>
      <c r="U345" s="4772"/>
      <c r="V345" s="4772"/>
      <c r="W345" s="4772"/>
      <c r="X345" s="4772"/>
      <c r="Y345" s="4773"/>
      <c r="Z345" s="4777"/>
      <c r="AA345" s="1059"/>
      <c r="AB345" s="1059"/>
      <c r="AC345" s="4766"/>
      <c r="AD345" s="4771"/>
      <c r="AE345" s="4772"/>
      <c r="AF345" s="4772"/>
      <c r="AG345" s="4772"/>
      <c r="AH345" s="4772"/>
      <c r="AI345" s="4773"/>
      <c r="AJ345" s="4777"/>
      <c r="AK345" s="1059"/>
      <c r="AL345" s="1059"/>
      <c r="AM345" s="2285">
        <f>AN355</f>
        <v>0</v>
      </c>
      <c r="AN345" s="2284" t="s">
        <v>144</v>
      </c>
      <c r="AO345" s="1278"/>
      <c r="AP345" s="1059"/>
      <c r="AQ345" s="1059"/>
      <c r="AR345" s="4766"/>
      <c r="AS345" s="4771"/>
      <c r="AT345" s="4772"/>
      <c r="AU345" s="4772"/>
      <c r="AV345" s="4772"/>
      <c r="AW345" s="4772"/>
      <c r="AX345" s="4773"/>
      <c r="AY345" s="4777"/>
      <c r="AZ345" s="1059"/>
      <c r="BA345" s="1059"/>
      <c r="BB345" s="4766"/>
      <c r="BC345" s="4771"/>
      <c r="BD345" s="4772"/>
      <c r="BE345" s="4772"/>
      <c r="BF345" s="4772"/>
      <c r="BG345" s="4772"/>
      <c r="BH345" s="4773"/>
      <c r="BI345" s="4777"/>
      <c r="BJ345" s="1059"/>
      <c r="BK345" s="1059"/>
      <c r="BL345" s="4766"/>
      <c r="BM345" s="4771"/>
      <c r="BN345" s="4772"/>
      <c r="BO345" s="4772"/>
      <c r="BP345" s="4772"/>
      <c r="BQ345" s="4772"/>
      <c r="BR345" s="4773"/>
      <c r="BS345" s="4777"/>
      <c r="BT345" s="1059"/>
      <c r="BU345" s="1059"/>
      <c r="BV345" s="1059"/>
      <c r="BW345" s="764"/>
      <c r="BX345" s="822"/>
      <c r="BY345" s="822"/>
      <c r="BZ345" s="822"/>
      <c r="CA345" s="822"/>
      <c r="CB345" s="822"/>
      <c r="CC345" s="822"/>
      <c r="CD345" s="822"/>
      <c r="CE345" s="822"/>
      <c r="CF345" s="822"/>
      <c r="CG345" s="822"/>
      <c r="CH345" s="822"/>
      <c r="CI345" s="822"/>
      <c r="CJ345" s="4829"/>
      <c r="CK345" s="4830"/>
      <c r="CL345" s="4830"/>
      <c r="CM345" s="4830"/>
      <c r="CN345" s="4830"/>
      <c r="CO345" s="4831"/>
      <c r="CP345" s="822"/>
      <c r="CQ345" s="822"/>
      <c r="CR345" s="822"/>
      <c r="CS345" s="822"/>
      <c r="CT345" s="4829"/>
      <c r="CU345" s="4830"/>
      <c r="CV345" s="4830"/>
      <c r="CW345" s="4830"/>
      <c r="CX345" s="4830"/>
      <c r="CY345" s="4831"/>
      <c r="CZ345" s="822"/>
      <c r="DA345" s="822"/>
      <c r="DB345" s="822"/>
      <c r="DC345" s="822"/>
      <c r="DD345" s="4829"/>
      <c r="DE345" s="4830"/>
      <c r="DF345" s="4830"/>
      <c r="DG345" s="4830"/>
      <c r="DH345" s="4830"/>
      <c r="DI345" s="4831"/>
      <c r="DJ345" s="822"/>
      <c r="DK345" s="822"/>
      <c r="DL345" s="822"/>
      <c r="DM345" s="822"/>
      <c r="DN345" s="822"/>
      <c r="DO345" s="822"/>
      <c r="DP345" s="822"/>
      <c r="DQ345" s="822"/>
      <c r="DR345" s="822"/>
      <c r="DS345" s="4829"/>
      <c r="DT345" s="4830"/>
      <c r="DU345" s="4830"/>
      <c r="DV345" s="4830"/>
      <c r="DW345" s="4830"/>
      <c r="DX345" s="4831"/>
      <c r="DY345" s="822"/>
      <c r="DZ345" s="822"/>
      <c r="EA345" s="822"/>
      <c r="EB345" s="822"/>
      <c r="EC345" s="4829"/>
      <c r="ED345" s="4830"/>
      <c r="EE345" s="4830"/>
      <c r="EF345" s="4830"/>
      <c r="EG345" s="4830"/>
      <c r="EH345" s="4831"/>
      <c r="EI345" s="822"/>
      <c r="EJ345" s="822"/>
      <c r="EK345" s="822"/>
      <c r="EL345" s="822"/>
      <c r="EM345" s="4829"/>
      <c r="EN345" s="4830"/>
      <c r="EO345" s="4830"/>
      <c r="EP345" s="4830"/>
      <c r="EQ345" s="4830"/>
      <c r="ER345" s="4831"/>
    </row>
    <row r="346" spans="3:148" ht="17.100000000000001" customHeight="1" x14ac:dyDescent="0.3">
      <c r="C346" s="1436"/>
      <c r="E346" s="762"/>
      <c r="F346" s="1059"/>
      <c r="G346" s="1059"/>
      <c r="H346" s="1059"/>
      <c r="I346" s="4766"/>
      <c r="J346" s="4774"/>
      <c r="K346" s="4775"/>
      <c r="L346" s="4775"/>
      <c r="M346" s="4775"/>
      <c r="N346" s="4775"/>
      <c r="O346" s="4776"/>
      <c r="P346" s="4777"/>
      <c r="Q346" s="1059"/>
      <c r="R346" s="1059"/>
      <c r="S346" s="4766"/>
      <c r="T346" s="4774"/>
      <c r="U346" s="4775"/>
      <c r="V346" s="4775"/>
      <c r="W346" s="4775"/>
      <c r="X346" s="4775"/>
      <c r="Y346" s="4776"/>
      <c r="Z346" s="4777"/>
      <c r="AA346" s="1059"/>
      <c r="AB346" s="1059"/>
      <c r="AC346" s="4766"/>
      <c r="AD346" s="4774"/>
      <c r="AE346" s="4775"/>
      <c r="AF346" s="4775"/>
      <c r="AG346" s="4775"/>
      <c r="AH346" s="4775"/>
      <c r="AI346" s="4776"/>
      <c r="AJ346" s="4777"/>
      <c r="AK346" s="1059"/>
      <c r="AL346" s="1059"/>
      <c r="AM346" s="2285">
        <f>AN355</f>
        <v>0</v>
      </c>
      <c r="AN346" s="2276" t="s">
        <v>939</v>
      </c>
      <c r="AO346" s="1278"/>
      <c r="AP346" s="1059"/>
      <c r="AQ346" s="1059"/>
      <c r="AR346" s="4766"/>
      <c r="AS346" s="4774"/>
      <c r="AT346" s="4775"/>
      <c r="AU346" s="4775"/>
      <c r="AV346" s="4775"/>
      <c r="AW346" s="4775"/>
      <c r="AX346" s="4776"/>
      <c r="AY346" s="4777"/>
      <c r="AZ346" s="1059"/>
      <c r="BA346" s="1059"/>
      <c r="BB346" s="4766"/>
      <c r="BC346" s="4774"/>
      <c r="BD346" s="4775"/>
      <c r="BE346" s="4775"/>
      <c r="BF346" s="4775"/>
      <c r="BG346" s="4775"/>
      <c r="BH346" s="4776"/>
      <c r="BI346" s="4777"/>
      <c r="BJ346" s="1059"/>
      <c r="BK346" s="1059"/>
      <c r="BL346" s="4766"/>
      <c r="BM346" s="4774"/>
      <c r="BN346" s="4775"/>
      <c r="BO346" s="4775"/>
      <c r="BP346" s="4775"/>
      <c r="BQ346" s="4775"/>
      <c r="BR346" s="4776"/>
      <c r="BS346" s="4777"/>
      <c r="BT346" s="1059"/>
      <c r="BU346" s="1059"/>
      <c r="BV346" s="1059"/>
      <c r="BW346" s="764"/>
      <c r="BX346" s="822"/>
      <c r="BY346" s="822"/>
      <c r="BZ346" s="822"/>
      <c r="CA346" s="822"/>
      <c r="CB346" s="822"/>
      <c r="CC346" s="822"/>
      <c r="CD346" s="822"/>
      <c r="CE346" s="822"/>
      <c r="CF346" s="822"/>
      <c r="CG346" s="822"/>
      <c r="CH346" s="822"/>
      <c r="CI346" s="822"/>
      <c r="CJ346" s="4832"/>
      <c r="CK346" s="4833"/>
      <c r="CL346" s="4833"/>
      <c r="CM346" s="4833"/>
      <c r="CN346" s="4833"/>
      <c r="CO346" s="4834"/>
      <c r="CP346" s="822"/>
      <c r="CQ346" s="822"/>
      <c r="CR346" s="822"/>
      <c r="CS346" s="822"/>
      <c r="CT346" s="4832"/>
      <c r="CU346" s="4833"/>
      <c r="CV346" s="4833"/>
      <c r="CW346" s="4833"/>
      <c r="CX346" s="4833"/>
      <c r="CY346" s="4834"/>
      <c r="CZ346" s="822"/>
      <c r="DA346" s="822"/>
      <c r="DB346" s="822"/>
      <c r="DC346" s="822"/>
      <c r="DD346" s="4832"/>
      <c r="DE346" s="4833"/>
      <c r="DF346" s="4833"/>
      <c r="DG346" s="4833"/>
      <c r="DH346" s="4833"/>
      <c r="DI346" s="4834"/>
      <c r="DJ346" s="822"/>
      <c r="DK346" s="822"/>
      <c r="DL346" s="822"/>
      <c r="DM346" s="822"/>
      <c r="DN346" s="822"/>
      <c r="DO346" s="822"/>
      <c r="DP346" s="822"/>
      <c r="DQ346" s="822"/>
      <c r="DR346" s="822"/>
      <c r="DS346" s="4832"/>
      <c r="DT346" s="4833"/>
      <c r="DU346" s="4833"/>
      <c r="DV346" s="4833"/>
      <c r="DW346" s="4833"/>
      <c r="DX346" s="4834"/>
      <c r="DY346" s="822"/>
      <c r="DZ346" s="822"/>
      <c r="EA346" s="822"/>
      <c r="EB346" s="822"/>
      <c r="EC346" s="4832"/>
      <c r="ED346" s="4833"/>
      <c r="EE346" s="4833"/>
      <c r="EF346" s="4833"/>
      <c r="EG346" s="4833"/>
      <c r="EH346" s="4834"/>
      <c r="EI346" s="822"/>
      <c r="EJ346" s="822"/>
      <c r="EK346" s="822"/>
      <c r="EL346" s="822"/>
      <c r="EM346" s="4832"/>
      <c r="EN346" s="4833"/>
      <c r="EO346" s="4833"/>
      <c r="EP346" s="4833"/>
      <c r="EQ346" s="4833"/>
      <c r="ER346" s="4834"/>
    </row>
    <row r="347" spans="3:148" ht="17.100000000000001" customHeight="1" thickBot="1" x14ac:dyDescent="0.35">
      <c r="C347" s="1436"/>
      <c r="E347" s="762"/>
      <c r="F347" s="1059"/>
      <c r="G347" s="1059"/>
      <c r="H347" s="1059"/>
      <c r="I347" s="4767"/>
      <c r="J347" s="4789" t="s">
        <v>505</v>
      </c>
      <c r="K347" s="4789"/>
      <c r="L347" s="4789"/>
      <c r="M347" s="4789"/>
      <c r="N347" s="4789"/>
      <c r="O347" s="4789"/>
      <c r="P347" s="4778"/>
      <c r="Q347" s="1059"/>
      <c r="R347" s="1059"/>
      <c r="S347" s="4767"/>
      <c r="T347" s="4789" t="s">
        <v>505</v>
      </c>
      <c r="U347" s="4789"/>
      <c r="V347" s="4789"/>
      <c r="W347" s="4789"/>
      <c r="X347" s="4789"/>
      <c r="Y347" s="4789"/>
      <c r="Z347" s="4778"/>
      <c r="AA347" s="1059"/>
      <c r="AB347" s="1059"/>
      <c r="AC347" s="4767"/>
      <c r="AD347" s="4789" t="s">
        <v>505</v>
      </c>
      <c r="AE347" s="4789"/>
      <c r="AF347" s="4789"/>
      <c r="AG347" s="4789"/>
      <c r="AH347" s="4789"/>
      <c r="AI347" s="4789"/>
      <c r="AJ347" s="4778"/>
      <c r="AK347" s="1059"/>
      <c r="AL347" s="1059"/>
      <c r="AM347" s="2285">
        <f>AN355</f>
        <v>0</v>
      </c>
      <c r="AN347" s="2277" t="s">
        <v>942</v>
      </c>
      <c r="AO347" s="1278"/>
      <c r="AP347" s="1059"/>
      <c r="AQ347" s="1059"/>
      <c r="AR347" s="4767"/>
      <c r="AS347" s="4789" t="s">
        <v>505</v>
      </c>
      <c r="AT347" s="4789"/>
      <c r="AU347" s="4789"/>
      <c r="AV347" s="4789"/>
      <c r="AW347" s="4789"/>
      <c r="AX347" s="4789"/>
      <c r="AY347" s="4778"/>
      <c r="AZ347" s="1059"/>
      <c r="BA347" s="1059"/>
      <c r="BB347" s="4767"/>
      <c r="BC347" s="4789" t="s">
        <v>505</v>
      </c>
      <c r="BD347" s="4789"/>
      <c r="BE347" s="4789"/>
      <c r="BF347" s="4789"/>
      <c r="BG347" s="4789"/>
      <c r="BH347" s="4789"/>
      <c r="BI347" s="4778"/>
      <c r="BJ347" s="1059"/>
      <c r="BK347" s="1059"/>
      <c r="BL347" s="4767"/>
      <c r="BM347" s="4789" t="s">
        <v>505</v>
      </c>
      <c r="BN347" s="4789"/>
      <c r="BO347" s="4789"/>
      <c r="BP347" s="4789"/>
      <c r="BQ347" s="4789"/>
      <c r="BR347" s="4789"/>
      <c r="BS347" s="4778"/>
      <c r="BT347" s="1059"/>
      <c r="BU347" s="1059"/>
      <c r="BV347" s="1059"/>
      <c r="BW347" s="764"/>
      <c r="BX347" s="822"/>
      <c r="BY347" s="822"/>
      <c r="BZ347" s="822"/>
      <c r="CA347" s="822"/>
      <c r="CB347" s="822"/>
      <c r="CC347" s="822"/>
      <c r="CD347" s="822"/>
      <c r="CE347" s="822"/>
      <c r="CF347" s="822"/>
      <c r="CG347" s="822"/>
      <c r="CH347" s="822"/>
      <c r="CI347" s="822"/>
      <c r="CQ347" s="822"/>
      <c r="CR347" s="822"/>
      <c r="CS347" s="822"/>
      <c r="CT347" s="822"/>
      <c r="CU347" s="822"/>
      <c r="CV347" s="822"/>
      <c r="CW347" s="822"/>
      <c r="CX347" s="822"/>
      <c r="CY347" s="822"/>
      <c r="CZ347" s="822"/>
      <c r="DA347" s="822"/>
      <c r="DB347" s="822"/>
      <c r="DC347" s="822"/>
      <c r="DD347" s="822"/>
      <c r="DE347" s="822"/>
      <c r="DF347" s="822"/>
      <c r="DG347" s="822"/>
      <c r="DH347" s="822"/>
      <c r="DI347" s="822"/>
      <c r="DJ347" s="822"/>
      <c r="DK347" s="822"/>
      <c r="DL347" s="822"/>
      <c r="DM347" s="822"/>
      <c r="DN347" s="822"/>
      <c r="DO347" s="822"/>
      <c r="DP347" s="822"/>
      <c r="DQ347" s="822"/>
      <c r="DR347" s="822"/>
      <c r="DZ347" s="822"/>
      <c r="EA347" s="822"/>
      <c r="EB347" s="822"/>
      <c r="EC347" s="822"/>
      <c r="ED347" s="822"/>
      <c r="EE347" s="822"/>
      <c r="EF347" s="822"/>
      <c r="EG347" s="822"/>
      <c r="EH347" s="822"/>
      <c r="EI347" s="822"/>
      <c r="EJ347" s="822"/>
      <c r="EK347" s="822"/>
      <c r="EL347" s="822"/>
      <c r="EM347" s="822"/>
      <c r="EN347" s="822"/>
      <c r="EO347" s="822"/>
      <c r="EP347" s="822"/>
      <c r="EQ347" s="822"/>
      <c r="ER347" s="822"/>
    </row>
    <row r="348" spans="3:148" ht="17.100000000000001" customHeight="1" thickTop="1" x14ac:dyDescent="0.3">
      <c r="C348" s="1436"/>
      <c r="E348" s="762"/>
      <c r="F348" s="1059"/>
      <c r="G348" s="1059"/>
      <c r="H348" s="1059"/>
      <c r="I348" s="1059"/>
      <c r="J348" s="1059"/>
      <c r="K348" s="1059"/>
      <c r="L348" s="1059"/>
      <c r="M348" s="1059"/>
      <c r="N348" s="1059"/>
      <c r="O348" s="1059"/>
      <c r="P348" s="1059"/>
      <c r="Q348" s="1059"/>
      <c r="R348" s="1059"/>
      <c r="S348" s="1059"/>
      <c r="T348" s="1059"/>
      <c r="U348" s="1059"/>
      <c r="V348" s="1059"/>
      <c r="W348" s="1059"/>
      <c r="X348" s="1059"/>
      <c r="Y348" s="1059"/>
      <c r="Z348" s="1059"/>
      <c r="AA348" s="1059"/>
      <c r="AB348" s="1059"/>
      <c r="AC348" s="1059"/>
      <c r="AD348" s="1059"/>
      <c r="AE348" s="1059"/>
      <c r="AF348" s="1059"/>
      <c r="AG348" s="1059"/>
      <c r="AH348" s="1059"/>
      <c r="AI348" s="1059"/>
      <c r="AJ348" s="1059"/>
      <c r="AK348" s="1059"/>
      <c r="AL348" s="1059"/>
      <c r="AM348" s="2285">
        <f>AN355</f>
        <v>0</v>
      </c>
      <c r="AN348" s="2278" t="s">
        <v>940</v>
      </c>
      <c r="AO348" s="1278"/>
      <c r="AP348" s="1059"/>
      <c r="AQ348" s="1059"/>
      <c r="AR348" s="1059"/>
      <c r="AS348" s="1059"/>
      <c r="AT348" s="1059"/>
      <c r="AU348" s="1059"/>
      <c r="AV348" s="1059"/>
      <c r="AW348" s="1059"/>
      <c r="AX348" s="1059"/>
      <c r="AY348" s="1059"/>
      <c r="AZ348" s="1059"/>
      <c r="BA348" s="1059"/>
      <c r="BB348" s="1059"/>
      <c r="BC348" s="1059"/>
      <c r="BD348" s="1059"/>
      <c r="BE348" s="1059"/>
      <c r="BF348" s="1059"/>
      <c r="BG348" s="1059"/>
      <c r="BH348" s="1059"/>
      <c r="BI348" s="1059"/>
      <c r="BJ348" s="1059"/>
      <c r="BK348" s="1059"/>
      <c r="BL348" s="1059"/>
      <c r="BM348" s="1059"/>
      <c r="BN348" s="1059"/>
      <c r="BO348" s="1059"/>
      <c r="BP348" s="1059"/>
      <c r="BQ348" s="1059"/>
      <c r="BR348" s="1059"/>
      <c r="BS348" s="1059"/>
      <c r="BT348" s="1059"/>
      <c r="BU348" s="1059"/>
      <c r="BV348" s="1059"/>
      <c r="BW348" s="764"/>
      <c r="BX348" s="822"/>
      <c r="BY348" s="822"/>
      <c r="BZ348" s="822"/>
      <c r="CA348" s="822"/>
      <c r="CB348" s="822"/>
      <c r="CC348" s="822"/>
      <c r="CD348" s="822"/>
      <c r="CE348" s="822"/>
      <c r="CF348" s="822"/>
      <c r="CG348" s="822"/>
      <c r="CH348" s="822"/>
      <c r="CI348" s="822"/>
      <c r="CQ348" s="822"/>
      <c r="CR348" s="822"/>
      <c r="CS348" s="822"/>
      <c r="CT348" s="822"/>
      <c r="CU348" s="822"/>
      <c r="CV348" s="822"/>
      <c r="CW348" s="822"/>
      <c r="CX348" s="822"/>
      <c r="CY348" s="822"/>
      <c r="CZ348" s="822"/>
      <c r="DA348" s="822"/>
      <c r="DB348" s="822"/>
      <c r="DC348" s="822"/>
      <c r="DD348" s="822"/>
      <c r="DE348" s="822"/>
      <c r="DF348" s="822"/>
      <c r="DG348" s="822"/>
      <c r="DH348" s="822"/>
      <c r="DI348" s="822"/>
      <c r="DJ348" s="822"/>
      <c r="DK348" s="822"/>
      <c r="DL348" s="822"/>
      <c r="DM348" s="822"/>
      <c r="DN348" s="822"/>
      <c r="DO348" s="822"/>
      <c r="DP348" s="822"/>
      <c r="DQ348" s="822"/>
      <c r="DR348" s="822"/>
      <c r="DZ348" s="822"/>
      <c r="EA348" s="822"/>
      <c r="EB348" s="822"/>
      <c r="EC348" s="822"/>
      <c r="ED348" s="822"/>
      <c r="EE348" s="822"/>
      <c r="EF348" s="822"/>
      <c r="EG348" s="822"/>
      <c r="EH348" s="822"/>
      <c r="EI348" s="822"/>
      <c r="EJ348" s="822"/>
      <c r="EK348" s="822"/>
      <c r="EL348" s="822"/>
      <c r="EM348" s="822"/>
      <c r="EN348" s="822"/>
      <c r="EO348" s="822"/>
      <c r="EP348" s="822"/>
      <c r="EQ348" s="822"/>
      <c r="ER348" s="822"/>
    </row>
    <row r="349" spans="3:148" ht="17.100000000000001" customHeight="1" thickBot="1" x14ac:dyDescent="0.35">
      <c r="E349" s="762"/>
      <c r="F349" s="1059"/>
      <c r="G349" s="1059"/>
      <c r="H349" s="1059"/>
      <c r="I349" s="1059"/>
      <c r="J349" s="1059"/>
      <c r="K349" s="1059"/>
      <c r="L349" s="1059"/>
      <c r="M349" s="1059"/>
      <c r="N349" s="1059"/>
      <c r="O349" s="1059"/>
      <c r="P349" s="1059"/>
      <c r="Q349" s="1059"/>
      <c r="R349" s="1059"/>
      <c r="S349" s="1059"/>
      <c r="T349" s="1059"/>
      <c r="U349" s="1059"/>
      <c r="V349" s="1059"/>
      <c r="W349" s="1059"/>
      <c r="X349" s="1059"/>
      <c r="Y349" s="1059"/>
      <c r="Z349" s="1059"/>
      <c r="AA349" s="1059"/>
      <c r="AB349" s="1059"/>
      <c r="AC349" s="1059"/>
      <c r="AD349" s="1059"/>
      <c r="AE349" s="1059"/>
      <c r="AF349" s="1059"/>
      <c r="AG349" s="1059"/>
      <c r="AH349" s="1059"/>
      <c r="AI349" s="1059"/>
      <c r="AJ349" s="1059"/>
      <c r="AK349" s="1059"/>
      <c r="AL349" s="1059"/>
      <c r="AM349" s="2285">
        <f>AN355</f>
        <v>0</v>
      </c>
      <c r="AN349" s="2279" t="s">
        <v>710</v>
      </c>
      <c r="AO349" s="1278"/>
      <c r="AP349" s="1059"/>
      <c r="AQ349" s="1059"/>
      <c r="AR349" s="1059"/>
      <c r="AS349" s="1059"/>
      <c r="AT349" s="1059"/>
      <c r="AU349" s="1059"/>
      <c r="AV349" s="1059"/>
      <c r="AW349" s="1059"/>
      <c r="AX349" s="1059"/>
      <c r="AY349" s="1059"/>
      <c r="AZ349" s="1059"/>
      <c r="BA349" s="1059"/>
      <c r="BB349" s="1059"/>
      <c r="BC349" s="1059"/>
      <c r="BD349" s="1059"/>
      <c r="BE349" s="1059"/>
      <c r="BF349" s="1059"/>
      <c r="BG349" s="1059"/>
      <c r="BH349" s="1059"/>
      <c r="BI349" s="1059"/>
      <c r="BJ349" s="1059"/>
      <c r="BK349" s="1059"/>
      <c r="BL349" s="1059"/>
      <c r="BM349" s="1059"/>
      <c r="BN349" s="1059"/>
      <c r="BO349" s="1059"/>
      <c r="BP349" s="1059"/>
      <c r="BQ349" s="1059"/>
      <c r="BR349" s="1059"/>
      <c r="BS349" s="1059"/>
      <c r="BT349" s="1059"/>
      <c r="BU349" s="1059"/>
      <c r="BV349" s="1059"/>
      <c r="BW349" s="764"/>
      <c r="BX349" s="822"/>
      <c r="BY349" s="822"/>
      <c r="BZ349" s="822"/>
      <c r="CA349" s="822"/>
      <c r="CB349" s="822"/>
      <c r="CC349" s="822"/>
      <c r="CD349" s="822"/>
      <c r="CE349" s="822"/>
      <c r="CF349" s="822"/>
      <c r="CG349" s="822"/>
      <c r="CH349" s="822"/>
      <c r="CI349" s="822"/>
      <c r="CJ349" s="822"/>
      <c r="CK349" s="822"/>
      <c r="CL349" s="822"/>
      <c r="CM349" s="822"/>
      <c r="CN349" s="822"/>
      <c r="CO349" s="822"/>
      <c r="CP349" s="822"/>
      <c r="CQ349" s="822"/>
      <c r="CR349" s="822"/>
      <c r="CS349" s="822"/>
      <c r="CT349" s="822"/>
      <c r="CU349" s="822"/>
      <c r="CV349" s="822"/>
      <c r="CW349" s="822"/>
      <c r="CX349" s="822"/>
      <c r="CY349" s="822"/>
      <c r="CZ349" s="822"/>
      <c r="DA349" s="822"/>
      <c r="DB349" s="822"/>
      <c r="DC349" s="822"/>
      <c r="DD349" s="822"/>
      <c r="DE349" s="822"/>
      <c r="DF349" s="822"/>
      <c r="DG349" s="822"/>
      <c r="DH349" s="822"/>
      <c r="DI349" s="822"/>
      <c r="DJ349" s="822"/>
      <c r="DK349" s="822"/>
      <c r="DL349" s="822"/>
      <c r="DM349" s="822"/>
      <c r="DN349" s="822"/>
      <c r="DO349" s="822"/>
      <c r="DP349" s="822"/>
      <c r="DQ349" s="822"/>
      <c r="DR349" s="822"/>
      <c r="DS349" s="822"/>
      <c r="DT349" s="822"/>
      <c r="DU349" s="822"/>
      <c r="DV349" s="822"/>
      <c r="DW349" s="822"/>
      <c r="DX349" s="822"/>
      <c r="DY349" s="822"/>
      <c r="DZ349" s="822"/>
      <c r="EA349" s="822"/>
      <c r="EB349" s="822"/>
      <c r="EC349" s="822"/>
      <c r="ED349" s="822"/>
      <c r="EE349" s="822"/>
      <c r="EF349" s="822"/>
      <c r="EG349" s="822"/>
      <c r="EH349" s="822"/>
      <c r="EI349" s="822"/>
      <c r="EJ349" s="822"/>
      <c r="EK349" s="822"/>
      <c r="EL349" s="822"/>
      <c r="EM349" s="822"/>
      <c r="EN349" s="822"/>
      <c r="EO349" s="822"/>
      <c r="EP349" s="822"/>
      <c r="EQ349" s="822"/>
      <c r="ER349" s="822"/>
    </row>
    <row r="350" spans="3:148" ht="17.100000000000001" customHeight="1" thickTop="1" x14ac:dyDescent="0.3">
      <c r="E350" s="762"/>
      <c r="F350" s="1059"/>
      <c r="G350" s="1059"/>
      <c r="H350" s="1059"/>
      <c r="I350" s="4756" t="s">
        <v>72</v>
      </c>
      <c r="J350" s="4757"/>
      <c r="K350" s="4757"/>
      <c r="L350" s="4764" t="s">
        <v>144</v>
      </c>
      <c r="M350" s="4764"/>
      <c r="N350" s="4757" t="s">
        <v>72</v>
      </c>
      <c r="O350" s="4757"/>
      <c r="P350" s="4762"/>
      <c r="Q350" s="1059"/>
      <c r="R350" s="1059"/>
      <c r="S350" s="4756" t="s">
        <v>72</v>
      </c>
      <c r="T350" s="4757"/>
      <c r="U350" s="4757"/>
      <c r="V350" s="4779" t="s">
        <v>144</v>
      </c>
      <c r="W350" s="4779"/>
      <c r="X350" s="4757" t="s">
        <v>72</v>
      </c>
      <c r="Y350" s="4757"/>
      <c r="Z350" s="4762"/>
      <c r="AA350" s="1059"/>
      <c r="AB350" s="1059"/>
      <c r="AC350" s="4756" t="s">
        <v>72</v>
      </c>
      <c r="AD350" s="4757"/>
      <c r="AE350" s="4757"/>
      <c r="AF350" s="4781" t="s">
        <v>144</v>
      </c>
      <c r="AG350" s="4781"/>
      <c r="AH350" s="4757" t="s">
        <v>72</v>
      </c>
      <c r="AI350" s="4757"/>
      <c r="AJ350" s="4762"/>
      <c r="AK350" s="1059"/>
      <c r="AL350" s="1059"/>
      <c r="AM350" s="2285">
        <f>AN355</f>
        <v>0</v>
      </c>
      <c r="AN350" s="2280" t="s">
        <v>941</v>
      </c>
      <c r="AO350" s="1278"/>
      <c r="AP350" s="1059"/>
      <c r="AQ350" s="1059"/>
      <c r="AR350" s="4756" t="s">
        <v>72</v>
      </c>
      <c r="AS350" s="4757"/>
      <c r="AT350" s="4757"/>
      <c r="AU350" s="4781" t="s">
        <v>940</v>
      </c>
      <c r="AV350" s="4781"/>
      <c r="AW350" s="4757" t="s">
        <v>72</v>
      </c>
      <c r="AX350" s="4757"/>
      <c r="AY350" s="4762"/>
      <c r="AZ350" s="1059"/>
      <c r="BA350" s="1059"/>
      <c r="BB350" s="4756" t="s">
        <v>72</v>
      </c>
      <c r="BC350" s="4757"/>
      <c r="BD350" s="4757"/>
      <c r="BE350" s="4779" t="s">
        <v>940</v>
      </c>
      <c r="BF350" s="4779"/>
      <c r="BG350" s="4757" t="s">
        <v>72</v>
      </c>
      <c r="BH350" s="4757"/>
      <c r="BI350" s="4762"/>
      <c r="BJ350" s="1059"/>
      <c r="BK350" s="1059"/>
      <c r="BL350" s="4756" t="s">
        <v>72</v>
      </c>
      <c r="BM350" s="4757"/>
      <c r="BN350" s="4757"/>
      <c r="BO350" s="4764" t="s">
        <v>940</v>
      </c>
      <c r="BP350" s="4764"/>
      <c r="BQ350" s="4757" t="s">
        <v>72</v>
      </c>
      <c r="BR350" s="4757"/>
      <c r="BS350" s="4762"/>
      <c r="BT350" s="1059"/>
      <c r="BU350" s="1059"/>
      <c r="BV350" s="1059"/>
      <c r="BW350" s="764"/>
      <c r="BX350" s="822"/>
      <c r="BY350" s="822"/>
      <c r="BZ350" s="822"/>
      <c r="CA350" s="822"/>
      <c r="CB350" s="822"/>
      <c r="CC350" s="822"/>
      <c r="CD350" s="822"/>
      <c r="CE350" s="822"/>
      <c r="CF350" s="822"/>
      <c r="CG350" s="822"/>
      <c r="CH350" s="822"/>
      <c r="CI350" s="822"/>
      <c r="CJ350" s="822"/>
      <c r="CK350" s="822"/>
      <c r="CL350" s="822"/>
      <c r="CM350" s="822"/>
      <c r="CN350" s="822"/>
      <c r="CO350" s="822"/>
      <c r="CP350" s="822"/>
      <c r="CQ350" s="822"/>
      <c r="CR350" s="822"/>
      <c r="CS350" s="822"/>
      <c r="CT350" s="822"/>
      <c r="CU350" s="822"/>
      <c r="CV350" s="822"/>
      <c r="CW350" s="822"/>
      <c r="CX350" s="822"/>
      <c r="CY350" s="822"/>
      <c r="CZ350" s="822"/>
      <c r="DA350" s="822"/>
      <c r="DB350" s="822"/>
      <c r="DC350" s="822"/>
      <c r="DD350" s="822"/>
      <c r="DE350" s="822"/>
      <c r="DF350" s="822"/>
      <c r="DG350" s="822"/>
      <c r="DH350" s="822"/>
      <c r="DI350" s="822"/>
      <c r="DJ350" s="822"/>
      <c r="DK350" s="822"/>
      <c r="DL350" s="822"/>
      <c r="DM350" s="822"/>
      <c r="DN350" s="822"/>
      <c r="DO350" s="822"/>
      <c r="DP350" s="822"/>
      <c r="DQ350" s="822"/>
      <c r="DR350" s="822"/>
      <c r="DS350" s="822"/>
      <c r="DT350" s="822"/>
      <c r="DU350" s="822"/>
      <c r="DV350" s="822"/>
      <c r="DW350" s="822"/>
      <c r="DX350" s="822"/>
      <c r="DY350" s="822"/>
      <c r="DZ350" s="822"/>
      <c r="EA350" s="822"/>
      <c r="EB350" s="822"/>
      <c r="EC350" s="822"/>
      <c r="ED350" s="822"/>
      <c r="EE350" s="822"/>
      <c r="EF350" s="822"/>
      <c r="EG350" s="822"/>
      <c r="EH350" s="822"/>
      <c r="EI350" s="822"/>
      <c r="EJ350" s="822"/>
      <c r="EK350" s="822"/>
      <c r="EL350" s="822"/>
      <c r="EM350" s="822"/>
      <c r="EN350" s="822"/>
      <c r="EO350" s="822"/>
      <c r="EP350" s="822"/>
      <c r="EQ350" s="822"/>
      <c r="ER350" s="822"/>
    </row>
    <row r="351" spans="3:148" ht="17.100000000000001" customHeight="1" x14ac:dyDescent="0.3">
      <c r="E351" s="762"/>
      <c r="F351" s="1059"/>
      <c r="G351" s="1059"/>
      <c r="H351" s="1059"/>
      <c r="I351" s="4758"/>
      <c r="J351" s="4759"/>
      <c r="K351" s="4759"/>
      <c r="L351" s="4798"/>
      <c r="M351" s="4798"/>
      <c r="N351" s="4759"/>
      <c r="O351" s="4759"/>
      <c r="P351" s="4763"/>
      <c r="Q351" s="1059"/>
      <c r="R351" s="1059"/>
      <c r="S351" s="4758"/>
      <c r="T351" s="4759"/>
      <c r="U351" s="4759"/>
      <c r="V351" s="4796"/>
      <c r="W351" s="4796"/>
      <c r="X351" s="4759"/>
      <c r="Y351" s="4759"/>
      <c r="Z351" s="4763"/>
      <c r="AA351" s="1059"/>
      <c r="AB351" s="1059"/>
      <c r="AC351" s="4758"/>
      <c r="AD351" s="4759"/>
      <c r="AE351" s="4759"/>
      <c r="AF351" s="4797"/>
      <c r="AG351" s="4797"/>
      <c r="AH351" s="4759"/>
      <c r="AI351" s="4759"/>
      <c r="AJ351" s="4763"/>
      <c r="AK351" s="1059"/>
      <c r="AL351" s="1059"/>
      <c r="AM351" s="2285">
        <f>AN355</f>
        <v>0</v>
      </c>
      <c r="AN351" s="2281" t="s">
        <v>144</v>
      </c>
      <c r="AO351" s="1278"/>
      <c r="AP351" s="1059"/>
      <c r="AQ351" s="1059"/>
      <c r="AR351" s="4758"/>
      <c r="AS351" s="4759"/>
      <c r="AT351" s="4759"/>
      <c r="AU351" s="4797"/>
      <c r="AV351" s="4797"/>
      <c r="AW351" s="4759"/>
      <c r="AX351" s="4759"/>
      <c r="AY351" s="4763"/>
      <c r="AZ351" s="1059"/>
      <c r="BA351" s="1059"/>
      <c r="BB351" s="4758"/>
      <c r="BC351" s="4759"/>
      <c r="BD351" s="4759"/>
      <c r="BE351" s="4796"/>
      <c r="BF351" s="4796"/>
      <c r="BG351" s="4759"/>
      <c r="BH351" s="4759"/>
      <c r="BI351" s="4763"/>
      <c r="BJ351" s="1059"/>
      <c r="BK351" s="1059"/>
      <c r="BL351" s="4758"/>
      <c r="BM351" s="4759"/>
      <c r="BN351" s="4759"/>
      <c r="BO351" s="4798"/>
      <c r="BP351" s="4798"/>
      <c r="BQ351" s="4759"/>
      <c r="BR351" s="4759"/>
      <c r="BS351" s="4763"/>
      <c r="BT351" s="1059"/>
      <c r="BU351" s="1059"/>
      <c r="BV351" s="1059"/>
      <c r="BW351" s="764"/>
      <c r="BX351" s="822"/>
      <c r="BY351" s="822"/>
      <c r="BZ351" s="822"/>
      <c r="CA351" s="822"/>
      <c r="CB351" s="822"/>
      <c r="CC351" s="822"/>
      <c r="CD351" s="822"/>
      <c r="CE351" s="822"/>
      <c r="CF351" s="822"/>
      <c r="CG351" s="822"/>
      <c r="CH351" s="822"/>
      <c r="CI351" s="822"/>
      <c r="CJ351" s="822"/>
      <c r="CK351" s="822"/>
      <c r="CL351" s="822"/>
      <c r="CM351" s="822"/>
      <c r="CN351" s="822"/>
      <c r="CO351" s="822"/>
      <c r="CP351" s="822"/>
      <c r="CQ351" s="822"/>
      <c r="CR351" s="822"/>
      <c r="CS351" s="822"/>
      <c r="CT351" s="822"/>
      <c r="CU351" s="822"/>
      <c r="CV351" s="822"/>
      <c r="CW351" s="822"/>
      <c r="CX351" s="822"/>
      <c r="CY351" s="822"/>
      <c r="CZ351" s="822"/>
      <c r="DA351" s="822"/>
      <c r="DB351" s="822"/>
      <c r="DC351" s="822"/>
      <c r="DD351" s="822"/>
      <c r="DE351" s="822"/>
      <c r="DF351" s="822"/>
      <c r="DG351" s="822"/>
      <c r="DH351" s="822"/>
      <c r="DI351" s="822"/>
      <c r="DJ351" s="822"/>
      <c r="DK351" s="822"/>
      <c r="DL351" s="822"/>
      <c r="DM351" s="822"/>
      <c r="DN351" s="822"/>
      <c r="DO351" s="822"/>
      <c r="DP351" s="822"/>
      <c r="DQ351" s="822"/>
      <c r="DR351" s="822"/>
      <c r="DS351" s="822"/>
      <c r="DT351" s="822"/>
      <c r="DU351" s="822"/>
      <c r="DV351" s="822"/>
      <c r="DW351" s="822"/>
      <c r="DX351" s="822"/>
      <c r="DY351" s="822"/>
      <c r="DZ351" s="822"/>
      <c r="EA351" s="822"/>
      <c r="EB351" s="822"/>
      <c r="EC351" s="822"/>
      <c r="ED351" s="822"/>
      <c r="EE351" s="822"/>
      <c r="EF351" s="822"/>
      <c r="EG351" s="822"/>
      <c r="EH351" s="822"/>
      <c r="EI351" s="822"/>
      <c r="EJ351" s="822"/>
      <c r="EK351" s="822"/>
      <c r="EL351" s="822"/>
      <c r="EM351" s="822"/>
      <c r="EN351" s="822"/>
      <c r="EO351" s="822"/>
      <c r="EP351" s="822"/>
      <c r="EQ351" s="822"/>
      <c r="ER351" s="822"/>
    </row>
    <row r="352" spans="3:148" ht="17.100000000000001" customHeight="1" x14ac:dyDescent="0.3">
      <c r="E352" s="762"/>
      <c r="F352" s="1059"/>
      <c r="G352" s="1059"/>
      <c r="H352" s="1059"/>
      <c r="I352" s="4766"/>
      <c r="J352" s="4768"/>
      <c r="K352" s="4769"/>
      <c r="L352" s="4769"/>
      <c r="M352" s="4769"/>
      <c r="N352" s="4769"/>
      <c r="O352" s="4770"/>
      <c r="P352" s="4777"/>
      <c r="Q352" s="1059"/>
      <c r="R352" s="1059"/>
      <c r="S352" s="4766"/>
      <c r="T352" s="4768"/>
      <c r="U352" s="4769"/>
      <c r="V352" s="4769"/>
      <c r="W352" s="4769"/>
      <c r="X352" s="4769"/>
      <c r="Y352" s="4770"/>
      <c r="Z352" s="4777"/>
      <c r="AA352" s="1059"/>
      <c r="AB352" s="1059"/>
      <c r="AC352" s="4766"/>
      <c r="AD352" s="4768"/>
      <c r="AE352" s="4769"/>
      <c r="AF352" s="4769"/>
      <c r="AG352" s="4769"/>
      <c r="AH352" s="4769"/>
      <c r="AI352" s="4770"/>
      <c r="AJ352" s="4777"/>
      <c r="AK352" s="1059"/>
      <c r="AL352" s="1059"/>
      <c r="AM352" s="2285">
        <f>AN355</f>
        <v>0</v>
      </c>
      <c r="AN352" s="2282" t="s">
        <v>939</v>
      </c>
      <c r="AO352" s="1278"/>
      <c r="AP352" s="1059"/>
      <c r="AQ352" s="1059"/>
      <c r="AR352" s="4766"/>
      <c r="AS352" s="4768"/>
      <c r="AT352" s="4769"/>
      <c r="AU352" s="4769"/>
      <c r="AV352" s="4769"/>
      <c r="AW352" s="4769"/>
      <c r="AX352" s="4770"/>
      <c r="AY352" s="4777"/>
      <c r="AZ352" s="1059"/>
      <c r="BA352" s="1059"/>
      <c r="BB352" s="4766"/>
      <c r="BC352" s="4768"/>
      <c r="BD352" s="4769"/>
      <c r="BE352" s="4769"/>
      <c r="BF352" s="4769"/>
      <c r="BG352" s="4769"/>
      <c r="BH352" s="4770"/>
      <c r="BI352" s="4777"/>
      <c r="BJ352" s="1059"/>
      <c r="BK352" s="1059"/>
      <c r="BL352" s="4766"/>
      <c r="BM352" s="4768"/>
      <c r="BN352" s="4769"/>
      <c r="BO352" s="4769"/>
      <c r="BP352" s="4769"/>
      <c r="BQ352" s="4769"/>
      <c r="BR352" s="4770"/>
      <c r="BS352" s="4777"/>
      <c r="BT352" s="1059"/>
      <c r="BU352" s="1059"/>
      <c r="BV352" s="1059"/>
      <c r="BW352" s="764"/>
      <c r="BX352" s="822"/>
      <c r="BY352" s="822"/>
      <c r="BZ352" s="822"/>
      <c r="CA352" s="822"/>
      <c r="CB352" s="822"/>
      <c r="CC352" s="822"/>
      <c r="CD352" s="822"/>
      <c r="CE352" s="822"/>
      <c r="CF352" s="822"/>
      <c r="CG352" s="822"/>
      <c r="CH352" s="822"/>
      <c r="CI352" s="822"/>
      <c r="CJ352" s="4826" t="str">
        <f>IF(J352=0,"",J352)</f>
        <v/>
      </c>
      <c r="CK352" s="4827"/>
      <c r="CL352" s="4827"/>
      <c r="CM352" s="4827"/>
      <c r="CN352" s="4827"/>
      <c r="CO352" s="4828"/>
      <c r="CP352" s="822"/>
      <c r="CQ352" s="822"/>
      <c r="CR352" s="822"/>
      <c r="CS352" s="822"/>
      <c r="CT352" s="4826" t="str">
        <f>IF(T352=0,"",T352)</f>
        <v/>
      </c>
      <c r="CU352" s="4827"/>
      <c r="CV352" s="4827"/>
      <c r="CW352" s="4827"/>
      <c r="CX352" s="4827"/>
      <c r="CY352" s="4828"/>
      <c r="CZ352" s="822"/>
      <c r="DA352" s="822"/>
      <c r="DB352" s="822"/>
      <c r="DC352" s="822"/>
      <c r="DD352" s="4826" t="str">
        <f>IF(AD352=0,"",AD352)</f>
        <v/>
      </c>
      <c r="DE352" s="4827"/>
      <c r="DF352" s="4827"/>
      <c r="DG352" s="4827"/>
      <c r="DH352" s="4827"/>
      <c r="DI352" s="4828"/>
      <c r="DJ352" s="822"/>
      <c r="DK352" s="822"/>
      <c r="DL352" s="822"/>
      <c r="DM352" s="822"/>
      <c r="DN352" s="822"/>
      <c r="DO352" s="822"/>
      <c r="DP352" s="822"/>
      <c r="DQ352" s="822"/>
      <c r="DR352" s="822"/>
      <c r="DS352" s="4826" t="str">
        <f>IF(AS352=0,"",AS352)</f>
        <v/>
      </c>
      <c r="DT352" s="4827"/>
      <c r="DU352" s="4827"/>
      <c r="DV352" s="4827"/>
      <c r="DW352" s="4827"/>
      <c r="DX352" s="4828"/>
      <c r="DY352" s="822"/>
      <c r="DZ352" s="822"/>
      <c r="EA352" s="822"/>
      <c r="EB352" s="822"/>
      <c r="EC352" s="4826" t="str">
        <f>IF(BC352=0,"",BC352)</f>
        <v/>
      </c>
      <c r="ED352" s="4827"/>
      <c r="EE352" s="4827"/>
      <c r="EF352" s="4827"/>
      <c r="EG352" s="4827"/>
      <c r="EH352" s="4828"/>
      <c r="EI352" s="822"/>
      <c r="EJ352" s="822"/>
      <c r="EK352" s="822"/>
      <c r="EL352" s="822"/>
      <c r="EM352" s="4826" t="str">
        <f>IF(BM352=0,"",BM352)</f>
        <v/>
      </c>
      <c r="EN352" s="4827"/>
      <c r="EO352" s="4827"/>
      <c r="EP352" s="4827"/>
      <c r="EQ352" s="4827"/>
      <c r="ER352" s="4828"/>
    </row>
    <row r="353" spans="5:148" ht="17.100000000000001" customHeight="1" x14ac:dyDescent="0.3">
      <c r="E353" s="762"/>
      <c r="F353" s="1059"/>
      <c r="G353" s="1059"/>
      <c r="H353" s="1059"/>
      <c r="I353" s="4766"/>
      <c r="J353" s="4771"/>
      <c r="K353" s="4772"/>
      <c r="L353" s="4772"/>
      <c r="M353" s="4772"/>
      <c r="N353" s="4772"/>
      <c r="O353" s="4773"/>
      <c r="P353" s="4777"/>
      <c r="Q353" s="1059"/>
      <c r="R353" s="1059"/>
      <c r="S353" s="4766"/>
      <c r="T353" s="4771"/>
      <c r="U353" s="4772"/>
      <c r="V353" s="4772"/>
      <c r="W353" s="4772"/>
      <c r="X353" s="4772"/>
      <c r="Y353" s="4773"/>
      <c r="Z353" s="4777"/>
      <c r="AA353" s="1059"/>
      <c r="AB353" s="1059"/>
      <c r="AC353" s="4766"/>
      <c r="AD353" s="4771"/>
      <c r="AE353" s="4772"/>
      <c r="AF353" s="4772"/>
      <c r="AG353" s="4772"/>
      <c r="AH353" s="4772"/>
      <c r="AI353" s="4773"/>
      <c r="AJ353" s="4777"/>
      <c r="AK353" s="1059"/>
      <c r="AL353" s="1059"/>
      <c r="AM353" s="2285">
        <f>AN355</f>
        <v>0</v>
      </c>
      <c r="AN353" s="2283" t="s">
        <v>942</v>
      </c>
      <c r="AO353" s="1278"/>
      <c r="AP353" s="1059"/>
      <c r="AQ353" s="1059"/>
      <c r="AR353" s="4766"/>
      <c r="AS353" s="4771"/>
      <c r="AT353" s="4772"/>
      <c r="AU353" s="4772"/>
      <c r="AV353" s="4772"/>
      <c r="AW353" s="4772"/>
      <c r="AX353" s="4773"/>
      <c r="AY353" s="4777"/>
      <c r="AZ353" s="1059"/>
      <c r="BA353" s="1059"/>
      <c r="BB353" s="4766"/>
      <c r="BC353" s="4771"/>
      <c r="BD353" s="4772"/>
      <c r="BE353" s="4772"/>
      <c r="BF353" s="4772"/>
      <c r="BG353" s="4772"/>
      <c r="BH353" s="4773"/>
      <c r="BI353" s="4777"/>
      <c r="BJ353" s="1059"/>
      <c r="BK353" s="1059"/>
      <c r="BL353" s="4766"/>
      <c r="BM353" s="4771"/>
      <c r="BN353" s="4772"/>
      <c r="BO353" s="4772"/>
      <c r="BP353" s="4772"/>
      <c r="BQ353" s="4772"/>
      <c r="BR353" s="4773"/>
      <c r="BS353" s="4777"/>
      <c r="BT353" s="1059"/>
      <c r="BU353" s="1059"/>
      <c r="BV353" s="1059"/>
      <c r="BW353" s="764"/>
      <c r="BX353" s="822"/>
      <c r="BY353" s="822"/>
      <c r="BZ353" s="822"/>
      <c r="CA353" s="822"/>
      <c r="CB353" s="822"/>
      <c r="CC353" s="822"/>
      <c r="CD353" s="822"/>
      <c r="CE353" s="822"/>
      <c r="CF353" s="822"/>
      <c r="CG353" s="822"/>
      <c r="CH353" s="822"/>
      <c r="CI353" s="822"/>
      <c r="CJ353" s="4829"/>
      <c r="CK353" s="4830"/>
      <c r="CL353" s="4830"/>
      <c r="CM353" s="4830"/>
      <c r="CN353" s="4830"/>
      <c r="CO353" s="4831"/>
      <c r="CP353" s="822"/>
      <c r="CQ353" s="822"/>
      <c r="CR353" s="822"/>
      <c r="CS353" s="822"/>
      <c r="CT353" s="4829"/>
      <c r="CU353" s="4830"/>
      <c r="CV353" s="4830"/>
      <c r="CW353" s="4830"/>
      <c r="CX353" s="4830"/>
      <c r="CY353" s="4831"/>
      <c r="CZ353" s="822"/>
      <c r="DA353" s="822"/>
      <c r="DB353" s="822"/>
      <c r="DC353" s="822"/>
      <c r="DD353" s="4829"/>
      <c r="DE353" s="4830"/>
      <c r="DF353" s="4830"/>
      <c r="DG353" s="4830"/>
      <c r="DH353" s="4830"/>
      <c r="DI353" s="4831"/>
      <c r="DJ353" s="822"/>
      <c r="DK353" s="822"/>
      <c r="DL353" s="822"/>
      <c r="DM353" s="822"/>
      <c r="DN353" s="822"/>
      <c r="DO353" s="822"/>
      <c r="DP353" s="822"/>
      <c r="DQ353" s="822"/>
      <c r="DR353" s="822"/>
      <c r="DS353" s="4829"/>
      <c r="DT353" s="4830"/>
      <c r="DU353" s="4830"/>
      <c r="DV353" s="4830"/>
      <c r="DW353" s="4830"/>
      <c r="DX353" s="4831"/>
      <c r="DY353" s="822"/>
      <c r="DZ353" s="822"/>
      <c r="EA353" s="822"/>
      <c r="EB353" s="822"/>
      <c r="EC353" s="4829"/>
      <c r="ED353" s="4830"/>
      <c r="EE353" s="4830"/>
      <c r="EF353" s="4830"/>
      <c r="EG353" s="4830"/>
      <c r="EH353" s="4831"/>
      <c r="EI353" s="822"/>
      <c r="EJ353" s="822"/>
      <c r="EK353" s="822"/>
      <c r="EL353" s="822"/>
      <c r="EM353" s="4829"/>
      <c r="EN353" s="4830"/>
      <c r="EO353" s="4830"/>
      <c r="EP353" s="4830"/>
      <c r="EQ353" s="4830"/>
      <c r="ER353" s="4831"/>
    </row>
    <row r="354" spans="5:148" ht="17.100000000000001" customHeight="1" x14ac:dyDescent="0.3">
      <c r="E354" s="762"/>
      <c r="F354" s="1059"/>
      <c r="G354" s="1059"/>
      <c r="H354" s="1059"/>
      <c r="I354" s="4766"/>
      <c r="J354" s="4774"/>
      <c r="K354" s="4775"/>
      <c r="L354" s="4775"/>
      <c r="M354" s="4775"/>
      <c r="N354" s="4775"/>
      <c r="O354" s="4776"/>
      <c r="P354" s="4777"/>
      <c r="Q354" s="1059"/>
      <c r="R354" s="1059"/>
      <c r="S354" s="4766"/>
      <c r="T354" s="4774"/>
      <c r="U354" s="4775"/>
      <c r="V354" s="4775"/>
      <c r="W354" s="4775"/>
      <c r="X354" s="4775"/>
      <c r="Y354" s="4776"/>
      <c r="Z354" s="4777"/>
      <c r="AA354" s="1059"/>
      <c r="AB354" s="1059"/>
      <c r="AC354" s="4766"/>
      <c r="AD354" s="4774"/>
      <c r="AE354" s="4775"/>
      <c r="AF354" s="4775"/>
      <c r="AG354" s="4775"/>
      <c r="AH354" s="4775"/>
      <c r="AI354" s="4776"/>
      <c r="AJ354" s="4777"/>
      <c r="AK354" s="1059"/>
      <c r="AL354" s="1059"/>
      <c r="AM354" s="2285">
        <f>AN355</f>
        <v>0</v>
      </c>
      <c r="AN354" s="2284" t="s">
        <v>940</v>
      </c>
      <c r="AO354" s="1278"/>
      <c r="AP354" s="1059"/>
      <c r="AQ354" s="1059"/>
      <c r="AR354" s="4766"/>
      <c r="AS354" s="4774"/>
      <c r="AT354" s="4775"/>
      <c r="AU354" s="4775"/>
      <c r="AV354" s="4775"/>
      <c r="AW354" s="4775"/>
      <c r="AX354" s="4776"/>
      <c r="AY354" s="4777"/>
      <c r="AZ354" s="1059"/>
      <c r="BA354" s="1059"/>
      <c r="BB354" s="4766"/>
      <c r="BC354" s="4774"/>
      <c r="BD354" s="4775"/>
      <c r="BE354" s="4775"/>
      <c r="BF354" s="4775"/>
      <c r="BG354" s="4775"/>
      <c r="BH354" s="4776"/>
      <c r="BI354" s="4777"/>
      <c r="BJ354" s="1059"/>
      <c r="BK354" s="1059"/>
      <c r="BL354" s="4766"/>
      <c r="BM354" s="4774"/>
      <c r="BN354" s="4775"/>
      <c r="BO354" s="4775"/>
      <c r="BP354" s="4775"/>
      <c r="BQ354" s="4775"/>
      <c r="BR354" s="4776"/>
      <c r="BS354" s="4777"/>
      <c r="BT354" s="1059"/>
      <c r="BU354" s="1059"/>
      <c r="BV354" s="1059"/>
      <c r="BW354" s="764"/>
      <c r="BX354" s="822"/>
      <c r="BY354" s="822"/>
      <c r="BZ354" s="822"/>
      <c r="CA354" s="822"/>
      <c r="CB354" s="822"/>
      <c r="CC354" s="822"/>
      <c r="CD354" s="822"/>
      <c r="CE354" s="822"/>
      <c r="CF354" s="822"/>
      <c r="CG354" s="822"/>
      <c r="CH354" s="822"/>
      <c r="CI354" s="822"/>
      <c r="CJ354" s="4832"/>
      <c r="CK354" s="4833"/>
      <c r="CL354" s="4833"/>
      <c r="CM354" s="4833"/>
      <c r="CN354" s="4833"/>
      <c r="CO354" s="4834"/>
      <c r="CP354" s="822"/>
      <c r="CQ354" s="822"/>
      <c r="CR354" s="822"/>
      <c r="CS354" s="822"/>
      <c r="CT354" s="4832"/>
      <c r="CU354" s="4833"/>
      <c r="CV354" s="4833"/>
      <c r="CW354" s="4833"/>
      <c r="CX354" s="4833"/>
      <c r="CY354" s="4834"/>
      <c r="CZ354" s="822"/>
      <c r="DA354" s="822"/>
      <c r="DB354" s="822"/>
      <c r="DC354" s="822"/>
      <c r="DD354" s="4832"/>
      <c r="DE354" s="4833"/>
      <c r="DF354" s="4833"/>
      <c r="DG354" s="4833"/>
      <c r="DH354" s="4833"/>
      <c r="DI354" s="4834"/>
      <c r="DJ354" s="822"/>
      <c r="DK354" s="822"/>
      <c r="DL354" s="822"/>
      <c r="DM354" s="822"/>
      <c r="DN354" s="822"/>
      <c r="DO354" s="822"/>
      <c r="DP354" s="822"/>
      <c r="DQ354" s="822"/>
      <c r="DR354" s="822"/>
      <c r="DS354" s="4832"/>
      <c r="DT354" s="4833"/>
      <c r="DU354" s="4833"/>
      <c r="DV354" s="4833"/>
      <c r="DW354" s="4833"/>
      <c r="DX354" s="4834"/>
      <c r="DY354" s="822"/>
      <c r="DZ354" s="822"/>
      <c r="EA354" s="822"/>
      <c r="EB354" s="822"/>
      <c r="EC354" s="4832"/>
      <c r="ED354" s="4833"/>
      <c r="EE354" s="4833"/>
      <c r="EF354" s="4833"/>
      <c r="EG354" s="4833"/>
      <c r="EH354" s="4834"/>
      <c r="EI354" s="822"/>
      <c r="EJ354" s="822"/>
      <c r="EK354" s="822"/>
      <c r="EL354" s="822"/>
      <c r="EM354" s="4832"/>
      <c r="EN354" s="4833"/>
      <c r="EO354" s="4833"/>
      <c r="EP354" s="4833"/>
      <c r="EQ354" s="4833"/>
      <c r="ER354" s="4834"/>
    </row>
    <row r="355" spans="5:148" ht="17.100000000000001" customHeight="1" thickBot="1" x14ac:dyDescent="0.35">
      <c r="E355" s="762"/>
      <c r="F355" s="1059"/>
      <c r="G355" s="1059"/>
      <c r="H355" s="1059"/>
      <c r="I355" s="4767"/>
      <c r="J355" s="4789" t="s">
        <v>505</v>
      </c>
      <c r="K355" s="4789"/>
      <c r="L355" s="4789"/>
      <c r="M355" s="4789"/>
      <c r="N355" s="4789"/>
      <c r="O355" s="4789"/>
      <c r="P355" s="4778"/>
      <c r="Q355" s="1059"/>
      <c r="R355" s="1059"/>
      <c r="S355" s="4767"/>
      <c r="T355" s="4789" t="s">
        <v>505</v>
      </c>
      <c r="U355" s="4789"/>
      <c r="V355" s="4789"/>
      <c r="W355" s="4789"/>
      <c r="X355" s="4789"/>
      <c r="Y355" s="4789"/>
      <c r="Z355" s="4778"/>
      <c r="AA355" s="1059"/>
      <c r="AB355" s="1059"/>
      <c r="AC355" s="4767"/>
      <c r="AD355" s="4789" t="s">
        <v>505</v>
      </c>
      <c r="AE355" s="4789"/>
      <c r="AF355" s="4789"/>
      <c r="AG355" s="4789"/>
      <c r="AH355" s="4789"/>
      <c r="AI355" s="4789"/>
      <c r="AJ355" s="4778"/>
      <c r="AK355" s="1059"/>
      <c r="AL355" s="1059"/>
      <c r="AM355" s="1277"/>
      <c r="AN355" s="1279">
        <f>IF(COUNTA(J336,T336,AD336,J344,T344,AD344,J352,T352,AD352,AS336,BC336,BM336,AS344,BC344,BM344,AS352,BC352,BM352)=18,1,0)</f>
        <v>0</v>
      </c>
      <c r="AO355" s="1279"/>
      <c r="AP355" s="1059"/>
      <c r="AQ355" s="1059"/>
      <c r="AR355" s="4767"/>
      <c r="AS355" s="4789" t="s">
        <v>505</v>
      </c>
      <c r="AT355" s="4789"/>
      <c r="AU355" s="4789"/>
      <c r="AV355" s="4789"/>
      <c r="AW355" s="4789"/>
      <c r="AX355" s="4789"/>
      <c r="AY355" s="4778"/>
      <c r="AZ355" s="1059"/>
      <c r="BA355" s="1059"/>
      <c r="BB355" s="4767"/>
      <c r="BC355" s="4789" t="s">
        <v>505</v>
      </c>
      <c r="BD355" s="4789"/>
      <c r="BE355" s="4789"/>
      <c r="BF355" s="4789"/>
      <c r="BG355" s="4789"/>
      <c r="BH355" s="4789"/>
      <c r="BI355" s="4778"/>
      <c r="BJ355" s="1059"/>
      <c r="BK355" s="1059"/>
      <c r="BL355" s="4767"/>
      <c r="BM355" s="4789" t="s">
        <v>505</v>
      </c>
      <c r="BN355" s="4789"/>
      <c r="BO355" s="4789"/>
      <c r="BP355" s="4789"/>
      <c r="BQ355" s="4789"/>
      <c r="BR355" s="4789"/>
      <c r="BS355" s="4778"/>
      <c r="BT355" s="1059"/>
      <c r="BU355" s="1059"/>
      <c r="BV355" s="1059"/>
      <c r="BW355" s="764"/>
      <c r="BX355" s="822"/>
      <c r="BY355" s="822"/>
      <c r="BZ355" s="822"/>
      <c r="CA355" s="822"/>
      <c r="CB355" s="822"/>
      <c r="CC355" s="822"/>
      <c r="CD355" s="822"/>
      <c r="CE355" s="822"/>
      <c r="CF355" s="822"/>
      <c r="CG355" s="822"/>
      <c r="CH355" s="822"/>
      <c r="CI355" s="822"/>
      <c r="CJ355" s="822"/>
      <c r="CK355" s="822"/>
      <c r="CL355" s="822"/>
      <c r="CM355" s="822"/>
      <c r="CN355" s="822"/>
      <c r="CO355" s="822"/>
      <c r="CP355" s="822"/>
      <c r="CQ355" s="822"/>
      <c r="CR355" s="822"/>
      <c r="CS355" s="822"/>
      <c r="CT355" s="822"/>
      <c r="CU355" s="822"/>
      <c r="CV355" s="822"/>
      <c r="CW355" s="822"/>
      <c r="CX355" s="822"/>
      <c r="CY355" s="822"/>
      <c r="CZ355" s="822"/>
      <c r="DA355" s="822"/>
      <c r="DB355" s="822"/>
      <c r="DC355" s="822"/>
      <c r="DD355" s="822"/>
      <c r="DE355" s="822"/>
      <c r="DF355" s="822"/>
      <c r="DG355" s="822"/>
      <c r="DH355" s="822"/>
      <c r="DI355" s="822"/>
      <c r="DJ355" s="822"/>
      <c r="DK355" s="822"/>
      <c r="DL355" s="822"/>
      <c r="DM355" s="822"/>
      <c r="DN355" s="822"/>
      <c r="DO355" s="822"/>
      <c r="DP355" s="822"/>
      <c r="DQ355" s="822"/>
      <c r="DR355" s="822"/>
      <c r="DS355" s="822"/>
      <c r="DT355" s="822"/>
      <c r="DU355" s="822"/>
      <c r="DV355" s="822"/>
      <c r="DW355" s="822"/>
      <c r="DX355" s="822"/>
      <c r="DY355" s="822"/>
    </row>
    <row r="356" spans="5:148" ht="17.100000000000001" customHeight="1" thickTop="1" x14ac:dyDescent="0.3">
      <c r="E356" s="762"/>
      <c r="F356" s="1170"/>
      <c r="G356" s="1059"/>
      <c r="H356" s="1059"/>
      <c r="I356" s="1059"/>
      <c r="J356" s="1059"/>
      <c r="K356" s="1059"/>
      <c r="L356" s="1059"/>
      <c r="M356" s="1059"/>
      <c r="N356" s="1059"/>
      <c r="O356" s="1059"/>
      <c r="P356" s="1059"/>
      <c r="Q356" s="1059"/>
      <c r="R356" s="1059"/>
      <c r="S356" s="1059"/>
      <c r="T356" s="1059"/>
      <c r="U356" s="1059"/>
      <c r="V356" s="1059"/>
      <c r="W356" s="1059"/>
      <c r="X356" s="1059"/>
      <c r="Y356" s="1059"/>
      <c r="Z356" s="1059"/>
      <c r="AA356" s="1059"/>
      <c r="AB356" s="1059"/>
      <c r="AC356" s="1059"/>
      <c r="AD356" s="1059"/>
      <c r="AE356" s="1059"/>
      <c r="AF356" s="1059"/>
      <c r="AG356" s="1059"/>
      <c r="AH356" s="1059"/>
      <c r="AI356" s="1059"/>
      <c r="AJ356" s="1059"/>
      <c r="AK356" s="1059"/>
      <c r="AL356" s="1059"/>
      <c r="AM356" s="1059"/>
      <c r="AN356" s="1059"/>
      <c r="AO356" s="1059"/>
      <c r="AP356" s="1264"/>
      <c r="AQ356" s="1059"/>
      <c r="AR356" s="1059"/>
      <c r="AS356" s="1059"/>
      <c r="AT356" s="1059"/>
      <c r="AU356" s="1059"/>
      <c r="AV356" s="1059"/>
      <c r="AW356" s="1059"/>
      <c r="AX356" s="1059"/>
      <c r="AY356" s="1059"/>
      <c r="AZ356" s="1059"/>
      <c r="BA356" s="1059"/>
      <c r="BB356" s="1059"/>
      <c r="BC356" s="1059"/>
      <c r="BD356" s="1059"/>
      <c r="BE356" s="1059"/>
      <c r="BF356" s="1059"/>
      <c r="BG356" s="1059"/>
      <c r="BH356" s="1059"/>
      <c r="BI356" s="1059"/>
      <c r="BJ356" s="1059"/>
      <c r="BK356" s="1059"/>
      <c r="BL356" s="1059"/>
      <c r="BM356" s="1059"/>
      <c r="BN356" s="1059"/>
      <c r="BO356" s="1059"/>
      <c r="BP356" s="1059"/>
      <c r="BQ356" s="1059"/>
      <c r="BR356" s="1059"/>
      <c r="BS356" s="1059"/>
      <c r="BT356" s="1059"/>
      <c r="BU356" s="1059"/>
      <c r="BV356" s="1169"/>
      <c r="BW356" s="764"/>
      <c r="BX356" s="822"/>
      <c r="BY356" s="822"/>
      <c r="BZ356" s="822"/>
      <c r="CA356" s="822"/>
      <c r="CB356" s="822"/>
      <c r="CC356" s="822"/>
      <c r="CD356" s="822"/>
      <c r="CE356" s="822"/>
      <c r="CF356" s="822"/>
      <c r="CG356" s="822"/>
      <c r="CH356" s="822"/>
      <c r="CI356" s="822"/>
    </row>
    <row r="357" spans="5:148" ht="17.100000000000001" customHeight="1" thickBot="1" x14ac:dyDescent="0.35">
      <c r="E357" s="783"/>
      <c r="F357" s="784"/>
      <c r="G357" s="1059"/>
      <c r="H357" s="1059"/>
      <c r="I357" s="1059"/>
      <c r="J357" s="1059"/>
      <c r="K357" s="1059"/>
      <c r="L357" s="1059"/>
      <c r="M357" s="1059"/>
      <c r="N357" s="1059"/>
      <c r="O357" s="1059"/>
      <c r="P357" s="1059"/>
      <c r="Q357" s="1059"/>
      <c r="R357" s="1059"/>
      <c r="S357" s="1059"/>
      <c r="T357" s="1059"/>
      <c r="U357" s="1059"/>
      <c r="V357" s="1059"/>
      <c r="W357" s="1059"/>
      <c r="X357" s="1059"/>
      <c r="Y357" s="1059"/>
      <c r="Z357" s="1059"/>
      <c r="AA357" s="1059"/>
      <c r="AB357" s="1059"/>
      <c r="AC357" s="1059"/>
      <c r="AD357" s="1059"/>
      <c r="AE357" s="1059"/>
      <c r="AF357" s="1059"/>
      <c r="AG357" s="1059"/>
      <c r="AH357" s="1059"/>
      <c r="AI357" s="1059"/>
      <c r="AJ357" s="1703"/>
      <c r="AK357" s="1703"/>
      <c r="AL357" s="1703"/>
      <c r="AM357" s="4808"/>
      <c r="AN357" s="4809"/>
      <c r="AO357" s="4810"/>
      <c r="AP357" s="1704"/>
      <c r="AQ357" s="1704"/>
      <c r="AR357" s="1704"/>
      <c r="AS357" s="1704"/>
      <c r="AT357" s="1704"/>
      <c r="AU357" s="1704"/>
      <c r="AV357" s="1704"/>
      <c r="AW357" s="1704"/>
      <c r="AX357" s="1704"/>
      <c r="AY357" s="1704"/>
      <c r="AZ357" s="1059"/>
      <c r="BA357" s="1059"/>
      <c r="BB357" s="1059"/>
      <c r="BC357" s="1059"/>
      <c r="BD357" s="1059"/>
      <c r="BE357" s="1059"/>
      <c r="BF357" s="1059"/>
      <c r="BG357" s="1059"/>
      <c r="BH357" s="1059"/>
      <c r="BI357" s="1059"/>
      <c r="BJ357" s="1059"/>
      <c r="BK357" s="1059"/>
      <c r="BL357" s="1059"/>
      <c r="BM357" s="1059"/>
      <c r="BN357" s="1059"/>
      <c r="BO357" s="1059"/>
      <c r="BP357" s="1059"/>
      <c r="BQ357" s="1059"/>
      <c r="BR357" s="1059"/>
      <c r="BS357" s="1059"/>
      <c r="BT357" s="1059"/>
      <c r="BU357" s="1059"/>
      <c r="BV357" s="784"/>
      <c r="BW357" s="785"/>
      <c r="BX357" s="822"/>
      <c r="BY357" s="822"/>
      <c r="BZ357" s="822"/>
      <c r="CA357" s="822"/>
      <c r="CB357" s="822"/>
      <c r="CC357" s="822"/>
      <c r="CD357" s="822"/>
      <c r="CE357" s="822"/>
      <c r="CF357" s="822"/>
      <c r="CG357" s="822"/>
      <c r="CH357" s="822"/>
      <c r="CI357" s="822"/>
      <c r="CJ357" s="822"/>
      <c r="CK357" s="822"/>
      <c r="CL357" s="822"/>
      <c r="CM357" s="822"/>
      <c r="CN357" s="822"/>
      <c r="CO357" s="822"/>
      <c r="CP357" s="822"/>
      <c r="CQ357" s="822"/>
      <c r="CR357" s="822"/>
      <c r="CS357" s="822"/>
      <c r="CT357" s="822"/>
      <c r="CU357" s="822"/>
      <c r="CV357" s="822"/>
      <c r="CW357" s="822"/>
      <c r="CX357" s="822"/>
      <c r="CY357" s="822"/>
      <c r="CZ357" s="822"/>
      <c r="DA357" s="822"/>
      <c r="DB357" s="822"/>
      <c r="DC357" s="822"/>
      <c r="DD357" s="822"/>
      <c r="DE357" s="822"/>
      <c r="DF357" s="822"/>
      <c r="DG357" s="822"/>
      <c r="DH357" s="822"/>
      <c r="DI357" s="822"/>
      <c r="DJ357" s="822"/>
      <c r="DK357" s="822"/>
      <c r="DL357" s="822"/>
      <c r="DM357" s="822"/>
      <c r="DN357" s="822"/>
    </row>
    <row r="358" spans="5:148" ht="17.100000000000001" customHeight="1" thickTop="1" x14ac:dyDescent="0.3">
      <c r="E358" s="1253"/>
      <c r="F358" s="1253"/>
      <c r="G358" s="762"/>
      <c r="H358" s="1059"/>
      <c r="I358" s="999"/>
      <c r="J358" s="787"/>
      <c r="K358" s="1059"/>
      <c r="L358" s="1059"/>
      <c r="M358" s="1059"/>
      <c r="N358" s="1059"/>
      <c r="O358" s="1059"/>
      <c r="P358" s="1059"/>
      <c r="Q358" s="1059"/>
      <c r="R358" s="1059"/>
      <c r="S358" s="1059"/>
      <c r="T358" s="1059"/>
      <c r="U358" s="1059"/>
      <c r="V358" s="1059"/>
      <c r="W358" s="1059"/>
      <c r="X358" s="1059"/>
      <c r="Y358" s="1059"/>
      <c r="Z358" s="1059"/>
      <c r="AA358" s="1059"/>
      <c r="AB358" s="1059"/>
      <c r="AC358" s="1059"/>
      <c r="AD358" s="1059"/>
      <c r="AE358" s="1059"/>
      <c r="AF358" s="1059"/>
      <c r="AG358" s="1059"/>
      <c r="AH358" s="1059"/>
      <c r="AI358" s="1059"/>
      <c r="AJ358" s="1705"/>
      <c r="AK358" s="1705"/>
      <c r="AL358" s="1705"/>
      <c r="AM358" s="1706"/>
      <c r="AN358" s="1707" t="str" cm="1">
        <f t="array" ref="AN358">_xlfn.IFS(AND(AN355=1,AM357=""),"ENTER SHEET INITIATION DATE ABOVE",AN355=1,"|",TRUE,"")</f>
        <v/>
      </c>
      <c r="AO358" s="1706"/>
      <c r="AP358" s="1059"/>
      <c r="AQ358" s="1059"/>
      <c r="AR358" s="1059"/>
      <c r="AS358" s="1059"/>
      <c r="AT358" s="1708"/>
      <c r="AU358" s="1059"/>
      <c r="AV358" s="1709"/>
      <c r="AW358" s="1059"/>
      <c r="AX358" s="1059"/>
      <c r="AY358" s="1059"/>
      <c r="AZ358" s="1059"/>
      <c r="BA358" s="1059"/>
      <c r="BB358" s="1059"/>
      <c r="BC358" s="1059"/>
      <c r="BD358" s="1059"/>
      <c r="BE358" s="1059"/>
      <c r="BF358" s="1059"/>
      <c r="BG358" s="1059"/>
      <c r="BH358" s="1059"/>
      <c r="BI358" s="1059"/>
      <c r="BJ358" s="1059"/>
      <c r="BK358" s="1059"/>
      <c r="BL358" s="1059"/>
      <c r="BM358" s="1059"/>
      <c r="BN358" s="1059"/>
      <c r="BO358" s="1059"/>
      <c r="BP358" s="1059"/>
      <c r="BQ358" s="1059"/>
      <c r="BR358" s="1059"/>
      <c r="BS358" s="1059"/>
      <c r="BT358" s="1059"/>
      <c r="BU358" s="764"/>
      <c r="BV358" s="1253"/>
      <c r="BW358" s="1253"/>
      <c r="BX358" s="822"/>
      <c r="BY358" s="822"/>
      <c r="BZ358" s="822"/>
      <c r="CA358" s="822"/>
      <c r="CB358" s="822"/>
      <c r="CC358" s="822"/>
      <c r="CD358" s="822"/>
      <c r="CE358" s="822"/>
      <c r="CF358" s="822"/>
      <c r="CG358" s="822"/>
      <c r="CH358" s="822"/>
      <c r="CI358" s="822"/>
      <c r="CJ358" s="822"/>
      <c r="CK358" s="822"/>
      <c r="CL358" s="822"/>
      <c r="CM358" s="822"/>
      <c r="CN358" s="822"/>
      <c r="CO358" s="822"/>
      <c r="CP358" s="822"/>
      <c r="CQ358" s="822"/>
      <c r="CR358" s="822"/>
      <c r="CS358" s="822"/>
      <c r="CT358" s="822"/>
      <c r="CU358" s="822"/>
      <c r="CV358" s="822"/>
      <c r="CW358" s="822"/>
      <c r="CX358" s="822"/>
      <c r="CY358" s="822"/>
      <c r="CZ358" s="822"/>
      <c r="DA358" s="822"/>
      <c r="DB358" s="822"/>
      <c r="DC358" s="822"/>
      <c r="DD358" s="822"/>
      <c r="DE358" s="822"/>
      <c r="DF358" s="822"/>
      <c r="DG358" s="822"/>
      <c r="DH358" s="822"/>
      <c r="DI358" s="822"/>
      <c r="DJ358" s="822"/>
      <c r="DK358" s="822"/>
      <c r="DL358" s="822"/>
      <c r="DM358" s="822"/>
      <c r="DN358" s="822"/>
    </row>
    <row r="359" spans="5:148" ht="17.100000000000001" customHeight="1" thickBot="1" x14ac:dyDescent="0.35">
      <c r="E359" s="1253"/>
      <c r="F359" s="1253"/>
      <c r="G359" s="783"/>
      <c r="H359" s="784"/>
      <c r="I359" s="784"/>
      <c r="J359" s="784"/>
      <c r="K359" s="784"/>
      <c r="L359" s="784"/>
      <c r="M359" s="784"/>
      <c r="N359" s="784"/>
      <c r="O359" s="784"/>
      <c r="P359" s="784"/>
      <c r="Q359" s="784"/>
      <c r="R359" s="784"/>
      <c r="S359" s="784"/>
      <c r="T359" s="784"/>
      <c r="U359" s="784"/>
      <c r="V359" s="784"/>
      <c r="W359" s="784"/>
      <c r="X359" s="784"/>
      <c r="Y359" s="784"/>
      <c r="Z359" s="784"/>
      <c r="AA359" s="1059"/>
      <c r="AB359" s="1059"/>
      <c r="AC359" s="1059"/>
      <c r="AD359" s="1059"/>
      <c r="AE359" s="1059"/>
      <c r="AF359" s="1059"/>
      <c r="AG359" s="1059"/>
      <c r="AH359" s="1059"/>
      <c r="AI359" s="1059"/>
      <c r="AJ359" s="1262"/>
      <c r="AK359" s="1262"/>
      <c r="AL359" s="1262"/>
      <c r="AM359" s="4808"/>
      <c r="AN359" s="4809"/>
      <c r="AO359" s="4810"/>
      <c r="AP359" s="1262"/>
      <c r="AQ359" s="1262"/>
      <c r="AR359" s="1262"/>
      <c r="AS359" s="1262"/>
      <c r="AT359" s="1263"/>
      <c r="AU359" s="1059"/>
      <c r="AV359" s="1059"/>
      <c r="AW359" s="1059"/>
      <c r="AX359" s="1059"/>
      <c r="AY359" s="1059"/>
      <c r="AZ359" s="1059"/>
      <c r="BA359" s="1059"/>
      <c r="BB359" s="784"/>
      <c r="BC359" s="784"/>
      <c r="BD359" s="784"/>
      <c r="BE359" s="784"/>
      <c r="BF359" s="784"/>
      <c r="BG359" s="784"/>
      <c r="BH359" s="784"/>
      <c r="BI359" s="784"/>
      <c r="BJ359" s="784"/>
      <c r="BK359" s="784"/>
      <c r="BL359" s="784"/>
      <c r="BM359" s="784"/>
      <c r="BN359" s="784"/>
      <c r="BO359" s="784"/>
      <c r="BP359" s="784"/>
      <c r="BQ359" s="784"/>
      <c r="BR359" s="784"/>
      <c r="BS359" s="784"/>
      <c r="BT359" s="784"/>
      <c r="BU359" s="785"/>
      <c r="BV359" s="1253"/>
      <c r="BW359" s="1253"/>
      <c r="BX359" s="822"/>
      <c r="BY359" s="822"/>
      <c r="BZ359" s="822"/>
      <c r="CA359" s="822"/>
      <c r="CB359" s="822"/>
      <c r="CC359" s="822"/>
      <c r="CD359" s="822"/>
      <c r="CE359" s="822"/>
      <c r="CF359" s="822"/>
      <c r="CG359" s="822"/>
      <c r="CH359" s="822"/>
      <c r="CI359" s="822"/>
      <c r="CJ359" s="822"/>
      <c r="CK359" s="822"/>
      <c r="CL359" s="822"/>
      <c r="CM359" s="822"/>
      <c r="CN359" s="822"/>
      <c r="CO359" s="822"/>
      <c r="CP359" s="822"/>
      <c r="CQ359" s="822"/>
      <c r="CR359" s="822"/>
      <c r="CS359" s="822"/>
      <c r="CT359" s="822"/>
      <c r="CU359" s="822"/>
      <c r="CV359" s="822"/>
      <c r="CW359" s="822"/>
      <c r="CX359" s="822"/>
      <c r="CY359" s="822"/>
      <c r="CZ359" s="822"/>
      <c r="DA359" s="822"/>
      <c r="DB359" s="822"/>
      <c r="DC359" s="822"/>
      <c r="DD359" s="822"/>
      <c r="DE359" s="822"/>
      <c r="DF359" s="822"/>
      <c r="DG359" s="822"/>
      <c r="DH359" s="822"/>
      <c r="DI359" s="822"/>
      <c r="DJ359" s="822"/>
      <c r="DK359" s="822"/>
      <c r="DL359" s="822"/>
      <c r="DM359" s="822"/>
      <c r="DN359" s="822"/>
    </row>
    <row r="360" spans="5:148" ht="17.100000000000001" customHeight="1" thickTop="1" x14ac:dyDescent="0.3">
      <c r="E360" s="1253"/>
      <c r="F360" s="1253"/>
      <c r="G360" s="1253"/>
      <c r="H360" s="1253"/>
      <c r="I360" s="1253"/>
      <c r="J360" s="1253"/>
      <c r="K360" s="1253"/>
      <c r="L360" s="1253"/>
      <c r="M360" s="1253"/>
      <c r="N360" s="1253"/>
      <c r="O360" s="1253"/>
      <c r="P360" s="1253"/>
      <c r="Q360" s="1253"/>
      <c r="R360" s="1253"/>
      <c r="S360" s="1253"/>
      <c r="T360" s="1253"/>
      <c r="U360" s="1253"/>
      <c r="V360" s="1253"/>
      <c r="W360" s="1253"/>
      <c r="X360" s="1253"/>
      <c r="Y360" s="1253"/>
      <c r="Z360" s="1253"/>
      <c r="AA360" s="762"/>
      <c r="AB360" s="1170"/>
      <c r="AC360" s="1059"/>
      <c r="AD360" s="1059"/>
      <c r="AE360" s="1059"/>
      <c r="AF360" s="1059"/>
      <c r="AG360" s="1059"/>
      <c r="AH360" s="1059"/>
      <c r="AI360" s="1059"/>
      <c r="AJ360" s="1059"/>
      <c r="AK360" s="1059"/>
      <c r="AL360" s="1059"/>
      <c r="AM360" s="1059"/>
      <c r="AN360" s="1701" t="str">
        <f>IF(AND(AN355=1,AM359=""),"ENTER SHEET COMPLETION DATE ABOVE","")</f>
        <v/>
      </c>
      <c r="AO360" s="1059"/>
      <c r="AP360" s="1059"/>
      <c r="AQ360" s="1059"/>
      <c r="AR360" s="1059"/>
      <c r="AS360" s="1059"/>
      <c r="AT360" s="1059"/>
      <c r="AU360" s="1059"/>
      <c r="AV360" s="1059"/>
      <c r="AW360" s="1059"/>
      <c r="AX360" s="1059"/>
      <c r="AY360" s="1059"/>
      <c r="AZ360" s="1169"/>
      <c r="BA360" s="764"/>
      <c r="BB360" s="1253"/>
      <c r="BC360" s="1253"/>
      <c r="BD360" s="1253"/>
      <c r="BE360" s="1253"/>
      <c r="BF360" s="1253"/>
      <c r="BG360" s="1253"/>
      <c r="BH360" s="1253"/>
      <c r="BI360" s="1253"/>
      <c r="BJ360" s="1253"/>
      <c r="BK360" s="1253"/>
      <c r="BL360" s="1253"/>
      <c r="BM360" s="1253"/>
      <c r="BN360" s="1253"/>
      <c r="BO360" s="1253"/>
      <c r="BP360" s="1253"/>
      <c r="BQ360" s="1253"/>
      <c r="BR360" s="1253"/>
      <c r="BS360" s="1253"/>
      <c r="BT360" s="1253"/>
      <c r="BU360" s="1253"/>
      <c r="BV360" s="1253"/>
      <c r="BW360" s="1253"/>
      <c r="BX360" s="822"/>
      <c r="BY360" s="822"/>
      <c r="BZ360" s="822"/>
      <c r="CA360" s="822"/>
      <c r="CB360" s="822"/>
      <c r="CC360" s="822"/>
      <c r="CD360" s="822"/>
      <c r="CE360" s="822"/>
      <c r="CF360" s="822"/>
      <c r="CG360" s="822"/>
      <c r="CH360" s="822"/>
      <c r="CI360" s="822"/>
      <c r="CJ360" s="822"/>
      <c r="CK360" s="822"/>
      <c r="CL360" s="822"/>
      <c r="CM360" s="822"/>
      <c r="CN360" s="822"/>
      <c r="CO360" s="822"/>
      <c r="CP360" s="822"/>
      <c r="CQ360" s="822"/>
      <c r="CR360" s="822"/>
      <c r="CS360" s="822"/>
      <c r="CT360" s="822"/>
      <c r="CU360" s="822"/>
      <c r="CV360" s="822"/>
      <c r="CW360" s="822"/>
      <c r="CX360" s="822"/>
      <c r="CY360" s="822"/>
      <c r="CZ360" s="822"/>
      <c r="DA360" s="822"/>
      <c r="DB360" s="822"/>
      <c r="DC360" s="822"/>
      <c r="DD360" s="822"/>
      <c r="DE360" s="822"/>
      <c r="DF360" s="822"/>
      <c r="DG360" s="822"/>
      <c r="DH360" s="822"/>
      <c r="DI360" s="822"/>
      <c r="DJ360" s="822"/>
      <c r="DK360" s="822"/>
      <c r="DL360" s="822"/>
      <c r="DM360" s="822"/>
      <c r="DN360" s="822"/>
    </row>
    <row r="361" spans="5:148" ht="17.100000000000001" customHeight="1" thickBot="1" x14ac:dyDescent="0.35">
      <c r="E361" s="1253"/>
      <c r="F361" s="1253"/>
      <c r="G361" s="1253"/>
      <c r="H361" s="1253"/>
      <c r="I361" s="1253"/>
      <c r="J361" s="1253"/>
      <c r="K361" s="1253"/>
      <c r="L361" s="1253"/>
      <c r="M361" s="1253"/>
      <c r="N361" s="1253"/>
      <c r="O361" s="1253"/>
      <c r="P361" s="1253"/>
      <c r="Q361" s="1253"/>
      <c r="R361" s="1253"/>
      <c r="S361" s="1253"/>
      <c r="T361" s="1253"/>
      <c r="U361" s="1253"/>
      <c r="V361" s="1253"/>
      <c r="W361" s="1253"/>
      <c r="X361" s="1253"/>
      <c r="Y361" s="1253"/>
      <c r="Z361" s="1253"/>
      <c r="AA361" s="783"/>
      <c r="AB361" s="784"/>
      <c r="AC361" s="784"/>
      <c r="AD361" s="784"/>
      <c r="AE361" s="784"/>
      <c r="AF361" s="784"/>
      <c r="AG361" s="784"/>
      <c r="AH361" s="784"/>
      <c r="AI361" s="784"/>
      <c r="AJ361" s="784"/>
      <c r="AK361" s="784"/>
      <c r="AL361" s="784"/>
      <c r="AM361" s="784"/>
      <c r="AN361" s="784"/>
      <c r="AO361" s="784"/>
      <c r="AP361" s="784"/>
      <c r="AQ361" s="784"/>
      <c r="AR361" s="784"/>
      <c r="AS361" s="784"/>
      <c r="AT361" s="784"/>
      <c r="AU361" s="784"/>
      <c r="AV361" s="784"/>
      <c r="AW361" s="784"/>
      <c r="AX361" s="784"/>
      <c r="AY361" s="784"/>
      <c r="AZ361" s="784"/>
      <c r="BA361" s="785"/>
      <c r="BB361" s="1253"/>
      <c r="BC361" s="1253"/>
      <c r="BD361" s="1253"/>
      <c r="BE361" s="1253"/>
      <c r="BF361" s="1253"/>
      <c r="BG361" s="1253"/>
      <c r="BH361" s="1253"/>
      <c r="BI361" s="1253"/>
      <c r="BJ361" s="1253"/>
      <c r="BK361" s="1253"/>
      <c r="BL361" s="1253"/>
      <c r="BM361" s="1253"/>
      <c r="BN361" s="1253"/>
      <c r="BO361" s="1253"/>
      <c r="BP361" s="1253"/>
      <c r="BQ361" s="1253"/>
      <c r="BR361" s="1253"/>
      <c r="BS361" s="1253"/>
      <c r="BT361" s="1253"/>
      <c r="BU361" s="1253"/>
      <c r="BV361" s="1253"/>
      <c r="BW361" s="1253"/>
      <c r="BX361" s="822"/>
      <c r="BY361" s="822"/>
      <c r="BZ361" s="822"/>
      <c r="CA361" s="822"/>
      <c r="CB361" s="822"/>
      <c r="CC361" s="822"/>
      <c r="CD361" s="822"/>
      <c r="CE361" s="822"/>
      <c r="CF361" s="822"/>
      <c r="CG361" s="822"/>
      <c r="CH361" s="822"/>
      <c r="CI361" s="822"/>
      <c r="CJ361" s="822"/>
      <c r="CK361" s="822"/>
      <c r="CL361" s="822"/>
      <c r="CM361" s="822"/>
      <c r="CN361" s="822"/>
      <c r="CO361" s="822"/>
      <c r="CP361" s="822"/>
      <c r="CQ361" s="822"/>
      <c r="CR361" s="822"/>
      <c r="CS361" s="822"/>
      <c r="CT361" s="822"/>
      <c r="CU361" s="822"/>
      <c r="CV361" s="822"/>
      <c r="CW361" s="822"/>
      <c r="CX361" s="822"/>
      <c r="CY361" s="822"/>
      <c r="CZ361" s="822"/>
      <c r="DA361" s="822"/>
      <c r="DB361" s="822"/>
      <c r="DC361" s="822"/>
      <c r="DD361" s="822"/>
      <c r="DE361" s="822"/>
      <c r="DF361" s="822"/>
      <c r="DG361" s="822"/>
      <c r="DH361" s="822"/>
      <c r="DI361" s="822"/>
      <c r="DJ361" s="822"/>
      <c r="DK361" s="822"/>
      <c r="DL361" s="822"/>
      <c r="DM361" s="822"/>
      <c r="DN361" s="822"/>
    </row>
    <row r="362" spans="5:148" ht="17.100000000000001" customHeight="1" thickTop="1" x14ac:dyDescent="0.3">
      <c r="R362" s="822"/>
      <c r="S362" s="822"/>
      <c r="T362" s="822"/>
      <c r="U362" s="822"/>
      <c r="V362" s="822"/>
      <c r="W362" s="822"/>
      <c r="X362" s="822"/>
      <c r="Y362" s="822"/>
      <c r="Z362" s="822"/>
      <c r="AA362" s="822"/>
      <c r="AB362" s="822"/>
      <c r="AC362" s="822"/>
      <c r="AD362" s="822"/>
      <c r="AE362" s="822"/>
      <c r="AF362" s="822"/>
      <c r="AG362" s="822"/>
      <c r="AH362" s="822"/>
      <c r="AI362" s="822"/>
      <c r="AJ362" s="822"/>
      <c r="AK362" s="822"/>
      <c r="AL362" s="822"/>
      <c r="AM362" s="822"/>
      <c r="AN362" s="822"/>
      <c r="AO362" s="822"/>
      <c r="AP362" s="822"/>
      <c r="AQ362" s="822"/>
      <c r="AR362" s="822"/>
      <c r="AS362" s="822"/>
      <c r="AT362" s="822"/>
      <c r="AU362" s="822"/>
      <c r="AV362" s="822"/>
      <c r="AW362" s="822"/>
      <c r="AX362" s="822"/>
      <c r="AY362" s="822"/>
      <c r="AZ362" s="822"/>
      <c r="BA362" s="822"/>
      <c r="BB362" s="822"/>
      <c r="BC362" s="822"/>
      <c r="BD362" s="822"/>
      <c r="BE362" s="822"/>
      <c r="BF362" s="822"/>
      <c r="BG362" s="822"/>
      <c r="BH362" s="822"/>
      <c r="BI362" s="822"/>
      <c r="BJ362" s="822"/>
      <c r="BK362" s="822"/>
      <c r="BL362" s="822"/>
      <c r="BM362" s="822"/>
      <c r="BN362" s="822"/>
      <c r="BO362" s="822"/>
      <c r="BP362" s="822"/>
      <c r="BQ362" s="822"/>
      <c r="BR362" s="822"/>
      <c r="BS362" s="822"/>
      <c r="BT362" s="822"/>
      <c r="BU362" s="822"/>
      <c r="BV362" s="822"/>
      <c r="BX362" s="822"/>
      <c r="BY362" s="822"/>
      <c r="BZ362" s="822"/>
      <c r="CA362" s="822"/>
      <c r="CB362" s="822"/>
      <c r="CC362" s="822"/>
      <c r="CD362" s="822"/>
      <c r="CE362" s="822"/>
      <c r="CF362" s="822"/>
      <c r="CG362" s="822"/>
      <c r="CH362" s="822"/>
      <c r="CI362" s="822"/>
      <c r="CJ362" s="822"/>
      <c r="CK362" s="822"/>
      <c r="CL362" s="822"/>
      <c r="CM362" s="822"/>
      <c r="CN362" s="822"/>
      <c r="CO362" s="822"/>
      <c r="CP362" s="822"/>
      <c r="CQ362" s="822"/>
      <c r="CR362" s="822"/>
      <c r="CS362" s="822"/>
      <c r="CT362" s="822"/>
      <c r="CU362" s="822"/>
      <c r="CV362" s="822"/>
      <c r="CW362" s="822"/>
      <c r="CX362" s="822"/>
      <c r="CY362" s="822"/>
      <c r="CZ362" s="822"/>
      <c r="DA362" s="822"/>
      <c r="DB362" s="822"/>
      <c r="DC362" s="822"/>
      <c r="DD362" s="822"/>
      <c r="DE362" s="822"/>
      <c r="DF362" s="822"/>
      <c r="DG362" s="822"/>
      <c r="DH362" s="822"/>
      <c r="DI362" s="822"/>
      <c r="DJ362" s="822"/>
      <c r="DK362" s="822"/>
      <c r="DL362" s="822"/>
      <c r="DM362" s="822"/>
      <c r="DN362" s="822"/>
    </row>
    <row r="363" spans="5:148" ht="17.100000000000001" customHeight="1" x14ac:dyDescent="0.3">
      <c r="R363" s="822"/>
      <c r="S363" s="822"/>
      <c r="T363" s="822"/>
      <c r="U363" s="822"/>
      <c r="V363" s="822"/>
      <c r="W363" s="822"/>
      <c r="X363" s="822"/>
      <c r="Y363" s="822"/>
      <c r="Z363" s="822"/>
      <c r="AA363" s="822"/>
      <c r="AB363" s="822"/>
      <c r="AC363" s="822"/>
      <c r="AD363" s="822"/>
      <c r="AE363" s="822"/>
      <c r="AF363" s="822"/>
      <c r="AG363" s="822"/>
      <c r="AH363" s="822"/>
      <c r="AI363" s="822"/>
      <c r="AJ363" s="822"/>
      <c r="AK363" s="822"/>
      <c r="AL363" s="822"/>
      <c r="AM363" s="822"/>
      <c r="AN363" s="34" t="s">
        <v>9</v>
      </c>
      <c r="AO363" s="822"/>
      <c r="AP363" s="822"/>
      <c r="AQ363" s="822"/>
      <c r="AR363" s="822"/>
      <c r="AS363" s="822"/>
      <c r="AT363" s="822"/>
      <c r="AU363" s="822"/>
      <c r="AV363" s="822"/>
      <c r="AW363" s="822"/>
      <c r="AX363" s="822"/>
      <c r="AY363" s="822"/>
      <c r="AZ363" s="822"/>
      <c r="BA363" s="822"/>
      <c r="BB363" s="822"/>
      <c r="BC363" s="822"/>
      <c r="BD363" s="822"/>
      <c r="BE363" s="822"/>
      <c r="BF363" s="822"/>
      <c r="BG363" s="822"/>
      <c r="BH363" s="822"/>
      <c r="BI363" s="822"/>
      <c r="BJ363" s="822"/>
      <c r="BK363" s="822"/>
      <c r="BL363" s="822"/>
      <c r="BM363" s="822"/>
      <c r="BN363" s="822"/>
      <c r="BO363" s="822"/>
      <c r="BP363" s="822"/>
      <c r="BQ363" s="822"/>
      <c r="BR363" s="822"/>
      <c r="BS363" s="822"/>
      <c r="BT363" s="822"/>
      <c r="BU363" s="822"/>
      <c r="BV363" s="822"/>
      <c r="BX363" s="822"/>
      <c r="BY363" s="822"/>
      <c r="BZ363" s="822"/>
      <c r="CA363" s="822"/>
      <c r="CB363" s="822"/>
      <c r="CC363" s="822"/>
      <c r="CD363" s="822"/>
      <c r="CE363" s="822"/>
      <c r="CF363" s="822"/>
      <c r="CG363" s="822"/>
      <c r="CH363" s="822"/>
      <c r="CI363" s="822"/>
      <c r="CJ363" s="822"/>
      <c r="CK363" s="822"/>
      <c r="CL363" s="822"/>
      <c r="CM363" s="822"/>
      <c r="CN363" s="822"/>
      <c r="CO363" s="822"/>
      <c r="CP363" s="822"/>
      <c r="CQ363" s="822"/>
      <c r="CR363" s="822"/>
      <c r="CS363" s="822"/>
      <c r="CT363" s="822"/>
      <c r="CU363" s="822"/>
      <c r="CV363" s="822"/>
      <c r="CW363" s="822"/>
      <c r="CX363" s="822"/>
      <c r="CY363" s="822"/>
      <c r="CZ363" s="822"/>
      <c r="DA363" s="822"/>
      <c r="DB363" s="822"/>
      <c r="DC363" s="822"/>
      <c r="DD363" s="822"/>
      <c r="DE363" s="822"/>
      <c r="DF363" s="822"/>
      <c r="DG363" s="822"/>
      <c r="DH363" s="822"/>
      <c r="DI363" s="822"/>
      <c r="DJ363" s="822"/>
      <c r="DK363" s="822"/>
      <c r="DL363" s="822"/>
      <c r="DM363" s="822"/>
      <c r="DN363" s="822"/>
    </row>
    <row r="364" spans="5:148" ht="17.100000000000001" customHeight="1" thickBot="1" x14ac:dyDescent="0.35">
      <c r="R364" s="822"/>
      <c r="S364" s="822"/>
      <c r="T364" s="822"/>
      <c r="U364" s="822"/>
      <c r="V364" s="822"/>
      <c r="W364" s="822"/>
      <c r="X364" s="822"/>
      <c r="Y364" s="822"/>
      <c r="Z364" s="822"/>
      <c r="AA364" s="822"/>
      <c r="AB364" s="822"/>
      <c r="AC364" s="822"/>
      <c r="AD364" s="822"/>
      <c r="AE364" s="822"/>
      <c r="AF364" s="822"/>
      <c r="AG364" s="822"/>
      <c r="AH364" s="822"/>
      <c r="AI364" s="822"/>
      <c r="AJ364" s="822"/>
      <c r="AK364" s="822"/>
      <c r="AL364" s="822"/>
      <c r="AM364" s="822"/>
      <c r="AN364" s="34" t="s">
        <v>9</v>
      </c>
      <c r="AO364" s="822"/>
      <c r="AP364" s="822"/>
      <c r="AQ364" s="822"/>
      <c r="AR364" s="822"/>
      <c r="AS364" s="822"/>
      <c r="AT364" s="822"/>
      <c r="AU364" s="822"/>
      <c r="AV364" s="822"/>
      <c r="AW364" s="822"/>
      <c r="AX364" s="822"/>
      <c r="AY364" s="822"/>
      <c r="AZ364" s="822"/>
      <c r="BA364" s="822"/>
      <c r="BB364" s="822"/>
      <c r="BC364" s="822"/>
      <c r="BD364" s="822"/>
      <c r="BE364" s="822"/>
      <c r="BF364" s="822"/>
      <c r="BG364" s="822"/>
      <c r="BH364" s="822"/>
      <c r="BI364" s="822"/>
      <c r="BJ364" s="822"/>
      <c r="BK364" s="822"/>
      <c r="BL364" s="822"/>
      <c r="BM364" s="822"/>
      <c r="BN364" s="822"/>
      <c r="BO364" s="822"/>
      <c r="BP364" s="822"/>
      <c r="BQ364" s="822"/>
      <c r="BR364" s="822"/>
      <c r="BS364" s="822"/>
      <c r="BT364" s="822"/>
      <c r="BU364" s="822"/>
      <c r="BV364" s="822"/>
      <c r="BX364" s="822"/>
      <c r="BY364" s="822"/>
      <c r="BZ364" s="822"/>
      <c r="CA364" s="822"/>
      <c r="CB364" s="822"/>
      <c r="CC364" s="822"/>
      <c r="CD364" s="822"/>
      <c r="CE364" s="822"/>
      <c r="CF364" s="822"/>
      <c r="CG364" s="822"/>
      <c r="CH364" s="822"/>
      <c r="CI364" s="822"/>
      <c r="CJ364" s="822"/>
      <c r="CK364" s="822"/>
      <c r="CL364" s="822"/>
      <c r="CM364" s="822"/>
      <c r="CN364" s="822"/>
      <c r="CO364" s="822"/>
      <c r="CP364" s="822"/>
      <c r="CQ364" s="822"/>
      <c r="CR364" s="822"/>
      <c r="CS364" s="822"/>
      <c r="CT364" s="822"/>
      <c r="CU364" s="822"/>
      <c r="CV364" s="822"/>
      <c r="CW364" s="822"/>
      <c r="CX364" s="822"/>
      <c r="CY364" s="822"/>
      <c r="CZ364" s="822"/>
      <c r="DA364" s="822"/>
      <c r="DB364" s="822"/>
      <c r="DC364" s="822"/>
      <c r="DD364" s="822"/>
      <c r="DE364" s="822"/>
      <c r="DF364" s="822"/>
      <c r="DG364" s="822"/>
      <c r="DH364" s="822"/>
      <c r="DI364" s="822"/>
      <c r="DJ364" s="822"/>
      <c r="DK364" s="822"/>
      <c r="DL364" s="822"/>
      <c r="DM364" s="822"/>
      <c r="DN364" s="822"/>
    </row>
    <row r="365" spans="5:148" ht="17.100000000000001" customHeight="1" thickTop="1" x14ac:dyDescent="0.3">
      <c r="E365" s="23"/>
      <c r="F365" s="23"/>
      <c r="G365" s="23"/>
      <c r="H365" s="23"/>
      <c r="I365" s="23"/>
      <c r="J365" s="23"/>
      <c r="K365" s="23"/>
      <c r="L365" s="23"/>
      <c r="M365" s="23"/>
      <c r="N365" s="23"/>
      <c r="O365" s="23"/>
      <c r="P365" s="23"/>
      <c r="Q365" s="23"/>
      <c r="R365" s="23"/>
      <c r="S365" s="23"/>
      <c r="T365" s="23"/>
      <c r="U365" s="23"/>
      <c r="V365" s="23"/>
      <c r="W365" s="23"/>
      <c r="X365" s="23"/>
      <c r="Y365" s="23"/>
      <c r="Z365" s="23"/>
      <c r="AA365" s="759"/>
      <c r="AB365" s="760"/>
      <c r="AC365" s="760"/>
      <c r="AD365" s="760"/>
      <c r="AE365" s="760"/>
      <c r="AF365" s="760"/>
      <c r="AG365" s="760"/>
      <c r="AH365" s="760"/>
      <c r="AI365" s="760"/>
      <c r="AJ365" s="760"/>
      <c r="AK365" s="760"/>
      <c r="AL365" s="760"/>
      <c r="AM365" s="760"/>
      <c r="AN365" s="760"/>
      <c r="AO365" s="760"/>
      <c r="AP365" s="760"/>
      <c r="AQ365" s="760"/>
      <c r="AR365" s="760"/>
      <c r="AS365" s="760"/>
      <c r="AT365" s="760"/>
      <c r="AU365" s="760"/>
      <c r="AV365" s="760"/>
      <c r="AW365" s="760"/>
      <c r="AX365" s="760"/>
      <c r="AY365" s="760"/>
      <c r="AZ365" s="760"/>
      <c r="BA365" s="761"/>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822"/>
      <c r="BY365" s="822"/>
      <c r="BZ365" s="822"/>
      <c r="CA365" s="822"/>
      <c r="CB365" s="822"/>
      <c r="CC365" s="822"/>
      <c r="CD365" s="822"/>
      <c r="CE365" s="822"/>
      <c r="CF365" s="822"/>
      <c r="CG365" s="822"/>
      <c r="CH365" s="822"/>
      <c r="CI365" s="822"/>
      <c r="CJ365" s="822"/>
      <c r="CK365" s="822"/>
      <c r="CL365" s="822"/>
      <c r="CM365" s="822"/>
      <c r="CN365" s="822"/>
      <c r="CO365" s="822"/>
      <c r="CP365" s="822"/>
      <c r="CQ365" s="822"/>
      <c r="CR365" s="822"/>
      <c r="CS365" s="822"/>
      <c r="CT365" s="822"/>
      <c r="CU365" s="822"/>
      <c r="CV365" s="822"/>
      <c r="CW365" s="822"/>
      <c r="CX365" s="822"/>
      <c r="CY365" s="822"/>
      <c r="CZ365" s="822"/>
      <c r="DA365" s="822"/>
      <c r="DB365" s="822"/>
      <c r="DC365" s="822"/>
      <c r="DD365" s="822"/>
      <c r="DE365" s="822"/>
      <c r="DF365" s="822"/>
      <c r="DG365" s="822"/>
      <c r="DH365" s="822"/>
      <c r="DI365" s="822"/>
      <c r="DJ365" s="822"/>
      <c r="DK365" s="822"/>
      <c r="DL365" s="822"/>
      <c r="DM365" s="822"/>
      <c r="DN365" s="822"/>
    </row>
    <row r="366" spans="5:148" ht="17.100000000000001" customHeight="1" thickBot="1" x14ac:dyDescent="0.35">
      <c r="E366" s="23"/>
      <c r="F366" s="23"/>
      <c r="G366" s="23"/>
      <c r="H366" s="23"/>
      <c r="I366" s="23"/>
      <c r="J366" s="23"/>
      <c r="K366" s="23"/>
      <c r="L366" s="23"/>
      <c r="M366" s="23"/>
      <c r="N366" s="23"/>
      <c r="O366" s="23"/>
      <c r="P366" s="23"/>
      <c r="Q366" s="23"/>
      <c r="R366" s="23"/>
      <c r="S366" s="23"/>
      <c r="T366" s="23"/>
      <c r="U366" s="23"/>
      <c r="V366" s="23"/>
      <c r="W366" s="23"/>
      <c r="X366" s="23"/>
      <c r="Y366" s="23"/>
      <c r="Z366" s="23"/>
      <c r="AA366" s="762"/>
      <c r="AB366" s="94"/>
      <c r="AC366" s="1273"/>
      <c r="AD366" s="1273"/>
      <c r="AE366" s="1273"/>
      <c r="AF366" s="1273"/>
      <c r="AG366" s="1273"/>
      <c r="AH366" s="1273"/>
      <c r="AI366" s="1273"/>
      <c r="AJ366" s="1273"/>
      <c r="AK366" s="1273"/>
      <c r="AL366" s="1273"/>
      <c r="AM366" s="1273"/>
      <c r="AN366" s="2286"/>
      <c r="AO366" s="1273"/>
      <c r="AP366" s="1273"/>
      <c r="AQ366" s="1273"/>
      <c r="AR366" s="1273"/>
      <c r="AS366" s="1273"/>
      <c r="AT366" s="1273"/>
      <c r="AU366" s="1273"/>
      <c r="AV366" s="1273"/>
      <c r="AW366" s="1273"/>
      <c r="AX366" s="1273"/>
      <c r="AY366" s="1273"/>
      <c r="AZ366" s="94"/>
      <c r="BA366" s="764"/>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822"/>
      <c r="BY366" s="822"/>
      <c r="BZ366" s="822"/>
      <c r="CA366" s="822"/>
      <c r="CB366" s="822"/>
      <c r="CC366" s="822"/>
      <c r="CD366" s="822"/>
      <c r="CE366" s="822"/>
      <c r="CF366" s="822"/>
      <c r="CG366" s="822"/>
      <c r="CH366" s="822"/>
      <c r="CI366" s="822"/>
      <c r="CJ366" s="822"/>
      <c r="CK366" s="822"/>
      <c r="CL366" s="822"/>
      <c r="CM366" s="822"/>
      <c r="CN366" s="822"/>
      <c r="CO366" s="822"/>
      <c r="CP366" s="822"/>
      <c r="CQ366" s="822"/>
      <c r="CR366" s="822"/>
      <c r="CS366" s="822"/>
      <c r="CT366" s="822"/>
      <c r="CU366" s="822"/>
      <c r="CV366" s="822"/>
      <c r="CW366" s="822"/>
      <c r="CX366" s="822"/>
      <c r="CY366" s="822"/>
      <c r="CZ366" s="822"/>
      <c r="DA366" s="822"/>
      <c r="DB366" s="822"/>
      <c r="DC366" s="822"/>
      <c r="DD366" s="822"/>
      <c r="DE366" s="822"/>
      <c r="DF366" s="822"/>
      <c r="DG366" s="822"/>
      <c r="DH366" s="822"/>
      <c r="DI366" s="822"/>
      <c r="DJ366" s="822"/>
      <c r="DK366" s="822"/>
      <c r="DL366" s="822"/>
      <c r="DM366" s="822"/>
      <c r="DN366" s="822"/>
    </row>
    <row r="367" spans="5:148" ht="17.100000000000001" customHeight="1" thickTop="1" x14ac:dyDescent="0.3">
      <c r="E367" s="23"/>
      <c r="F367" s="23"/>
      <c r="G367" s="759"/>
      <c r="H367" s="760"/>
      <c r="I367" s="760"/>
      <c r="J367" s="760"/>
      <c r="K367" s="760"/>
      <c r="L367" s="760"/>
      <c r="M367" s="760"/>
      <c r="N367" s="760"/>
      <c r="O367" s="760"/>
      <c r="P367" s="760"/>
      <c r="Q367" s="760"/>
      <c r="R367" s="760"/>
      <c r="S367" s="760"/>
      <c r="T367" s="760"/>
      <c r="U367" s="760"/>
      <c r="V367" s="760"/>
      <c r="W367" s="760"/>
      <c r="X367" s="760"/>
      <c r="Y367" s="760"/>
      <c r="Z367" s="760"/>
      <c r="AA367" s="1059"/>
      <c r="AB367" s="1059"/>
      <c r="AC367" s="1273"/>
      <c r="AD367" s="1273"/>
      <c r="AE367" s="1273"/>
      <c r="AF367" s="1273"/>
      <c r="AG367" s="1273"/>
      <c r="AH367" s="1273"/>
      <c r="AI367" s="1273"/>
      <c r="AJ367" s="1273"/>
      <c r="AK367" s="1273"/>
      <c r="AL367" s="1273"/>
      <c r="AM367" s="1273"/>
      <c r="AN367" s="1273"/>
      <c r="AO367" s="1273"/>
      <c r="AP367" s="1273"/>
      <c r="AQ367" s="1273"/>
      <c r="AR367" s="1273"/>
      <c r="AS367" s="1273"/>
      <c r="AT367" s="1273"/>
      <c r="AU367" s="1273"/>
      <c r="AV367" s="1273"/>
      <c r="AW367" s="1273"/>
      <c r="AX367" s="1273"/>
      <c r="AY367" s="1273"/>
      <c r="AZ367" s="1059"/>
      <c r="BA367" s="1059"/>
      <c r="BB367" s="760"/>
      <c r="BC367" s="760"/>
      <c r="BD367" s="760"/>
      <c r="BE367" s="760"/>
      <c r="BF367" s="760"/>
      <c r="BG367" s="760"/>
      <c r="BH367" s="760"/>
      <c r="BI367" s="760"/>
      <c r="BJ367" s="760"/>
      <c r="BK367" s="760"/>
      <c r="BL367" s="760"/>
      <c r="BM367" s="760"/>
      <c r="BN367" s="760"/>
      <c r="BO367" s="760"/>
      <c r="BP367" s="760"/>
      <c r="BQ367" s="760"/>
      <c r="BR367" s="760"/>
      <c r="BS367" s="760"/>
      <c r="BT367" s="760"/>
      <c r="BU367" s="761"/>
      <c r="BV367" s="19"/>
      <c r="BW367" s="19"/>
      <c r="BX367" s="822"/>
      <c r="BY367" s="822"/>
      <c r="BZ367" s="822"/>
      <c r="CA367" s="822"/>
      <c r="CB367" s="822"/>
      <c r="CC367" s="822"/>
      <c r="CD367" s="822"/>
      <c r="CE367" s="822"/>
      <c r="CF367" s="822"/>
      <c r="CG367" s="822"/>
      <c r="CH367" s="822"/>
      <c r="CI367" s="822"/>
      <c r="CJ367" s="822"/>
      <c r="CK367" s="822"/>
      <c r="CL367" s="822"/>
      <c r="CM367" s="822"/>
      <c r="CN367" s="822"/>
      <c r="CO367" s="822"/>
      <c r="CP367" s="822"/>
      <c r="CQ367" s="822"/>
      <c r="CR367" s="822"/>
      <c r="CS367" s="822"/>
      <c r="CT367" s="822"/>
      <c r="CU367" s="822"/>
      <c r="CV367" s="822"/>
      <c r="CW367" s="822"/>
      <c r="CX367" s="822"/>
      <c r="CY367" s="822"/>
      <c r="CZ367" s="822"/>
      <c r="DA367" s="822"/>
      <c r="DB367" s="822"/>
      <c r="DC367" s="822"/>
      <c r="DD367" s="822"/>
      <c r="DE367" s="822"/>
      <c r="DF367" s="822"/>
      <c r="DG367" s="822"/>
      <c r="DH367" s="822"/>
      <c r="DI367" s="822"/>
      <c r="DJ367" s="822"/>
      <c r="DK367" s="822"/>
      <c r="DL367" s="822"/>
      <c r="DM367" s="822"/>
      <c r="DN367" s="822"/>
    </row>
    <row r="368" spans="5:148" ht="17.100000000000001" customHeight="1" thickBot="1" x14ac:dyDescent="0.35">
      <c r="E368" s="23"/>
      <c r="F368" s="23"/>
      <c r="G368" s="762"/>
      <c r="H368" s="1059"/>
      <c r="I368" s="999"/>
      <c r="J368" s="787"/>
      <c r="K368" s="1059"/>
      <c r="L368" s="1059"/>
      <c r="M368" s="1059"/>
      <c r="N368" s="1059"/>
      <c r="O368" s="1059"/>
      <c r="P368" s="1059"/>
      <c r="Q368" s="1059"/>
      <c r="R368" s="1059"/>
      <c r="S368" s="1059"/>
      <c r="T368" s="1059"/>
      <c r="U368" s="1059"/>
      <c r="V368" s="1059"/>
      <c r="W368" s="1059"/>
      <c r="X368" s="1059"/>
      <c r="Y368" s="1059"/>
      <c r="Z368" s="1059"/>
      <c r="AA368" s="1059"/>
      <c r="AB368" s="1059"/>
      <c r="AC368" s="1059"/>
      <c r="AD368" s="1059"/>
      <c r="AE368" s="1059"/>
      <c r="AF368" s="1059"/>
      <c r="AG368" s="1123"/>
      <c r="AH368" s="1123"/>
      <c r="AI368" s="1123"/>
      <c r="AJ368" s="1261"/>
      <c r="AK368" s="1261"/>
      <c r="AL368" s="1261"/>
      <c r="AM368" s="4743" t="s">
        <v>951</v>
      </c>
      <c r="AN368" s="4743"/>
      <c r="AO368" s="4743"/>
      <c r="AP368" s="1261"/>
      <c r="AQ368" s="1261"/>
      <c r="AR368" s="1261"/>
      <c r="AS368" s="1261"/>
      <c r="AT368" s="1123"/>
      <c r="AU368" s="1123"/>
      <c r="AV368" s="1059"/>
      <c r="AW368" s="1059"/>
      <c r="AX368" s="1059"/>
      <c r="AY368" s="1059"/>
      <c r="AZ368" s="1059"/>
      <c r="BA368" s="1059"/>
      <c r="BB368" s="1059"/>
      <c r="BC368" s="1059"/>
      <c r="BD368" s="1059"/>
      <c r="BE368" s="1059"/>
      <c r="BF368" s="1059"/>
      <c r="BG368" s="1059"/>
      <c r="BH368" s="1059"/>
      <c r="BI368" s="1059"/>
      <c r="BJ368" s="1059"/>
      <c r="BK368" s="1059"/>
      <c r="BL368" s="1059"/>
      <c r="BM368" s="1059"/>
      <c r="BN368" s="1059"/>
      <c r="BO368" s="1059"/>
      <c r="BP368" s="1059"/>
      <c r="BQ368" s="1059"/>
      <c r="BR368" s="1059"/>
      <c r="BS368" s="1059"/>
      <c r="BT368" s="1059"/>
      <c r="BU368" s="764"/>
      <c r="BV368" s="19"/>
      <c r="BW368" s="19"/>
      <c r="BX368" s="822"/>
      <c r="BY368" s="822"/>
      <c r="BZ368" s="822"/>
      <c r="CA368" s="822"/>
      <c r="CB368" s="822"/>
      <c r="CC368" s="822"/>
      <c r="CD368" s="822"/>
      <c r="CE368" s="822"/>
      <c r="CF368" s="822"/>
      <c r="CG368" s="822"/>
      <c r="CH368" s="822"/>
      <c r="CI368" s="822"/>
      <c r="CJ368" s="822"/>
      <c r="CK368" s="822"/>
      <c r="CL368" s="822"/>
      <c r="CM368" s="822"/>
      <c r="CN368" s="822"/>
      <c r="CO368" s="822"/>
      <c r="CP368" s="822"/>
      <c r="CQ368" s="822"/>
      <c r="CR368" s="822"/>
      <c r="CS368" s="822"/>
      <c r="CT368" s="822"/>
      <c r="CU368" s="822"/>
      <c r="CV368" s="822"/>
      <c r="CW368" s="822"/>
      <c r="CX368" s="822"/>
      <c r="CY368" s="822"/>
      <c r="CZ368" s="822"/>
      <c r="DA368" s="822"/>
      <c r="DB368" s="822"/>
      <c r="DC368" s="822"/>
      <c r="DD368" s="822"/>
      <c r="DE368" s="822"/>
      <c r="DF368" s="822"/>
      <c r="DG368" s="822"/>
      <c r="DH368" s="822"/>
      <c r="DI368" s="822"/>
      <c r="DJ368" s="822"/>
      <c r="DK368" s="822"/>
      <c r="DL368" s="822"/>
      <c r="DM368" s="822"/>
      <c r="DN368" s="822"/>
    </row>
    <row r="369" spans="3:148" ht="17.100000000000001" customHeight="1" thickTop="1" x14ac:dyDescent="0.3">
      <c r="E369" s="759"/>
      <c r="F369" s="760"/>
      <c r="G369" s="1059"/>
      <c r="H369" s="1059"/>
      <c r="I369" s="1059"/>
      <c r="J369" s="1059"/>
      <c r="K369" s="1059"/>
      <c r="L369" s="1059"/>
      <c r="M369" s="1059"/>
      <c r="N369" s="1059"/>
      <c r="O369" s="1059"/>
      <c r="P369" s="1059"/>
      <c r="Q369" s="1059"/>
      <c r="R369" s="1059"/>
      <c r="S369" s="1059"/>
      <c r="T369" s="1059"/>
      <c r="U369" s="1059"/>
      <c r="V369" s="1059"/>
      <c r="W369" s="1059"/>
      <c r="X369" s="1059"/>
      <c r="Y369" s="1059"/>
      <c r="Z369" s="1059"/>
      <c r="AA369" s="1059"/>
      <c r="AB369" s="1059"/>
      <c r="AC369" s="1059"/>
      <c r="AD369" s="1059"/>
      <c r="AE369" s="1059"/>
      <c r="AF369" s="1059"/>
      <c r="AG369" s="1123"/>
      <c r="AH369" s="1123"/>
      <c r="AI369" s="1261"/>
      <c r="AJ369" s="1261"/>
      <c r="AK369" s="1261"/>
      <c r="AL369" s="1261"/>
      <c r="AM369" s="4743"/>
      <c r="AN369" s="4743"/>
      <c r="AO369" s="4743"/>
      <c r="AP369" s="1261"/>
      <c r="AQ369" s="1261"/>
      <c r="AR369" s="1261"/>
      <c r="AS369" s="1261"/>
      <c r="AT369" s="1123"/>
      <c r="AU369" s="1123"/>
      <c r="AV369" s="1059"/>
      <c r="AW369" s="1059"/>
      <c r="AX369" s="1059"/>
      <c r="AY369" s="1059"/>
      <c r="AZ369" s="1059"/>
      <c r="BA369" s="1059"/>
      <c r="BB369" s="1059"/>
      <c r="BC369" s="1059"/>
      <c r="BD369" s="1059"/>
      <c r="BE369" s="1059"/>
      <c r="BF369" s="1059"/>
      <c r="BG369" s="1059"/>
      <c r="BH369" s="1059"/>
      <c r="BI369" s="1059"/>
      <c r="BJ369" s="1059"/>
      <c r="BK369" s="1059"/>
      <c r="BL369" s="1059"/>
      <c r="BM369" s="1059"/>
      <c r="BN369" s="1059"/>
      <c r="BO369" s="1059"/>
      <c r="BP369" s="1059"/>
      <c r="BQ369" s="1059"/>
      <c r="BR369" s="1059"/>
      <c r="BS369" s="1059"/>
      <c r="BT369" s="1059"/>
      <c r="BU369" s="1059"/>
      <c r="BV369" s="760"/>
      <c r="BW369" s="761"/>
      <c r="BX369" s="822"/>
      <c r="BY369" s="822"/>
      <c r="BZ369" s="822"/>
      <c r="CA369" s="822"/>
      <c r="CB369" s="822"/>
      <c r="CC369" s="822"/>
      <c r="CD369" s="822"/>
      <c r="CE369" s="822"/>
      <c r="CF369" s="822"/>
      <c r="CG369" s="822"/>
      <c r="CH369" s="822"/>
      <c r="CI369" s="822"/>
      <c r="CJ369" s="822"/>
      <c r="CK369" s="822"/>
      <c r="CL369" s="822"/>
      <c r="CM369" s="822"/>
      <c r="CN369" s="822"/>
      <c r="CO369" s="822"/>
      <c r="CP369" s="822"/>
      <c r="CQ369" s="822"/>
      <c r="CR369" s="822"/>
      <c r="CS369" s="822"/>
      <c r="CT369" s="822"/>
      <c r="CU369" s="822"/>
      <c r="CV369" s="822"/>
      <c r="CW369" s="822"/>
      <c r="CX369" s="822"/>
      <c r="CY369" s="822"/>
      <c r="CZ369" s="822"/>
      <c r="DA369" s="822"/>
      <c r="DB369" s="822"/>
      <c r="DC369" s="822"/>
      <c r="DD369" s="822"/>
      <c r="DE369" s="822"/>
      <c r="DF369" s="822"/>
      <c r="DG369" s="822"/>
      <c r="DH369" s="822"/>
      <c r="DI369" s="822"/>
      <c r="DJ369" s="822"/>
      <c r="DK369" s="822"/>
      <c r="DL369" s="822"/>
      <c r="DM369" s="822"/>
      <c r="DN369" s="822"/>
    </row>
    <row r="370" spans="3:148" ht="17.100000000000001" customHeight="1" thickBot="1" x14ac:dyDescent="0.35">
      <c r="E370" s="762"/>
      <c r="F370" s="94"/>
      <c r="G370" s="1059"/>
      <c r="H370" s="1059"/>
      <c r="I370" s="1059"/>
      <c r="J370" s="1059"/>
      <c r="K370" s="1059"/>
      <c r="L370" s="1059"/>
      <c r="M370" s="1059"/>
      <c r="N370" s="1059"/>
      <c r="O370" s="1059"/>
      <c r="P370" s="1059"/>
      <c r="Q370" s="1059"/>
      <c r="R370" s="1059"/>
      <c r="S370" s="1059"/>
      <c r="T370" s="1059"/>
      <c r="U370" s="1059"/>
      <c r="V370" s="1059"/>
      <c r="W370" s="1059"/>
      <c r="X370" s="1059"/>
      <c r="Y370" s="1059"/>
      <c r="Z370" s="1059"/>
      <c r="AA370" s="1059"/>
      <c r="AB370" s="1059"/>
      <c r="AC370" s="1059"/>
      <c r="AD370" s="1059"/>
      <c r="AE370" s="1059"/>
      <c r="AF370" s="1059"/>
      <c r="AG370" s="1123"/>
      <c r="AH370" s="1123"/>
      <c r="AI370" s="1123"/>
      <c r="AJ370" s="1123"/>
      <c r="AK370" s="1123"/>
      <c r="AL370" s="1123"/>
      <c r="AM370" s="1274"/>
      <c r="AN370" s="1275">
        <v>1</v>
      </c>
      <c r="AO370" s="1274"/>
      <c r="AP370" s="1123"/>
      <c r="AQ370" s="1123"/>
      <c r="AR370" s="1123"/>
      <c r="AS370" s="1123"/>
      <c r="AT370" s="1123"/>
      <c r="AU370" s="1123"/>
      <c r="AV370" s="1059"/>
      <c r="AW370" s="1059"/>
      <c r="AX370" s="1059"/>
      <c r="AY370" s="1059"/>
      <c r="AZ370" s="1059"/>
      <c r="BA370" s="1059"/>
      <c r="BB370" s="1059"/>
      <c r="BC370" s="1059"/>
      <c r="BD370" s="1059"/>
      <c r="BE370" s="1059"/>
      <c r="BF370" s="1059"/>
      <c r="BG370" s="1059"/>
      <c r="BH370" s="1059"/>
      <c r="BI370" s="1059"/>
      <c r="BJ370" s="1059"/>
      <c r="BK370" s="1059"/>
      <c r="BL370" s="1059"/>
      <c r="BM370" s="1059"/>
      <c r="BN370" s="1059"/>
      <c r="BO370" s="1059"/>
      <c r="BP370" s="1059"/>
      <c r="BQ370" s="1059"/>
      <c r="BR370" s="1059"/>
      <c r="BS370" s="1059"/>
      <c r="BT370" s="1059"/>
      <c r="BU370" s="1059"/>
      <c r="BV370" s="94"/>
      <c r="BW370" s="764"/>
      <c r="BX370" s="822"/>
      <c r="BY370" s="822"/>
      <c r="BZ370" s="822"/>
      <c r="CA370" s="822"/>
      <c r="CB370" s="822"/>
      <c r="CC370" s="822"/>
      <c r="CD370" s="822"/>
      <c r="CE370" s="822"/>
      <c r="CF370" s="822"/>
      <c r="CG370" s="822"/>
      <c r="CH370" s="822"/>
      <c r="CI370" s="822"/>
      <c r="CJ370" s="822"/>
      <c r="CK370" s="822"/>
      <c r="CL370" s="822"/>
      <c r="CM370" s="822"/>
      <c r="CN370" s="822"/>
      <c r="CO370" s="822"/>
      <c r="CP370" s="822"/>
      <c r="CQ370" s="822"/>
      <c r="CR370" s="822"/>
      <c r="CS370" s="822"/>
      <c r="CT370" s="822"/>
      <c r="CU370" s="822"/>
      <c r="CV370" s="822"/>
      <c r="CW370" s="822"/>
      <c r="CX370" s="822"/>
      <c r="CY370" s="822"/>
      <c r="CZ370" s="822"/>
      <c r="DA370" s="822"/>
      <c r="DB370" s="822"/>
      <c r="DC370" s="822"/>
      <c r="DD370" s="822"/>
      <c r="DE370" s="822"/>
      <c r="DF370" s="822"/>
      <c r="DG370" s="822"/>
      <c r="DH370" s="822"/>
      <c r="DI370" s="822"/>
      <c r="DJ370" s="822"/>
      <c r="DK370" s="822"/>
      <c r="DL370" s="822"/>
      <c r="DM370" s="822"/>
      <c r="DN370" s="822"/>
    </row>
    <row r="371" spans="3:148" ht="17.100000000000001" customHeight="1" thickTop="1" x14ac:dyDescent="0.3">
      <c r="E371" s="762"/>
      <c r="F371" s="1059"/>
      <c r="G371" s="1059"/>
      <c r="H371" s="1059"/>
      <c r="I371" s="4756" t="s">
        <v>72</v>
      </c>
      <c r="J371" s="4757"/>
      <c r="K371" s="4757"/>
      <c r="L371" s="4794" t="s">
        <v>710</v>
      </c>
      <c r="M371" s="4794"/>
      <c r="N371" s="4757" t="s">
        <v>72</v>
      </c>
      <c r="O371" s="4757"/>
      <c r="P371" s="4762"/>
      <c r="Q371" s="1059"/>
      <c r="R371" s="1059"/>
      <c r="S371" s="4756" t="s">
        <v>72</v>
      </c>
      <c r="T371" s="4757"/>
      <c r="U371" s="4757"/>
      <c r="V371" s="4792" t="s">
        <v>710</v>
      </c>
      <c r="W371" s="4792"/>
      <c r="X371" s="4757" t="s">
        <v>72</v>
      </c>
      <c r="Y371" s="4757"/>
      <c r="Z371" s="4762"/>
      <c r="AA371" s="1059"/>
      <c r="AB371" s="1059"/>
      <c r="AC371" s="4756" t="s">
        <v>72</v>
      </c>
      <c r="AD371" s="4757"/>
      <c r="AE371" s="4757"/>
      <c r="AF371" s="4790" t="s">
        <v>710</v>
      </c>
      <c r="AG371" s="4790"/>
      <c r="AH371" s="4757" t="s">
        <v>72</v>
      </c>
      <c r="AI371" s="4757"/>
      <c r="AJ371" s="4762"/>
      <c r="AK371" s="1059"/>
      <c r="AL371" s="1059"/>
      <c r="AM371" s="4853" t="s">
        <v>1472</v>
      </c>
      <c r="AN371" s="4853"/>
      <c r="AO371" s="4853"/>
      <c r="AP371" s="1059"/>
      <c r="AQ371" s="1059"/>
      <c r="AR371" s="4756" t="s">
        <v>72</v>
      </c>
      <c r="AS371" s="4757"/>
      <c r="AT371" s="4757"/>
      <c r="AU371" s="4790" t="s">
        <v>939</v>
      </c>
      <c r="AV371" s="4790"/>
      <c r="AW371" s="4757" t="s">
        <v>72</v>
      </c>
      <c r="AX371" s="4757"/>
      <c r="AY371" s="4762"/>
      <c r="AZ371" s="1059"/>
      <c r="BA371" s="1059"/>
      <c r="BB371" s="4756" t="s">
        <v>72</v>
      </c>
      <c r="BC371" s="4757"/>
      <c r="BD371" s="4757"/>
      <c r="BE371" s="4792" t="s">
        <v>939</v>
      </c>
      <c r="BF371" s="4792"/>
      <c r="BG371" s="4757" t="s">
        <v>72</v>
      </c>
      <c r="BH371" s="4757"/>
      <c r="BI371" s="4762"/>
      <c r="BJ371" s="1059"/>
      <c r="BK371" s="1059"/>
      <c r="BL371" s="4756" t="s">
        <v>72</v>
      </c>
      <c r="BM371" s="4757"/>
      <c r="BN371" s="4757"/>
      <c r="BO371" s="4794" t="s">
        <v>939</v>
      </c>
      <c r="BP371" s="4794"/>
      <c r="BQ371" s="4757" t="s">
        <v>72</v>
      </c>
      <c r="BR371" s="4757"/>
      <c r="BS371" s="4762"/>
      <c r="BT371" s="1059"/>
      <c r="BU371" s="1059"/>
      <c r="BV371" s="1059"/>
      <c r="BW371" s="764"/>
      <c r="BX371" s="822"/>
      <c r="BY371" s="822"/>
      <c r="BZ371" s="822"/>
      <c r="CA371" s="822"/>
      <c r="CB371" s="822"/>
      <c r="CC371" s="822"/>
      <c r="CD371" s="822"/>
      <c r="CE371" s="822"/>
      <c r="CF371" s="822"/>
      <c r="CG371" s="822"/>
      <c r="CH371" s="822"/>
      <c r="CI371" s="822"/>
      <c r="CJ371" s="822"/>
      <c r="CK371" s="822"/>
      <c r="CL371" s="822"/>
      <c r="CM371" s="822"/>
      <c r="CN371" s="822"/>
      <c r="CO371" s="822"/>
      <c r="CP371" s="822"/>
      <c r="CQ371" s="822"/>
      <c r="CR371" s="822"/>
      <c r="CS371" s="822"/>
      <c r="CT371" s="822"/>
      <c r="CU371" s="822"/>
      <c r="CV371" s="822"/>
      <c r="CW371" s="822"/>
      <c r="CX371" s="822"/>
      <c r="CY371" s="822"/>
      <c r="CZ371" s="822"/>
      <c r="DA371" s="822"/>
      <c r="DB371" s="822"/>
      <c r="DC371" s="822"/>
      <c r="DD371" s="822"/>
      <c r="DE371" s="822"/>
      <c r="DF371" s="822"/>
      <c r="DG371" s="822"/>
      <c r="DH371" s="822"/>
      <c r="DI371" s="822"/>
      <c r="DJ371" s="822"/>
      <c r="DK371" s="822"/>
      <c r="DL371" s="822"/>
      <c r="DM371" s="822"/>
      <c r="DN371" s="822"/>
    </row>
    <row r="372" spans="3:148" ht="17.100000000000001" customHeight="1" x14ac:dyDescent="0.3">
      <c r="E372" s="762"/>
      <c r="F372" s="1059"/>
      <c r="G372" s="1059"/>
      <c r="H372" s="1059"/>
      <c r="I372" s="4758"/>
      <c r="J372" s="4759"/>
      <c r="K372" s="4759"/>
      <c r="L372" s="4807"/>
      <c r="M372" s="4807"/>
      <c r="N372" s="4759"/>
      <c r="O372" s="4759"/>
      <c r="P372" s="4763"/>
      <c r="Q372" s="1059"/>
      <c r="R372" s="1059"/>
      <c r="S372" s="4758"/>
      <c r="T372" s="4759"/>
      <c r="U372" s="4759"/>
      <c r="V372" s="4805"/>
      <c r="W372" s="4805"/>
      <c r="X372" s="4759"/>
      <c r="Y372" s="4759"/>
      <c r="Z372" s="4763"/>
      <c r="AA372" s="1059"/>
      <c r="AB372" s="1059"/>
      <c r="AC372" s="4758"/>
      <c r="AD372" s="4759"/>
      <c r="AE372" s="4759"/>
      <c r="AF372" s="4806"/>
      <c r="AG372" s="4806"/>
      <c r="AH372" s="4759"/>
      <c r="AI372" s="4759"/>
      <c r="AJ372" s="4763"/>
      <c r="AK372" s="1059"/>
      <c r="AL372" s="1059"/>
      <c r="AM372" s="4853"/>
      <c r="AN372" s="4853"/>
      <c r="AO372" s="4853"/>
      <c r="AP372" s="1059"/>
      <c r="AQ372" s="1059"/>
      <c r="AR372" s="4758"/>
      <c r="AS372" s="4759"/>
      <c r="AT372" s="4759"/>
      <c r="AU372" s="4806"/>
      <c r="AV372" s="4806"/>
      <c r="AW372" s="4759"/>
      <c r="AX372" s="4759"/>
      <c r="AY372" s="4763"/>
      <c r="AZ372" s="1059"/>
      <c r="BA372" s="1059"/>
      <c r="BB372" s="4758"/>
      <c r="BC372" s="4759"/>
      <c r="BD372" s="4759"/>
      <c r="BE372" s="4805"/>
      <c r="BF372" s="4805"/>
      <c r="BG372" s="4759"/>
      <c r="BH372" s="4759"/>
      <c r="BI372" s="4763"/>
      <c r="BJ372" s="1059"/>
      <c r="BK372" s="1059"/>
      <c r="BL372" s="4758"/>
      <c r="BM372" s="4759"/>
      <c r="BN372" s="4759"/>
      <c r="BO372" s="4807"/>
      <c r="BP372" s="4807"/>
      <c r="BQ372" s="4759"/>
      <c r="BR372" s="4759"/>
      <c r="BS372" s="4763"/>
      <c r="BT372" s="1059"/>
      <c r="BU372" s="1059"/>
      <c r="BV372" s="1059"/>
      <c r="BW372" s="764"/>
      <c r="BX372" s="822"/>
      <c r="BY372" s="822"/>
      <c r="BZ372" s="822"/>
      <c r="CA372" s="822"/>
      <c r="CB372" s="822"/>
      <c r="CC372" s="822"/>
      <c r="CD372" s="822"/>
      <c r="CE372" s="822"/>
      <c r="CF372" s="822"/>
      <c r="CG372" s="822"/>
      <c r="CH372" s="822"/>
      <c r="CI372" s="822"/>
      <c r="CJ372" s="822"/>
      <c r="CK372" s="822"/>
      <c r="CL372" s="822"/>
      <c r="CM372" s="822"/>
      <c r="CN372" s="822"/>
      <c r="CO372" s="822"/>
      <c r="CP372" s="822"/>
      <c r="CQ372" s="822"/>
      <c r="CR372" s="822"/>
      <c r="CS372" s="822"/>
      <c r="CT372" s="822"/>
      <c r="CU372" s="822"/>
      <c r="CV372" s="822"/>
      <c r="CW372" s="822"/>
      <c r="CX372" s="822"/>
      <c r="CY372" s="822"/>
      <c r="CZ372" s="822"/>
      <c r="DA372" s="822"/>
      <c r="DB372" s="822"/>
      <c r="DC372" s="822"/>
      <c r="DD372" s="822"/>
      <c r="DE372" s="822"/>
      <c r="DF372" s="822"/>
      <c r="DG372" s="822"/>
      <c r="DH372" s="822"/>
      <c r="DI372" s="822"/>
      <c r="DJ372" s="822"/>
      <c r="DK372" s="822"/>
      <c r="DL372" s="822"/>
      <c r="DM372" s="822"/>
      <c r="DN372" s="822"/>
    </row>
    <row r="373" spans="3:148" ht="17.100000000000001" customHeight="1" x14ac:dyDescent="0.3">
      <c r="E373" s="762"/>
      <c r="F373" s="1059"/>
      <c r="G373" s="1059"/>
      <c r="H373" s="1059"/>
      <c r="I373" s="4766"/>
      <c r="J373" s="4768"/>
      <c r="K373" s="4769"/>
      <c r="L373" s="4769"/>
      <c r="M373" s="4769"/>
      <c r="N373" s="4769"/>
      <c r="O373" s="4770"/>
      <c r="P373" s="4777"/>
      <c r="Q373" s="1059"/>
      <c r="R373" s="1059"/>
      <c r="S373" s="4766"/>
      <c r="T373" s="4768"/>
      <c r="U373" s="4769"/>
      <c r="V373" s="4769"/>
      <c r="W373" s="4769"/>
      <c r="X373" s="4769"/>
      <c r="Y373" s="4770"/>
      <c r="Z373" s="4777"/>
      <c r="AA373" s="1059"/>
      <c r="AB373" s="1059"/>
      <c r="AC373" s="4766"/>
      <c r="AD373" s="4768"/>
      <c r="AE373" s="4769"/>
      <c r="AF373" s="4769"/>
      <c r="AG373" s="4769"/>
      <c r="AH373" s="4769"/>
      <c r="AI373" s="4770"/>
      <c r="AJ373" s="4777"/>
      <c r="AK373" s="1059"/>
      <c r="AL373" s="1059"/>
      <c r="AM373" s="4853"/>
      <c r="AN373" s="4853"/>
      <c r="AO373" s="4853"/>
      <c r="AP373" s="1059"/>
      <c r="AQ373" s="1059"/>
      <c r="AR373" s="4766"/>
      <c r="AS373" s="4768"/>
      <c r="AT373" s="4769"/>
      <c r="AU373" s="4769"/>
      <c r="AV373" s="4769"/>
      <c r="AW373" s="4769"/>
      <c r="AX373" s="4770"/>
      <c r="AY373" s="4777"/>
      <c r="AZ373" s="1059"/>
      <c r="BA373" s="1059"/>
      <c r="BB373" s="4766"/>
      <c r="BC373" s="4768"/>
      <c r="BD373" s="4769"/>
      <c r="BE373" s="4769"/>
      <c r="BF373" s="4769"/>
      <c r="BG373" s="4769"/>
      <c r="BH373" s="4770"/>
      <c r="BI373" s="4777"/>
      <c r="BJ373" s="1059"/>
      <c r="BK373" s="1059"/>
      <c r="BL373" s="4766"/>
      <c r="BM373" s="4768"/>
      <c r="BN373" s="4769"/>
      <c r="BO373" s="4769"/>
      <c r="BP373" s="4769"/>
      <c r="BQ373" s="4769"/>
      <c r="BR373" s="4770"/>
      <c r="BS373" s="4777"/>
      <c r="BT373" s="1059"/>
      <c r="BU373" s="1059"/>
      <c r="BV373" s="1059"/>
      <c r="BW373" s="764"/>
      <c r="BX373" s="822"/>
      <c r="BY373" s="822"/>
      <c r="BZ373" s="822"/>
      <c r="CA373" s="822"/>
      <c r="CB373" s="822"/>
      <c r="CC373" s="822"/>
      <c r="CD373" s="822"/>
      <c r="CE373" s="822"/>
      <c r="CF373" s="822"/>
      <c r="CG373" s="822"/>
      <c r="CH373" s="822"/>
      <c r="CI373" s="822"/>
      <c r="CJ373" s="4826" t="str">
        <f>IF(J373=0,"",J373)</f>
        <v/>
      </c>
      <c r="CK373" s="4827"/>
      <c r="CL373" s="4827"/>
      <c r="CM373" s="4827"/>
      <c r="CN373" s="4827"/>
      <c r="CO373" s="4828"/>
      <c r="CP373" s="822"/>
      <c r="CQ373" s="822"/>
      <c r="CR373" s="822"/>
      <c r="CS373" s="822"/>
      <c r="CT373" s="4826" t="str">
        <f>IF(T373=0,"",T373)</f>
        <v/>
      </c>
      <c r="CU373" s="4827"/>
      <c r="CV373" s="4827"/>
      <c r="CW373" s="4827"/>
      <c r="CX373" s="4827"/>
      <c r="CY373" s="4828"/>
      <c r="CZ373" s="822"/>
      <c r="DA373" s="822"/>
      <c r="DB373" s="822"/>
      <c r="DC373" s="822"/>
      <c r="DD373" s="4826" t="str">
        <f>IF(AD373=0,"",AD373)</f>
        <v/>
      </c>
      <c r="DE373" s="4827"/>
      <c r="DF373" s="4827"/>
      <c r="DG373" s="4827"/>
      <c r="DH373" s="4827"/>
      <c r="DI373" s="4828"/>
      <c r="DJ373" s="822"/>
      <c r="DK373" s="822"/>
      <c r="DL373" s="822"/>
      <c r="DM373" s="822"/>
      <c r="DN373" s="822"/>
      <c r="DO373" s="822"/>
      <c r="DP373" s="822"/>
      <c r="DQ373" s="822"/>
      <c r="DR373" s="822"/>
      <c r="DS373" s="4826" t="str">
        <f>IF(AS373=0,"",AS373)</f>
        <v/>
      </c>
      <c r="DT373" s="4827"/>
      <c r="DU373" s="4827"/>
      <c r="DV373" s="4827"/>
      <c r="DW373" s="4827"/>
      <c r="DX373" s="4828"/>
      <c r="DY373" s="822"/>
      <c r="DZ373" s="822"/>
      <c r="EA373" s="822"/>
      <c r="EB373" s="822"/>
      <c r="EC373" s="4826" t="str">
        <f>IF(BC373=0,"",BC373)</f>
        <v/>
      </c>
      <c r="ED373" s="4827"/>
      <c r="EE373" s="4827"/>
      <c r="EF373" s="4827"/>
      <c r="EG373" s="4827"/>
      <c r="EH373" s="4828"/>
      <c r="EI373" s="822"/>
      <c r="EJ373" s="822"/>
      <c r="EK373" s="822"/>
      <c r="EL373" s="822"/>
      <c r="EM373" s="4826" t="str">
        <f>IF(BM373=0,"",BM373)</f>
        <v/>
      </c>
      <c r="EN373" s="4827"/>
      <c r="EO373" s="4827"/>
      <c r="EP373" s="4827"/>
      <c r="EQ373" s="4827"/>
      <c r="ER373" s="4828"/>
    </row>
    <row r="374" spans="3:148" ht="17.100000000000001" customHeight="1" x14ac:dyDescent="0.3">
      <c r="E374" s="762"/>
      <c r="F374" s="1059"/>
      <c r="G374" s="1059"/>
      <c r="H374" s="1059"/>
      <c r="I374" s="4766"/>
      <c r="J374" s="4771"/>
      <c r="K374" s="4772"/>
      <c r="L374" s="4772"/>
      <c r="M374" s="4772"/>
      <c r="N374" s="4772"/>
      <c r="O374" s="4773"/>
      <c r="P374" s="4777"/>
      <c r="Q374" s="1059"/>
      <c r="R374" s="1059"/>
      <c r="S374" s="4766"/>
      <c r="T374" s="4771"/>
      <c r="U374" s="4772"/>
      <c r="V374" s="4772"/>
      <c r="W374" s="4772"/>
      <c r="X374" s="4772"/>
      <c r="Y374" s="4773"/>
      <c r="Z374" s="4777"/>
      <c r="AA374" s="1059"/>
      <c r="AB374" s="1059"/>
      <c r="AC374" s="4766"/>
      <c r="AD374" s="4771"/>
      <c r="AE374" s="4772"/>
      <c r="AF374" s="4772"/>
      <c r="AG374" s="4772"/>
      <c r="AH374" s="4772"/>
      <c r="AI374" s="4773"/>
      <c r="AJ374" s="4777"/>
      <c r="AK374" s="1059"/>
      <c r="AL374" s="1059"/>
      <c r="AM374" s="2285">
        <f>AN392</f>
        <v>0</v>
      </c>
      <c r="AN374" s="2276" t="s">
        <v>710</v>
      </c>
      <c r="AO374" s="1278"/>
      <c r="AP374" s="1059"/>
      <c r="AQ374" s="1059"/>
      <c r="AR374" s="4766"/>
      <c r="AS374" s="4771"/>
      <c r="AT374" s="4772"/>
      <c r="AU374" s="4772"/>
      <c r="AV374" s="4772"/>
      <c r="AW374" s="4772"/>
      <c r="AX374" s="4773"/>
      <c r="AY374" s="4777"/>
      <c r="AZ374" s="1059"/>
      <c r="BA374" s="1059"/>
      <c r="BB374" s="4766"/>
      <c r="BC374" s="4771"/>
      <c r="BD374" s="4772"/>
      <c r="BE374" s="4772"/>
      <c r="BF374" s="4772"/>
      <c r="BG374" s="4772"/>
      <c r="BH374" s="4773"/>
      <c r="BI374" s="4777"/>
      <c r="BJ374" s="1059"/>
      <c r="BK374" s="1059"/>
      <c r="BL374" s="4766"/>
      <c r="BM374" s="4771"/>
      <c r="BN374" s="4772"/>
      <c r="BO374" s="4772"/>
      <c r="BP374" s="4772"/>
      <c r="BQ374" s="4772"/>
      <c r="BR374" s="4773"/>
      <c r="BS374" s="4777"/>
      <c r="BT374" s="1059"/>
      <c r="BU374" s="1059"/>
      <c r="BV374" s="1059"/>
      <c r="BW374" s="764"/>
      <c r="BX374" s="822"/>
      <c r="BY374" s="822"/>
      <c r="BZ374" s="822"/>
      <c r="CA374" s="822"/>
      <c r="CB374" s="822"/>
      <c r="CC374" s="822"/>
      <c r="CD374" s="822"/>
      <c r="CE374" s="822"/>
      <c r="CF374" s="822"/>
      <c r="CG374" s="822"/>
      <c r="CH374" s="822"/>
      <c r="CI374" s="822"/>
      <c r="CJ374" s="4829"/>
      <c r="CK374" s="4830"/>
      <c r="CL374" s="4830"/>
      <c r="CM374" s="4830"/>
      <c r="CN374" s="4830"/>
      <c r="CO374" s="4831"/>
      <c r="CP374" s="822"/>
      <c r="CQ374" s="822"/>
      <c r="CR374" s="822"/>
      <c r="CS374" s="822"/>
      <c r="CT374" s="4829"/>
      <c r="CU374" s="4830"/>
      <c r="CV374" s="4830"/>
      <c r="CW374" s="4830"/>
      <c r="CX374" s="4830"/>
      <c r="CY374" s="4831"/>
      <c r="CZ374" s="822"/>
      <c r="DA374" s="822"/>
      <c r="DB374" s="822"/>
      <c r="DC374" s="822"/>
      <c r="DD374" s="4829"/>
      <c r="DE374" s="4830"/>
      <c r="DF374" s="4830"/>
      <c r="DG374" s="4830"/>
      <c r="DH374" s="4830"/>
      <c r="DI374" s="4831"/>
      <c r="DJ374" s="822"/>
      <c r="DK374" s="822"/>
      <c r="DL374" s="822"/>
      <c r="DM374" s="822"/>
      <c r="DN374" s="822"/>
      <c r="DO374" s="822"/>
      <c r="DP374" s="822"/>
      <c r="DQ374" s="822"/>
      <c r="DR374" s="822"/>
      <c r="DS374" s="4829"/>
      <c r="DT374" s="4830"/>
      <c r="DU374" s="4830"/>
      <c r="DV374" s="4830"/>
      <c r="DW374" s="4830"/>
      <c r="DX374" s="4831"/>
      <c r="DY374" s="822"/>
      <c r="DZ374" s="822"/>
      <c r="EA374" s="822"/>
      <c r="EB374" s="822"/>
      <c r="EC374" s="4829"/>
      <c r="ED374" s="4830"/>
      <c r="EE374" s="4830"/>
      <c r="EF374" s="4830"/>
      <c r="EG374" s="4830"/>
      <c r="EH374" s="4831"/>
      <c r="EI374" s="822"/>
      <c r="EJ374" s="822"/>
      <c r="EK374" s="822"/>
      <c r="EL374" s="822"/>
      <c r="EM374" s="4829"/>
      <c r="EN374" s="4830"/>
      <c r="EO374" s="4830"/>
      <c r="EP374" s="4830"/>
      <c r="EQ374" s="4830"/>
      <c r="ER374" s="4831"/>
    </row>
    <row r="375" spans="3:148" ht="17.100000000000001" customHeight="1" x14ac:dyDescent="0.3">
      <c r="E375" s="762"/>
      <c r="F375" s="1059"/>
      <c r="G375" s="1059"/>
      <c r="H375" s="1059"/>
      <c r="I375" s="4766"/>
      <c r="J375" s="4774"/>
      <c r="K375" s="4775"/>
      <c r="L375" s="4775"/>
      <c r="M375" s="4775"/>
      <c r="N375" s="4775"/>
      <c r="O375" s="4776"/>
      <c r="P375" s="4777"/>
      <c r="Q375" s="1059"/>
      <c r="R375" s="1059"/>
      <c r="S375" s="4766"/>
      <c r="T375" s="4774"/>
      <c r="U375" s="4775"/>
      <c r="V375" s="4775"/>
      <c r="W375" s="4775"/>
      <c r="X375" s="4775"/>
      <c r="Y375" s="4776"/>
      <c r="Z375" s="4777"/>
      <c r="AA375" s="1059"/>
      <c r="AB375" s="1059"/>
      <c r="AC375" s="4766"/>
      <c r="AD375" s="4774"/>
      <c r="AE375" s="4775"/>
      <c r="AF375" s="4775"/>
      <c r="AG375" s="4775"/>
      <c r="AH375" s="4775"/>
      <c r="AI375" s="4776"/>
      <c r="AJ375" s="4777"/>
      <c r="AK375" s="1059"/>
      <c r="AL375" s="1059"/>
      <c r="AM375" s="2285">
        <f>AN392</f>
        <v>0</v>
      </c>
      <c r="AN375" s="2277" t="s">
        <v>941</v>
      </c>
      <c r="AO375" s="1278"/>
      <c r="AP375" s="1059"/>
      <c r="AQ375" s="1059"/>
      <c r="AR375" s="4766"/>
      <c r="AS375" s="4774"/>
      <c r="AT375" s="4775"/>
      <c r="AU375" s="4775"/>
      <c r="AV375" s="4775"/>
      <c r="AW375" s="4775"/>
      <c r="AX375" s="4776"/>
      <c r="AY375" s="4777"/>
      <c r="AZ375" s="1059"/>
      <c r="BA375" s="1059"/>
      <c r="BB375" s="4766"/>
      <c r="BC375" s="4774"/>
      <c r="BD375" s="4775"/>
      <c r="BE375" s="4775"/>
      <c r="BF375" s="4775"/>
      <c r="BG375" s="4775"/>
      <c r="BH375" s="4776"/>
      <c r="BI375" s="4777"/>
      <c r="BJ375" s="1059"/>
      <c r="BK375" s="1059"/>
      <c r="BL375" s="4766"/>
      <c r="BM375" s="4774"/>
      <c r="BN375" s="4775"/>
      <c r="BO375" s="4775"/>
      <c r="BP375" s="4775"/>
      <c r="BQ375" s="4775"/>
      <c r="BR375" s="4776"/>
      <c r="BS375" s="4777"/>
      <c r="BT375" s="1059"/>
      <c r="BU375" s="1059"/>
      <c r="BV375" s="1059"/>
      <c r="BW375" s="764"/>
      <c r="BX375" s="822"/>
      <c r="BY375" s="822"/>
      <c r="BZ375" s="822"/>
      <c r="CA375" s="822"/>
      <c r="CB375" s="822"/>
      <c r="CC375" s="822"/>
      <c r="CD375" s="822"/>
      <c r="CE375" s="822"/>
      <c r="CF375" s="822"/>
      <c r="CG375" s="822"/>
      <c r="CH375" s="822"/>
      <c r="CI375" s="822"/>
      <c r="CJ375" s="4832"/>
      <c r="CK375" s="4833"/>
      <c r="CL375" s="4833"/>
      <c r="CM375" s="4833"/>
      <c r="CN375" s="4833"/>
      <c r="CO375" s="4834"/>
      <c r="CP375" s="822"/>
      <c r="CQ375" s="822"/>
      <c r="CR375" s="822"/>
      <c r="CS375" s="822"/>
      <c r="CT375" s="4832"/>
      <c r="CU375" s="4833"/>
      <c r="CV375" s="4833"/>
      <c r="CW375" s="4833"/>
      <c r="CX375" s="4833"/>
      <c r="CY375" s="4834"/>
      <c r="CZ375" s="822"/>
      <c r="DA375" s="822"/>
      <c r="DB375" s="822"/>
      <c r="DC375" s="822"/>
      <c r="DD375" s="4832"/>
      <c r="DE375" s="4833"/>
      <c r="DF375" s="4833"/>
      <c r="DG375" s="4833"/>
      <c r="DH375" s="4833"/>
      <c r="DI375" s="4834"/>
      <c r="DJ375" s="822"/>
      <c r="DK375" s="822"/>
      <c r="DL375" s="822"/>
      <c r="DM375" s="822"/>
      <c r="DN375" s="822"/>
      <c r="DO375" s="822"/>
      <c r="DP375" s="822"/>
      <c r="DQ375" s="822"/>
      <c r="DR375" s="822"/>
      <c r="DS375" s="4832"/>
      <c r="DT375" s="4833"/>
      <c r="DU375" s="4833"/>
      <c r="DV375" s="4833"/>
      <c r="DW375" s="4833"/>
      <c r="DX375" s="4834"/>
      <c r="DY375" s="822"/>
      <c r="DZ375" s="822"/>
      <c r="EA375" s="822"/>
      <c r="EB375" s="822"/>
      <c r="EC375" s="4832"/>
      <c r="ED375" s="4833"/>
      <c r="EE375" s="4833"/>
      <c r="EF375" s="4833"/>
      <c r="EG375" s="4833"/>
      <c r="EH375" s="4834"/>
      <c r="EI375" s="822"/>
      <c r="EJ375" s="822"/>
      <c r="EK375" s="822"/>
      <c r="EL375" s="822"/>
      <c r="EM375" s="4832"/>
      <c r="EN375" s="4833"/>
      <c r="EO375" s="4833"/>
      <c r="EP375" s="4833"/>
      <c r="EQ375" s="4833"/>
      <c r="ER375" s="4834"/>
    </row>
    <row r="376" spans="3:148" ht="17.100000000000001" customHeight="1" thickBot="1" x14ac:dyDescent="0.35">
      <c r="E376" s="762"/>
      <c r="F376" s="1059"/>
      <c r="G376" s="1059"/>
      <c r="H376" s="1059"/>
      <c r="I376" s="4767"/>
      <c r="J376" s="4789" t="s">
        <v>505</v>
      </c>
      <c r="K376" s="4789"/>
      <c r="L376" s="4789"/>
      <c r="M376" s="4789"/>
      <c r="N376" s="4789"/>
      <c r="O376" s="4789"/>
      <c r="P376" s="4778"/>
      <c r="Q376" s="1059"/>
      <c r="R376" s="1059"/>
      <c r="S376" s="4767"/>
      <c r="T376" s="4789" t="s">
        <v>505</v>
      </c>
      <c r="U376" s="4789"/>
      <c r="V376" s="4789"/>
      <c r="W376" s="4789"/>
      <c r="X376" s="4789"/>
      <c r="Y376" s="4789"/>
      <c r="Z376" s="4778"/>
      <c r="AA376" s="1059"/>
      <c r="AB376" s="1059"/>
      <c r="AC376" s="4767"/>
      <c r="AD376" s="4789" t="s">
        <v>505</v>
      </c>
      <c r="AE376" s="4789"/>
      <c r="AF376" s="4789"/>
      <c r="AG376" s="4789"/>
      <c r="AH376" s="4789"/>
      <c r="AI376" s="4789"/>
      <c r="AJ376" s="4778"/>
      <c r="AK376" s="1059"/>
      <c r="AL376" s="1059"/>
      <c r="AM376" s="2285">
        <f>AN392</f>
        <v>0</v>
      </c>
      <c r="AN376" s="2278" t="s">
        <v>144</v>
      </c>
      <c r="AO376" s="1278"/>
      <c r="AP376" s="1059"/>
      <c r="AQ376" s="1059"/>
      <c r="AR376" s="4767"/>
      <c r="AS376" s="4789" t="s">
        <v>505</v>
      </c>
      <c r="AT376" s="4789"/>
      <c r="AU376" s="4789"/>
      <c r="AV376" s="4789"/>
      <c r="AW376" s="4789"/>
      <c r="AX376" s="4789"/>
      <c r="AY376" s="4778"/>
      <c r="AZ376" s="1059"/>
      <c r="BA376" s="1059"/>
      <c r="BB376" s="4767"/>
      <c r="BC376" s="4789" t="s">
        <v>505</v>
      </c>
      <c r="BD376" s="4789"/>
      <c r="BE376" s="4789"/>
      <c r="BF376" s="4789"/>
      <c r="BG376" s="4789"/>
      <c r="BH376" s="4789"/>
      <c r="BI376" s="4778"/>
      <c r="BJ376" s="1059"/>
      <c r="BK376" s="1059"/>
      <c r="BL376" s="4767"/>
      <c r="BM376" s="4789" t="s">
        <v>505</v>
      </c>
      <c r="BN376" s="4789"/>
      <c r="BO376" s="4789"/>
      <c r="BP376" s="4789"/>
      <c r="BQ376" s="4789"/>
      <c r="BR376" s="4789"/>
      <c r="BS376" s="4778"/>
      <c r="BT376" s="1059"/>
      <c r="BU376" s="1059"/>
      <c r="BV376" s="1059"/>
      <c r="BW376" s="764"/>
      <c r="BX376" s="822"/>
      <c r="BY376" s="822"/>
      <c r="BZ376" s="822"/>
      <c r="CA376" s="822"/>
      <c r="CB376" s="822"/>
      <c r="CC376" s="822"/>
      <c r="CD376" s="822"/>
      <c r="CE376" s="822"/>
      <c r="CF376" s="822"/>
      <c r="CG376" s="822"/>
      <c r="CH376" s="822"/>
      <c r="CI376" s="822"/>
      <c r="CJ376" s="822"/>
      <c r="CK376" s="822"/>
      <c r="CL376" s="822"/>
      <c r="CM376" s="822"/>
      <c r="CN376" s="822"/>
      <c r="CO376" s="822"/>
      <c r="CP376" s="822"/>
      <c r="CQ376" s="822"/>
      <c r="CR376" s="822"/>
      <c r="CS376" s="822"/>
      <c r="CT376" s="822"/>
      <c r="CU376" s="822"/>
      <c r="CV376" s="822"/>
      <c r="CW376" s="822"/>
      <c r="CX376" s="822"/>
      <c r="CY376" s="822"/>
      <c r="CZ376" s="822"/>
      <c r="DA376" s="822"/>
      <c r="DB376" s="822"/>
      <c r="DC376" s="822"/>
      <c r="DD376" s="822"/>
      <c r="DE376" s="822"/>
      <c r="DF376" s="822"/>
      <c r="DG376" s="822"/>
      <c r="DH376" s="822"/>
      <c r="DI376" s="822"/>
      <c r="DJ376" s="822"/>
      <c r="DK376" s="822"/>
      <c r="DL376" s="822"/>
      <c r="DM376" s="822"/>
      <c r="DN376" s="822"/>
      <c r="DO376" s="822"/>
      <c r="DP376" s="822"/>
      <c r="DQ376" s="822"/>
      <c r="DR376" s="822"/>
      <c r="DS376" s="822"/>
      <c r="DT376" s="822"/>
      <c r="DU376" s="822"/>
      <c r="DV376" s="822"/>
      <c r="DW376" s="822"/>
      <c r="DX376" s="822"/>
      <c r="DY376" s="822"/>
      <c r="DZ376" s="822"/>
      <c r="EA376" s="822"/>
      <c r="EB376" s="822"/>
      <c r="EC376" s="822"/>
      <c r="ED376" s="822"/>
      <c r="EE376" s="822"/>
      <c r="EF376" s="822"/>
      <c r="EG376" s="822"/>
      <c r="EH376" s="822"/>
      <c r="EI376" s="822"/>
      <c r="EJ376" s="822"/>
      <c r="EK376" s="822"/>
      <c r="EL376" s="822"/>
      <c r="EM376" s="822"/>
      <c r="EN376" s="822"/>
      <c r="EO376" s="822"/>
      <c r="EP376" s="822"/>
      <c r="EQ376" s="822"/>
      <c r="ER376" s="822"/>
    </row>
    <row r="377" spans="3:148" ht="17.100000000000001" customHeight="1" thickTop="1" x14ac:dyDescent="0.3">
      <c r="E377" s="762"/>
      <c r="F377" s="1059"/>
      <c r="G377" s="1059"/>
      <c r="H377" s="1059"/>
      <c r="I377" s="1059"/>
      <c r="J377" s="1059"/>
      <c r="K377" s="1059"/>
      <c r="L377" s="1059"/>
      <c r="M377" s="1059"/>
      <c r="N377" s="1059"/>
      <c r="O377" s="1059"/>
      <c r="P377" s="1059"/>
      <c r="Q377" s="1059"/>
      <c r="R377" s="1059"/>
      <c r="S377" s="1059"/>
      <c r="T377" s="1059"/>
      <c r="U377" s="1059"/>
      <c r="V377" s="1059"/>
      <c r="W377" s="1059"/>
      <c r="X377" s="1059"/>
      <c r="Y377" s="1059"/>
      <c r="Z377" s="1059"/>
      <c r="AA377" s="1059"/>
      <c r="AB377" s="1059"/>
      <c r="AC377" s="1059"/>
      <c r="AD377" s="1059"/>
      <c r="AE377" s="1059"/>
      <c r="AF377" s="1059"/>
      <c r="AG377" s="1059"/>
      <c r="AH377" s="1059"/>
      <c r="AI377" s="1059"/>
      <c r="AJ377" s="1059"/>
      <c r="AK377" s="1059"/>
      <c r="AL377" s="1059"/>
      <c r="AM377" s="2285">
        <f>AN392</f>
        <v>0</v>
      </c>
      <c r="AN377" s="2279" t="s">
        <v>939</v>
      </c>
      <c r="AO377" s="1278"/>
      <c r="AP377" s="1059"/>
      <c r="AQ377" s="1059"/>
      <c r="AR377" s="1059"/>
      <c r="AS377" s="1059"/>
      <c r="AT377" s="1059"/>
      <c r="AU377" s="1059"/>
      <c r="AV377" s="1059"/>
      <c r="AW377" s="1059"/>
      <c r="AX377" s="1059"/>
      <c r="AY377" s="1059"/>
      <c r="AZ377" s="1059"/>
      <c r="BA377" s="1059"/>
      <c r="BB377" s="1059"/>
      <c r="BC377" s="1059"/>
      <c r="BD377" s="1059"/>
      <c r="BE377" s="1059"/>
      <c r="BF377" s="1059"/>
      <c r="BG377" s="1059"/>
      <c r="BH377" s="1059"/>
      <c r="BI377" s="1059"/>
      <c r="BJ377" s="1059"/>
      <c r="BK377" s="1059"/>
      <c r="BL377" s="1059"/>
      <c r="BM377" s="1059"/>
      <c r="BN377" s="1059"/>
      <c r="BO377" s="1059"/>
      <c r="BP377" s="1059"/>
      <c r="BQ377" s="1059"/>
      <c r="BR377" s="1059"/>
      <c r="BS377" s="1059"/>
      <c r="BT377" s="1059"/>
      <c r="BU377" s="1059"/>
      <c r="BV377" s="1059"/>
      <c r="BW377" s="764"/>
      <c r="BX377" s="822"/>
      <c r="BY377" s="822"/>
      <c r="BZ377" s="822"/>
      <c r="CA377" s="822"/>
      <c r="CB377" s="822"/>
      <c r="CC377" s="822"/>
      <c r="CD377" s="822"/>
      <c r="CE377" s="822"/>
      <c r="CF377" s="822"/>
      <c r="CG377" s="822"/>
      <c r="CH377" s="822"/>
      <c r="CI377" s="822"/>
      <c r="CJ377" s="822"/>
      <c r="CK377" s="822"/>
      <c r="CL377" s="822"/>
      <c r="CM377" s="822"/>
      <c r="CN377" s="822"/>
      <c r="CO377" s="822"/>
      <c r="CP377" s="822"/>
      <c r="CQ377" s="822"/>
      <c r="CR377" s="822"/>
      <c r="CS377" s="822"/>
      <c r="CT377" s="822"/>
      <c r="CU377" s="822"/>
      <c r="CV377" s="822"/>
      <c r="CW377" s="822"/>
      <c r="CX377" s="822"/>
      <c r="CY377" s="822"/>
      <c r="CZ377" s="822"/>
      <c r="DA377" s="822"/>
      <c r="DB377" s="822"/>
      <c r="DC377" s="822"/>
      <c r="DD377" s="822"/>
      <c r="DE377" s="822"/>
      <c r="DF377" s="822"/>
      <c r="DG377" s="822"/>
      <c r="DH377" s="822"/>
      <c r="DI377" s="822"/>
      <c r="DJ377" s="822"/>
      <c r="DK377" s="822"/>
      <c r="DL377" s="822"/>
      <c r="DM377" s="822"/>
      <c r="DN377" s="822"/>
      <c r="DO377" s="822"/>
      <c r="DP377" s="822"/>
      <c r="DQ377" s="822"/>
      <c r="DR377" s="822"/>
      <c r="DS377" s="822"/>
      <c r="DT377" s="822"/>
      <c r="DU377" s="822"/>
      <c r="DV377" s="822"/>
      <c r="DW377" s="822"/>
      <c r="DX377" s="822"/>
      <c r="DY377" s="822"/>
      <c r="DZ377" s="822"/>
      <c r="EA377" s="822"/>
      <c r="EB377" s="822"/>
      <c r="EC377" s="822"/>
      <c r="ED377" s="822"/>
      <c r="EE377" s="822"/>
      <c r="EF377" s="822"/>
      <c r="EG377" s="822"/>
      <c r="EH377" s="822"/>
      <c r="EI377" s="822"/>
      <c r="EJ377" s="822"/>
      <c r="EK377" s="822"/>
      <c r="EL377" s="822"/>
      <c r="EM377" s="822"/>
      <c r="EN377" s="822"/>
      <c r="EO377" s="822"/>
      <c r="EP377" s="822"/>
      <c r="EQ377" s="822"/>
      <c r="ER377" s="822"/>
    </row>
    <row r="378" spans="3:148" ht="17.100000000000001" customHeight="1" thickBot="1" x14ac:dyDescent="0.35">
      <c r="E378" s="762"/>
      <c r="F378" s="1059"/>
      <c r="G378" s="1059"/>
      <c r="H378" s="1059"/>
      <c r="I378" s="1059"/>
      <c r="J378" s="1059"/>
      <c r="K378" s="1059"/>
      <c r="L378" s="1059"/>
      <c r="M378" s="1059"/>
      <c r="N378" s="1059"/>
      <c r="O378" s="1059"/>
      <c r="P378" s="1059"/>
      <c r="Q378" s="1059"/>
      <c r="R378" s="1059"/>
      <c r="S378" s="1059"/>
      <c r="T378" s="1059"/>
      <c r="U378" s="1059"/>
      <c r="V378" s="1059"/>
      <c r="W378" s="1059"/>
      <c r="X378" s="1059"/>
      <c r="Y378" s="1059"/>
      <c r="Z378" s="1059"/>
      <c r="AA378" s="1059"/>
      <c r="AB378" s="1059"/>
      <c r="AC378" s="1059"/>
      <c r="AD378" s="1059"/>
      <c r="AE378" s="1059"/>
      <c r="AF378" s="1059"/>
      <c r="AG378" s="1059"/>
      <c r="AH378" s="1059"/>
      <c r="AI378" s="1059"/>
      <c r="AJ378" s="1059"/>
      <c r="AK378" s="1059"/>
      <c r="AL378" s="1059"/>
      <c r="AM378" s="2285">
        <f>AN392</f>
        <v>0</v>
      </c>
      <c r="AN378" s="2280" t="s">
        <v>942</v>
      </c>
      <c r="AO378" s="1278"/>
      <c r="AP378" s="1059"/>
      <c r="AQ378" s="1059"/>
      <c r="AR378" s="1059"/>
      <c r="AS378" s="1059"/>
      <c r="AT378" s="1059"/>
      <c r="AU378" s="1059"/>
      <c r="AV378" s="1059"/>
      <c r="AW378" s="1059"/>
      <c r="AX378" s="1059"/>
      <c r="AY378" s="1059"/>
      <c r="AZ378" s="1059"/>
      <c r="BA378" s="1059"/>
      <c r="BB378" s="1059"/>
      <c r="BC378" s="1059"/>
      <c r="BD378" s="1059"/>
      <c r="BE378" s="1059"/>
      <c r="BF378" s="1059"/>
      <c r="BG378" s="1059"/>
      <c r="BH378" s="1059"/>
      <c r="BI378" s="1059"/>
      <c r="BJ378" s="1059"/>
      <c r="BK378" s="1059"/>
      <c r="BL378" s="1059"/>
      <c r="BM378" s="1059"/>
      <c r="BN378" s="1059"/>
      <c r="BO378" s="1059"/>
      <c r="BP378" s="1059"/>
      <c r="BQ378" s="1059"/>
      <c r="BR378" s="1059"/>
      <c r="BS378" s="1059"/>
      <c r="BT378" s="1059"/>
      <c r="BU378" s="1059"/>
      <c r="BV378" s="1059"/>
      <c r="BW378" s="764"/>
      <c r="BX378" s="822"/>
      <c r="BY378" s="822"/>
      <c r="BZ378" s="822"/>
      <c r="CA378" s="822"/>
      <c r="CB378" s="822"/>
      <c r="CC378" s="822"/>
      <c r="CD378" s="822"/>
      <c r="CE378" s="822"/>
      <c r="CF378" s="822"/>
      <c r="CG378" s="822"/>
      <c r="CH378" s="822"/>
      <c r="CI378" s="822"/>
      <c r="CJ378" s="822"/>
      <c r="CK378" s="822"/>
      <c r="CL378" s="822"/>
      <c r="CM378" s="822"/>
      <c r="CN378" s="822"/>
      <c r="CO378" s="822"/>
      <c r="CP378" s="822"/>
      <c r="CQ378" s="822"/>
      <c r="CR378" s="822"/>
      <c r="CS378" s="822"/>
      <c r="CT378" s="822"/>
      <c r="CU378" s="822"/>
      <c r="CV378" s="822"/>
      <c r="CW378" s="822"/>
      <c r="CX378" s="822"/>
      <c r="CY378" s="822"/>
      <c r="CZ378" s="822"/>
      <c r="DA378" s="822"/>
      <c r="DB378" s="822"/>
      <c r="DC378" s="822"/>
      <c r="DD378" s="822"/>
      <c r="DE378" s="822"/>
      <c r="DF378" s="822"/>
      <c r="DG378" s="822"/>
      <c r="DH378" s="822"/>
      <c r="DI378" s="822"/>
      <c r="DJ378" s="822"/>
      <c r="DK378" s="822"/>
      <c r="DL378" s="822"/>
      <c r="DM378" s="822"/>
      <c r="DN378" s="822"/>
      <c r="DO378" s="822"/>
      <c r="DP378" s="822"/>
      <c r="DQ378" s="822"/>
      <c r="DR378" s="822"/>
      <c r="DS378" s="822"/>
      <c r="DT378" s="822"/>
      <c r="DU378" s="822"/>
      <c r="DV378" s="822"/>
      <c r="DW378" s="822"/>
      <c r="DX378" s="822"/>
      <c r="DY378" s="822"/>
      <c r="DZ378" s="822"/>
      <c r="EA378" s="822"/>
      <c r="EB378" s="822"/>
      <c r="EC378" s="822"/>
      <c r="ED378" s="822"/>
      <c r="EE378" s="822"/>
      <c r="EF378" s="822"/>
      <c r="EG378" s="822"/>
      <c r="EH378" s="822"/>
      <c r="EI378" s="822"/>
      <c r="EJ378" s="822"/>
      <c r="EK378" s="822"/>
      <c r="EL378" s="822"/>
      <c r="EM378" s="822"/>
      <c r="EN378" s="822"/>
      <c r="EO378" s="822"/>
      <c r="EP378" s="822"/>
      <c r="EQ378" s="822"/>
      <c r="ER378" s="822"/>
    </row>
    <row r="379" spans="3:148" ht="17.100000000000001" customHeight="1" thickTop="1" x14ac:dyDescent="0.3">
      <c r="E379" s="762"/>
      <c r="F379" s="1059"/>
      <c r="G379" s="1059"/>
      <c r="H379" s="1059"/>
      <c r="I379" s="4756" t="s">
        <v>72</v>
      </c>
      <c r="J379" s="4757"/>
      <c r="K379" s="4757"/>
      <c r="L379" s="4787" t="s">
        <v>941</v>
      </c>
      <c r="M379" s="4801"/>
      <c r="N379" s="4757" t="s">
        <v>72</v>
      </c>
      <c r="O379" s="4757"/>
      <c r="P379" s="4762"/>
      <c r="Q379" s="1059"/>
      <c r="R379" s="1059"/>
      <c r="S379" s="4756" t="s">
        <v>72</v>
      </c>
      <c r="T379" s="4757"/>
      <c r="U379" s="4757"/>
      <c r="V379" s="4783" t="s">
        <v>941</v>
      </c>
      <c r="W379" s="4799"/>
      <c r="X379" s="4757" t="s">
        <v>72</v>
      </c>
      <c r="Y379" s="4757"/>
      <c r="Z379" s="4762"/>
      <c r="AA379" s="1059"/>
      <c r="AB379" s="1059"/>
      <c r="AC379" s="4756" t="s">
        <v>72</v>
      </c>
      <c r="AD379" s="4757"/>
      <c r="AE379" s="4757"/>
      <c r="AF379" s="4785" t="s">
        <v>941</v>
      </c>
      <c r="AG379" s="4803"/>
      <c r="AH379" s="4757" t="s">
        <v>72</v>
      </c>
      <c r="AI379" s="4757"/>
      <c r="AJ379" s="4762"/>
      <c r="AK379" s="1059"/>
      <c r="AL379" s="1059"/>
      <c r="AM379" s="2285">
        <f>AN392</f>
        <v>0</v>
      </c>
      <c r="AN379" s="2281" t="s">
        <v>940</v>
      </c>
      <c r="AO379" s="1278"/>
      <c r="AP379" s="1059"/>
      <c r="AQ379" s="1059"/>
      <c r="AR379" s="4756" t="s">
        <v>72</v>
      </c>
      <c r="AS379" s="4757"/>
      <c r="AT379" s="4757"/>
      <c r="AU379" s="4785" t="s">
        <v>942</v>
      </c>
      <c r="AV379" s="4803"/>
      <c r="AW379" s="4757" t="s">
        <v>72</v>
      </c>
      <c r="AX379" s="4757"/>
      <c r="AY379" s="4762"/>
      <c r="AZ379" s="1059"/>
      <c r="BA379" s="1059"/>
      <c r="BB379" s="4756" t="s">
        <v>72</v>
      </c>
      <c r="BC379" s="4757"/>
      <c r="BD379" s="4757"/>
      <c r="BE379" s="4783" t="s">
        <v>942</v>
      </c>
      <c r="BF379" s="4799"/>
      <c r="BG379" s="4757" t="s">
        <v>72</v>
      </c>
      <c r="BH379" s="4757"/>
      <c r="BI379" s="4762"/>
      <c r="BJ379" s="1059"/>
      <c r="BK379" s="1059"/>
      <c r="BL379" s="4756" t="s">
        <v>72</v>
      </c>
      <c r="BM379" s="4757"/>
      <c r="BN379" s="4757"/>
      <c r="BO379" s="4787" t="s">
        <v>942</v>
      </c>
      <c r="BP379" s="4801"/>
      <c r="BQ379" s="4757" t="s">
        <v>72</v>
      </c>
      <c r="BR379" s="4757"/>
      <c r="BS379" s="4762"/>
      <c r="BT379" s="1059"/>
      <c r="BU379" s="1059"/>
      <c r="BV379" s="1059"/>
      <c r="BW379" s="764"/>
      <c r="BX379" s="822"/>
      <c r="BY379" s="822"/>
      <c r="BZ379" s="822"/>
      <c r="CA379" s="822"/>
      <c r="CB379" s="822"/>
      <c r="CC379" s="822"/>
      <c r="CD379" s="822"/>
      <c r="CE379" s="822"/>
      <c r="CF379" s="822"/>
      <c r="CG379" s="822"/>
      <c r="CH379" s="822"/>
      <c r="CI379" s="822"/>
      <c r="CJ379" s="822"/>
      <c r="CK379" s="822"/>
      <c r="CL379" s="822"/>
      <c r="CM379" s="822"/>
      <c r="CN379" s="822"/>
      <c r="CO379" s="822"/>
      <c r="CP379" s="822"/>
      <c r="CQ379" s="822"/>
      <c r="CR379" s="822"/>
      <c r="CS379" s="822"/>
      <c r="CT379" s="822"/>
      <c r="CU379" s="822"/>
      <c r="CV379" s="822"/>
      <c r="CW379" s="822"/>
      <c r="CX379" s="822"/>
      <c r="CY379" s="822"/>
      <c r="CZ379" s="822"/>
      <c r="DA379" s="822"/>
      <c r="DB379" s="822"/>
      <c r="DC379" s="822"/>
      <c r="DD379" s="822"/>
      <c r="DE379" s="822"/>
      <c r="DF379" s="822"/>
      <c r="DG379" s="822"/>
      <c r="DH379" s="822"/>
      <c r="DI379" s="822"/>
      <c r="DJ379" s="822"/>
      <c r="DK379" s="822"/>
      <c r="DL379" s="822"/>
      <c r="DM379" s="822"/>
      <c r="DN379" s="822"/>
      <c r="DO379" s="822"/>
      <c r="DP379" s="822"/>
      <c r="DQ379" s="822"/>
      <c r="DR379" s="822"/>
      <c r="DS379" s="822"/>
      <c r="DT379" s="822"/>
      <c r="DU379" s="822"/>
      <c r="DV379" s="822"/>
      <c r="DW379" s="822"/>
      <c r="DX379" s="822"/>
      <c r="DY379" s="822"/>
      <c r="DZ379" s="822"/>
      <c r="EA379" s="822"/>
      <c r="EB379" s="822"/>
      <c r="EC379" s="822"/>
      <c r="ED379" s="822"/>
      <c r="EE379" s="822"/>
      <c r="EF379" s="822"/>
      <c r="EG379" s="822"/>
      <c r="EH379" s="822"/>
      <c r="EI379" s="822"/>
      <c r="EJ379" s="822"/>
      <c r="EK379" s="822"/>
      <c r="EL379" s="822"/>
      <c r="EM379" s="822"/>
      <c r="EN379" s="822"/>
      <c r="EO379" s="822"/>
      <c r="EP379" s="822"/>
      <c r="EQ379" s="822"/>
      <c r="ER379" s="822"/>
    </row>
    <row r="380" spans="3:148" ht="17.100000000000001" customHeight="1" x14ac:dyDescent="0.3">
      <c r="E380" s="762"/>
      <c r="F380" s="1059"/>
      <c r="G380" s="1059"/>
      <c r="H380" s="1059"/>
      <c r="I380" s="4758"/>
      <c r="J380" s="4759"/>
      <c r="K380" s="4759"/>
      <c r="L380" s="4802"/>
      <c r="M380" s="4802"/>
      <c r="N380" s="4759"/>
      <c r="O380" s="4759"/>
      <c r="P380" s="4763"/>
      <c r="Q380" s="1059"/>
      <c r="R380" s="1059"/>
      <c r="S380" s="4758"/>
      <c r="T380" s="4759"/>
      <c r="U380" s="4759"/>
      <c r="V380" s="4800"/>
      <c r="W380" s="4800"/>
      <c r="X380" s="4759"/>
      <c r="Y380" s="4759"/>
      <c r="Z380" s="4763"/>
      <c r="AA380" s="1059"/>
      <c r="AB380" s="1059"/>
      <c r="AC380" s="4758"/>
      <c r="AD380" s="4759"/>
      <c r="AE380" s="4759"/>
      <c r="AF380" s="4804"/>
      <c r="AG380" s="4804"/>
      <c r="AH380" s="4759"/>
      <c r="AI380" s="4759"/>
      <c r="AJ380" s="4763"/>
      <c r="AK380" s="1059"/>
      <c r="AL380" s="1059"/>
      <c r="AM380" s="2285">
        <f>AN392</f>
        <v>0</v>
      </c>
      <c r="AN380" s="2282" t="s">
        <v>710</v>
      </c>
      <c r="AO380" s="1278"/>
      <c r="AP380" s="1059"/>
      <c r="AQ380" s="1059"/>
      <c r="AR380" s="4758"/>
      <c r="AS380" s="4759"/>
      <c r="AT380" s="4759"/>
      <c r="AU380" s="4804"/>
      <c r="AV380" s="4804"/>
      <c r="AW380" s="4759"/>
      <c r="AX380" s="4759"/>
      <c r="AY380" s="4763"/>
      <c r="AZ380" s="1059"/>
      <c r="BA380" s="1059"/>
      <c r="BB380" s="4758"/>
      <c r="BC380" s="4759"/>
      <c r="BD380" s="4759"/>
      <c r="BE380" s="4800"/>
      <c r="BF380" s="4800"/>
      <c r="BG380" s="4759"/>
      <c r="BH380" s="4759"/>
      <c r="BI380" s="4763"/>
      <c r="BJ380" s="1059"/>
      <c r="BK380" s="1059"/>
      <c r="BL380" s="4758"/>
      <c r="BM380" s="4759"/>
      <c r="BN380" s="4759"/>
      <c r="BO380" s="4802"/>
      <c r="BP380" s="4802"/>
      <c r="BQ380" s="4759"/>
      <c r="BR380" s="4759"/>
      <c r="BS380" s="4763"/>
      <c r="BT380" s="1059"/>
      <c r="BU380" s="1059"/>
      <c r="BV380" s="1059"/>
      <c r="BW380" s="764"/>
      <c r="CJ380" s="822"/>
      <c r="CK380" s="822"/>
      <c r="CL380" s="822"/>
      <c r="CM380" s="822"/>
      <c r="CN380" s="822"/>
      <c r="CO380" s="822"/>
      <c r="CP380" s="822"/>
      <c r="CQ380" s="822"/>
      <c r="CR380" s="822"/>
      <c r="CS380" s="822"/>
      <c r="CT380" s="822"/>
      <c r="CU380" s="822"/>
      <c r="CV380" s="822"/>
      <c r="CW380" s="822"/>
      <c r="CX380" s="822"/>
      <c r="CY380" s="822"/>
      <c r="CZ380" s="822"/>
      <c r="DA380" s="822"/>
      <c r="DB380" s="822"/>
      <c r="DC380" s="822"/>
      <c r="DD380" s="822"/>
      <c r="DE380" s="822"/>
      <c r="DF380" s="822"/>
      <c r="DG380" s="822"/>
      <c r="DH380" s="822"/>
      <c r="DI380" s="822"/>
      <c r="DJ380" s="822"/>
      <c r="DK380" s="822"/>
      <c r="DL380" s="822"/>
      <c r="DM380" s="822"/>
      <c r="DN380" s="822"/>
      <c r="DO380" s="822"/>
      <c r="DP380" s="822"/>
      <c r="DQ380" s="822"/>
      <c r="DR380" s="822"/>
      <c r="DS380" s="822"/>
      <c r="DT380" s="822"/>
      <c r="DU380" s="822"/>
      <c r="DV380" s="822"/>
      <c r="DW380" s="822"/>
      <c r="DX380" s="822"/>
      <c r="DY380" s="822"/>
      <c r="DZ380" s="822"/>
      <c r="EA380" s="822"/>
      <c r="EB380" s="822"/>
      <c r="EC380" s="822"/>
      <c r="ED380" s="822"/>
      <c r="EE380" s="822"/>
      <c r="EF380" s="822"/>
      <c r="EG380" s="822"/>
      <c r="EH380" s="822"/>
      <c r="EI380" s="822"/>
      <c r="EJ380" s="822"/>
      <c r="EK380" s="822"/>
      <c r="EL380" s="822"/>
      <c r="EM380" s="822"/>
      <c r="EN380" s="822"/>
      <c r="EO380" s="822"/>
      <c r="EP380" s="822"/>
      <c r="EQ380" s="822"/>
      <c r="ER380" s="822"/>
    </row>
    <row r="381" spans="3:148" ht="17.100000000000001" customHeight="1" x14ac:dyDescent="0.3">
      <c r="E381" s="762"/>
      <c r="F381" s="1059"/>
      <c r="G381" s="1059"/>
      <c r="H381" s="1059"/>
      <c r="I381" s="4766"/>
      <c r="J381" s="4768"/>
      <c r="K381" s="4769"/>
      <c r="L381" s="4769"/>
      <c r="M381" s="4769"/>
      <c r="N381" s="4769"/>
      <c r="O381" s="4770"/>
      <c r="P381" s="4777"/>
      <c r="Q381" s="1059"/>
      <c r="R381" s="1059"/>
      <c r="S381" s="4766"/>
      <c r="T381" s="4768"/>
      <c r="U381" s="4769"/>
      <c r="V381" s="4769"/>
      <c r="W381" s="4769"/>
      <c r="X381" s="4769"/>
      <c r="Y381" s="4770"/>
      <c r="Z381" s="4777"/>
      <c r="AA381" s="1059"/>
      <c r="AB381" s="1059"/>
      <c r="AC381" s="4766"/>
      <c r="AD381" s="4768"/>
      <c r="AE381" s="4769"/>
      <c r="AF381" s="4769"/>
      <c r="AG381" s="4769"/>
      <c r="AH381" s="4769"/>
      <c r="AI381" s="4770"/>
      <c r="AJ381" s="4777"/>
      <c r="AK381" s="1059"/>
      <c r="AL381" s="1059"/>
      <c r="AM381" s="2285">
        <f>AN392</f>
        <v>0</v>
      </c>
      <c r="AN381" s="2283" t="s">
        <v>941</v>
      </c>
      <c r="AO381" s="1278"/>
      <c r="AP381" s="1059"/>
      <c r="AQ381" s="1059"/>
      <c r="AR381" s="4766"/>
      <c r="AS381" s="4768"/>
      <c r="AT381" s="4769"/>
      <c r="AU381" s="4769"/>
      <c r="AV381" s="4769"/>
      <c r="AW381" s="4769"/>
      <c r="AX381" s="4770"/>
      <c r="AY381" s="4777"/>
      <c r="AZ381" s="1059"/>
      <c r="BA381" s="1059"/>
      <c r="BB381" s="4766"/>
      <c r="BC381" s="4768"/>
      <c r="BD381" s="4769"/>
      <c r="BE381" s="4769"/>
      <c r="BF381" s="4769"/>
      <c r="BG381" s="4769"/>
      <c r="BH381" s="4770"/>
      <c r="BI381" s="4777"/>
      <c r="BJ381" s="1059"/>
      <c r="BK381" s="1059"/>
      <c r="BL381" s="4766"/>
      <c r="BM381" s="4768"/>
      <c r="BN381" s="4769"/>
      <c r="BO381" s="4769"/>
      <c r="BP381" s="4769"/>
      <c r="BQ381" s="4769"/>
      <c r="BR381" s="4770"/>
      <c r="BS381" s="4777"/>
      <c r="BT381" s="1059"/>
      <c r="BU381" s="1059"/>
      <c r="BV381" s="1059"/>
      <c r="BW381" s="764"/>
      <c r="BX381" s="822"/>
      <c r="BY381" s="822"/>
      <c r="BZ381" s="822"/>
      <c r="CA381" s="822"/>
      <c r="CB381" s="822"/>
      <c r="CC381" s="822"/>
      <c r="CD381" s="822"/>
      <c r="CE381" s="822"/>
      <c r="CF381" s="822"/>
      <c r="CG381" s="822"/>
      <c r="CH381" s="822"/>
      <c r="CI381" s="822"/>
      <c r="CJ381" s="4826" t="str">
        <f>IF(J381=0,"",J381)</f>
        <v/>
      </c>
      <c r="CK381" s="4827"/>
      <c r="CL381" s="4827"/>
      <c r="CM381" s="4827"/>
      <c r="CN381" s="4827"/>
      <c r="CO381" s="4828"/>
      <c r="CP381" s="822"/>
      <c r="CQ381" s="822"/>
      <c r="CR381" s="822"/>
      <c r="CS381" s="822"/>
      <c r="CT381" s="4826" t="str">
        <f>IF(T381=0,"",T381)</f>
        <v/>
      </c>
      <c r="CU381" s="4827"/>
      <c r="CV381" s="4827"/>
      <c r="CW381" s="4827"/>
      <c r="CX381" s="4827"/>
      <c r="CY381" s="4828"/>
      <c r="CZ381" s="822"/>
      <c r="DA381" s="822"/>
      <c r="DB381" s="822"/>
      <c r="DC381" s="822"/>
      <c r="DD381" s="4826" t="str">
        <f>IF(AD381=0,"",AD381)</f>
        <v/>
      </c>
      <c r="DE381" s="4827"/>
      <c r="DF381" s="4827"/>
      <c r="DG381" s="4827"/>
      <c r="DH381" s="4827"/>
      <c r="DI381" s="4828"/>
      <c r="DJ381" s="822"/>
      <c r="DK381" s="822"/>
      <c r="DL381" s="822"/>
      <c r="DM381" s="822"/>
      <c r="DN381" s="822"/>
      <c r="DO381" s="822"/>
      <c r="DP381" s="822"/>
      <c r="DQ381" s="822"/>
      <c r="DR381" s="822"/>
      <c r="DS381" s="4826" t="str">
        <f>IF(AS381=0,"",AS381)</f>
        <v/>
      </c>
      <c r="DT381" s="4827"/>
      <c r="DU381" s="4827"/>
      <c r="DV381" s="4827"/>
      <c r="DW381" s="4827"/>
      <c r="DX381" s="4828"/>
      <c r="DY381" s="822"/>
      <c r="DZ381" s="822"/>
      <c r="EA381" s="822"/>
      <c r="EB381" s="822"/>
      <c r="EC381" s="4826" t="str">
        <f>IF(BC381=0,"",BC381)</f>
        <v/>
      </c>
      <c r="ED381" s="4827"/>
      <c r="EE381" s="4827"/>
      <c r="EF381" s="4827"/>
      <c r="EG381" s="4827"/>
      <c r="EH381" s="4828"/>
      <c r="EI381" s="822"/>
      <c r="EJ381" s="822"/>
      <c r="EK381" s="822"/>
      <c r="EL381" s="822"/>
      <c r="EM381" s="4826" t="str">
        <f>IF(BM381=0,"",BM381)</f>
        <v/>
      </c>
      <c r="EN381" s="4827"/>
      <c r="EO381" s="4827"/>
      <c r="EP381" s="4827"/>
      <c r="EQ381" s="4827"/>
      <c r="ER381" s="4828"/>
    </row>
    <row r="382" spans="3:148" ht="17.100000000000001" customHeight="1" x14ac:dyDescent="0.3">
      <c r="E382" s="762"/>
      <c r="F382" s="1059"/>
      <c r="G382" s="1059"/>
      <c r="H382" s="1059"/>
      <c r="I382" s="4766"/>
      <c r="J382" s="4771"/>
      <c r="K382" s="4772"/>
      <c r="L382" s="4772"/>
      <c r="M382" s="4772"/>
      <c r="N382" s="4772"/>
      <c r="O382" s="4773"/>
      <c r="P382" s="4777"/>
      <c r="Q382" s="1059"/>
      <c r="R382" s="1059"/>
      <c r="S382" s="4766"/>
      <c r="T382" s="4771"/>
      <c r="U382" s="4772"/>
      <c r="V382" s="4772"/>
      <c r="W382" s="4772"/>
      <c r="X382" s="4772"/>
      <c r="Y382" s="4773"/>
      <c r="Z382" s="4777"/>
      <c r="AA382" s="1059"/>
      <c r="AB382" s="1059"/>
      <c r="AC382" s="4766"/>
      <c r="AD382" s="4771"/>
      <c r="AE382" s="4772"/>
      <c r="AF382" s="4772"/>
      <c r="AG382" s="4772"/>
      <c r="AH382" s="4772"/>
      <c r="AI382" s="4773"/>
      <c r="AJ382" s="4777"/>
      <c r="AK382" s="1059"/>
      <c r="AL382" s="1059"/>
      <c r="AM382" s="2285">
        <f>AN392</f>
        <v>0</v>
      </c>
      <c r="AN382" s="2284" t="s">
        <v>144</v>
      </c>
      <c r="AO382" s="1278"/>
      <c r="AP382" s="1059"/>
      <c r="AQ382" s="1059"/>
      <c r="AR382" s="4766"/>
      <c r="AS382" s="4771"/>
      <c r="AT382" s="4772"/>
      <c r="AU382" s="4772"/>
      <c r="AV382" s="4772"/>
      <c r="AW382" s="4772"/>
      <c r="AX382" s="4773"/>
      <c r="AY382" s="4777"/>
      <c r="AZ382" s="1059"/>
      <c r="BA382" s="1059"/>
      <c r="BB382" s="4766"/>
      <c r="BC382" s="4771"/>
      <c r="BD382" s="4772"/>
      <c r="BE382" s="4772"/>
      <c r="BF382" s="4772"/>
      <c r="BG382" s="4772"/>
      <c r="BH382" s="4773"/>
      <c r="BI382" s="4777"/>
      <c r="BJ382" s="1059"/>
      <c r="BK382" s="1059"/>
      <c r="BL382" s="4766"/>
      <c r="BM382" s="4771"/>
      <c r="BN382" s="4772"/>
      <c r="BO382" s="4772"/>
      <c r="BP382" s="4772"/>
      <c r="BQ382" s="4772"/>
      <c r="BR382" s="4773"/>
      <c r="BS382" s="4777"/>
      <c r="BT382" s="1059"/>
      <c r="BU382" s="1059"/>
      <c r="BV382" s="1059"/>
      <c r="BW382" s="764"/>
      <c r="BX382" s="822"/>
      <c r="BY382" s="822"/>
      <c r="BZ382" s="822"/>
      <c r="CA382" s="822"/>
      <c r="CB382" s="822"/>
      <c r="CC382" s="822"/>
      <c r="CD382" s="822"/>
      <c r="CE382" s="822"/>
      <c r="CF382" s="822"/>
      <c r="CG382" s="822"/>
      <c r="CH382" s="822"/>
      <c r="CI382" s="822"/>
      <c r="CJ382" s="4829"/>
      <c r="CK382" s="4830"/>
      <c r="CL382" s="4830"/>
      <c r="CM382" s="4830"/>
      <c r="CN382" s="4830"/>
      <c r="CO382" s="4831"/>
      <c r="CP382" s="822"/>
      <c r="CQ382" s="822"/>
      <c r="CR382" s="822"/>
      <c r="CS382" s="822"/>
      <c r="CT382" s="4829"/>
      <c r="CU382" s="4830"/>
      <c r="CV382" s="4830"/>
      <c r="CW382" s="4830"/>
      <c r="CX382" s="4830"/>
      <c r="CY382" s="4831"/>
      <c r="CZ382" s="822"/>
      <c r="DA382" s="822"/>
      <c r="DB382" s="822"/>
      <c r="DC382" s="822"/>
      <c r="DD382" s="4829"/>
      <c r="DE382" s="4830"/>
      <c r="DF382" s="4830"/>
      <c r="DG382" s="4830"/>
      <c r="DH382" s="4830"/>
      <c r="DI382" s="4831"/>
      <c r="DJ382" s="822"/>
      <c r="DK382" s="822"/>
      <c r="DL382" s="822"/>
      <c r="DM382" s="822"/>
      <c r="DN382" s="822"/>
      <c r="DO382" s="822"/>
      <c r="DP382" s="822"/>
      <c r="DQ382" s="822"/>
      <c r="DR382" s="822"/>
      <c r="DS382" s="4829"/>
      <c r="DT382" s="4830"/>
      <c r="DU382" s="4830"/>
      <c r="DV382" s="4830"/>
      <c r="DW382" s="4830"/>
      <c r="DX382" s="4831"/>
      <c r="DY382" s="822"/>
      <c r="DZ382" s="822"/>
      <c r="EA382" s="822"/>
      <c r="EB382" s="822"/>
      <c r="EC382" s="4829"/>
      <c r="ED382" s="4830"/>
      <c r="EE382" s="4830"/>
      <c r="EF382" s="4830"/>
      <c r="EG382" s="4830"/>
      <c r="EH382" s="4831"/>
      <c r="EI382" s="822"/>
      <c r="EJ382" s="822"/>
      <c r="EK382" s="822"/>
      <c r="EL382" s="822"/>
      <c r="EM382" s="4829"/>
      <c r="EN382" s="4830"/>
      <c r="EO382" s="4830"/>
      <c r="EP382" s="4830"/>
      <c r="EQ382" s="4830"/>
      <c r="ER382" s="4831"/>
    </row>
    <row r="383" spans="3:148" ht="17.100000000000001" customHeight="1" x14ac:dyDescent="0.3">
      <c r="C383" s="1436"/>
      <c r="E383" s="762"/>
      <c r="F383" s="1059"/>
      <c r="G383" s="1059"/>
      <c r="H383" s="1059"/>
      <c r="I383" s="4766"/>
      <c r="J383" s="4774"/>
      <c r="K383" s="4775"/>
      <c r="L383" s="4775"/>
      <c r="M383" s="4775"/>
      <c r="N383" s="4775"/>
      <c r="O383" s="4776"/>
      <c r="P383" s="4777"/>
      <c r="Q383" s="1059"/>
      <c r="R383" s="1059"/>
      <c r="S383" s="4766"/>
      <c r="T383" s="4774"/>
      <c r="U383" s="4775"/>
      <c r="V383" s="4775"/>
      <c r="W383" s="4775"/>
      <c r="X383" s="4775"/>
      <c r="Y383" s="4776"/>
      <c r="Z383" s="4777"/>
      <c r="AA383" s="1059"/>
      <c r="AB383" s="1059"/>
      <c r="AC383" s="4766"/>
      <c r="AD383" s="4774"/>
      <c r="AE383" s="4775"/>
      <c r="AF383" s="4775"/>
      <c r="AG383" s="4775"/>
      <c r="AH383" s="4775"/>
      <c r="AI383" s="4776"/>
      <c r="AJ383" s="4777"/>
      <c r="AK383" s="1059"/>
      <c r="AL383" s="1059"/>
      <c r="AM383" s="2285">
        <f>AN392</f>
        <v>0</v>
      </c>
      <c r="AN383" s="2276" t="s">
        <v>939</v>
      </c>
      <c r="AO383" s="1278"/>
      <c r="AP383" s="1059"/>
      <c r="AQ383" s="1059"/>
      <c r="AR383" s="4766"/>
      <c r="AS383" s="4774"/>
      <c r="AT383" s="4775"/>
      <c r="AU383" s="4775"/>
      <c r="AV383" s="4775"/>
      <c r="AW383" s="4775"/>
      <c r="AX383" s="4776"/>
      <c r="AY383" s="4777"/>
      <c r="AZ383" s="1059"/>
      <c r="BA383" s="1059"/>
      <c r="BB383" s="4766"/>
      <c r="BC383" s="4774"/>
      <c r="BD383" s="4775"/>
      <c r="BE383" s="4775"/>
      <c r="BF383" s="4775"/>
      <c r="BG383" s="4775"/>
      <c r="BH383" s="4776"/>
      <c r="BI383" s="4777"/>
      <c r="BJ383" s="1059"/>
      <c r="BK383" s="1059"/>
      <c r="BL383" s="4766"/>
      <c r="BM383" s="4774"/>
      <c r="BN383" s="4775"/>
      <c r="BO383" s="4775"/>
      <c r="BP383" s="4775"/>
      <c r="BQ383" s="4775"/>
      <c r="BR383" s="4776"/>
      <c r="BS383" s="4777"/>
      <c r="BT383" s="1059"/>
      <c r="BU383" s="1059"/>
      <c r="BV383" s="1059"/>
      <c r="BW383" s="764"/>
      <c r="BX383" s="822"/>
      <c r="BY383" s="822"/>
      <c r="BZ383" s="822"/>
      <c r="CA383" s="822"/>
      <c r="CB383" s="822"/>
      <c r="CC383" s="822"/>
      <c r="CD383" s="822"/>
      <c r="CE383" s="822"/>
      <c r="CF383" s="822"/>
      <c r="CG383" s="822"/>
      <c r="CH383" s="822"/>
      <c r="CI383" s="822"/>
      <c r="CJ383" s="4832"/>
      <c r="CK383" s="4833"/>
      <c r="CL383" s="4833"/>
      <c r="CM383" s="4833"/>
      <c r="CN383" s="4833"/>
      <c r="CO383" s="4834"/>
      <c r="CP383" s="822"/>
      <c r="CQ383" s="822"/>
      <c r="CR383" s="822"/>
      <c r="CS383" s="822"/>
      <c r="CT383" s="4832"/>
      <c r="CU383" s="4833"/>
      <c r="CV383" s="4833"/>
      <c r="CW383" s="4833"/>
      <c r="CX383" s="4833"/>
      <c r="CY383" s="4834"/>
      <c r="CZ383" s="822"/>
      <c r="DA383" s="822"/>
      <c r="DB383" s="822"/>
      <c r="DC383" s="822"/>
      <c r="DD383" s="4832"/>
      <c r="DE383" s="4833"/>
      <c r="DF383" s="4833"/>
      <c r="DG383" s="4833"/>
      <c r="DH383" s="4833"/>
      <c r="DI383" s="4834"/>
      <c r="DJ383" s="822"/>
      <c r="DK383" s="822"/>
      <c r="DL383" s="822"/>
      <c r="DM383" s="822"/>
      <c r="DN383" s="822"/>
      <c r="DO383" s="822"/>
      <c r="DP383" s="822"/>
      <c r="DQ383" s="822"/>
      <c r="DR383" s="822"/>
      <c r="DS383" s="4832"/>
      <c r="DT383" s="4833"/>
      <c r="DU383" s="4833"/>
      <c r="DV383" s="4833"/>
      <c r="DW383" s="4833"/>
      <c r="DX383" s="4834"/>
      <c r="DY383" s="822"/>
      <c r="DZ383" s="822"/>
      <c r="EA383" s="822"/>
      <c r="EB383" s="822"/>
      <c r="EC383" s="4832"/>
      <c r="ED383" s="4833"/>
      <c r="EE383" s="4833"/>
      <c r="EF383" s="4833"/>
      <c r="EG383" s="4833"/>
      <c r="EH383" s="4834"/>
      <c r="EI383" s="822"/>
      <c r="EJ383" s="822"/>
      <c r="EK383" s="822"/>
      <c r="EL383" s="822"/>
      <c r="EM383" s="4832"/>
      <c r="EN383" s="4833"/>
      <c r="EO383" s="4833"/>
      <c r="EP383" s="4833"/>
      <c r="EQ383" s="4833"/>
      <c r="ER383" s="4834"/>
    </row>
    <row r="384" spans="3:148" ht="17.100000000000001" customHeight="1" thickBot="1" x14ac:dyDescent="0.35">
      <c r="C384" s="1436"/>
      <c r="E384" s="762"/>
      <c r="F384" s="1059"/>
      <c r="G384" s="1059"/>
      <c r="H384" s="1059"/>
      <c r="I384" s="4767"/>
      <c r="J384" s="4789" t="s">
        <v>505</v>
      </c>
      <c r="K384" s="4789"/>
      <c r="L384" s="4789"/>
      <c r="M384" s="4789"/>
      <c r="N384" s="4789"/>
      <c r="O384" s="4789"/>
      <c r="P384" s="4778"/>
      <c r="Q384" s="1059"/>
      <c r="R384" s="1059"/>
      <c r="S384" s="4767"/>
      <c r="T384" s="4789" t="s">
        <v>505</v>
      </c>
      <c r="U384" s="4789"/>
      <c r="V384" s="4789"/>
      <c r="W384" s="4789"/>
      <c r="X384" s="4789"/>
      <c r="Y384" s="4789"/>
      <c r="Z384" s="4778"/>
      <c r="AA384" s="1059"/>
      <c r="AB384" s="1059"/>
      <c r="AC384" s="4767"/>
      <c r="AD384" s="4789" t="s">
        <v>505</v>
      </c>
      <c r="AE384" s="4789"/>
      <c r="AF384" s="4789"/>
      <c r="AG384" s="4789"/>
      <c r="AH384" s="4789"/>
      <c r="AI384" s="4789"/>
      <c r="AJ384" s="4778"/>
      <c r="AK384" s="1059"/>
      <c r="AL384" s="1059"/>
      <c r="AM384" s="2285">
        <f>AN392</f>
        <v>0</v>
      </c>
      <c r="AN384" s="2277" t="s">
        <v>942</v>
      </c>
      <c r="AO384" s="1278"/>
      <c r="AP384" s="1059"/>
      <c r="AQ384" s="1059"/>
      <c r="AR384" s="4767"/>
      <c r="AS384" s="4789" t="s">
        <v>505</v>
      </c>
      <c r="AT384" s="4789"/>
      <c r="AU384" s="4789"/>
      <c r="AV384" s="4789"/>
      <c r="AW384" s="4789"/>
      <c r="AX384" s="4789"/>
      <c r="AY384" s="4778"/>
      <c r="AZ384" s="1059"/>
      <c r="BA384" s="1059"/>
      <c r="BB384" s="4767"/>
      <c r="BC384" s="4789" t="s">
        <v>505</v>
      </c>
      <c r="BD384" s="4789"/>
      <c r="BE384" s="4789"/>
      <c r="BF384" s="4789"/>
      <c r="BG384" s="4789"/>
      <c r="BH384" s="4789"/>
      <c r="BI384" s="4778"/>
      <c r="BJ384" s="1059"/>
      <c r="BK384" s="1059"/>
      <c r="BL384" s="4767"/>
      <c r="BM384" s="4789" t="s">
        <v>505</v>
      </c>
      <c r="BN384" s="4789"/>
      <c r="BO384" s="4789"/>
      <c r="BP384" s="4789"/>
      <c r="BQ384" s="4789"/>
      <c r="BR384" s="4789"/>
      <c r="BS384" s="4778"/>
      <c r="BT384" s="1059"/>
      <c r="BU384" s="1059"/>
      <c r="BV384" s="1059"/>
      <c r="BW384" s="764"/>
      <c r="BX384" s="822"/>
      <c r="BY384" s="822"/>
      <c r="BZ384" s="822"/>
      <c r="CA384" s="822"/>
      <c r="CB384" s="822"/>
      <c r="CC384" s="822"/>
      <c r="CD384" s="822"/>
      <c r="CE384" s="822"/>
      <c r="CF384" s="822"/>
      <c r="CG384" s="822"/>
      <c r="CH384" s="822"/>
      <c r="CI384" s="822"/>
      <c r="CQ384" s="822"/>
      <c r="CR384" s="822"/>
      <c r="CS384" s="822"/>
      <c r="CT384" s="822"/>
      <c r="CU384" s="822"/>
      <c r="CV384" s="822"/>
      <c r="CW384" s="822"/>
      <c r="CX384" s="822"/>
      <c r="CY384" s="822"/>
      <c r="CZ384" s="822"/>
      <c r="DA384" s="822"/>
      <c r="DB384" s="822"/>
      <c r="DC384" s="822"/>
      <c r="DD384" s="822"/>
      <c r="DE384" s="822"/>
      <c r="DF384" s="822"/>
      <c r="DG384" s="822"/>
      <c r="DH384" s="822"/>
      <c r="DI384" s="822"/>
      <c r="DJ384" s="822"/>
      <c r="DK384" s="822"/>
      <c r="DL384" s="822"/>
      <c r="DM384" s="822"/>
      <c r="DN384" s="822"/>
      <c r="DO384" s="822"/>
      <c r="DP384" s="822"/>
      <c r="DQ384" s="822"/>
      <c r="DR384" s="822"/>
      <c r="DZ384" s="822"/>
      <c r="EA384" s="822"/>
      <c r="EB384" s="822"/>
      <c r="EC384" s="822"/>
      <c r="ED384" s="822"/>
      <c r="EE384" s="822"/>
      <c r="EF384" s="822"/>
      <c r="EG384" s="822"/>
      <c r="EH384" s="822"/>
      <c r="EI384" s="822"/>
      <c r="EJ384" s="822"/>
      <c r="EK384" s="822"/>
      <c r="EL384" s="822"/>
      <c r="EM384" s="822"/>
      <c r="EN384" s="822"/>
      <c r="EO384" s="822"/>
      <c r="EP384" s="822"/>
      <c r="EQ384" s="822"/>
      <c r="ER384" s="822"/>
    </row>
    <row r="385" spans="5:148" ht="17.100000000000001" customHeight="1" thickTop="1" x14ac:dyDescent="0.3">
      <c r="E385" s="762"/>
      <c r="F385" s="1059"/>
      <c r="G385" s="1059"/>
      <c r="H385" s="1059"/>
      <c r="I385" s="1059"/>
      <c r="J385" s="1059"/>
      <c r="K385" s="1059"/>
      <c r="L385" s="1059"/>
      <c r="M385" s="1059"/>
      <c r="N385" s="1059"/>
      <c r="O385" s="1059"/>
      <c r="P385" s="1059"/>
      <c r="Q385" s="1059"/>
      <c r="R385" s="1059"/>
      <c r="S385" s="1059"/>
      <c r="T385" s="1059"/>
      <c r="U385" s="1059"/>
      <c r="V385" s="1059"/>
      <c r="W385" s="1059"/>
      <c r="X385" s="1059"/>
      <c r="Y385" s="1059"/>
      <c r="Z385" s="1059"/>
      <c r="AA385" s="1059"/>
      <c r="AB385" s="1059"/>
      <c r="AC385" s="1059"/>
      <c r="AD385" s="1059"/>
      <c r="AE385" s="1059"/>
      <c r="AF385" s="1059"/>
      <c r="AG385" s="1059"/>
      <c r="AH385" s="1059"/>
      <c r="AI385" s="1059"/>
      <c r="AJ385" s="1059"/>
      <c r="AK385" s="1059"/>
      <c r="AL385" s="1059"/>
      <c r="AM385" s="2285">
        <f>AN392</f>
        <v>0</v>
      </c>
      <c r="AN385" s="2278" t="s">
        <v>940</v>
      </c>
      <c r="AO385" s="1278"/>
      <c r="AP385" s="1059"/>
      <c r="AQ385" s="1059"/>
      <c r="AR385" s="1059"/>
      <c r="AS385" s="1059"/>
      <c r="AT385" s="1059"/>
      <c r="AU385" s="1059"/>
      <c r="AV385" s="1059"/>
      <c r="AW385" s="1059"/>
      <c r="AX385" s="1059"/>
      <c r="AY385" s="1059"/>
      <c r="AZ385" s="1059"/>
      <c r="BA385" s="1059"/>
      <c r="BB385" s="1059"/>
      <c r="BC385" s="1059"/>
      <c r="BD385" s="1059"/>
      <c r="BE385" s="1059"/>
      <c r="BF385" s="1059"/>
      <c r="BG385" s="1059"/>
      <c r="BH385" s="1059"/>
      <c r="BI385" s="1059"/>
      <c r="BJ385" s="1059"/>
      <c r="BK385" s="1059"/>
      <c r="BL385" s="1059"/>
      <c r="BM385" s="1059"/>
      <c r="BN385" s="1059"/>
      <c r="BO385" s="1059"/>
      <c r="BP385" s="1059"/>
      <c r="BQ385" s="1059"/>
      <c r="BR385" s="1059"/>
      <c r="BS385" s="1059"/>
      <c r="BT385" s="1059"/>
      <c r="BU385" s="1059"/>
      <c r="BV385" s="1059"/>
      <c r="BW385" s="764"/>
      <c r="BX385" s="822"/>
      <c r="BY385" s="822"/>
      <c r="BZ385" s="822"/>
      <c r="CA385" s="822"/>
      <c r="CB385" s="822"/>
      <c r="CC385" s="822"/>
      <c r="CD385" s="822"/>
      <c r="CE385" s="822"/>
      <c r="CF385" s="822"/>
      <c r="CG385" s="822"/>
      <c r="CH385" s="822"/>
      <c r="CI385" s="822"/>
      <c r="CQ385" s="822"/>
      <c r="CR385" s="822"/>
      <c r="CS385" s="822"/>
      <c r="CT385" s="822"/>
      <c r="CU385" s="822"/>
      <c r="CV385" s="822"/>
      <c r="CW385" s="822"/>
      <c r="CX385" s="822"/>
      <c r="CY385" s="822"/>
      <c r="CZ385" s="822"/>
      <c r="DA385" s="822"/>
      <c r="DB385" s="822"/>
      <c r="DC385" s="822"/>
      <c r="DD385" s="822"/>
      <c r="DE385" s="822"/>
      <c r="DF385" s="822"/>
      <c r="DG385" s="822"/>
      <c r="DH385" s="822"/>
      <c r="DI385" s="822"/>
      <c r="DJ385" s="822"/>
      <c r="DK385" s="822"/>
      <c r="DL385" s="822"/>
      <c r="DM385" s="822"/>
      <c r="DN385" s="822"/>
      <c r="DO385" s="822"/>
      <c r="DP385" s="822"/>
      <c r="DQ385" s="822"/>
      <c r="DR385" s="822"/>
      <c r="DZ385" s="822"/>
      <c r="EA385" s="822"/>
      <c r="EB385" s="822"/>
      <c r="EC385" s="822"/>
      <c r="ED385" s="822"/>
      <c r="EE385" s="822"/>
      <c r="EF385" s="822"/>
      <c r="EG385" s="822"/>
      <c r="EH385" s="822"/>
      <c r="EI385" s="822"/>
      <c r="EJ385" s="822"/>
      <c r="EK385" s="822"/>
      <c r="EL385" s="822"/>
      <c r="EM385" s="822"/>
      <c r="EN385" s="822"/>
      <c r="EO385" s="822"/>
      <c r="EP385" s="822"/>
      <c r="EQ385" s="822"/>
      <c r="ER385" s="822"/>
    </row>
    <row r="386" spans="5:148" ht="17.100000000000001" customHeight="1" thickBot="1" x14ac:dyDescent="0.35">
      <c r="E386" s="762"/>
      <c r="F386" s="1059"/>
      <c r="G386" s="1059"/>
      <c r="H386" s="1059"/>
      <c r="I386" s="1059"/>
      <c r="J386" s="1059"/>
      <c r="K386" s="1059"/>
      <c r="L386" s="1059"/>
      <c r="M386" s="1059"/>
      <c r="N386" s="1059"/>
      <c r="O386" s="1059"/>
      <c r="P386" s="1059"/>
      <c r="Q386" s="1059"/>
      <c r="R386" s="1059"/>
      <c r="S386" s="1059"/>
      <c r="T386" s="1059"/>
      <c r="U386" s="1059"/>
      <c r="V386" s="1059"/>
      <c r="W386" s="1059"/>
      <c r="X386" s="1059"/>
      <c r="Y386" s="1059"/>
      <c r="Z386" s="1059"/>
      <c r="AA386" s="1059"/>
      <c r="AB386" s="1059"/>
      <c r="AC386" s="1059"/>
      <c r="AD386" s="1059"/>
      <c r="AE386" s="1059"/>
      <c r="AF386" s="1059"/>
      <c r="AG386" s="1059"/>
      <c r="AH386" s="1059"/>
      <c r="AI386" s="1059"/>
      <c r="AJ386" s="1059"/>
      <c r="AK386" s="1059"/>
      <c r="AL386" s="1059"/>
      <c r="AM386" s="2285">
        <f>AN392</f>
        <v>0</v>
      </c>
      <c r="AN386" s="2279" t="s">
        <v>710</v>
      </c>
      <c r="AO386" s="1278"/>
      <c r="AP386" s="1059"/>
      <c r="AQ386" s="1059"/>
      <c r="AR386" s="1059"/>
      <c r="AS386" s="1059"/>
      <c r="AT386" s="1059"/>
      <c r="AU386" s="1059"/>
      <c r="AV386" s="1059"/>
      <c r="AW386" s="1059"/>
      <c r="AX386" s="1059"/>
      <c r="AY386" s="1059"/>
      <c r="AZ386" s="1059"/>
      <c r="BA386" s="1059"/>
      <c r="BB386" s="1059"/>
      <c r="BC386" s="1059"/>
      <c r="BD386" s="1059"/>
      <c r="BE386" s="1059"/>
      <c r="BF386" s="1059"/>
      <c r="BG386" s="1059"/>
      <c r="BH386" s="1059"/>
      <c r="BI386" s="1059"/>
      <c r="BJ386" s="1059"/>
      <c r="BK386" s="1059"/>
      <c r="BL386" s="1059"/>
      <c r="BM386" s="1059"/>
      <c r="BN386" s="1059"/>
      <c r="BO386" s="1059"/>
      <c r="BP386" s="1059"/>
      <c r="BQ386" s="1059"/>
      <c r="BR386" s="1059"/>
      <c r="BS386" s="1059"/>
      <c r="BT386" s="1059"/>
      <c r="BU386" s="1059"/>
      <c r="BV386" s="1059"/>
      <c r="BW386" s="764"/>
      <c r="BX386" s="822"/>
      <c r="BY386" s="822"/>
      <c r="BZ386" s="822"/>
      <c r="CA386" s="822"/>
      <c r="CB386" s="822"/>
      <c r="CC386" s="822"/>
      <c r="CD386" s="822"/>
      <c r="CE386" s="822"/>
      <c r="CF386" s="822"/>
      <c r="CG386" s="822"/>
      <c r="CH386" s="822"/>
      <c r="CI386" s="822"/>
      <c r="CJ386" s="822"/>
      <c r="CK386" s="822"/>
      <c r="CL386" s="822"/>
      <c r="CM386" s="822"/>
      <c r="CN386" s="822"/>
      <c r="CO386" s="822"/>
      <c r="CP386" s="822"/>
      <c r="CQ386" s="822"/>
      <c r="CR386" s="822"/>
      <c r="CS386" s="822"/>
      <c r="CT386" s="822"/>
      <c r="CU386" s="822"/>
      <c r="CV386" s="822"/>
      <c r="CW386" s="822"/>
      <c r="CX386" s="822"/>
      <c r="CY386" s="822"/>
      <c r="CZ386" s="822"/>
      <c r="DA386" s="822"/>
      <c r="DB386" s="822"/>
      <c r="DC386" s="822"/>
      <c r="DD386" s="822"/>
      <c r="DE386" s="822"/>
      <c r="DF386" s="822"/>
      <c r="DG386" s="822"/>
      <c r="DH386" s="822"/>
      <c r="DI386" s="822"/>
      <c r="DJ386" s="822"/>
      <c r="DK386" s="822"/>
      <c r="DL386" s="822"/>
      <c r="DM386" s="822"/>
      <c r="DN386" s="822"/>
      <c r="DO386" s="822"/>
      <c r="DP386" s="822"/>
      <c r="DQ386" s="822"/>
      <c r="DR386" s="822"/>
      <c r="DS386" s="822"/>
      <c r="DT386" s="822"/>
      <c r="DU386" s="822"/>
      <c r="DV386" s="822"/>
      <c r="DW386" s="822"/>
      <c r="DX386" s="822"/>
      <c r="DY386" s="822"/>
      <c r="DZ386" s="822"/>
      <c r="EA386" s="822"/>
      <c r="EB386" s="822"/>
      <c r="EC386" s="822"/>
      <c r="ED386" s="822"/>
      <c r="EE386" s="822"/>
      <c r="EF386" s="822"/>
      <c r="EG386" s="822"/>
      <c r="EH386" s="822"/>
      <c r="EI386" s="822"/>
      <c r="EJ386" s="822"/>
      <c r="EK386" s="822"/>
      <c r="EL386" s="822"/>
      <c r="EM386" s="822"/>
      <c r="EN386" s="822"/>
      <c r="EO386" s="822"/>
      <c r="EP386" s="822"/>
      <c r="EQ386" s="822"/>
      <c r="ER386" s="822"/>
    </row>
    <row r="387" spans="5:148" ht="17.100000000000001" customHeight="1" thickTop="1" x14ac:dyDescent="0.3">
      <c r="E387" s="762"/>
      <c r="F387" s="1059"/>
      <c r="G387" s="1059"/>
      <c r="H387" s="1059"/>
      <c r="I387" s="4756" t="s">
        <v>72</v>
      </c>
      <c r="J387" s="4757"/>
      <c r="K387" s="4757"/>
      <c r="L387" s="4764" t="s">
        <v>144</v>
      </c>
      <c r="M387" s="4764"/>
      <c r="N387" s="4757" t="s">
        <v>72</v>
      </c>
      <c r="O387" s="4757"/>
      <c r="P387" s="4762"/>
      <c r="Q387" s="1059"/>
      <c r="R387" s="1059"/>
      <c r="S387" s="4756" t="s">
        <v>72</v>
      </c>
      <c r="T387" s="4757"/>
      <c r="U387" s="4757"/>
      <c r="V387" s="4779" t="s">
        <v>144</v>
      </c>
      <c r="W387" s="4779"/>
      <c r="X387" s="4757" t="s">
        <v>72</v>
      </c>
      <c r="Y387" s="4757"/>
      <c r="Z387" s="4762"/>
      <c r="AA387" s="1059"/>
      <c r="AB387" s="1059"/>
      <c r="AC387" s="4756" t="s">
        <v>72</v>
      </c>
      <c r="AD387" s="4757"/>
      <c r="AE387" s="4757"/>
      <c r="AF387" s="4781" t="s">
        <v>144</v>
      </c>
      <c r="AG387" s="4781"/>
      <c r="AH387" s="4757" t="s">
        <v>72</v>
      </c>
      <c r="AI387" s="4757"/>
      <c r="AJ387" s="4762"/>
      <c r="AK387" s="1059"/>
      <c r="AL387" s="1059"/>
      <c r="AM387" s="2285">
        <f>AN392</f>
        <v>0</v>
      </c>
      <c r="AN387" s="2280" t="s">
        <v>941</v>
      </c>
      <c r="AO387" s="1278"/>
      <c r="AP387" s="1059"/>
      <c r="AQ387" s="1059"/>
      <c r="AR387" s="4756" t="s">
        <v>72</v>
      </c>
      <c r="AS387" s="4757"/>
      <c r="AT387" s="4757"/>
      <c r="AU387" s="4781" t="s">
        <v>940</v>
      </c>
      <c r="AV387" s="4781"/>
      <c r="AW387" s="4757" t="s">
        <v>72</v>
      </c>
      <c r="AX387" s="4757"/>
      <c r="AY387" s="4762"/>
      <c r="AZ387" s="1059"/>
      <c r="BA387" s="1059"/>
      <c r="BB387" s="4756" t="s">
        <v>72</v>
      </c>
      <c r="BC387" s="4757"/>
      <c r="BD387" s="4757"/>
      <c r="BE387" s="4779" t="s">
        <v>940</v>
      </c>
      <c r="BF387" s="4779"/>
      <c r="BG387" s="4757" t="s">
        <v>72</v>
      </c>
      <c r="BH387" s="4757"/>
      <c r="BI387" s="4762"/>
      <c r="BJ387" s="1059"/>
      <c r="BK387" s="1059"/>
      <c r="BL387" s="4756" t="s">
        <v>72</v>
      </c>
      <c r="BM387" s="4757"/>
      <c r="BN387" s="4757"/>
      <c r="BO387" s="4764" t="s">
        <v>940</v>
      </c>
      <c r="BP387" s="4764"/>
      <c r="BQ387" s="4757" t="s">
        <v>72</v>
      </c>
      <c r="BR387" s="4757"/>
      <c r="BS387" s="4762"/>
      <c r="BT387" s="1059"/>
      <c r="BU387" s="1059"/>
      <c r="BV387" s="1059"/>
      <c r="BW387" s="764"/>
      <c r="BX387" s="822"/>
      <c r="BY387" s="822"/>
      <c r="BZ387" s="822"/>
      <c r="CA387" s="822"/>
      <c r="CB387" s="822"/>
      <c r="CC387" s="822"/>
      <c r="CD387" s="822"/>
      <c r="CE387" s="822"/>
      <c r="CF387" s="822"/>
      <c r="CG387" s="822"/>
      <c r="CH387" s="822"/>
      <c r="CI387" s="822"/>
      <c r="CJ387" s="822"/>
      <c r="CK387" s="822"/>
      <c r="CL387" s="822"/>
      <c r="CM387" s="822"/>
      <c r="CN387" s="822"/>
      <c r="CO387" s="822"/>
      <c r="CP387" s="822"/>
      <c r="CQ387" s="822"/>
      <c r="CR387" s="822"/>
      <c r="CS387" s="822"/>
      <c r="CT387" s="822"/>
      <c r="CU387" s="822"/>
      <c r="CV387" s="822"/>
      <c r="CW387" s="822"/>
      <c r="CX387" s="822"/>
      <c r="CY387" s="822"/>
      <c r="CZ387" s="822"/>
      <c r="DA387" s="822"/>
      <c r="DB387" s="822"/>
      <c r="DC387" s="822"/>
      <c r="DD387" s="822"/>
      <c r="DE387" s="822"/>
      <c r="DF387" s="822"/>
      <c r="DG387" s="822"/>
      <c r="DH387" s="822"/>
      <c r="DI387" s="822"/>
      <c r="DJ387" s="822"/>
      <c r="DK387" s="822"/>
      <c r="DL387" s="822"/>
      <c r="DM387" s="822"/>
      <c r="DN387" s="822"/>
      <c r="DO387" s="822"/>
      <c r="DP387" s="822"/>
      <c r="DQ387" s="822"/>
      <c r="DR387" s="822"/>
      <c r="DS387" s="822"/>
      <c r="DT387" s="822"/>
      <c r="DU387" s="822"/>
      <c r="DV387" s="822"/>
      <c r="DW387" s="822"/>
      <c r="DX387" s="822"/>
      <c r="DY387" s="822"/>
      <c r="DZ387" s="822"/>
      <c r="EA387" s="822"/>
      <c r="EB387" s="822"/>
      <c r="EC387" s="822"/>
      <c r="ED387" s="822"/>
      <c r="EE387" s="822"/>
      <c r="EF387" s="822"/>
      <c r="EG387" s="822"/>
      <c r="EH387" s="822"/>
      <c r="EI387" s="822"/>
      <c r="EJ387" s="822"/>
      <c r="EK387" s="822"/>
      <c r="EL387" s="822"/>
      <c r="EM387" s="822"/>
      <c r="EN387" s="822"/>
      <c r="EO387" s="822"/>
      <c r="EP387" s="822"/>
      <c r="EQ387" s="822"/>
      <c r="ER387" s="822"/>
    </row>
    <row r="388" spans="5:148" ht="17.100000000000001" customHeight="1" x14ac:dyDescent="0.3">
      <c r="E388" s="762"/>
      <c r="F388" s="1059"/>
      <c r="G388" s="1059"/>
      <c r="H388" s="1059"/>
      <c r="I388" s="4758"/>
      <c r="J388" s="4759"/>
      <c r="K388" s="4759"/>
      <c r="L388" s="4798"/>
      <c r="M388" s="4798"/>
      <c r="N388" s="4759"/>
      <c r="O388" s="4759"/>
      <c r="P388" s="4763"/>
      <c r="Q388" s="1059"/>
      <c r="R388" s="1059"/>
      <c r="S388" s="4758"/>
      <c r="T388" s="4759"/>
      <c r="U388" s="4759"/>
      <c r="V388" s="4796"/>
      <c r="W388" s="4796"/>
      <c r="X388" s="4759"/>
      <c r="Y388" s="4759"/>
      <c r="Z388" s="4763"/>
      <c r="AA388" s="1059"/>
      <c r="AB388" s="1059"/>
      <c r="AC388" s="4758"/>
      <c r="AD388" s="4759"/>
      <c r="AE388" s="4759"/>
      <c r="AF388" s="4797"/>
      <c r="AG388" s="4797"/>
      <c r="AH388" s="4759"/>
      <c r="AI388" s="4759"/>
      <c r="AJ388" s="4763"/>
      <c r="AK388" s="1059"/>
      <c r="AL388" s="1059"/>
      <c r="AM388" s="2285">
        <f>AN392</f>
        <v>0</v>
      </c>
      <c r="AN388" s="2281" t="s">
        <v>144</v>
      </c>
      <c r="AO388" s="1278"/>
      <c r="AP388" s="1059"/>
      <c r="AQ388" s="1059"/>
      <c r="AR388" s="4758"/>
      <c r="AS388" s="4759"/>
      <c r="AT388" s="4759"/>
      <c r="AU388" s="4797"/>
      <c r="AV388" s="4797"/>
      <c r="AW388" s="4759"/>
      <c r="AX388" s="4759"/>
      <c r="AY388" s="4763"/>
      <c r="AZ388" s="1059"/>
      <c r="BA388" s="1059"/>
      <c r="BB388" s="4758"/>
      <c r="BC388" s="4759"/>
      <c r="BD388" s="4759"/>
      <c r="BE388" s="4796"/>
      <c r="BF388" s="4796"/>
      <c r="BG388" s="4759"/>
      <c r="BH388" s="4759"/>
      <c r="BI388" s="4763"/>
      <c r="BJ388" s="1059"/>
      <c r="BK388" s="1059"/>
      <c r="BL388" s="4758"/>
      <c r="BM388" s="4759"/>
      <c r="BN388" s="4759"/>
      <c r="BO388" s="4798"/>
      <c r="BP388" s="4798"/>
      <c r="BQ388" s="4759"/>
      <c r="BR388" s="4759"/>
      <c r="BS388" s="4763"/>
      <c r="BT388" s="1059"/>
      <c r="BU388" s="1059"/>
      <c r="BV388" s="1059"/>
      <c r="BW388" s="764"/>
      <c r="BX388" s="822"/>
      <c r="BY388" s="822"/>
      <c r="BZ388" s="822"/>
      <c r="CA388" s="822"/>
      <c r="CB388" s="822"/>
      <c r="CC388" s="822"/>
      <c r="CD388" s="822"/>
      <c r="CE388" s="822"/>
      <c r="CF388" s="822"/>
      <c r="CG388" s="822"/>
      <c r="CH388" s="822"/>
      <c r="CI388" s="822"/>
      <c r="CJ388" s="822"/>
      <c r="CK388" s="822"/>
      <c r="CL388" s="822"/>
      <c r="CM388" s="822"/>
      <c r="CN388" s="822"/>
      <c r="CO388" s="822"/>
      <c r="CP388" s="822"/>
      <c r="CQ388" s="822"/>
      <c r="CR388" s="822"/>
      <c r="CS388" s="822"/>
      <c r="CT388" s="822"/>
      <c r="CU388" s="822"/>
      <c r="CV388" s="822"/>
      <c r="CW388" s="822"/>
      <c r="CX388" s="822"/>
      <c r="CY388" s="822"/>
      <c r="CZ388" s="822"/>
      <c r="DA388" s="822"/>
      <c r="DB388" s="822"/>
      <c r="DC388" s="822"/>
      <c r="DD388" s="822"/>
      <c r="DE388" s="822"/>
      <c r="DF388" s="822"/>
      <c r="DG388" s="822"/>
      <c r="DH388" s="822"/>
      <c r="DI388" s="822"/>
      <c r="DJ388" s="822"/>
      <c r="DK388" s="822"/>
      <c r="DL388" s="822"/>
      <c r="DM388" s="822"/>
      <c r="DN388" s="822"/>
      <c r="DO388" s="822"/>
      <c r="DP388" s="822"/>
      <c r="DQ388" s="822"/>
      <c r="DR388" s="822"/>
      <c r="DS388" s="822"/>
      <c r="DT388" s="822"/>
      <c r="DU388" s="822"/>
      <c r="DV388" s="822"/>
      <c r="DW388" s="822"/>
      <c r="DX388" s="822"/>
      <c r="DY388" s="822"/>
      <c r="DZ388" s="822"/>
      <c r="EA388" s="822"/>
      <c r="EB388" s="822"/>
      <c r="EC388" s="822"/>
      <c r="ED388" s="822"/>
      <c r="EE388" s="822"/>
      <c r="EF388" s="822"/>
      <c r="EG388" s="822"/>
      <c r="EH388" s="822"/>
      <c r="EI388" s="822"/>
      <c r="EJ388" s="822"/>
      <c r="EK388" s="822"/>
      <c r="EL388" s="822"/>
      <c r="EM388" s="822"/>
      <c r="EN388" s="822"/>
      <c r="EO388" s="822"/>
      <c r="EP388" s="822"/>
      <c r="EQ388" s="822"/>
      <c r="ER388" s="822"/>
    </row>
    <row r="389" spans="5:148" ht="17.100000000000001" customHeight="1" x14ac:dyDescent="0.3">
      <c r="E389" s="762"/>
      <c r="F389" s="1059"/>
      <c r="G389" s="1059"/>
      <c r="H389" s="1059"/>
      <c r="I389" s="4766"/>
      <c r="J389" s="4768"/>
      <c r="K389" s="4769"/>
      <c r="L389" s="4769"/>
      <c r="M389" s="4769"/>
      <c r="N389" s="4769"/>
      <c r="O389" s="4770"/>
      <c r="P389" s="4777"/>
      <c r="Q389" s="1059"/>
      <c r="R389" s="1059"/>
      <c r="S389" s="4766"/>
      <c r="T389" s="4768"/>
      <c r="U389" s="4769"/>
      <c r="V389" s="4769"/>
      <c r="W389" s="4769"/>
      <c r="X389" s="4769"/>
      <c r="Y389" s="4770"/>
      <c r="Z389" s="4777"/>
      <c r="AA389" s="1059"/>
      <c r="AB389" s="1059"/>
      <c r="AC389" s="4766"/>
      <c r="AD389" s="4768"/>
      <c r="AE389" s="4769"/>
      <c r="AF389" s="4769"/>
      <c r="AG389" s="4769"/>
      <c r="AH389" s="4769"/>
      <c r="AI389" s="4770"/>
      <c r="AJ389" s="4777"/>
      <c r="AK389" s="1059"/>
      <c r="AL389" s="1059"/>
      <c r="AM389" s="2285">
        <f>AN392</f>
        <v>0</v>
      </c>
      <c r="AN389" s="2282" t="s">
        <v>939</v>
      </c>
      <c r="AO389" s="1278"/>
      <c r="AP389" s="1059"/>
      <c r="AQ389" s="1059"/>
      <c r="AR389" s="4766"/>
      <c r="AS389" s="4768"/>
      <c r="AT389" s="4769"/>
      <c r="AU389" s="4769"/>
      <c r="AV389" s="4769"/>
      <c r="AW389" s="4769"/>
      <c r="AX389" s="4770"/>
      <c r="AY389" s="4777"/>
      <c r="AZ389" s="1059"/>
      <c r="BA389" s="1059"/>
      <c r="BB389" s="4766"/>
      <c r="BC389" s="4768"/>
      <c r="BD389" s="4769"/>
      <c r="BE389" s="4769"/>
      <c r="BF389" s="4769"/>
      <c r="BG389" s="4769"/>
      <c r="BH389" s="4770"/>
      <c r="BI389" s="4777"/>
      <c r="BJ389" s="1059"/>
      <c r="BK389" s="1059"/>
      <c r="BL389" s="4766"/>
      <c r="BM389" s="4768"/>
      <c r="BN389" s="4769"/>
      <c r="BO389" s="4769"/>
      <c r="BP389" s="4769"/>
      <c r="BQ389" s="4769"/>
      <c r="BR389" s="4770"/>
      <c r="BS389" s="4777"/>
      <c r="BT389" s="1059"/>
      <c r="BU389" s="1059"/>
      <c r="BV389" s="1059"/>
      <c r="BW389" s="764"/>
      <c r="BX389" s="822"/>
      <c r="BY389" s="822"/>
      <c r="BZ389" s="822"/>
      <c r="CA389" s="822"/>
      <c r="CB389" s="822"/>
      <c r="CC389" s="822"/>
      <c r="CD389" s="822"/>
      <c r="CE389" s="822"/>
      <c r="CF389" s="822"/>
      <c r="CG389" s="822"/>
      <c r="CH389" s="822"/>
      <c r="CI389" s="822"/>
      <c r="CJ389" s="4826" t="str">
        <f>IF(J389=0,"",J389)</f>
        <v/>
      </c>
      <c r="CK389" s="4827"/>
      <c r="CL389" s="4827"/>
      <c r="CM389" s="4827"/>
      <c r="CN389" s="4827"/>
      <c r="CO389" s="4828"/>
      <c r="CP389" s="822"/>
      <c r="CQ389" s="822"/>
      <c r="CR389" s="822"/>
      <c r="CS389" s="822"/>
      <c r="CT389" s="4826" t="str">
        <f>IF(T389=0,"",T389)</f>
        <v/>
      </c>
      <c r="CU389" s="4827"/>
      <c r="CV389" s="4827"/>
      <c r="CW389" s="4827"/>
      <c r="CX389" s="4827"/>
      <c r="CY389" s="4828"/>
      <c r="CZ389" s="822"/>
      <c r="DA389" s="822"/>
      <c r="DB389" s="822"/>
      <c r="DC389" s="822"/>
      <c r="DD389" s="4826" t="str">
        <f>IF(AD389=0,"",AD389)</f>
        <v/>
      </c>
      <c r="DE389" s="4827"/>
      <c r="DF389" s="4827"/>
      <c r="DG389" s="4827"/>
      <c r="DH389" s="4827"/>
      <c r="DI389" s="4828"/>
      <c r="DJ389" s="822"/>
      <c r="DK389" s="822"/>
      <c r="DL389" s="822"/>
      <c r="DM389" s="822"/>
      <c r="DN389" s="822"/>
      <c r="DO389" s="822"/>
      <c r="DP389" s="822"/>
      <c r="DQ389" s="822"/>
      <c r="DR389" s="822"/>
      <c r="DS389" s="4826" t="str">
        <f>IF(AS389=0,"",AS389)</f>
        <v/>
      </c>
      <c r="DT389" s="4827"/>
      <c r="DU389" s="4827"/>
      <c r="DV389" s="4827"/>
      <c r="DW389" s="4827"/>
      <c r="DX389" s="4828"/>
      <c r="DY389" s="822"/>
      <c r="DZ389" s="822"/>
      <c r="EA389" s="822"/>
      <c r="EB389" s="822"/>
      <c r="EC389" s="4826" t="str">
        <f>IF(BC389=0,"",BC389)</f>
        <v/>
      </c>
      <c r="ED389" s="4827"/>
      <c r="EE389" s="4827"/>
      <c r="EF389" s="4827"/>
      <c r="EG389" s="4827"/>
      <c r="EH389" s="4828"/>
      <c r="EI389" s="822"/>
      <c r="EJ389" s="822"/>
      <c r="EK389" s="822"/>
      <c r="EL389" s="822"/>
      <c r="EM389" s="4826" t="str">
        <f>IF(BM389=0,"",BM389)</f>
        <v/>
      </c>
      <c r="EN389" s="4827"/>
      <c r="EO389" s="4827"/>
      <c r="EP389" s="4827"/>
      <c r="EQ389" s="4827"/>
      <c r="ER389" s="4828"/>
    </row>
    <row r="390" spans="5:148" ht="17.100000000000001" customHeight="1" x14ac:dyDescent="0.3">
      <c r="E390" s="762"/>
      <c r="F390" s="1059"/>
      <c r="G390" s="1059"/>
      <c r="H390" s="1059"/>
      <c r="I390" s="4766"/>
      <c r="J390" s="4771"/>
      <c r="K390" s="4772"/>
      <c r="L390" s="4772"/>
      <c r="M390" s="4772"/>
      <c r="N390" s="4772"/>
      <c r="O390" s="4773"/>
      <c r="P390" s="4777"/>
      <c r="Q390" s="1059"/>
      <c r="R390" s="1059"/>
      <c r="S390" s="4766"/>
      <c r="T390" s="4771"/>
      <c r="U390" s="4772"/>
      <c r="V390" s="4772"/>
      <c r="W390" s="4772"/>
      <c r="X390" s="4772"/>
      <c r="Y390" s="4773"/>
      <c r="Z390" s="4777"/>
      <c r="AA390" s="1059"/>
      <c r="AB390" s="1059"/>
      <c r="AC390" s="4766"/>
      <c r="AD390" s="4771"/>
      <c r="AE390" s="4772"/>
      <c r="AF390" s="4772"/>
      <c r="AG390" s="4772"/>
      <c r="AH390" s="4772"/>
      <c r="AI390" s="4773"/>
      <c r="AJ390" s="4777"/>
      <c r="AK390" s="1059"/>
      <c r="AL390" s="1059"/>
      <c r="AM390" s="2285">
        <f>AN392</f>
        <v>0</v>
      </c>
      <c r="AN390" s="2283" t="s">
        <v>942</v>
      </c>
      <c r="AO390" s="1278"/>
      <c r="AP390" s="1059"/>
      <c r="AQ390" s="1059"/>
      <c r="AR390" s="4766"/>
      <c r="AS390" s="4771"/>
      <c r="AT390" s="4772"/>
      <c r="AU390" s="4772"/>
      <c r="AV390" s="4772"/>
      <c r="AW390" s="4772"/>
      <c r="AX390" s="4773"/>
      <c r="AY390" s="4777"/>
      <c r="AZ390" s="1059"/>
      <c r="BA390" s="1059"/>
      <c r="BB390" s="4766"/>
      <c r="BC390" s="4771"/>
      <c r="BD390" s="4772"/>
      <c r="BE390" s="4772"/>
      <c r="BF390" s="4772"/>
      <c r="BG390" s="4772"/>
      <c r="BH390" s="4773"/>
      <c r="BI390" s="4777"/>
      <c r="BJ390" s="1059"/>
      <c r="BK390" s="1059"/>
      <c r="BL390" s="4766"/>
      <c r="BM390" s="4771"/>
      <c r="BN390" s="4772"/>
      <c r="BO390" s="4772"/>
      <c r="BP390" s="4772"/>
      <c r="BQ390" s="4772"/>
      <c r="BR390" s="4773"/>
      <c r="BS390" s="4777"/>
      <c r="BT390" s="1059"/>
      <c r="BU390" s="1059"/>
      <c r="BV390" s="1059"/>
      <c r="BW390" s="764"/>
      <c r="BX390" s="822"/>
      <c r="BY390" s="822"/>
      <c r="BZ390" s="822"/>
      <c r="CA390" s="822"/>
      <c r="CB390" s="822"/>
      <c r="CC390" s="822"/>
      <c r="CD390" s="822"/>
      <c r="CE390" s="822"/>
      <c r="CF390" s="822"/>
      <c r="CG390" s="822"/>
      <c r="CH390" s="822"/>
      <c r="CI390" s="822"/>
      <c r="CJ390" s="4829"/>
      <c r="CK390" s="4830"/>
      <c r="CL390" s="4830"/>
      <c r="CM390" s="4830"/>
      <c r="CN390" s="4830"/>
      <c r="CO390" s="4831"/>
      <c r="CP390" s="822"/>
      <c r="CQ390" s="822"/>
      <c r="CR390" s="822"/>
      <c r="CS390" s="822"/>
      <c r="CT390" s="4829"/>
      <c r="CU390" s="4830"/>
      <c r="CV390" s="4830"/>
      <c r="CW390" s="4830"/>
      <c r="CX390" s="4830"/>
      <c r="CY390" s="4831"/>
      <c r="CZ390" s="822"/>
      <c r="DA390" s="822"/>
      <c r="DB390" s="822"/>
      <c r="DC390" s="822"/>
      <c r="DD390" s="4829"/>
      <c r="DE390" s="4830"/>
      <c r="DF390" s="4830"/>
      <c r="DG390" s="4830"/>
      <c r="DH390" s="4830"/>
      <c r="DI390" s="4831"/>
      <c r="DJ390" s="822"/>
      <c r="DK390" s="822"/>
      <c r="DL390" s="822"/>
      <c r="DM390" s="822"/>
      <c r="DN390" s="822"/>
      <c r="DO390" s="822"/>
      <c r="DP390" s="822"/>
      <c r="DQ390" s="822"/>
      <c r="DR390" s="822"/>
      <c r="DS390" s="4829"/>
      <c r="DT390" s="4830"/>
      <c r="DU390" s="4830"/>
      <c r="DV390" s="4830"/>
      <c r="DW390" s="4830"/>
      <c r="DX390" s="4831"/>
      <c r="DY390" s="822"/>
      <c r="DZ390" s="822"/>
      <c r="EA390" s="822"/>
      <c r="EB390" s="822"/>
      <c r="EC390" s="4829"/>
      <c r="ED390" s="4830"/>
      <c r="EE390" s="4830"/>
      <c r="EF390" s="4830"/>
      <c r="EG390" s="4830"/>
      <c r="EH390" s="4831"/>
      <c r="EI390" s="822"/>
      <c r="EJ390" s="822"/>
      <c r="EK390" s="822"/>
      <c r="EL390" s="822"/>
      <c r="EM390" s="4829"/>
      <c r="EN390" s="4830"/>
      <c r="EO390" s="4830"/>
      <c r="EP390" s="4830"/>
      <c r="EQ390" s="4830"/>
      <c r="ER390" s="4831"/>
    </row>
    <row r="391" spans="5:148" ht="17.100000000000001" customHeight="1" x14ac:dyDescent="0.3">
      <c r="E391" s="762"/>
      <c r="F391" s="1059"/>
      <c r="G391" s="1059"/>
      <c r="H391" s="1059"/>
      <c r="I391" s="4766"/>
      <c r="J391" s="4774"/>
      <c r="K391" s="4775"/>
      <c r="L391" s="4775"/>
      <c r="M391" s="4775"/>
      <c r="N391" s="4775"/>
      <c r="O391" s="4776"/>
      <c r="P391" s="4777"/>
      <c r="Q391" s="1059"/>
      <c r="R391" s="1059"/>
      <c r="S391" s="4766"/>
      <c r="T391" s="4774"/>
      <c r="U391" s="4775"/>
      <c r="V391" s="4775"/>
      <c r="W391" s="4775"/>
      <c r="X391" s="4775"/>
      <c r="Y391" s="4776"/>
      <c r="Z391" s="4777"/>
      <c r="AA391" s="1059"/>
      <c r="AB391" s="1059"/>
      <c r="AC391" s="4766"/>
      <c r="AD391" s="4774"/>
      <c r="AE391" s="4775"/>
      <c r="AF391" s="4775"/>
      <c r="AG391" s="4775"/>
      <c r="AH391" s="4775"/>
      <c r="AI391" s="4776"/>
      <c r="AJ391" s="4777"/>
      <c r="AK391" s="1059"/>
      <c r="AL391" s="1059"/>
      <c r="AM391" s="2285">
        <f>AN392</f>
        <v>0</v>
      </c>
      <c r="AN391" s="2284" t="s">
        <v>940</v>
      </c>
      <c r="AO391" s="1278"/>
      <c r="AP391" s="1059"/>
      <c r="AQ391" s="1059"/>
      <c r="AR391" s="4766"/>
      <c r="AS391" s="4774"/>
      <c r="AT391" s="4775"/>
      <c r="AU391" s="4775"/>
      <c r="AV391" s="4775"/>
      <c r="AW391" s="4775"/>
      <c r="AX391" s="4776"/>
      <c r="AY391" s="4777"/>
      <c r="AZ391" s="1059"/>
      <c r="BA391" s="1059"/>
      <c r="BB391" s="4766"/>
      <c r="BC391" s="4774"/>
      <c r="BD391" s="4775"/>
      <c r="BE391" s="4775"/>
      <c r="BF391" s="4775"/>
      <c r="BG391" s="4775"/>
      <c r="BH391" s="4776"/>
      <c r="BI391" s="4777"/>
      <c r="BJ391" s="1059"/>
      <c r="BK391" s="1059"/>
      <c r="BL391" s="4766"/>
      <c r="BM391" s="4774"/>
      <c r="BN391" s="4775"/>
      <c r="BO391" s="4775"/>
      <c r="BP391" s="4775"/>
      <c r="BQ391" s="4775"/>
      <c r="BR391" s="4776"/>
      <c r="BS391" s="4777"/>
      <c r="BT391" s="1059"/>
      <c r="BU391" s="1059"/>
      <c r="BV391" s="1059"/>
      <c r="BW391" s="764"/>
      <c r="BX391" s="822"/>
      <c r="BY391" s="822"/>
      <c r="BZ391" s="822"/>
      <c r="CA391" s="822"/>
      <c r="CB391" s="822"/>
      <c r="CC391" s="822"/>
      <c r="CD391" s="822"/>
      <c r="CE391" s="822"/>
      <c r="CF391" s="822"/>
      <c r="CG391" s="822"/>
      <c r="CH391" s="822"/>
      <c r="CI391" s="822"/>
      <c r="CJ391" s="4832"/>
      <c r="CK391" s="4833"/>
      <c r="CL391" s="4833"/>
      <c r="CM391" s="4833"/>
      <c r="CN391" s="4833"/>
      <c r="CO391" s="4834"/>
      <c r="CP391" s="822"/>
      <c r="CQ391" s="822"/>
      <c r="CR391" s="822"/>
      <c r="CS391" s="822"/>
      <c r="CT391" s="4832"/>
      <c r="CU391" s="4833"/>
      <c r="CV391" s="4833"/>
      <c r="CW391" s="4833"/>
      <c r="CX391" s="4833"/>
      <c r="CY391" s="4834"/>
      <c r="CZ391" s="822"/>
      <c r="DA391" s="822"/>
      <c r="DB391" s="822"/>
      <c r="DC391" s="822"/>
      <c r="DD391" s="4832"/>
      <c r="DE391" s="4833"/>
      <c r="DF391" s="4833"/>
      <c r="DG391" s="4833"/>
      <c r="DH391" s="4833"/>
      <c r="DI391" s="4834"/>
      <c r="DJ391" s="822"/>
      <c r="DK391" s="822"/>
      <c r="DL391" s="822"/>
      <c r="DM391" s="822"/>
      <c r="DN391" s="822"/>
      <c r="DO391" s="822"/>
      <c r="DP391" s="822"/>
      <c r="DQ391" s="822"/>
      <c r="DR391" s="822"/>
      <c r="DS391" s="4832"/>
      <c r="DT391" s="4833"/>
      <c r="DU391" s="4833"/>
      <c r="DV391" s="4833"/>
      <c r="DW391" s="4833"/>
      <c r="DX391" s="4834"/>
      <c r="DY391" s="822"/>
      <c r="DZ391" s="822"/>
      <c r="EA391" s="822"/>
      <c r="EB391" s="822"/>
      <c r="EC391" s="4832"/>
      <c r="ED391" s="4833"/>
      <c r="EE391" s="4833"/>
      <c r="EF391" s="4833"/>
      <c r="EG391" s="4833"/>
      <c r="EH391" s="4834"/>
      <c r="EI391" s="822"/>
      <c r="EJ391" s="822"/>
      <c r="EK391" s="822"/>
      <c r="EL391" s="822"/>
      <c r="EM391" s="4832"/>
      <c r="EN391" s="4833"/>
      <c r="EO391" s="4833"/>
      <c r="EP391" s="4833"/>
      <c r="EQ391" s="4833"/>
      <c r="ER391" s="4834"/>
    </row>
    <row r="392" spans="5:148" ht="17.100000000000001" customHeight="1" thickBot="1" x14ac:dyDescent="0.35">
      <c r="E392" s="762"/>
      <c r="F392" s="1059"/>
      <c r="G392" s="1059"/>
      <c r="H392" s="1059"/>
      <c r="I392" s="4767"/>
      <c r="J392" s="4789" t="s">
        <v>505</v>
      </c>
      <c r="K392" s="4789"/>
      <c r="L392" s="4789"/>
      <c r="M392" s="4789"/>
      <c r="N392" s="4789"/>
      <c r="O392" s="4789"/>
      <c r="P392" s="4778"/>
      <c r="Q392" s="1059"/>
      <c r="R392" s="1059"/>
      <c r="S392" s="4767"/>
      <c r="T392" s="4789" t="s">
        <v>505</v>
      </c>
      <c r="U392" s="4789"/>
      <c r="V392" s="4789"/>
      <c r="W392" s="4789"/>
      <c r="X392" s="4789"/>
      <c r="Y392" s="4789"/>
      <c r="Z392" s="4778"/>
      <c r="AA392" s="1059"/>
      <c r="AB392" s="1059"/>
      <c r="AC392" s="4767"/>
      <c r="AD392" s="4789" t="s">
        <v>505</v>
      </c>
      <c r="AE392" s="4789"/>
      <c r="AF392" s="4789"/>
      <c r="AG392" s="4789"/>
      <c r="AH392" s="4789"/>
      <c r="AI392" s="4789"/>
      <c r="AJ392" s="4778"/>
      <c r="AK392" s="1059"/>
      <c r="AL392" s="1059"/>
      <c r="AM392" s="1277"/>
      <c r="AN392" s="1279">
        <f>IF(COUNTA(J373,T373,AD373,J381,T381,AD381,J389,T389,AD389,AS373,BC373,BM373,AS381,BC381,BM381,AS389,BC389,BM389)=18,1,0)</f>
        <v>0</v>
      </c>
      <c r="AO392" s="1279"/>
      <c r="AP392" s="1059"/>
      <c r="AQ392" s="1059"/>
      <c r="AR392" s="4767"/>
      <c r="AS392" s="4789" t="s">
        <v>505</v>
      </c>
      <c r="AT392" s="4789"/>
      <c r="AU392" s="4789"/>
      <c r="AV392" s="4789"/>
      <c r="AW392" s="4789"/>
      <c r="AX392" s="4789"/>
      <c r="AY392" s="4778"/>
      <c r="AZ392" s="1059"/>
      <c r="BA392" s="1059"/>
      <c r="BB392" s="4767"/>
      <c r="BC392" s="4789" t="s">
        <v>505</v>
      </c>
      <c r="BD392" s="4789"/>
      <c r="BE392" s="4789"/>
      <c r="BF392" s="4789"/>
      <c r="BG392" s="4789"/>
      <c r="BH392" s="4789"/>
      <c r="BI392" s="4778"/>
      <c r="BJ392" s="1059"/>
      <c r="BK392" s="1059"/>
      <c r="BL392" s="4767"/>
      <c r="BM392" s="4789" t="s">
        <v>505</v>
      </c>
      <c r="BN392" s="4789"/>
      <c r="BO392" s="4789"/>
      <c r="BP392" s="4789"/>
      <c r="BQ392" s="4789"/>
      <c r="BR392" s="4789"/>
      <c r="BS392" s="4778"/>
      <c r="BT392" s="1059"/>
      <c r="BU392" s="1059"/>
      <c r="BV392" s="1059"/>
      <c r="BW392" s="764"/>
      <c r="BX392" s="822"/>
      <c r="BY392" s="822"/>
      <c r="BZ392" s="822"/>
      <c r="CA392" s="822"/>
      <c r="CB392" s="822"/>
      <c r="CC392" s="822"/>
      <c r="CD392" s="822"/>
      <c r="CE392" s="822"/>
      <c r="CF392" s="822"/>
      <c r="CG392" s="822"/>
      <c r="CH392" s="822"/>
      <c r="CI392" s="822"/>
      <c r="CJ392" s="822"/>
      <c r="CK392" s="822"/>
      <c r="CL392" s="822"/>
      <c r="CM392" s="822"/>
      <c r="CN392" s="822"/>
      <c r="CO392" s="822"/>
      <c r="CP392" s="822"/>
      <c r="CQ392" s="822"/>
      <c r="CR392" s="822"/>
      <c r="CS392" s="822"/>
      <c r="CT392" s="822"/>
      <c r="CU392" s="822"/>
      <c r="CV392" s="822"/>
      <c r="CW392" s="822"/>
      <c r="CX392" s="822"/>
      <c r="CY392" s="822"/>
      <c r="CZ392" s="822"/>
      <c r="DA392" s="822"/>
      <c r="DB392" s="822"/>
      <c r="DC392" s="822"/>
      <c r="DD392" s="822"/>
      <c r="DE392" s="822"/>
      <c r="DF392" s="822"/>
      <c r="DG392" s="822"/>
      <c r="DH392" s="822"/>
      <c r="DI392" s="822"/>
      <c r="DJ392" s="822"/>
      <c r="DK392" s="822"/>
      <c r="DL392" s="822"/>
      <c r="DM392" s="822"/>
      <c r="DN392" s="822"/>
      <c r="DO392" s="822"/>
      <c r="DP392" s="822"/>
      <c r="DQ392" s="822"/>
      <c r="DR392" s="822"/>
      <c r="DS392" s="822"/>
      <c r="DT392" s="822"/>
      <c r="DU392" s="822"/>
      <c r="DV392" s="822"/>
      <c r="DW392" s="822"/>
      <c r="DX392" s="822"/>
      <c r="DY392" s="822"/>
    </row>
    <row r="393" spans="5:148" ht="17.100000000000001" customHeight="1" thickTop="1" x14ac:dyDescent="0.3">
      <c r="E393" s="762"/>
      <c r="F393" s="1170"/>
      <c r="G393" s="1059"/>
      <c r="H393" s="1059"/>
      <c r="I393" s="1059"/>
      <c r="J393" s="1059"/>
      <c r="K393" s="1059"/>
      <c r="L393" s="1059"/>
      <c r="M393" s="1059"/>
      <c r="N393" s="1059"/>
      <c r="O393" s="1059"/>
      <c r="P393" s="1059"/>
      <c r="Q393" s="1059"/>
      <c r="R393" s="1059"/>
      <c r="S393" s="1059"/>
      <c r="T393" s="1059"/>
      <c r="U393" s="1059"/>
      <c r="V393" s="1059"/>
      <c r="W393" s="1059"/>
      <c r="X393" s="1059"/>
      <c r="Y393" s="1059"/>
      <c r="Z393" s="1059"/>
      <c r="AA393" s="1059"/>
      <c r="AB393" s="1059"/>
      <c r="AC393" s="1059"/>
      <c r="AD393" s="1059"/>
      <c r="AE393" s="1059"/>
      <c r="AF393" s="1059"/>
      <c r="AG393" s="1059"/>
      <c r="AH393" s="1059"/>
      <c r="AI393" s="1059"/>
      <c r="AJ393" s="1059"/>
      <c r="AK393" s="1059"/>
      <c r="AL393" s="1059"/>
      <c r="AM393" s="1059"/>
      <c r="AN393" s="1059"/>
      <c r="AO393" s="1059"/>
      <c r="AP393" s="1264"/>
      <c r="AQ393" s="1059"/>
      <c r="AR393" s="1059"/>
      <c r="AS393" s="1059"/>
      <c r="AT393" s="1059"/>
      <c r="AU393" s="1059"/>
      <c r="AV393" s="1059"/>
      <c r="AW393" s="1059"/>
      <c r="AX393" s="1059"/>
      <c r="AY393" s="1059"/>
      <c r="AZ393" s="1059"/>
      <c r="BA393" s="1059"/>
      <c r="BB393" s="1059"/>
      <c r="BC393" s="1059"/>
      <c r="BD393" s="1059"/>
      <c r="BE393" s="1059"/>
      <c r="BF393" s="1059"/>
      <c r="BG393" s="1059"/>
      <c r="BH393" s="1059"/>
      <c r="BI393" s="1059"/>
      <c r="BJ393" s="1059"/>
      <c r="BK393" s="1059"/>
      <c r="BL393" s="1059"/>
      <c r="BM393" s="1059"/>
      <c r="BN393" s="1059"/>
      <c r="BO393" s="1059"/>
      <c r="BP393" s="1059"/>
      <c r="BQ393" s="1059"/>
      <c r="BR393" s="1059"/>
      <c r="BS393" s="1059"/>
      <c r="BT393" s="1059"/>
      <c r="BU393" s="1059"/>
      <c r="BV393" s="1169"/>
      <c r="BW393" s="764"/>
      <c r="BX393" s="822"/>
      <c r="BY393" s="822"/>
      <c r="BZ393" s="822"/>
      <c r="CA393" s="822"/>
      <c r="CB393" s="822"/>
      <c r="CC393" s="822"/>
      <c r="CD393" s="822"/>
      <c r="CE393" s="822"/>
      <c r="CF393" s="822"/>
      <c r="CG393" s="822"/>
      <c r="CH393" s="822"/>
      <c r="CI393" s="822"/>
    </row>
    <row r="394" spans="5:148" ht="17.100000000000001" customHeight="1" thickBot="1" x14ac:dyDescent="0.35">
      <c r="E394" s="783"/>
      <c r="F394" s="784"/>
      <c r="G394" s="1059"/>
      <c r="H394" s="1059"/>
      <c r="I394" s="1059"/>
      <c r="J394" s="1059"/>
      <c r="K394" s="1059"/>
      <c r="L394" s="1059"/>
      <c r="M394" s="1059"/>
      <c r="N394" s="1059"/>
      <c r="O394" s="1059"/>
      <c r="P394" s="1059"/>
      <c r="Q394" s="1059"/>
      <c r="R394" s="1059"/>
      <c r="S394" s="1059"/>
      <c r="T394" s="1059"/>
      <c r="U394" s="1059"/>
      <c r="V394" s="1059"/>
      <c r="W394" s="1059"/>
      <c r="X394" s="1059"/>
      <c r="Y394" s="1059"/>
      <c r="Z394" s="1059"/>
      <c r="AA394" s="1059"/>
      <c r="AB394" s="1059"/>
      <c r="AC394" s="1059"/>
      <c r="AD394" s="1059"/>
      <c r="AE394" s="1059"/>
      <c r="AF394" s="1059"/>
      <c r="AG394" s="1059"/>
      <c r="AH394" s="1059"/>
      <c r="AI394" s="1059"/>
      <c r="AJ394" s="1703"/>
      <c r="AK394" s="1703"/>
      <c r="AL394" s="1703"/>
      <c r="AM394" s="4808"/>
      <c r="AN394" s="4809"/>
      <c r="AO394" s="4810"/>
      <c r="AP394" s="1704"/>
      <c r="AQ394" s="1704"/>
      <c r="AR394" s="1704"/>
      <c r="AS394" s="1704"/>
      <c r="AT394" s="1704"/>
      <c r="AU394" s="1704"/>
      <c r="AV394" s="1704"/>
      <c r="AW394" s="1704"/>
      <c r="AX394" s="1704"/>
      <c r="AY394" s="1704"/>
      <c r="AZ394" s="1059"/>
      <c r="BA394" s="1059"/>
      <c r="BB394" s="1059"/>
      <c r="BC394" s="1059"/>
      <c r="BD394" s="1059"/>
      <c r="BE394" s="1059"/>
      <c r="BF394" s="1059"/>
      <c r="BG394" s="1059"/>
      <c r="BH394" s="1059"/>
      <c r="BI394" s="1059"/>
      <c r="BJ394" s="1059"/>
      <c r="BK394" s="1059"/>
      <c r="BL394" s="1059"/>
      <c r="BM394" s="1059"/>
      <c r="BN394" s="1059"/>
      <c r="BO394" s="1059"/>
      <c r="BP394" s="1059"/>
      <c r="BQ394" s="1059"/>
      <c r="BR394" s="1059"/>
      <c r="BS394" s="1059"/>
      <c r="BT394" s="1059"/>
      <c r="BU394" s="1059"/>
      <c r="BV394" s="784"/>
      <c r="BW394" s="785"/>
      <c r="BX394" s="822"/>
      <c r="BY394" s="822"/>
      <c r="BZ394" s="822"/>
      <c r="CA394" s="822"/>
      <c r="CB394" s="822"/>
      <c r="CC394" s="822"/>
      <c r="CD394" s="822"/>
      <c r="CE394" s="822"/>
      <c r="CF394" s="822"/>
      <c r="CG394" s="822"/>
      <c r="CH394" s="822"/>
      <c r="CI394" s="822"/>
      <c r="CJ394" s="822"/>
      <c r="CK394" s="822"/>
      <c r="CL394" s="822"/>
      <c r="CM394" s="822"/>
      <c r="CN394" s="822"/>
      <c r="CO394" s="822"/>
      <c r="CP394" s="822"/>
      <c r="CQ394" s="822"/>
      <c r="CR394" s="822"/>
      <c r="CS394" s="822"/>
      <c r="CT394" s="822"/>
      <c r="CU394" s="822"/>
      <c r="CV394" s="822"/>
      <c r="CW394" s="822"/>
      <c r="CX394" s="822"/>
      <c r="CY394" s="822"/>
      <c r="CZ394" s="822"/>
      <c r="DA394" s="822"/>
      <c r="DB394" s="822"/>
      <c r="DC394" s="822"/>
      <c r="DD394" s="822"/>
      <c r="DE394" s="822"/>
      <c r="DF394" s="822"/>
      <c r="DG394" s="822"/>
      <c r="DH394" s="822"/>
      <c r="DI394" s="822"/>
      <c r="DJ394" s="822"/>
      <c r="DK394" s="822"/>
      <c r="DL394" s="822"/>
      <c r="DM394" s="822"/>
      <c r="DN394" s="822"/>
    </row>
    <row r="395" spans="5:148" ht="17.100000000000001" customHeight="1" thickTop="1" x14ac:dyDescent="0.3">
      <c r="E395" s="1253"/>
      <c r="F395" s="1253"/>
      <c r="G395" s="762"/>
      <c r="H395" s="1059"/>
      <c r="I395" s="999"/>
      <c r="J395" s="787"/>
      <c r="K395" s="1059"/>
      <c r="L395" s="1059"/>
      <c r="M395" s="1059"/>
      <c r="N395" s="1059"/>
      <c r="O395" s="1059"/>
      <c r="P395" s="1059"/>
      <c r="Q395" s="1059"/>
      <c r="R395" s="1059"/>
      <c r="S395" s="1059"/>
      <c r="T395" s="1059"/>
      <c r="U395" s="1059"/>
      <c r="V395" s="1059"/>
      <c r="W395" s="1059"/>
      <c r="X395" s="1059"/>
      <c r="Y395" s="1059"/>
      <c r="Z395" s="1059"/>
      <c r="AA395" s="1059"/>
      <c r="AB395" s="1059"/>
      <c r="AC395" s="1059"/>
      <c r="AD395" s="1059"/>
      <c r="AE395" s="1059"/>
      <c r="AF395" s="1059"/>
      <c r="AG395" s="1059"/>
      <c r="AH395" s="1059"/>
      <c r="AI395" s="1059"/>
      <c r="AJ395" s="1705"/>
      <c r="AK395" s="1705"/>
      <c r="AL395" s="1705"/>
      <c r="AM395" s="1706"/>
      <c r="AN395" s="1707" t="str" cm="1">
        <f t="array" ref="AN395">_xlfn.IFS(AND(AN392=1,AM394=""),"ENTER SHEET INITIATION DATE ABOVE",AN392=1,"|",TRUE,"")</f>
        <v/>
      </c>
      <c r="AO395" s="1706"/>
      <c r="AP395" s="1059"/>
      <c r="AQ395" s="1059"/>
      <c r="AR395" s="1059"/>
      <c r="AS395" s="1059"/>
      <c r="AT395" s="1708"/>
      <c r="AU395" s="1059"/>
      <c r="AV395" s="1709"/>
      <c r="AW395" s="1059"/>
      <c r="AX395" s="1059"/>
      <c r="AY395" s="1059"/>
      <c r="AZ395" s="1059"/>
      <c r="BA395" s="1059"/>
      <c r="BB395" s="1059"/>
      <c r="BC395" s="1059"/>
      <c r="BD395" s="1059"/>
      <c r="BE395" s="1059"/>
      <c r="BF395" s="1059"/>
      <c r="BG395" s="1059"/>
      <c r="BH395" s="1059"/>
      <c r="BI395" s="1059"/>
      <c r="BJ395" s="1059"/>
      <c r="BK395" s="1059"/>
      <c r="BL395" s="1059"/>
      <c r="BM395" s="1059"/>
      <c r="BN395" s="1059"/>
      <c r="BO395" s="1059"/>
      <c r="BP395" s="1059"/>
      <c r="BQ395" s="1059"/>
      <c r="BR395" s="1059"/>
      <c r="BS395" s="1059"/>
      <c r="BT395" s="1059"/>
      <c r="BU395" s="764"/>
      <c r="BV395" s="1253"/>
      <c r="BW395" s="1253"/>
      <c r="BX395" s="822"/>
      <c r="BY395" s="822"/>
      <c r="BZ395" s="822"/>
      <c r="CA395" s="822"/>
      <c r="CB395" s="822"/>
      <c r="CC395" s="822"/>
      <c r="CD395" s="822"/>
      <c r="CE395" s="822"/>
      <c r="CF395" s="822"/>
      <c r="CG395" s="822"/>
      <c r="CH395" s="822"/>
      <c r="CI395" s="822"/>
      <c r="CJ395" s="822"/>
      <c r="CK395" s="822"/>
      <c r="CL395" s="822"/>
      <c r="CM395" s="822"/>
      <c r="CN395" s="822"/>
      <c r="CO395" s="822"/>
      <c r="CP395" s="822"/>
      <c r="CQ395" s="822"/>
      <c r="CR395" s="822"/>
      <c r="CS395" s="822"/>
      <c r="CT395" s="822"/>
      <c r="CU395" s="822"/>
      <c r="CV395" s="822"/>
      <c r="CW395" s="822"/>
      <c r="CX395" s="822"/>
      <c r="CY395" s="822"/>
      <c r="CZ395" s="822"/>
      <c r="DA395" s="822"/>
      <c r="DB395" s="822"/>
      <c r="DC395" s="822"/>
      <c r="DD395" s="822"/>
      <c r="DE395" s="822"/>
      <c r="DF395" s="822"/>
      <c r="DG395" s="822"/>
      <c r="DH395" s="822"/>
      <c r="DI395" s="822"/>
      <c r="DJ395" s="822"/>
      <c r="DK395" s="822"/>
      <c r="DL395" s="822"/>
      <c r="DM395" s="822"/>
      <c r="DN395" s="822"/>
    </row>
    <row r="396" spans="5:148" ht="17.100000000000001" customHeight="1" thickBot="1" x14ac:dyDescent="0.35">
      <c r="E396" s="1253"/>
      <c r="F396" s="1253"/>
      <c r="G396" s="783"/>
      <c r="H396" s="784"/>
      <c r="I396" s="784"/>
      <c r="J396" s="784"/>
      <c r="K396" s="784"/>
      <c r="L396" s="784"/>
      <c r="M396" s="784"/>
      <c r="N396" s="784"/>
      <c r="O396" s="784"/>
      <c r="P396" s="784"/>
      <c r="Q396" s="784"/>
      <c r="R396" s="784"/>
      <c r="S396" s="784"/>
      <c r="T396" s="784"/>
      <c r="U396" s="784"/>
      <c r="V396" s="784"/>
      <c r="W396" s="784"/>
      <c r="X396" s="784"/>
      <c r="Y396" s="784"/>
      <c r="Z396" s="784"/>
      <c r="AA396" s="1059"/>
      <c r="AB396" s="1059"/>
      <c r="AC396" s="1059"/>
      <c r="AD396" s="1059"/>
      <c r="AE396" s="1059"/>
      <c r="AF396" s="1059"/>
      <c r="AG396" s="1059"/>
      <c r="AH396" s="1059"/>
      <c r="AI396" s="1059"/>
      <c r="AJ396" s="1262"/>
      <c r="AK396" s="1262"/>
      <c r="AL396" s="1262"/>
      <c r="AM396" s="4808"/>
      <c r="AN396" s="4809"/>
      <c r="AO396" s="4810"/>
      <c r="AP396" s="1262"/>
      <c r="AQ396" s="1262"/>
      <c r="AR396" s="1262"/>
      <c r="AS396" s="1262"/>
      <c r="AT396" s="1263"/>
      <c r="AU396" s="1059"/>
      <c r="AV396" s="1059"/>
      <c r="AW396" s="1059"/>
      <c r="AX396" s="1059"/>
      <c r="AY396" s="1059"/>
      <c r="AZ396" s="1059"/>
      <c r="BA396" s="1059"/>
      <c r="BB396" s="784"/>
      <c r="BC396" s="784"/>
      <c r="BD396" s="784"/>
      <c r="BE396" s="784"/>
      <c r="BF396" s="784"/>
      <c r="BG396" s="784"/>
      <c r="BH396" s="784"/>
      <c r="BI396" s="784"/>
      <c r="BJ396" s="784"/>
      <c r="BK396" s="784"/>
      <c r="BL396" s="784"/>
      <c r="BM396" s="784"/>
      <c r="BN396" s="784"/>
      <c r="BO396" s="784"/>
      <c r="BP396" s="784"/>
      <c r="BQ396" s="784"/>
      <c r="BR396" s="784"/>
      <c r="BS396" s="784"/>
      <c r="BT396" s="784"/>
      <c r="BU396" s="785"/>
      <c r="BV396" s="1253"/>
      <c r="BW396" s="1253"/>
      <c r="BX396" s="822"/>
      <c r="BY396" s="822"/>
      <c r="BZ396" s="822"/>
      <c r="CA396" s="822"/>
      <c r="CB396" s="822"/>
      <c r="CC396" s="822"/>
      <c r="CD396" s="822"/>
      <c r="CE396" s="822"/>
      <c r="CF396" s="822"/>
      <c r="CG396" s="822"/>
      <c r="CH396" s="822"/>
      <c r="CI396" s="822"/>
      <c r="CJ396" s="822"/>
      <c r="CK396" s="822"/>
      <c r="CL396" s="822"/>
      <c r="CM396" s="822"/>
      <c r="CN396" s="822"/>
      <c r="CO396" s="822"/>
      <c r="CP396" s="822"/>
      <c r="CQ396" s="822"/>
      <c r="CR396" s="822"/>
      <c r="CS396" s="822"/>
      <c r="CT396" s="822"/>
      <c r="CU396" s="822"/>
      <c r="CV396" s="822"/>
      <c r="CW396" s="822"/>
      <c r="CX396" s="822"/>
      <c r="CY396" s="822"/>
      <c r="CZ396" s="822"/>
      <c r="DA396" s="822"/>
      <c r="DB396" s="822"/>
      <c r="DC396" s="822"/>
      <c r="DD396" s="822"/>
      <c r="DE396" s="822"/>
      <c r="DF396" s="822"/>
      <c r="DG396" s="822"/>
      <c r="DH396" s="822"/>
      <c r="DI396" s="822"/>
      <c r="DJ396" s="822"/>
      <c r="DK396" s="822"/>
      <c r="DL396" s="822"/>
      <c r="DM396" s="822"/>
      <c r="DN396" s="822"/>
    </row>
    <row r="397" spans="5:148" ht="17.100000000000001" customHeight="1" thickTop="1" x14ac:dyDescent="0.3">
      <c r="E397" s="1253"/>
      <c r="F397" s="1253"/>
      <c r="G397" s="1253"/>
      <c r="H397" s="1253"/>
      <c r="I397" s="1253"/>
      <c r="J397" s="1253"/>
      <c r="K397" s="1253"/>
      <c r="L397" s="1253"/>
      <c r="M397" s="1253"/>
      <c r="N397" s="1253"/>
      <c r="O397" s="1253"/>
      <c r="P397" s="1253"/>
      <c r="Q397" s="1253"/>
      <c r="R397" s="1253"/>
      <c r="S397" s="1253"/>
      <c r="T397" s="1253"/>
      <c r="U397" s="1253"/>
      <c r="V397" s="1253"/>
      <c r="W397" s="1253"/>
      <c r="X397" s="1253"/>
      <c r="Y397" s="1253"/>
      <c r="Z397" s="1253"/>
      <c r="AA397" s="762"/>
      <c r="AB397" s="1170"/>
      <c r="AC397" s="1059"/>
      <c r="AD397" s="1059"/>
      <c r="AE397" s="1059"/>
      <c r="AF397" s="1059"/>
      <c r="AG397" s="1059"/>
      <c r="AH397" s="1059"/>
      <c r="AI397" s="1059"/>
      <c r="AJ397" s="1059"/>
      <c r="AK397" s="1059"/>
      <c r="AL397" s="1059"/>
      <c r="AM397" s="1059"/>
      <c r="AN397" s="1701" t="str">
        <f>IF(AND(AN392=1,AM396=""),"ENTER SHEET COMPLETION DATE ABOVE","")</f>
        <v/>
      </c>
      <c r="AO397" s="1059"/>
      <c r="AP397" s="1059"/>
      <c r="AQ397" s="1059"/>
      <c r="AR397" s="1059"/>
      <c r="AS397" s="1059"/>
      <c r="AT397" s="1059"/>
      <c r="AU397" s="1059"/>
      <c r="AV397" s="1059"/>
      <c r="AW397" s="1059"/>
      <c r="AX397" s="1059"/>
      <c r="AY397" s="1059"/>
      <c r="AZ397" s="1169"/>
      <c r="BA397" s="764"/>
      <c r="BB397" s="1253"/>
      <c r="BC397" s="1253"/>
      <c r="BD397" s="1253"/>
      <c r="BE397" s="1253"/>
      <c r="BF397" s="1253"/>
      <c r="BG397" s="1253"/>
      <c r="BH397" s="1253"/>
      <c r="BI397" s="1253"/>
      <c r="BJ397" s="1253"/>
      <c r="BK397" s="1253"/>
      <c r="BL397" s="1253"/>
      <c r="BM397" s="1253"/>
      <c r="BN397" s="1253"/>
      <c r="BO397" s="1253"/>
      <c r="BP397" s="1253"/>
      <c r="BQ397" s="1253"/>
      <c r="BR397" s="1253"/>
      <c r="BS397" s="1253"/>
      <c r="BT397" s="1253"/>
      <c r="BU397" s="1253"/>
      <c r="BV397" s="1253"/>
      <c r="BW397" s="1253"/>
      <c r="BX397" s="822"/>
      <c r="BY397" s="822"/>
      <c r="BZ397" s="822"/>
      <c r="CA397" s="822"/>
      <c r="CB397" s="822"/>
      <c r="CC397" s="822"/>
      <c r="CD397" s="822"/>
      <c r="CE397" s="822"/>
      <c r="CF397" s="822"/>
      <c r="CG397" s="822"/>
      <c r="CH397" s="822"/>
      <c r="CI397" s="822"/>
      <c r="CJ397" s="822"/>
      <c r="CK397" s="822"/>
      <c r="CL397" s="822"/>
      <c r="CM397" s="822"/>
      <c r="CN397" s="822"/>
      <c r="CO397" s="822"/>
      <c r="CP397" s="822"/>
      <c r="CQ397" s="822"/>
      <c r="CR397" s="822"/>
      <c r="CS397" s="822"/>
      <c r="CT397" s="822"/>
      <c r="CU397" s="822"/>
      <c r="CV397" s="822"/>
      <c r="CW397" s="822"/>
      <c r="CX397" s="822"/>
      <c r="CY397" s="822"/>
      <c r="CZ397" s="822"/>
      <c r="DA397" s="822"/>
      <c r="DB397" s="822"/>
      <c r="DC397" s="822"/>
      <c r="DD397" s="822"/>
      <c r="DE397" s="822"/>
      <c r="DF397" s="822"/>
      <c r="DG397" s="822"/>
      <c r="DH397" s="822"/>
      <c r="DI397" s="822"/>
      <c r="DJ397" s="822"/>
      <c r="DK397" s="822"/>
      <c r="DL397" s="822"/>
      <c r="DM397" s="822"/>
      <c r="DN397" s="822"/>
    </row>
    <row r="398" spans="5:148" ht="17.100000000000001" customHeight="1" thickBot="1" x14ac:dyDescent="0.35">
      <c r="E398" s="1253"/>
      <c r="F398" s="1253"/>
      <c r="G398" s="1253"/>
      <c r="H398" s="1253"/>
      <c r="I398" s="1253"/>
      <c r="J398" s="1253"/>
      <c r="K398" s="1253"/>
      <c r="L398" s="1253"/>
      <c r="M398" s="1253"/>
      <c r="N398" s="1253"/>
      <c r="O398" s="1253"/>
      <c r="P398" s="1253"/>
      <c r="Q398" s="1253"/>
      <c r="R398" s="1253"/>
      <c r="S398" s="1253"/>
      <c r="T398" s="1253"/>
      <c r="U398" s="1253"/>
      <c r="V398" s="1253"/>
      <c r="W398" s="1253"/>
      <c r="X398" s="1253"/>
      <c r="Y398" s="1253"/>
      <c r="Z398" s="1253"/>
      <c r="AA398" s="783"/>
      <c r="AB398" s="784"/>
      <c r="AC398" s="784"/>
      <c r="AD398" s="784"/>
      <c r="AE398" s="784"/>
      <c r="AF398" s="784"/>
      <c r="AG398" s="784"/>
      <c r="AH398" s="784"/>
      <c r="AI398" s="784"/>
      <c r="AJ398" s="784"/>
      <c r="AK398" s="784"/>
      <c r="AL398" s="784"/>
      <c r="AM398" s="784"/>
      <c r="AN398" s="784"/>
      <c r="AO398" s="784"/>
      <c r="AP398" s="784"/>
      <c r="AQ398" s="784"/>
      <c r="AR398" s="784"/>
      <c r="AS398" s="784"/>
      <c r="AT398" s="784"/>
      <c r="AU398" s="784"/>
      <c r="AV398" s="784"/>
      <c r="AW398" s="784"/>
      <c r="AX398" s="784"/>
      <c r="AY398" s="784"/>
      <c r="AZ398" s="784"/>
      <c r="BA398" s="785"/>
      <c r="BB398" s="1253"/>
      <c r="BC398" s="1253"/>
      <c r="BD398" s="1253"/>
      <c r="BE398" s="1253"/>
      <c r="BF398" s="1253"/>
      <c r="BG398" s="1253"/>
      <c r="BH398" s="1253"/>
      <c r="BI398" s="1253"/>
      <c r="BJ398" s="1253"/>
      <c r="BK398" s="1253"/>
      <c r="BL398" s="1253"/>
      <c r="BM398" s="1253"/>
      <c r="BN398" s="1253"/>
      <c r="BO398" s="1253"/>
      <c r="BP398" s="1253"/>
      <c r="BQ398" s="1253"/>
      <c r="BR398" s="1253"/>
      <c r="BS398" s="1253"/>
      <c r="BT398" s="1253"/>
      <c r="BU398" s="1253"/>
      <c r="BV398" s="1253"/>
      <c r="BW398" s="1253"/>
      <c r="BX398" s="822"/>
      <c r="BY398" s="822"/>
      <c r="BZ398" s="822"/>
      <c r="CA398" s="822"/>
      <c r="CB398" s="822"/>
      <c r="CC398" s="822"/>
      <c r="CD398" s="822"/>
      <c r="CE398" s="822"/>
      <c r="CF398" s="822"/>
      <c r="CG398" s="822"/>
      <c r="CH398" s="822"/>
      <c r="CI398" s="822"/>
      <c r="CJ398" s="822"/>
      <c r="CK398" s="822"/>
      <c r="CL398" s="822"/>
      <c r="CM398" s="822"/>
      <c r="CN398" s="822"/>
      <c r="CO398" s="822"/>
      <c r="CP398" s="822"/>
      <c r="CQ398" s="822"/>
      <c r="CR398" s="822"/>
      <c r="CS398" s="822"/>
      <c r="CT398" s="822"/>
      <c r="CU398" s="822"/>
      <c r="CV398" s="822"/>
      <c r="CW398" s="822"/>
      <c r="CX398" s="822"/>
      <c r="CY398" s="822"/>
      <c r="CZ398" s="822"/>
      <c r="DA398" s="822"/>
      <c r="DB398" s="822"/>
      <c r="DC398" s="822"/>
      <c r="DD398" s="822"/>
      <c r="DE398" s="822"/>
      <c r="DF398" s="822"/>
      <c r="DG398" s="822"/>
      <c r="DH398" s="822"/>
      <c r="DI398" s="822"/>
      <c r="DJ398" s="822"/>
      <c r="DK398" s="822"/>
      <c r="DL398" s="822"/>
      <c r="DM398" s="822"/>
      <c r="DN398" s="822"/>
    </row>
    <row r="399" spans="5:148" ht="17.100000000000001" customHeight="1" thickTop="1" x14ac:dyDescent="0.3">
      <c r="R399" s="822"/>
      <c r="S399" s="822"/>
      <c r="T399" s="822"/>
      <c r="U399" s="822"/>
      <c r="V399" s="822"/>
      <c r="W399" s="822"/>
      <c r="X399" s="822"/>
      <c r="Y399" s="822"/>
      <c r="Z399" s="822"/>
      <c r="AA399" s="822"/>
      <c r="AB399" s="822"/>
      <c r="AC399" s="822"/>
      <c r="AD399" s="822"/>
      <c r="AE399" s="822"/>
      <c r="AF399" s="822"/>
      <c r="AG399" s="822"/>
      <c r="AH399" s="822"/>
      <c r="AI399" s="822"/>
      <c r="AJ399" s="822"/>
      <c r="AK399" s="822"/>
      <c r="AL399" s="822"/>
      <c r="AM399" s="822"/>
      <c r="AN399" s="822"/>
      <c r="AO399" s="822"/>
      <c r="AP399" s="822"/>
      <c r="AQ399" s="822"/>
      <c r="AR399" s="822"/>
      <c r="AS399" s="822"/>
      <c r="AT399" s="822"/>
      <c r="AU399" s="822"/>
      <c r="AV399" s="822"/>
      <c r="AW399" s="822"/>
      <c r="AX399" s="822"/>
      <c r="AY399" s="822"/>
      <c r="AZ399" s="822"/>
      <c r="BA399" s="822"/>
      <c r="BB399" s="822"/>
      <c r="BC399" s="822"/>
      <c r="BD399" s="822"/>
      <c r="BE399" s="822"/>
      <c r="BF399" s="822"/>
      <c r="BG399" s="822"/>
      <c r="BH399" s="822"/>
      <c r="BI399" s="822"/>
      <c r="BJ399" s="822"/>
      <c r="BK399" s="822"/>
      <c r="BL399" s="822"/>
      <c r="BM399" s="822"/>
      <c r="BN399" s="822"/>
      <c r="BO399" s="822"/>
      <c r="BP399" s="822"/>
      <c r="BQ399" s="822"/>
      <c r="BR399" s="822"/>
      <c r="BS399" s="822"/>
      <c r="BT399" s="822"/>
      <c r="BU399" s="822"/>
      <c r="BV399" s="822"/>
      <c r="BX399" s="822"/>
      <c r="BY399" s="822"/>
      <c r="BZ399" s="822"/>
      <c r="CA399" s="822"/>
      <c r="CB399" s="822"/>
      <c r="CC399" s="822"/>
      <c r="CD399" s="822"/>
      <c r="CE399" s="822"/>
      <c r="CF399" s="822"/>
      <c r="CG399" s="822"/>
      <c r="CH399" s="822"/>
      <c r="CI399" s="822"/>
      <c r="CJ399" s="822"/>
      <c r="CK399" s="822"/>
      <c r="CL399" s="822"/>
      <c r="CM399" s="822"/>
      <c r="CN399" s="822"/>
      <c r="CO399" s="822"/>
      <c r="CP399" s="822"/>
      <c r="CQ399" s="822"/>
      <c r="CR399" s="822"/>
      <c r="CS399" s="822"/>
      <c r="CT399" s="822"/>
      <c r="CU399" s="822"/>
      <c r="CV399" s="822"/>
      <c r="CW399" s="822"/>
      <c r="CX399" s="822"/>
      <c r="CY399" s="822"/>
      <c r="CZ399" s="822"/>
      <c r="DA399" s="822"/>
      <c r="DB399" s="822"/>
      <c r="DC399" s="822"/>
      <c r="DD399" s="822"/>
      <c r="DE399" s="822"/>
      <c r="DF399" s="822"/>
      <c r="DG399" s="822"/>
      <c r="DH399" s="822"/>
      <c r="DI399" s="822"/>
      <c r="DJ399" s="822"/>
      <c r="DK399" s="822"/>
      <c r="DL399" s="822"/>
      <c r="DM399" s="822"/>
      <c r="DN399" s="822"/>
    </row>
    <row r="400" spans="5:148" ht="17.100000000000001" customHeight="1" x14ac:dyDescent="0.3">
      <c r="R400" s="822"/>
      <c r="S400" s="822"/>
      <c r="T400" s="822"/>
      <c r="U400" s="822"/>
      <c r="V400" s="822"/>
      <c r="W400" s="822"/>
      <c r="X400" s="822"/>
      <c r="Y400" s="822"/>
      <c r="Z400" s="822"/>
      <c r="AA400" s="822"/>
      <c r="AB400" s="822"/>
      <c r="AC400" s="822"/>
      <c r="AD400" s="822"/>
      <c r="AE400" s="822"/>
      <c r="AF400" s="822"/>
      <c r="AG400" s="822"/>
      <c r="AH400" s="822"/>
      <c r="AI400" s="822"/>
      <c r="AJ400" s="822"/>
      <c r="AK400" s="822"/>
      <c r="AL400" s="822"/>
      <c r="AM400" s="822"/>
      <c r="AN400" s="34" t="s">
        <v>9</v>
      </c>
      <c r="AO400" s="822"/>
      <c r="AP400" s="822"/>
      <c r="AQ400" s="822"/>
      <c r="AR400" s="822"/>
      <c r="AS400" s="822"/>
      <c r="AT400" s="822"/>
      <c r="AU400" s="822"/>
      <c r="AV400" s="822"/>
      <c r="AW400" s="822"/>
      <c r="AX400" s="822"/>
      <c r="AY400" s="822"/>
      <c r="AZ400" s="822"/>
      <c r="BA400" s="822"/>
      <c r="BB400" s="822"/>
      <c r="BC400" s="822"/>
      <c r="BD400" s="822"/>
      <c r="BE400" s="822"/>
      <c r="BF400" s="822"/>
      <c r="BG400" s="822"/>
      <c r="BH400" s="822"/>
      <c r="BI400" s="822"/>
      <c r="BJ400" s="822"/>
      <c r="BK400" s="822"/>
      <c r="BL400" s="822"/>
      <c r="BM400" s="822"/>
      <c r="BN400" s="822"/>
      <c r="BO400" s="822"/>
      <c r="BP400" s="822"/>
      <c r="BQ400" s="822"/>
      <c r="BR400" s="822"/>
      <c r="BS400" s="822"/>
      <c r="BT400" s="822"/>
      <c r="BU400" s="822"/>
      <c r="BV400" s="822"/>
      <c r="BX400" s="822"/>
      <c r="BY400" s="822"/>
      <c r="BZ400" s="822"/>
      <c r="CA400" s="822"/>
      <c r="CB400" s="822"/>
      <c r="CC400" s="822"/>
      <c r="CD400" s="822"/>
      <c r="CE400" s="822"/>
      <c r="CF400" s="822"/>
      <c r="CG400" s="822"/>
      <c r="CH400" s="822"/>
      <c r="CI400" s="822"/>
      <c r="CJ400" s="822"/>
      <c r="CK400" s="822"/>
      <c r="CL400" s="822"/>
      <c r="CM400" s="822"/>
      <c r="CN400" s="822"/>
      <c r="CO400" s="822"/>
      <c r="CP400" s="822"/>
      <c r="CQ400" s="822"/>
      <c r="CR400" s="822"/>
      <c r="CS400" s="822"/>
      <c r="CT400" s="822"/>
      <c r="CU400" s="822"/>
      <c r="CV400" s="822"/>
      <c r="CW400" s="822"/>
      <c r="CX400" s="822"/>
      <c r="CY400" s="822"/>
      <c r="CZ400" s="822"/>
      <c r="DA400" s="822"/>
      <c r="DB400" s="822"/>
      <c r="DC400" s="822"/>
      <c r="DD400" s="822"/>
      <c r="DE400" s="822"/>
      <c r="DF400" s="822"/>
      <c r="DG400" s="822"/>
      <c r="DH400" s="822"/>
      <c r="DI400" s="822"/>
      <c r="DJ400" s="822"/>
      <c r="DK400" s="822"/>
      <c r="DL400" s="822"/>
      <c r="DM400" s="822"/>
      <c r="DN400" s="822"/>
    </row>
    <row r="401" spans="5:148" ht="17.100000000000001" customHeight="1" thickBot="1" x14ac:dyDescent="0.35">
      <c r="R401" s="822"/>
      <c r="S401" s="822"/>
      <c r="T401" s="822"/>
      <c r="U401" s="822"/>
      <c r="V401" s="822"/>
      <c r="W401" s="822"/>
      <c r="X401" s="822"/>
      <c r="Y401" s="822"/>
      <c r="Z401" s="822"/>
      <c r="AA401" s="822"/>
      <c r="AB401" s="822"/>
      <c r="AC401" s="822"/>
      <c r="AD401" s="822"/>
      <c r="AE401" s="822"/>
      <c r="AF401" s="822"/>
      <c r="AG401" s="822"/>
      <c r="AH401" s="822"/>
      <c r="AI401" s="822"/>
      <c r="AJ401" s="822"/>
      <c r="AK401" s="822"/>
      <c r="AL401" s="822"/>
      <c r="AM401" s="822"/>
      <c r="AN401" s="34" t="s">
        <v>9</v>
      </c>
      <c r="AO401" s="822"/>
      <c r="AP401" s="822"/>
      <c r="AQ401" s="822"/>
      <c r="AR401" s="822"/>
      <c r="AS401" s="822"/>
      <c r="AT401" s="822"/>
      <c r="AU401" s="822"/>
      <c r="AV401" s="822"/>
      <c r="AW401" s="822"/>
      <c r="AX401" s="822"/>
      <c r="AY401" s="822"/>
      <c r="AZ401" s="822"/>
      <c r="BA401" s="822"/>
      <c r="BB401" s="822"/>
      <c r="BC401" s="822"/>
      <c r="BD401" s="822"/>
      <c r="BE401" s="822"/>
      <c r="BF401" s="822"/>
      <c r="BG401" s="822"/>
      <c r="BH401" s="822"/>
      <c r="BI401" s="822"/>
      <c r="BJ401" s="822"/>
      <c r="BK401" s="822"/>
      <c r="BL401" s="822"/>
      <c r="BM401" s="822"/>
      <c r="BN401" s="822"/>
      <c r="BO401" s="822"/>
      <c r="BP401" s="822"/>
      <c r="BQ401" s="822"/>
      <c r="BR401" s="822"/>
      <c r="BS401" s="822"/>
      <c r="BT401" s="822"/>
      <c r="BU401" s="822"/>
      <c r="BV401" s="822"/>
      <c r="BX401" s="822"/>
      <c r="BY401" s="822"/>
      <c r="BZ401" s="822"/>
      <c r="CA401" s="822"/>
      <c r="CB401" s="822"/>
      <c r="CC401" s="822"/>
      <c r="CD401" s="822"/>
      <c r="CE401" s="822"/>
      <c r="CF401" s="822"/>
      <c r="CG401" s="822"/>
      <c r="CH401" s="822"/>
      <c r="CI401" s="822"/>
      <c r="CJ401" s="822"/>
      <c r="CK401" s="822"/>
      <c r="CL401" s="822"/>
      <c r="CM401" s="822"/>
      <c r="CN401" s="822"/>
      <c r="CO401" s="822"/>
      <c r="CP401" s="822"/>
      <c r="CQ401" s="822"/>
      <c r="CR401" s="822"/>
      <c r="CS401" s="822"/>
      <c r="CT401" s="822"/>
      <c r="CU401" s="822"/>
      <c r="CV401" s="822"/>
      <c r="CW401" s="822"/>
      <c r="CX401" s="822"/>
      <c r="CY401" s="822"/>
      <c r="CZ401" s="822"/>
      <c r="DA401" s="822"/>
      <c r="DB401" s="822"/>
      <c r="DC401" s="822"/>
      <c r="DD401" s="822"/>
      <c r="DE401" s="822"/>
      <c r="DF401" s="822"/>
      <c r="DG401" s="822"/>
      <c r="DH401" s="822"/>
      <c r="DI401" s="822"/>
      <c r="DJ401" s="822"/>
      <c r="DK401" s="822"/>
      <c r="DL401" s="822"/>
      <c r="DM401" s="822"/>
      <c r="DN401" s="822"/>
    </row>
    <row r="402" spans="5:148" ht="17.100000000000001" customHeight="1" thickTop="1" x14ac:dyDescent="0.3">
      <c r="E402" s="23"/>
      <c r="F402" s="23"/>
      <c r="G402" s="23"/>
      <c r="H402" s="23"/>
      <c r="I402" s="23"/>
      <c r="J402" s="23"/>
      <c r="K402" s="23"/>
      <c r="L402" s="23"/>
      <c r="M402" s="23"/>
      <c r="N402" s="23"/>
      <c r="O402" s="23"/>
      <c r="P402" s="23"/>
      <c r="Q402" s="23"/>
      <c r="R402" s="23"/>
      <c r="S402" s="23"/>
      <c r="T402" s="23"/>
      <c r="U402" s="23"/>
      <c r="V402" s="23"/>
      <c r="W402" s="23"/>
      <c r="X402" s="23"/>
      <c r="Y402" s="23"/>
      <c r="Z402" s="23"/>
      <c r="AA402" s="759"/>
      <c r="AB402" s="760"/>
      <c r="AC402" s="760"/>
      <c r="AD402" s="760"/>
      <c r="AE402" s="760"/>
      <c r="AF402" s="760"/>
      <c r="AG402" s="760"/>
      <c r="AH402" s="760"/>
      <c r="AI402" s="760"/>
      <c r="AJ402" s="760"/>
      <c r="AK402" s="760"/>
      <c r="AL402" s="760"/>
      <c r="AM402" s="760"/>
      <c r="AN402" s="760"/>
      <c r="AO402" s="760"/>
      <c r="AP402" s="760"/>
      <c r="AQ402" s="760"/>
      <c r="AR402" s="760"/>
      <c r="AS402" s="760"/>
      <c r="AT402" s="760"/>
      <c r="AU402" s="760"/>
      <c r="AV402" s="760"/>
      <c r="AW402" s="760"/>
      <c r="AX402" s="760"/>
      <c r="AY402" s="760"/>
      <c r="AZ402" s="760"/>
      <c r="BA402" s="761"/>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822"/>
      <c r="BY402" s="822"/>
      <c r="BZ402" s="822"/>
      <c r="CA402" s="822"/>
      <c r="CB402" s="822"/>
      <c r="CC402" s="822"/>
      <c r="CD402" s="822"/>
      <c r="CE402" s="822"/>
      <c r="CF402" s="822"/>
      <c r="CG402" s="822"/>
      <c r="CH402" s="822"/>
      <c r="CI402" s="822"/>
      <c r="CJ402" s="822"/>
      <c r="CK402" s="822"/>
      <c r="CL402" s="822"/>
      <c r="CM402" s="822"/>
      <c r="CN402" s="822"/>
      <c r="CO402" s="822"/>
      <c r="CP402" s="822"/>
      <c r="CQ402" s="822"/>
      <c r="CR402" s="822"/>
      <c r="CS402" s="822"/>
      <c r="CT402" s="822"/>
      <c r="CU402" s="822"/>
      <c r="CV402" s="822"/>
      <c r="CW402" s="822"/>
      <c r="CX402" s="822"/>
      <c r="CY402" s="822"/>
      <c r="CZ402" s="822"/>
      <c r="DA402" s="822"/>
      <c r="DB402" s="822"/>
      <c r="DC402" s="822"/>
      <c r="DD402" s="822"/>
      <c r="DE402" s="822"/>
      <c r="DF402" s="822"/>
      <c r="DG402" s="822"/>
      <c r="DH402" s="822"/>
      <c r="DI402" s="822"/>
      <c r="DJ402" s="822"/>
      <c r="DK402" s="822"/>
      <c r="DL402" s="822"/>
      <c r="DM402" s="822"/>
      <c r="DN402" s="822"/>
    </row>
    <row r="403" spans="5:148" ht="17.100000000000001" customHeight="1" thickBot="1" x14ac:dyDescent="0.35">
      <c r="E403" s="23"/>
      <c r="F403" s="23"/>
      <c r="G403" s="23"/>
      <c r="H403" s="23"/>
      <c r="I403" s="23"/>
      <c r="J403" s="23"/>
      <c r="K403" s="23"/>
      <c r="L403" s="23"/>
      <c r="M403" s="23"/>
      <c r="N403" s="23"/>
      <c r="O403" s="23"/>
      <c r="P403" s="23"/>
      <c r="Q403" s="23"/>
      <c r="R403" s="23"/>
      <c r="S403" s="23"/>
      <c r="T403" s="23"/>
      <c r="U403" s="23"/>
      <c r="V403" s="23"/>
      <c r="W403" s="23"/>
      <c r="X403" s="23"/>
      <c r="Y403" s="23"/>
      <c r="Z403" s="23"/>
      <c r="AA403" s="762"/>
      <c r="AB403" s="94"/>
      <c r="AC403" s="1273"/>
      <c r="AD403" s="1273"/>
      <c r="AE403" s="1273"/>
      <c r="AF403" s="1273"/>
      <c r="AG403" s="1273"/>
      <c r="AH403" s="1273"/>
      <c r="AI403" s="1273"/>
      <c r="AJ403" s="1273"/>
      <c r="AK403" s="1273"/>
      <c r="AL403" s="1273"/>
      <c r="AM403" s="1273"/>
      <c r="AN403" s="2286"/>
      <c r="AO403" s="1273"/>
      <c r="AP403" s="1273"/>
      <c r="AQ403" s="1273"/>
      <c r="AR403" s="1273"/>
      <c r="AS403" s="1273"/>
      <c r="AT403" s="1273"/>
      <c r="AU403" s="1273"/>
      <c r="AV403" s="1273"/>
      <c r="AW403" s="1273"/>
      <c r="AX403" s="1273"/>
      <c r="AY403" s="1273"/>
      <c r="AZ403" s="94"/>
      <c r="BA403" s="764"/>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822"/>
      <c r="BY403" s="822"/>
      <c r="BZ403" s="822"/>
      <c r="CA403" s="822"/>
      <c r="CB403" s="822"/>
      <c r="CC403" s="822"/>
      <c r="CD403" s="822"/>
      <c r="CE403" s="822"/>
      <c r="CF403" s="822"/>
      <c r="CG403" s="822"/>
      <c r="CH403" s="822"/>
      <c r="CI403" s="822"/>
      <c r="CJ403" s="822"/>
      <c r="CK403" s="822"/>
      <c r="CL403" s="822"/>
      <c r="CM403" s="822"/>
      <c r="CN403" s="822"/>
      <c r="CO403" s="822"/>
      <c r="CP403" s="822"/>
      <c r="CQ403" s="822"/>
      <c r="CR403" s="822"/>
      <c r="CS403" s="822"/>
      <c r="CT403" s="822"/>
      <c r="CU403" s="822"/>
      <c r="CV403" s="822"/>
      <c r="CW403" s="822"/>
      <c r="CX403" s="822"/>
      <c r="CY403" s="822"/>
      <c r="CZ403" s="822"/>
      <c r="DA403" s="822"/>
      <c r="DB403" s="822"/>
      <c r="DC403" s="822"/>
      <c r="DD403" s="822"/>
      <c r="DE403" s="822"/>
      <c r="DF403" s="822"/>
      <c r="DG403" s="822"/>
      <c r="DH403" s="822"/>
      <c r="DI403" s="822"/>
      <c r="DJ403" s="822"/>
      <c r="DK403" s="822"/>
      <c r="DL403" s="822"/>
      <c r="DM403" s="822"/>
      <c r="DN403" s="822"/>
    </row>
    <row r="404" spans="5:148" ht="17.100000000000001" customHeight="1" thickTop="1" x14ac:dyDescent="0.3">
      <c r="E404" s="23"/>
      <c r="F404" s="23"/>
      <c r="G404" s="759"/>
      <c r="H404" s="760"/>
      <c r="I404" s="760"/>
      <c r="J404" s="760"/>
      <c r="K404" s="760"/>
      <c r="L404" s="760"/>
      <c r="M404" s="760"/>
      <c r="N404" s="760"/>
      <c r="O404" s="760"/>
      <c r="P404" s="760"/>
      <c r="Q404" s="760"/>
      <c r="R404" s="760"/>
      <c r="S404" s="760"/>
      <c r="T404" s="760"/>
      <c r="U404" s="760"/>
      <c r="V404" s="760"/>
      <c r="W404" s="760"/>
      <c r="X404" s="760"/>
      <c r="Y404" s="760"/>
      <c r="Z404" s="760"/>
      <c r="AA404" s="1059"/>
      <c r="AB404" s="1059"/>
      <c r="AC404" s="1273"/>
      <c r="AD404" s="1273"/>
      <c r="AE404" s="1273"/>
      <c r="AF404" s="1273"/>
      <c r="AG404" s="1273"/>
      <c r="AH404" s="1273"/>
      <c r="AI404" s="1273"/>
      <c r="AJ404" s="1273"/>
      <c r="AK404" s="1273"/>
      <c r="AL404" s="1273"/>
      <c r="AM404" s="1273"/>
      <c r="AN404" s="1273"/>
      <c r="AO404" s="1273"/>
      <c r="AP404" s="1273"/>
      <c r="AQ404" s="1273"/>
      <c r="AR404" s="1273"/>
      <c r="AS404" s="1273"/>
      <c r="AT404" s="1273"/>
      <c r="AU404" s="1273"/>
      <c r="AV404" s="1273"/>
      <c r="AW404" s="1273"/>
      <c r="AX404" s="1273"/>
      <c r="AY404" s="1273"/>
      <c r="AZ404" s="1059"/>
      <c r="BA404" s="1059"/>
      <c r="BB404" s="760"/>
      <c r="BC404" s="760"/>
      <c r="BD404" s="760"/>
      <c r="BE404" s="760"/>
      <c r="BF404" s="760"/>
      <c r="BG404" s="760"/>
      <c r="BH404" s="760"/>
      <c r="BI404" s="760"/>
      <c r="BJ404" s="760"/>
      <c r="BK404" s="760"/>
      <c r="BL404" s="760"/>
      <c r="BM404" s="760"/>
      <c r="BN404" s="760"/>
      <c r="BO404" s="760"/>
      <c r="BP404" s="760"/>
      <c r="BQ404" s="760"/>
      <c r="BR404" s="760"/>
      <c r="BS404" s="760"/>
      <c r="BT404" s="760"/>
      <c r="BU404" s="761"/>
      <c r="BV404" s="19"/>
      <c r="BW404" s="19"/>
      <c r="BX404" s="822"/>
      <c r="BY404" s="822"/>
      <c r="BZ404" s="822"/>
      <c r="CA404" s="822"/>
      <c r="CB404" s="822"/>
      <c r="CC404" s="822"/>
      <c r="CD404" s="822"/>
      <c r="CE404" s="822"/>
      <c r="CF404" s="822"/>
      <c r="CG404" s="822"/>
      <c r="CH404" s="822"/>
      <c r="CI404" s="822"/>
      <c r="CJ404" s="822"/>
      <c r="CK404" s="822"/>
      <c r="CL404" s="822"/>
      <c r="CM404" s="822"/>
      <c r="CN404" s="822"/>
      <c r="CO404" s="822"/>
      <c r="CP404" s="822"/>
      <c r="CQ404" s="822"/>
      <c r="CR404" s="822"/>
      <c r="CS404" s="822"/>
      <c r="CT404" s="822"/>
      <c r="CU404" s="822"/>
      <c r="CV404" s="822"/>
      <c r="CW404" s="822"/>
      <c r="CX404" s="822"/>
      <c r="CY404" s="822"/>
      <c r="CZ404" s="822"/>
      <c r="DA404" s="822"/>
      <c r="DB404" s="822"/>
      <c r="DC404" s="822"/>
      <c r="DD404" s="822"/>
      <c r="DE404" s="822"/>
      <c r="DF404" s="822"/>
      <c r="DG404" s="822"/>
      <c r="DH404" s="822"/>
      <c r="DI404" s="822"/>
      <c r="DJ404" s="822"/>
      <c r="DK404" s="822"/>
      <c r="DL404" s="822"/>
      <c r="DM404" s="822"/>
      <c r="DN404" s="822"/>
    </row>
    <row r="405" spans="5:148" ht="17.100000000000001" customHeight="1" thickBot="1" x14ac:dyDescent="0.35">
      <c r="E405" s="23"/>
      <c r="F405" s="23"/>
      <c r="G405" s="762"/>
      <c r="H405" s="1059"/>
      <c r="I405" s="999"/>
      <c r="J405" s="787"/>
      <c r="K405" s="1059"/>
      <c r="L405" s="1059"/>
      <c r="M405" s="1059"/>
      <c r="N405" s="1059"/>
      <c r="O405" s="1059"/>
      <c r="P405" s="1059"/>
      <c r="Q405" s="1059"/>
      <c r="R405" s="1059"/>
      <c r="S405" s="1059"/>
      <c r="T405" s="1059"/>
      <c r="U405" s="1059"/>
      <c r="V405" s="1059"/>
      <c r="W405" s="1059"/>
      <c r="X405" s="1059"/>
      <c r="Y405" s="1059"/>
      <c r="Z405" s="1059"/>
      <c r="AA405" s="1059"/>
      <c r="AB405" s="1059"/>
      <c r="AC405" s="1059"/>
      <c r="AD405" s="1059"/>
      <c r="AE405" s="1059"/>
      <c r="AF405" s="1059"/>
      <c r="AG405" s="1123"/>
      <c r="AH405" s="1123"/>
      <c r="AI405" s="1123"/>
      <c r="AJ405" s="1261"/>
      <c r="AK405" s="1261"/>
      <c r="AL405" s="1261"/>
      <c r="AM405" s="4743" t="s">
        <v>950</v>
      </c>
      <c r="AN405" s="4743"/>
      <c r="AO405" s="4743"/>
      <c r="AP405" s="1261"/>
      <c r="AQ405" s="1261"/>
      <c r="AR405" s="1261"/>
      <c r="AS405" s="1261"/>
      <c r="AT405" s="1123"/>
      <c r="AU405" s="1123"/>
      <c r="AV405" s="1059"/>
      <c r="AW405" s="1059"/>
      <c r="AX405" s="1059"/>
      <c r="AY405" s="1059"/>
      <c r="AZ405" s="1059"/>
      <c r="BA405" s="1059"/>
      <c r="BB405" s="1059"/>
      <c r="BC405" s="1059"/>
      <c r="BD405" s="1059"/>
      <c r="BE405" s="1059"/>
      <c r="BF405" s="1059"/>
      <c r="BG405" s="1059"/>
      <c r="BH405" s="1059"/>
      <c r="BI405" s="1059"/>
      <c r="BJ405" s="1059"/>
      <c r="BK405" s="1059"/>
      <c r="BL405" s="1059"/>
      <c r="BM405" s="1059"/>
      <c r="BN405" s="1059"/>
      <c r="BO405" s="1059"/>
      <c r="BP405" s="1059"/>
      <c r="BQ405" s="1059"/>
      <c r="BR405" s="1059"/>
      <c r="BS405" s="1059"/>
      <c r="BT405" s="1059"/>
      <c r="BU405" s="764"/>
      <c r="BV405" s="19"/>
      <c r="BW405" s="19"/>
      <c r="BX405" s="822"/>
      <c r="BY405" s="822"/>
      <c r="BZ405" s="822"/>
      <c r="CA405" s="822"/>
      <c r="CB405" s="822"/>
      <c r="CC405" s="822"/>
      <c r="CD405" s="822"/>
      <c r="CE405" s="822"/>
      <c r="CF405" s="822"/>
      <c r="CG405" s="822"/>
      <c r="CH405" s="822"/>
      <c r="CI405" s="822"/>
      <c r="CJ405" s="822"/>
      <c r="CK405" s="822"/>
      <c r="CL405" s="822"/>
      <c r="CM405" s="822"/>
      <c r="CN405" s="822"/>
      <c r="CO405" s="822"/>
      <c r="CP405" s="822"/>
      <c r="CQ405" s="822"/>
      <c r="CR405" s="822"/>
      <c r="CS405" s="822"/>
      <c r="CT405" s="822"/>
      <c r="CU405" s="822"/>
      <c r="CV405" s="822"/>
      <c r="CW405" s="822"/>
      <c r="CX405" s="822"/>
      <c r="CY405" s="822"/>
      <c r="CZ405" s="822"/>
      <c r="DA405" s="822"/>
      <c r="DB405" s="822"/>
      <c r="DC405" s="822"/>
      <c r="DD405" s="822"/>
      <c r="DE405" s="822"/>
      <c r="DF405" s="822"/>
      <c r="DG405" s="822"/>
      <c r="DH405" s="822"/>
      <c r="DI405" s="822"/>
      <c r="DJ405" s="822"/>
      <c r="DK405" s="822"/>
      <c r="DL405" s="822"/>
      <c r="DM405" s="822"/>
      <c r="DN405" s="822"/>
    </row>
    <row r="406" spans="5:148" ht="17.100000000000001" customHeight="1" thickTop="1" x14ac:dyDescent="0.3">
      <c r="E406" s="759"/>
      <c r="F406" s="760"/>
      <c r="G406" s="1059"/>
      <c r="H406" s="1059"/>
      <c r="I406" s="1059"/>
      <c r="J406" s="1059"/>
      <c r="K406" s="1059"/>
      <c r="L406" s="1059"/>
      <c r="M406" s="1059"/>
      <c r="N406" s="1059"/>
      <c r="O406" s="1059"/>
      <c r="P406" s="1059"/>
      <c r="Q406" s="1059"/>
      <c r="R406" s="1059"/>
      <c r="S406" s="1059"/>
      <c r="T406" s="1059"/>
      <c r="U406" s="1059"/>
      <c r="V406" s="1059"/>
      <c r="W406" s="1059"/>
      <c r="X406" s="1059"/>
      <c r="Y406" s="1059"/>
      <c r="Z406" s="1059"/>
      <c r="AA406" s="1059"/>
      <c r="AB406" s="1059"/>
      <c r="AC406" s="1059"/>
      <c r="AD406" s="1059"/>
      <c r="AE406" s="1059"/>
      <c r="AF406" s="1059"/>
      <c r="AG406" s="1123"/>
      <c r="AH406" s="1123"/>
      <c r="AI406" s="1261"/>
      <c r="AJ406" s="1261"/>
      <c r="AK406" s="1261"/>
      <c r="AL406" s="1261"/>
      <c r="AM406" s="4743"/>
      <c r="AN406" s="4743"/>
      <c r="AO406" s="4743"/>
      <c r="AP406" s="1261"/>
      <c r="AQ406" s="1261"/>
      <c r="AR406" s="1261"/>
      <c r="AS406" s="1261"/>
      <c r="AT406" s="1123"/>
      <c r="AU406" s="1123"/>
      <c r="AV406" s="1059"/>
      <c r="AW406" s="1059"/>
      <c r="AX406" s="1059"/>
      <c r="AY406" s="1059"/>
      <c r="AZ406" s="1059"/>
      <c r="BA406" s="1059"/>
      <c r="BB406" s="1059"/>
      <c r="BC406" s="1059"/>
      <c r="BD406" s="1059"/>
      <c r="BE406" s="1059"/>
      <c r="BF406" s="1059"/>
      <c r="BG406" s="1059"/>
      <c r="BH406" s="1059"/>
      <c r="BI406" s="1059"/>
      <c r="BJ406" s="1059"/>
      <c r="BK406" s="1059"/>
      <c r="BL406" s="1059"/>
      <c r="BM406" s="1059"/>
      <c r="BN406" s="1059"/>
      <c r="BO406" s="1059"/>
      <c r="BP406" s="1059"/>
      <c r="BQ406" s="1059"/>
      <c r="BR406" s="1059"/>
      <c r="BS406" s="1059"/>
      <c r="BT406" s="1059"/>
      <c r="BU406" s="1059"/>
      <c r="BV406" s="760"/>
      <c r="BW406" s="761"/>
      <c r="BX406" s="822"/>
      <c r="BY406" s="822"/>
      <c r="BZ406" s="822"/>
      <c r="CA406" s="822"/>
      <c r="CB406" s="822"/>
      <c r="CC406" s="822"/>
      <c r="CD406" s="822"/>
      <c r="CE406" s="822"/>
      <c r="CF406" s="822"/>
      <c r="CG406" s="822"/>
      <c r="CH406" s="822"/>
      <c r="CI406" s="822"/>
      <c r="CJ406" s="822"/>
      <c r="CK406" s="822"/>
      <c r="CL406" s="822"/>
      <c r="CM406" s="822"/>
      <c r="CN406" s="822"/>
      <c r="CO406" s="822"/>
      <c r="CP406" s="822"/>
      <c r="CQ406" s="822"/>
      <c r="CR406" s="822"/>
      <c r="CS406" s="822"/>
      <c r="CT406" s="822"/>
      <c r="CU406" s="822"/>
      <c r="CV406" s="822"/>
      <c r="CW406" s="822"/>
      <c r="CX406" s="822"/>
      <c r="CY406" s="822"/>
      <c r="CZ406" s="822"/>
      <c r="DA406" s="822"/>
      <c r="DB406" s="822"/>
      <c r="DC406" s="822"/>
      <c r="DD406" s="822"/>
      <c r="DE406" s="822"/>
      <c r="DF406" s="822"/>
      <c r="DG406" s="822"/>
      <c r="DH406" s="822"/>
      <c r="DI406" s="822"/>
      <c r="DJ406" s="822"/>
      <c r="DK406" s="822"/>
      <c r="DL406" s="822"/>
      <c r="DM406" s="822"/>
      <c r="DN406" s="822"/>
    </row>
    <row r="407" spans="5:148" ht="17.100000000000001" customHeight="1" thickBot="1" x14ac:dyDescent="0.35">
      <c r="E407" s="762"/>
      <c r="F407" s="94"/>
      <c r="G407" s="1059"/>
      <c r="H407" s="1059"/>
      <c r="I407" s="1059"/>
      <c r="J407" s="1059"/>
      <c r="K407" s="1059"/>
      <c r="L407" s="1059"/>
      <c r="M407" s="1059"/>
      <c r="N407" s="1059"/>
      <c r="O407" s="1059"/>
      <c r="P407" s="1059"/>
      <c r="Q407" s="1059"/>
      <c r="R407" s="1059"/>
      <c r="S407" s="1059"/>
      <c r="T407" s="1059"/>
      <c r="U407" s="1059"/>
      <c r="V407" s="1059"/>
      <c r="W407" s="1059"/>
      <c r="X407" s="1059"/>
      <c r="Y407" s="1059"/>
      <c r="Z407" s="1059"/>
      <c r="AA407" s="1059"/>
      <c r="AB407" s="1059"/>
      <c r="AC407" s="1059"/>
      <c r="AD407" s="1059"/>
      <c r="AE407" s="1059"/>
      <c r="AF407" s="1059"/>
      <c r="AG407" s="1123"/>
      <c r="AH407" s="1123"/>
      <c r="AI407" s="1123"/>
      <c r="AJ407" s="1123"/>
      <c r="AK407" s="1123"/>
      <c r="AL407" s="1123"/>
      <c r="AM407" s="1274"/>
      <c r="AN407" s="1275">
        <v>1</v>
      </c>
      <c r="AO407" s="1274"/>
      <c r="AP407" s="1123"/>
      <c r="AQ407" s="1123"/>
      <c r="AR407" s="1123"/>
      <c r="AS407" s="1123"/>
      <c r="AT407" s="1123"/>
      <c r="AU407" s="1123"/>
      <c r="AV407" s="1059"/>
      <c r="AW407" s="1059"/>
      <c r="AX407" s="1059"/>
      <c r="AY407" s="1059"/>
      <c r="AZ407" s="1059"/>
      <c r="BA407" s="1059"/>
      <c r="BB407" s="1059"/>
      <c r="BC407" s="1059"/>
      <c r="BD407" s="1059"/>
      <c r="BE407" s="1059"/>
      <c r="BF407" s="1059"/>
      <c r="BG407" s="1059"/>
      <c r="BH407" s="1059"/>
      <c r="BI407" s="1059"/>
      <c r="BJ407" s="1059"/>
      <c r="BK407" s="1059"/>
      <c r="BL407" s="1059"/>
      <c r="BM407" s="1059"/>
      <c r="BN407" s="1059"/>
      <c r="BO407" s="1059"/>
      <c r="BP407" s="1059"/>
      <c r="BQ407" s="1059"/>
      <c r="BR407" s="1059"/>
      <c r="BS407" s="1059"/>
      <c r="BT407" s="1059"/>
      <c r="BU407" s="1059"/>
      <c r="BV407" s="94"/>
      <c r="BW407" s="764"/>
      <c r="BX407" s="822"/>
      <c r="BY407" s="822"/>
      <c r="BZ407" s="822"/>
      <c r="CA407" s="822"/>
      <c r="CB407" s="822"/>
      <c r="CC407" s="822"/>
      <c r="CD407" s="822"/>
      <c r="CE407" s="822"/>
      <c r="CF407" s="822"/>
      <c r="CG407" s="822"/>
      <c r="CH407" s="822"/>
      <c r="CI407" s="822"/>
      <c r="CJ407" s="822"/>
      <c r="CK407" s="822"/>
      <c r="CL407" s="822"/>
      <c r="CM407" s="822"/>
      <c r="CN407" s="822"/>
      <c r="CO407" s="822"/>
      <c r="CP407" s="822"/>
      <c r="CQ407" s="822"/>
      <c r="CR407" s="822"/>
      <c r="CS407" s="822"/>
      <c r="CT407" s="822"/>
      <c r="CU407" s="822"/>
      <c r="CV407" s="822"/>
      <c r="CW407" s="822"/>
      <c r="CX407" s="822"/>
      <c r="CY407" s="822"/>
      <c r="CZ407" s="822"/>
      <c r="DA407" s="822"/>
      <c r="DB407" s="822"/>
      <c r="DC407" s="822"/>
      <c r="DD407" s="822"/>
      <c r="DE407" s="822"/>
      <c r="DF407" s="822"/>
      <c r="DG407" s="822"/>
      <c r="DH407" s="822"/>
      <c r="DI407" s="822"/>
      <c r="DJ407" s="822"/>
      <c r="DK407" s="822"/>
      <c r="DL407" s="822"/>
      <c r="DM407" s="822"/>
      <c r="DN407" s="822"/>
    </row>
    <row r="408" spans="5:148" ht="17.100000000000001" customHeight="1" thickTop="1" x14ac:dyDescent="0.3">
      <c r="E408" s="762"/>
      <c r="F408" s="1059"/>
      <c r="G408" s="1059"/>
      <c r="H408" s="1059"/>
      <c r="I408" s="4756" t="s">
        <v>72</v>
      </c>
      <c r="J408" s="4757"/>
      <c r="K408" s="4757"/>
      <c r="L408" s="4794" t="s">
        <v>710</v>
      </c>
      <c r="M408" s="4794"/>
      <c r="N408" s="4757" t="s">
        <v>72</v>
      </c>
      <c r="O408" s="4757"/>
      <c r="P408" s="4762"/>
      <c r="Q408" s="1059"/>
      <c r="R408" s="1059"/>
      <c r="S408" s="4756" t="s">
        <v>72</v>
      </c>
      <c r="T408" s="4757"/>
      <c r="U408" s="4757"/>
      <c r="V408" s="4792" t="s">
        <v>710</v>
      </c>
      <c r="W408" s="4792"/>
      <c r="X408" s="4757" t="s">
        <v>72</v>
      </c>
      <c r="Y408" s="4757"/>
      <c r="Z408" s="4762"/>
      <c r="AA408" s="1059"/>
      <c r="AB408" s="1059"/>
      <c r="AC408" s="4756" t="s">
        <v>72</v>
      </c>
      <c r="AD408" s="4757"/>
      <c r="AE408" s="4757"/>
      <c r="AF408" s="4790" t="s">
        <v>710</v>
      </c>
      <c r="AG408" s="4790"/>
      <c r="AH408" s="4757" t="s">
        <v>72</v>
      </c>
      <c r="AI408" s="4757"/>
      <c r="AJ408" s="4762"/>
      <c r="AK408" s="1059"/>
      <c r="AL408" s="1059"/>
      <c r="AM408" s="4853" t="s">
        <v>1472</v>
      </c>
      <c r="AN408" s="4853"/>
      <c r="AO408" s="4853"/>
      <c r="AP408" s="1059"/>
      <c r="AQ408" s="1059"/>
      <c r="AR408" s="4756" t="s">
        <v>72</v>
      </c>
      <c r="AS408" s="4757"/>
      <c r="AT408" s="4757"/>
      <c r="AU408" s="4790" t="s">
        <v>939</v>
      </c>
      <c r="AV408" s="4790"/>
      <c r="AW408" s="4757" t="s">
        <v>72</v>
      </c>
      <c r="AX408" s="4757"/>
      <c r="AY408" s="4762"/>
      <c r="AZ408" s="1059"/>
      <c r="BA408" s="1059"/>
      <c r="BB408" s="4756" t="s">
        <v>72</v>
      </c>
      <c r="BC408" s="4757"/>
      <c r="BD408" s="4757"/>
      <c r="BE408" s="4792" t="s">
        <v>939</v>
      </c>
      <c r="BF408" s="4792"/>
      <c r="BG408" s="4757" t="s">
        <v>72</v>
      </c>
      <c r="BH408" s="4757"/>
      <c r="BI408" s="4762"/>
      <c r="BJ408" s="1059"/>
      <c r="BK408" s="1059"/>
      <c r="BL408" s="4756" t="s">
        <v>72</v>
      </c>
      <c r="BM408" s="4757"/>
      <c r="BN408" s="4757"/>
      <c r="BO408" s="4794" t="s">
        <v>939</v>
      </c>
      <c r="BP408" s="4794"/>
      <c r="BQ408" s="4757" t="s">
        <v>72</v>
      </c>
      <c r="BR408" s="4757"/>
      <c r="BS408" s="4762"/>
      <c r="BT408" s="1059"/>
      <c r="BU408" s="1059"/>
      <c r="BV408" s="1059"/>
      <c r="BW408" s="764"/>
      <c r="BX408" s="822"/>
      <c r="BY408" s="822"/>
      <c r="BZ408" s="822"/>
      <c r="CA408" s="822"/>
      <c r="CB408" s="822"/>
      <c r="CC408" s="822"/>
      <c r="CD408" s="822"/>
      <c r="CE408" s="822"/>
      <c r="CF408" s="822"/>
      <c r="CG408" s="822"/>
      <c r="CH408" s="822"/>
      <c r="CI408" s="822"/>
      <c r="CJ408" s="822"/>
      <c r="CK408" s="822"/>
      <c r="CL408" s="822"/>
      <c r="CM408" s="822"/>
      <c r="CN408" s="822"/>
      <c r="CO408" s="822"/>
      <c r="CP408" s="822"/>
      <c r="CQ408" s="822"/>
      <c r="CR408" s="822"/>
      <c r="CS408" s="822"/>
      <c r="CT408" s="822"/>
      <c r="CU408" s="822"/>
      <c r="CV408" s="822"/>
      <c r="CW408" s="822"/>
      <c r="CX408" s="822"/>
      <c r="CY408" s="822"/>
      <c r="CZ408" s="822"/>
      <c r="DA408" s="822"/>
      <c r="DB408" s="822"/>
      <c r="DC408" s="822"/>
      <c r="DD408" s="822"/>
      <c r="DE408" s="822"/>
      <c r="DF408" s="822"/>
      <c r="DG408" s="822"/>
      <c r="DH408" s="822"/>
      <c r="DI408" s="822"/>
      <c r="DJ408" s="822"/>
      <c r="DK408" s="822"/>
      <c r="DL408" s="822"/>
      <c r="DM408" s="822"/>
      <c r="DN408" s="822"/>
    </row>
    <row r="409" spans="5:148" ht="17.100000000000001" customHeight="1" x14ac:dyDescent="0.3">
      <c r="E409" s="762"/>
      <c r="F409" s="1059"/>
      <c r="G409" s="1059"/>
      <c r="H409" s="1059"/>
      <c r="I409" s="4758"/>
      <c r="J409" s="4759"/>
      <c r="K409" s="4759"/>
      <c r="L409" s="4795"/>
      <c r="M409" s="4795"/>
      <c r="N409" s="4759"/>
      <c r="O409" s="4759"/>
      <c r="P409" s="4763"/>
      <c r="Q409" s="1059"/>
      <c r="R409" s="1059"/>
      <c r="S409" s="4758"/>
      <c r="T409" s="4759"/>
      <c r="U409" s="4759"/>
      <c r="V409" s="4793"/>
      <c r="W409" s="4793"/>
      <c r="X409" s="4759"/>
      <c r="Y409" s="4759"/>
      <c r="Z409" s="4763"/>
      <c r="AA409" s="1059"/>
      <c r="AB409" s="1059"/>
      <c r="AC409" s="4758"/>
      <c r="AD409" s="4759"/>
      <c r="AE409" s="4759"/>
      <c r="AF409" s="4791"/>
      <c r="AG409" s="4791"/>
      <c r="AH409" s="4759"/>
      <c r="AI409" s="4759"/>
      <c r="AJ409" s="4763"/>
      <c r="AK409" s="1059"/>
      <c r="AL409" s="1059"/>
      <c r="AM409" s="4853"/>
      <c r="AN409" s="4853"/>
      <c r="AO409" s="4853"/>
      <c r="AP409" s="1059"/>
      <c r="AQ409" s="1059"/>
      <c r="AR409" s="4758"/>
      <c r="AS409" s="4759"/>
      <c r="AT409" s="4759"/>
      <c r="AU409" s="4791"/>
      <c r="AV409" s="4791"/>
      <c r="AW409" s="4759"/>
      <c r="AX409" s="4759"/>
      <c r="AY409" s="4763"/>
      <c r="AZ409" s="1059"/>
      <c r="BA409" s="1059"/>
      <c r="BB409" s="4758"/>
      <c r="BC409" s="4759"/>
      <c r="BD409" s="4759"/>
      <c r="BE409" s="4793"/>
      <c r="BF409" s="4793"/>
      <c r="BG409" s="4759"/>
      <c r="BH409" s="4759"/>
      <c r="BI409" s="4763"/>
      <c r="BJ409" s="1059"/>
      <c r="BK409" s="1059"/>
      <c r="BL409" s="4758"/>
      <c r="BM409" s="4759"/>
      <c r="BN409" s="4759"/>
      <c r="BO409" s="4795"/>
      <c r="BP409" s="4795"/>
      <c r="BQ409" s="4759"/>
      <c r="BR409" s="4759"/>
      <c r="BS409" s="4763"/>
      <c r="BT409" s="1059"/>
      <c r="BU409" s="1059"/>
      <c r="BV409" s="1059"/>
      <c r="BW409" s="764"/>
      <c r="BX409" s="822"/>
      <c r="BY409" s="822"/>
      <c r="BZ409" s="822"/>
      <c r="CA409" s="822"/>
      <c r="CB409" s="822"/>
      <c r="CC409" s="822"/>
      <c r="CD409" s="822"/>
      <c r="CE409" s="822"/>
      <c r="CF409" s="822"/>
      <c r="CG409" s="822"/>
      <c r="CH409" s="822"/>
      <c r="CI409" s="822"/>
      <c r="CJ409" s="822"/>
      <c r="CK409" s="822"/>
      <c r="CL409" s="822"/>
      <c r="CM409" s="822"/>
      <c r="CN409" s="822"/>
      <c r="CO409" s="822"/>
      <c r="CP409" s="822"/>
      <c r="CQ409" s="822"/>
      <c r="CR409" s="822"/>
      <c r="CS409" s="822"/>
      <c r="CT409" s="822"/>
      <c r="CU409" s="822"/>
      <c r="CV409" s="822"/>
      <c r="CW409" s="822"/>
      <c r="CX409" s="822"/>
      <c r="CY409" s="822"/>
      <c r="CZ409" s="822"/>
      <c r="DA409" s="822"/>
      <c r="DB409" s="822"/>
      <c r="DC409" s="822"/>
      <c r="DD409" s="822"/>
      <c r="DE409" s="822"/>
      <c r="DF409" s="822"/>
      <c r="DG409" s="822"/>
      <c r="DH409" s="822"/>
      <c r="DI409" s="822"/>
      <c r="DJ409" s="822"/>
      <c r="DK409" s="822"/>
      <c r="DL409" s="822"/>
      <c r="DM409" s="822"/>
      <c r="DN409" s="822"/>
    </row>
    <row r="410" spans="5:148" ht="17.100000000000001" customHeight="1" x14ac:dyDescent="0.3">
      <c r="E410" s="762"/>
      <c r="F410" s="1059"/>
      <c r="G410" s="1059"/>
      <c r="H410" s="1059"/>
      <c r="I410" s="4766"/>
      <c r="J410" s="4768"/>
      <c r="K410" s="4769"/>
      <c r="L410" s="4769"/>
      <c r="M410" s="4769"/>
      <c r="N410" s="4769"/>
      <c r="O410" s="4770"/>
      <c r="P410" s="4777"/>
      <c r="Q410" s="1059"/>
      <c r="R410" s="1059"/>
      <c r="S410" s="4766"/>
      <c r="T410" s="4768"/>
      <c r="U410" s="4769"/>
      <c r="V410" s="4769"/>
      <c r="W410" s="4769"/>
      <c r="X410" s="4769"/>
      <c r="Y410" s="4770"/>
      <c r="Z410" s="4777"/>
      <c r="AA410" s="1059"/>
      <c r="AB410" s="1059"/>
      <c r="AC410" s="4766"/>
      <c r="AD410" s="4768"/>
      <c r="AE410" s="4769"/>
      <c r="AF410" s="4769"/>
      <c r="AG410" s="4769"/>
      <c r="AH410" s="4769"/>
      <c r="AI410" s="4770"/>
      <c r="AJ410" s="4777"/>
      <c r="AK410" s="1059"/>
      <c r="AL410" s="1059"/>
      <c r="AM410" s="4853"/>
      <c r="AN410" s="4853"/>
      <c r="AO410" s="4853"/>
      <c r="AP410" s="1059"/>
      <c r="AQ410" s="1059"/>
      <c r="AR410" s="4766"/>
      <c r="AS410" s="4768"/>
      <c r="AT410" s="4769"/>
      <c r="AU410" s="4769"/>
      <c r="AV410" s="4769"/>
      <c r="AW410" s="4769"/>
      <c r="AX410" s="4770"/>
      <c r="AY410" s="4777"/>
      <c r="AZ410" s="1059"/>
      <c r="BA410" s="1059"/>
      <c r="BB410" s="4766"/>
      <c r="BC410" s="4768"/>
      <c r="BD410" s="4769"/>
      <c r="BE410" s="4769"/>
      <c r="BF410" s="4769"/>
      <c r="BG410" s="4769"/>
      <c r="BH410" s="4770"/>
      <c r="BI410" s="4777"/>
      <c r="BJ410" s="1059"/>
      <c r="BK410" s="1059"/>
      <c r="BL410" s="4766"/>
      <c r="BM410" s="4768"/>
      <c r="BN410" s="4769"/>
      <c r="BO410" s="4769"/>
      <c r="BP410" s="4769"/>
      <c r="BQ410" s="4769"/>
      <c r="BR410" s="4770"/>
      <c r="BS410" s="4777"/>
      <c r="BT410" s="1059"/>
      <c r="BU410" s="1059"/>
      <c r="BV410" s="1059"/>
      <c r="BW410" s="764"/>
      <c r="BX410" s="822"/>
      <c r="BY410" s="822"/>
      <c r="BZ410" s="822"/>
      <c r="CA410" s="822"/>
      <c r="CB410" s="822"/>
      <c r="CC410" s="822"/>
      <c r="CD410" s="822"/>
      <c r="CE410" s="822"/>
      <c r="CF410" s="822"/>
      <c r="CG410" s="822"/>
      <c r="CH410" s="822"/>
      <c r="CI410" s="822"/>
      <c r="CJ410" s="4826" t="str">
        <f>IF(J410=0,"",J410)</f>
        <v/>
      </c>
      <c r="CK410" s="4827"/>
      <c r="CL410" s="4827"/>
      <c r="CM410" s="4827"/>
      <c r="CN410" s="4827"/>
      <c r="CO410" s="4828"/>
      <c r="CP410" s="822"/>
      <c r="CQ410" s="822"/>
      <c r="CR410" s="822"/>
      <c r="CS410" s="822"/>
      <c r="CT410" s="4826" t="str">
        <f>IF(T410=0,"",T410)</f>
        <v/>
      </c>
      <c r="CU410" s="4827"/>
      <c r="CV410" s="4827"/>
      <c r="CW410" s="4827"/>
      <c r="CX410" s="4827"/>
      <c r="CY410" s="4828"/>
      <c r="CZ410" s="822"/>
      <c r="DA410" s="822"/>
      <c r="DB410" s="822"/>
      <c r="DC410" s="822"/>
      <c r="DD410" s="4826" t="str">
        <f>IF(AD410=0,"",AD410)</f>
        <v/>
      </c>
      <c r="DE410" s="4827"/>
      <c r="DF410" s="4827"/>
      <c r="DG410" s="4827"/>
      <c r="DH410" s="4827"/>
      <c r="DI410" s="4828"/>
      <c r="DJ410" s="822"/>
      <c r="DK410" s="822"/>
      <c r="DL410" s="822"/>
      <c r="DM410" s="822"/>
      <c r="DN410" s="822"/>
      <c r="DO410" s="822"/>
      <c r="DP410" s="822"/>
      <c r="DQ410" s="822"/>
      <c r="DR410" s="822"/>
      <c r="DS410" s="4826" t="str">
        <f>IF(AS410=0,"",AS410)</f>
        <v/>
      </c>
      <c r="DT410" s="4827"/>
      <c r="DU410" s="4827"/>
      <c r="DV410" s="4827"/>
      <c r="DW410" s="4827"/>
      <c r="DX410" s="4828"/>
      <c r="DY410" s="822"/>
      <c r="DZ410" s="822"/>
      <c r="EA410" s="822"/>
      <c r="EB410" s="822"/>
      <c r="EC410" s="4826" t="str">
        <f>IF(BC410=0,"",BC410)</f>
        <v/>
      </c>
      <c r="ED410" s="4827"/>
      <c r="EE410" s="4827"/>
      <c r="EF410" s="4827"/>
      <c r="EG410" s="4827"/>
      <c r="EH410" s="4828"/>
      <c r="EI410" s="822"/>
      <c r="EJ410" s="822"/>
      <c r="EK410" s="822"/>
      <c r="EL410" s="822"/>
      <c r="EM410" s="4826" t="str">
        <f>IF(BM410=0,"",BM410)</f>
        <v/>
      </c>
      <c r="EN410" s="4827"/>
      <c r="EO410" s="4827"/>
      <c r="EP410" s="4827"/>
      <c r="EQ410" s="4827"/>
      <c r="ER410" s="4828"/>
    </row>
    <row r="411" spans="5:148" ht="17.100000000000001" customHeight="1" x14ac:dyDescent="0.3">
      <c r="E411" s="762"/>
      <c r="F411" s="1059"/>
      <c r="G411" s="1059"/>
      <c r="H411" s="1059"/>
      <c r="I411" s="4766"/>
      <c r="J411" s="4771"/>
      <c r="K411" s="4772"/>
      <c r="L411" s="4772"/>
      <c r="M411" s="4772"/>
      <c r="N411" s="4772"/>
      <c r="O411" s="4773"/>
      <c r="P411" s="4777"/>
      <c r="Q411" s="1059"/>
      <c r="R411" s="1059"/>
      <c r="S411" s="4766"/>
      <c r="T411" s="4771"/>
      <c r="U411" s="4772"/>
      <c r="V411" s="4772"/>
      <c r="W411" s="4772"/>
      <c r="X411" s="4772"/>
      <c r="Y411" s="4773"/>
      <c r="Z411" s="4777"/>
      <c r="AA411" s="1059"/>
      <c r="AB411" s="1059"/>
      <c r="AC411" s="4766"/>
      <c r="AD411" s="4771"/>
      <c r="AE411" s="4772"/>
      <c r="AF411" s="4772"/>
      <c r="AG411" s="4772"/>
      <c r="AH411" s="4772"/>
      <c r="AI411" s="4773"/>
      <c r="AJ411" s="4777"/>
      <c r="AK411" s="1059"/>
      <c r="AL411" s="1059"/>
      <c r="AM411" s="2285">
        <f>AN429</f>
        <v>0</v>
      </c>
      <c r="AN411" s="2276" t="s">
        <v>710</v>
      </c>
      <c r="AO411" s="1278"/>
      <c r="AP411" s="1059"/>
      <c r="AQ411" s="1059"/>
      <c r="AR411" s="4766"/>
      <c r="AS411" s="4771"/>
      <c r="AT411" s="4772"/>
      <c r="AU411" s="4772"/>
      <c r="AV411" s="4772"/>
      <c r="AW411" s="4772"/>
      <c r="AX411" s="4773"/>
      <c r="AY411" s="4777"/>
      <c r="AZ411" s="1059"/>
      <c r="BA411" s="1059"/>
      <c r="BB411" s="4766"/>
      <c r="BC411" s="4771"/>
      <c r="BD411" s="4772"/>
      <c r="BE411" s="4772"/>
      <c r="BF411" s="4772"/>
      <c r="BG411" s="4772"/>
      <c r="BH411" s="4773"/>
      <c r="BI411" s="4777"/>
      <c r="BJ411" s="1059"/>
      <c r="BK411" s="1059"/>
      <c r="BL411" s="4766"/>
      <c r="BM411" s="4771"/>
      <c r="BN411" s="4772"/>
      <c r="BO411" s="4772"/>
      <c r="BP411" s="4772"/>
      <c r="BQ411" s="4772"/>
      <c r="BR411" s="4773"/>
      <c r="BS411" s="4777"/>
      <c r="BT411" s="1059"/>
      <c r="BU411" s="1059"/>
      <c r="BV411" s="1059"/>
      <c r="BW411" s="764"/>
      <c r="BX411" s="822"/>
      <c r="BY411" s="822"/>
      <c r="BZ411" s="822"/>
      <c r="CA411" s="822"/>
      <c r="CB411" s="822"/>
      <c r="CC411" s="822"/>
      <c r="CD411" s="822"/>
      <c r="CE411" s="822"/>
      <c r="CF411" s="822"/>
      <c r="CG411" s="822"/>
      <c r="CH411" s="822"/>
      <c r="CI411" s="822"/>
      <c r="CJ411" s="4829"/>
      <c r="CK411" s="4830"/>
      <c r="CL411" s="4830"/>
      <c r="CM411" s="4830"/>
      <c r="CN411" s="4830"/>
      <c r="CO411" s="4831"/>
      <c r="CP411" s="822"/>
      <c r="CQ411" s="822"/>
      <c r="CR411" s="822"/>
      <c r="CS411" s="822"/>
      <c r="CT411" s="4829"/>
      <c r="CU411" s="4830"/>
      <c r="CV411" s="4830"/>
      <c r="CW411" s="4830"/>
      <c r="CX411" s="4830"/>
      <c r="CY411" s="4831"/>
      <c r="CZ411" s="822"/>
      <c r="DA411" s="822"/>
      <c r="DB411" s="822"/>
      <c r="DC411" s="822"/>
      <c r="DD411" s="4829"/>
      <c r="DE411" s="4830"/>
      <c r="DF411" s="4830"/>
      <c r="DG411" s="4830"/>
      <c r="DH411" s="4830"/>
      <c r="DI411" s="4831"/>
      <c r="DJ411" s="822"/>
      <c r="DK411" s="822"/>
      <c r="DL411" s="822"/>
      <c r="DM411" s="822"/>
      <c r="DN411" s="822"/>
      <c r="DO411" s="822"/>
      <c r="DP411" s="822"/>
      <c r="DQ411" s="822"/>
      <c r="DR411" s="822"/>
      <c r="DS411" s="4829"/>
      <c r="DT411" s="4830"/>
      <c r="DU411" s="4830"/>
      <c r="DV411" s="4830"/>
      <c r="DW411" s="4830"/>
      <c r="DX411" s="4831"/>
      <c r="DY411" s="822"/>
      <c r="DZ411" s="822"/>
      <c r="EA411" s="822"/>
      <c r="EB411" s="822"/>
      <c r="EC411" s="4829"/>
      <c r="ED411" s="4830"/>
      <c r="EE411" s="4830"/>
      <c r="EF411" s="4830"/>
      <c r="EG411" s="4830"/>
      <c r="EH411" s="4831"/>
      <c r="EI411" s="822"/>
      <c r="EJ411" s="822"/>
      <c r="EK411" s="822"/>
      <c r="EL411" s="822"/>
      <c r="EM411" s="4829"/>
      <c r="EN411" s="4830"/>
      <c r="EO411" s="4830"/>
      <c r="EP411" s="4830"/>
      <c r="EQ411" s="4830"/>
      <c r="ER411" s="4831"/>
    </row>
    <row r="412" spans="5:148" ht="17.100000000000001" customHeight="1" x14ac:dyDescent="0.3">
      <c r="E412" s="762"/>
      <c r="F412" s="1059"/>
      <c r="G412" s="1059"/>
      <c r="H412" s="1059"/>
      <c r="I412" s="4766"/>
      <c r="J412" s="4774"/>
      <c r="K412" s="4775"/>
      <c r="L412" s="4775"/>
      <c r="M412" s="4775"/>
      <c r="N412" s="4775"/>
      <c r="O412" s="4776"/>
      <c r="P412" s="4777"/>
      <c r="Q412" s="1059"/>
      <c r="R412" s="1059"/>
      <c r="S412" s="4766"/>
      <c r="T412" s="4774"/>
      <c r="U412" s="4775"/>
      <c r="V412" s="4775"/>
      <c r="W412" s="4775"/>
      <c r="X412" s="4775"/>
      <c r="Y412" s="4776"/>
      <c r="Z412" s="4777"/>
      <c r="AA412" s="1059"/>
      <c r="AB412" s="1059"/>
      <c r="AC412" s="4766"/>
      <c r="AD412" s="4774"/>
      <c r="AE412" s="4775"/>
      <c r="AF412" s="4775"/>
      <c r="AG412" s="4775"/>
      <c r="AH412" s="4775"/>
      <c r="AI412" s="4776"/>
      <c r="AJ412" s="4777"/>
      <c r="AK412" s="1059"/>
      <c r="AL412" s="1059"/>
      <c r="AM412" s="2285">
        <f>AN429</f>
        <v>0</v>
      </c>
      <c r="AN412" s="2277" t="s">
        <v>941</v>
      </c>
      <c r="AO412" s="1278"/>
      <c r="AP412" s="1059"/>
      <c r="AQ412" s="1059"/>
      <c r="AR412" s="4766"/>
      <c r="AS412" s="4774"/>
      <c r="AT412" s="4775"/>
      <c r="AU412" s="4775"/>
      <c r="AV412" s="4775"/>
      <c r="AW412" s="4775"/>
      <c r="AX412" s="4776"/>
      <c r="AY412" s="4777"/>
      <c r="AZ412" s="1059"/>
      <c r="BA412" s="1059"/>
      <c r="BB412" s="4766"/>
      <c r="BC412" s="4774"/>
      <c r="BD412" s="4775"/>
      <c r="BE412" s="4775"/>
      <c r="BF412" s="4775"/>
      <c r="BG412" s="4775"/>
      <c r="BH412" s="4776"/>
      <c r="BI412" s="4777"/>
      <c r="BJ412" s="1059"/>
      <c r="BK412" s="1059"/>
      <c r="BL412" s="4766"/>
      <c r="BM412" s="4774"/>
      <c r="BN412" s="4775"/>
      <c r="BO412" s="4775"/>
      <c r="BP412" s="4775"/>
      <c r="BQ412" s="4775"/>
      <c r="BR412" s="4776"/>
      <c r="BS412" s="4777"/>
      <c r="BT412" s="1059"/>
      <c r="BU412" s="1059"/>
      <c r="BV412" s="1059"/>
      <c r="BW412" s="764"/>
      <c r="BX412" s="822"/>
      <c r="BY412" s="822"/>
      <c r="BZ412" s="822"/>
      <c r="CA412" s="822"/>
      <c r="CB412" s="822"/>
      <c r="CC412" s="822"/>
      <c r="CD412" s="822"/>
      <c r="CE412" s="822"/>
      <c r="CF412" s="822"/>
      <c r="CG412" s="822"/>
      <c r="CH412" s="822"/>
      <c r="CI412" s="822"/>
      <c r="CJ412" s="4832"/>
      <c r="CK412" s="4833"/>
      <c r="CL412" s="4833"/>
      <c r="CM412" s="4833"/>
      <c r="CN412" s="4833"/>
      <c r="CO412" s="4834"/>
      <c r="CP412" s="822"/>
      <c r="CQ412" s="822"/>
      <c r="CR412" s="822"/>
      <c r="CS412" s="822"/>
      <c r="CT412" s="4832"/>
      <c r="CU412" s="4833"/>
      <c r="CV412" s="4833"/>
      <c r="CW412" s="4833"/>
      <c r="CX412" s="4833"/>
      <c r="CY412" s="4834"/>
      <c r="CZ412" s="822"/>
      <c r="DA412" s="822"/>
      <c r="DB412" s="822"/>
      <c r="DC412" s="822"/>
      <c r="DD412" s="4832"/>
      <c r="DE412" s="4833"/>
      <c r="DF412" s="4833"/>
      <c r="DG412" s="4833"/>
      <c r="DH412" s="4833"/>
      <c r="DI412" s="4834"/>
      <c r="DJ412" s="822"/>
      <c r="DK412" s="822"/>
      <c r="DL412" s="822"/>
      <c r="DM412" s="822"/>
      <c r="DN412" s="822"/>
      <c r="DO412" s="822"/>
      <c r="DP412" s="822"/>
      <c r="DQ412" s="822"/>
      <c r="DR412" s="822"/>
      <c r="DS412" s="4832"/>
      <c r="DT412" s="4833"/>
      <c r="DU412" s="4833"/>
      <c r="DV412" s="4833"/>
      <c r="DW412" s="4833"/>
      <c r="DX412" s="4834"/>
      <c r="DY412" s="822"/>
      <c r="DZ412" s="822"/>
      <c r="EA412" s="822"/>
      <c r="EB412" s="822"/>
      <c r="EC412" s="4832"/>
      <c r="ED412" s="4833"/>
      <c r="EE412" s="4833"/>
      <c r="EF412" s="4833"/>
      <c r="EG412" s="4833"/>
      <c r="EH412" s="4834"/>
      <c r="EI412" s="822"/>
      <c r="EJ412" s="822"/>
      <c r="EK412" s="822"/>
      <c r="EL412" s="822"/>
      <c r="EM412" s="4832"/>
      <c r="EN412" s="4833"/>
      <c r="EO412" s="4833"/>
      <c r="EP412" s="4833"/>
      <c r="EQ412" s="4833"/>
      <c r="ER412" s="4834"/>
    </row>
    <row r="413" spans="5:148" ht="17.100000000000001" customHeight="1" thickBot="1" x14ac:dyDescent="0.35">
      <c r="E413" s="762"/>
      <c r="F413" s="1059"/>
      <c r="G413" s="1059"/>
      <c r="H413" s="1059"/>
      <c r="I413" s="4767"/>
      <c r="J413" s="4755" t="s">
        <v>505</v>
      </c>
      <c r="K413" s="4755"/>
      <c r="L413" s="4755"/>
      <c r="M413" s="4755"/>
      <c r="N413" s="4755"/>
      <c r="O413" s="4755"/>
      <c r="P413" s="4778"/>
      <c r="Q413" s="1059"/>
      <c r="R413" s="1059"/>
      <c r="S413" s="4767"/>
      <c r="T413" s="4755" t="s">
        <v>505</v>
      </c>
      <c r="U413" s="4755"/>
      <c r="V413" s="4755"/>
      <c r="W413" s="4755"/>
      <c r="X413" s="4755"/>
      <c r="Y413" s="4755"/>
      <c r="Z413" s="4778"/>
      <c r="AA413" s="1059"/>
      <c r="AB413" s="1059"/>
      <c r="AC413" s="4767"/>
      <c r="AD413" s="4755" t="s">
        <v>505</v>
      </c>
      <c r="AE413" s="4755"/>
      <c r="AF413" s="4755"/>
      <c r="AG413" s="4755"/>
      <c r="AH413" s="4755"/>
      <c r="AI413" s="4755"/>
      <c r="AJ413" s="4778"/>
      <c r="AK413" s="1059"/>
      <c r="AL413" s="1059"/>
      <c r="AM413" s="2285">
        <f>AN429</f>
        <v>0</v>
      </c>
      <c r="AN413" s="2278" t="s">
        <v>144</v>
      </c>
      <c r="AO413" s="1278"/>
      <c r="AP413" s="1059"/>
      <c r="AQ413" s="1059"/>
      <c r="AR413" s="4767"/>
      <c r="AS413" s="4755" t="s">
        <v>505</v>
      </c>
      <c r="AT413" s="4755"/>
      <c r="AU413" s="4755"/>
      <c r="AV413" s="4755"/>
      <c r="AW413" s="4755"/>
      <c r="AX413" s="4755"/>
      <c r="AY413" s="4778"/>
      <c r="AZ413" s="1059"/>
      <c r="BA413" s="1059"/>
      <c r="BB413" s="4767"/>
      <c r="BC413" s="4755" t="s">
        <v>505</v>
      </c>
      <c r="BD413" s="4755"/>
      <c r="BE413" s="4755"/>
      <c r="BF413" s="4755"/>
      <c r="BG413" s="4755"/>
      <c r="BH413" s="4755"/>
      <c r="BI413" s="4778"/>
      <c r="BJ413" s="1059"/>
      <c r="BK413" s="1059"/>
      <c r="BL413" s="4767"/>
      <c r="BM413" s="4755" t="s">
        <v>505</v>
      </c>
      <c r="BN413" s="4755"/>
      <c r="BO413" s="4755"/>
      <c r="BP413" s="4755"/>
      <c r="BQ413" s="4755"/>
      <c r="BR413" s="4755"/>
      <c r="BS413" s="4778"/>
      <c r="BT413" s="1059"/>
      <c r="BU413" s="1059"/>
      <c r="BV413" s="1059"/>
      <c r="BW413" s="764"/>
      <c r="BX413" s="822"/>
      <c r="BY413" s="822"/>
      <c r="BZ413" s="822"/>
      <c r="CA413" s="822"/>
      <c r="CB413" s="822"/>
      <c r="CC413" s="822"/>
      <c r="CD413" s="822"/>
      <c r="CE413" s="822"/>
      <c r="CF413" s="822"/>
      <c r="CG413" s="822"/>
      <c r="CH413" s="822"/>
      <c r="CI413" s="822"/>
      <c r="CJ413" s="822"/>
      <c r="CK413" s="822"/>
      <c r="CL413" s="822"/>
      <c r="CM413" s="822"/>
      <c r="CN413" s="822"/>
      <c r="CO413" s="822"/>
      <c r="CP413" s="822"/>
      <c r="CQ413" s="822"/>
      <c r="CR413" s="822"/>
      <c r="CS413" s="822"/>
      <c r="CT413" s="822"/>
      <c r="CU413" s="822"/>
      <c r="CV413" s="822"/>
      <c r="CW413" s="822"/>
      <c r="CX413" s="822"/>
      <c r="CY413" s="822"/>
      <c r="CZ413" s="822"/>
      <c r="DA413" s="822"/>
      <c r="DB413" s="822"/>
      <c r="DC413" s="822"/>
      <c r="DD413" s="822"/>
      <c r="DE413" s="822"/>
      <c r="DF413" s="822"/>
      <c r="DG413" s="822"/>
      <c r="DH413" s="822"/>
      <c r="DI413" s="822"/>
      <c r="DJ413" s="822"/>
      <c r="DK413" s="822"/>
      <c r="DL413" s="822"/>
      <c r="DM413" s="822"/>
      <c r="DN413" s="822"/>
      <c r="DO413" s="822"/>
      <c r="DP413" s="822"/>
      <c r="DQ413" s="822"/>
      <c r="DR413" s="822"/>
      <c r="DS413" s="822"/>
      <c r="DT413" s="822"/>
      <c r="DU413" s="822"/>
      <c r="DV413" s="822"/>
      <c r="DW413" s="822"/>
      <c r="DX413" s="822"/>
      <c r="DY413" s="822"/>
      <c r="DZ413" s="822"/>
      <c r="EA413" s="822"/>
      <c r="EB413" s="822"/>
      <c r="EC413" s="822"/>
      <c r="ED413" s="822"/>
      <c r="EE413" s="822"/>
      <c r="EF413" s="822"/>
      <c r="EG413" s="822"/>
      <c r="EH413" s="822"/>
      <c r="EI413" s="822"/>
      <c r="EJ413" s="822"/>
      <c r="EK413" s="822"/>
      <c r="EL413" s="822"/>
      <c r="EM413" s="822"/>
      <c r="EN413" s="822"/>
      <c r="EO413" s="822"/>
      <c r="EP413" s="822"/>
      <c r="EQ413" s="822"/>
      <c r="ER413" s="822"/>
    </row>
    <row r="414" spans="5:148" ht="17.100000000000001" customHeight="1" thickTop="1" x14ac:dyDescent="0.3">
      <c r="E414" s="762"/>
      <c r="F414" s="1059"/>
      <c r="G414" s="1059"/>
      <c r="H414" s="1059"/>
      <c r="I414" s="1059"/>
      <c r="J414" s="1059"/>
      <c r="K414" s="1059"/>
      <c r="L414" s="1059"/>
      <c r="M414" s="1059"/>
      <c r="N414" s="1059"/>
      <c r="O414" s="1059"/>
      <c r="P414" s="1059"/>
      <c r="Q414" s="1059"/>
      <c r="R414" s="1059"/>
      <c r="S414" s="1059"/>
      <c r="T414" s="1059"/>
      <c r="U414" s="1059"/>
      <c r="V414" s="1059"/>
      <c r="W414" s="1059"/>
      <c r="X414" s="1059"/>
      <c r="Y414" s="1059"/>
      <c r="Z414" s="1059"/>
      <c r="AA414" s="1059"/>
      <c r="AB414" s="1059"/>
      <c r="AC414" s="1059"/>
      <c r="AD414" s="1059"/>
      <c r="AE414" s="1059"/>
      <c r="AF414" s="1059"/>
      <c r="AG414" s="1059"/>
      <c r="AH414" s="1059"/>
      <c r="AI414" s="1059"/>
      <c r="AJ414" s="1059"/>
      <c r="AK414" s="1059"/>
      <c r="AL414" s="1059"/>
      <c r="AM414" s="2285">
        <f>AN429</f>
        <v>0</v>
      </c>
      <c r="AN414" s="2279" t="s">
        <v>939</v>
      </c>
      <c r="AO414" s="1278"/>
      <c r="AP414" s="1059"/>
      <c r="AQ414" s="1059"/>
      <c r="AR414" s="1059"/>
      <c r="AS414" s="1059"/>
      <c r="AT414" s="1059"/>
      <c r="AU414" s="1059"/>
      <c r="AV414" s="1059"/>
      <c r="AW414" s="1059"/>
      <c r="AX414" s="1059"/>
      <c r="AY414" s="1059"/>
      <c r="AZ414" s="1059"/>
      <c r="BA414" s="1059"/>
      <c r="BB414" s="1059"/>
      <c r="BC414" s="1059"/>
      <c r="BD414" s="1059"/>
      <c r="BE414" s="1059"/>
      <c r="BF414" s="1059"/>
      <c r="BG414" s="1059"/>
      <c r="BH414" s="1059"/>
      <c r="BI414" s="1059"/>
      <c r="BJ414" s="1059"/>
      <c r="BK414" s="1059"/>
      <c r="BL414" s="1059"/>
      <c r="BM414" s="1059"/>
      <c r="BN414" s="1059"/>
      <c r="BO414" s="1059"/>
      <c r="BP414" s="1059"/>
      <c r="BQ414" s="1059"/>
      <c r="BR414" s="1059"/>
      <c r="BS414" s="1059"/>
      <c r="BT414" s="1059"/>
      <c r="BU414" s="1059"/>
      <c r="BV414" s="1059"/>
      <c r="BW414" s="764"/>
      <c r="BX414" s="822"/>
      <c r="BY414" s="822"/>
      <c r="BZ414" s="822"/>
      <c r="CA414" s="822"/>
      <c r="CB414" s="822"/>
      <c r="CC414" s="822"/>
      <c r="CD414" s="822"/>
      <c r="CE414" s="822"/>
      <c r="CF414" s="822"/>
      <c r="CG414" s="822"/>
      <c r="CH414" s="822"/>
      <c r="CI414" s="822"/>
      <c r="CJ414" s="822"/>
      <c r="CK414" s="822"/>
      <c r="CL414" s="822"/>
      <c r="CM414" s="822"/>
      <c r="CN414" s="822"/>
      <c r="CO414" s="822"/>
      <c r="CP414" s="822"/>
      <c r="CQ414" s="822"/>
      <c r="CR414" s="822"/>
      <c r="CS414" s="822"/>
      <c r="CT414" s="822"/>
      <c r="CU414" s="822"/>
      <c r="CV414" s="822"/>
      <c r="CW414" s="822"/>
      <c r="CX414" s="822"/>
      <c r="CY414" s="822"/>
      <c r="CZ414" s="822"/>
      <c r="DA414" s="822"/>
      <c r="DB414" s="822"/>
      <c r="DC414" s="822"/>
      <c r="DD414" s="822"/>
      <c r="DE414" s="822"/>
      <c r="DF414" s="822"/>
      <c r="DG414" s="822"/>
      <c r="DH414" s="822"/>
      <c r="DI414" s="822"/>
      <c r="DJ414" s="822"/>
      <c r="DK414" s="822"/>
      <c r="DL414" s="822"/>
      <c r="DM414" s="822"/>
      <c r="DN414" s="822"/>
      <c r="DO414" s="822"/>
      <c r="DP414" s="822"/>
      <c r="DQ414" s="822"/>
      <c r="DR414" s="822"/>
      <c r="DS414" s="822"/>
      <c r="DT414" s="822"/>
      <c r="DU414" s="822"/>
      <c r="DV414" s="822"/>
      <c r="DW414" s="822"/>
      <c r="DX414" s="822"/>
      <c r="DY414" s="822"/>
      <c r="DZ414" s="822"/>
      <c r="EA414" s="822"/>
      <c r="EB414" s="822"/>
      <c r="EC414" s="822"/>
      <c r="ED414" s="822"/>
      <c r="EE414" s="822"/>
      <c r="EF414" s="822"/>
      <c r="EG414" s="822"/>
      <c r="EH414" s="822"/>
      <c r="EI414" s="822"/>
      <c r="EJ414" s="822"/>
      <c r="EK414" s="822"/>
      <c r="EL414" s="822"/>
      <c r="EM414" s="822"/>
      <c r="EN414" s="822"/>
      <c r="EO414" s="822"/>
      <c r="EP414" s="822"/>
      <c r="EQ414" s="822"/>
      <c r="ER414" s="822"/>
    </row>
    <row r="415" spans="5:148" ht="17.100000000000001" customHeight="1" thickBot="1" x14ac:dyDescent="0.35">
      <c r="E415" s="762"/>
      <c r="F415" s="1059"/>
      <c r="G415" s="1059"/>
      <c r="H415" s="1059"/>
      <c r="I415" s="1059"/>
      <c r="J415" s="1059"/>
      <c r="K415" s="1059"/>
      <c r="L415" s="1059"/>
      <c r="M415" s="1059"/>
      <c r="N415" s="1059"/>
      <c r="O415" s="1059"/>
      <c r="P415" s="1059"/>
      <c r="Q415" s="1059"/>
      <c r="R415" s="1059"/>
      <c r="S415" s="1059"/>
      <c r="T415" s="1059"/>
      <c r="U415" s="1059"/>
      <c r="V415" s="1059"/>
      <c r="W415" s="1059"/>
      <c r="X415" s="1059"/>
      <c r="Y415" s="1059"/>
      <c r="Z415" s="1059"/>
      <c r="AA415" s="1059"/>
      <c r="AB415" s="1059"/>
      <c r="AC415" s="1059"/>
      <c r="AD415" s="1059"/>
      <c r="AE415" s="1059"/>
      <c r="AF415" s="1059"/>
      <c r="AG415" s="1059"/>
      <c r="AH415" s="1059"/>
      <c r="AI415" s="1059"/>
      <c r="AJ415" s="1059"/>
      <c r="AK415" s="1059"/>
      <c r="AL415" s="1059"/>
      <c r="AM415" s="2285">
        <f>AN429</f>
        <v>0</v>
      </c>
      <c r="AN415" s="2280" t="s">
        <v>942</v>
      </c>
      <c r="AO415" s="1278"/>
      <c r="AP415" s="1059"/>
      <c r="AQ415" s="1059"/>
      <c r="AR415" s="1059"/>
      <c r="AS415" s="1059"/>
      <c r="AT415" s="1059"/>
      <c r="AU415" s="1059"/>
      <c r="AV415" s="1059"/>
      <c r="AW415" s="1059"/>
      <c r="AX415" s="1059"/>
      <c r="AY415" s="1059"/>
      <c r="AZ415" s="1059"/>
      <c r="BA415" s="1059"/>
      <c r="BB415" s="1059"/>
      <c r="BC415" s="1059"/>
      <c r="BD415" s="1059"/>
      <c r="BE415" s="1059"/>
      <c r="BF415" s="1059"/>
      <c r="BG415" s="1059"/>
      <c r="BH415" s="1059"/>
      <c r="BI415" s="1059"/>
      <c r="BJ415" s="1059"/>
      <c r="BK415" s="1059"/>
      <c r="BL415" s="1059"/>
      <c r="BM415" s="1059"/>
      <c r="BN415" s="1059"/>
      <c r="BO415" s="1059"/>
      <c r="BP415" s="1059"/>
      <c r="BQ415" s="1059"/>
      <c r="BR415" s="1059"/>
      <c r="BS415" s="1059"/>
      <c r="BT415" s="1059"/>
      <c r="BU415" s="1059"/>
      <c r="BV415" s="1059"/>
      <c r="BW415" s="764"/>
      <c r="BX415" s="822"/>
      <c r="BY415" s="822"/>
      <c r="BZ415" s="822"/>
      <c r="CA415" s="822"/>
      <c r="CB415" s="822"/>
      <c r="CC415" s="822"/>
      <c r="CD415" s="822"/>
      <c r="CE415" s="822"/>
      <c r="CF415" s="822"/>
      <c r="CG415" s="822"/>
      <c r="CH415" s="822"/>
      <c r="CI415" s="822"/>
      <c r="CJ415" s="822"/>
      <c r="CK415" s="822"/>
      <c r="CL415" s="822"/>
      <c r="CM415" s="822"/>
      <c r="CN415" s="822"/>
      <c r="CO415" s="822"/>
      <c r="CP415" s="822"/>
      <c r="CQ415" s="822"/>
      <c r="CR415" s="822"/>
      <c r="CS415" s="822"/>
      <c r="CT415" s="822"/>
      <c r="CU415" s="822"/>
      <c r="CV415" s="822"/>
      <c r="CW415" s="822"/>
      <c r="CX415" s="822"/>
      <c r="CY415" s="822"/>
      <c r="CZ415" s="822"/>
      <c r="DA415" s="822"/>
      <c r="DB415" s="822"/>
      <c r="DC415" s="822"/>
      <c r="DD415" s="822"/>
      <c r="DE415" s="822"/>
      <c r="DF415" s="822"/>
      <c r="DG415" s="822"/>
      <c r="DH415" s="822"/>
      <c r="DI415" s="822"/>
      <c r="DJ415" s="822"/>
      <c r="DK415" s="822"/>
      <c r="DL415" s="822"/>
      <c r="DM415" s="822"/>
      <c r="DN415" s="822"/>
      <c r="DO415" s="822"/>
      <c r="DP415" s="822"/>
      <c r="DQ415" s="822"/>
      <c r="DR415" s="822"/>
      <c r="DS415" s="822"/>
      <c r="DT415" s="822"/>
      <c r="DU415" s="822"/>
      <c r="DV415" s="822"/>
      <c r="DW415" s="822"/>
      <c r="DX415" s="822"/>
      <c r="DY415" s="822"/>
      <c r="DZ415" s="822"/>
      <c r="EA415" s="822"/>
      <c r="EB415" s="822"/>
      <c r="EC415" s="822"/>
      <c r="ED415" s="822"/>
      <c r="EE415" s="822"/>
      <c r="EF415" s="822"/>
      <c r="EG415" s="822"/>
      <c r="EH415" s="822"/>
      <c r="EI415" s="822"/>
      <c r="EJ415" s="822"/>
      <c r="EK415" s="822"/>
      <c r="EL415" s="822"/>
      <c r="EM415" s="822"/>
      <c r="EN415" s="822"/>
      <c r="EO415" s="822"/>
      <c r="EP415" s="822"/>
      <c r="EQ415" s="822"/>
      <c r="ER415" s="822"/>
    </row>
    <row r="416" spans="5:148" ht="17.100000000000001" customHeight="1" thickTop="1" x14ac:dyDescent="0.3">
      <c r="E416" s="762"/>
      <c r="F416" s="1059"/>
      <c r="G416" s="1059"/>
      <c r="H416" s="1059"/>
      <c r="I416" s="4756" t="s">
        <v>72</v>
      </c>
      <c r="J416" s="4757"/>
      <c r="K416" s="4757"/>
      <c r="L416" s="4787" t="s">
        <v>941</v>
      </c>
      <c r="M416" s="4787"/>
      <c r="N416" s="4757" t="s">
        <v>72</v>
      </c>
      <c r="O416" s="4757"/>
      <c r="P416" s="4762"/>
      <c r="Q416" s="1059"/>
      <c r="R416" s="1059"/>
      <c r="S416" s="4756" t="s">
        <v>72</v>
      </c>
      <c r="T416" s="4757"/>
      <c r="U416" s="4757"/>
      <c r="V416" s="4783" t="s">
        <v>941</v>
      </c>
      <c r="W416" s="4783"/>
      <c r="X416" s="4757" t="s">
        <v>72</v>
      </c>
      <c r="Y416" s="4757"/>
      <c r="Z416" s="4762"/>
      <c r="AA416" s="1059"/>
      <c r="AB416" s="1059"/>
      <c r="AC416" s="4756" t="s">
        <v>72</v>
      </c>
      <c r="AD416" s="4757"/>
      <c r="AE416" s="4757"/>
      <c r="AF416" s="4785" t="s">
        <v>941</v>
      </c>
      <c r="AG416" s="4785"/>
      <c r="AH416" s="4757" t="s">
        <v>72</v>
      </c>
      <c r="AI416" s="4757"/>
      <c r="AJ416" s="4762"/>
      <c r="AK416" s="1059"/>
      <c r="AL416" s="1059"/>
      <c r="AM416" s="2285">
        <f>AN429</f>
        <v>0</v>
      </c>
      <c r="AN416" s="2281" t="s">
        <v>940</v>
      </c>
      <c r="AO416" s="1278"/>
      <c r="AP416" s="1059"/>
      <c r="AQ416" s="1059"/>
      <c r="AR416" s="4756" t="s">
        <v>72</v>
      </c>
      <c r="AS416" s="4757"/>
      <c r="AT416" s="4757"/>
      <c r="AU416" s="4785" t="s">
        <v>942</v>
      </c>
      <c r="AV416" s="4785"/>
      <c r="AW416" s="4757" t="s">
        <v>72</v>
      </c>
      <c r="AX416" s="4757"/>
      <c r="AY416" s="4762"/>
      <c r="AZ416" s="1059"/>
      <c r="BA416" s="1059"/>
      <c r="BB416" s="4756" t="s">
        <v>72</v>
      </c>
      <c r="BC416" s="4757"/>
      <c r="BD416" s="4757"/>
      <c r="BE416" s="4783" t="s">
        <v>942</v>
      </c>
      <c r="BF416" s="4783"/>
      <c r="BG416" s="4757" t="s">
        <v>72</v>
      </c>
      <c r="BH416" s="4757"/>
      <c r="BI416" s="4762"/>
      <c r="BJ416" s="1059"/>
      <c r="BK416" s="1059"/>
      <c r="BL416" s="4756" t="s">
        <v>72</v>
      </c>
      <c r="BM416" s="4757"/>
      <c r="BN416" s="4757"/>
      <c r="BO416" s="4787" t="s">
        <v>942</v>
      </c>
      <c r="BP416" s="4787"/>
      <c r="BQ416" s="4757" t="s">
        <v>72</v>
      </c>
      <c r="BR416" s="4757"/>
      <c r="BS416" s="4762"/>
      <c r="BT416" s="1059"/>
      <c r="BU416" s="1059"/>
      <c r="BV416" s="1059"/>
      <c r="BW416" s="764"/>
      <c r="BX416" s="822"/>
      <c r="BY416" s="822"/>
      <c r="BZ416" s="822"/>
      <c r="CA416" s="822"/>
      <c r="CB416" s="822"/>
      <c r="CC416" s="822"/>
      <c r="CD416" s="822"/>
      <c r="CE416" s="822"/>
      <c r="CF416" s="822"/>
      <c r="CG416" s="822"/>
      <c r="CH416" s="822"/>
      <c r="CI416" s="822"/>
      <c r="CJ416" s="822"/>
      <c r="CK416" s="822"/>
      <c r="CL416" s="822"/>
      <c r="CM416" s="822"/>
      <c r="CN416" s="822"/>
      <c r="CO416" s="822"/>
      <c r="CP416" s="822"/>
      <c r="CQ416" s="822"/>
      <c r="CR416" s="822"/>
      <c r="CS416" s="822"/>
      <c r="CT416" s="822"/>
      <c r="CU416" s="822"/>
      <c r="CV416" s="822"/>
      <c r="CW416" s="822"/>
      <c r="CX416" s="822"/>
      <c r="CY416" s="822"/>
      <c r="CZ416" s="822"/>
      <c r="DA416" s="822"/>
      <c r="DB416" s="822"/>
      <c r="DC416" s="822"/>
      <c r="DD416" s="822"/>
      <c r="DE416" s="822"/>
      <c r="DF416" s="822"/>
      <c r="DG416" s="822"/>
      <c r="DH416" s="822"/>
      <c r="DI416" s="822"/>
      <c r="DJ416" s="822"/>
      <c r="DK416" s="822"/>
      <c r="DL416" s="822"/>
      <c r="DM416" s="822"/>
      <c r="DN416" s="822"/>
      <c r="DO416" s="822"/>
      <c r="DP416" s="822"/>
      <c r="DQ416" s="822"/>
      <c r="DR416" s="822"/>
      <c r="DS416" s="822"/>
      <c r="DT416" s="822"/>
      <c r="DU416" s="822"/>
      <c r="DV416" s="822"/>
      <c r="DW416" s="822"/>
      <c r="DX416" s="822"/>
      <c r="DY416" s="822"/>
      <c r="DZ416" s="822"/>
      <c r="EA416" s="822"/>
      <c r="EB416" s="822"/>
      <c r="EC416" s="822"/>
      <c r="ED416" s="822"/>
      <c r="EE416" s="822"/>
      <c r="EF416" s="822"/>
      <c r="EG416" s="822"/>
      <c r="EH416" s="822"/>
      <c r="EI416" s="822"/>
      <c r="EJ416" s="822"/>
      <c r="EK416" s="822"/>
      <c r="EL416" s="822"/>
      <c r="EM416" s="822"/>
      <c r="EN416" s="822"/>
      <c r="EO416" s="822"/>
      <c r="EP416" s="822"/>
      <c r="EQ416" s="822"/>
      <c r="ER416" s="822"/>
    </row>
    <row r="417" spans="2:148" ht="17.100000000000001" customHeight="1" x14ac:dyDescent="0.3">
      <c r="E417" s="762"/>
      <c r="F417" s="1059"/>
      <c r="G417" s="1059"/>
      <c r="H417" s="1059"/>
      <c r="I417" s="4758"/>
      <c r="J417" s="4759"/>
      <c r="K417" s="4759"/>
      <c r="L417" s="4788"/>
      <c r="M417" s="4788"/>
      <c r="N417" s="4759"/>
      <c r="O417" s="4759"/>
      <c r="P417" s="4763"/>
      <c r="Q417" s="1059"/>
      <c r="R417" s="1059"/>
      <c r="S417" s="4758"/>
      <c r="T417" s="4759"/>
      <c r="U417" s="4759"/>
      <c r="V417" s="4784"/>
      <c r="W417" s="4784"/>
      <c r="X417" s="4759"/>
      <c r="Y417" s="4759"/>
      <c r="Z417" s="4763"/>
      <c r="AA417" s="1059"/>
      <c r="AB417" s="1059"/>
      <c r="AC417" s="4758"/>
      <c r="AD417" s="4759"/>
      <c r="AE417" s="4759"/>
      <c r="AF417" s="4786"/>
      <c r="AG417" s="4786"/>
      <c r="AH417" s="4759"/>
      <c r="AI417" s="4759"/>
      <c r="AJ417" s="4763"/>
      <c r="AK417" s="1059"/>
      <c r="AL417" s="1059"/>
      <c r="AM417" s="2285">
        <f>AN429</f>
        <v>0</v>
      </c>
      <c r="AN417" s="2282" t="s">
        <v>710</v>
      </c>
      <c r="AO417" s="1278"/>
      <c r="AP417" s="1059"/>
      <c r="AQ417" s="1059"/>
      <c r="AR417" s="4758"/>
      <c r="AS417" s="4759"/>
      <c r="AT417" s="4759"/>
      <c r="AU417" s="4786"/>
      <c r="AV417" s="4786"/>
      <c r="AW417" s="4759"/>
      <c r="AX417" s="4759"/>
      <c r="AY417" s="4763"/>
      <c r="AZ417" s="1059"/>
      <c r="BA417" s="1059"/>
      <c r="BB417" s="4758"/>
      <c r="BC417" s="4759"/>
      <c r="BD417" s="4759"/>
      <c r="BE417" s="4784"/>
      <c r="BF417" s="4784"/>
      <c r="BG417" s="4759"/>
      <c r="BH417" s="4759"/>
      <c r="BI417" s="4763"/>
      <c r="BJ417" s="1059"/>
      <c r="BK417" s="1059"/>
      <c r="BL417" s="4758"/>
      <c r="BM417" s="4759"/>
      <c r="BN417" s="4759"/>
      <c r="BO417" s="4788"/>
      <c r="BP417" s="4788"/>
      <c r="BQ417" s="4759"/>
      <c r="BR417" s="4759"/>
      <c r="BS417" s="4763"/>
      <c r="BT417" s="1059"/>
      <c r="BU417" s="1059"/>
      <c r="BV417" s="1059"/>
      <c r="BW417" s="764"/>
      <c r="CJ417" s="822"/>
      <c r="CK417" s="822"/>
      <c r="CL417" s="822"/>
      <c r="CM417" s="822"/>
      <c r="CN417" s="822"/>
      <c r="CO417" s="822"/>
      <c r="CP417" s="822"/>
      <c r="CQ417" s="822"/>
      <c r="CR417" s="822"/>
      <c r="CS417" s="822"/>
      <c r="CT417" s="822"/>
      <c r="CU417" s="822"/>
      <c r="CV417" s="822"/>
      <c r="CW417" s="822"/>
      <c r="CX417" s="822"/>
      <c r="CY417" s="822"/>
      <c r="CZ417" s="822"/>
      <c r="DA417" s="822"/>
      <c r="DB417" s="822"/>
      <c r="DC417" s="822"/>
      <c r="DD417" s="822"/>
      <c r="DE417" s="822"/>
      <c r="DF417" s="822"/>
      <c r="DG417" s="822"/>
      <c r="DH417" s="822"/>
      <c r="DI417" s="822"/>
      <c r="DJ417" s="822"/>
      <c r="DK417" s="822"/>
      <c r="DL417" s="822"/>
      <c r="DM417" s="822"/>
      <c r="DN417" s="822"/>
      <c r="DO417" s="822"/>
      <c r="DP417" s="822"/>
      <c r="DQ417" s="822"/>
      <c r="DR417" s="822"/>
      <c r="DS417" s="822"/>
      <c r="DT417" s="822"/>
      <c r="DU417" s="822"/>
      <c r="DV417" s="822"/>
      <c r="DW417" s="822"/>
      <c r="DX417" s="822"/>
      <c r="DY417" s="822"/>
      <c r="DZ417" s="822"/>
      <c r="EA417" s="822"/>
      <c r="EB417" s="822"/>
      <c r="EC417" s="822"/>
      <c r="ED417" s="822"/>
      <c r="EE417" s="822"/>
      <c r="EF417" s="822"/>
      <c r="EG417" s="822"/>
      <c r="EH417" s="822"/>
      <c r="EI417" s="822"/>
      <c r="EJ417" s="822"/>
      <c r="EK417" s="822"/>
      <c r="EL417" s="822"/>
      <c r="EM417" s="822"/>
      <c r="EN417" s="822"/>
      <c r="EO417" s="822"/>
      <c r="EP417" s="822"/>
      <c r="EQ417" s="822"/>
      <c r="ER417" s="822"/>
    </row>
    <row r="418" spans="2:148" ht="17.100000000000001" customHeight="1" x14ac:dyDescent="0.3">
      <c r="B418" s="1271"/>
      <c r="D418" s="1271"/>
      <c r="E418" s="762"/>
      <c r="F418" s="1059"/>
      <c r="G418" s="1059"/>
      <c r="H418" s="1059"/>
      <c r="I418" s="4766"/>
      <c r="J418" s="4768"/>
      <c r="K418" s="4769"/>
      <c r="L418" s="4769"/>
      <c r="M418" s="4769"/>
      <c r="N418" s="4769"/>
      <c r="O418" s="4770"/>
      <c r="P418" s="4777"/>
      <c r="Q418" s="1059"/>
      <c r="R418" s="1059"/>
      <c r="S418" s="4766"/>
      <c r="T418" s="4768"/>
      <c r="U418" s="4769"/>
      <c r="V418" s="4769"/>
      <c r="W418" s="4769"/>
      <c r="X418" s="4769"/>
      <c r="Y418" s="4770"/>
      <c r="Z418" s="4777"/>
      <c r="AA418" s="1059"/>
      <c r="AB418" s="1059"/>
      <c r="AC418" s="4766"/>
      <c r="AD418" s="4768"/>
      <c r="AE418" s="4769"/>
      <c r="AF418" s="4769"/>
      <c r="AG418" s="4769"/>
      <c r="AH418" s="4769"/>
      <c r="AI418" s="4770"/>
      <c r="AJ418" s="4777"/>
      <c r="AK418" s="1059"/>
      <c r="AL418" s="1059"/>
      <c r="AM418" s="2285">
        <f>AN429</f>
        <v>0</v>
      </c>
      <c r="AN418" s="2283" t="s">
        <v>941</v>
      </c>
      <c r="AO418" s="1278"/>
      <c r="AP418" s="1059"/>
      <c r="AQ418" s="1059"/>
      <c r="AR418" s="4766"/>
      <c r="AS418" s="4768"/>
      <c r="AT418" s="4769"/>
      <c r="AU418" s="4769"/>
      <c r="AV418" s="4769"/>
      <c r="AW418" s="4769"/>
      <c r="AX418" s="4770"/>
      <c r="AY418" s="4777"/>
      <c r="AZ418" s="1059"/>
      <c r="BA418" s="1059"/>
      <c r="BB418" s="4766"/>
      <c r="BC418" s="4768"/>
      <c r="BD418" s="4769"/>
      <c r="BE418" s="4769"/>
      <c r="BF418" s="4769"/>
      <c r="BG418" s="4769"/>
      <c r="BH418" s="4770"/>
      <c r="BI418" s="4777"/>
      <c r="BJ418" s="1059"/>
      <c r="BK418" s="1059"/>
      <c r="BL418" s="4766"/>
      <c r="BM418" s="4768"/>
      <c r="BN418" s="4769"/>
      <c r="BO418" s="4769"/>
      <c r="BP418" s="4769"/>
      <c r="BQ418" s="4769"/>
      <c r="BR418" s="4770"/>
      <c r="BS418" s="4777"/>
      <c r="BT418" s="1059"/>
      <c r="BU418" s="1059"/>
      <c r="BV418" s="1059"/>
      <c r="BW418" s="764"/>
      <c r="BX418" s="822"/>
      <c r="BY418" s="822"/>
      <c r="BZ418" s="822"/>
      <c r="CA418" s="822"/>
      <c r="CB418" s="822"/>
      <c r="CC418" s="822"/>
      <c r="CD418" s="822"/>
      <c r="CE418" s="822"/>
      <c r="CF418" s="822"/>
      <c r="CG418" s="822"/>
      <c r="CH418" s="822"/>
      <c r="CI418" s="822"/>
      <c r="CJ418" s="4826" t="str">
        <f>IF(J418=0,"",J418)</f>
        <v/>
      </c>
      <c r="CK418" s="4827"/>
      <c r="CL418" s="4827"/>
      <c r="CM418" s="4827"/>
      <c r="CN418" s="4827"/>
      <c r="CO418" s="4828"/>
      <c r="CP418" s="822"/>
      <c r="CQ418" s="822"/>
      <c r="CR418" s="822"/>
      <c r="CS418" s="822"/>
      <c r="CT418" s="4826" t="str">
        <f>IF(T418=0,"",T418)</f>
        <v/>
      </c>
      <c r="CU418" s="4827"/>
      <c r="CV418" s="4827"/>
      <c r="CW418" s="4827"/>
      <c r="CX418" s="4827"/>
      <c r="CY418" s="4828"/>
      <c r="CZ418" s="822"/>
      <c r="DA418" s="822"/>
      <c r="DB418" s="822"/>
      <c r="DC418" s="822"/>
      <c r="DD418" s="4826" t="str">
        <f>IF(AD418=0,"",AD418)</f>
        <v/>
      </c>
      <c r="DE418" s="4827"/>
      <c r="DF418" s="4827"/>
      <c r="DG418" s="4827"/>
      <c r="DH418" s="4827"/>
      <c r="DI418" s="4828"/>
      <c r="DJ418" s="822"/>
      <c r="DK418" s="822"/>
      <c r="DL418" s="822"/>
      <c r="DM418" s="822"/>
      <c r="DN418" s="822"/>
      <c r="DO418" s="822"/>
      <c r="DP418" s="822"/>
      <c r="DQ418" s="822"/>
      <c r="DR418" s="822"/>
      <c r="DS418" s="4826" t="str">
        <f>IF(AS418=0,"",AS418)</f>
        <v/>
      </c>
      <c r="DT418" s="4827"/>
      <c r="DU418" s="4827"/>
      <c r="DV418" s="4827"/>
      <c r="DW418" s="4827"/>
      <c r="DX418" s="4828"/>
      <c r="DY418" s="822"/>
      <c r="DZ418" s="822"/>
      <c r="EA418" s="822"/>
      <c r="EB418" s="822"/>
      <c r="EC418" s="4826" t="str">
        <f>IF(BC418=0,"",BC418)</f>
        <v/>
      </c>
      <c r="ED418" s="4827"/>
      <c r="EE418" s="4827"/>
      <c r="EF418" s="4827"/>
      <c r="EG418" s="4827"/>
      <c r="EH418" s="4828"/>
      <c r="EI418" s="822"/>
      <c r="EJ418" s="822"/>
      <c r="EK418" s="822"/>
      <c r="EL418" s="822"/>
      <c r="EM418" s="4826" t="str">
        <f>IF(BM418=0,"",BM418)</f>
        <v/>
      </c>
      <c r="EN418" s="4827"/>
      <c r="EO418" s="4827"/>
      <c r="EP418" s="4827"/>
      <c r="EQ418" s="4827"/>
      <c r="ER418" s="4828"/>
    </row>
    <row r="419" spans="2:148" ht="17.100000000000001" customHeight="1" x14ac:dyDescent="0.3">
      <c r="B419" s="1271"/>
      <c r="D419" s="1271"/>
      <c r="E419" s="762"/>
      <c r="F419" s="1059"/>
      <c r="G419" s="1059"/>
      <c r="H419" s="1059"/>
      <c r="I419" s="4766"/>
      <c r="J419" s="4771"/>
      <c r="K419" s="4772"/>
      <c r="L419" s="4772"/>
      <c r="M419" s="4772"/>
      <c r="N419" s="4772"/>
      <c r="O419" s="4773"/>
      <c r="P419" s="4777"/>
      <c r="Q419" s="1059"/>
      <c r="R419" s="1059"/>
      <c r="S419" s="4766"/>
      <c r="T419" s="4771"/>
      <c r="U419" s="4772"/>
      <c r="V419" s="4772"/>
      <c r="W419" s="4772"/>
      <c r="X419" s="4772"/>
      <c r="Y419" s="4773"/>
      <c r="Z419" s="4777"/>
      <c r="AA419" s="1059"/>
      <c r="AB419" s="1059"/>
      <c r="AC419" s="4766"/>
      <c r="AD419" s="4771"/>
      <c r="AE419" s="4772"/>
      <c r="AF419" s="4772"/>
      <c r="AG419" s="4772"/>
      <c r="AH419" s="4772"/>
      <c r="AI419" s="4773"/>
      <c r="AJ419" s="4777"/>
      <c r="AK419" s="1059"/>
      <c r="AL419" s="1059"/>
      <c r="AM419" s="2285">
        <f>AN429</f>
        <v>0</v>
      </c>
      <c r="AN419" s="2284" t="s">
        <v>144</v>
      </c>
      <c r="AO419" s="1278"/>
      <c r="AP419" s="1059"/>
      <c r="AQ419" s="1059"/>
      <c r="AR419" s="4766"/>
      <c r="AS419" s="4771"/>
      <c r="AT419" s="4772"/>
      <c r="AU419" s="4772"/>
      <c r="AV419" s="4772"/>
      <c r="AW419" s="4772"/>
      <c r="AX419" s="4773"/>
      <c r="AY419" s="4777"/>
      <c r="AZ419" s="1059"/>
      <c r="BA419" s="1059"/>
      <c r="BB419" s="4766"/>
      <c r="BC419" s="4771"/>
      <c r="BD419" s="4772"/>
      <c r="BE419" s="4772"/>
      <c r="BF419" s="4772"/>
      <c r="BG419" s="4772"/>
      <c r="BH419" s="4773"/>
      <c r="BI419" s="4777"/>
      <c r="BJ419" s="1059"/>
      <c r="BK419" s="1059"/>
      <c r="BL419" s="4766"/>
      <c r="BM419" s="4771"/>
      <c r="BN419" s="4772"/>
      <c r="BO419" s="4772"/>
      <c r="BP419" s="4772"/>
      <c r="BQ419" s="4772"/>
      <c r="BR419" s="4773"/>
      <c r="BS419" s="4777"/>
      <c r="BT419" s="1059"/>
      <c r="BU419" s="1059"/>
      <c r="BV419" s="1059"/>
      <c r="BW419" s="764"/>
      <c r="BX419" s="822"/>
      <c r="BY419" s="822"/>
      <c r="BZ419" s="822"/>
      <c r="CA419" s="822"/>
      <c r="CB419" s="822"/>
      <c r="CC419" s="822"/>
      <c r="CD419" s="822"/>
      <c r="CE419" s="822"/>
      <c r="CF419" s="822"/>
      <c r="CG419" s="822"/>
      <c r="CH419" s="822"/>
      <c r="CI419" s="822"/>
      <c r="CJ419" s="4829"/>
      <c r="CK419" s="4830"/>
      <c r="CL419" s="4830"/>
      <c r="CM419" s="4830"/>
      <c r="CN419" s="4830"/>
      <c r="CO419" s="4831"/>
      <c r="CP419" s="822"/>
      <c r="CQ419" s="822"/>
      <c r="CR419" s="822"/>
      <c r="CS419" s="822"/>
      <c r="CT419" s="4829"/>
      <c r="CU419" s="4830"/>
      <c r="CV419" s="4830"/>
      <c r="CW419" s="4830"/>
      <c r="CX419" s="4830"/>
      <c r="CY419" s="4831"/>
      <c r="CZ419" s="822"/>
      <c r="DA419" s="822"/>
      <c r="DB419" s="822"/>
      <c r="DC419" s="822"/>
      <c r="DD419" s="4829"/>
      <c r="DE419" s="4830"/>
      <c r="DF419" s="4830"/>
      <c r="DG419" s="4830"/>
      <c r="DH419" s="4830"/>
      <c r="DI419" s="4831"/>
      <c r="DJ419" s="822"/>
      <c r="DK419" s="822"/>
      <c r="DL419" s="822"/>
      <c r="DM419" s="822"/>
      <c r="DN419" s="822"/>
      <c r="DO419" s="822"/>
      <c r="DP419" s="822"/>
      <c r="DQ419" s="822"/>
      <c r="DR419" s="822"/>
      <c r="DS419" s="4829"/>
      <c r="DT419" s="4830"/>
      <c r="DU419" s="4830"/>
      <c r="DV419" s="4830"/>
      <c r="DW419" s="4830"/>
      <c r="DX419" s="4831"/>
      <c r="DY419" s="822"/>
      <c r="DZ419" s="822"/>
      <c r="EA419" s="822"/>
      <c r="EB419" s="822"/>
      <c r="EC419" s="4829"/>
      <c r="ED419" s="4830"/>
      <c r="EE419" s="4830"/>
      <c r="EF419" s="4830"/>
      <c r="EG419" s="4830"/>
      <c r="EH419" s="4831"/>
      <c r="EI419" s="822"/>
      <c r="EJ419" s="822"/>
      <c r="EK419" s="822"/>
      <c r="EL419" s="822"/>
      <c r="EM419" s="4829"/>
      <c r="EN419" s="4830"/>
      <c r="EO419" s="4830"/>
      <c r="EP419" s="4830"/>
      <c r="EQ419" s="4830"/>
      <c r="ER419" s="4831"/>
    </row>
    <row r="420" spans="2:148" ht="17.100000000000001" customHeight="1" x14ac:dyDescent="0.3">
      <c r="B420" s="1271"/>
      <c r="C420" s="1436"/>
      <c r="D420" s="1271"/>
      <c r="E420" s="762"/>
      <c r="F420" s="1059"/>
      <c r="G420" s="1059"/>
      <c r="H420" s="1059"/>
      <c r="I420" s="4766"/>
      <c r="J420" s="4774"/>
      <c r="K420" s="4775"/>
      <c r="L420" s="4775"/>
      <c r="M420" s="4775"/>
      <c r="N420" s="4775"/>
      <c r="O420" s="4776"/>
      <c r="P420" s="4777"/>
      <c r="Q420" s="1059"/>
      <c r="R420" s="1059"/>
      <c r="S420" s="4766"/>
      <c r="T420" s="4774"/>
      <c r="U420" s="4775"/>
      <c r="V420" s="4775"/>
      <c r="W420" s="4775"/>
      <c r="X420" s="4775"/>
      <c r="Y420" s="4776"/>
      <c r="Z420" s="4777"/>
      <c r="AA420" s="1059"/>
      <c r="AB420" s="1059"/>
      <c r="AC420" s="4766"/>
      <c r="AD420" s="4774"/>
      <c r="AE420" s="4775"/>
      <c r="AF420" s="4775"/>
      <c r="AG420" s="4775"/>
      <c r="AH420" s="4775"/>
      <c r="AI420" s="4776"/>
      <c r="AJ420" s="4777"/>
      <c r="AK420" s="1059"/>
      <c r="AL420" s="1059"/>
      <c r="AM420" s="2285">
        <f>AN429</f>
        <v>0</v>
      </c>
      <c r="AN420" s="2276" t="s">
        <v>939</v>
      </c>
      <c r="AO420" s="1278"/>
      <c r="AP420" s="1059"/>
      <c r="AQ420" s="1059"/>
      <c r="AR420" s="4766"/>
      <c r="AS420" s="4774"/>
      <c r="AT420" s="4775"/>
      <c r="AU420" s="4775"/>
      <c r="AV420" s="4775"/>
      <c r="AW420" s="4775"/>
      <c r="AX420" s="4776"/>
      <c r="AY420" s="4777"/>
      <c r="AZ420" s="1059"/>
      <c r="BA420" s="1059"/>
      <c r="BB420" s="4766"/>
      <c r="BC420" s="4774"/>
      <c r="BD420" s="4775"/>
      <c r="BE420" s="4775"/>
      <c r="BF420" s="4775"/>
      <c r="BG420" s="4775"/>
      <c r="BH420" s="4776"/>
      <c r="BI420" s="4777"/>
      <c r="BJ420" s="1059"/>
      <c r="BK420" s="1059"/>
      <c r="BL420" s="4766"/>
      <c r="BM420" s="4774"/>
      <c r="BN420" s="4775"/>
      <c r="BO420" s="4775"/>
      <c r="BP420" s="4775"/>
      <c r="BQ420" s="4775"/>
      <c r="BR420" s="4776"/>
      <c r="BS420" s="4777"/>
      <c r="BT420" s="1059"/>
      <c r="BU420" s="1059"/>
      <c r="BV420" s="1059"/>
      <c r="BW420" s="764"/>
      <c r="BX420" s="822"/>
      <c r="BY420" s="822"/>
      <c r="BZ420" s="822"/>
      <c r="CA420" s="822"/>
      <c r="CB420" s="822"/>
      <c r="CC420" s="822"/>
      <c r="CD420" s="822"/>
      <c r="CE420" s="822"/>
      <c r="CF420" s="822"/>
      <c r="CG420" s="822"/>
      <c r="CH420" s="822"/>
      <c r="CI420" s="822"/>
      <c r="CJ420" s="4832"/>
      <c r="CK420" s="4833"/>
      <c r="CL420" s="4833"/>
      <c r="CM420" s="4833"/>
      <c r="CN420" s="4833"/>
      <c r="CO420" s="4834"/>
      <c r="CP420" s="822"/>
      <c r="CQ420" s="822"/>
      <c r="CR420" s="822"/>
      <c r="CS420" s="822"/>
      <c r="CT420" s="4832"/>
      <c r="CU420" s="4833"/>
      <c r="CV420" s="4833"/>
      <c r="CW420" s="4833"/>
      <c r="CX420" s="4833"/>
      <c r="CY420" s="4834"/>
      <c r="CZ420" s="822"/>
      <c r="DA420" s="822"/>
      <c r="DB420" s="822"/>
      <c r="DC420" s="822"/>
      <c r="DD420" s="4832"/>
      <c r="DE420" s="4833"/>
      <c r="DF420" s="4833"/>
      <c r="DG420" s="4833"/>
      <c r="DH420" s="4833"/>
      <c r="DI420" s="4834"/>
      <c r="DJ420" s="822"/>
      <c r="DK420" s="822"/>
      <c r="DL420" s="822"/>
      <c r="DM420" s="822"/>
      <c r="DN420" s="822"/>
      <c r="DO420" s="822"/>
      <c r="DP420" s="822"/>
      <c r="DQ420" s="822"/>
      <c r="DR420" s="822"/>
      <c r="DS420" s="4832"/>
      <c r="DT420" s="4833"/>
      <c r="DU420" s="4833"/>
      <c r="DV420" s="4833"/>
      <c r="DW420" s="4833"/>
      <c r="DX420" s="4834"/>
      <c r="DY420" s="822"/>
      <c r="DZ420" s="822"/>
      <c r="EA420" s="822"/>
      <c r="EB420" s="822"/>
      <c r="EC420" s="4832"/>
      <c r="ED420" s="4833"/>
      <c r="EE420" s="4833"/>
      <c r="EF420" s="4833"/>
      <c r="EG420" s="4833"/>
      <c r="EH420" s="4834"/>
      <c r="EI420" s="822"/>
      <c r="EJ420" s="822"/>
      <c r="EK420" s="822"/>
      <c r="EL420" s="822"/>
      <c r="EM420" s="4832"/>
      <c r="EN420" s="4833"/>
      <c r="EO420" s="4833"/>
      <c r="EP420" s="4833"/>
      <c r="EQ420" s="4833"/>
      <c r="ER420" s="4834"/>
    </row>
    <row r="421" spans="2:148" ht="17.100000000000001" customHeight="1" thickBot="1" x14ac:dyDescent="0.35">
      <c r="B421" s="1271"/>
      <c r="D421" s="1271"/>
      <c r="E421" s="762"/>
      <c r="F421" s="1059"/>
      <c r="G421" s="1059"/>
      <c r="H421" s="1059"/>
      <c r="I421" s="4767"/>
      <c r="J421" s="4755" t="s">
        <v>505</v>
      </c>
      <c r="K421" s="4755"/>
      <c r="L421" s="4755"/>
      <c r="M421" s="4755"/>
      <c r="N421" s="4755"/>
      <c r="O421" s="4755"/>
      <c r="P421" s="4778"/>
      <c r="Q421" s="1059"/>
      <c r="R421" s="1059"/>
      <c r="S421" s="4767"/>
      <c r="T421" s="4755" t="s">
        <v>505</v>
      </c>
      <c r="U421" s="4755"/>
      <c r="V421" s="4755"/>
      <c r="W421" s="4755"/>
      <c r="X421" s="4755"/>
      <c r="Y421" s="4755"/>
      <c r="Z421" s="4778"/>
      <c r="AA421" s="1059"/>
      <c r="AB421" s="1059"/>
      <c r="AC421" s="4767"/>
      <c r="AD421" s="4755" t="s">
        <v>505</v>
      </c>
      <c r="AE421" s="4755"/>
      <c r="AF421" s="4755"/>
      <c r="AG421" s="4755"/>
      <c r="AH421" s="4755"/>
      <c r="AI421" s="4755"/>
      <c r="AJ421" s="4778"/>
      <c r="AK421" s="1059"/>
      <c r="AL421" s="1059"/>
      <c r="AM421" s="2285">
        <f>AN429</f>
        <v>0</v>
      </c>
      <c r="AN421" s="2277" t="s">
        <v>942</v>
      </c>
      <c r="AO421" s="1278"/>
      <c r="AP421" s="1059"/>
      <c r="AQ421" s="1059"/>
      <c r="AR421" s="4767"/>
      <c r="AS421" s="4755" t="s">
        <v>505</v>
      </c>
      <c r="AT421" s="4755"/>
      <c r="AU421" s="4755"/>
      <c r="AV421" s="4755"/>
      <c r="AW421" s="4755"/>
      <c r="AX421" s="4755"/>
      <c r="AY421" s="4778"/>
      <c r="AZ421" s="1059"/>
      <c r="BA421" s="1059"/>
      <c r="BB421" s="4767"/>
      <c r="BC421" s="4755" t="s">
        <v>505</v>
      </c>
      <c r="BD421" s="4755"/>
      <c r="BE421" s="4755"/>
      <c r="BF421" s="4755"/>
      <c r="BG421" s="4755"/>
      <c r="BH421" s="4755"/>
      <c r="BI421" s="4778"/>
      <c r="BJ421" s="1059"/>
      <c r="BK421" s="1059"/>
      <c r="BL421" s="4767"/>
      <c r="BM421" s="4755" t="s">
        <v>505</v>
      </c>
      <c r="BN421" s="4755"/>
      <c r="BO421" s="4755"/>
      <c r="BP421" s="4755"/>
      <c r="BQ421" s="4755"/>
      <c r="BR421" s="4755"/>
      <c r="BS421" s="4778"/>
      <c r="BT421" s="1059"/>
      <c r="BU421" s="1059"/>
      <c r="BV421" s="1059"/>
      <c r="BW421" s="764"/>
      <c r="BX421" s="822"/>
      <c r="BY421" s="822"/>
      <c r="BZ421" s="822"/>
      <c r="CA421" s="822"/>
      <c r="CB421" s="822"/>
      <c r="CC421" s="822"/>
      <c r="CD421" s="822"/>
      <c r="CE421" s="822"/>
      <c r="CF421" s="822"/>
      <c r="CG421" s="822"/>
      <c r="CH421" s="822"/>
      <c r="CI421" s="822"/>
      <c r="CQ421" s="822"/>
      <c r="CR421" s="822"/>
      <c r="CS421" s="822"/>
      <c r="CT421" s="822"/>
      <c r="CU421" s="822"/>
      <c r="CV421" s="822"/>
      <c r="CW421" s="822"/>
      <c r="CX421" s="822"/>
      <c r="CY421" s="822"/>
      <c r="CZ421" s="822"/>
      <c r="DA421" s="822"/>
      <c r="DB421" s="822"/>
      <c r="DC421" s="822"/>
      <c r="DD421" s="822"/>
      <c r="DE421" s="822"/>
      <c r="DF421" s="822"/>
      <c r="DG421" s="822"/>
      <c r="DH421" s="822"/>
      <c r="DI421" s="822"/>
      <c r="DJ421" s="822"/>
      <c r="DK421" s="822"/>
      <c r="DL421" s="822"/>
      <c r="DM421" s="822"/>
      <c r="DN421" s="822"/>
      <c r="DO421" s="822"/>
      <c r="DP421" s="822"/>
      <c r="DQ421" s="822"/>
      <c r="DR421" s="822"/>
      <c r="DZ421" s="822"/>
      <c r="EA421" s="822"/>
      <c r="EB421" s="822"/>
      <c r="EC421" s="822"/>
      <c r="ED421" s="822"/>
      <c r="EE421" s="822"/>
      <c r="EF421" s="822"/>
      <c r="EG421" s="822"/>
      <c r="EH421" s="822"/>
      <c r="EI421" s="822"/>
      <c r="EJ421" s="822"/>
      <c r="EK421" s="822"/>
      <c r="EL421" s="822"/>
      <c r="EM421" s="822"/>
      <c r="EN421" s="822"/>
      <c r="EO421" s="822"/>
      <c r="EP421" s="822"/>
      <c r="EQ421" s="822"/>
      <c r="ER421" s="822"/>
    </row>
    <row r="422" spans="2:148" ht="17.100000000000001" customHeight="1" thickTop="1" x14ac:dyDescent="0.3">
      <c r="B422" s="1271"/>
      <c r="D422" s="1271"/>
      <c r="E422" s="762"/>
      <c r="F422" s="1059"/>
      <c r="G422" s="1059"/>
      <c r="H422" s="1059"/>
      <c r="I422" s="1059"/>
      <c r="J422" s="1059"/>
      <c r="K422" s="1059"/>
      <c r="L422" s="1059"/>
      <c r="M422" s="1059"/>
      <c r="N422" s="1059"/>
      <c r="O422" s="1059"/>
      <c r="P422" s="1059"/>
      <c r="Q422" s="1059"/>
      <c r="R422" s="1059"/>
      <c r="S422" s="1059"/>
      <c r="T422" s="1059"/>
      <c r="U422" s="1059"/>
      <c r="V422" s="1059"/>
      <c r="W422" s="1059"/>
      <c r="X422" s="1059"/>
      <c r="Y422" s="1059"/>
      <c r="Z422" s="1059"/>
      <c r="AA422" s="1059"/>
      <c r="AB422" s="1059"/>
      <c r="AC422" s="1059"/>
      <c r="AD422" s="1059"/>
      <c r="AE422" s="1059"/>
      <c r="AF422" s="1059"/>
      <c r="AG422" s="1059"/>
      <c r="AH422" s="1059"/>
      <c r="AI422" s="1059"/>
      <c r="AJ422" s="1059"/>
      <c r="AK422" s="1059"/>
      <c r="AL422" s="1059"/>
      <c r="AM422" s="2285">
        <f>AN429</f>
        <v>0</v>
      </c>
      <c r="AN422" s="2278" t="s">
        <v>940</v>
      </c>
      <c r="AO422" s="1278"/>
      <c r="AP422" s="1059"/>
      <c r="AQ422" s="1059"/>
      <c r="AR422" s="1059"/>
      <c r="AS422" s="1059"/>
      <c r="AT422" s="1059"/>
      <c r="AU422" s="1059"/>
      <c r="AV422" s="1059"/>
      <c r="AW422" s="1059"/>
      <c r="AX422" s="1059"/>
      <c r="AY422" s="1059"/>
      <c r="AZ422" s="1059"/>
      <c r="BA422" s="1059"/>
      <c r="BB422" s="1059"/>
      <c r="BC422" s="1059"/>
      <c r="BD422" s="1059"/>
      <c r="BE422" s="1059"/>
      <c r="BF422" s="1059"/>
      <c r="BG422" s="1059"/>
      <c r="BH422" s="1059"/>
      <c r="BI422" s="1059"/>
      <c r="BJ422" s="1059"/>
      <c r="BK422" s="1059"/>
      <c r="BL422" s="1059"/>
      <c r="BM422" s="1059"/>
      <c r="BN422" s="1059"/>
      <c r="BO422" s="1059"/>
      <c r="BP422" s="1059"/>
      <c r="BQ422" s="1059"/>
      <c r="BR422" s="1059"/>
      <c r="BS422" s="1059"/>
      <c r="BT422" s="1059"/>
      <c r="BU422" s="1059"/>
      <c r="BV422" s="1059"/>
      <c r="BW422" s="764"/>
      <c r="BX422" s="822"/>
      <c r="BY422" s="822"/>
      <c r="BZ422" s="822"/>
      <c r="CA422" s="822"/>
      <c r="CB422" s="822"/>
      <c r="CC422" s="822"/>
      <c r="CD422" s="822"/>
      <c r="CE422" s="822"/>
      <c r="CF422" s="822"/>
      <c r="CG422" s="822"/>
      <c r="CH422" s="822"/>
      <c r="CI422" s="822"/>
      <c r="CQ422" s="822"/>
      <c r="CR422" s="822"/>
      <c r="CS422" s="822"/>
      <c r="CT422" s="822"/>
      <c r="CU422" s="822"/>
      <c r="CV422" s="822"/>
      <c r="CW422" s="822"/>
      <c r="CX422" s="822"/>
      <c r="CY422" s="822"/>
      <c r="CZ422" s="822"/>
      <c r="DA422" s="822"/>
      <c r="DB422" s="822"/>
      <c r="DC422" s="822"/>
      <c r="DD422" s="822"/>
      <c r="DE422" s="822"/>
      <c r="DF422" s="822"/>
      <c r="DG422" s="822"/>
      <c r="DH422" s="822"/>
      <c r="DI422" s="822"/>
      <c r="DJ422" s="822"/>
      <c r="DK422" s="822"/>
      <c r="DL422" s="822"/>
      <c r="DM422" s="822"/>
      <c r="DN422" s="822"/>
      <c r="DO422" s="822"/>
      <c r="DP422" s="822"/>
      <c r="DQ422" s="822"/>
      <c r="DR422" s="822"/>
      <c r="DZ422" s="822"/>
      <c r="EA422" s="822"/>
      <c r="EB422" s="822"/>
      <c r="EC422" s="822"/>
      <c r="ED422" s="822"/>
      <c r="EE422" s="822"/>
      <c r="EF422" s="822"/>
      <c r="EG422" s="822"/>
      <c r="EH422" s="822"/>
      <c r="EI422" s="822"/>
      <c r="EJ422" s="822"/>
      <c r="EK422" s="822"/>
      <c r="EL422" s="822"/>
      <c r="EM422" s="822"/>
      <c r="EN422" s="822"/>
      <c r="EO422" s="822"/>
      <c r="EP422" s="822"/>
      <c r="EQ422" s="822"/>
      <c r="ER422" s="822"/>
    </row>
    <row r="423" spans="2:148" ht="17.100000000000001" customHeight="1" thickBot="1" x14ac:dyDescent="0.35">
      <c r="B423" s="1271"/>
      <c r="D423" s="1271"/>
      <c r="E423" s="762"/>
      <c r="F423" s="1059"/>
      <c r="G423" s="1059"/>
      <c r="H423" s="1059"/>
      <c r="I423" s="1059"/>
      <c r="J423" s="1059"/>
      <c r="K423" s="1059"/>
      <c r="L423" s="1059"/>
      <c r="M423" s="1059"/>
      <c r="N423" s="1059"/>
      <c r="O423" s="1059"/>
      <c r="P423" s="1059"/>
      <c r="Q423" s="1059"/>
      <c r="R423" s="1059"/>
      <c r="S423" s="1059"/>
      <c r="T423" s="1059"/>
      <c r="U423" s="1059"/>
      <c r="V423" s="1059"/>
      <c r="W423" s="1059"/>
      <c r="X423" s="1059"/>
      <c r="Y423" s="1059"/>
      <c r="Z423" s="1059"/>
      <c r="AA423" s="1059"/>
      <c r="AB423" s="1059"/>
      <c r="AC423" s="1059"/>
      <c r="AD423" s="1059"/>
      <c r="AE423" s="1059"/>
      <c r="AF423" s="1059"/>
      <c r="AG423" s="1059"/>
      <c r="AH423" s="1059"/>
      <c r="AI423" s="1059"/>
      <c r="AJ423" s="1059"/>
      <c r="AK423" s="1059"/>
      <c r="AL423" s="1059"/>
      <c r="AM423" s="2285">
        <f>AN429</f>
        <v>0</v>
      </c>
      <c r="AN423" s="2279" t="s">
        <v>710</v>
      </c>
      <c r="AO423" s="1278"/>
      <c r="AP423" s="1059"/>
      <c r="AQ423" s="1059"/>
      <c r="AR423" s="1059"/>
      <c r="AS423" s="1059"/>
      <c r="AT423" s="1059"/>
      <c r="AU423" s="1059"/>
      <c r="AV423" s="1059"/>
      <c r="AW423" s="1059"/>
      <c r="AX423" s="1059"/>
      <c r="AY423" s="1059"/>
      <c r="AZ423" s="1059"/>
      <c r="BA423" s="1059"/>
      <c r="BB423" s="1059"/>
      <c r="BC423" s="1059"/>
      <c r="BD423" s="1059"/>
      <c r="BE423" s="1059"/>
      <c r="BF423" s="1059"/>
      <c r="BG423" s="1059"/>
      <c r="BH423" s="1059"/>
      <c r="BI423" s="1059"/>
      <c r="BJ423" s="1059"/>
      <c r="BK423" s="1059"/>
      <c r="BL423" s="1059"/>
      <c r="BM423" s="1059"/>
      <c r="BN423" s="1059"/>
      <c r="BO423" s="1059"/>
      <c r="BP423" s="1059"/>
      <c r="BQ423" s="1059"/>
      <c r="BR423" s="1059"/>
      <c r="BS423" s="1059"/>
      <c r="BT423" s="1059"/>
      <c r="BU423" s="1059"/>
      <c r="BV423" s="1059"/>
      <c r="BW423" s="764"/>
      <c r="BX423" s="822"/>
      <c r="BY423" s="822"/>
      <c r="BZ423" s="822"/>
      <c r="CA423" s="822"/>
      <c r="CB423" s="822"/>
      <c r="CC423" s="822"/>
      <c r="CD423" s="822"/>
      <c r="CE423" s="822"/>
      <c r="CF423" s="822"/>
      <c r="CG423" s="822"/>
      <c r="CH423" s="822"/>
      <c r="CI423" s="822"/>
      <c r="CJ423" s="822"/>
      <c r="CK423" s="822"/>
      <c r="CL423" s="822"/>
      <c r="CM423" s="822"/>
      <c r="CN423" s="822"/>
      <c r="CO423" s="822"/>
      <c r="CP423" s="822"/>
      <c r="CQ423" s="822"/>
      <c r="CR423" s="822"/>
      <c r="CS423" s="822"/>
      <c r="CT423" s="822"/>
      <c r="CU423" s="822"/>
      <c r="CV423" s="822"/>
      <c r="CW423" s="822"/>
      <c r="CX423" s="822"/>
      <c r="CY423" s="822"/>
      <c r="CZ423" s="822"/>
      <c r="DA423" s="822"/>
      <c r="DB423" s="822"/>
      <c r="DC423" s="822"/>
      <c r="DD423" s="822"/>
      <c r="DE423" s="822"/>
      <c r="DF423" s="822"/>
      <c r="DG423" s="822"/>
      <c r="DH423" s="822"/>
      <c r="DI423" s="822"/>
      <c r="DJ423" s="822"/>
      <c r="DK423" s="822"/>
      <c r="DL423" s="822"/>
      <c r="DM423" s="822"/>
      <c r="DN423" s="822"/>
      <c r="DO423" s="822"/>
      <c r="DP423" s="822"/>
      <c r="DQ423" s="822"/>
      <c r="DR423" s="822"/>
      <c r="DS423" s="822"/>
      <c r="DT423" s="822"/>
      <c r="DU423" s="822"/>
      <c r="DV423" s="822"/>
      <c r="DW423" s="822"/>
      <c r="DX423" s="822"/>
      <c r="DY423" s="822"/>
      <c r="DZ423" s="822"/>
      <c r="EA423" s="822"/>
      <c r="EB423" s="822"/>
      <c r="EC423" s="822"/>
      <c r="ED423" s="822"/>
      <c r="EE423" s="822"/>
      <c r="EF423" s="822"/>
      <c r="EG423" s="822"/>
      <c r="EH423" s="822"/>
      <c r="EI423" s="822"/>
      <c r="EJ423" s="822"/>
      <c r="EK423" s="822"/>
      <c r="EL423" s="822"/>
      <c r="EM423" s="822"/>
      <c r="EN423" s="822"/>
      <c r="EO423" s="822"/>
      <c r="EP423" s="822"/>
      <c r="EQ423" s="822"/>
      <c r="ER423" s="822"/>
    </row>
    <row r="424" spans="2:148" ht="17.100000000000001" customHeight="1" thickTop="1" x14ac:dyDescent="0.3">
      <c r="B424" s="1271"/>
      <c r="D424" s="1271"/>
      <c r="E424" s="762"/>
      <c r="F424" s="1059"/>
      <c r="G424" s="1059"/>
      <c r="H424" s="1059"/>
      <c r="I424" s="4756" t="s">
        <v>72</v>
      </c>
      <c r="J424" s="4757"/>
      <c r="K424" s="4757"/>
      <c r="L424" s="4764" t="s">
        <v>144</v>
      </c>
      <c r="M424" s="4764"/>
      <c r="N424" s="4757" t="s">
        <v>72</v>
      </c>
      <c r="O424" s="4757"/>
      <c r="P424" s="4762"/>
      <c r="Q424" s="1059"/>
      <c r="R424" s="1059"/>
      <c r="S424" s="4756" t="s">
        <v>72</v>
      </c>
      <c r="T424" s="4757"/>
      <c r="U424" s="4757"/>
      <c r="V424" s="4779" t="s">
        <v>144</v>
      </c>
      <c r="W424" s="4779"/>
      <c r="X424" s="4757" t="s">
        <v>72</v>
      </c>
      <c r="Y424" s="4757"/>
      <c r="Z424" s="4762"/>
      <c r="AA424" s="1059"/>
      <c r="AB424" s="1059"/>
      <c r="AC424" s="4756" t="s">
        <v>72</v>
      </c>
      <c r="AD424" s="4757"/>
      <c r="AE424" s="4757"/>
      <c r="AF424" s="4781" t="s">
        <v>144</v>
      </c>
      <c r="AG424" s="4781"/>
      <c r="AH424" s="4757" t="s">
        <v>72</v>
      </c>
      <c r="AI424" s="4757"/>
      <c r="AJ424" s="4762"/>
      <c r="AK424" s="1059"/>
      <c r="AL424" s="1059"/>
      <c r="AM424" s="2285">
        <f>AN429</f>
        <v>0</v>
      </c>
      <c r="AN424" s="2280" t="s">
        <v>941</v>
      </c>
      <c r="AO424" s="1278"/>
      <c r="AP424" s="1059"/>
      <c r="AQ424" s="1059"/>
      <c r="AR424" s="4756" t="s">
        <v>72</v>
      </c>
      <c r="AS424" s="4757"/>
      <c r="AT424" s="4757"/>
      <c r="AU424" s="4781" t="s">
        <v>940</v>
      </c>
      <c r="AV424" s="4781"/>
      <c r="AW424" s="4757" t="s">
        <v>72</v>
      </c>
      <c r="AX424" s="4757"/>
      <c r="AY424" s="4762"/>
      <c r="AZ424" s="1059"/>
      <c r="BA424" s="1059"/>
      <c r="BB424" s="4756" t="s">
        <v>72</v>
      </c>
      <c r="BC424" s="4757"/>
      <c r="BD424" s="4757"/>
      <c r="BE424" s="4760" t="s">
        <v>940</v>
      </c>
      <c r="BF424" s="4760"/>
      <c r="BG424" s="4757" t="s">
        <v>72</v>
      </c>
      <c r="BH424" s="4757"/>
      <c r="BI424" s="4762"/>
      <c r="BJ424" s="1059"/>
      <c r="BK424" s="1059"/>
      <c r="BL424" s="4756" t="s">
        <v>72</v>
      </c>
      <c r="BM424" s="4757"/>
      <c r="BN424" s="4757"/>
      <c r="BO424" s="4764" t="s">
        <v>940</v>
      </c>
      <c r="BP424" s="4764"/>
      <c r="BQ424" s="4757" t="s">
        <v>72</v>
      </c>
      <c r="BR424" s="4757"/>
      <c r="BS424" s="4762"/>
      <c r="BT424" s="1059"/>
      <c r="BU424" s="1059"/>
      <c r="BV424" s="1059"/>
      <c r="BW424" s="764"/>
      <c r="BX424" s="822"/>
      <c r="BY424" s="822"/>
      <c r="BZ424" s="822"/>
      <c r="CA424" s="822"/>
      <c r="CB424" s="822"/>
      <c r="CC424" s="822"/>
      <c r="CD424" s="822"/>
      <c r="CE424" s="822"/>
      <c r="CF424" s="822"/>
      <c r="CG424" s="822"/>
      <c r="CH424" s="822"/>
      <c r="CI424" s="822"/>
      <c r="CJ424" s="822"/>
      <c r="CK424" s="822"/>
      <c r="CL424" s="822"/>
      <c r="CM424" s="822"/>
      <c r="CN424" s="822"/>
      <c r="CO424" s="822"/>
      <c r="CP424" s="822"/>
      <c r="CQ424" s="822"/>
      <c r="CR424" s="822"/>
      <c r="CS424" s="822"/>
      <c r="CT424" s="822"/>
      <c r="CU424" s="822"/>
      <c r="CV424" s="822"/>
      <c r="CW424" s="822"/>
      <c r="CX424" s="822"/>
      <c r="CY424" s="822"/>
      <c r="CZ424" s="822"/>
      <c r="DA424" s="822"/>
      <c r="DB424" s="822"/>
      <c r="DC424" s="822"/>
      <c r="DD424" s="822"/>
      <c r="DE424" s="822"/>
      <c r="DF424" s="822"/>
      <c r="DG424" s="822"/>
      <c r="DH424" s="822"/>
      <c r="DI424" s="822"/>
      <c r="DJ424" s="822"/>
      <c r="DK424" s="822"/>
      <c r="DL424" s="822"/>
      <c r="DM424" s="822"/>
      <c r="DN424" s="822"/>
      <c r="DO424" s="822"/>
      <c r="DP424" s="822"/>
      <c r="DQ424" s="822"/>
      <c r="DR424" s="822"/>
      <c r="DS424" s="822"/>
      <c r="DT424" s="822"/>
      <c r="DU424" s="822"/>
      <c r="DV424" s="822"/>
      <c r="DW424" s="822"/>
      <c r="DX424" s="822"/>
      <c r="DY424" s="822"/>
      <c r="DZ424" s="822"/>
      <c r="EA424" s="822"/>
      <c r="EB424" s="822"/>
      <c r="EC424" s="822"/>
      <c r="ED424" s="822"/>
      <c r="EE424" s="822"/>
      <c r="EF424" s="822"/>
      <c r="EG424" s="822"/>
      <c r="EH424" s="822"/>
      <c r="EI424" s="822"/>
      <c r="EJ424" s="822"/>
      <c r="EK424" s="822"/>
      <c r="EL424" s="822"/>
      <c r="EM424" s="822"/>
      <c r="EN424" s="822"/>
      <c r="EO424" s="822"/>
      <c r="EP424" s="822"/>
      <c r="EQ424" s="822"/>
      <c r="ER424" s="822"/>
    </row>
    <row r="425" spans="2:148" ht="17.100000000000001" customHeight="1" x14ac:dyDescent="0.3">
      <c r="B425" s="1271"/>
      <c r="D425" s="1271"/>
      <c r="E425" s="762"/>
      <c r="F425" s="1059"/>
      <c r="G425" s="1059"/>
      <c r="H425" s="1059"/>
      <c r="I425" s="4758"/>
      <c r="J425" s="4759"/>
      <c r="K425" s="4759"/>
      <c r="L425" s="4765"/>
      <c r="M425" s="4765"/>
      <c r="N425" s="4759"/>
      <c r="O425" s="4759"/>
      <c r="P425" s="4763"/>
      <c r="Q425" s="1059"/>
      <c r="R425" s="1059"/>
      <c r="S425" s="4758"/>
      <c r="T425" s="4759"/>
      <c r="U425" s="4759"/>
      <c r="V425" s="4780"/>
      <c r="W425" s="4780"/>
      <c r="X425" s="4759"/>
      <c r="Y425" s="4759"/>
      <c r="Z425" s="4763"/>
      <c r="AA425" s="1059"/>
      <c r="AB425" s="1059"/>
      <c r="AC425" s="4758"/>
      <c r="AD425" s="4759"/>
      <c r="AE425" s="4759"/>
      <c r="AF425" s="4782"/>
      <c r="AG425" s="4782"/>
      <c r="AH425" s="4759"/>
      <c r="AI425" s="4759"/>
      <c r="AJ425" s="4763"/>
      <c r="AK425" s="1059"/>
      <c r="AL425" s="1059"/>
      <c r="AM425" s="2285">
        <f>AN429</f>
        <v>0</v>
      </c>
      <c r="AN425" s="2281" t="s">
        <v>144</v>
      </c>
      <c r="AO425" s="1278"/>
      <c r="AP425" s="1059"/>
      <c r="AQ425" s="1059"/>
      <c r="AR425" s="4758"/>
      <c r="AS425" s="4759"/>
      <c r="AT425" s="4759"/>
      <c r="AU425" s="4782"/>
      <c r="AV425" s="4782"/>
      <c r="AW425" s="4759"/>
      <c r="AX425" s="4759"/>
      <c r="AY425" s="4763"/>
      <c r="AZ425" s="1059"/>
      <c r="BA425" s="1059"/>
      <c r="BB425" s="4758"/>
      <c r="BC425" s="4759"/>
      <c r="BD425" s="4759"/>
      <c r="BE425" s="4761"/>
      <c r="BF425" s="4761"/>
      <c r="BG425" s="4759"/>
      <c r="BH425" s="4759"/>
      <c r="BI425" s="4763"/>
      <c r="BJ425" s="1059"/>
      <c r="BK425" s="1059"/>
      <c r="BL425" s="4758"/>
      <c r="BM425" s="4759"/>
      <c r="BN425" s="4759"/>
      <c r="BO425" s="4765"/>
      <c r="BP425" s="4765"/>
      <c r="BQ425" s="4759"/>
      <c r="BR425" s="4759"/>
      <c r="BS425" s="4763"/>
      <c r="BT425" s="1059"/>
      <c r="BU425" s="1059"/>
      <c r="BV425" s="1059"/>
      <c r="BW425" s="764"/>
      <c r="BX425" s="822"/>
      <c r="BY425" s="822"/>
      <c r="BZ425" s="822"/>
      <c r="CA425" s="822"/>
      <c r="CB425" s="822"/>
      <c r="CC425" s="822"/>
      <c r="CD425" s="822"/>
      <c r="CE425" s="822"/>
      <c r="CF425" s="822"/>
      <c r="CG425" s="822"/>
      <c r="CH425" s="822"/>
      <c r="CI425" s="822"/>
      <c r="CJ425" s="822"/>
      <c r="CK425" s="822"/>
      <c r="CL425" s="822"/>
      <c r="CM425" s="822"/>
      <c r="CN425" s="822"/>
      <c r="CO425" s="822"/>
      <c r="CP425" s="822"/>
      <c r="CQ425" s="822"/>
      <c r="CR425" s="822"/>
      <c r="CS425" s="822"/>
      <c r="CT425" s="822"/>
      <c r="CU425" s="822"/>
      <c r="CV425" s="822"/>
      <c r="CW425" s="822"/>
      <c r="CX425" s="822"/>
      <c r="CY425" s="822"/>
      <c r="CZ425" s="822"/>
      <c r="DA425" s="822"/>
      <c r="DB425" s="822"/>
      <c r="DC425" s="822"/>
      <c r="DD425" s="822"/>
      <c r="DE425" s="822"/>
      <c r="DF425" s="822"/>
      <c r="DG425" s="822"/>
      <c r="DH425" s="822"/>
      <c r="DI425" s="822"/>
      <c r="DJ425" s="822"/>
      <c r="DK425" s="822"/>
      <c r="DL425" s="822"/>
      <c r="DM425" s="822"/>
      <c r="DN425" s="822"/>
      <c r="DO425" s="822"/>
      <c r="DP425" s="822"/>
      <c r="DQ425" s="822"/>
      <c r="DR425" s="822"/>
      <c r="DS425" s="822"/>
      <c r="DT425" s="822"/>
      <c r="DU425" s="822"/>
      <c r="DV425" s="822"/>
      <c r="DW425" s="822"/>
      <c r="DX425" s="822"/>
      <c r="DY425" s="822"/>
      <c r="DZ425" s="822"/>
      <c r="EA425" s="822"/>
      <c r="EB425" s="822"/>
      <c r="EC425" s="822"/>
      <c r="ED425" s="822"/>
      <c r="EE425" s="822"/>
      <c r="EF425" s="822"/>
      <c r="EG425" s="822"/>
      <c r="EH425" s="822"/>
      <c r="EI425" s="822"/>
      <c r="EJ425" s="822"/>
      <c r="EK425" s="822"/>
      <c r="EL425" s="822"/>
      <c r="EM425" s="822"/>
      <c r="EN425" s="822"/>
      <c r="EO425" s="822"/>
      <c r="EP425" s="822"/>
      <c r="EQ425" s="822"/>
      <c r="ER425" s="822"/>
    </row>
    <row r="426" spans="2:148" ht="17.100000000000001" customHeight="1" x14ac:dyDescent="0.3">
      <c r="B426" s="1271"/>
      <c r="D426" s="1271"/>
      <c r="E426" s="762"/>
      <c r="F426" s="1059"/>
      <c r="G426" s="1059"/>
      <c r="H426" s="1059"/>
      <c r="I426" s="4766"/>
      <c r="J426" s="4768"/>
      <c r="K426" s="4769"/>
      <c r="L426" s="4769"/>
      <c r="M426" s="4769"/>
      <c r="N426" s="4769"/>
      <c r="O426" s="4770"/>
      <c r="P426" s="4777"/>
      <c r="Q426" s="1059"/>
      <c r="R426" s="1059"/>
      <c r="S426" s="4766"/>
      <c r="T426" s="4768"/>
      <c r="U426" s="4769"/>
      <c r="V426" s="4769"/>
      <c r="W426" s="4769"/>
      <c r="X426" s="4769"/>
      <c r="Y426" s="4770"/>
      <c r="Z426" s="4777"/>
      <c r="AA426" s="1059"/>
      <c r="AB426" s="1059"/>
      <c r="AC426" s="4766"/>
      <c r="AD426" s="4768"/>
      <c r="AE426" s="4769"/>
      <c r="AF426" s="4769"/>
      <c r="AG426" s="4769"/>
      <c r="AH426" s="4769"/>
      <c r="AI426" s="4770"/>
      <c r="AJ426" s="4777"/>
      <c r="AK426" s="1059"/>
      <c r="AL426" s="1059"/>
      <c r="AM426" s="2285">
        <f>AN429</f>
        <v>0</v>
      </c>
      <c r="AN426" s="2282" t="s">
        <v>939</v>
      </c>
      <c r="AO426" s="1278"/>
      <c r="AP426" s="1059"/>
      <c r="AQ426" s="1059"/>
      <c r="AR426" s="4766"/>
      <c r="AS426" s="4768"/>
      <c r="AT426" s="4769"/>
      <c r="AU426" s="4769"/>
      <c r="AV426" s="4769"/>
      <c r="AW426" s="4769"/>
      <c r="AX426" s="4770"/>
      <c r="AY426" s="4777"/>
      <c r="AZ426" s="1059"/>
      <c r="BA426" s="1059"/>
      <c r="BB426" s="4766"/>
      <c r="BC426" s="4768"/>
      <c r="BD426" s="4769"/>
      <c r="BE426" s="4769"/>
      <c r="BF426" s="4769"/>
      <c r="BG426" s="4769"/>
      <c r="BH426" s="4770"/>
      <c r="BI426" s="4777"/>
      <c r="BJ426" s="1059"/>
      <c r="BK426" s="1059"/>
      <c r="BL426" s="4766"/>
      <c r="BM426" s="4768"/>
      <c r="BN426" s="4769"/>
      <c r="BO426" s="4769"/>
      <c r="BP426" s="4769"/>
      <c r="BQ426" s="4769"/>
      <c r="BR426" s="4770"/>
      <c r="BS426" s="4777"/>
      <c r="BT426" s="1059"/>
      <c r="BU426" s="1059"/>
      <c r="BV426" s="1059"/>
      <c r="BW426" s="764"/>
      <c r="BX426" s="822"/>
      <c r="BY426" s="822"/>
      <c r="BZ426" s="822"/>
      <c r="CA426" s="822"/>
      <c r="CB426" s="822"/>
      <c r="CC426" s="822"/>
      <c r="CD426" s="822"/>
      <c r="CE426" s="822"/>
      <c r="CF426" s="822"/>
      <c r="CG426" s="822"/>
      <c r="CH426" s="822"/>
      <c r="CI426" s="822"/>
      <c r="CJ426" s="4826" t="str">
        <f>IF(J426=0,"",J426)</f>
        <v/>
      </c>
      <c r="CK426" s="4827"/>
      <c r="CL426" s="4827"/>
      <c r="CM426" s="4827"/>
      <c r="CN426" s="4827"/>
      <c r="CO426" s="4828"/>
      <c r="CP426" s="822"/>
      <c r="CQ426" s="822"/>
      <c r="CR426" s="822"/>
      <c r="CS426" s="822"/>
      <c r="CT426" s="4826" t="str">
        <f>IF(T426=0,"",T426)</f>
        <v/>
      </c>
      <c r="CU426" s="4827"/>
      <c r="CV426" s="4827"/>
      <c r="CW426" s="4827"/>
      <c r="CX426" s="4827"/>
      <c r="CY426" s="4828"/>
      <c r="CZ426" s="822"/>
      <c r="DA426" s="822"/>
      <c r="DB426" s="822"/>
      <c r="DC426" s="822"/>
      <c r="DD426" s="4826" t="str">
        <f>IF(AD426=0,"",AD426)</f>
        <v/>
      </c>
      <c r="DE426" s="4827"/>
      <c r="DF426" s="4827"/>
      <c r="DG426" s="4827"/>
      <c r="DH426" s="4827"/>
      <c r="DI426" s="4828"/>
      <c r="DJ426" s="822"/>
      <c r="DK426" s="822"/>
      <c r="DL426" s="822"/>
      <c r="DM426" s="822"/>
      <c r="DN426" s="822"/>
      <c r="DO426" s="822"/>
      <c r="DP426" s="822"/>
      <c r="DQ426" s="822"/>
      <c r="DR426" s="822"/>
      <c r="DS426" s="4826" t="str">
        <f>IF(AS426=0,"",AS426)</f>
        <v/>
      </c>
      <c r="DT426" s="4827"/>
      <c r="DU426" s="4827"/>
      <c r="DV426" s="4827"/>
      <c r="DW426" s="4827"/>
      <c r="DX426" s="4828"/>
      <c r="DY426" s="822"/>
      <c r="DZ426" s="822"/>
      <c r="EA426" s="822"/>
      <c r="EB426" s="822"/>
      <c r="EC426" s="4826" t="str">
        <f>IF(BC426=0,"",BC426)</f>
        <v/>
      </c>
      <c r="ED426" s="4827"/>
      <c r="EE426" s="4827"/>
      <c r="EF426" s="4827"/>
      <c r="EG426" s="4827"/>
      <c r="EH426" s="4828"/>
      <c r="EI426" s="822"/>
      <c r="EJ426" s="822"/>
      <c r="EK426" s="822"/>
      <c r="EL426" s="822"/>
      <c r="EM426" s="4826" t="str">
        <f>IF(BM426=0,"",BM426)</f>
        <v/>
      </c>
      <c r="EN426" s="4827"/>
      <c r="EO426" s="4827"/>
      <c r="EP426" s="4827"/>
      <c r="EQ426" s="4827"/>
      <c r="ER426" s="4828"/>
    </row>
    <row r="427" spans="2:148" ht="17.100000000000001" customHeight="1" x14ac:dyDescent="0.3">
      <c r="B427" s="1271"/>
      <c r="D427" s="1271"/>
      <c r="E427" s="762"/>
      <c r="F427" s="1059"/>
      <c r="G427" s="1059"/>
      <c r="H427" s="1059"/>
      <c r="I427" s="4766"/>
      <c r="J427" s="4771"/>
      <c r="K427" s="4772"/>
      <c r="L427" s="4772"/>
      <c r="M427" s="4772"/>
      <c r="N427" s="4772"/>
      <c r="O427" s="4773"/>
      <c r="P427" s="4777"/>
      <c r="Q427" s="1059"/>
      <c r="R427" s="1059"/>
      <c r="S427" s="4766"/>
      <c r="T427" s="4771"/>
      <c r="U427" s="4772"/>
      <c r="V427" s="4772"/>
      <c r="W427" s="4772"/>
      <c r="X427" s="4772"/>
      <c r="Y427" s="4773"/>
      <c r="Z427" s="4777"/>
      <c r="AA427" s="1059"/>
      <c r="AB427" s="1059"/>
      <c r="AC427" s="4766"/>
      <c r="AD427" s="4771"/>
      <c r="AE427" s="4772"/>
      <c r="AF427" s="4772"/>
      <c r="AG427" s="4772"/>
      <c r="AH427" s="4772"/>
      <c r="AI427" s="4773"/>
      <c r="AJ427" s="4777"/>
      <c r="AK427" s="1059"/>
      <c r="AL427" s="1059"/>
      <c r="AM427" s="2285">
        <f>AN429</f>
        <v>0</v>
      </c>
      <c r="AN427" s="2283" t="s">
        <v>942</v>
      </c>
      <c r="AO427" s="1278"/>
      <c r="AP427" s="1059"/>
      <c r="AQ427" s="1059"/>
      <c r="AR427" s="4766"/>
      <c r="AS427" s="4771"/>
      <c r="AT427" s="4772"/>
      <c r="AU427" s="4772"/>
      <c r="AV427" s="4772"/>
      <c r="AW427" s="4772"/>
      <c r="AX427" s="4773"/>
      <c r="AY427" s="4777"/>
      <c r="AZ427" s="1059"/>
      <c r="BA427" s="1059"/>
      <c r="BB427" s="4766"/>
      <c r="BC427" s="4771"/>
      <c r="BD427" s="4772"/>
      <c r="BE427" s="4772"/>
      <c r="BF427" s="4772"/>
      <c r="BG427" s="4772"/>
      <c r="BH427" s="4773"/>
      <c r="BI427" s="4777"/>
      <c r="BJ427" s="1059"/>
      <c r="BK427" s="1059"/>
      <c r="BL427" s="4766"/>
      <c r="BM427" s="4771"/>
      <c r="BN427" s="4772"/>
      <c r="BO427" s="4772"/>
      <c r="BP427" s="4772"/>
      <c r="BQ427" s="4772"/>
      <c r="BR427" s="4773"/>
      <c r="BS427" s="4777"/>
      <c r="BT427" s="1059"/>
      <c r="BU427" s="1059"/>
      <c r="BV427" s="1059"/>
      <c r="BW427" s="764"/>
      <c r="BX427" s="822"/>
      <c r="BY427" s="822"/>
      <c r="BZ427" s="822"/>
      <c r="CA427" s="822"/>
      <c r="CB427" s="822"/>
      <c r="CC427" s="822"/>
      <c r="CD427" s="822"/>
      <c r="CE427" s="822"/>
      <c r="CF427" s="822"/>
      <c r="CG427" s="822"/>
      <c r="CH427" s="822"/>
      <c r="CI427" s="822"/>
      <c r="CJ427" s="4829"/>
      <c r="CK427" s="4830"/>
      <c r="CL427" s="4830"/>
      <c r="CM427" s="4830"/>
      <c r="CN427" s="4830"/>
      <c r="CO427" s="4831"/>
      <c r="CP427" s="822"/>
      <c r="CQ427" s="822"/>
      <c r="CR427" s="822"/>
      <c r="CS427" s="822"/>
      <c r="CT427" s="4829"/>
      <c r="CU427" s="4830"/>
      <c r="CV427" s="4830"/>
      <c r="CW427" s="4830"/>
      <c r="CX427" s="4830"/>
      <c r="CY427" s="4831"/>
      <c r="CZ427" s="822"/>
      <c r="DA427" s="822"/>
      <c r="DB427" s="822"/>
      <c r="DC427" s="822"/>
      <c r="DD427" s="4829"/>
      <c r="DE427" s="4830"/>
      <c r="DF427" s="4830"/>
      <c r="DG427" s="4830"/>
      <c r="DH427" s="4830"/>
      <c r="DI427" s="4831"/>
      <c r="DJ427" s="822"/>
      <c r="DK427" s="822"/>
      <c r="DL427" s="822"/>
      <c r="DM427" s="822"/>
      <c r="DN427" s="822"/>
      <c r="DO427" s="822"/>
      <c r="DP427" s="822"/>
      <c r="DQ427" s="822"/>
      <c r="DR427" s="822"/>
      <c r="DS427" s="4829"/>
      <c r="DT427" s="4830"/>
      <c r="DU427" s="4830"/>
      <c r="DV427" s="4830"/>
      <c r="DW427" s="4830"/>
      <c r="DX427" s="4831"/>
      <c r="DY427" s="822"/>
      <c r="DZ427" s="822"/>
      <c r="EA427" s="822"/>
      <c r="EB427" s="822"/>
      <c r="EC427" s="4829"/>
      <c r="ED427" s="4830"/>
      <c r="EE427" s="4830"/>
      <c r="EF427" s="4830"/>
      <c r="EG427" s="4830"/>
      <c r="EH427" s="4831"/>
      <c r="EI427" s="822"/>
      <c r="EJ427" s="822"/>
      <c r="EK427" s="822"/>
      <c r="EL427" s="822"/>
      <c r="EM427" s="4829"/>
      <c r="EN427" s="4830"/>
      <c r="EO427" s="4830"/>
      <c r="EP427" s="4830"/>
      <c r="EQ427" s="4830"/>
      <c r="ER427" s="4831"/>
    </row>
    <row r="428" spans="2:148" ht="17.100000000000001" customHeight="1" x14ac:dyDescent="0.3">
      <c r="B428" s="1271"/>
      <c r="D428" s="1271"/>
      <c r="E428" s="762"/>
      <c r="F428" s="1059"/>
      <c r="G428" s="1059"/>
      <c r="H428" s="1059"/>
      <c r="I428" s="4766"/>
      <c r="J428" s="4774"/>
      <c r="K428" s="4775"/>
      <c r="L428" s="4775"/>
      <c r="M428" s="4775"/>
      <c r="N428" s="4775"/>
      <c r="O428" s="4776"/>
      <c r="P428" s="4777"/>
      <c r="Q428" s="1059"/>
      <c r="R428" s="1059"/>
      <c r="S428" s="4766"/>
      <c r="T428" s="4774"/>
      <c r="U428" s="4775"/>
      <c r="V428" s="4775"/>
      <c r="W428" s="4775"/>
      <c r="X428" s="4775"/>
      <c r="Y428" s="4776"/>
      <c r="Z428" s="4777"/>
      <c r="AA428" s="1059"/>
      <c r="AB428" s="1059"/>
      <c r="AC428" s="4766"/>
      <c r="AD428" s="4774"/>
      <c r="AE428" s="4775"/>
      <c r="AF428" s="4775"/>
      <c r="AG428" s="4775"/>
      <c r="AH428" s="4775"/>
      <c r="AI428" s="4776"/>
      <c r="AJ428" s="4777"/>
      <c r="AK428" s="1059"/>
      <c r="AL428" s="1059"/>
      <c r="AM428" s="2285">
        <f>AN429</f>
        <v>0</v>
      </c>
      <c r="AN428" s="2284" t="s">
        <v>940</v>
      </c>
      <c r="AO428" s="1278"/>
      <c r="AP428" s="1059"/>
      <c r="AQ428" s="1059"/>
      <c r="AR428" s="4766"/>
      <c r="AS428" s="4774"/>
      <c r="AT428" s="4775"/>
      <c r="AU428" s="4775"/>
      <c r="AV428" s="4775"/>
      <c r="AW428" s="4775"/>
      <c r="AX428" s="4776"/>
      <c r="AY428" s="4777"/>
      <c r="AZ428" s="1059"/>
      <c r="BA428" s="1059"/>
      <c r="BB428" s="4766"/>
      <c r="BC428" s="4774"/>
      <c r="BD428" s="4775"/>
      <c r="BE428" s="4775"/>
      <c r="BF428" s="4775"/>
      <c r="BG428" s="4775"/>
      <c r="BH428" s="4776"/>
      <c r="BI428" s="4777"/>
      <c r="BJ428" s="1059"/>
      <c r="BK428" s="1059"/>
      <c r="BL428" s="4766"/>
      <c r="BM428" s="4774"/>
      <c r="BN428" s="4775"/>
      <c r="BO428" s="4775"/>
      <c r="BP428" s="4775"/>
      <c r="BQ428" s="4775"/>
      <c r="BR428" s="4776"/>
      <c r="BS428" s="4777"/>
      <c r="BT428" s="1059"/>
      <c r="BU428" s="1059"/>
      <c r="BV428" s="1059"/>
      <c r="BW428" s="764"/>
      <c r="BX428" s="822"/>
      <c r="BY428" s="822"/>
      <c r="BZ428" s="822"/>
      <c r="CA428" s="822"/>
      <c r="CB428" s="822"/>
      <c r="CC428" s="822"/>
      <c r="CD428" s="822"/>
      <c r="CE428" s="822"/>
      <c r="CF428" s="822"/>
      <c r="CG428" s="822"/>
      <c r="CH428" s="822"/>
      <c r="CI428" s="822"/>
      <c r="CJ428" s="4832"/>
      <c r="CK428" s="4833"/>
      <c r="CL428" s="4833"/>
      <c r="CM428" s="4833"/>
      <c r="CN428" s="4833"/>
      <c r="CO428" s="4834"/>
      <c r="CP428" s="822"/>
      <c r="CQ428" s="822"/>
      <c r="CR428" s="822"/>
      <c r="CS428" s="822"/>
      <c r="CT428" s="4832"/>
      <c r="CU428" s="4833"/>
      <c r="CV428" s="4833"/>
      <c r="CW428" s="4833"/>
      <c r="CX428" s="4833"/>
      <c r="CY428" s="4834"/>
      <c r="CZ428" s="822"/>
      <c r="DA428" s="822"/>
      <c r="DB428" s="822"/>
      <c r="DC428" s="822"/>
      <c r="DD428" s="4832"/>
      <c r="DE428" s="4833"/>
      <c r="DF428" s="4833"/>
      <c r="DG428" s="4833"/>
      <c r="DH428" s="4833"/>
      <c r="DI428" s="4834"/>
      <c r="DJ428" s="822"/>
      <c r="DK428" s="822"/>
      <c r="DL428" s="822"/>
      <c r="DM428" s="822"/>
      <c r="DN428" s="822"/>
      <c r="DO428" s="822"/>
      <c r="DP428" s="822"/>
      <c r="DQ428" s="822"/>
      <c r="DR428" s="822"/>
      <c r="DS428" s="4832"/>
      <c r="DT428" s="4833"/>
      <c r="DU428" s="4833"/>
      <c r="DV428" s="4833"/>
      <c r="DW428" s="4833"/>
      <c r="DX428" s="4834"/>
      <c r="DY428" s="822"/>
      <c r="DZ428" s="822"/>
      <c r="EA428" s="822"/>
      <c r="EB428" s="822"/>
      <c r="EC428" s="4832"/>
      <c r="ED428" s="4833"/>
      <c r="EE428" s="4833"/>
      <c r="EF428" s="4833"/>
      <c r="EG428" s="4833"/>
      <c r="EH428" s="4834"/>
      <c r="EI428" s="822"/>
      <c r="EJ428" s="822"/>
      <c r="EK428" s="822"/>
      <c r="EL428" s="822"/>
      <c r="EM428" s="4832"/>
      <c r="EN428" s="4833"/>
      <c r="EO428" s="4833"/>
      <c r="EP428" s="4833"/>
      <c r="EQ428" s="4833"/>
      <c r="ER428" s="4834"/>
    </row>
    <row r="429" spans="2:148" ht="17.100000000000001" customHeight="1" thickBot="1" x14ac:dyDescent="0.35">
      <c r="B429" s="1271"/>
      <c r="D429" s="1271"/>
      <c r="E429" s="762"/>
      <c r="F429" s="1059"/>
      <c r="G429" s="1059"/>
      <c r="H429" s="1059"/>
      <c r="I429" s="4767"/>
      <c r="J429" s="4755" t="s">
        <v>505</v>
      </c>
      <c r="K429" s="4755"/>
      <c r="L429" s="4755"/>
      <c r="M429" s="4755"/>
      <c r="N429" s="4755"/>
      <c r="O429" s="4755"/>
      <c r="P429" s="4778"/>
      <c r="Q429" s="1059"/>
      <c r="R429" s="1059"/>
      <c r="S429" s="4767"/>
      <c r="T429" s="4755" t="s">
        <v>505</v>
      </c>
      <c r="U429" s="4755"/>
      <c r="V429" s="4755"/>
      <c r="W429" s="4755"/>
      <c r="X429" s="4755"/>
      <c r="Y429" s="4755"/>
      <c r="Z429" s="4778"/>
      <c r="AA429" s="1059"/>
      <c r="AB429" s="1059"/>
      <c r="AC429" s="4767"/>
      <c r="AD429" s="4755" t="s">
        <v>505</v>
      </c>
      <c r="AE429" s="4755"/>
      <c r="AF429" s="4755"/>
      <c r="AG429" s="4755"/>
      <c r="AH429" s="4755"/>
      <c r="AI429" s="4755"/>
      <c r="AJ429" s="4778"/>
      <c r="AK429" s="1059"/>
      <c r="AL429" s="1059"/>
      <c r="AM429" s="1277"/>
      <c r="AN429" s="1279">
        <f>IF(COUNTA(J410,T410,AD410,J418,T418,AD418,J426,T426,AD426,AS410,BC410,BM410,AS418,BC418,BM418,AS426,BC426,BM426)=18,1,0)</f>
        <v>0</v>
      </c>
      <c r="AO429" s="1279"/>
      <c r="AP429" s="1059"/>
      <c r="AQ429" s="1059"/>
      <c r="AR429" s="4767"/>
      <c r="AS429" s="4755" t="s">
        <v>505</v>
      </c>
      <c r="AT429" s="4755"/>
      <c r="AU429" s="4755"/>
      <c r="AV429" s="4755"/>
      <c r="AW429" s="4755"/>
      <c r="AX429" s="4755"/>
      <c r="AY429" s="4778"/>
      <c r="AZ429" s="1059"/>
      <c r="BA429" s="1059"/>
      <c r="BB429" s="4767"/>
      <c r="BC429" s="4755" t="s">
        <v>505</v>
      </c>
      <c r="BD429" s="4755"/>
      <c r="BE429" s="4755"/>
      <c r="BF429" s="4755"/>
      <c r="BG429" s="4755"/>
      <c r="BH429" s="4755"/>
      <c r="BI429" s="4778"/>
      <c r="BJ429" s="1059"/>
      <c r="BK429" s="1059"/>
      <c r="BL429" s="4767"/>
      <c r="BM429" s="4755" t="s">
        <v>505</v>
      </c>
      <c r="BN429" s="4755"/>
      <c r="BO429" s="4755"/>
      <c r="BP429" s="4755"/>
      <c r="BQ429" s="4755"/>
      <c r="BR429" s="4755"/>
      <c r="BS429" s="4778"/>
      <c r="BT429" s="1059"/>
      <c r="BU429" s="1059"/>
      <c r="BV429" s="1059"/>
      <c r="BW429" s="764"/>
      <c r="BX429" s="822"/>
      <c r="BY429" s="822"/>
      <c r="BZ429" s="822"/>
      <c r="CA429" s="822"/>
      <c r="CB429" s="822"/>
      <c r="CC429" s="822"/>
      <c r="CD429" s="822"/>
      <c r="CE429" s="822"/>
      <c r="CF429" s="822"/>
      <c r="CG429" s="822"/>
      <c r="CH429" s="822"/>
      <c r="CI429" s="822"/>
      <c r="CJ429" s="822"/>
      <c r="CK429" s="822"/>
      <c r="CL429" s="822"/>
      <c r="CM429" s="822"/>
      <c r="CN429" s="822"/>
      <c r="CO429" s="822"/>
      <c r="CP429" s="822"/>
      <c r="CQ429" s="822"/>
      <c r="CR429" s="822"/>
      <c r="CS429" s="822"/>
      <c r="CT429" s="822"/>
      <c r="CU429" s="822"/>
      <c r="CV429" s="822"/>
      <c r="CW429" s="822"/>
      <c r="CX429" s="822"/>
      <c r="CY429" s="822"/>
      <c r="CZ429" s="822"/>
      <c r="DA429" s="822"/>
      <c r="DB429" s="822"/>
      <c r="DC429" s="822"/>
      <c r="DD429" s="822"/>
      <c r="DE429" s="822"/>
      <c r="DF429" s="822"/>
      <c r="DG429" s="822"/>
      <c r="DH429" s="822"/>
      <c r="DI429" s="822"/>
      <c r="DJ429" s="822"/>
      <c r="DK429" s="822"/>
      <c r="DL429" s="822"/>
      <c r="DM429" s="822"/>
      <c r="DN429" s="822"/>
    </row>
    <row r="430" spans="2:148" ht="17.100000000000001" customHeight="1" thickTop="1" x14ac:dyDescent="0.3">
      <c r="B430" s="1271"/>
      <c r="D430" s="1271"/>
      <c r="E430" s="762"/>
      <c r="F430" s="1170"/>
      <c r="G430" s="1059"/>
      <c r="H430" s="1059"/>
      <c r="I430" s="1059"/>
      <c r="J430" s="1059"/>
      <c r="K430" s="1059"/>
      <c r="L430" s="1059"/>
      <c r="M430" s="1059"/>
      <c r="N430" s="1059"/>
      <c r="O430" s="1059"/>
      <c r="P430" s="1059"/>
      <c r="Q430" s="1059"/>
      <c r="R430" s="1059"/>
      <c r="S430" s="1059"/>
      <c r="T430" s="1059"/>
      <c r="U430" s="1059"/>
      <c r="V430" s="1059"/>
      <c r="W430" s="1059"/>
      <c r="X430" s="1059"/>
      <c r="Y430" s="1059"/>
      <c r="Z430" s="1059"/>
      <c r="AA430" s="1059"/>
      <c r="AB430" s="1059"/>
      <c r="AC430" s="1059"/>
      <c r="AD430" s="1059"/>
      <c r="AE430" s="1059"/>
      <c r="AF430" s="1059"/>
      <c r="AG430" s="1059"/>
      <c r="AH430" s="1059"/>
      <c r="AI430" s="1059"/>
      <c r="AJ430" s="1059"/>
      <c r="AK430" s="1059"/>
      <c r="AL430" s="1059"/>
      <c r="AM430" s="1059"/>
      <c r="AN430" s="1059"/>
      <c r="AO430" s="1059"/>
      <c r="AP430" s="1264"/>
      <c r="AQ430" s="1059"/>
      <c r="AR430" s="1059"/>
      <c r="AS430" s="1059"/>
      <c r="AT430" s="1059"/>
      <c r="AU430" s="1059"/>
      <c r="AV430" s="1059"/>
      <c r="AW430" s="1059"/>
      <c r="AX430" s="1059"/>
      <c r="AY430" s="1059"/>
      <c r="AZ430" s="1059"/>
      <c r="BA430" s="1059"/>
      <c r="BB430" s="1059"/>
      <c r="BC430" s="1059"/>
      <c r="BD430" s="1059"/>
      <c r="BE430" s="1059"/>
      <c r="BF430" s="1059"/>
      <c r="BG430" s="1059"/>
      <c r="BH430" s="1059"/>
      <c r="BI430" s="1059"/>
      <c r="BJ430" s="1059"/>
      <c r="BK430" s="1059"/>
      <c r="BL430" s="1059"/>
      <c r="BM430" s="1059"/>
      <c r="BN430" s="1059"/>
      <c r="BO430" s="1059"/>
      <c r="BP430" s="1059"/>
      <c r="BQ430" s="1059"/>
      <c r="BR430" s="1059"/>
      <c r="BS430" s="1059"/>
      <c r="BT430" s="1059"/>
      <c r="BU430" s="1059"/>
      <c r="BV430" s="1169"/>
      <c r="BW430" s="764"/>
      <c r="BX430" s="822"/>
      <c r="BY430" s="822"/>
      <c r="BZ430" s="822"/>
      <c r="CA430" s="822"/>
      <c r="CB430" s="822"/>
      <c r="CC430" s="822"/>
      <c r="CD430" s="822"/>
      <c r="CE430" s="822"/>
      <c r="CF430" s="822"/>
      <c r="CG430" s="822"/>
      <c r="CH430" s="822"/>
      <c r="CI430" s="822"/>
      <c r="CJ430" s="822"/>
      <c r="CK430" s="822"/>
      <c r="CL430" s="822"/>
      <c r="CM430" s="822"/>
      <c r="CN430" s="822"/>
      <c r="CO430" s="822"/>
      <c r="CP430" s="822"/>
      <c r="CQ430" s="822"/>
      <c r="CR430" s="822"/>
      <c r="CS430" s="822"/>
      <c r="CT430" s="822"/>
      <c r="CU430" s="822"/>
      <c r="CV430" s="822"/>
      <c r="CW430" s="822"/>
      <c r="CX430" s="822"/>
      <c r="CY430" s="822"/>
      <c r="CZ430" s="822"/>
      <c r="DA430" s="822"/>
      <c r="DB430" s="822"/>
      <c r="DC430" s="822"/>
      <c r="DD430" s="822"/>
      <c r="DE430" s="822"/>
      <c r="DF430" s="822"/>
      <c r="DG430" s="822"/>
      <c r="DH430" s="822"/>
      <c r="DI430" s="822"/>
      <c r="DJ430" s="822"/>
      <c r="DK430" s="822"/>
      <c r="DL430" s="822"/>
      <c r="DM430" s="822"/>
      <c r="DN430" s="822"/>
    </row>
    <row r="431" spans="2:148" ht="17.100000000000001" customHeight="1" thickBot="1" x14ac:dyDescent="0.35">
      <c r="B431" s="1271"/>
      <c r="D431" s="1271"/>
      <c r="E431" s="783"/>
      <c r="F431" s="784"/>
      <c r="G431" s="1059"/>
      <c r="H431" s="1059"/>
      <c r="I431" s="1059"/>
      <c r="J431" s="1059"/>
      <c r="K431" s="1059"/>
      <c r="L431" s="1059"/>
      <c r="M431" s="1059"/>
      <c r="N431" s="1059"/>
      <c r="O431" s="1059"/>
      <c r="P431" s="1059"/>
      <c r="Q431" s="1059"/>
      <c r="R431" s="1059"/>
      <c r="S431" s="1059"/>
      <c r="T431" s="1059"/>
      <c r="U431" s="1059"/>
      <c r="V431" s="1059"/>
      <c r="W431" s="1059"/>
      <c r="X431" s="1059"/>
      <c r="Y431" s="1059"/>
      <c r="Z431" s="1059"/>
      <c r="AA431" s="1059"/>
      <c r="AB431" s="1059"/>
      <c r="AC431" s="1059"/>
      <c r="AD431" s="1059"/>
      <c r="AE431" s="1059"/>
      <c r="AF431" s="1059"/>
      <c r="AG431" s="1059"/>
      <c r="AH431" s="1059"/>
      <c r="AI431" s="1059"/>
      <c r="AJ431" s="1703"/>
      <c r="AK431" s="1703"/>
      <c r="AL431" s="1703"/>
      <c r="AM431" s="4808"/>
      <c r="AN431" s="4809"/>
      <c r="AO431" s="4810"/>
      <c r="AP431" s="1704"/>
      <c r="AQ431" s="1704"/>
      <c r="AR431" s="1704"/>
      <c r="AS431" s="1704"/>
      <c r="AT431" s="1704"/>
      <c r="AU431" s="1704"/>
      <c r="AV431" s="1704"/>
      <c r="AW431" s="1704"/>
      <c r="AX431" s="1704"/>
      <c r="AY431" s="1704"/>
      <c r="AZ431" s="1059"/>
      <c r="BA431" s="1059"/>
      <c r="BB431" s="1059"/>
      <c r="BC431" s="1059"/>
      <c r="BD431" s="1059"/>
      <c r="BE431" s="1059"/>
      <c r="BF431" s="1059"/>
      <c r="BG431" s="1059"/>
      <c r="BH431" s="1059"/>
      <c r="BI431" s="1059"/>
      <c r="BJ431" s="1059"/>
      <c r="BK431" s="1059"/>
      <c r="BL431" s="1059"/>
      <c r="BM431" s="1059"/>
      <c r="BN431" s="1059"/>
      <c r="BO431" s="1059"/>
      <c r="BP431" s="1059"/>
      <c r="BQ431" s="1059"/>
      <c r="BR431" s="1059"/>
      <c r="BS431" s="1059"/>
      <c r="BT431" s="1059"/>
      <c r="BU431" s="1059"/>
      <c r="BV431" s="784"/>
      <c r="BW431" s="785"/>
      <c r="BX431" s="822"/>
      <c r="BY431" s="822"/>
      <c r="BZ431" s="822"/>
      <c r="CA431" s="822"/>
      <c r="CB431" s="822"/>
      <c r="CC431" s="822"/>
      <c r="CD431" s="822"/>
      <c r="CE431" s="822"/>
      <c r="CF431" s="822"/>
      <c r="CG431" s="822"/>
      <c r="CH431" s="822"/>
      <c r="CI431" s="822"/>
      <c r="CJ431" s="822"/>
      <c r="CK431" s="822"/>
      <c r="CL431" s="822"/>
      <c r="CM431" s="822"/>
      <c r="CN431" s="822"/>
      <c r="CO431" s="822"/>
      <c r="CP431" s="822"/>
      <c r="CQ431" s="822"/>
      <c r="CR431" s="822"/>
      <c r="CS431" s="822"/>
      <c r="CT431" s="822"/>
      <c r="CU431" s="822"/>
      <c r="CV431" s="822"/>
      <c r="CW431" s="822"/>
      <c r="CX431" s="822"/>
      <c r="CY431" s="822"/>
      <c r="CZ431" s="822"/>
      <c r="DA431" s="822"/>
      <c r="DB431" s="822"/>
      <c r="DC431" s="822"/>
      <c r="DD431" s="822"/>
      <c r="DE431" s="822"/>
      <c r="DF431" s="822"/>
      <c r="DG431" s="822"/>
      <c r="DH431" s="822"/>
      <c r="DI431" s="822"/>
      <c r="DJ431" s="822"/>
      <c r="DK431" s="822"/>
      <c r="DL431" s="822"/>
      <c r="DM431" s="822"/>
      <c r="DN431" s="822"/>
    </row>
    <row r="432" spans="2:148" ht="17.100000000000001" customHeight="1" thickTop="1" x14ac:dyDescent="0.3">
      <c r="B432" s="1271"/>
      <c r="D432" s="1271"/>
      <c r="E432" s="1253"/>
      <c r="F432" s="1253"/>
      <c r="G432" s="762"/>
      <c r="H432" s="1059"/>
      <c r="I432" s="999"/>
      <c r="J432" s="787"/>
      <c r="K432" s="1059"/>
      <c r="L432" s="1059"/>
      <c r="M432" s="1059"/>
      <c r="N432" s="1059"/>
      <c r="O432" s="1059"/>
      <c r="P432" s="1059"/>
      <c r="Q432" s="1059"/>
      <c r="R432" s="1059"/>
      <c r="S432" s="1059"/>
      <c r="T432" s="1059"/>
      <c r="U432" s="1059"/>
      <c r="V432" s="1059"/>
      <c r="W432" s="1059"/>
      <c r="X432" s="1059"/>
      <c r="Y432" s="1059"/>
      <c r="Z432" s="1059"/>
      <c r="AA432" s="1059"/>
      <c r="AB432" s="1059"/>
      <c r="AC432" s="1059"/>
      <c r="AD432" s="1059"/>
      <c r="AE432" s="1059"/>
      <c r="AF432" s="1059"/>
      <c r="AG432" s="1059"/>
      <c r="AH432" s="1059"/>
      <c r="AI432" s="1059"/>
      <c r="AJ432" s="1705"/>
      <c r="AK432" s="1705"/>
      <c r="AL432" s="1705"/>
      <c r="AM432" s="1706"/>
      <c r="AN432" s="1707" t="str" cm="1">
        <f t="array" ref="AN432">_xlfn.IFS(AND(AN429=1,AM431=""),"ENTER SHEET INITIATION DATE ABOVE",AN429=1,"|",TRUE,"")</f>
        <v/>
      </c>
      <c r="AO432" s="1706"/>
      <c r="AP432" s="1059"/>
      <c r="AQ432" s="1059"/>
      <c r="AR432" s="1059"/>
      <c r="AS432" s="1059"/>
      <c r="AT432" s="1708"/>
      <c r="AU432" s="1059"/>
      <c r="AV432" s="1709"/>
      <c r="AW432" s="1059"/>
      <c r="AX432" s="1059"/>
      <c r="AY432" s="1059"/>
      <c r="AZ432" s="1059"/>
      <c r="BA432" s="1059"/>
      <c r="BB432" s="1059"/>
      <c r="BC432" s="1059"/>
      <c r="BD432" s="1059"/>
      <c r="BE432" s="1059"/>
      <c r="BF432" s="1059"/>
      <c r="BG432" s="1059"/>
      <c r="BH432" s="1059"/>
      <c r="BI432" s="1059"/>
      <c r="BJ432" s="1059"/>
      <c r="BK432" s="1059"/>
      <c r="BL432" s="1059"/>
      <c r="BM432" s="1059"/>
      <c r="BN432" s="1059"/>
      <c r="BO432" s="1059"/>
      <c r="BP432" s="1059"/>
      <c r="BQ432" s="1059"/>
      <c r="BR432" s="1059"/>
      <c r="BS432" s="1059"/>
      <c r="BT432" s="1059"/>
      <c r="BU432" s="764"/>
      <c r="BV432" s="1253"/>
      <c r="BW432" s="1253"/>
      <c r="BX432" s="822"/>
      <c r="BY432" s="822"/>
      <c r="BZ432" s="822"/>
      <c r="CA432" s="822"/>
      <c r="CB432" s="822"/>
      <c r="CC432" s="822"/>
      <c r="CD432" s="822"/>
      <c r="CE432" s="822"/>
      <c r="CF432" s="822"/>
      <c r="CG432" s="822"/>
      <c r="CH432" s="822"/>
      <c r="CI432" s="822"/>
      <c r="CJ432" s="822"/>
      <c r="CK432" s="822"/>
      <c r="CL432" s="822"/>
      <c r="CM432" s="822"/>
      <c r="CN432" s="822"/>
      <c r="CO432" s="822"/>
      <c r="CP432" s="822"/>
      <c r="CQ432" s="822"/>
      <c r="CR432" s="822"/>
      <c r="CS432" s="822"/>
      <c r="CT432" s="822"/>
      <c r="CU432" s="822"/>
      <c r="CV432" s="822"/>
      <c r="CW432" s="822"/>
      <c r="CX432" s="822"/>
      <c r="CY432" s="822"/>
      <c r="CZ432" s="822"/>
      <c r="DA432" s="822"/>
      <c r="DB432" s="822"/>
      <c r="DC432" s="822"/>
      <c r="DD432" s="822"/>
      <c r="DE432" s="822"/>
      <c r="DF432" s="822"/>
      <c r="DG432" s="822"/>
      <c r="DH432" s="822"/>
      <c r="DI432" s="822"/>
      <c r="DJ432" s="822"/>
      <c r="DK432" s="822"/>
      <c r="DL432" s="822"/>
      <c r="DM432" s="822"/>
      <c r="DN432" s="822"/>
    </row>
    <row r="433" spans="2:118" ht="17.100000000000001" customHeight="1" thickBot="1" x14ac:dyDescent="0.35">
      <c r="B433" s="1271"/>
      <c r="D433" s="1271"/>
      <c r="E433" s="1253"/>
      <c r="F433" s="1253"/>
      <c r="G433" s="783"/>
      <c r="H433" s="784"/>
      <c r="I433" s="784"/>
      <c r="J433" s="784"/>
      <c r="K433" s="784"/>
      <c r="L433" s="784"/>
      <c r="M433" s="784"/>
      <c r="N433" s="784"/>
      <c r="O433" s="784"/>
      <c r="P433" s="784"/>
      <c r="Q433" s="784"/>
      <c r="R433" s="784"/>
      <c r="S433" s="784"/>
      <c r="T433" s="784"/>
      <c r="U433" s="784"/>
      <c r="V433" s="784"/>
      <c r="W433" s="784"/>
      <c r="X433" s="784"/>
      <c r="Y433" s="784"/>
      <c r="Z433" s="784"/>
      <c r="AA433" s="1059"/>
      <c r="AB433" s="1059"/>
      <c r="AC433" s="1059"/>
      <c r="AD433" s="1059"/>
      <c r="AE433" s="1059"/>
      <c r="AF433" s="1059"/>
      <c r="AG433" s="1059"/>
      <c r="AH433" s="1059"/>
      <c r="AI433" s="1059"/>
      <c r="AJ433" s="1262"/>
      <c r="AK433" s="1262"/>
      <c r="AL433" s="1262"/>
      <c r="AM433" s="4808"/>
      <c r="AN433" s="4809"/>
      <c r="AO433" s="4810"/>
      <c r="AP433" s="1262"/>
      <c r="AQ433" s="1262"/>
      <c r="AR433" s="1262"/>
      <c r="AS433" s="1262"/>
      <c r="AT433" s="1263"/>
      <c r="AU433" s="1059"/>
      <c r="AV433" s="1059"/>
      <c r="AW433" s="1059"/>
      <c r="AX433" s="1059"/>
      <c r="AY433" s="1059"/>
      <c r="AZ433" s="1059"/>
      <c r="BA433" s="1059"/>
      <c r="BB433" s="784"/>
      <c r="BC433" s="784"/>
      <c r="BD433" s="784"/>
      <c r="BE433" s="784"/>
      <c r="BF433" s="784"/>
      <c r="BG433" s="784"/>
      <c r="BH433" s="784"/>
      <c r="BI433" s="784"/>
      <c r="BJ433" s="784"/>
      <c r="BK433" s="784"/>
      <c r="BL433" s="784"/>
      <c r="BM433" s="784"/>
      <c r="BN433" s="784"/>
      <c r="BO433" s="784"/>
      <c r="BP433" s="784"/>
      <c r="BQ433" s="784"/>
      <c r="BR433" s="784"/>
      <c r="BS433" s="784"/>
      <c r="BT433" s="784"/>
      <c r="BU433" s="785"/>
      <c r="BV433" s="1253"/>
      <c r="BW433" s="1253"/>
      <c r="BX433" s="822"/>
      <c r="BY433" s="822"/>
      <c r="BZ433" s="822"/>
      <c r="CA433" s="822"/>
      <c r="CB433" s="822"/>
      <c r="CC433" s="822"/>
      <c r="CD433" s="822"/>
      <c r="CE433" s="822"/>
      <c r="CF433" s="822"/>
      <c r="CG433" s="822"/>
      <c r="CH433" s="822"/>
      <c r="CI433" s="822"/>
      <c r="CJ433" s="822"/>
      <c r="CK433" s="822"/>
      <c r="CL433" s="822"/>
      <c r="CM433" s="822"/>
      <c r="CN433" s="822"/>
      <c r="CO433" s="822"/>
      <c r="CP433" s="822"/>
      <c r="CQ433" s="822"/>
      <c r="CR433" s="822"/>
      <c r="CS433" s="822"/>
      <c r="CT433" s="822"/>
      <c r="CU433" s="822"/>
      <c r="CV433" s="822"/>
      <c r="CW433" s="822"/>
      <c r="CX433" s="822"/>
      <c r="CY433" s="822"/>
      <c r="CZ433" s="822"/>
      <c r="DA433" s="822"/>
      <c r="DB433" s="822"/>
      <c r="DC433" s="822"/>
      <c r="DD433" s="822"/>
      <c r="DE433" s="822"/>
      <c r="DF433" s="822"/>
      <c r="DG433" s="822"/>
      <c r="DH433" s="822"/>
      <c r="DI433" s="822"/>
      <c r="DJ433" s="822"/>
      <c r="DK433" s="822"/>
      <c r="DL433" s="822"/>
      <c r="DM433" s="822"/>
      <c r="DN433" s="822"/>
    </row>
    <row r="434" spans="2:118" ht="17.100000000000001" customHeight="1" thickTop="1" x14ac:dyDescent="0.3">
      <c r="B434" s="1271"/>
      <c r="D434" s="1271"/>
      <c r="E434" s="1253"/>
      <c r="F434" s="1253"/>
      <c r="G434" s="1253"/>
      <c r="H434" s="1253"/>
      <c r="I434" s="1253"/>
      <c r="J434" s="1253"/>
      <c r="K434" s="1253"/>
      <c r="L434" s="1253"/>
      <c r="M434" s="1253"/>
      <c r="N434" s="1253"/>
      <c r="O434" s="1253"/>
      <c r="P434" s="1253"/>
      <c r="Q434" s="1253"/>
      <c r="R434" s="1253"/>
      <c r="S434" s="1253"/>
      <c r="T434" s="1253"/>
      <c r="U434" s="1253"/>
      <c r="V434" s="1253"/>
      <c r="W434" s="1253"/>
      <c r="X434" s="1253"/>
      <c r="Y434" s="1253"/>
      <c r="Z434" s="1253"/>
      <c r="AA434" s="762"/>
      <c r="AB434" s="1170"/>
      <c r="AC434" s="1059"/>
      <c r="AD434" s="1059"/>
      <c r="AE434" s="1059"/>
      <c r="AF434" s="1059"/>
      <c r="AG434" s="1059"/>
      <c r="AH434" s="1059"/>
      <c r="AI434" s="1059"/>
      <c r="AJ434" s="1059"/>
      <c r="AK434" s="1059"/>
      <c r="AL434" s="1059"/>
      <c r="AM434" s="1059"/>
      <c r="AN434" s="1701" t="str">
        <f>IF(AND(AN429=1,AM433=""),"ENTER SHEET COMPLETION DATE ABOVE","")</f>
        <v/>
      </c>
      <c r="AO434" s="1059"/>
      <c r="AP434" s="1059"/>
      <c r="AQ434" s="1059"/>
      <c r="AR434" s="1059"/>
      <c r="AS434" s="1059"/>
      <c r="AT434" s="1059"/>
      <c r="AU434" s="1059"/>
      <c r="AV434" s="1059"/>
      <c r="AW434" s="1059"/>
      <c r="AX434" s="1059"/>
      <c r="AY434" s="1059"/>
      <c r="AZ434" s="1169"/>
      <c r="BA434" s="764"/>
      <c r="BB434" s="1253"/>
      <c r="BC434" s="1253"/>
      <c r="BD434" s="1253"/>
      <c r="BE434" s="1253"/>
      <c r="BF434" s="1253"/>
      <c r="BG434" s="1253"/>
      <c r="BH434" s="1253"/>
      <c r="BI434" s="1253"/>
      <c r="BJ434" s="1253"/>
      <c r="BK434" s="1253"/>
      <c r="BL434" s="1253"/>
      <c r="BM434" s="1253"/>
      <c r="BN434" s="1253"/>
      <c r="BO434" s="1253"/>
      <c r="BP434" s="1253"/>
      <c r="BQ434" s="1253"/>
      <c r="BR434" s="1253"/>
      <c r="BS434" s="1253"/>
      <c r="BT434" s="1253"/>
      <c r="BU434" s="1253"/>
      <c r="BV434" s="1253"/>
      <c r="BW434" s="1253"/>
      <c r="BX434" s="822"/>
      <c r="BY434" s="822"/>
      <c r="BZ434" s="822"/>
      <c r="CA434" s="822"/>
      <c r="CB434" s="822"/>
      <c r="CC434" s="822"/>
      <c r="CD434" s="822"/>
      <c r="CE434" s="822"/>
      <c r="CF434" s="822"/>
      <c r="CG434" s="822"/>
      <c r="CH434" s="822"/>
      <c r="CI434" s="822"/>
      <c r="CJ434" s="822"/>
      <c r="CK434" s="822"/>
      <c r="CL434" s="822"/>
      <c r="CM434" s="822"/>
      <c r="CN434" s="822"/>
      <c r="CO434" s="822"/>
      <c r="CP434" s="822"/>
      <c r="CQ434" s="822"/>
      <c r="CR434" s="822"/>
      <c r="CS434" s="822"/>
      <c r="CT434" s="822"/>
      <c r="CU434" s="822"/>
      <c r="CV434" s="822"/>
      <c r="CW434" s="822"/>
      <c r="CX434" s="822"/>
      <c r="CY434" s="822"/>
      <c r="CZ434" s="822"/>
      <c r="DA434" s="822"/>
      <c r="DB434" s="822"/>
      <c r="DC434" s="822"/>
      <c r="DD434" s="822"/>
      <c r="DE434" s="822"/>
      <c r="DF434" s="822"/>
      <c r="DG434" s="822"/>
      <c r="DH434" s="822"/>
      <c r="DI434" s="822"/>
      <c r="DJ434" s="822"/>
      <c r="DK434" s="822"/>
      <c r="DL434" s="822"/>
      <c r="DM434" s="822"/>
      <c r="DN434" s="822"/>
    </row>
    <row r="435" spans="2:118" ht="17.100000000000001" customHeight="1" thickBot="1" x14ac:dyDescent="0.35">
      <c r="B435" s="1271"/>
      <c r="D435" s="1271"/>
      <c r="E435" s="1253"/>
      <c r="F435" s="1253"/>
      <c r="G435" s="1253"/>
      <c r="H435" s="1253"/>
      <c r="I435" s="1253"/>
      <c r="J435" s="1253"/>
      <c r="K435" s="1253"/>
      <c r="L435" s="1253"/>
      <c r="M435" s="1253"/>
      <c r="N435" s="1253"/>
      <c r="O435" s="1253"/>
      <c r="P435" s="1253"/>
      <c r="Q435" s="1253"/>
      <c r="R435" s="1253"/>
      <c r="S435" s="1253"/>
      <c r="T435" s="1253"/>
      <c r="U435" s="1253"/>
      <c r="V435" s="1253"/>
      <c r="W435" s="1253"/>
      <c r="X435" s="1253"/>
      <c r="Y435" s="1253"/>
      <c r="Z435" s="1253"/>
      <c r="AA435" s="783"/>
      <c r="AB435" s="784"/>
      <c r="AC435" s="784"/>
      <c r="AD435" s="784"/>
      <c r="AE435" s="784"/>
      <c r="AF435" s="784"/>
      <c r="AG435" s="784"/>
      <c r="AH435" s="784"/>
      <c r="AI435" s="784"/>
      <c r="AJ435" s="784"/>
      <c r="AK435" s="784"/>
      <c r="AL435" s="784"/>
      <c r="AM435" s="784"/>
      <c r="AN435" s="784"/>
      <c r="AO435" s="784"/>
      <c r="AP435" s="784"/>
      <c r="AQ435" s="784"/>
      <c r="AR435" s="784"/>
      <c r="AS435" s="784"/>
      <c r="AT435" s="784"/>
      <c r="AU435" s="784"/>
      <c r="AV435" s="784"/>
      <c r="AW435" s="784"/>
      <c r="AX435" s="784"/>
      <c r="AY435" s="784"/>
      <c r="AZ435" s="784"/>
      <c r="BA435" s="785"/>
      <c r="BB435" s="1253"/>
      <c r="BC435" s="1253"/>
      <c r="BD435" s="1253"/>
      <c r="BE435" s="1253"/>
      <c r="BF435" s="1253"/>
      <c r="BG435" s="1253"/>
      <c r="BH435" s="1253"/>
      <c r="BI435" s="1253"/>
      <c r="BJ435" s="1253"/>
      <c r="BK435" s="1253"/>
      <c r="BL435" s="1253"/>
      <c r="BM435" s="1253"/>
      <c r="BN435" s="1253"/>
      <c r="BO435" s="1253"/>
      <c r="BP435" s="1253"/>
      <c r="BQ435" s="1253"/>
      <c r="BR435" s="1253"/>
      <c r="BS435" s="1253"/>
      <c r="BT435" s="1253"/>
      <c r="BU435" s="1253"/>
      <c r="BV435" s="1253"/>
      <c r="BW435" s="1253"/>
      <c r="BX435" s="822"/>
      <c r="BY435" s="822"/>
      <c r="BZ435" s="822"/>
      <c r="CA435" s="822"/>
      <c r="CB435" s="822"/>
      <c r="CC435" s="822"/>
      <c r="CD435" s="822"/>
      <c r="CE435" s="822"/>
      <c r="CF435" s="822"/>
      <c r="CG435" s="822"/>
      <c r="CH435" s="822"/>
      <c r="CI435" s="822"/>
      <c r="CJ435" s="822"/>
      <c r="CK435" s="822"/>
      <c r="CL435" s="822"/>
      <c r="CM435" s="822"/>
      <c r="CN435" s="822"/>
      <c r="CO435" s="822"/>
      <c r="CP435" s="822"/>
      <c r="CQ435" s="822"/>
      <c r="CR435" s="822"/>
      <c r="CS435" s="822"/>
      <c r="CT435" s="822"/>
      <c r="CU435" s="822"/>
      <c r="CV435" s="822"/>
      <c r="CW435" s="822"/>
      <c r="CX435" s="822"/>
      <c r="CY435" s="822"/>
      <c r="CZ435" s="822"/>
      <c r="DA435" s="822"/>
      <c r="DB435" s="822"/>
      <c r="DC435" s="822"/>
      <c r="DD435" s="822"/>
      <c r="DE435" s="822"/>
      <c r="DF435" s="822"/>
      <c r="DG435" s="822"/>
      <c r="DH435" s="822"/>
      <c r="DI435" s="822"/>
      <c r="DJ435" s="822"/>
      <c r="DK435" s="822"/>
      <c r="DL435" s="822"/>
      <c r="DM435" s="822"/>
      <c r="DN435" s="822"/>
    </row>
    <row r="436" spans="2:118" ht="17.100000000000001" customHeight="1" thickTop="1" x14ac:dyDescent="0.3">
      <c r="B436" s="1271"/>
      <c r="D436" s="1271"/>
      <c r="E436" s="1271"/>
      <c r="F436" s="1271"/>
      <c r="G436" s="1271"/>
      <c r="H436" s="1271"/>
      <c r="I436" s="1271"/>
      <c r="J436" s="1271"/>
      <c r="K436" s="1271"/>
      <c r="L436" s="1271"/>
      <c r="M436" s="1271"/>
      <c r="N436" s="1271"/>
      <c r="O436" s="1271"/>
      <c r="P436" s="1271"/>
      <c r="Q436" s="1271"/>
      <c r="R436" s="822"/>
      <c r="S436" s="822"/>
      <c r="T436" s="822"/>
      <c r="U436" s="822"/>
      <c r="V436" s="822"/>
      <c r="W436" s="822"/>
      <c r="X436" s="822"/>
      <c r="Y436" s="822"/>
      <c r="Z436" s="822"/>
      <c r="AA436" s="822"/>
      <c r="AB436" s="822"/>
      <c r="AC436" s="822"/>
      <c r="AD436" s="822"/>
      <c r="AE436" s="822"/>
      <c r="AF436" s="822"/>
      <c r="AG436" s="822"/>
      <c r="AH436" s="822"/>
      <c r="AI436" s="822"/>
      <c r="AJ436" s="822"/>
      <c r="AK436" s="822"/>
      <c r="AL436" s="822"/>
      <c r="AM436" s="822"/>
      <c r="AN436" s="822"/>
      <c r="AO436" s="822"/>
      <c r="AP436" s="822"/>
      <c r="AQ436" s="822"/>
      <c r="AR436" s="822"/>
      <c r="AS436" s="822"/>
      <c r="AT436" s="822"/>
      <c r="AU436" s="822"/>
      <c r="AV436" s="822"/>
      <c r="AW436" s="822"/>
      <c r="AX436" s="822"/>
      <c r="AY436" s="822"/>
      <c r="AZ436" s="822"/>
      <c r="BA436" s="822"/>
      <c r="BB436" s="822"/>
      <c r="BC436" s="822"/>
      <c r="BD436" s="822"/>
      <c r="BE436" s="822"/>
      <c r="BF436" s="822"/>
      <c r="BG436" s="822"/>
      <c r="BH436" s="822"/>
      <c r="BI436" s="822"/>
      <c r="BJ436" s="822"/>
      <c r="BK436" s="822"/>
      <c r="BL436" s="822"/>
      <c r="BM436" s="822"/>
      <c r="BN436" s="822"/>
      <c r="BO436" s="822"/>
      <c r="BP436" s="822"/>
      <c r="BQ436" s="822"/>
      <c r="BR436" s="822"/>
      <c r="BS436" s="822"/>
      <c r="BT436" s="822"/>
      <c r="BU436" s="822"/>
      <c r="BV436" s="822"/>
      <c r="BX436" s="822"/>
      <c r="BY436" s="822"/>
      <c r="BZ436" s="822"/>
      <c r="CA436" s="822"/>
      <c r="CB436" s="822"/>
      <c r="CC436" s="822"/>
      <c r="CD436" s="822"/>
      <c r="CE436" s="822"/>
      <c r="CF436" s="822"/>
      <c r="CG436" s="822"/>
      <c r="CH436" s="822"/>
      <c r="CI436" s="822"/>
      <c r="CJ436" s="822"/>
      <c r="CK436" s="822"/>
      <c r="CL436" s="822"/>
      <c r="CM436" s="822"/>
      <c r="CN436" s="822"/>
      <c r="CO436" s="822"/>
      <c r="CP436" s="822"/>
      <c r="CQ436" s="822"/>
      <c r="CR436" s="822"/>
      <c r="CS436" s="822"/>
      <c r="CT436" s="822"/>
      <c r="CU436" s="822"/>
      <c r="CV436" s="822"/>
      <c r="CW436" s="822"/>
      <c r="CX436" s="822"/>
      <c r="CY436" s="822"/>
      <c r="CZ436" s="822"/>
      <c r="DA436" s="822"/>
      <c r="DB436" s="822"/>
      <c r="DC436" s="822"/>
      <c r="DD436" s="822"/>
      <c r="DE436" s="822"/>
      <c r="DF436" s="822"/>
      <c r="DG436" s="822"/>
      <c r="DH436" s="822"/>
      <c r="DI436" s="822"/>
      <c r="DJ436" s="822"/>
      <c r="DK436" s="822"/>
      <c r="DL436" s="822"/>
      <c r="DM436" s="822"/>
      <c r="DN436" s="822"/>
    </row>
    <row r="437" spans="2:118" ht="17.100000000000001" customHeight="1" x14ac:dyDescent="0.3">
      <c r="B437" s="1271"/>
      <c r="D437" s="1271"/>
      <c r="R437" s="822"/>
      <c r="S437" s="822"/>
      <c r="T437" s="822"/>
      <c r="U437" s="822"/>
      <c r="V437" s="822"/>
      <c r="W437" s="822"/>
      <c r="X437" s="822"/>
      <c r="Y437" s="822"/>
      <c r="Z437" s="822"/>
      <c r="AA437" s="822"/>
      <c r="AB437" s="822"/>
      <c r="AC437" s="822"/>
      <c r="AD437" s="822"/>
      <c r="AE437" s="822"/>
      <c r="AF437" s="822"/>
      <c r="AG437" s="822"/>
      <c r="AH437" s="822"/>
      <c r="AI437" s="822"/>
      <c r="AJ437" s="822"/>
      <c r="AK437" s="822"/>
      <c r="AL437" s="822"/>
      <c r="AM437" s="822"/>
      <c r="AN437" s="34" t="s">
        <v>9</v>
      </c>
      <c r="AO437" s="822"/>
      <c r="AP437" s="822"/>
      <c r="AQ437" s="822"/>
      <c r="AR437" s="822"/>
      <c r="AS437" s="822"/>
      <c r="AT437" s="822"/>
      <c r="AU437" s="822"/>
      <c r="AV437" s="822"/>
      <c r="AW437" s="822"/>
      <c r="AX437" s="822"/>
      <c r="AY437" s="822"/>
      <c r="AZ437" s="822"/>
      <c r="BA437" s="822"/>
      <c r="BB437" s="822"/>
      <c r="BC437" s="822"/>
      <c r="BD437" s="822"/>
      <c r="BE437" s="822"/>
      <c r="BF437" s="822"/>
      <c r="BG437" s="822"/>
      <c r="BH437" s="822"/>
      <c r="BI437" s="822"/>
      <c r="BJ437" s="822"/>
      <c r="BK437" s="822"/>
      <c r="BL437" s="822"/>
      <c r="BM437" s="822"/>
      <c r="BN437" s="822"/>
      <c r="BO437" s="822"/>
      <c r="BP437" s="822"/>
      <c r="BQ437" s="822"/>
      <c r="BR437" s="822"/>
      <c r="BS437" s="822"/>
      <c r="BT437" s="822"/>
      <c r="BU437" s="822"/>
      <c r="BV437" s="822"/>
      <c r="BX437" s="822"/>
      <c r="BY437" s="822"/>
      <c r="BZ437" s="822"/>
      <c r="CA437" s="822"/>
      <c r="CB437" s="822"/>
      <c r="CC437" s="822"/>
      <c r="CD437" s="822"/>
      <c r="CE437" s="822"/>
      <c r="CF437" s="822"/>
      <c r="CG437" s="822"/>
      <c r="CH437" s="822"/>
      <c r="CI437" s="822"/>
      <c r="CJ437" s="822"/>
      <c r="CK437" s="822"/>
      <c r="CL437" s="822"/>
      <c r="CM437" s="822"/>
      <c r="CN437" s="822"/>
      <c r="CO437" s="822"/>
      <c r="CP437" s="822"/>
      <c r="CQ437" s="822"/>
      <c r="CR437" s="822"/>
      <c r="CS437" s="822"/>
      <c r="CT437" s="822"/>
      <c r="CU437" s="822"/>
      <c r="CV437" s="822"/>
      <c r="CW437" s="822"/>
      <c r="CX437" s="822"/>
      <c r="CY437" s="822"/>
      <c r="CZ437" s="822"/>
      <c r="DA437" s="822"/>
      <c r="DB437" s="822"/>
      <c r="DC437" s="822"/>
      <c r="DD437" s="822"/>
      <c r="DE437" s="822"/>
      <c r="DF437" s="822"/>
      <c r="DG437" s="822"/>
      <c r="DH437" s="822"/>
      <c r="DI437" s="822"/>
      <c r="DJ437" s="822"/>
      <c r="DK437" s="822"/>
      <c r="DL437" s="822"/>
      <c r="DM437" s="822"/>
      <c r="DN437" s="822"/>
    </row>
    <row r="438" spans="2:118" ht="17.100000000000001" customHeight="1" thickBot="1" x14ac:dyDescent="0.35">
      <c r="B438" s="1271"/>
      <c r="D438" s="1271"/>
      <c r="R438" s="822"/>
      <c r="S438" s="822"/>
      <c r="T438" s="822"/>
      <c r="U438" s="822"/>
      <c r="V438" s="822"/>
      <c r="W438" s="822"/>
      <c r="X438" s="822"/>
      <c r="Y438" s="822"/>
      <c r="Z438" s="822"/>
      <c r="AA438" s="822"/>
      <c r="AB438" s="822"/>
      <c r="AC438" s="822"/>
      <c r="AD438" s="822"/>
      <c r="AE438" s="822"/>
      <c r="AF438" s="822"/>
      <c r="AG438" s="822"/>
      <c r="AH438" s="822"/>
      <c r="AI438" s="822"/>
      <c r="AJ438" s="822"/>
      <c r="AK438" s="822"/>
      <c r="AL438" s="822"/>
      <c r="AM438" s="822"/>
      <c r="AN438" s="34" t="s">
        <v>9</v>
      </c>
      <c r="AO438" s="822"/>
      <c r="AP438" s="822"/>
      <c r="AQ438" s="822"/>
      <c r="AR438" s="822"/>
      <c r="AS438" s="822"/>
      <c r="AT438" s="822"/>
      <c r="AU438" s="822"/>
      <c r="AV438" s="822"/>
      <c r="AW438" s="822"/>
      <c r="AX438" s="822"/>
      <c r="AY438" s="822"/>
      <c r="AZ438" s="822"/>
      <c r="BA438" s="822"/>
      <c r="BB438" s="822"/>
      <c r="BC438" s="822"/>
      <c r="BD438" s="822"/>
      <c r="BE438" s="822"/>
      <c r="BF438" s="822"/>
      <c r="BG438" s="822"/>
      <c r="BH438" s="822"/>
      <c r="BI438" s="822"/>
      <c r="BJ438" s="822"/>
      <c r="BK438" s="822"/>
      <c r="BL438" s="822"/>
      <c r="BM438" s="822"/>
      <c r="BN438" s="822"/>
      <c r="BO438" s="822"/>
      <c r="BP438" s="822"/>
      <c r="BQ438" s="822"/>
      <c r="BR438" s="822"/>
      <c r="BS438" s="822"/>
      <c r="BT438" s="822"/>
      <c r="BU438" s="822"/>
      <c r="BV438" s="822"/>
      <c r="BX438" s="822"/>
      <c r="BY438" s="822"/>
      <c r="BZ438" s="822"/>
      <c r="CA438" s="822"/>
      <c r="CB438" s="822"/>
      <c r="CC438" s="822"/>
      <c r="CD438" s="822"/>
      <c r="CE438" s="822"/>
      <c r="CF438" s="822"/>
      <c r="CG438" s="822"/>
      <c r="CH438" s="822"/>
      <c r="CI438" s="822"/>
      <c r="CJ438" s="822"/>
      <c r="CK438" s="822"/>
      <c r="CL438" s="822"/>
      <c r="CM438" s="822"/>
      <c r="CN438" s="822"/>
      <c r="CO438" s="822"/>
      <c r="CP438" s="822"/>
      <c r="CQ438" s="822"/>
      <c r="CR438" s="822"/>
      <c r="CS438" s="822"/>
      <c r="CT438" s="822"/>
      <c r="CU438" s="822"/>
      <c r="CV438" s="822"/>
      <c r="CW438" s="822"/>
      <c r="CX438" s="822"/>
      <c r="CY438" s="822"/>
      <c r="CZ438" s="822"/>
      <c r="DA438" s="822"/>
      <c r="DB438" s="822"/>
      <c r="DC438" s="822"/>
      <c r="DD438" s="822"/>
      <c r="DE438" s="822"/>
      <c r="DF438" s="822"/>
      <c r="DG438" s="822"/>
      <c r="DH438" s="822"/>
      <c r="DI438" s="822"/>
      <c r="DJ438" s="822"/>
      <c r="DK438" s="822"/>
      <c r="DL438" s="822"/>
      <c r="DM438" s="822"/>
      <c r="DN438" s="822"/>
    </row>
    <row r="439" spans="2:118" ht="17.100000000000001" customHeight="1" thickTop="1" x14ac:dyDescent="0.3">
      <c r="B439" s="1271"/>
      <c r="D439" s="1271"/>
      <c r="E439" s="23"/>
      <c r="F439" s="23"/>
      <c r="G439" s="23"/>
      <c r="H439" s="23"/>
      <c r="I439" s="23"/>
      <c r="J439" s="23"/>
      <c r="K439" s="23"/>
      <c r="L439" s="23"/>
      <c r="M439" s="23"/>
      <c r="N439" s="23"/>
      <c r="O439" s="23"/>
      <c r="P439" s="23"/>
      <c r="Q439" s="23"/>
      <c r="R439" s="23"/>
      <c r="S439" s="23"/>
      <c r="T439" s="23"/>
      <c r="U439" s="23"/>
      <c r="V439" s="23"/>
      <c r="W439" s="23"/>
      <c r="X439" s="23"/>
      <c r="Y439" s="23"/>
      <c r="Z439" s="23"/>
      <c r="AA439" s="1720"/>
      <c r="AB439" s="1721"/>
      <c r="AC439" s="1721"/>
      <c r="AD439" s="1721"/>
      <c r="AE439" s="1721"/>
      <c r="AF439" s="1721"/>
      <c r="AG439" s="1721"/>
      <c r="AH439" s="1721"/>
      <c r="AI439" s="1721"/>
      <c r="AJ439" s="1721"/>
      <c r="AK439" s="1721"/>
      <c r="AL439" s="1721"/>
      <c r="AM439" s="1721"/>
      <c r="AN439" s="1721"/>
      <c r="AO439" s="1721"/>
      <c r="AP439" s="1721"/>
      <c r="AQ439" s="1721"/>
      <c r="AR439" s="1721"/>
      <c r="AS439" s="1721"/>
      <c r="AT439" s="1721"/>
      <c r="AU439" s="1721"/>
      <c r="AV439" s="1721"/>
      <c r="AW439" s="1721"/>
      <c r="AX439" s="1721"/>
      <c r="AY439" s="1721"/>
      <c r="AZ439" s="1721"/>
      <c r="BA439" s="1722"/>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822"/>
      <c r="BY439" s="822"/>
      <c r="BZ439" s="822"/>
      <c r="CA439" s="822"/>
      <c r="CB439" s="822"/>
      <c r="CC439" s="822"/>
      <c r="CD439" s="822"/>
      <c r="CE439" s="822"/>
      <c r="CF439" s="822"/>
      <c r="CG439" s="822"/>
      <c r="CH439" s="822"/>
      <c r="CI439" s="822"/>
      <c r="CJ439" s="822"/>
      <c r="CK439" s="822"/>
      <c r="CL439" s="822"/>
      <c r="CM439" s="822"/>
      <c r="CN439" s="822"/>
      <c r="CO439" s="822"/>
      <c r="CP439" s="822"/>
      <c r="CQ439" s="822"/>
      <c r="CR439" s="822"/>
      <c r="CS439" s="822"/>
      <c r="CT439" s="822"/>
      <c r="CU439" s="822"/>
      <c r="CV439" s="822"/>
      <c r="CW439" s="822"/>
      <c r="CX439" s="822"/>
      <c r="CY439" s="822"/>
      <c r="CZ439" s="822"/>
      <c r="DA439" s="822"/>
      <c r="DB439" s="822"/>
      <c r="DC439" s="822"/>
      <c r="DD439" s="822"/>
      <c r="DE439" s="822"/>
      <c r="DF439" s="822"/>
      <c r="DG439" s="822"/>
      <c r="DH439" s="822"/>
      <c r="DI439" s="822"/>
      <c r="DJ439" s="822"/>
      <c r="DK439" s="822"/>
      <c r="DL439" s="822"/>
      <c r="DM439" s="822"/>
      <c r="DN439" s="822"/>
    </row>
    <row r="440" spans="2:118" ht="17.100000000000001" customHeight="1" thickBot="1" x14ac:dyDescent="0.35">
      <c r="B440" s="1271"/>
      <c r="D440" s="1271"/>
      <c r="E440" s="23"/>
      <c r="F440" s="23"/>
      <c r="G440" s="23"/>
      <c r="H440" s="23"/>
      <c r="I440" s="23"/>
      <c r="J440" s="23"/>
      <c r="K440" s="23"/>
      <c r="L440" s="23"/>
      <c r="M440" s="23"/>
      <c r="N440" s="23"/>
      <c r="O440" s="23"/>
      <c r="P440" s="23"/>
      <c r="Q440" s="23"/>
      <c r="R440" s="23"/>
      <c r="S440" s="23"/>
      <c r="T440" s="23"/>
      <c r="U440" s="23"/>
      <c r="V440" s="23"/>
      <c r="W440" s="23"/>
      <c r="X440" s="23"/>
      <c r="Y440" s="23"/>
      <c r="Z440" s="23"/>
      <c r="AA440" s="1723"/>
      <c r="AB440" s="1724"/>
      <c r="AC440" s="1710"/>
      <c r="AD440" s="1710"/>
      <c r="AE440" s="1710"/>
      <c r="AF440" s="1710"/>
      <c r="AG440" s="1710"/>
      <c r="AH440" s="1710"/>
      <c r="AI440" s="1710"/>
      <c r="AJ440" s="1710"/>
      <c r="AK440" s="1710"/>
      <c r="AL440" s="1710"/>
      <c r="AM440" s="1710"/>
      <c r="AN440" s="1710"/>
      <c r="AO440" s="1710"/>
      <c r="AP440" s="1710"/>
      <c r="AQ440" s="1710"/>
      <c r="AR440" s="1710"/>
      <c r="AS440" s="1710"/>
      <c r="AT440" s="1710"/>
      <c r="AU440" s="1710"/>
      <c r="AV440" s="1710"/>
      <c r="AW440" s="1710"/>
      <c r="AX440" s="1710"/>
      <c r="AY440" s="1710"/>
      <c r="AZ440" s="1724"/>
      <c r="BA440" s="1725"/>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19"/>
      <c r="BY440" s="822"/>
      <c r="BZ440" s="822"/>
      <c r="CA440" s="822"/>
      <c r="CB440" s="822"/>
      <c r="CC440" s="822"/>
      <c r="CD440" s="822"/>
      <c r="CE440" s="822"/>
      <c r="CF440" s="822"/>
      <c r="CG440" s="822"/>
      <c r="CH440" s="822"/>
      <c r="CI440" s="822"/>
      <c r="CJ440" s="822"/>
      <c r="CK440" s="822"/>
      <c r="CL440" s="822"/>
      <c r="CM440" s="822"/>
      <c r="CN440" s="822"/>
      <c r="CO440" s="822"/>
      <c r="CP440" s="822"/>
      <c r="CQ440" s="822"/>
      <c r="CR440" s="822"/>
      <c r="CS440" s="822"/>
      <c r="CT440" s="822"/>
      <c r="CU440" s="822"/>
      <c r="CV440" s="822"/>
      <c r="CW440" s="822"/>
      <c r="CX440" s="822"/>
      <c r="CY440" s="822"/>
      <c r="CZ440" s="822"/>
      <c r="DA440" s="822"/>
      <c r="DB440" s="822"/>
      <c r="DC440" s="822"/>
      <c r="DD440" s="822"/>
      <c r="DE440" s="822"/>
      <c r="DF440" s="822"/>
      <c r="DG440" s="822"/>
      <c r="DH440" s="822"/>
      <c r="DI440" s="822"/>
      <c r="DJ440" s="822"/>
      <c r="DK440" s="822"/>
      <c r="DL440" s="822"/>
      <c r="DM440" s="822"/>
      <c r="DN440" s="822"/>
    </row>
    <row r="441" spans="2:118" ht="17.100000000000001" customHeight="1" thickTop="1" x14ac:dyDescent="0.3">
      <c r="B441" s="1271"/>
      <c r="D441" s="1271"/>
      <c r="E441" s="23"/>
      <c r="F441" s="23"/>
      <c r="G441" s="1720"/>
      <c r="H441" s="1721"/>
      <c r="I441" s="1721"/>
      <c r="J441" s="1721"/>
      <c r="K441" s="1721"/>
      <c r="L441" s="1721"/>
      <c r="M441" s="1721"/>
      <c r="N441" s="1721"/>
      <c r="O441" s="1721"/>
      <c r="P441" s="1721"/>
      <c r="Q441" s="1721"/>
      <c r="R441" s="1721"/>
      <c r="S441" s="1721"/>
      <c r="T441" s="1721"/>
      <c r="U441" s="1721"/>
      <c r="V441" s="1721"/>
      <c r="W441" s="1721"/>
      <c r="X441" s="1721"/>
      <c r="Y441" s="1721"/>
      <c r="Z441" s="1721"/>
      <c r="AA441" s="1711"/>
      <c r="AB441" s="1711"/>
      <c r="AC441" s="1710"/>
      <c r="AD441" s="1710"/>
      <c r="AE441" s="1710"/>
      <c r="AF441" s="1710"/>
      <c r="AG441" s="1710"/>
      <c r="AH441" s="1710"/>
      <c r="AI441" s="1710"/>
      <c r="AJ441" s="1710"/>
      <c r="AK441" s="1710"/>
      <c r="AL441" s="1710"/>
      <c r="AM441" s="1710"/>
      <c r="AN441" s="1710"/>
      <c r="AO441" s="1710"/>
      <c r="AP441" s="1710"/>
      <c r="AQ441" s="1710"/>
      <c r="AR441" s="1710"/>
      <c r="AS441" s="1710"/>
      <c r="AT441" s="1710"/>
      <c r="AU441" s="1710"/>
      <c r="AV441" s="1710"/>
      <c r="AW441" s="1710"/>
      <c r="AX441" s="1710"/>
      <c r="AY441" s="1710"/>
      <c r="AZ441" s="1711"/>
      <c r="BA441" s="1711"/>
      <c r="BB441" s="1721"/>
      <c r="BC441" s="1721"/>
      <c r="BD441" s="1721"/>
      <c r="BE441" s="1721"/>
      <c r="BF441" s="1721"/>
      <c r="BG441" s="1721"/>
      <c r="BH441" s="1721"/>
      <c r="BI441" s="1721"/>
      <c r="BJ441" s="1721"/>
      <c r="BK441" s="1721"/>
      <c r="BL441" s="1721"/>
      <c r="BM441" s="1721"/>
      <c r="BN441" s="1721"/>
      <c r="BO441" s="1721"/>
      <c r="BP441" s="1721"/>
      <c r="BQ441" s="1721"/>
      <c r="BR441" s="1721"/>
      <c r="BS441" s="1721"/>
      <c r="BT441" s="1721"/>
      <c r="BU441" s="1722"/>
      <c r="BV441" s="19"/>
      <c r="BW441" s="19"/>
      <c r="BX441" s="19"/>
      <c r="BY441" s="822"/>
      <c r="BZ441" s="822"/>
      <c r="CA441" s="822"/>
      <c r="CB441" s="822"/>
      <c r="CC441" s="822"/>
      <c r="CD441" s="822"/>
      <c r="CE441" s="822"/>
      <c r="CF441" s="822"/>
      <c r="CG441" s="822"/>
      <c r="CH441" s="822"/>
      <c r="CI441" s="822"/>
      <c r="CJ441" s="822"/>
      <c r="CK441" s="822"/>
      <c r="CL441" s="822"/>
      <c r="CM441" s="822"/>
      <c r="CN441" s="822"/>
      <c r="CO441" s="822"/>
      <c r="CP441" s="822"/>
      <c r="CQ441" s="822"/>
      <c r="CR441" s="822"/>
      <c r="CS441" s="822"/>
      <c r="CT441" s="822"/>
      <c r="CU441" s="822"/>
      <c r="CV441" s="822"/>
      <c r="CW441" s="822"/>
      <c r="CX441" s="822"/>
      <c r="CY441" s="822"/>
      <c r="CZ441" s="822"/>
      <c r="DA441" s="822"/>
      <c r="DB441" s="822"/>
      <c r="DC441" s="822"/>
      <c r="DD441" s="822"/>
      <c r="DE441" s="822"/>
      <c r="DF441" s="822"/>
      <c r="DG441" s="822"/>
      <c r="DH441" s="822"/>
      <c r="DI441" s="822"/>
      <c r="DJ441" s="822"/>
      <c r="DK441" s="822"/>
      <c r="DL441" s="822"/>
      <c r="DM441" s="822"/>
      <c r="DN441" s="822"/>
    </row>
    <row r="442" spans="2:118" ht="17.100000000000001" customHeight="1" thickBot="1" x14ac:dyDescent="0.35">
      <c r="B442" s="1271"/>
      <c r="D442" s="1271"/>
      <c r="E442" s="23"/>
      <c r="F442" s="23"/>
      <c r="G442" s="1723"/>
      <c r="H442" s="1724"/>
      <c r="I442" s="1711"/>
      <c r="J442" s="1711"/>
      <c r="K442" s="1711"/>
      <c r="L442" s="1711"/>
      <c r="M442" s="1711"/>
      <c r="N442" s="1711"/>
      <c r="O442" s="1711"/>
      <c r="P442" s="1711"/>
      <c r="Q442" s="1711"/>
      <c r="R442" s="1711"/>
      <c r="S442" s="1711"/>
      <c r="T442" s="1711"/>
      <c r="U442" s="1711"/>
      <c r="V442" s="1711"/>
      <c r="W442" s="1711"/>
      <c r="X442" s="1711"/>
      <c r="Y442" s="1711"/>
      <c r="Z442" s="1711"/>
      <c r="AA442" s="1711"/>
      <c r="AB442" s="1711"/>
      <c r="AC442" s="1712"/>
      <c r="AD442" s="1712"/>
      <c r="AE442" s="1712"/>
      <c r="AF442" s="1712"/>
      <c r="AG442" s="1712"/>
      <c r="AH442" s="1712"/>
      <c r="AI442" s="1712"/>
      <c r="AJ442" s="1712"/>
      <c r="AK442" s="1712"/>
      <c r="AL442" s="1712"/>
      <c r="AM442" s="4861" t="s">
        <v>370</v>
      </c>
      <c r="AN442" s="4861"/>
      <c r="AO442" s="4861"/>
      <c r="AP442" s="1712"/>
      <c r="AQ442" s="1712"/>
      <c r="AR442" s="1712"/>
      <c r="AS442" s="1712"/>
      <c r="AT442" s="1712"/>
      <c r="AU442" s="1712"/>
      <c r="AV442" s="1712"/>
      <c r="AW442" s="1712"/>
      <c r="AX442" s="1712"/>
      <c r="AY442" s="1712"/>
      <c r="AZ442" s="1711"/>
      <c r="BA442" s="1711"/>
      <c r="BB442" s="1711"/>
      <c r="BC442" s="1711"/>
      <c r="BD442" s="1711"/>
      <c r="BE442" s="1711"/>
      <c r="BF442" s="1711"/>
      <c r="BG442" s="1711"/>
      <c r="BH442" s="1711"/>
      <c r="BI442" s="1711"/>
      <c r="BJ442" s="1711"/>
      <c r="BK442" s="1711"/>
      <c r="BL442" s="1711"/>
      <c r="BM442" s="1711"/>
      <c r="BN442" s="1711"/>
      <c r="BO442" s="1711"/>
      <c r="BP442" s="1711"/>
      <c r="BQ442" s="1711"/>
      <c r="BR442" s="1711"/>
      <c r="BS442" s="1711"/>
      <c r="BT442" s="1724"/>
      <c r="BU442" s="1725"/>
      <c r="BV442" s="19"/>
      <c r="BW442" s="19"/>
      <c r="BX442" s="19"/>
      <c r="BY442" s="822"/>
      <c r="BZ442" s="822"/>
      <c r="CA442" s="822"/>
      <c r="CB442" s="822"/>
      <c r="CC442" s="822"/>
      <c r="CD442" s="822"/>
      <c r="CE442" s="822"/>
      <c r="CF442" s="822"/>
      <c r="CG442" s="822"/>
      <c r="CH442" s="822"/>
      <c r="CI442" s="822"/>
      <c r="CJ442" s="822"/>
      <c r="CK442" s="822"/>
      <c r="CL442" s="822"/>
      <c r="CM442" s="822"/>
      <c r="CN442" s="822"/>
      <c r="CO442" s="822"/>
      <c r="CP442" s="822"/>
      <c r="CQ442" s="822"/>
      <c r="CR442" s="822"/>
      <c r="CS442" s="822"/>
      <c r="CT442" s="822"/>
      <c r="CU442" s="822"/>
      <c r="CV442" s="822"/>
      <c r="CW442" s="822"/>
      <c r="CX442" s="822"/>
      <c r="CY442" s="822"/>
      <c r="CZ442" s="822"/>
      <c r="DA442" s="822"/>
      <c r="DB442" s="822"/>
      <c r="DC442" s="822"/>
      <c r="DD442" s="822"/>
      <c r="DE442" s="822"/>
      <c r="DF442" s="822"/>
      <c r="DG442" s="822"/>
      <c r="DH442" s="822"/>
      <c r="DI442" s="822"/>
      <c r="DJ442" s="822"/>
      <c r="DK442" s="822"/>
      <c r="DL442" s="822"/>
      <c r="DM442" s="822"/>
      <c r="DN442" s="822"/>
    </row>
    <row r="443" spans="2:118" ht="17.100000000000001" customHeight="1" thickTop="1" x14ac:dyDescent="0.3">
      <c r="B443" s="1271"/>
      <c r="D443" s="1271"/>
      <c r="E443" s="1720"/>
      <c r="F443" s="1721"/>
      <c r="G443" s="1711"/>
      <c r="H443" s="1711"/>
      <c r="I443" s="1711"/>
      <c r="J443" s="1711"/>
      <c r="K443" s="1711"/>
      <c r="L443" s="1711"/>
      <c r="M443" s="1711"/>
      <c r="N443" s="1711"/>
      <c r="O443" s="1711"/>
      <c r="P443" s="1711"/>
      <c r="Q443" s="1711"/>
      <c r="R443" s="1711"/>
      <c r="S443" s="1711"/>
      <c r="T443" s="1711"/>
      <c r="U443" s="1711"/>
      <c r="V443" s="1711"/>
      <c r="W443" s="1731"/>
      <c r="X443" s="1731"/>
      <c r="Y443" s="1731"/>
      <c r="Z443" s="1731"/>
      <c r="AA443" s="1731"/>
      <c r="AB443" s="1731"/>
      <c r="AC443" s="1712"/>
      <c r="AD443" s="1712"/>
      <c r="AE443" s="1712"/>
      <c r="AF443" s="1712"/>
      <c r="AG443" s="1712"/>
      <c r="AH443" s="1712"/>
      <c r="AI443" s="4820" t="s">
        <v>705</v>
      </c>
      <c r="AJ443" s="4820"/>
      <c r="AK443" s="4820"/>
      <c r="AL443" s="1712"/>
      <c r="AM443" s="4861"/>
      <c r="AN443" s="4861"/>
      <c r="AO443" s="4861"/>
      <c r="AP443" s="1712"/>
      <c r="AQ443" s="4820" t="s">
        <v>705</v>
      </c>
      <c r="AR443" s="4820"/>
      <c r="AS443" s="4820"/>
      <c r="AT443" s="1712"/>
      <c r="AU443" s="1712"/>
      <c r="AV443" s="1712"/>
      <c r="AW443" s="1712"/>
      <c r="AX443" s="1712"/>
      <c r="AY443" s="1712"/>
      <c r="AZ443" s="1731"/>
      <c r="BA443" s="1731"/>
      <c r="BB443" s="1731"/>
      <c r="BC443" s="1731"/>
      <c r="BD443" s="1731"/>
      <c r="BE443" s="1731"/>
      <c r="BF443" s="1711"/>
      <c r="BG443" s="1711"/>
      <c r="BH443" s="1711"/>
      <c r="BI443" s="1711"/>
      <c r="BJ443" s="1711"/>
      <c r="BK443" s="1711"/>
      <c r="BL443" s="1711"/>
      <c r="BM443" s="1711"/>
      <c r="BN443" s="1711"/>
      <c r="BO443" s="1711"/>
      <c r="BP443" s="1711"/>
      <c r="BQ443" s="1711"/>
      <c r="BR443" s="1711"/>
      <c r="BS443" s="1711"/>
      <c r="BT443" s="1711"/>
      <c r="BU443" s="1711"/>
      <c r="BV443" s="1721"/>
      <c r="BW443" s="1722"/>
      <c r="BX443" s="23"/>
      <c r="BY443" s="822"/>
      <c r="BZ443" s="822"/>
      <c r="CA443" s="822"/>
      <c r="CB443" s="822"/>
      <c r="CC443" s="822"/>
      <c r="CD443" s="822"/>
      <c r="CE443" s="822"/>
      <c r="CF443" s="822"/>
      <c r="CG443" s="822"/>
      <c r="CH443" s="822"/>
      <c r="CI443" s="822"/>
      <c r="CJ443" s="822"/>
      <c r="CK443" s="822"/>
      <c r="CL443" s="822"/>
      <c r="CM443" s="822"/>
      <c r="CN443" s="822"/>
      <c r="CO443" s="822"/>
      <c r="CP443" s="822"/>
      <c r="CQ443" s="822"/>
      <c r="CR443" s="822"/>
      <c r="CS443" s="822"/>
      <c r="CT443" s="822"/>
      <c r="CU443" s="822"/>
      <c r="CV443" s="822"/>
      <c r="CW443" s="822"/>
      <c r="CX443" s="822"/>
      <c r="CY443" s="822"/>
      <c r="CZ443" s="822"/>
      <c r="DA443" s="822"/>
      <c r="DB443" s="822"/>
      <c r="DC443" s="822"/>
      <c r="DD443" s="822"/>
      <c r="DE443" s="822"/>
      <c r="DF443" s="822"/>
      <c r="DG443" s="822"/>
      <c r="DH443" s="822"/>
      <c r="DI443" s="822"/>
      <c r="DJ443" s="822"/>
      <c r="DK443" s="822"/>
      <c r="DL443" s="822"/>
      <c r="DM443" s="822"/>
      <c r="DN443" s="822"/>
    </row>
    <row r="444" spans="2:118" ht="17.100000000000001" customHeight="1" x14ac:dyDescent="0.3">
      <c r="B444" s="1271"/>
      <c r="D444" s="1271"/>
      <c r="E444" s="1723"/>
      <c r="F444" s="1724"/>
      <c r="G444" s="1711"/>
      <c r="H444" s="1711"/>
      <c r="I444" s="1711"/>
      <c r="J444" s="1711"/>
      <c r="K444" s="1711"/>
      <c r="L444" s="1711"/>
      <c r="M444" s="1711"/>
      <c r="N444" s="1711"/>
      <c r="O444" s="1711"/>
      <c r="P444" s="1711"/>
      <c r="Q444" s="1711"/>
      <c r="R444" s="1711"/>
      <c r="S444" s="1711"/>
      <c r="T444" s="1711"/>
      <c r="U444" s="1711"/>
      <c r="V444" s="1711"/>
      <c r="W444" s="1731"/>
      <c r="X444" s="1731"/>
      <c r="Y444" s="1731"/>
      <c r="Z444" s="1731"/>
      <c r="AA444" s="1731"/>
      <c r="AB444" s="1731"/>
      <c r="AC444" s="1731"/>
      <c r="AD444" s="1731"/>
      <c r="AE444" s="1731"/>
      <c r="AF444" s="1731"/>
      <c r="AG444" s="1732"/>
      <c r="AH444" s="1732"/>
      <c r="AI444" s="4820"/>
      <c r="AJ444" s="4820"/>
      <c r="AK444" s="4820"/>
      <c r="AL444" s="1713"/>
      <c r="AM444" s="1714"/>
      <c r="AN444" s="1719">
        <f>$CE$12</f>
        <v>0</v>
      </c>
      <c r="AO444" s="1733"/>
      <c r="AP444" s="1713"/>
      <c r="AQ444" s="4820"/>
      <c r="AR444" s="4820"/>
      <c r="AS444" s="4820"/>
      <c r="AT444" s="1732"/>
      <c r="AU444" s="1732"/>
      <c r="AV444" s="1731"/>
      <c r="AW444" s="1731"/>
      <c r="AX444" s="1731"/>
      <c r="AY444" s="1731"/>
      <c r="AZ444" s="1731"/>
      <c r="BA444" s="1731"/>
      <c r="BB444" s="1731"/>
      <c r="BC444" s="1731"/>
      <c r="BD444" s="1731"/>
      <c r="BE444" s="1731"/>
      <c r="BF444" s="1711"/>
      <c r="BG444" s="1711"/>
      <c r="BH444" s="1711"/>
      <c r="BI444" s="1711"/>
      <c r="BJ444" s="1711"/>
      <c r="BK444" s="1711"/>
      <c r="BL444" s="1711"/>
      <c r="BM444" s="1711"/>
      <c r="BN444" s="1711"/>
      <c r="BO444" s="1711"/>
      <c r="BP444" s="1711"/>
      <c r="BQ444" s="1711"/>
      <c r="BR444" s="1711"/>
      <c r="BS444" s="1711"/>
      <c r="BT444" s="1711"/>
      <c r="BU444" s="1711"/>
      <c r="BV444" s="1724"/>
      <c r="BW444" s="1725"/>
      <c r="BX444" s="23"/>
      <c r="BY444" s="822"/>
      <c r="BZ444" s="822"/>
      <c r="CA444" s="822"/>
      <c r="CB444" s="822"/>
      <c r="CC444" s="822"/>
      <c r="CD444" s="822"/>
      <c r="CE444" s="822"/>
      <c r="CF444" s="822"/>
      <c r="CG444" s="822"/>
      <c r="CH444" s="822"/>
      <c r="CI444" s="822"/>
      <c r="CJ444" s="822"/>
      <c r="CK444" s="822"/>
      <c r="CL444" s="822"/>
      <c r="CM444" s="822"/>
      <c r="CN444" s="822"/>
      <c r="CO444" s="822"/>
      <c r="CP444" s="822"/>
      <c r="CQ444" s="822"/>
      <c r="CR444" s="822"/>
      <c r="CS444" s="822"/>
      <c r="CT444" s="822"/>
      <c r="CU444" s="822"/>
      <c r="CV444" s="822"/>
      <c r="CW444" s="822"/>
      <c r="CX444" s="822"/>
      <c r="CY444" s="822"/>
      <c r="CZ444" s="822"/>
      <c r="DA444" s="822"/>
      <c r="DB444" s="822"/>
      <c r="DC444" s="822"/>
      <c r="DD444" s="822"/>
      <c r="DE444" s="822"/>
      <c r="DF444" s="822"/>
      <c r="DG444" s="822"/>
      <c r="DH444" s="822"/>
      <c r="DI444" s="822"/>
      <c r="DJ444" s="822"/>
      <c r="DK444" s="822"/>
      <c r="DL444" s="822"/>
      <c r="DM444" s="822"/>
      <c r="DN444" s="822"/>
    </row>
    <row r="445" spans="2:118" ht="17.100000000000001" customHeight="1" x14ac:dyDescent="0.3">
      <c r="B445" s="1271"/>
      <c r="D445" s="1271"/>
      <c r="E445" s="1723"/>
      <c r="F445" s="1711"/>
      <c r="G445" s="1711"/>
      <c r="H445" s="1711"/>
      <c r="I445" s="1711"/>
      <c r="J445" s="1711"/>
      <c r="K445" s="1711"/>
      <c r="L445" s="1711"/>
      <c r="M445" s="1711"/>
      <c r="N445" s="1711"/>
      <c r="O445" s="1711"/>
      <c r="P445" s="1711"/>
      <c r="Q445" s="1711"/>
      <c r="R445" s="1711"/>
      <c r="S445" s="1711"/>
      <c r="T445" s="1711"/>
      <c r="U445" s="1711"/>
      <c r="V445" s="1711"/>
      <c r="W445" s="1731"/>
      <c r="X445" s="1731"/>
      <c r="Y445" s="1731"/>
      <c r="Z445" s="1731"/>
      <c r="AA445" s="1731"/>
      <c r="AB445" s="1731"/>
      <c r="AC445" s="1731"/>
      <c r="AD445" s="1731"/>
      <c r="AE445" s="1731"/>
      <c r="AF445" s="1731"/>
      <c r="AG445" s="1731"/>
      <c r="AH445" s="1731"/>
      <c r="AI445" s="4820"/>
      <c r="AJ445" s="4820"/>
      <c r="AK445" s="4820"/>
      <c r="AL445" s="1711"/>
      <c r="AM445" s="4835" t="s">
        <v>943</v>
      </c>
      <c r="AN445" s="4835"/>
      <c r="AO445" s="4835"/>
      <c r="AP445" s="1711"/>
      <c r="AQ445" s="4820"/>
      <c r="AR445" s="4820"/>
      <c r="AS445" s="4820"/>
      <c r="AT445" s="1731"/>
      <c r="AU445" s="1731"/>
      <c r="AV445" s="1731"/>
      <c r="AW445" s="1731"/>
      <c r="AX445" s="1731"/>
      <c r="AY445" s="1731"/>
      <c r="AZ445" s="1731"/>
      <c r="BA445" s="1731"/>
      <c r="BB445" s="1731"/>
      <c r="BC445" s="1731"/>
      <c r="BD445" s="1731"/>
      <c r="BE445" s="1731"/>
      <c r="BF445" s="1711"/>
      <c r="BG445" s="1711"/>
      <c r="BH445" s="1711"/>
      <c r="BI445" s="1711"/>
      <c r="BJ445" s="1711"/>
      <c r="BK445" s="1711"/>
      <c r="BL445" s="1711"/>
      <c r="BM445" s="1711"/>
      <c r="BN445" s="1711"/>
      <c r="BO445" s="1711"/>
      <c r="BP445" s="1711"/>
      <c r="BQ445" s="1711"/>
      <c r="BR445" s="1711"/>
      <c r="BS445" s="1711"/>
      <c r="BT445" s="1711"/>
      <c r="BU445" s="1711"/>
      <c r="BV445" s="1711"/>
      <c r="BW445" s="1725"/>
      <c r="BX445" s="23"/>
      <c r="BY445" s="822"/>
      <c r="BZ445" s="822"/>
      <c r="CA445" s="822"/>
      <c r="CB445" s="822"/>
      <c r="CC445" s="822"/>
      <c r="CD445" s="822"/>
      <c r="CE445" s="822"/>
      <c r="CF445" s="822"/>
      <c r="CG445" s="822"/>
      <c r="CH445" s="822"/>
      <c r="CI445" s="822"/>
      <c r="CJ445" s="822"/>
      <c r="CK445" s="822"/>
      <c r="CL445" s="822"/>
      <c r="CM445" s="822"/>
      <c r="CN445" s="822"/>
      <c r="CO445" s="822"/>
      <c r="CP445" s="822"/>
      <c r="CQ445" s="822"/>
      <c r="CR445" s="822"/>
      <c r="CS445" s="822"/>
      <c r="CT445" s="822"/>
      <c r="CU445" s="822"/>
      <c r="CV445" s="822"/>
      <c r="CW445" s="822"/>
      <c r="CX445" s="822"/>
      <c r="CY445" s="822"/>
      <c r="CZ445" s="822"/>
      <c r="DA445" s="822"/>
      <c r="DB445" s="822"/>
      <c r="DC445" s="822"/>
      <c r="DD445" s="822"/>
      <c r="DE445" s="822"/>
      <c r="DF445" s="822"/>
      <c r="DG445" s="822"/>
      <c r="DH445" s="822"/>
      <c r="DI445" s="822"/>
      <c r="DJ445" s="822"/>
      <c r="DK445" s="822"/>
      <c r="DL445" s="822"/>
      <c r="DM445" s="822"/>
      <c r="DN445" s="822"/>
    </row>
    <row r="446" spans="2:118" ht="17.100000000000001" customHeight="1" x14ac:dyDescent="0.3">
      <c r="B446" s="1271"/>
      <c r="D446" s="1271"/>
      <c r="E446" s="1723"/>
      <c r="F446" s="1711"/>
      <c r="G446" s="1711"/>
      <c r="H446" s="1711"/>
      <c r="I446" s="1711"/>
      <c r="J446" s="1711"/>
      <c r="K446" s="1711"/>
      <c r="L446" s="1711"/>
      <c r="M446" s="1711"/>
      <c r="N446" s="1711"/>
      <c r="O446" s="1711"/>
      <c r="P446" s="1711"/>
      <c r="Q446" s="1711"/>
      <c r="R446" s="1711"/>
      <c r="S446" s="1711"/>
      <c r="T446" s="1711"/>
      <c r="U446" s="1711"/>
      <c r="V446" s="1711"/>
      <c r="W446" s="1731"/>
      <c r="X446" s="1731"/>
      <c r="Y446" s="1731"/>
      <c r="Z446" s="1731"/>
      <c r="AA446" s="1731"/>
      <c r="AB446" s="1731"/>
      <c r="AC446" s="1731"/>
      <c r="AD446" s="1731"/>
      <c r="AE446" s="1734"/>
      <c r="AF446" s="1734"/>
      <c r="AG446" s="1734"/>
      <c r="AH446" s="1731"/>
      <c r="AI446" s="1735"/>
      <c r="AJ446" s="1719">
        <f>$CE$12</f>
        <v>0</v>
      </c>
      <c r="AK446" s="1735"/>
      <c r="AL446" s="1711"/>
      <c r="AM446" s="4835"/>
      <c r="AN446" s="4835"/>
      <c r="AO446" s="4835"/>
      <c r="AP446" s="1711"/>
      <c r="AQ446" s="1735"/>
      <c r="AR446" s="1719">
        <f>$CE$12</f>
        <v>0</v>
      </c>
      <c r="AS446" s="1735"/>
      <c r="AT446" s="1731"/>
      <c r="AU446" s="1731"/>
      <c r="AV446" s="1731"/>
      <c r="AW446" s="1731"/>
      <c r="AX446" s="1731"/>
      <c r="AY446" s="1731"/>
      <c r="AZ446" s="1731"/>
      <c r="BA446" s="1731"/>
      <c r="BB446" s="1731"/>
      <c r="BC446" s="1731"/>
      <c r="BD446" s="1731"/>
      <c r="BE446" s="1731"/>
      <c r="BF446" s="1711"/>
      <c r="BG446" s="1711"/>
      <c r="BH446" s="1711"/>
      <c r="BI446" s="1711"/>
      <c r="BJ446" s="1711"/>
      <c r="BK446" s="1711"/>
      <c r="BL446" s="1711"/>
      <c r="BM446" s="1711"/>
      <c r="BN446" s="1711"/>
      <c r="BO446" s="1711"/>
      <c r="BP446" s="1711"/>
      <c r="BQ446" s="1711"/>
      <c r="BR446" s="1711"/>
      <c r="BS446" s="1711"/>
      <c r="BT446" s="1711"/>
      <c r="BU446" s="1711"/>
      <c r="BV446" s="1711"/>
      <c r="BW446" s="1725"/>
      <c r="BX446" s="23"/>
      <c r="BY446" s="822"/>
      <c r="BZ446" s="822"/>
      <c r="CA446" s="822"/>
      <c r="CB446" s="822"/>
      <c r="CC446" s="822"/>
      <c r="CD446" s="822"/>
      <c r="CE446" s="822"/>
      <c r="CF446" s="822"/>
      <c r="CG446" s="822"/>
      <c r="CH446" s="822"/>
      <c r="CI446" s="822"/>
      <c r="CJ446" s="822"/>
      <c r="CK446" s="822"/>
      <c r="CL446" s="822"/>
      <c r="CM446" s="822"/>
      <c r="CN446" s="822"/>
      <c r="CO446" s="822"/>
      <c r="CP446" s="822"/>
      <c r="CQ446" s="822"/>
      <c r="CR446" s="822"/>
      <c r="CS446" s="822"/>
      <c r="CT446" s="822"/>
      <c r="CU446" s="822"/>
      <c r="CV446" s="822"/>
      <c r="CW446" s="822"/>
      <c r="CX446" s="822"/>
      <c r="CY446" s="822"/>
      <c r="CZ446" s="822"/>
      <c r="DA446" s="822"/>
      <c r="DB446" s="822"/>
      <c r="DC446" s="822"/>
      <c r="DD446" s="822"/>
      <c r="DE446" s="822"/>
      <c r="DF446" s="822"/>
      <c r="DG446" s="822"/>
      <c r="DH446" s="822"/>
      <c r="DI446" s="822"/>
      <c r="DJ446" s="822"/>
      <c r="DK446" s="822"/>
      <c r="DL446" s="822"/>
      <c r="DM446" s="822"/>
      <c r="DN446" s="822"/>
    </row>
    <row r="447" spans="2:118" ht="17.100000000000001" customHeight="1" x14ac:dyDescent="0.3">
      <c r="B447" s="1271"/>
      <c r="D447" s="1271"/>
      <c r="E447" s="1723"/>
      <c r="F447" s="1711"/>
      <c r="G447" s="1711"/>
      <c r="H447" s="1711"/>
      <c r="I447" s="1711"/>
      <c r="J447" s="1711"/>
      <c r="K447" s="1711"/>
      <c r="L447" s="1711"/>
      <c r="M447" s="1711"/>
      <c r="N447" s="1711"/>
      <c r="O447" s="1711"/>
      <c r="P447" s="1711"/>
      <c r="Q447" s="1711"/>
      <c r="R447" s="1711"/>
      <c r="S447" s="1711"/>
      <c r="T447" s="1711"/>
      <c r="U447" s="1711"/>
      <c r="V447" s="1711"/>
      <c r="W447" s="1731"/>
      <c r="X447" s="1731"/>
      <c r="Y447" s="1731"/>
      <c r="Z447" s="1731"/>
      <c r="AA447" s="1731"/>
      <c r="AB447" s="1731"/>
      <c r="AC447" s="1731"/>
      <c r="AD447" s="1731"/>
      <c r="AE447" s="4816" t="s">
        <v>705</v>
      </c>
      <c r="AF447" s="4816"/>
      <c r="AG447" s="4816"/>
      <c r="AH447" s="1731"/>
      <c r="AI447" s="4811" t="s">
        <v>72</v>
      </c>
      <c r="AJ447" s="4811"/>
      <c r="AK447" s="4811"/>
      <c r="AL447" s="1711"/>
      <c r="AM447" s="1714"/>
      <c r="AN447" s="1719">
        <f>$CE$13</f>
        <v>0</v>
      </c>
      <c r="AO447" s="1733"/>
      <c r="AP447" s="1711"/>
      <c r="AQ447" s="4811" t="s">
        <v>72</v>
      </c>
      <c r="AR447" s="4811"/>
      <c r="AS447" s="4811"/>
      <c r="AT447" s="1731"/>
      <c r="AU447" s="4816" t="s">
        <v>705</v>
      </c>
      <c r="AV447" s="4816"/>
      <c r="AW447" s="4816"/>
      <c r="AX447" s="1731"/>
      <c r="AY447" s="1731"/>
      <c r="AZ447" s="1731"/>
      <c r="BA447" s="1731"/>
      <c r="BB447" s="1731"/>
      <c r="BC447" s="1731"/>
      <c r="BD447" s="1731"/>
      <c r="BE447" s="1731"/>
      <c r="BF447" s="1711"/>
      <c r="BG447" s="1711"/>
      <c r="BH447" s="1711"/>
      <c r="BI447" s="1711"/>
      <c r="BJ447" s="1711"/>
      <c r="BK447" s="1711"/>
      <c r="BL447" s="1711"/>
      <c r="BM447" s="1711"/>
      <c r="BN447" s="1711"/>
      <c r="BO447" s="1711"/>
      <c r="BP447" s="1711"/>
      <c r="BQ447" s="1711"/>
      <c r="BR447" s="1711"/>
      <c r="BS447" s="1711"/>
      <c r="BT447" s="1711"/>
      <c r="BU447" s="1711"/>
      <c r="BV447" s="1711"/>
      <c r="BW447" s="1725"/>
      <c r="BX447" s="23"/>
      <c r="BY447" s="822"/>
      <c r="BZ447" s="822"/>
      <c r="CA447" s="822"/>
      <c r="CB447" s="822"/>
      <c r="CC447" s="822"/>
      <c r="CD447" s="822"/>
      <c r="CE447" s="822"/>
      <c r="CF447" s="822"/>
      <c r="CG447" s="822"/>
      <c r="CH447" s="822"/>
      <c r="CI447" s="822"/>
      <c r="CJ447" s="822"/>
      <c r="CK447" s="822"/>
      <c r="CL447" s="822"/>
      <c r="CM447" s="822"/>
      <c r="CN447" s="822"/>
      <c r="CO447" s="822"/>
      <c r="CP447" s="822"/>
      <c r="CQ447" s="822"/>
      <c r="CR447" s="822"/>
      <c r="CS447" s="822"/>
      <c r="CT447" s="822"/>
      <c r="CU447" s="822"/>
      <c r="CV447" s="822"/>
      <c r="CW447" s="822"/>
      <c r="CX447" s="822"/>
      <c r="CY447" s="822"/>
      <c r="CZ447" s="822"/>
      <c r="DA447" s="822"/>
      <c r="DB447" s="822"/>
      <c r="DC447" s="822"/>
      <c r="DD447" s="822"/>
      <c r="DE447" s="822"/>
      <c r="DF447" s="822"/>
      <c r="DG447" s="822"/>
      <c r="DH447" s="822"/>
      <c r="DI447" s="822"/>
      <c r="DJ447" s="822"/>
      <c r="DK447" s="822"/>
      <c r="DL447" s="822"/>
      <c r="DM447" s="822"/>
      <c r="DN447" s="822"/>
    </row>
    <row r="448" spans="2:118" ht="17.100000000000001" customHeight="1" x14ac:dyDescent="0.3">
      <c r="B448" s="1271"/>
      <c r="D448" s="1271"/>
      <c r="E448" s="1723"/>
      <c r="F448" s="1711"/>
      <c r="G448" s="1711"/>
      <c r="H448" s="1711"/>
      <c r="I448" s="1711"/>
      <c r="J448" s="1711"/>
      <c r="K448" s="1711"/>
      <c r="L448" s="1711"/>
      <c r="M448" s="1711"/>
      <c r="N448" s="1711"/>
      <c r="O448" s="1711"/>
      <c r="P448" s="1711"/>
      <c r="Q448" s="1711"/>
      <c r="R448" s="1711"/>
      <c r="S448" s="1711"/>
      <c r="T448" s="1711"/>
      <c r="U448" s="1711"/>
      <c r="V448" s="1711"/>
      <c r="W448" s="1731"/>
      <c r="X448" s="1731"/>
      <c r="Y448" s="1731"/>
      <c r="Z448" s="1731"/>
      <c r="AA448" s="1731"/>
      <c r="AB448" s="1731"/>
      <c r="AC448" s="1731"/>
      <c r="AD448" s="1731"/>
      <c r="AE448" s="4816"/>
      <c r="AF448" s="4816"/>
      <c r="AG448" s="4816"/>
      <c r="AH448" s="1731"/>
      <c r="AI448" s="4811"/>
      <c r="AJ448" s="4811"/>
      <c r="AK448" s="4811"/>
      <c r="AL448" s="1711"/>
      <c r="AM448" s="4836" t="s">
        <v>944</v>
      </c>
      <c r="AN448" s="4836"/>
      <c r="AO448" s="4836"/>
      <c r="AP448" s="1711"/>
      <c r="AQ448" s="4811"/>
      <c r="AR448" s="4811"/>
      <c r="AS448" s="4811"/>
      <c r="AT448" s="1731"/>
      <c r="AU448" s="4816"/>
      <c r="AV448" s="4816"/>
      <c r="AW448" s="4816"/>
      <c r="AX448" s="1731"/>
      <c r="AY448" s="1731"/>
      <c r="AZ448" s="1731"/>
      <c r="BA448" s="1731"/>
      <c r="BB448" s="1731"/>
      <c r="BC448" s="1731"/>
      <c r="BD448" s="1731"/>
      <c r="BE448" s="1731"/>
      <c r="BF448" s="1711"/>
      <c r="BG448" s="1711"/>
      <c r="BH448" s="1711"/>
      <c r="BI448" s="1711"/>
      <c r="BJ448" s="1711"/>
      <c r="BK448" s="1711"/>
      <c r="BL448" s="1711"/>
      <c r="BM448" s="1711"/>
      <c r="BN448" s="1711"/>
      <c r="BO448" s="1711"/>
      <c r="BP448" s="1711"/>
      <c r="BQ448" s="1711"/>
      <c r="BR448" s="1711"/>
      <c r="BS448" s="1711"/>
      <c r="BT448" s="1711"/>
      <c r="BU448" s="1711"/>
      <c r="BV448" s="1711"/>
      <c r="BW448" s="1725"/>
      <c r="BX448" s="23"/>
      <c r="BY448" s="822"/>
      <c r="BZ448" s="822"/>
      <c r="CA448" s="822"/>
      <c r="CB448" s="822"/>
      <c r="CC448" s="822"/>
      <c r="CD448" s="822"/>
      <c r="CE448" s="822"/>
      <c r="CF448" s="822"/>
      <c r="CG448" s="822"/>
      <c r="CH448" s="822"/>
      <c r="CI448" s="822"/>
      <c r="CJ448" s="822"/>
      <c r="CK448" s="822"/>
      <c r="CL448" s="822"/>
      <c r="CM448" s="822"/>
      <c r="CN448" s="822"/>
      <c r="CO448" s="822"/>
      <c r="CP448" s="822"/>
      <c r="CQ448" s="822"/>
      <c r="CR448" s="822"/>
      <c r="CS448" s="822"/>
      <c r="CT448" s="822"/>
      <c r="CU448" s="822"/>
      <c r="CV448" s="822"/>
      <c r="CW448" s="822"/>
      <c r="CX448" s="822"/>
      <c r="CY448" s="822"/>
      <c r="CZ448" s="822"/>
      <c r="DA448" s="822"/>
      <c r="DB448" s="822"/>
      <c r="DC448" s="822"/>
      <c r="DD448" s="822"/>
      <c r="DE448" s="822"/>
      <c r="DF448" s="822"/>
      <c r="DG448" s="822"/>
      <c r="DH448" s="822"/>
      <c r="DI448" s="822"/>
      <c r="DJ448" s="822"/>
      <c r="DK448" s="822"/>
      <c r="DL448" s="822"/>
      <c r="DM448" s="822"/>
      <c r="DN448" s="822"/>
    </row>
    <row r="449" spans="2:118" ht="17.100000000000001" customHeight="1" x14ac:dyDescent="0.3">
      <c r="B449" s="1271"/>
      <c r="D449" s="1271"/>
      <c r="E449" s="1723"/>
      <c r="F449" s="1711"/>
      <c r="G449" s="1711"/>
      <c r="H449" s="1711"/>
      <c r="I449" s="1711"/>
      <c r="J449" s="1711"/>
      <c r="K449" s="1711"/>
      <c r="L449" s="1711"/>
      <c r="M449" s="1711"/>
      <c r="N449" s="1711"/>
      <c r="O449" s="1711"/>
      <c r="P449" s="1711"/>
      <c r="Q449" s="1711"/>
      <c r="R449" s="1711"/>
      <c r="S449" s="1711"/>
      <c r="T449" s="1711"/>
      <c r="U449" s="1711"/>
      <c r="V449" s="1711"/>
      <c r="W449" s="1731"/>
      <c r="X449" s="1731"/>
      <c r="Y449" s="1731"/>
      <c r="Z449" s="1731"/>
      <c r="AA449" s="1731"/>
      <c r="AB449" s="1731"/>
      <c r="AC449" s="1731"/>
      <c r="AD449" s="1731"/>
      <c r="AE449" s="4816"/>
      <c r="AF449" s="4816"/>
      <c r="AG449" s="4816"/>
      <c r="AH449" s="1731"/>
      <c r="AI449" s="4811"/>
      <c r="AJ449" s="4811"/>
      <c r="AK449" s="4811"/>
      <c r="AL449" s="1711"/>
      <c r="AM449" s="4836"/>
      <c r="AN449" s="4836"/>
      <c r="AO449" s="4836"/>
      <c r="AP449" s="1711"/>
      <c r="AQ449" s="4811"/>
      <c r="AR449" s="4811"/>
      <c r="AS449" s="4811"/>
      <c r="AT449" s="1731"/>
      <c r="AU449" s="4816"/>
      <c r="AV449" s="4816"/>
      <c r="AW449" s="4816"/>
      <c r="AX449" s="1731"/>
      <c r="AY449" s="1731"/>
      <c r="AZ449" s="1731"/>
      <c r="BA449" s="1731"/>
      <c r="BB449" s="1731"/>
      <c r="BC449" s="1731"/>
      <c r="BD449" s="1731"/>
      <c r="BE449" s="1731"/>
      <c r="BF449" s="1711"/>
      <c r="BG449" s="1711"/>
      <c r="BH449" s="1711"/>
      <c r="BI449" s="1711"/>
      <c r="BJ449" s="1711"/>
      <c r="BK449" s="1711"/>
      <c r="BL449" s="1711"/>
      <c r="BM449" s="1711"/>
      <c r="BN449" s="1711"/>
      <c r="BO449" s="1711"/>
      <c r="BP449" s="1711"/>
      <c r="BQ449" s="1711"/>
      <c r="BR449" s="1711"/>
      <c r="BS449" s="1711"/>
      <c r="BT449" s="1711"/>
      <c r="BU449" s="1711"/>
      <c r="BV449" s="1711"/>
      <c r="BW449" s="1725"/>
      <c r="BX449" s="23"/>
      <c r="BY449" s="822"/>
      <c r="BZ449" s="822"/>
      <c r="CA449" s="822"/>
      <c r="CB449" s="822"/>
      <c r="CC449" s="822"/>
      <c r="CD449" s="822"/>
      <c r="CE449" s="822"/>
      <c r="CF449" s="822"/>
      <c r="CG449" s="822"/>
      <c r="CH449" s="822"/>
      <c r="CI449" s="822"/>
      <c r="CJ449" s="822"/>
      <c r="CK449" s="822"/>
      <c r="CL449" s="822"/>
      <c r="CM449" s="822"/>
      <c r="CN449" s="822"/>
      <c r="CO449" s="822"/>
      <c r="CP449" s="822"/>
      <c r="CQ449" s="822"/>
      <c r="CR449" s="822"/>
      <c r="CS449" s="822"/>
      <c r="CT449" s="822"/>
      <c r="CU449" s="822"/>
      <c r="CV449" s="822"/>
      <c r="CW449" s="822"/>
      <c r="CX449" s="822"/>
      <c r="CY449" s="822"/>
      <c r="CZ449" s="822"/>
      <c r="DA449" s="822"/>
      <c r="DB449" s="822"/>
      <c r="DC449" s="822"/>
      <c r="DD449" s="822"/>
      <c r="DE449" s="822"/>
      <c r="DF449" s="822"/>
      <c r="DG449" s="822"/>
      <c r="DH449" s="822"/>
      <c r="DI449" s="822"/>
      <c r="DJ449" s="822"/>
      <c r="DK449" s="822"/>
      <c r="DL449" s="822"/>
      <c r="DM449" s="822"/>
      <c r="DN449" s="822"/>
    </row>
    <row r="450" spans="2:118" ht="17.100000000000001" customHeight="1" x14ac:dyDescent="0.3">
      <c r="B450" s="1271"/>
      <c r="D450" s="1271"/>
      <c r="E450" s="1723"/>
      <c r="F450" s="1711"/>
      <c r="G450" s="1711"/>
      <c r="H450" s="1711"/>
      <c r="I450" s="1711"/>
      <c r="J450" s="1711"/>
      <c r="K450" s="1711"/>
      <c r="L450" s="1711"/>
      <c r="M450" s="1711"/>
      <c r="N450" s="1711"/>
      <c r="O450" s="1711"/>
      <c r="P450" s="1711"/>
      <c r="Q450" s="1711"/>
      <c r="R450" s="1711"/>
      <c r="S450" s="1711"/>
      <c r="T450" s="1711"/>
      <c r="U450" s="1711"/>
      <c r="V450" s="1711"/>
      <c r="W450" s="1731"/>
      <c r="X450" s="1731"/>
      <c r="Y450" s="1731"/>
      <c r="Z450" s="1731"/>
      <c r="AA450" s="1731"/>
      <c r="AB450" s="1731"/>
      <c r="AC450" s="1731"/>
      <c r="AD450" s="1731"/>
      <c r="AE450" s="1735"/>
      <c r="AF450" s="1719">
        <f>$CE$13</f>
        <v>0</v>
      </c>
      <c r="AG450" s="1735"/>
      <c r="AH450" s="1731"/>
      <c r="AI450" s="1735"/>
      <c r="AJ450" s="1735"/>
      <c r="AK450" s="1735"/>
      <c r="AL450" s="1711"/>
      <c r="AM450" s="1714"/>
      <c r="AN450" s="1719">
        <f>$CE$14</f>
        <v>0</v>
      </c>
      <c r="AO450" s="1733"/>
      <c r="AP450" s="1711"/>
      <c r="AQ450" s="1735"/>
      <c r="AR450" s="1735"/>
      <c r="AS450" s="1735"/>
      <c r="AT450" s="1731"/>
      <c r="AU450" s="1735"/>
      <c r="AV450" s="1719">
        <f>$CE$13</f>
        <v>0</v>
      </c>
      <c r="AW450" s="1735"/>
      <c r="AX450" s="1731"/>
      <c r="AY450" s="1731"/>
      <c r="AZ450" s="1731"/>
      <c r="BA450" s="1731"/>
      <c r="BB450" s="1731"/>
      <c r="BC450" s="1731"/>
      <c r="BD450" s="1731"/>
      <c r="BE450" s="1731"/>
      <c r="BF450" s="1711"/>
      <c r="BG450" s="1711"/>
      <c r="BH450" s="1711"/>
      <c r="BI450" s="1711"/>
      <c r="BJ450" s="1711"/>
      <c r="BK450" s="1711"/>
      <c r="BL450" s="1711"/>
      <c r="BM450" s="1711"/>
      <c r="BN450" s="1711"/>
      <c r="BO450" s="1711"/>
      <c r="BP450" s="1711"/>
      <c r="BQ450" s="1711"/>
      <c r="BR450" s="1711"/>
      <c r="BS450" s="1711"/>
      <c r="BT450" s="1711"/>
      <c r="BU450" s="1711"/>
      <c r="BV450" s="1711"/>
      <c r="BW450" s="1725"/>
      <c r="BX450" s="23"/>
      <c r="BY450" s="822"/>
      <c r="BZ450" s="822"/>
      <c r="CA450" s="822"/>
      <c r="CB450" s="822"/>
      <c r="CC450" s="822"/>
      <c r="CD450" s="822"/>
      <c r="CE450" s="822"/>
      <c r="CF450" s="822"/>
      <c r="CG450" s="822"/>
      <c r="CH450" s="822"/>
      <c r="CI450" s="822"/>
      <c r="CJ450" s="822"/>
      <c r="CK450" s="822"/>
      <c r="CL450" s="822"/>
      <c r="CM450" s="822"/>
      <c r="CN450" s="822"/>
      <c r="CO450" s="822"/>
      <c r="CP450" s="822"/>
      <c r="CQ450" s="822"/>
      <c r="CR450" s="822"/>
      <c r="CS450" s="822"/>
      <c r="CT450" s="822"/>
      <c r="CU450" s="822"/>
      <c r="CV450" s="822"/>
      <c r="CW450" s="822"/>
      <c r="CX450" s="822"/>
      <c r="CY450" s="822"/>
      <c r="CZ450" s="822"/>
      <c r="DA450" s="822"/>
      <c r="DB450" s="822"/>
      <c r="DC450" s="822"/>
      <c r="DD450" s="822"/>
      <c r="DE450" s="822"/>
      <c r="DF450" s="822"/>
      <c r="DG450" s="822"/>
      <c r="DH450" s="822"/>
      <c r="DI450" s="822"/>
      <c r="DJ450" s="822"/>
      <c r="DK450" s="822"/>
      <c r="DL450" s="822"/>
      <c r="DM450" s="822"/>
      <c r="DN450" s="822"/>
    </row>
    <row r="451" spans="2:118" ht="17.100000000000001" customHeight="1" x14ac:dyDescent="0.3">
      <c r="B451" s="1271"/>
      <c r="D451" s="1271"/>
      <c r="E451" s="1723"/>
      <c r="F451" s="1711"/>
      <c r="G451" s="1711"/>
      <c r="H451" s="1711"/>
      <c r="I451" s="1711"/>
      <c r="J451" s="1711"/>
      <c r="K451" s="1711"/>
      <c r="L451" s="1711"/>
      <c r="M451" s="1711"/>
      <c r="N451" s="1711"/>
      <c r="O451" s="1711"/>
      <c r="P451" s="1711"/>
      <c r="Q451" s="1711"/>
      <c r="R451" s="1711"/>
      <c r="S451" s="1711"/>
      <c r="T451" s="1711"/>
      <c r="U451" s="1711"/>
      <c r="V451" s="1711"/>
      <c r="W451" s="1731"/>
      <c r="X451" s="1731"/>
      <c r="Y451" s="1731"/>
      <c r="Z451" s="1731"/>
      <c r="AA451" s="4813" t="s">
        <v>705</v>
      </c>
      <c r="AB451" s="4813"/>
      <c r="AC451" s="4813"/>
      <c r="AD451" s="1731"/>
      <c r="AE451" s="4811" t="s">
        <v>72</v>
      </c>
      <c r="AF451" s="4811"/>
      <c r="AG451" s="4811"/>
      <c r="AH451" s="1731"/>
      <c r="AI451" s="4822" t="s">
        <v>705</v>
      </c>
      <c r="AJ451" s="4822"/>
      <c r="AK451" s="4822"/>
      <c r="AL451" s="1711"/>
      <c r="AM451" s="4837" t="s">
        <v>945</v>
      </c>
      <c r="AN451" s="4837"/>
      <c r="AO451" s="4837"/>
      <c r="AP451" s="1711"/>
      <c r="AQ451" s="4822" t="s">
        <v>705</v>
      </c>
      <c r="AR451" s="4822"/>
      <c r="AS451" s="4822"/>
      <c r="AT451" s="1731"/>
      <c r="AU451" s="4811" t="s">
        <v>72</v>
      </c>
      <c r="AV451" s="4811"/>
      <c r="AW451" s="4811"/>
      <c r="AX451" s="1731"/>
      <c r="AY451" s="4813" t="s">
        <v>705</v>
      </c>
      <c r="AZ451" s="4813"/>
      <c r="BA451" s="4813"/>
      <c r="BB451" s="1731"/>
      <c r="BC451" s="1731"/>
      <c r="BD451" s="1731"/>
      <c r="BE451" s="1731"/>
      <c r="BF451" s="1711"/>
      <c r="BG451" s="1711"/>
      <c r="BH451" s="1711"/>
      <c r="BI451" s="1711"/>
      <c r="BJ451" s="1711"/>
      <c r="BK451" s="1711"/>
      <c r="BL451" s="1711"/>
      <c r="BM451" s="1711"/>
      <c r="BN451" s="1711"/>
      <c r="BO451" s="1711"/>
      <c r="BP451" s="1711"/>
      <c r="BQ451" s="1711"/>
      <c r="BR451" s="1711"/>
      <c r="BS451" s="1711"/>
      <c r="BT451" s="1711"/>
      <c r="BU451" s="1711"/>
      <c r="BV451" s="1711"/>
      <c r="BW451" s="1725"/>
      <c r="BX451" s="23"/>
      <c r="BY451" s="822"/>
      <c r="BZ451" s="822"/>
      <c r="CA451" s="822"/>
      <c r="CB451" s="822"/>
      <c r="CC451" s="822"/>
      <c r="CD451" s="822"/>
      <c r="CE451" s="822"/>
      <c r="CF451" s="822"/>
      <c r="CG451" s="822"/>
      <c r="CH451" s="822"/>
      <c r="CI451" s="822"/>
      <c r="CJ451" s="822"/>
      <c r="CK451" s="822"/>
      <c r="CL451" s="822"/>
      <c r="CM451" s="822"/>
      <c r="CN451" s="822"/>
      <c r="CO451" s="822"/>
      <c r="CP451" s="822"/>
      <c r="CQ451" s="822"/>
      <c r="CR451" s="822"/>
      <c r="CS451" s="822"/>
      <c r="CT451" s="822"/>
      <c r="CU451" s="822"/>
      <c r="CV451" s="822"/>
      <c r="CW451" s="822"/>
      <c r="CX451" s="822"/>
      <c r="CY451" s="822"/>
      <c r="CZ451" s="822"/>
      <c r="DA451" s="822"/>
      <c r="DB451" s="822"/>
      <c r="DC451" s="822"/>
      <c r="DD451" s="822"/>
      <c r="DE451" s="822"/>
      <c r="DF451" s="822"/>
      <c r="DG451" s="822"/>
      <c r="DH451" s="822"/>
      <c r="DI451" s="822"/>
      <c r="DJ451" s="822"/>
      <c r="DK451" s="822"/>
      <c r="DL451" s="822"/>
      <c r="DM451" s="822"/>
      <c r="DN451" s="822"/>
    </row>
    <row r="452" spans="2:118" ht="17.100000000000001" customHeight="1" x14ac:dyDescent="0.3">
      <c r="B452" s="1271"/>
      <c r="D452" s="1271"/>
      <c r="E452" s="1723"/>
      <c r="F452" s="1711"/>
      <c r="G452" s="1711"/>
      <c r="H452" s="1711"/>
      <c r="I452" s="1711"/>
      <c r="J452" s="1711"/>
      <c r="K452" s="1711"/>
      <c r="L452" s="1711"/>
      <c r="M452" s="1711"/>
      <c r="N452" s="1711"/>
      <c r="O452" s="1711"/>
      <c r="P452" s="1711"/>
      <c r="Q452" s="1711"/>
      <c r="R452" s="1711"/>
      <c r="S452" s="1711"/>
      <c r="T452" s="1711"/>
      <c r="U452" s="1711"/>
      <c r="V452" s="1711"/>
      <c r="W452" s="1731"/>
      <c r="X452" s="1731"/>
      <c r="Y452" s="1731"/>
      <c r="Z452" s="1731"/>
      <c r="AA452" s="4813"/>
      <c r="AB452" s="4813"/>
      <c r="AC452" s="4813"/>
      <c r="AD452" s="1731"/>
      <c r="AE452" s="4811"/>
      <c r="AF452" s="4811"/>
      <c r="AG452" s="4811"/>
      <c r="AH452" s="1731"/>
      <c r="AI452" s="4822"/>
      <c r="AJ452" s="4822"/>
      <c r="AK452" s="4822"/>
      <c r="AL452" s="1711"/>
      <c r="AM452" s="4837"/>
      <c r="AN452" s="4837"/>
      <c r="AO452" s="4837"/>
      <c r="AP452" s="1711"/>
      <c r="AQ452" s="4822"/>
      <c r="AR452" s="4822"/>
      <c r="AS452" s="4822"/>
      <c r="AT452" s="1731"/>
      <c r="AU452" s="4811"/>
      <c r="AV452" s="4811"/>
      <c r="AW452" s="4811"/>
      <c r="AX452" s="1731"/>
      <c r="AY452" s="4813"/>
      <c r="AZ452" s="4813"/>
      <c r="BA452" s="4813"/>
      <c r="BB452" s="1731"/>
      <c r="BC452" s="1731"/>
      <c r="BD452" s="1731"/>
      <c r="BE452" s="1731"/>
      <c r="BF452" s="1711"/>
      <c r="BG452" s="1711"/>
      <c r="BH452" s="1711"/>
      <c r="BI452" s="1711"/>
      <c r="BJ452" s="1711"/>
      <c r="BK452" s="1711"/>
      <c r="BL452" s="1711"/>
      <c r="BM452" s="1711"/>
      <c r="BN452" s="1711"/>
      <c r="BO452" s="1711"/>
      <c r="BP452" s="1711"/>
      <c r="BQ452" s="1711"/>
      <c r="BR452" s="1711"/>
      <c r="BS452" s="1711"/>
      <c r="BT452" s="1711"/>
      <c r="BU452" s="1711"/>
      <c r="BV452" s="1711"/>
      <c r="BW452" s="1725"/>
      <c r="BX452" s="23"/>
      <c r="BY452" s="822"/>
      <c r="BZ452" s="822"/>
      <c r="CA452" s="822"/>
      <c r="CB452" s="822"/>
      <c r="CC452" s="822"/>
      <c r="CD452" s="822"/>
      <c r="CE452" s="822"/>
      <c r="CF452" s="822"/>
      <c r="CG452" s="822"/>
      <c r="CH452" s="822"/>
      <c r="CI452" s="822"/>
      <c r="CJ452" s="822"/>
      <c r="CK452" s="822"/>
      <c r="CL452" s="822"/>
      <c r="CM452" s="822"/>
      <c r="CN452" s="822"/>
      <c r="CO452" s="822"/>
      <c r="CP452" s="822"/>
      <c r="CQ452" s="822"/>
      <c r="CR452" s="822"/>
      <c r="CS452" s="822"/>
      <c r="CT452" s="822"/>
      <c r="CU452" s="822"/>
      <c r="CV452" s="822"/>
      <c r="CW452" s="822"/>
      <c r="CX452" s="822"/>
      <c r="CY452" s="822"/>
      <c r="CZ452" s="822"/>
      <c r="DA452" s="822"/>
      <c r="DB452" s="822"/>
      <c r="DC452" s="822"/>
      <c r="DD452" s="822"/>
      <c r="DE452" s="822"/>
      <c r="DF452" s="822"/>
      <c r="DG452" s="822"/>
      <c r="DH452" s="822"/>
      <c r="DI452" s="822"/>
      <c r="DJ452" s="822"/>
      <c r="DK452" s="822"/>
      <c r="DL452" s="822"/>
      <c r="DM452" s="822"/>
      <c r="DN452" s="822"/>
    </row>
    <row r="453" spans="2:118" ht="17.100000000000001" customHeight="1" x14ac:dyDescent="0.3">
      <c r="B453" s="1271"/>
      <c r="D453" s="1271"/>
      <c r="E453" s="1723"/>
      <c r="F453" s="1711"/>
      <c r="G453" s="1711"/>
      <c r="H453" s="1711"/>
      <c r="I453" s="1711"/>
      <c r="J453" s="1711"/>
      <c r="K453" s="1711"/>
      <c r="L453" s="1711"/>
      <c r="M453" s="1711"/>
      <c r="N453" s="1711"/>
      <c r="O453" s="1711"/>
      <c r="P453" s="1711"/>
      <c r="Q453" s="1711"/>
      <c r="R453" s="1711"/>
      <c r="S453" s="1711"/>
      <c r="T453" s="1711"/>
      <c r="U453" s="1711"/>
      <c r="V453" s="1711"/>
      <c r="W453" s="1731"/>
      <c r="X453" s="1731"/>
      <c r="Y453" s="1731"/>
      <c r="Z453" s="1731"/>
      <c r="AA453" s="4813"/>
      <c r="AB453" s="4813"/>
      <c r="AC453" s="4813"/>
      <c r="AD453" s="1731"/>
      <c r="AE453" s="4811"/>
      <c r="AF453" s="4811"/>
      <c r="AG453" s="4811"/>
      <c r="AH453" s="1731"/>
      <c r="AI453" s="4822"/>
      <c r="AJ453" s="4822"/>
      <c r="AK453" s="4822"/>
      <c r="AL453" s="1711"/>
      <c r="AM453" s="1714"/>
      <c r="AN453" s="1719">
        <f>$CE$15</f>
        <v>0</v>
      </c>
      <c r="AO453" s="1733"/>
      <c r="AP453" s="1711"/>
      <c r="AQ453" s="4822"/>
      <c r="AR453" s="4822"/>
      <c r="AS453" s="4822"/>
      <c r="AT453" s="1731"/>
      <c r="AU453" s="4811"/>
      <c r="AV453" s="4811"/>
      <c r="AW453" s="4811"/>
      <c r="AX453" s="1731"/>
      <c r="AY453" s="4813"/>
      <c r="AZ453" s="4813"/>
      <c r="BA453" s="4813"/>
      <c r="BB453" s="1731"/>
      <c r="BC453" s="1731"/>
      <c r="BD453" s="1731"/>
      <c r="BE453" s="1731"/>
      <c r="BF453" s="1711"/>
      <c r="BG453" s="1711"/>
      <c r="BH453" s="1711"/>
      <c r="BI453" s="1711"/>
      <c r="BJ453" s="1711"/>
      <c r="BK453" s="1711"/>
      <c r="BL453" s="1711"/>
      <c r="BM453" s="1711"/>
      <c r="BN453" s="1711"/>
      <c r="BO453" s="1711"/>
      <c r="BP453" s="1711"/>
      <c r="BQ453" s="1711"/>
      <c r="BR453" s="1711"/>
      <c r="BS453" s="1711"/>
      <c r="BT453" s="1711"/>
      <c r="BU453" s="1711"/>
      <c r="BV453" s="1711"/>
      <c r="BW453" s="1725"/>
      <c r="BX453" s="23"/>
      <c r="BY453" s="822"/>
      <c r="BZ453" s="822"/>
      <c r="CA453" s="822"/>
      <c r="CB453" s="822"/>
      <c r="CC453" s="822"/>
      <c r="CD453" s="822"/>
      <c r="CE453" s="822"/>
      <c r="CF453" s="822"/>
      <c r="CG453" s="822"/>
      <c r="CH453" s="822"/>
      <c r="CI453" s="822"/>
      <c r="CJ453" s="822"/>
      <c r="CK453" s="822"/>
      <c r="CL453" s="822"/>
      <c r="CM453" s="822"/>
      <c r="CN453" s="822"/>
      <c r="CO453" s="822"/>
      <c r="CP453" s="822"/>
      <c r="CQ453" s="822"/>
      <c r="CR453" s="822"/>
      <c r="CS453" s="822"/>
      <c r="CT453" s="822"/>
      <c r="CU453" s="822"/>
      <c r="CV453" s="822"/>
      <c r="CW453" s="822"/>
      <c r="CX453" s="822"/>
      <c r="CY453" s="822"/>
      <c r="CZ453" s="822"/>
      <c r="DA453" s="822"/>
      <c r="DB453" s="822"/>
      <c r="DC453" s="822"/>
      <c r="DD453" s="822"/>
      <c r="DE453" s="822"/>
      <c r="DF453" s="822"/>
      <c r="DG453" s="822"/>
      <c r="DH453" s="822"/>
      <c r="DI453" s="822"/>
      <c r="DJ453" s="822"/>
      <c r="DK453" s="822"/>
      <c r="DL453" s="822"/>
      <c r="DM453" s="822"/>
      <c r="DN453" s="822"/>
    </row>
    <row r="454" spans="2:118" ht="17.100000000000001" customHeight="1" x14ac:dyDescent="0.3">
      <c r="E454" s="1723"/>
      <c r="F454" s="1711"/>
      <c r="G454" s="1711"/>
      <c r="H454" s="1711"/>
      <c r="I454" s="1711"/>
      <c r="J454" s="1711"/>
      <c r="K454" s="1711"/>
      <c r="L454" s="1711"/>
      <c r="M454" s="1711"/>
      <c r="N454" s="1711"/>
      <c r="O454" s="1711"/>
      <c r="P454" s="1711"/>
      <c r="Q454" s="1711"/>
      <c r="R454" s="1711"/>
      <c r="S454" s="1711"/>
      <c r="T454" s="1711"/>
      <c r="U454" s="1711"/>
      <c r="V454" s="1711"/>
      <c r="W454" s="1731"/>
      <c r="X454" s="1731"/>
      <c r="Y454" s="1731"/>
      <c r="Z454" s="1731"/>
      <c r="AA454" s="1735"/>
      <c r="AB454" s="1719">
        <f>$CE$15</f>
        <v>0</v>
      </c>
      <c r="AC454" s="1735"/>
      <c r="AD454" s="1731"/>
      <c r="AE454" s="1735"/>
      <c r="AF454" s="1735"/>
      <c r="AG454" s="1735"/>
      <c r="AH454" s="1731"/>
      <c r="AI454" s="1735"/>
      <c r="AJ454" s="1719">
        <f>$CE$14</f>
        <v>0</v>
      </c>
      <c r="AK454" s="1735"/>
      <c r="AL454" s="1711"/>
      <c r="AM454" s="4838" t="s">
        <v>946</v>
      </c>
      <c r="AN454" s="4838"/>
      <c r="AO454" s="4838"/>
      <c r="AP454" s="1711"/>
      <c r="AQ454" s="1735"/>
      <c r="AR454" s="1719">
        <f>$CE$14</f>
        <v>0</v>
      </c>
      <c r="AS454" s="1735"/>
      <c r="AT454" s="1731"/>
      <c r="AU454" s="1735"/>
      <c r="AV454" s="1735"/>
      <c r="AW454" s="1735"/>
      <c r="AX454" s="1731"/>
      <c r="AY454" s="1735"/>
      <c r="AZ454" s="1719">
        <f>$CE$15</f>
        <v>0</v>
      </c>
      <c r="BA454" s="1735"/>
      <c r="BB454" s="1731"/>
      <c r="BC454" s="1731"/>
      <c r="BD454" s="1731"/>
      <c r="BE454" s="1731"/>
      <c r="BF454" s="1711"/>
      <c r="BG454" s="1711"/>
      <c r="BH454" s="1711"/>
      <c r="BI454" s="1711"/>
      <c r="BJ454" s="1711"/>
      <c r="BK454" s="1711"/>
      <c r="BL454" s="1711"/>
      <c r="BM454" s="1711"/>
      <c r="BN454" s="1711"/>
      <c r="BO454" s="1711"/>
      <c r="BP454" s="1711"/>
      <c r="BQ454" s="1711"/>
      <c r="BR454" s="1711"/>
      <c r="BS454" s="1711"/>
      <c r="BT454" s="1711"/>
      <c r="BU454" s="1711"/>
      <c r="BV454" s="1711"/>
      <c r="BW454" s="1725"/>
      <c r="BX454" s="23"/>
      <c r="DF454" s="19"/>
      <c r="DG454" s="2300"/>
      <c r="DH454" s="325"/>
      <c r="DI454" s="2301"/>
      <c r="DJ454" s="1601"/>
      <c r="DK454" s="329"/>
      <c r="DM454" s="1551"/>
      <c r="DN454" s="1551"/>
    </row>
    <row r="455" spans="2:118" ht="17.100000000000001" customHeight="1" x14ac:dyDescent="0.3">
      <c r="B455" s="2302"/>
      <c r="D455" s="2302"/>
      <c r="E455" s="1723"/>
      <c r="F455" s="1711"/>
      <c r="G455" s="1711"/>
      <c r="H455" s="1711"/>
      <c r="I455" s="1711"/>
      <c r="J455" s="1711"/>
      <c r="K455" s="1711"/>
      <c r="L455" s="1711"/>
      <c r="M455" s="1711"/>
      <c r="N455" s="1711"/>
      <c r="O455" s="1711"/>
      <c r="P455" s="1711"/>
      <c r="Q455" s="1711"/>
      <c r="R455" s="1711"/>
      <c r="S455" s="1711"/>
      <c r="T455" s="1711"/>
      <c r="U455" s="1711"/>
      <c r="V455" s="1711"/>
      <c r="W455" s="4815" t="s">
        <v>705</v>
      </c>
      <c r="X455" s="4815"/>
      <c r="Y455" s="4815"/>
      <c r="Z455" s="1731"/>
      <c r="AA455" s="4811" t="s">
        <v>74</v>
      </c>
      <c r="AB455" s="4811"/>
      <c r="AC455" s="4811"/>
      <c r="AD455" s="1731"/>
      <c r="AE455" s="4817" t="s">
        <v>705</v>
      </c>
      <c r="AF455" s="4817"/>
      <c r="AG455" s="4817"/>
      <c r="AH455" s="1731"/>
      <c r="AI455" s="4811" t="s">
        <v>74</v>
      </c>
      <c r="AJ455" s="4811"/>
      <c r="AK455" s="4811"/>
      <c r="AL455" s="1711"/>
      <c r="AM455" s="4838"/>
      <c r="AN455" s="4838"/>
      <c r="AO455" s="4838"/>
      <c r="AP455" s="1711"/>
      <c r="AQ455" s="4811" t="s">
        <v>74</v>
      </c>
      <c r="AR455" s="4811"/>
      <c r="AS455" s="4811"/>
      <c r="AT455" s="1731"/>
      <c r="AU455" s="4817" t="s">
        <v>705</v>
      </c>
      <c r="AV455" s="4817"/>
      <c r="AW455" s="4817"/>
      <c r="AX455" s="1731"/>
      <c r="AY455" s="4811" t="s">
        <v>74</v>
      </c>
      <c r="AZ455" s="4811"/>
      <c r="BA455" s="4811"/>
      <c r="BB455" s="1731"/>
      <c r="BC455" s="4815" t="s">
        <v>705</v>
      </c>
      <c r="BD455" s="4815"/>
      <c r="BE455" s="4815"/>
      <c r="BF455" s="1711"/>
      <c r="BG455" s="1711"/>
      <c r="BH455" s="1711"/>
      <c r="BI455" s="1711"/>
      <c r="BJ455" s="1711"/>
      <c r="BK455" s="1711"/>
      <c r="BL455" s="1711"/>
      <c r="BM455" s="1711"/>
      <c r="BN455" s="1711"/>
      <c r="BO455" s="1711"/>
      <c r="BP455" s="1711"/>
      <c r="BQ455" s="1711"/>
      <c r="BR455" s="1711"/>
      <c r="BS455" s="1711"/>
      <c r="BT455" s="1711"/>
      <c r="BU455" s="1711"/>
      <c r="BV455" s="1711"/>
      <c r="BW455" s="1725"/>
      <c r="BX455" s="23"/>
      <c r="BY455" s="822"/>
      <c r="BZ455" s="822"/>
      <c r="CA455" s="822"/>
      <c r="CB455" s="822"/>
      <c r="CC455" s="822"/>
      <c r="CD455" s="822"/>
      <c r="CE455" s="822"/>
      <c r="CF455" s="822"/>
      <c r="CG455" s="822"/>
      <c r="CH455" s="822"/>
      <c r="CI455" s="822"/>
      <c r="CJ455" s="822"/>
      <c r="CK455" s="822"/>
      <c r="CL455" s="822"/>
      <c r="CM455" s="822"/>
      <c r="CN455" s="822"/>
      <c r="CO455" s="822"/>
      <c r="CP455" s="822"/>
      <c r="CQ455" s="822"/>
      <c r="CR455" s="822"/>
      <c r="CS455" s="822"/>
      <c r="CT455" s="822"/>
      <c r="CU455" s="822"/>
      <c r="CV455" s="822"/>
      <c r="CW455" s="822"/>
      <c r="CX455" s="822"/>
      <c r="CY455" s="822"/>
      <c r="CZ455" s="822"/>
      <c r="DA455" s="822"/>
      <c r="DB455" s="822"/>
      <c r="DC455" s="822"/>
      <c r="DD455" s="822"/>
      <c r="DE455" s="822"/>
      <c r="DF455" s="822"/>
      <c r="DG455" s="822"/>
      <c r="DH455" s="822"/>
      <c r="DI455" s="822"/>
      <c r="DJ455" s="822"/>
      <c r="DK455" s="822"/>
      <c r="DL455" s="822"/>
      <c r="DM455" s="822"/>
      <c r="DN455" s="822"/>
    </row>
    <row r="456" spans="2:118" ht="17.100000000000001" customHeight="1" x14ac:dyDescent="0.3">
      <c r="B456" s="2302"/>
      <c r="D456" s="2302"/>
      <c r="E456" s="1723"/>
      <c r="F456" s="1711"/>
      <c r="G456" s="1711"/>
      <c r="H456" s="1711"/>
      <c r="I456" s="1711"/>
      <c r="J456" s="1711"/>
      <c r="K456" s="1711"/>
      <c r="L456" s="1711"/>
      <c r="M456" s="1711"/>
      <c r="N456" s="1711"/>
      <c r="O456" s="1711"/>
      <c r="P456" s="1711"/>
      <c r="Q456" s="1711"/>
      <c r="R456" s="1711"/>
      <c r="S456" s="1711"/>
      <c r="T456" s="1711"/>
      <c r="U456" s="1711"/>
      <c r="V456" s="1711"/>
      <c r="W456" s="4815"/>
      <c r="X456" s="4815"/>
      <c r="Y456" s="4815"/>
      <c r="Z456" s="1731"/>
      <c r="AA456" s="4811"/>
      <c r="AB456" s="4811"/>
      <c r="AC456" s="4811"/>
      <c r="AD456" s="1731"/>
      <c r="AE456" s="4817"/>
      <c r="AF456" s="4817"/>
      <c r="AG456" s="4817"/>
      <c r="AH456" s="1731"/>
      <c r="AI456" s="4811"/>
      <c r="AJ456" s="4811"/>
      <c r="AK456" s="4811"/>
      <c r="AL456" s="1711"/>
      <c r="AM456" s="1714"/>
      <c r="AN456" s="1719">
        <f>$CE$16</f>
        <v>0</v>
      </c>
      <c r="AO456" s="1733"/>
      <c r="AP456" s="1711"/>
      <c r="AQ456" s="4811"/>
      <c r="AR456" s="4811"/>
      <c r="AS456" s="4811"/>
      <c r="AT456" s="1731"/>
      <c r="AU456" s="4817"/>
      <c r="AV456" s="4817"/>
      <c r="AW456" s="4817"/>
      <c r="AX456" s="1731"/>
      <c r="AY456" s="4811"/>
      <c r="AZ456" s="4811"/>
      <c r="BA456" s="4811"/>
      <c r="BB456" s="1731"/>
      <c r="BC456" s="4815"/>
      <c r="BD456" s="4815"/>
      <c r="BE456" s="4815"/>
      <c r="BF456" s="1711"/>
      <c r="BG456" s="1711"/>
      <c r="BH456" s="1711"/>
      <c r="BI456" s="1711"/>
      <c r="BJ456" s="1711"/>
      <c r="BK456" s="1711"/>
      <c r="BL456" s="1711"/>
      <c r="BM456" s="1711"/>
      <c r="BN456" s="1711"/>
      <c r="BO456" s="1711"/>
      <c r="BP456" s="1711"/>
      <c r="BQ456" s="1711"/>
      <c r="BR456" s="1711"/>
      <c r="BS456" s="1711"/>
      <c r="BT456" s="1711"/>
      <c r="BU456" s="1711"/>
      <c r="BV456" s="1711"/>
      <c r="BW456" s="1725"/>
      <c r="BX456" s="23"/>
      <c r="BY456" s="822"/>
      <c r="BZ456" s="822"/>
      <c r="CA456" s="822"/>
      <c r="CB456" s="822"/>
      <c r="CC456" s="822"/>
      <c r="CD456" s="822"/>
      <c r="CE456" s="822"/>
      <c r="CF456" s="822"/>
      <c r="CG456" s="822"/>
      <c r="CH456" s="822"/>
      <c r="CI456" s="822"/>
      <c r="CJ456" s="822"/>
      <c r="CK456" s="822"/>
      <c r="CL456" s="822"/>
      <c r="CM456" s="822"/>
      <c r="CN456" s="822"/>
      <c r="CO456" s="822"/>
      <c r="CP456" s="822"/>
      <c r="CQ456" s="822"/>
      <c r="CR456" s="822"/>
      <c r="CS456" s="822"/>
      <c r="CT456" s="822"/>
      <c r="CU456" s="822"/>
      <c r="CV456" s="822"/>
      <c r="CW456" s="822"/>
      <c r="CX456" s="822"/>
      <c r="CY456" s="822"/>
      <c r="CZ456" s="822"/>
      <c r="DA456" s="822"/>
      <c r="DB456" s="822"/>
      <c r="DC456" s="822"/>
      <c r="DD456" s="822"/>
      <c r="DE456" s="822"/>
      <c r="DF456" s="822"/>
      <c r="DG456" s="822"/>
      <c r="DH456" s="822"/>
      <c r="DI456" s="822"/>
      <c r="DJ456" s="822"/>
      <c r="DK456" s="822"/>
      <c r="DL456" s="822"/>
      <c r="DM456" s="822"/>
      <c r="DN456" s="822"/>
    </row>
    <row r="457" spans="2:118" ht="17.100000000000001" customHeight="1" x14ac:dyDescent="0.3">
      <c r="B457" s="2302"/>
      <c r="D457" s="2302"/>
      <c r="E457" s="1723"/>
      <c r="F457" s="1711"/>
      <c r="G457" s="1711"/>
      <c r="H457" s="1711"/>
      <c r="I457" s="1711"/>
      <c r="J457" s="1711"/>
      <c r="K457" s="1711"/>
      <c r="L457" s="1711"/>
      <c r="M457" s="1711"/>
      <c r="N457" s="1711"/>
      <c r="O457" s="1711"/>
      <c r="P457" s="1711"/>
      <c r="Q457" s="1711"/>
      <c r="R457" s="1711"/>
      <c r="S457" s="1711"/>
      <c r="T457" s="1711"/>
      <c r="U457" s="1711"/>
      <c r="V457" s="1711"/>
      <c r="W457" s="4815"/>
      <c r="X457" s="4815"/>
      <c r="Y457" s="4815"/>
      <c r="Z457" s="1731"/>
      <c r="AA457" s="4811"/>
      <c r="AB457" s="4811"/>
      <c r="AC457" s="4811"/>
      <c r="AD457" s="1731"/>
      <c r="AE457" s="4817"/>
      <c r="AF457" s="4817"/>
      <c r="AG457" s="4817"/>
      <c r="AH457" s="1731"/>
      <c r="AI457" s="4811"/>
      <c r="AJ457" s="4811"/>
      <c r="AK457" s="4811"/>
      <c r="AL457" s="1711"/>
      <c r="AM457" s="4839" t="s">
        <v>947</v>
      </c>
      <c r="AN457" s="4839"/>
      <c r="AO457" s="4839"/>
      <c r="AP457" s="1711"/>
      <c r="AQ457" s="4811"/>
      <c r="AR457" s="4811"/>
      <c r="AS457" s="4811"/>
      <c r="AT457" s="1731"/>
      <c r="AU457" s="4817"/>
      <c r="AV457" s="4817"/>
      <c r="AW457" s="4817"/>
      <c r="AX457" s="1731"/>
      <c r="AY457" s="4811"/>
      <c r="AZ457" s="4811"/>
      <c r="BA457" s="4811"/>
      <c r="BB457" s="1731"/>
      <c r="BC457" s="4815"/>
      <c r="BD457" s="4815"/>
      <c r="BE457" s="4815"/>
      <c r="BF457" s="1711"/>
      <c r="BG457" s="1711"/>
      <c r="BH457" s="1711"/>
      <c r="BI457" s="1711"/>
      <c r="BJ457" s="1711"/>
      <c r="BK457" s="1711"/>
      <c r="BL457" s="1711"/>
      <c r="BM457" s="1711"/>
      <c r="BN457" s="1711"/>
      <c r="BO457" s="1711"/>
      <c r="BP457" s="1711"/>
      <c r="BQ457" s="1711"/>
      <c r="BR457" s="1711"/>
      <c r="BS457" s="1711"/>
      <c r="BT457" s="1711"/>
      <c r="BU457" s="1711"/>
      <c r="BV457" s="1711"/>
      <c r="BW457" s="1725"/>
      <c r="BX457" s="23"/>
      <c r="BY457" s="822"/>
      <c r="BZ457" s="822"/>
      <c r="CA457" s="822"/>
      <c r="CB457" s="822"/>
      <c r="CC457" s="822"/>
      <c r="CD457" s="822"/>
      <c r="CE457" s="822"/>
      <c r="CF457" s="822"/>
      <c r="CG457" s="822"/>
      <c r="CH457" s="822"/>
      <c r="CI457" s="822"/>
      <c r="CJ457" s="822"/>
      <c r="CK457" s="822"/>
      <c r="CL457" s="822"/>
      <c r="CM457" s="822"/>
      <c r="CN457" s="822"/>
      <c r="CO457" s="822"/>
      <c r="CP457" s="822"/>
      <c r="CQ457" s="822"/>
      <c r="CR457" s="822"/>
      <c r="CS457" s="822"/>
      <c r="CT457" s="822"/>
      <c r="CU457" s="822"/>
      <c r="CV457" s="822"/>
      <c r="CW457" s="822"/>
      <c r="CX457" s="822"/>
      <c r="CY457" s="822"/>
      <c r="CZ457" s="822"/>
      <c r="DA457" s="822"/>
      <c r="DB457" s="822"/>
      <c r="DC457" s="822"/>
      <c r="DD457" s="822"/>
      <c r="DE457" s="822"/>
      <c r="DF457" s="822"/>
      <c r="DG457" s="822"/>
      <c r="DH457" s="822"/>
      <c r="DI457" s="822"/>
      <c r="DJ457" s="822"/>
      <c r="DK457" s="822"/>
      <c r="DL457" s="822"/>
      <c r="DM457" s="822"/>
      <c r="DN457" s="822"/>
    </row>
    <row r="458" spans="2:118" ht="17.100000000000001" customHeight="1" x14ac:dyDescent="0.3">
      <c r="B458" s="2302"/>
      <c r="D458" s="2302"/>
      <c r="E458" s="1723"/>
      <c r="F458" s="1711"/>
      <c r="G458" s="1711"/>
      <c r="H458" s="1711"/>
      <c r="I458" s="1711"/>
      <c r="J458" s="1711"/>
      <c r="K458" s="1711"/>
      <c r="L458" s="1711"/>
      <c r="M458" s="1711"/>
      <c r="N458" s="1711"/>
      <c r="O458" s="1711"/>
      <c r="P458" s="1711"/>
      <c r="Q458" s="1711"/>
      <c r="R458" s="1711"/>
      <c r="S458" s="1711"/>
      <c r="T458" s="1711"/>
      <c r="U458" s="1711"/>
      <c r="V458" s="1711"/>
      <c r="W458" s="1731"/>
      <c r="X458" s="1719">
        <f>$CE$17</f>
        <v>0</v>
      </c>
      <c r="Y458" s="1731"/>
      <c r="Z458" s="1731"/>
      <c r="AA458" s="1735"/>
      <c r="AB458" s="1735"/>
      <c r="AC458" s="1735"/>
      <c r="AD458" s="1731"/>
      <c r="AE458" s="1735"/>
      <c r="AF458" s="1719">
        <f>$CE$16</f>
        <v>0</v>
      </c>
      <c r="AG458" s="1735"/>
      <c r="AH458" s="1731"/>
      <c r="AI458" s="1735"/>
      <c r="AJ458" s="1735"/>
      <c r="AK458" s="1735"/>
      <c r="AL458" s="1711"/>
      <c r="AM458" s="4839"/>
      <c r="AN458" s="4839"/>
      <c r="AO458" s="4839"/>
      <c r="AP458" s="1711"/>
      <c r="AQ458" s="1735"/>
      <c r="AR458" s="1735"/>
      <c r="AS458" s="1735"/>
      <c r="AT458" s="1731"/>
      <c r="AU458" s="1735"/>
      <c r="AV458" s="1719">
        <f>$CE$16</f>
        <v>0</v>
      </c>
      <c r="AW458" s="1735"/>
      <c r="AX458" s="1731"/>
      <c r="AY458" s="1735"/>
      <c r="AZ458" s="1735"/>
      <c r="BA458" s="1735"/>
      <c r="BB458" s="1731"/>
      <c r="BC458" s="1731"/>
      <c r="BD458" s="1719">
        <f>$CE$17</f>
        <v>0</v>
      </c>
      <c r="BE458" s="1731"/>
      <c r="BF458" s="1711"/>
      <c r="BG458" s="1711"/>
      <c r="BH458" s="1711"/>
      <c r="BI458" s="1711"/>
      <c r="BJ458" s="1711"/>
      <c r="BK458" s="1711"/>
      <c r="BL458" s="1711"/>
      <c r="BM458" s="1711"/>
      <c r="BN458" s="1711"/>
      <c r="BO458" s="1711"/>
      <c r="BP458" s="1711"/>
      <c r="BQ458" s="1711"/>
      <c r="BR458" s="1711"/>
      <c r="BS458" s="1711"/>
      <c r="BT458" s="1711"/>
      <c r="BU458" s="1711"/>
      <c r="BV458" s="1711"/>
      <c r="BW458" s="1725"/>
      <c r="BX458" s="23"/>
      <c r="BY458" s="822"/>
      <c r="BZ458" s="822"/>
      <c r="CA458" s="822"/>
      <c r="CB458" s="822"/>
      <c r="CC458" s="822"/>
      <c r="CD458" s="822"/>
      <c r="CE458" s="822"/>
      <c r="CF458" s="822"/>
      <c r="CG458" s="822"/>
      <c r="CH458" s="822"/>
      <c r="CI458" s="822"/>
      <c r="CJ458" s="822"/>
      <c r="CK458" s="822"/>
      <c r="CL458" s="822"/>
      <c r="CM458" s="822"/>
      <c r="CN458" s="822"/>
      <c r="CO458" s="822"/>
      <c r="CP458" s="822"/>
      <c r="CQ458" s="822"/>
      <c r="CR458" s="822"/>
      <c r="CS458" s="822"/>
      <c r="CT458" s="822"/>
      <c r="CU458" s="822"/>
      <c r="CV458" s="822"/>
      <c r="CW458" s="822"/>
      <c r="CX458" s="822"/>
      <c r="CY458" s="822"/>
      <c r="CZ458" s="822"/>
      <c r="DA458" s="822"/>
      <c r="DB458" s="822"/>
      <c r="DC458" s="822"/>
      <c r="DD458" s="822"/>
      <c r="DE458" s="822"/>
      <c r="DF458" s="822"/>
      <c r="DG458" s="822"/>
      <c r="DH458" s="822"/>
      <c r="DI458" s="822"/>
      <c r="DJ458" s="822"/>
      <c r="DK458" s="822"/>
      <c r="DL458" s="822"/>
      <c r="DM458" s="822"/>
      <c r="DN458" s="822"/>
    </row>
    <row r="459" spans="2:118" ht="17.100000000000001" customHeight="1" x14ac:dyDescent="0.3">
      <c r="B459" s="2302"/>
      <c r="D459" s="2302"/>
      <c r="E459" s="1723"/>
      <c r="F459" s="1711"/>
      <c r="G459" s="1711"/>
      <c r="H459" s="1711"/>
      <c r="I459" s="1711"/>
      <c r="J459" s="1711"/>
      <c r="K459" s="1711"/>
      <c r="L459" s="1711"/>
      <c r="M459" s="1711"/>
      <c r="N459" s="1711"/>
      <c r="O459" s="1711"/>
      <c r="P459" s="1711"/>
      <c r="Q459" s="1711"/>
      <c r="R459" s="1711"/>
      <c r="S459" s="1711"/>
      <c r="T459" s="1711"/>
      <c r="U459" s="1711"/>
      <c r="V459" s="1711"/>
      <c r="W459" s="1731"/>
      <c r="X459" s="1731"/>
      <c r="Y459" s="1731"/>
      <c r="Z459" s="1731"/>
      <c r="AA459" s="4814" t="s">
        <v>705</v>
      </c>
      <c r="AB459" s="4814"/>
      <c r="AC459" s="4814"/>
      <c r="AD459" s="1731"/>
      <c r="AE459" s="4811" t="s">
        <v>72</v>
      </c>
      <c r="AF459" s="4811"/>
      <c r="AG459" s="4811"/>
      <c r="AH459" s="1731"/>
      <c r="AI459" s="4823" t="s">
        <v>705</v>
      </c>
      <c r="AJ459" s="4823"/>
      <c r="AK459" s="4823"/>
      <c r="AL459" s="1711"/>
      <c r="AM459" s="1714"/>
      <c r="AN459" s="1719">
        <f>$CE$17</f>
        <v>0</v>
      </c>
      <c r="AO459" s="1733"/>
      <c r="AP459" s="1711"/>
      <c r="AQ459" s="4823" t="s">
        <v>705</v>
      </c>
      <c r="AR459" s="4823"/>
      <c r="AS459" s="4823"/>
      <c r="AT459" s="1731"/>
      <c r="AU459" s="4811" t="s">
        <v>72</v>
      </c>
      <c r="AV459" s="4811"/>
      <c r="AW459" s="4811"/>
      <c r="AX459" s="1731"/>
      <c r="AY459" s="4814" t="s">
        <v>705</v>
      </c>
      <c r="AZ459" s="4814"/>
      <c r="BA459" s="4814"/>
      <c r="BB459" s="1731"/>
      <c r="BC459" s="1731"/>
      <c r="BD459" s="1731"/>
      <c r="BE459" s="1731"/>
      <c r="BF459" s="1711"/>
      <c r="BG459" s="1711"/>
      <c r="BH459" s="1711"/>
      <c r="BI459" s="1711"/>
      <c r="BJ459" s="1711"/>
      <c r="BK459" s="1711"/>
      <c r="BL459" s="1711"/>
      <c r="BM459" s="1711"/>
      <c r="BN459" s="1711"/>
      <c r="BO459" s="1711"/>
      <c r="BP459" s="1711"/>
      <c r="BQ459" s="1711"/>
      <c r="BR459" s="1711"/>
      <c r="BS459" s="1711"/>
      <c r="BT459" s="1711"/>
      <c r="BU459" s="1711"/>
      <c r="BV459" s="1711"/>
      <c r="BW459" s="1725"/>
      <c r="BX459" s="23"/>
      <c r="BY459" s="822"/>
      <c r="BZ459" s="822"/>
      <c r="CA459" s="822"/>
      <c r="CB459" s="822"/>
      <c r="CC459" s="822"/>
      <c r="CD459" s="822"/>
      <c r="CE459" s="822"/>
      <c r="CF459" s="822"/>
      <c r="CG459" s="822"/>
      <c r="CH459" s="822"/>
      <c r="CI459" s="822"/>
      <c r="CJ459" s="822"/>
      <c r="CK459" s="822"/>
      <c r="CL459" s="822"/>
      <c r="CM459" s="822"/>
      <c r="CN459" s="822"/>
      <c r="CO459" s="822"/>
      <c r="CP459" s="822"/>
      <c r="CQ459" s="822"/>
      <c r="CR459" s="822"/>
      <c r="CS459" s="822"/>
      <c r="CT459" s="822"/>
      <c r="CU459" s="822"/>
      <c r="CV459" s="822"/>
      <c r="CW459" s="822"/>
      <c r="CX459" s="822"/>
      <c r="CY459" s="822"/>
      <c r="CZ459" s="822"/>
      <c r="DA459" s="822"/>
      <c r="DB459" s="822"/>
      <c r="DC459" s="822"/>
      <c r="DD459" s="822"/>
      <c r="DE459" s="822"/>
      <c r="DF459" s="822"/>
      <c r="DG459" s="822"/>
      <c r="DH459" s="822"/>
      <c r="DI459" s="822"/>
      <c r="DJ459" s="822"/>
      <c r="DK459" s="822"/>
      <c r="DL459" s="822"/>
      <c r="DM459" s="822"/>
      <c r="DN459" s="822"/>
    </row>
    <row r="460" spans="2:118" ht="17.100000000000001" customHeight="1" x14ac:dyDescent="0.3">
      <c r="B460" s="2302"/>
      <c r="D460" s="2302"/>
      <c r="E460" s="1723"/>
      <c r="F460" s="1711"/>
      <c r="G460" s="1711"/>
      <c r="H460" s="1711"/>
      <c r="I460" s="1711"/>
      <c r="J460" s="1711"/>
      <c r="K460" s="1711"/>
      <c r="L460" s="1711"/>
      <c r="M460" s="1711"/>
      <c r="N460" s="1711"/>
      <c r="O460" s="1711"/>
      <c r="P460" s="1711"/>
      <c r="Q460" s="1711"/>
      <c r="R460" s="1711"/>
      <c r="S460" s="1711"/>
      <c r="T460" s="1711"/>
      <c r="U460" s="1711"/>
      <c r="V460" s="1711"/>
      <c r="W460" s="1731"/>
      <c r="X460" s="1731"/>
      <c r="Y460" s="1731"/>
      <c r="Z460" s="1731"/>
      <c r="AA460" s="4814"/>
      <c r="AB460" s="4814"/>
      <c r="AC460" s="4814"/>
      <c r="AD460" s="1731"/>
      <c r="AE460" s="4811"/>
      <c r="AF460" s="4811"/>
      <c r="AG460" s="4811"/>
      <c r="AH460" s="1731"/>
      <c r="AI460" s="4823"/>
      <c r="AJ460" s="4823"/>
      <c r="AK460" s="4823"/>
      <c r="AL460" s="1711"/>
      <c r="AM460" s="4818" t="s">
        <v>948</v>
      </c>
      <c r="AN460" s="4818"/>
      <c r="AO460" s="4818"/>
      <c r="AP460" s="1711"/>
      <c r="AQ460" s="4823"/>
      <c r="AR460" s="4823"/>
      <c r="AS460" s="4823"/>
      <c r="AT460" s="1731"/>
      <c r="AU460" s="4811"/>
      <c r="AV460" s="4811"/>
      <c r="AW460" s="4811"/>
      <c r="AX460" s="1731"/>
      <c r="AY460" s="4814"/>
      <c r="AZ460" s="4814"/>
      <c r="BA460" s="4814"/>
      <c r="BB460" s="1731"/>
      <c r="BC460" s="1731"/>
      <c r="BD460" s="1731"/>
      <c r="BE460" s="1731"/>
      <c r="BF460" s="1711"/>
      <c r="BG460" s="1711"/>
      <c r="BH460" s="1711"/>
      <c r="BI460" s="1711"/>
      <c r="BJ460" s="1711"/>
      <c r="BK460" s="1711"/>
      <c r="BL460" s="1711"/>
      <c r="BM460" s="1711"/>
      <c r="BN460" s="1711"/>
      <c r="BO460" s="1711"/>
      <c r="BP460" s="1711"/>
      <c r="BQ460" s="1711"/>
      <c r="BR460" s="1711"/>
      <c r="BS460" s="1711"/>
      <c r="BT460" s="1711"/>
      <c r="BU460" s="1711"/>
      <c r="BV460" s="1711"/>
      <c r="BW460" s="1725"/>
      <c r="BX460" s="23"/>
      <c r="BY460" s="822"/>
      <c r="BZ460" s="822"/>
      <c r="CA460" s="822"/>
      <c r="CB460" s="822"/>
      <c r="CC460" s="822"/>
      <c r="CD460" s="822"/>
      <c r="CE460" s="822"/>
      <c r="CF460" s="822"/>
      <c r="CG460" s="822"/>
      <c r="CH460" s="822"/>
      <c r="CI460" s="822"/>
      <c r="CJ460" s="822"/>
      <c r="CK460" s="822"/>
      <c r="CL460" s="822"/>
      <c r="CM460" s="822"/>
      <c r="CN460" s="822"/>
      <c r="CO460" s="822"/>
      <c r="CP460" s="822"/>
      <c r="CQ460" s="822"/>
      <c r="CR460" s="822"/>
      <c r="CS460" s="822"/>
      <c r="CT460" s="822"/>
      <c r="CU460" s="822"/>
      <c r="CV460" s="822"/>
      <c r="CW460" s="822"/>
      <c r="CX460" s="822"/>
      <c r="CY460" s="822"/>
      <c r="CZ460" s="822"/>
      <c r="DA460" s="822"/>
      <c r="DB460" s="822"/>
      <c r="DC460" s="822"/>
      <c r="DD460" s="822"/>
      <c r="DE460" s="822"/>
      <c r="DF460" s="822"/>
      <c r="DG460" s="822"/>
      <c r="DH460" s="822"/>
      <c r="DI460" s="822"/>
      <c r="DJ460" s="822"/>
      <c r="DK460" s="822"/>
      <c r="DL460" s="822"/>
      <c r="DM460" s="822"/>
      <c r="DN460" s="822"/>
    </row>
    <row r="461" spans="2:118" ht="17.100000000000001" customHeight="1" x14ac:dyDescent="0.3">
      <c r="B461" s="2302"/>
      <c r="D461" s="2302"/>
      <c r="E461" s="1723"/>
      <c r="F461" s="1711"/>
      <c r="G461" s="1711"/>
      <c r="H461" s="1711"/>
      <c r="I461" s="1711"/>
      <c r="J461" s="1711"/>
      <c r="K461" s="1711"/>
      <c r="L461" s="1711"/>
      <c r="M461" s="1711"/>
      <c r="N461" s="1711"/>
      <c r="O461" s="1711"/>
      <c r="P461" s="1711"/>
      <c r="Q461" s="1711"/>
      <c r="R461" s="1711"/>
      <c r="S461" s="1711"/>
      <c r="T461" s="1711"/>
      <c r="U461" s="1711"/>
      <c r="V461" s="1711"/>
      <c r="W461" s="1731"/>
      <c r="X461" s="1731"/>
      <c r="Y461" s="1731"/>
      <c r="Z461" s="1731"/>
      <c r="AA461" s="4814"/>
      <c r="AB461" s="4814"/>
      <c r="AC461" s="4814"/>
      <c r="AD461" s="1731"/>
      <c r="AE461" s="4811"/>
      <c r="AF461" s="4811"/>
      <c r="AG461" s="4811"/>
      <c r="AH461" s="1731"/>
      <c r="AI461" s="4823"/>
      <c r="AJ461" s="4823"/>
      <c r="AK461" s="4823"/>
      <c r="AL461" s="1711"/>
      <c r="AM461" s="4818"/>
      <c r="AN461" s="4818"/>
      <c r="AO461" s="4818"/>
      <c r="AP461" s="1711"/>
      <c r="AQ461" s="4823"/>
      <c r="AR461" s="4823"/>
      <c r="AS461" s="4823"/>
      <c r="AT461" s="1731"/>
      <c r="AU461" s="4811"/>
      <c r="AV461" s="4811"/>
      <c r="AW461" s="4811"/>
      <c r="AX461" s="1731"/>
      <c r="AY461" s="4814"/>
      <c r="AZ461" s="4814"/>
      <c r="BA461" s="4814"/>
      <c r="BB461" s="1731"/>
      <c r="BC461" s="1731"/>
      <c r="BD461" s="1731"/>
      <c r="BE461" s="1731"/>
      <c r="BF461" s="1711"/>
      <c r="BG461" s="1711"/>
      <c r="BH461" s="1711"/>
      <c r="BI461" s="1711"/>
      <c r="BJ461" s="1711"/>
      <c r="BK461" s="1711"/>
      <c r="BL461" s="1711"/>
      <c r="BM461" s="1711"/>
      <c r="BN461" s="1711"/>
      <c r="BO461" s="1711"/>
      <c r="BP461" s="1711"/>
      <c r="BQ461" s="1711"/>
      <c r="BR461" s="1711"/>
      <c r="BS461" s="1711"/>
      <c r="BT461" s="1711"/>
      <c r="BU461" s="1711"/>
      <c r="BV461" s="1711"/>
      <c r="BW461" s="1725"/>
      <c r="BX461" s="23"/>
      <c r="BY461" s="822"/>
      <c r="BZ461" s="822"/>
      <c r="CA461" s="822"/>
      <c r="CB461" s="822"/>
      <c r="CC461" s="822"/>
      <c r="CD461" s="822"/>
      <c r="CE461" s="822"/>
      <c r="CF461" s="822"/>
      <c r="CG461" s="822"/>
      <c r="CH461" s="822"/>
      <c r="CI461" s="822"/>
      <c r="CJ461" s="822"/>
      <c r="CK461" s="822"/>
      <c r="CL461" s="822"/>
      <c r="CM461" s="822"/>
      <c r="CN461" s="822"/>
      <c r="CO461" s="822"/>
      <c r="CP461" s="822"/>
      <c r="CQ461" s="822"/>
      <c r="CR461" s="822"/>
      <c r="CS461" s="822"/>
      <c r="CT461" s="822"/>
      <c r="CU461" s="822"/>
      <c r="CV461" s="822"/>
      <c r="CW461" s="822"/>
      <c r="CX461" s="822"/>
      <c r="CY461" s="822"/>
      <c r="CZ461" s="822"/>
      <c r="DA461" s="822"/>
      <c r="DB461" s="822"/>
      <c r="DC461" s="822"/>
      <c r="DD461" s="822"/>
      <c r="DE461" s="822"/>
      <c r="DF461" s="822"/>
      <c r="DG461" s="822"/>
      <c r="DH461" s="822"/>
      <c r="DI461" s="822"/>
      <c r="DJ461" s="822"/>
      <c r="DK461" s="822"/>
      <c r="DL461" s="822"/>
      <c r="DM461" s="822"/>
      <c r="DN461" s="822"/>
    </row>
    <row r="462" spans="2:118" ht="17.100000000000001" customHeight="1" x14ac:dyDescent="0.3">
      <c r="B462" s="2302"/>
      <c r="D462" s="2302"/>
      <c r="E462" s="1723"/>
      <c r="F462" s="1711"/>
      <c r="G462" s="1711"/>
      <c r="H462" s="1711"/>
      <c r="I462" s="1711"/>
      <c r="J462" s="1711"/>
      <c r="K462" s="1711"/>
      <c r="L462" s="1711"/>
      <c r="M462" s="1711"/>
      <c r="N462" s="1711"/>
      <c r="O462" s="1711"/>
      <c r="P462" s="1711"/>
      <c r="Q462" s="1711"/>
      <c r="R462" s="1711"/>
      <c r="S462" s="1711"/>
      <c r="T462" s="1711"/>
      <c r="U462" s="1711"/>
      <c r="V462" s="1711"/>
      <c r="W462" s="1731"/>
      <c r="X462" s="1731"/>
      <c r="Y462" s="1731"/>
      <c r="Z462" s="1731"/>
      <c r="AA462" s="1731"/>
      <c r="AB462" s="1719">
        <f>$CE$18</f>
        <v>0</v>
      </c>
      <c r="AC462" s="1731"/>
      <c r="AD462" s="1731"/>
      <c r="AE462" s="1735"/>
      <c r="AF462" s="1735"/>
      <c r="AG462" s="1735"/>
      <c r="AH462" s="1731"/>
      <c r="AI462" s="1735"/>
      <c r="AJ462" s="1719">
        <f>$CE$19</f>
        <v>0</v>
      </c>
      <c r="AK462" s="1735"/>
      <c r="AL462" s="1711"/>
      <c r="AM462" s="1714"/>
      <c r="AN462" s="1719">
        <f>$CE$18</f>
        <v>0</v>
      </c>
      <c r="AO462" s="1733"/>
      <c r="AP462" s="1711"/>
      <c r="AQ462" s="1735"/>
      <c r="AR462" s="1719">
        <f>$CE$19</f>
        <v>0</v>
      </c>
      <c r="AS462" s="1735"/>
      <c r="AT462" s="1731"/>
      <c r="AU462" s="1735"/>
      <c r="AV462" s="1735"/>
      <c r="AW462" s="1735"/>
      <c r="AX462" s="1731"/>
      <c r="AY462" s="1731"/>
      <c r="AZ462" s="1719">
        <f>$CE$18</f>
        <v>0</v>
      </c>
      <c r="BA462" s="1731"/>
      <c r="BB462" s="1731"/>
      <c r="BC462" s="1731"/>
      <c r="BD462" s="1731"/>
      <c r="BE462" s="1731"/>
      <c r="BF462" s="1711"/>
      <c r="BG462" s="1711"/>
      <c r="BH462" s="1711"/>
      <c r="BI462" s="1711"/>
      <c r="BJ462" s="1711"/>
      <c r="BK462" s="1711"/>
      <c r="BL462" s="1711"/>
      <c r="BM462" s="1711"/>
      <c r="BN462" s="1711"/>
      <c r="BO462" s="1711"/>
      <c r="BP462" s="1711"/>
      <c r="BQ462" s="1711"/>
      <c r="BR462" s="1711"/>
      <c r="BS462" s="1711"/>
      <c r="BT462" s="1711"/>
      <c r="BU462" s="1711"/>
      <c r="BV462" s="1711"/>
      <c r="BW462" s="1725"/>
      <c r="BX462" s="23"/>
      <c r="BY462" s="822"/>
      <c r="BZ462" s="822"/>
      <c r="CA462" s="822"/>
      <c r="CB462" s="822"/>
      <c r="CC462" s="822"/>
      <c r="CD462" s="822"/>
      <c r="CE462" s="822"/>
      <c r="CF462" s="822"/>
      <c r="CG462" s="822"/>
      <c r="CH462" s="822"/>
      <c r="CI462" s="822"/>
      <c r="CJ462" s="822"/>
      <c r="CK462" s="822"/>
      <c r="CL462" s="822"/>
      <c r="CM462" s="822"/>
      <c r="CN462" s="822"/>
      <c r="CO462" s="822"/>
      <c r="CP462" s="822"/>
      <c r="CQ462" s="822"/>
      <c r="CR462" s="822"/>
      <c r="CS462" s="822"/>
      <c r="CT462" s="822"/>
      <c r="CU462" s="822"/>
      <c r="CV462" s="822"/>
      <c r="CW462" s="822"/>
      <c r="CX462" s="822"/>
      <c r="CY462" s="822"/>
      <c r="CZ462" s="822"/>
      <c r="DA462" s="822"/>
      <c r="DB462" s="822"/>
      <c r="DC462" s="822"/>
      <c r="DD462" s="822"/>
      <c r="DE462" s="822"/>
      <c r="DF462" s="822"/>
      <c r="DG462" s="822"/>
      <c r="DH462" s="822"/>
      <c r="DI462" s="822"/>
      <c r="DJ462" s="822"/>
      <c r="DK462" s="822"/>
      <c r="DL462" s="822"/>
      <c r="DM462" s="822"/>
      <c r="DN462" s="822"/>
    </row>
    <row r="463" spans="2:118" ht="17.100000000000001" customHeight="1" x14ac:dyDescent="0.3">
      <c r="B463" s="2302"/>
      <c r="D463" s="2302"/>
      <c r="E463" s="1723"/>
      <c r="F463" s="1711"/>
      <c r="G463" s="1711"/>
      <c r="H463" s="1711"/>
      <c r="I463" s="1711"/>
      <c r="J463" s="1711"/>
      <c r="K463" s="1711"/>
      <c r="L463" s="1711"/>
      <c r="M463" s="1711"/>
      <c r="N463" s="1711"/>
      <c r="O463" s="1711"/>
      <c r="P463" s="1711"/>
      <c r="Q463" s="1711"/>
      <c r="R463" s="1711"/>
      <c r="S463" s="1711"/>
      <c r="T463" s="1711"/>
      <c r="U463" s="1711"/>
      <c r="V463" s="1711"/>
      <c r="W463" s="1731"/>
      <c r="X463" s="1731"/>
      <c r="Y463" s="1731"/>
      <c r="Z463" s="1731"/>
      <c r="AA463" s="1731"/>
      <c r="AB463" s="1731"/>
      <c r="AC463" s="1731"/>
      <c r="AD463" s="1731"/>
      <c r="AE463" s="4812" t="s">
        <v>705</v>
      </c>
      <c r="AF463" s="4812"/>
      <c r="AG463" s="4812"/>
      <c r="AH463" s="1731"/>
      <c r="AI463" s="4811" t="s">
        <v>72</v>
      </c>
      <c r="AJ463" s="4811"/>
      <c r="AK463" s="4811"/>
      <c r="AL463" s="1711"/>
      <c r="AM463" s="4819" t="s">
        <v>951</v>
      </c>
      <c r="AN463" s="4819"/>
      <c r="AO463" s="4819"/>
      <c r="AP463" s="1711"/>
      <c r="AQ463" s="4811" t="s">
        <v>72</v>
      </c>
      <c r="AR463" s="4811"/>
      <c r="AS463" s="4811"/>
      <c r="AT463" s="1731"/>
      <c r="AU463" s="4812" t="s">
        <v>705</v>
      </c>
      <c r="AV463" s="4812"/>
      <c r="AW463" s="4812"/>
      <c r="AX463" s="1731"/>
      <c r="AY463" s="1731"/>
      <c r="AZ463" s="1731"/>
      <c r="BA463" s="1731"/>
      <c r="BB463" s="1731"/>
      <c r="BC463" s="1731"/>
      <c r="BD463" s="1731"/>
      <c r="BE463" s="1731"/>
      <c r="BF463" s="1711"/>
      <c r="BG463" s="1711"/>
      <c r="BH463" s="1711"/>
      <c r="BI463" s="1711"/>
      <c r="BJ463" s="1711"/>
      <c r="BK463" s="1711"/>
      <c r="BL463" s="1711"/>
      <c r="BM463" s="1711"/>
      <c r="BN463" s="1711"/>
      <c r="BO463" s="1711"/>
      <c r="BP463" s="1711"/>
      <c r="BQ463" s="1711"/>
      <c r="BR463" s="1711"/>
      <c r="BS463" s="1711"/>
      <c r="BT463" s="1711"/>
      <c r="BU463" s="1711"/>
      <c r="BV463" s="1711"/>
      <c r="BW463" s="1725"/>
      <c r="BX463" s="23"/>
      <c r="BY463" s="822"/>
      <c r="BZ463" s="822"/>
      <c r="CA463" s="822"/>
      <c r="CB463" s="822"/>
      <c r="CC463" s="822"/>
      <c r="CD463" s="822"/>
      <c r="CE463" s="822"/>
      <c r="CF463" s="822"/>
      <c r="CG463" s="822"/>
      <c r="CH463" s="822"/>
      <c r="CI463" s="822"/>
      <c r="CJ463" s="822"/>
      <c r="CK463" s="822"/>
      <c r="CL463" s="822"/>
      <c r="CM463" s="822"/>
      <c r="CN463" s="822"/>
      <c r="CO463" s="822"/>
      <c r="CP463" s="822"/>
      <c r="CQ463" s="822"/>
      <c r="CR463" s="822"/>
      <c r="CS463" s="822"/>
      <c r="CT463" s="822"/>
      <c r="CU463" s="822"/>
      <c r="CV463" s="822"/>
      <c r="CW463" s="822"/>
      <c r="CX463" s="822"/>
      <c r="CY463" s="822"/>
      <c r="CZ463" s="822"/>
      <c r="DA463" s="822"/>
      <c r="DB463" s="822"/>
      <c r="DC463" s="822"/>
      <c r="DD463" s="822"/>
      <c r="DE463" s="822"/>
      <c r="DF463" s="822"/>
      <c r="DG463" s="822"/>
      <c r="DH463" s="822"/>
      <c r="DI463" s="822"/>
      <c r="DJ463" s="822"/>
      <c r="DK463" s="822"/>
      <c r="DL463" s="822"/>
      <c r="DM463" s="822"/>
      <c r="DN463" s="822"/>
    </row>
    <row r="464" spans="2:118" ht="17.100000000000001" customHeight="1" x14ac:dyDescent="0.3">
      <c r="B464" s="2302"/>
      <c r="D464" s="2302"/>
      <c r="E464" s="1723"/>
      <c r="F464" s="1711"/>
      <c r="G464" s="1711"/>
      <c r="H464" s="1711"/>
      <c r="I464" s="1711"/>
      <c r="J464" s="1711"/>
      <c r="K464" s="1711"/>
      <c r="L464" s="1711"/>
      <c r="M464" s="1711"/>
      <c r="N464" s="1711"/>
      <c r="O464" s="1711"/>
      <c r="P464" s="1711"/>
      <c r="Q464" s="1711"/>
      <c r="R464" s="1711"/>
      <c r="S464" s="1711"/>
      <c r="T464" s="1711"/>
      <c r="U464" s="1711"/>
      <c r="V464" s="1711"/>
      <c r="W464" s="1731"/>
      <c r="X464" s="1731"/>
      <c r="Y464" s="1731"/>
      <c r="Z464" s="1731"/>
      <c r="AA464" s="1731"/>
      <c r="AB464" s="1731"/>
      <c r="AC464" s="1731"/>
      <c r="AD464" s="1731"/>
      <c r="AE464" s="4812"/>
      <c r="AF464" s="4812"/>
      <c r="AG464" s="4812"/>
      <c r="AH464" s="1731"/>
      <c r="AI464" s="4811"/>
      <c r="AJ464" s="4811"/>
      <c r="AK464" s="4811"/>
      <c r="AL464" s="1711"/>
      <c r="AM464" s="4819"/>
      <c r="AN464" s="4819"/>
      <c r="AO464" s="4819"/>
      <c r="AP464" s="1711"/>
      <c r="AQ464" s="4811"/>
      <c r="AR464" s="4811"/>
      <c r="AS464" s="4811"/>
      <c r="AT464" s="1731"/>
      <c r="AU464" s="4812"/>
      <c r="AV464" s="4812"/>
      <c r="AW464" s="4812"/>
      <c r="AX464" s="1731"/>
      <c r="AY464" s="1731"/>
      <c r="AZ464" s="1731"/>
      <c r="BA464" s="1731"/>
      <c r="BB464" s="1731"/>
      <c r="BC464" s="1731"/>
      <c r="BD464" s="1731"/>
      <c r="BE464" s="1731"/>
      <c r="BF464" s="1711"/>
      <c r="BG464" s="1711"/>
      <c r="BH464" s="1711"/>
      <c r="BI464" s="1711"/>
      <c r="BJ464" s="1711"/>
      <c r="BK464" s="1711"/>
      <c r="BL464" s="1711"/>
      <c r="BM464" s="1711"/>
      <c r="BN464" s="1711"/>
      <c r="BO464" s="1711"/>
      <c r="BP464" s="1711"/>
      <c r="BQ464" s="1711"/>
      <c r="BR464" s="1711"/>
      <c r="BS464" s="1711"/>
      <c r="BT464" s="1711"/>
      <c r="BU464" s="1711"/>
      <c r="BV464" s="1711"/>
      <c r="BW464" s="1725"/>
      <c r="BX464" s="23"/>
      <c r="BY464" s="822"/>
      <c r="BZ464" s="822"/>
      <c r="CA464" s="822"/>
      <c r="CB464" s="822"/>
      <c r="CC464" s="822"/>
      <c r="CD464" s="822"/>
      <c r="CE464" s="822"/>
      <c r="CF464" s="822"/>
      <c r="CG464" s="822"/>
      <c r="CH464" s="822"/>
      <c r="CI464" s="822"/>
      <c r="CJ464" s="822"/>
      <c r="CK464" s="822"/>
      <c r="CL464" s="822"/>
      <c r="CM464" s="822"/>
      <c r="CN464" s="822"/>
      <c r="CO464" s="822"/>
      <c r="CP464" s="822"/>
      <c r="CQ464" s="822"/>
      <c r="CR464" s="822"/>
      <c r="CS464" s="822"/>
      <c r="CT464" s="822"/>
      <c r="CU464" s="822"/>
      <c r="CV464" s="822"/>
      <c r="CW464" s="822"/>
      <c r="CX464" s="822"/>
      <c r="CY464" s="822"/>
      <c r="CZ464" s="822"/>
      <c r="DA464" s="822"/>
      <c r="DB464" s="822"/>
      <c r="DC464" s="822"/>
      <c r="DD464" s="822"/>
      <c r="DE464" s="822"/>
      <c r="DF464" s="822"/>
      <c r="DG464" s="822"/>
      <c r="DH464" s="822"/>
      <c r="DI464" s="822"/>
      <c r="DJ464" s="822"/>
      <c r="DK464" s="822"/>
      <c r="DL464" s="822"/>
      <c r="DM464" s="822"/>
      <c r="DN464" s="822"/>
    </row>
    <row r="465" spans="2:118" ht="17.100000000000001" customHeight="1" x14ac:dyDescent="0.3">
      <c r="B465" s="2302"/>
      <c r="D465" s="2302"/>
      <c r="E465" s="1723"/>
      <c r="F465" s="1711"/>
      <c r="G465" s="1711"/>
      <c r="H465" s="1711"/>
      <c r="I465" s="1711"/>
      <c r="J465" s="1711"/>
      <c r="K465" s="1711"/>
      <c r="L465" s="1711"/>
      <c r="M465" s="1711"/>
      <c r="N465" s="1711"/>
      <c r="O465" s="1711"/>
      <c r="P465" s="1711"/>
      <c r="Q465" s="1711"/>
      <c r="R465" s="1711"/>
      <c r="S465" s="1711"/>
      <c r="T465" s="1711"/>
      <c r="U465" s="1711"/>
      <c r="V465" s="1711"/>
      <c r="W465" s="1731"/>
      <c r="X465" s="1731"/>
      <c r="Y465" s="1731"/>
      <c r="Z465" s="1731"/>
      <c r="AA465" s="1731"/>
      <c r="AB465" s="1731"/>
      <c r="AC465" s="1731"/>
      <c r="AD465" s="1731"/>
      <c r="AE465" s="4812"/>
      <c r="AF465" s="4812"/>
      <c r="AG465" s="4812"/>
      <c r="AH465" s="1731"/>
      <c r="AI465" s="4811"/>
      <c r="AJ465" s="4811"/>
      <c r="AK465" s="4811"/>
      <c r="AL465" s="1711"/>
      <c r="AM465" s="1714"/>
      <c r="AN465" s="1719">
        <f>$CE$19</f>
        <v>0</v>
      </c>
      <c r="AO465" s="1733"/>
      <c r="AP465" s="1711"/>
      <c r="AQ465" s="4811"/>
      <c r="AR465" s="4811"/>
      <c r="AS465" s="4811"/>
      <c r="AT465" s="1731"/>
      <c r="AU465" s="4812"/>
      <c r="AV465" s="4812"/>
      <c r="AW465" s="4812"/>
      <c r="AX465" s="1731"/>
      <c r="AY465" s="1731"/>
      <c r="AZ465" s="1731"/>
      <c r="BA465" s="1731"/>
      <c r="BB465" s="1731"/>
      <c r="BC465" s="1731"/>
      <c r="BD465" s="1731"/>
      <c r="BE465" s="1731"/>
      <c r="BF465" s="1711"/>
      <c r="BG465" s="1711"/>
      <c r="BH465" s="1711"/>
      <c r="BI465" s="1711"/>
      <c r="BJ465" s="1711"/>
      <c r="BK465" s="1711"/>
      <c r="BL465" s="1711"/>
      <c r="BM465" s="1711"/>
      <c r="BN465" s="1711"/>
      <c r="BO465" s="1711"/>
      <c r="BP465" s="1711"/>
      <c r="BQ465" s="1711"/>
      <c r="BR465" s="1711"/>
      <c r="BS465" s="1711"/>
      <c r="BT465" s="1711"/>
      <c r="BU465" s="1711"/>
      <c r="BV465" s="1711"/>
      <c r="BW465" s="1725"/>
      <c r="BX465" s="23"/>
      <c r="BY465" s="822"/>
      <c r="BZ465" s="822"/>
      <c r="CA465" s="822"/>
      <c r="CB465" s="822"/>
      <c r="CC465" s="822"/>
      <c r="CD465" s="822"/>
      <c r="CE465" s="822"/>
      <c r="CF465" s="822"/>
      <c r="CG465" s="822"/>
      <c r="CH465" s="822"/>
      <c r="CI465" s="822"/>
      <c r="CJ465" s="822"/>
      <c r="CK465" s="822"/>
      <c r="CL465" s="822"/>
      <c r="CM465" s="822"/>
      <c r="CN465" s="822"/>
      <c r="CO465" s="822"/>
      <c r="CP465" s="822"/>
      <c r="CQ465" s="822"/>
      <c r="CR465" s="822"/>
      <c r="CS465" s="822"/>
      <c r="CT465" s="822"/>
      <c r="CU465" s="822"/>
      <c r="CV465" s="822"/>
      <c r="CW465" s="822"/>
      <c r="CX465" s="822"/>
      <c r="CY465" s="822"/>
      <c r="CZ465" s="822"/>
      <c r="DA465" s="822"/>
      <c r="DB465" s="822"/>
      <c r="DC465" s="822"/>
      <c r="DD465" s="822"/>
      <c r="DE465" s="822"/>
      <c r="DF465" s="822"/>
      <c r="DG465" s="822"/>
      <c r="DH465" s="822"/>
      <c r="DI465" s="822"/>
      <c r="DJ465" s="822"/>
      <c r="DK465" s="822"/>
      <c r="DL465" s="822"/>
      <c r="DM465" s="822"/>
      <c r="DN465" s="822"/>
    </row>
    <row r="466" spans="2:118" ht="17.100000000000001" customHeight="1" x14ac:dyDescent="0.3">
      <c r="B466" s="2302"/>
      <c r="D466" s="2302"/>
      <c r="E466" s="1723"/>
      <c r="F466" s="1711"/>
      <c r="G466" s="1711"/>
      <c r="H466" s="1711"/>
      <c r="I466" s="1711"/>
      <c r="J466" s="1711"/>
      <c r="K466" s="1711"/>
      <c r="L466" s="1711"/>
      <c r="M466" s="1711"/>
      <c r="N466" s="1711"/>
      <c r="O466" s="1711"/>
      <c r="P466" s="1711"/>
      <c r="Q466" s="1711"/>
      <c r="R466" s="1711"/>
      <c r="S466" s="1711"/>
      <c r="T466" s="1711"/>
      <c r="U466" s="1711"/>
      <c r="V466" s="1711"/>
      <c r="W466" s="1731"/>
      <c r="X466" s="1731"/>
      <c r="Y466" s="1731"/>
      <c r="Z466" s="1731"/>
      <c r="AA466" s="1731"/>
      <c r="AB466" s="1731"/>
      <c r="AC466" s="1731"/>
      <c r="AD466" s="1731"/>
      <c r="AE466" s="1731"/>
      <c r="AF466" s="1719">
        <f>$CE$20</f>
        <v>0</v>
      </c>
      <c r="AG466" s="1731"/>
      <c r="AH466" s="1731"/>
      <c r="AI466" s="1735"/>
      <c r="AJ466" s="1735"/>
      <c r="AK466" s="1735"/>
      <c r="AL466" s="1711"/>
      <c r="AM466" s="4824" t="s">
        <v>950</v>
      </c>
      <c r="AN466" s="4824"/>
      <c r="AO466" s="4824"/>
      <c r="AP466" s="1711"/>
      <c r="AQ466" s="1735"/>
      <c r="AR466" s="1735"/>
      <c r="AS466" s="1735"/>
      <c r="AT466" s="1731"/>
      <c r="AU466" s="1731"/>
      <c r="AV466" s="1719">
        <f>$CE$20</f>
        <v>0</v>
      </c>
      <c r="AW466" s="1731"/>
      <c r="AX466" s="1731"/>
      <c r="AY466" s="1731"/>
      <c r="AZ466" s="1731"/>
      <c r="BA466" s="1731"/>
      <c r="BB466" s="1731"/>
      <c r="BC466" s="1731"/>
      <c r="BD466" s="1731"/>
      <c r="BE466" s="1731"/>
      <c r="BF466" s="1711"/>
      <c r="BG466" s="1711"/>
      <c r="BH466" s="1711"/>
      <c r="BI466" s="1711"/>
      <c r="BJ466" s="1711"/>
      <c r="BK466" s="1711"/>
      <c r="BL466" s="1711"/>
      <c r="BM466" s="1711"/>
      <c r="BN466" s="1711"/>
      <c r="BO466" s="1711"/>
      <c r="BP466" s="1711"/>
      <c r="BQ466" s="1711"/>
      <c r="BR466" s="1711"/>
      <c r="BS466" s="1711"/>
      <c r="BT466" s="1711"/>
      <c r="BU466" s="1711"/>
      <c r="BV466" s="1711"/>
      <c r="BW466" s="1725"/>
      <c r="BX466" s="23"/>
      <c r="BY466" s="822"/>
      <c r="BZ466" s="822"/>
      <c r="CA466" s="822"/>
      <c r="CB466" s="822"/>
      <c r="CC466" s="822"/>
      <c r="CD466" s="822"/>
      <c r="CE466" s="822"/>
      <c r="CF466" s="822"/>
      <c r="CG466" s="822"/>
      <c r="CH466" s="822"/>
      <c r="CI466" s="822"/>
      <c r="CJ466" s="822"/>
      <c r="CK466" s="822"/>
      <c r="CL466" s="822"/>
      <c r="CM466" s="822"/>
      <c r="CN466" s="822"/>
      <c r="CO466" s="822"/>
      <c r="CP466" s="822"/>
      <c r="CQ466" s="822"/>
      <c r="CR466" s="822"/>
      <c r="CS466" s="822"/>
      <c r="CT466" s="822"/>
      <c r="CU466" s="822"/>
      <c r="CV466" s="822"/>
      <c r="CW466" s="822"/>
      <c r="CX466" s="822"/>
      <c r="CY466" s="822"/>
      <c r="CZ466" s="822"/>
      <c r="DA466" s="822"/>
      <c r="DB466" s="822"/>
      <c r="DC466" s="822"/>
      <c r="DD466" s="822"/>
      <c r="DE466" s="822"/>
      <c r="DF466" s="822"/>
      <c r="DG466" s="822"/>
      <c r="DH466" s="822"/>
      <c r="DI466" s="822"/>
      <c r="DJ466" s="822"/>
      <c r="DK466" s="822"/>
      <c r="DL466" s="822"/>
      <c r="DM466" s="822"/>
      <c r="DN466" s="822"/>
    </row>
    <row r="467" spans="2:118" ht="17.100000000000001" customHeight="1" x14ac:dyDescent="0.3">
      <c r="B467" s="2302"/>
      <c r="D467" s="2302"/>
      <c r="E467" s="1723"/>
      <c r="F467" s="1726"/>
      <c r="G467" s="1711"/>
      <c r="H467" s="1711"/>
      <c r="I467" s="1711"/>
      <c r="J467" s="1711"/>
      <c r="K467" s="1711"/>
      <c r="L467" s="1711"/>
      <c r="M467" s="1711"/>
      <c r="N467" s="1711"/>
      <c r="O467" s="1711"/>
      <c r="P467" s="1711"/>
      <c r="Q467" s="1711"/>
      <c r="R467" s="1711"/>
      <c r="S467" s="1711"/>
      <c r="T467" s="1711"/>
      <c r="U467" s="1711"/>
      <c r="V467" s="1711"/>
      <c r="W467" s="1731"/>
      <c r="X467" s="1731"/>
      <c r="Y467" s="1731"/>
      <c r="Z467" s="1731"/>
      <c r="AA467" s="1731"/>
      <c r="AB467" s="1731"/>
      <c r="AC467" s="1731"/>
      <c r="AD467" s="1731"/>
      <c r="AE467" s="1731"/>
      <c r="AF467" s="1731"/>
      <c r="AG467" s="1731"/>
      <c r="AH467" s="1731"/>
      <c r="AI467" s="4821" t="s">
        <v>705</v>
      </c>
      <c r="AJ467" s="4821"/>
      <c r="AK467" s="4821"/>
      <c r="AL467" s="1711"/>
      <c r="AM467" s="4824"/>
      <c r="AN467" s="4824"/>
      <c r="AO467" s="4824"/>
      <c r="AP467" s="1711"/>
      <c r="AQ467" s="4821" t="s">
        <v>705</v>
      </c>
      <c r="AR467" s="4821"/>
      <c r="AS467" s="4821"/>
      <c r="AT467" s="1731"/>
      <c r="AU467" s="1731"/>
      <c r="AV467" s="1731"/>
      <c r="AW467" s="1731"/>
      <c r="AX467" s="1731"/>
      <c r="AY467" s="1731"/>
      <c r="AZ467" s="1731"/>
      <c r="BA467" s="1731"/>
      <c r="BB467" s="1731"/>
      <c r="BC467" s="1731"/>
      <c r="BD467" s="1731"/>
      <c r="BE467" s="1731"/>
      <c r="BF467" s="1711"/>
      <c r="BG467" s="1711"/>
      <c r="BH467" s="1711"/>
      <c r="BI467" s="1711"/>
      <c r="BJ467" s="1711"/>
      <c r="BK467" s="1711"/>
      <c r="BL467" s="1711"/>
      <c r="BM467" s="1711"/>
      <c r="BN467" s="1711"/>
      <c r="BO467" s="1711"/>
      <c r="BP467" s="1711"/>
      <c r="BQ467" s="1711"/>
      <c r="BR467" s="1711"/>
      <c r="BS467" s="1711"/>
      <c r="BT467" s="1711"/>
      <c r="BU467" s="1711"/>
      <c r="BV467" s="1727"/>
      <c r="BW467" s="1725"/>
      <c r="BX467" s="23"/>
      <c r="BY467" s="822"/>
      <c r="BZ467" s="822"/>
      <c r="CA467" s="822"/>
      <c r="CB467" s="822"/>
      <c r="CC467" s="822"/>
      <c r="CD467" s="822"/>
      <c r="CE467" s="822"/>
      <c r="CF467" s="822"/>
      <c r="CG467" s="822"/>
      <c r="CH467" s="822"/>
      <c r="CI467" s="822"/>
      <c r="CJ467" s="822"/>
      <c r="CK467" s="822"/>
      <c r="CL467" s="822"/>
      <c r="CM467" s="822"/>
      <c r="CN467" s="822"/>
      <c r="CO467" s="822"/>
      <c r="CP467" s="822"/>
      <c r="CQ467" s="822"/>
      <c r="CR467" s="822"/>
      <c r="CS467" s="822"/>
      <c r="CT467" s="822"/>
      <c r="CU467" s="822"/>
      <c r="CV467" s="822"/>
      <c r="CW467" s="822"/>
      <c r="CX467" s="822"/>
      <c r="CY467" s="822"/>
      <c r="CZ467" s="822"/>
      <c r="DA467" s="822"/>
      <c r="DB467" s="822"/>
      <c r="DC467" s="822"/>
      <c r="DD467" s="822"/>
      <c r="DE467" s="822"/>
      <c r="DF467" s="822"/>
      <c r="DG467" s="822"/>
      <c r="DH467" s="822"/>
      <c r="DI467" s="822"/>
      <c r="DJ467" s="822"/>
      <c r="DK467" s="822"/>
      <c r="DL467" s="822"/>
      <c r="DM467" s="822"/>
      <c r="DN467" s="822"/>
    </row>
    <row r="468" spans="2:118" ht="17.100000000000001" customHeight="1" thickBot="1" x14ac:dyDescent="0.35">
      <c r="B468" s="2302"/>
      <c r="D468" s="2302"/>
      <c r="E468" s="1728"/>
      <c r="F468" s="1729"/>
      <c r="G468" s="1711"/>
      <c r="H468" s="1711"/>
      <c r="I468" s="1711"/>
      <c r="J468" s="1711"/>
      <c r="K468" s="1711"/>
      <c r="L468" s="1711"/>
      <c r="M468" s="1711"/>
      <c r="N468" s="1711"/>
      <c r="O468" s="1711"/>
      <c r="P468" s="1711"/>
      <c r="Q468" s="1711"/>
      <c r="R468" s="1711"/>
      <c r="S468" s="1711"/>
      <c r="T468" s="1711"/>
      <c r="U468" s="1711"/>
      <c r="V468" s="1711"/>
      <c r="W468" s="1731"/>
      <c r="X468" s="1731"/>
      <c r="Y468" s="1731"/>
      <c r="Z468" s="1731"/>
      <c r="AA468" s="1731"/>
      <c r="AB468" s="1731"/>
      <c r="AC468" s="1731"/>
      <c r="AD468" s="1736"/>
      <c r="AE468" s="1736"/>
      <c r="AF468" s="1736"/>
      <c r="AG468" s="1736"/>
      <c r="AH468" s="1736"/>
      <c r="AI468" s="4821"/>
      <c r="AJ468" s="4821"/>
      <c r="AK468" s="4821"/>
      <c r="AL468" s="1737"/>
      <c r="AM468" s="1714"/>
      <c r="AN468" s="1719">
        <f>$CE$20</f>
        <v>0</v>
      </c>
      <c r="AO468" s="1733"/>
      <c r="AP468" s="1737"/>
      <c r="AQ468" s="4821"/>
      <c r="AR468" s="4821"/>
      <c r="AS468" s="4821"/>
      <c r="AT468" s="1736"/>
      <c r="AU468" s="1736"/>
      <c r="AV468" s="1736"/>
      <c r="AW468" s="1736"/>
      <c r="AX468" s="1736"/>
      <c r="AY468" s="1736"/>
      <c r="AZ468" s="1731"/>
      <c r="BA468" s="1731"/>
      <c r="BB468" s="1731"/>
      <c r="BC468" s="1731"/>
      <c r="BD468" s="1731"/>
      <c r="BE468" s="1731"/>
      <c r="BF468" s="1711"/>
      <c r="BG468" s="1711"/>
      <c r="BH468" s="1711"/>
      <c r="BI468" s="1711"/>
      <c r="BJ468" s="1711"/>
      <c r="BK468" s="1711"/>
      <c r="BL468" s="1711"/>
      <c r="BM468" s="1711"/>
      <c r="BN468" s="1711"/>
      <c r="BO468" s="1711"/>
      <c r="BP468" s="1711"/>
      <c r="BQ468" s="1711"/>
      <c r="BR468" s="1711"/>
      <c r="BS468" s="1711"/>
      <c r="BT468" s="1711"/>
      <c r="BU468" s="1711"/>
      <c r="BV468" s="1729"/>
      <c r="BW468" s="1730"/>
      <c r="BX468" s="23"/>
      <c r="BY468" s="822"/>
      <c r="BZ468" s="822"/>
      <c r="CA468" s="822"/>
      <c r="CB468" s="822"/>
      <c r="CC468" s="822"/>
      <c r="CD468" s="822"/>
      <c r="CE468" s="822"/>
      <c r="CF468" s="822"/>
      <c r="CG468" s="822"/>
      <c r="CH468" s="822"/>
      <c r="CI468" s="822"/>
      <c r="CJ468" s="822"/>
      <c r="CK468" s="822"/>
      <c r="CL468" s="822"/>
      <c r="CM468" s="822"/>
      <c r="CN468" s="822"/>
      <c r="CO468" s="822"/>
      <c r="CP468" s="822"/>
      <c r="CQ468" s="822"/>
      <c r="CR468" s="822"/>
      <c r="CS468" s="822"/>
      <c r="CT468" s="822"/>
      <c r="CU468" s="822"/>
      <c r="CV468" s="822"/>
      <c r="CW468" s="822"/>
      <c r="CX468" s="822"/>
      <c r="CY468" s="822"/>
      <c r="CZ468" s="822"/>
      <c r="DA468" s="822"/>
      <c r="DB468" s="822"/>
      <c r="DC468" s="822"/>
      <c r="DD468" s="822"/>
      <c r="DE468" s="822"/>
      <c r="DF468" s="822"/>
      <c r="DG468" s="822"/>
      <c r="DH468" s="822"/>
      <c r="DI468" s="822"/>
      <c r="DJ468" s="822"/>
      <c r="DK468" s="822"/>
      <c r="DL468" s="822"/>
      <c r="DM468" s="822"/>
      <c r="DN468" s="822"/>
    </row>
    <row r="469" spans="2:118" ht="17.100000000000001" customHeight="1" thickTop="1" x14ac:dyDescent="0.3">
      <c r="B469" s="2302"/>
      <c r="D469" s="2302"/>
      <c r="E469" s="1253"/>
      <c r="F469" s="1253"/>
      <c r="G469" s="1723"/>
      <c r="H469" s="1726"/>
      <c r="I469" s="1711"/>
      <c r="J469" s="1711"/>
      <c r="K469" s="1711"/>
      <c r="L469" s="1711"/>
      <c r="M469" s="1711"/>
      <c r="N469" s="1711"/>
      <c r="O469" s="1711"/>
      <c r="P469" s="1711"/>
      <c r="Q469" s="1711"/>
      <c r="R469" s="1711"/>
      <c r="S469" s="1711"/>
      <c r="T469" s="1711"/>
      <c r="U469" s="1711"/>
      <c r="V469" s="1711"/>
      <c r="W469" s="1731"/>
      <c r="X469" s="1731"/>
      <c r="Y469" s="1731"/>
      <c r="Z469" s="1731"/>
      <c r="AA469" s="1731"/>
      <c r="AB469" s="1731"/>
      <c r="AC469" s="1736"/>
      <c r="AD469" s="1736"/>
      <c r="AE469" s="1736"/>
      <c r="AF469" s="1736"/>
      <c r="AG469" s="1736"/>
      <c r="AH469" s="1736"/>
      <c r="AI469" s="4821"/>
      <c r="AJ469" s="4821"/>
      <c r="AK469" s="4821"/>
      <c r="AL469" s="1737"/>
      <c r="AM469" s="4825" t="s">
        <v>949</v>
      </c>
      <c r="AN469" s="4825"/>
      <c r="AO469" s="4825"/>
      <c r="AP469" s="1737"/>
      <c r="AQ469" s="4821"/>
      <c r="AR469" s="4821"/>
      <c r="AS469" s="4821"/>
      <c r="AT469" s="1736"/>
      <c r="AU469" s="1736"/>
      <c r="AV469" s="1736"/>
      <c r="AW469" s="1736"/>
      <c r="AX469" s="1736"/>
      <c r="AY469" s="1736"/>
      <c r="AZ469" s="1731"/>
      <c r="BA469" s="1731"/>
      <c r="BB469" s="1731"/>
      <c r="BC469" s="1731"/>
      <c r="BD469" s="1731"/>
      <c r="BE469" s="1731"/>
      <c r="BF469" s="1711"/>
      <c r="BG469" s="1711"/>
      <c r="BH469" s="1711"/>
      <c r="BI469" s="1711"/>
      <c r="BJ469" s="1711"/>
      <c r="BK469" s="1711"/>
      <c r="BL469" s="1711"/>
      <c r="BM469" s="1711"/>
      <c r="BN469" s="1711"/>
      <c r="BO469" s="1711"/>
      <c r="BP469" s="1711"/>
      <c r="BQ469" s="1711"/>
      <c r="BR469" s="1711"/>
      <c r="BS469" s="1711"/>
      <c r="BT469" s="1727"/>
      <c r="BU469" s="1725"/>
      <c r="BV469" s="1253"/>
      <c r="BW469" s="1253"/>
      <c r="BX469" s="19"/>
      <c r="BY469" s="822"/>
      <c r="BZ469" s="822"/>
      <c r="CA469" s="822"/>
      <c r="CB469" s="822"/>
      <c r="CC469" s="822"/>
      <c r="CD469" s="822"/>
      <c r="CE469" s="822"/>
      <c r="CF469" s="822"/>
      <c r="CG469" s="822"/>
      <c r="CH469" s="822"/>
      <c r="CI469" s="822"/>
      <c r="CJ469" s="822"/>
      <c r="CK469" s="822"/>
      <c r="CL469" s="822"/>
      <c r="CM469" s="822"/>
      <c r="CN469" s="822"/>
      <c r="CO469" s="822"/>
      <c r="CP469" s="822"/>
      <c r="CQ469" s="822"/>
      <c r="CR469" s="822"/>
      <c r="CS469" s="822"/>
      <c r="CT469" s="822"/>
      <c r="CU469" s="822"/>
      <c r="CV469" s="822"/>
      <c r="CW469" s="822"/>
      <c r="CX469" s="822"/>
      <c r="CY469" s="822"/>
      <c r="CZ469" s="822"/>
      <c r="DA469" s="822"/>
      <c r="DB469" s="822"/>
      <c r="DC469" s="822"/>
      <c r="DD469" s="822"/>
      <c r="DE469" s="822"/>
      <c r="DF469" s="822"/>
      <c r="DG469" s="822"/>
      <c r="DH469" s="822"/>
      <c r="DI469" s="822"/>
      <c r="DJ469" s="822"/>
      <c r="DK469" s="822"/>
      <c r="DL469" s="822"/>
      <c r="DM469" s="822"/>
      <c r="DN469" s="822"/>
    </row>
    <row r="470" spans="2:118" ht="17.100000000000001" customHeight="1" thickBot="1" x14ac:dyDescent="0.35">
      <c r="B470" s="2302"/>
      <c r="D470" s="2302"/>
      <c r="E470" s="1253"/>
      <c r="F470" s="1253"/>
      <c r="G470" s="1728"/>
      <c r="H470" s="1729"/>
      <c r="I470" s="1729"/>
      <c r="J470" s="1729"/>
      <c r="K470" s="1729"/>
      <c r="L470" s="1729"/>
      <c r="M470" s="1729"/>
      <c r="N470" s="1729"/>
      <c r="O470" s="1729"/>
      <c r="P470" s="1729"/>
      <c r="Q470" s="1729"/>
      <c r="R470" s="1729"/>
      <c r="S470" s="1729"/>
      <c r="T470" s="1729"/>
      <c r="U470" s="1729"/>
      <c r="V470" s="1729"/>
      <c r="W470" s="1729"/>
      <c r="X470" s="1729"/>
      <c r="Y470" s="1729"/>
      <c r="Z470" s="1729"/>
      <c r="AA470" s="1711"/>
      <c r="AB470" s="1711"/>
      <c r="AC470" s="1711"/>
      <c r="AD470" s="1711"/>
      <c r="AE470" s="1711"/>
      <c r="AF470" s="1711"/>
      <c r="AG470" s="1711"/>
      <c r="AH470" s="1711"/>
      <c r="AI470" s="1711"/>
      <c r="AJ470" s="1719">
        <f>$CE$22</f>
        <v>0</v>
      </c>
      <c r="AK470" s="1717"/>
      <c r="AL470" s="1717"/>
      <c r="AM470" s="4825"/>
      <c r="AN470" s="4825"/>
      <c r="AO470" s="4825"/>
      <c r="AP470" s="1717"/>
      <c r="AQ470" s="1717"/>
      <c r="AR470" s="1719">
        <f>$CE$22</f>
        <v>0</v>
      </c>
      <c r="AS470" s="1717"/>
      <c r="AT470" s="1718"/>
      <c r="AU470" s="1711"/>
      <c r="AV470" s="1711"/>
      <c r="AW470" s="1711"/>
      <c r="AX470" s="1711"/>
      <c r="AY470" s="1711"/>
      <c r="AZ470" s="1711"/>
      <c r="BA470" s="1711"/>
      <c r="BB470" s="1729"/>
      <c r="BC470" s="1729"/>
      <c r="BD470" s="1729"/>
      <c r="BE470" s="1729"/>
      <c r="BF470" s="1729"/>
      <c r="BG470" s="1729"/>
      <c r="BH470" s="1729"/>
      <c r="BI470" s="1729"/>
      <c r="BJ470" s="1729"/>
      <c r="BK470" s="1729"/>
      <c r="BL470" s="1729"/>
      <c r="BM470" s="1729"/>
      <c r="BN470" s="1729"/>
      <c r="BO470" s="1729"/>
      <c r="BP470" s="1729"/>
      <c r="BQ470" s="1729"/>
      <c r="BR470" s="1729"/>
      <c r="BS470" s="1729"/>
      <c r="BT470" s="1729"/>
      <c r="BU470" s="1730"/>
      <c r="BV470" s="1253"/>
      <c r="BW470" s="1253"/>
      <c r="BX470" s="19"/>
      <c r="BY470" s="822"/>
      <c r="BZ470" s="822"/>
      <c r="CA470" s="822"/>
      <c r="CB470" s="822"/>
      <c r="CC470" s="822"/>
      <c r="CD470" s="822"/>
      <c r="CE470" s="822"/>
      <c r="CF470" s="822"/>
      <c r="CG470" s="822"/>
      <c r="CH470" s="822"/>
      <c r="CI470" s="822"/>
      <c r="CJ470" s="822"/>
      <c r="CK470" s="822"/>
      <c r="CL470" s="822"/>
      <c r="CM470" s="822"/>
      <c r="CN470" s="822"/>
      <c r="CO470" s="822"/>
      <c r="CP470" s="822"/>
      <c r="CQ470" s="822"/>
      <c r="CR470" s="822"/>
      <c r="CS470" s="822"/>
      <c r="CT470" s="822"/>
      <c r="CU470" s="822"/>
      <c r="CV470" s="822"/>
      <c r="CW470" s="822"/>
      <c r="CX470" s="822"/>
      <c r="CY470" s="822"/>
      <c r="CZ470" s="822"/>
      <c r="DA470" s="822"/>
      <c r="DB470" s="822"/>
      <c r="DC470" s="822"/>
      <c r="DD470" s="822"/>
      <c r="DE470" s="822"/>
      <c r="DF470" s="822"/>
      <c r="DG470" s="822"/>
      <c r="DH470" s="822"/>
      <c r="DI470" s="822"/>
      <c r="DJ470" s="822"/>
      <c r="DK470" s="822"/>
      <c r="DL470" s="822"/>
      <c r="DM470" s="822"/>
      <c r="DN470" s="822"/>
    </row>
    <row r="471" spans="2:118" ht="17.100000000000001" customHeight="1" thickTop="1" x14ac:dyDescent="0.3">
      <c r="B471" s="2302"/>
      <c r="D471" s="2302"/>
      <c r="E471" s="1253"/>
      <c r="F471" s="1253"/>
      <c r="G471" s="1253"/>
      <c r="H471" s="1253"/>
      <c r="I471" s="1253"/>
      <c r="J471" s="1253"/>
      <c r="K471" s="1253"/>
      <c r="L471" s="1253"/>
      <c r="M471" s="1253"/>
      <c r="N471" s="1253"/>
      <c r="O471" s="1253"/>
      <c r="P471" s="1253"/>
      <c r="Q471" s="1253"/>
      <c r="R471" s="1253"/>
      <c r="S471" s="1253"/>
      <c r="T471" s="1253"/>
      <c r="U471" s="1253"/>
      <c r="V471" s="1253"/>
      <c r="W471" s="1253"/>
      <c r="X471" s="1253"/>
      <c r="Y471" s="1253"/>
      <c r="Z471" s="1253"/>
      <c r="AA471" s="1723"/>
      <c r="AB471" s="1726"/>
      <c r="AC471" s="1711"/>
      <c r="AD471" s="1711"/>
      <c r="AE471" s="1711"/>
      <c r="AF471" s="1711"/>
      <c r="AG471" s="1711"/>
      <c r="AH471" s="1711"/>
      <c r="AI471" s="1711"/>
      <c r="AJ471" s="1711"/>
      <c r="AK471" s="1711"/>
      <c r="AL471" s="1711"/>
      <c r="AM471" s="1711"/>
      <c r="AN471" s="1719">
        <f>$CE$22</f>
        <v>0</v>
      </c>
      <c r="AO471" s="1733"/>
      <c r="AP471" s="1711"/>
      <c r="AQ471" s="1711"/>
      <c r="AR471" s="1711"/>
      <c r="AS471" s="1711"/>
      <c r="AT471" s="1711"/>
      <c r="AU471" s="1711"/>
      <c r="AV471" s="1711"/>
      <c r="AW471" s="1711"/>
      <c r="AX471" s="1711"/>
      <c r="AY471" s="1711"/>
      <c r="AZ471" s="1727"/>
      <c r="BA471" s="1725"/>
      <c r="BB471" s="1253"/>
      <c r="BC471" s="1253"/>
      <c r="BD471" s="1253"/>
      <c r="BE471" s="1253"/>
      <c r="BF471" s="1253"/>
      <c r="BG471" s="1253"/>
      <c r="BH471" s="1253"/>
      <c r="BI471" s="1253"/>
      <c r="BJ471" s="1253"/>
      <c r="BK471" s="1253"/>
      <c r="BL471" s="1253"/>
      <c r="BM471" s="1253"/>
      <c r="BN471" s="1253"/>
      <c r="BO471" s="1253"/>
      <c r="BP471" s="1253"/>
      <c r="BQ471" s="1253"/>
      <c r="BR471" s="1253"/>
      <c r="BS471" s="1253"/>
      <c r="BT471" s="1253"/>
      <c r="BU471" s="1253"/>
      <c r="BV471" s="1253"/>
      <c r="BW471" s="1253"/>
      <c r="BX471" s="19"/>
      <c r="BY471" s="822"/>
      <c r="BZ471" s="822"/>
      <c r="CA471" s="822"/>
      <c r="CB471" s="822"/>
      <c r="CC471" s="822"/>
      <c r="CD471" s="822"/>
      <c r="CE471" s="822"/>
      <c r="CF471" s="822"/>
      <c r="CG471" s="822"/>
      <c r="CH471" s="822"/>
      <c r="CI471" s="822"/>
      <c r="CJ471" s="822"/>
      <c r="CK471" s="822"/>
      <c r="CL471" s="822"/>
      <c r="CM471" s="822"/>
      <c r="CN471" s="822"/>
      <c r="CO471" s="822"/>
      <c r="CP471" s="822"/>
      <c r="CQ471" s="822"/>
      <c r="CR471" s="822"/>
      <c r="CS471" s="822"/>
      <c r="CT471" s="822"/>
      <c r="CU471" s="822"/>
      <c r="CV471" s="822"/>
      <c r="CW471" s="822"/>
      <c r="CX471" s="822"/>
      <c r="CY471" s="822"/>
      <c r="CZ471" s="822"/>
      <c r="DA471" s="822"/>
      <c r="DB471" s="822"/>
      <c r="DC471" s="822"/>
      <c r="DD471" s="822"/>
      <c r="DE471" s="822"/>
      <c r="DF471" s="822"/>
      <c r="DG471" s="822"/>
      <c r="DH471" s="822"/>
      <c r="DI471" s="822"/>
      <c r="DJ471" s="822"/>
      <c r="DK471" s="822"/>
      <c r="DL471" s="822"/>
      <c r="DM471" s="822"/>
      <c r="DN471" s="822"/>
    </row>
    <row r="472" spans="2:118" ht="17.100000000000001" customHeight="1" thickBot="1" x14ac:dyDescent="0.35">
      <c r="B472" s="2302"/>
      <c r="D472" s="2302"/>
      <c r="E472" s="1253"/>
      <c r="F472" s="1253"/>
      <c r="G472" s="1253"/>
      <c r="H472" s="1253"/>
      <c r="I472" s="1253"/>
      <c r="J472" s="1253"/>
      <c r="K472" s="1253"/>
      <c r="L472" s="1253"/>
      <c r="M472" s="1253"/>
      <c r="N472" s="1253"/>
      <c r="O472" s="1253"/>
      <c r="P472" s="1253"/>
      <c r="Q472" s="1253"/>
      <c r="R472" s="1253"/>
      <c r="S472" s="1253"/>
      <c r="T472" s="1253"/>
      <c r="U472" s="1253"/>
      <c r="V472" s="1253"/>
      <c r="W472" s="1253"/>
      <c r="X472" s="1253"/>
      <c r="Y472" s="1253"/>
      <c r="Z472" s="1253"/>
      <c r="AA472" s="1728"/>
      <c r="AB472" s="1729"/>
      <c r="AC472" s="1729"/>
      <c r="AD472" s="1729"/>
      <c r="AE472" s="1729"/>
      <c r="AF472" s="1729"/>
      <c r="AG472" s="1729"/>
      <c r="AH472" s="1729"/>
      <c r="AI472" s="1729"/>
      <c r="AJ472" s="1729"/>
      <c r="AK472" s="1729"/>
      <c r="AL472" s="1729"/>
      <c r="AM472" s="1729"/>
      <c r="AN472" s="1729"/>
      <c r="AO472" s="1729"/>
      <c r="AP472" s="1729"/>
      <c r="AQ472" s="1729"/>
      <c r="AR472" s="1729"/>
      <c r="AS472" s="1729"/>
      <c r="AT472" s="1729"/>
      <c r="AU472" s="1729"/>
      <c r="AV472" s="1729"/>
      <c r="AW472" s="1729"/>
      <c r="AX472" s="1729"/>
      <c r="AY472" s="1729"/>
      <c r="AZ472" s="1729"/>
      <c r="BA472" s="1730"/>
      <c r="BB472" s="1253"/>
      <c r="BC472" s="1253"/>
      <c r="BD472" s="1253"/>
      <c r="BE472" s="1253"/>
      <c r="BF472" s="1253"/>
      <c r="BG472" s="1253"/>
      <c r="BH472" s="1253"/>
      <c r="BI472" s="1253"/>
      <c r="BJ472" s="1253"/>
      <c r="BK472" s="1253"/>
      <c r="BL472" s="1253"/>
      <c r="BM472" s="1253"/>
      <c r="BN472" s="1253"/>
      <c r="BO472" s="1253"/>
      <c r="BP472" s="1253"/>
      <c r="BQ472" s="1253"/>
      <c r="BR472" s="1253"/>
      <c r="BS472" s="1253"/>
      <c r="BT472" s="1253"/>
      <c r="BU472" s="1253"/>
      <c r="BV472" s="1253"/>
      <c r="BW472" s="1253"/>
      <c r="BX472" s="822"/>
      <c r="BY472" s="822"/>
      <c r="BZ472" s="822"/>
      <c r="CA472" s="822"/>
      <c r="CB472" s="822"/>
      <c r="CC472" s="822"/>
      <c r="CD472" s="822"/>
      <c r="CE472" s="822"/>
      <c r="CF472" s="822"/>
      <c r="CG472" s="822"/>
      <c r="CH472" s="822"/>
      <c r="CI472" s="822"/>
      <c r="CJ472" s="822"/>
      <c r="CK472" s="822"/>
      <c r="CL472" s="822"/>
      <c r="CM472" s="822"/>
      <c r="CN472" s="822"/>
      <c r="CO472" s="822"/>
      <c r="CP472" s="822"/>
      <c r="CQ472" s="822"/>
      <c r="CR472" s="822"/>
      <c r="CS472" s="822"/>
      <c r="CT472" s="822"/>
      <c r="CU472" s="822"/>
      <c r="CV472" s="822"/>
      <c r="CW472" s="822"/>
      <c r="CX472" s="822"/>
      <c r="CY472" s="822"/>
      <c r="CZ472" s="822"/>
      <c r="DA472" s="822"/>
      <c r="DB472" s="822"/>
      <c r="DC472" s="822"/>
      <c r="DD472" s="822"/>
      <c r="DE472" s="822"/>
      <c r="DF472" s="822"/>
      <c r="DG472" s="822"/>
      <c r="DH472" s="822"/>
      <c r="DI472" s="822"/>
      <c r="DJ472" s="822"/>
      <c r="DK472" s="822"/>
      <c r="DL472" s="822"/>
      <c r="DM472" s="822"/>
      <c r="DN472" s="822"/>
    </row>
    <row r="473" spans="2:118" ht="17.100000000000001" customHeight="1" thickTop="1" x14ac:dyDescent="0.3">
      <c r="B473" s="2302"/>
      <c r="D473" s="2302"/>
      <c r="E473" s="2302"/>
      <c r="F473" s="2302"/>
      <c r="G473" s="2302"/>
      <c r="H473" s="2302"/>
      <c r="I473" s="2302"/>
      <c r="J473" s="2302"/>
      <c r="K473" s="2302"/>
      <c r="L473" s="2302"/>
      <c r="M473" s="2302"/>
      <c r="N473" s="2302"/>
      <c r="O473" s="2302"/>
      <c r="P473" s="2302"/>
      <c r="Q473" s="2302"/>
      <c r="R473" s="822"/>
      <c r="S473" s="822"/>
      <c r="T473" s="822"/>
      <c r="U473" s="822"/>
      <c r="V473" s="822"/>
      <c r="W473" s="822"/>
      <c r="X473" s="822"/>
      <c r="Y473" s="822"/>
      <c r="Z473" s="822"/>
      <c r="AA473" s="822"/>
      <c r="AB473" s="822"/>
      <c r="AC473" s="822"/>
      <c r="AD473" s="822"/>
      <c r="AE473" s="822"/>
      <c r="AF473" s="822"/>
      <c r="AG473" s="822"/>
      <c r="AH473" s="822"/>
      <c r="AI473" s="822"/>
      <c r="AJ473" s="822"/>
      <c r="AK473" s="822"/>
      <c r="AL473" s="822"/>
      <c r="AM473" s="822"/>
      <c r="AN473" s="822"/>
      <c r="AO473" s="822"/>
      <c r="AP473" s="822"/>
      <c r="AQ473" s="822"/>
      <c r="AR473" s="822"/>
      <c r="AS473" s="822"/>
      <c r="AT473" s="822"/>
      <c r="AU473" s="822"/>
      <c r="AV473" s="822"/>
      <c r="AW473" s="822"/>
      <c r="AX473" s="822"/>
      <c r="AY473" s="822"/>
      <c r="AZ473" s="822"/>
      <c r="BA473" s="822"/>
      <c r="BB473" s="822"/>
      <c r="BC473" s="822"/>
      <c r="BD473" s="822"/>
      <c r="BE473" s="822"/>
      <c r="BF473" s="822"/>
      <c r="BG473" s="822"/>
      <c r="BH473" s="822"/>
      <c r="BI473" s="822"/>
      <c r="BJ473" s="822"/>
      <c r="BK473" s="822"/>
      <c r="BL473" s="822"/>
      <c r="BM473" s="822"/>
      <c r="BN473" s="822"/>
      <c r="BO473" s="822"/>
      <c r="BP473" s="822"/>
      <c r="BQ473" s="822"/>
      <c r="BR473" s="822"/>
      <c r="BS473" s="822"/>
      <c r="BT473" s="822"/>
      <c r="BU473" s="822"/>
      <c r="BV473" s="822"/>
      <c r="BX473" s="822"/>
      <c r="BY473" s="822"/>
      <c r="BZ473" s="822"/>
      <c r="CA473" s="822"/>
      <c r="CB473" s="822"/>
      <c r="CC473" s="822"/>
      <c r="CD473" s="822"/>
      <c r="CE473" s="822"/>
      <c r="CF473" s="822"/>
      <c r="CG473" s="822"/>
      <c r="CH473" s="822"/>
      <c r="CI473" s="822"/>
      <c r="CJ473" s="822"/>
      <c r="CK473" s="822"/>
      <c r="CL473" s="822"/>
      <c r="CM473" s="822"/>
      <c r="CN473" s="822"/>
      <c r="CO473" s="822"/>
      <c r="CP473" s="822"/>
      <c r="CQ473" s="822"/>
      <c r="CR473" s="822"/>
      <c r="CS473" s="822"/>
      <c r="CT473" s="822"/>
      <c r="CU473" s="822"/>
      <c r="CV473" s="822"/>
      <c r="CW473" s="822"/>
      <c r="CX473" s="822"/>
      <c r="CY473" s="822"/>
      <c r="CZ473" s="822"/>
      <c r="DA473" s="822"/>
      <c r="DB473" s="822"/>
      <c r="DC473" s="822"/>
      <c r="DD473" s="822"/>
      <c r="DE473" s="822"/>
      <c r="DF473" s="822"/>
      <c r="DG473" s="822"/>
      <c r="DH473" s="822"/>
      <c r="DI473" s="822"/>
      <c r="DJ473" s="822"/>
      <c r="DK473" s="822"/>
      <c r="DL473" s="822"/>
      <c r="DM473" s="822"/>
      <c r="DN473" s="822"/>
    </row>
    <row r="474" spans="2:118" ht="17.100000000000001" customHeight="1" x14ac:dyDescent="0.3">
      <c r="B474" s="2302"/>
      <c r="D474" s="2302"/>
      <c r="E474" s="2302"/>
      <c r="F474" s="2302"/>
      <c r="G474" s="2302"/>
      <c r="H474" s="2302"/>
      <c r="I474" s="2302"/>
      <c r="J474" s="2302"/>
      <c r="K474" s="2302"/>
      <c r="L474" s="2302"/>
      <c r="M474" s="2302"/>
      <c r="N474" s="2302"/>
      <c r="O474" s="2302"/>
      <c r="P474" s="2302"/>
      <c r="Q474" s="2302"/>
      <c r="R474" s="822"/>
      <c r="S474" s="822"/>
      <c r="T474" s="822"/>
      <c r="U474" s="822"/>
      <c r="V474" s="822"/>
      <c r="W474" s="822"/>
      <c r="X474" s="822"/>
      <c r="Y474" s="822"/>
      <c r="Z474" s="822"/>
      <c r="AA474" s="822"/>
      <c r="AB474" s="822"/>
      <c r="AC474" s="822"/>
      <c r="AD474" s="822"/>
      <c r="AE474" s="822"/>
      <c r="AF474" s="822"/>
      <c r="AG474" s="822"/>
      <c r="AH474" s="822"/>
      <c r="AI474" s="822"/>
      <c r="AJ474" s="822"/>
      <c r="AK474" s="822"/>
      <c r="AL474" s="822"/>
      <c r="AM474" s="822"/>
      <c r="AN474" s="822"/>
      <c r="AO474" s="822"/>
      <c r="AP474" s="822"/>
      <c r="AQ474" s="822"/>
      <c r="AR474" s="822"/>
      <c r="AS474" s="822"/>
      <c r="AT474" s="822"/>
      <c r="AU474" s="822"/>
      <c r="AV474" s="822"/>
      <c r="AW474" s="822"/>
      <c r="AX474" s="822"/>
      <c r="AY474" s="822"/>
      <c r="AZ474" s="822"/>
      <c r="BA474" s="822"/>
      <c r="BB474" s="822"/>
      <c r="BC474" s="822"/>
      <c r="BD474" s="822"/>
      <c r="BE474" s="822"/>
      <c r="BF474" s="822"/>
      <c r="BG474" s="822"/>
      <c r="BH474" s="822"/>
      <c r="BI474" s="822"/>
      <c r="BJ474" s="822"/>
      <c r="BK474" s="822"/>
      <c r="BL474" s="822"/>
      <c r="BM474" s="822"/>
      <c r="BN474" s="822"/>
      <c r="BO474" s="822"/>
      <c r="BP474" s="822"/>
      <c r="BQ474" s="822"/>
      <c r="BR474" s="822"/>
      <c r="BS474" s="822"/>
      <c r="BT474" s="822"/>
      <c r="BU474" s="822"/>
      <c r="BV474" s="822"/>
      <c r="BX474" s="822"/>
      <c r="BY474" s="822"/>
      <c r="BZ474" s="822"/>
      <c r="CA474" s="822"/>
      <c r="CB474" s="822"/>
      <c r="CC474" s="822"/>
      <c r="CD474" s="822"/>
      <c r="CE474" s="822"/>
      <c r="CF474" s="822"/>
      <c r="CG474" s="822"/>
      <c r="CH474" s="822"/>
      <c r="CI474" s="822"/>
      <c r="CJ474" s="822"/>
      <c r="CK474" s="822"/>
      <c r="CL474" s="822"/>
      <c r="CM474" s="822"/>
      <c r="CN474" s="822"/>
      <c r="CO474" s="822"/>
      <c r="CP474" s="822"/>
      <c r="CQ474" s="822"/>
      <c r="CR474" s="822"/>
      <c r="CS474" s="822"/>
      <c r="CT474" s="822"/>
      <c r="CU474" s="822"/>
      <c r="CV474" s="822"/>
      <c r="CW474" s="822"/>
      <c r="CX474" s="822"/>
      <c r="CY474" s="822"/>
      <c r="CZ474" s="822"/>
      <c r="DA474" s="822"/>
      <c r="DB474" s="822"/>
      <c r="DC474" s="822"/>
      <c r="DD474" s="822"/>
      <c r="DE474" s="822"/>
      <c r="DF474" s="822"/>
      <c r="DG474" s="822"/>
      <c r="DH474" s="822"/>
      <c r="DI474" s="822"/>
      <c r="DJ474" s="822"/>
      <c r="DK474" s="822"/>
      <c r="DL474" s="822"/>
      <c r="DM474" s="822"/>
      <c r="DN474" s="822"/>
    </row>
    <row r="475" spans="2:118" ht="17.100000000000001" customHeight="1" x14ac:dyDescent="0.3">
      <c r="B475" s="2302"/>
      <c r="D475" s="2302"/>
      <c r="E475" s="2302"/>
      <c r="F475" s="2302"/>
      <c r="G475" s="2302"/>
      <c r="H475" s="2302"/>
      <c r="I475" s="2302"/>
      <c r="J475" s="2302"/>
      <c r="K475" s="2302"/>
      <c r="L475" s="2302"/>
      <c r="M475" s="2302"/>
      <c r="N475" s="2302"/>
      <c r="O475" s="2302"/>
      <c r="P475" s="2302"/>
      <c r="Q475" s="2302"/>
      <c r="R475" s="822"/>
      <c r="S475" s="822"/>
      <c r="T475" s="822"/>
      <c r="U475" s="822"/>
      <c r="V475" s="822"/>
      <c r="W475" s="822"/>
      <c r="X475" s="822"/>
      <c r="Y475" s="822"/>
      <c r="Z475" s="822"/>
      <c r="AA475" s="822"/>
      <c r="AB475" s="822"/>
      <c r="AC475" s="822"/>
      <c r="AD475" s="822"/>
      <c r="AE475" s="822"/>
      <c r="AF475" s="822"/>
      <c r="AG475" s="822"/>
      <c r="AH475" s="822"/>
      <c r="AI475" s="822"/>
      <c r="AJ475" s="822"/>
      <c r="AK475" s="822"/>
      <c r="AL475" s="822"/>
      <c r="AM475" s="822"/>
      <c r="AN475" s="822"/>
      <c r="AO475" s="822"/>
      <c r="AP475" s="822"/>
      <c r="AQ475" s="822"/>
      <c r="AR475" s="822"/>
      <c r="AS475" s="822"/>
      <c r="AT475" s="822"/>
      <c r="AU475" s="822"/>
      <c r="AV475" s="822"/>
      <c r="AW475" s="822"/>
      <c r="AX475" s="822"/>
      <c r="AY475" s="822"/>
      <c r="AZ475" s="822"/>
      <c r="BA475" s="822"/>
      <c r="BB475" s="822"/>
      <c r="BC475" s="822"/>
      <c r="BD475" s="822"/>
      <c r="BE475" s="822"/>
      <c r="BF475" s="822"/>
      <c r="BG475" s="822"/>
      <c r="BH475" s="822"/>
      <c r="BI475" s="822"/>
      <c r="BJ475" s="822"/>
      <c r="BK475" s="822"/>
      <c r="BL475" s="822"/>
      <c r="BM475" s="822"/>
      <c r="BN475" s="822"/>
      <c r="BO475" s="822"/>
      <c r="BP475" s="822"/>
      <c r="BQ475" s="822"/>
      <c r="BR475" s="822"/>
      <c r="BS475" s="822"/>
      <c r="BT475" s="822"/>
      <c r="BU475" s="822"/>
      <c r="BV475" s="822"/>
      <c r="BX475" s="822"/>
      <c r="BY475" s="822"/>
      <c r="BZ475" s="822"/>
      <c r="CA475" s="822"/>
      <c r="CB475" s="822"/>
      <c r="CC475" s="822"/>
      <c r="CD475" s="822"/>
      <c r="CE475" s="822"/>
      <c r="CF475" s="822"/>
      <c r="CG475" s="822"/>
      <c r="CH475" s="822"/>
      <c r="CI475" s="822"/>
      <c r="CJ475" s="822"/>
      <c r="CK475" s="822"/>
      <c r="CL475" s="822"/>
      <c r="CM475" s="822"/>
      <c r="CN475" s="822"/>
      <c r="CO475" s="822"/>
      <c r="CP475" s="822"/>
      <c r="CQ475" s="822"/>
      <c r="CR475" s="822"/>
      <c r="CS475" s="822"/>
      <c r="CT475" s="822"/>
      <c r="CU475" s="822"/>
      <c r="CV475" s="822"/>
      <c r="CW475" s="822"/>
      <c r="CX475" s="822"/>
      <c r="CY475" s="822"/>
      <c r="CZ475" s="822"/>
      <c r="DA475" s="822"/>
      <c r="DB475" s="822"/>
      <c r="DC475" s="822"/>
      <c r="DD475" s="822"/>
      <c r="DE475" s="822"/>
      <c r="DF475" s="822"/>
      <c r="DG475" s="822"/>
      <c r="DH475" s="822"/>
      <c r="DI475" s="822"/>
      <c r="DJ475" s="822"/>
      <c r="DK475" s="822"/>
      <c r="DL475" s="822"/>
      <c r="DM475" s="822"/>
      <c r="DN475" s="822"/>
    </row>
    <row r="476" spans="2:118" ht="17.100000000000001" customHeight="1" x14ac:dyDescent="0.3">
      <c r="B476" s="2302"/>
      <c r="D476" s="2302"/>
      <c r="E476" s="2302"/>
      <c r="F476" s="2302"/>
      <c r="G476" s="2302"/>
      <c r="H476" s="2302"/>
      <c r="I476" s="2302"/>
      <c r="J476" s="2302"/>
      <c r="K476" s="2302"/>
      <c r="L476" s="2302"/>
      <c r="M476" s="2302"/>
      <c r="N476" s="2302"/>
      <c r="O476" s="2302"/>
      <c r="P476" s="2302"/>
      <c r="Q476" s="2302"/>
      <c r="R476" s="822"/>
      <c r="S476" s="822"/>
      <c r="T476" s="822"/>
      <c r="U476" s="822"/>
      <c r="V476" s="822"/>
      <c r="W476" s="822"/>
      <c r="X476" s="822"/>
      <c r="Y476" s="822"/>
      <c r="Z476" s="822"/>
      <c r="AA476" s="822"/>
      <c r="AB476" s="822"/>
      <c r="AC476" s="822"/>
      <c r="AD476" s="822"/>
      <c r="AE476" s="822"/>
      <c r="AF476" s="822"/>
      <c r="AG476" s="822"/>
      <c r="AH476" s="822"/>
      <c r="AI476" s="822"/>
      <c r="AJ476" s="822"/>
      <c r="AK476" s="822"/>
      <c r="AL476" s="822"/>
      <c r="AM476" s="822"/>
      <c r="AN476" s="822"/>
      <c r="AO476" s="822"/>
      <c r="AP476" s="822"/>
      <c r="AQ476" s="822"/>
      <c r="AR476" s="822"/>
      <c r="AS476" s="822"/>
      <c r="AT476" s="822"/>
      <c r="AU476" s="822"/>
      <c r="AV476" s="822"/>
      <c r="AW476" s="822"/>
      <c r="AX476" s="822"/>
      <c r="AY476" s="822"/>
      <c r="AZ476" s="822"/>
      <c r="BA476" s="822"/>
      <c r="BB476" s="822"/>
      <c r="BC476" s="822"/>
      <c r="BD476" s="822"/>
      <c r="BE476" s="822"/>
      <c r="BF476" s="822"/>
      <c r="BG476" s="822"/>
      <c r="BH476" s="822"/>
      <c r="BI476" s="822"/>
      <c r="BJ476" s="822"/>
      <c r="BK476" s="822"/>
      <c r="BL476" s="822"/>
      <c r="BM476" s="822"/>
      <c r="BN476" s="822"/>
      <c r="BO476" s="822"/>
      <c r="BP476" s="822"/>
      <c r="BQ476" s="822"/>
      <c r="BR476" s="822"/>
      <c r="BS476" s="822"/>
      <c r="BT476" s="822"/>
      <c r="BU476" s="822"/>
      <c r="BV476" s="822"/>
      <c r="BX476" s="822"/>
      <c r="BY476" s="822"/>
      <c r="BZ476" s="822"/>
      <c r="CA476" s="822"/>
      <c r="CB476" s="822"/>
      <c r="CC476" s="822"/>
      <c r="CD476" s="822"/>
      <c r="CE476" s="822"/>
      <c r="CF476" s="822"/>
      <c r="CG476" s="822"/>
      <c r="CH476" s="822"/>
      <c r="CI476" s="822"/>
      <c r="CJ476" s="822"/>
      <c r="CK476" s="822"/>
      <c r="CL476" s="822"/>
      <c r="CM476" s="822"/>
      <c r="CN476" s="822"/>
      <c r="CO476" s="822"/>
      <c r="CP476" s="822"/>
      <c r="CQ476" s="822"/>
      <c r="CR476" s="822"/>
      <c r="CS476" s="822"/>
      <c r="CT476" s="822"/>
      <c r="CU476" s="822"/>
      <c r="CV476" s="822"/>
      <c r="CW476" s="822"/>
      <c r="CX476" s="822"/>
      <c r="CY476" s="822"/>
      <c r="CZ476" s="822"/>
      <c r="DA476" s="822"/>
      <c r="DB476" s="822"/>
      <c r="DC476" s="822"/>
      <c r="DD476" s="822"/>
      <c r="DE476" s="822"/>
      <c r="DF476" s="822"/>
      <c r="DG476" s="822"/>
      <c r="DH476" s="822"/>
      <c r="DI476" s="822"/>
      <c r="DJ476" s="822"/>
      <c r="DK476" s="822"/>
      <c r="DL476" s="822"/>
      <c r="DM476" s="822"/>
      <c r="DN476" s="822"/>
    </row>
    <row r="477" spans="2:118" ht="17.100000000000001" customHeight="1" x14ac:dyDescent="0.3">
      <c r="B477" s="2302"/>
      <c r="D477" s="2302"/>
      <c r="E477" s="2302"/>
      <c r="F477" s="2302"/>
      <c r="G477" s="2302"/>
      <c r="H477" s="2302"/>
      <c r="I477" s="2302"/>
      <c r="J477" s="2302"/>
      <c r="K477" s="2302"/>
      <c r="L477" s="2302"/>
      <c r="M477" s="2302"/>
      <c r="N477" s="2302"/>
      <c r="O477" s="2302"/>
      <c r="P477" s="2302"/>
      <c r="Q477" s="2302"/>
      <c r="R477" s="822"/>
      <c r="S477" s="822"/>
      <c r="T477" s="822"/>
      <c r="U477" s="822"/>
      <c r="V477" s="822"/>
      <c r="W477" s="822"/>
      <c r="X477" s="822"/>
      <c r="Y477" s="822"/>
      <c r="Z477" s="822"/>
      <c r="AA477" s="822"/>
      <c r="AB477" s="822"/>
      <c r="AC477" s="822"/>
      <c r="AD477" s="822"/>
      <c r="AE477" s="822"/>
      <c r="AF477" s="822"/>
      <c r="AG477" s="822"/>
      <c r="AH477" s="822"/>
      <c r="AI477" s="822"/>
      <c r="AJ477" s="822"/>
      <c r="AK477" s="822"/>
      <c r="AL477" s="822"/>
      <c r="AM477" s="822"/>
      <c r="AN477" s="822"/>
      <c r="AO477" s="822"/>
      <c r="AP477" s="822"/>
      <c r="AQ477" s="822"/>
      <c r="AR477" s="822"/>
      <c r="AS477" s="822"/>
      <c r="AT477" s="822"/>
      <c r="AU477" s="822"/>
      <c r="AV477" s="822"/>
      <c r="AW477" s="822"/>
      <c r="AX477" s="822"/>
      <c r="AY477" s="822"/>
      <c r="AZ477" s="822"/>
      <c r="BA477" s="822"/>
      <c r="BB477" s="822"/>
      <c r="BC477" s="822"/>
      <c r="BD477" s="822"/>
      <c r="BE477" s="822"/>
      <c r="BF477" s="822"/>
      <c r="BG477" s="822"/>
      <c r="BH477" s="822"/>
      <c r="BI477" s="822"/>
      <c r="BJ477" s="822"/>
      <c r="BK477" s="822"/>
      <c r="BL477" s="822"/>
      <c r="BM477" s="822"/>
      <c r="BN477" s="822"/>
      <c r="BO477" s="822"/>
      <c r="BP477" s="822"/>
      <c r="BQ477" s="822"/>
      <c r="BR477" s="822"/>
      <c r="BS477" s="822"/>
      <c r="BT477" s="822"/>
      <c r="BU477" s="822"/>
      <c r="BV477" s="822"/>
      <c r="BX477" s="822"/>
      <c r="BY477" s="822"/>
      <c r="BZ477" s="822"/>
      <c r="CA477" s="822"/>
      <c r="CB477" s="822"/>
      <c r="CC477" s="822"/>
      <c r="CD477" s="822"/>
      <c r="CE477" s="822"/>
      <c r="CF477" s="822"/>
      <c r="CG477" s="822"/>
      <c r="CH477" s="822"/>
      <c r="CI477" s="822"/>
      <c r="CJ477" s="822"/>
      <c r="CK477" s="822"/>
      <c r="CL477" s="822"/>
      <c r="CM477" s="822"/>
      <c r="CN477" s="822"/>
      <c r="CO477" s="822"/>
      <c r="CP477" s="822"/>
      <c r="CQ477" s="822"/>
      <c r="CR477" s="822"/>
      <c r="CS477" s="822"/>
      <c r="CT477" s="822"/>
      <c r="CU477" s="822"/>
      <c r="CV477" s="822"/>
      <c r="CW477" s="822"/>
      <c r="CX477" s="822"/>
      <c r="CY477" s="822"/>
      <c r="CZ477" s="822"/>
      <c r="DA477" s="822"/>
      <c r="DB477" s="822"/>
      <c r="DC477" s="822"/>
      <c r="DD477" s="822"/>
      <c r="DE477" s="822"/>
      <c r="DF477" s="822"/>
      <c r="DG477" s="822"/>
      <c r="DH477" s="822"/>
      <c r="DI477" s="822"/>
      <c r="DJ477" s="822"/>
      <c r="DK477" s="822"/>
      <c r="DL477" s="822"/>
      <c r="DM477" s="822"/>
      <c r="DN477" s="822"/>
    </row>
    <row r="478" spans="2:118" ht="17.100000000000001" customHeight="1" x14ac:dyDescent="0.3">
      <c r="B478" s="2302"/>
      <c r="D478" s="2302"/>
      <c r="E478" s="2302"/>
      <c r="F478" s="2302"/>
      <c r="G478" s="2302"/>
      <c r="H478" s="2302"/>
      <c r="I478" s="2302"/>
      <c r="J478" s="2302"/>
      <c r="K478" s="2302"/>
      <c r="L478" s="2302"/>
      <c r="M478" s="2302"/>
      <c r="N478" s="2302"/>
      <c r="O478" s="2302"/>
      <c r="P478" s="2302"/>
      <c r="Q478" s="2302"/>
      <c r="R478" s="822"/>
      <c r="S478" s="822"/>
      <c r="T478" s="822"/>
      <c r="U478" s="822"/>
      <c r="V478" s="822"/>
      <c r="W478" s="822"/>
      <c r="X478" s="822"/>
      <c r="Y478" s="822"/>
      <c r="Z478" s="822"/>
      <c r="AA478" s="822"/>
      <c r="AB478" s="822"/>
      <c r="AC478" s="822"/>
      <c r="AD478" s="822"/>
      <c r="AE478" s="822"/>
      <c r="AF478" s="822"/>
      <c r="AG478" s="822"/>
      <c r="AH478" s="822"/>
      <c r="AI478" s="822"/>
      <c r="AJ478" s="822"/>
      <c r="AK478" s="822"/>
      <c r="AL478" s="822"/>
      <c r="AM478" s="822"/>
      <c r="AN478" s="822"/>
      <c r="AO478" s="822"/>
      <c r="AP478" s="822"/>
      <c r="AQ478" s="822"/>
      <c r="AR478" s="822"/>
      <c r="AS478" s="822"/>
      <c r="AT478" s="822"/>
      <c r="AU478" s="822"/>
      <c r="AV478" s="822"/>
      <c r="AW478" s="822"/>
      <c r="AX478" s="822"/>
      <c r="AY478" s="822"/>
      <c r="AZ478" s="822"/>
      <c r="BA478" s="822"/>
      <c r="BB478" s="822"/>
      <c r="BC478" s="822"/>
      <c r="BD478" s="822"/>
      <c r="BE478" s="822"/>
      <c r="BF478" s="822"/>
      <c r="BG478" s="822"/>
      <c r="BH478" s="822"/>
      <c r="BI478" s="822"/>
      <c r="BJ478" s="822"/>
      <c r="BK478" s="822"/>
      <c r="BL478" s="822"/>
      <c r="BM478" s="822"/>
      <c r="BN478" s="822"/>
      <c r="BO478" s="822"/>
      <c r="BP478" s="822"/>
      <c r="BQ478" s="822"/>
      <c r="BR478" s="822"/>
      <c r="BS478" s="822"/>
      <c r="BT478" s="822"/>
      <c r="BU478" s="822"/>
      <c r="BV478" s="822"/>
      <c r="BX478" s="822"/>
      <c r="BY478" s="822"/>
      <c r="BZ478" s="822"/>
      <c r="CA478" s="822"/>
      <c r="CB478" s="822"/>
      <c r="CC478" s="822"/>
      <c r="CD478" s="822"/>
      <c r="CE478" s="822"/>
      <c r="CF478" s="822"/>
      <c r="CG478" s="822"/>
      <c r="CH478" s="822"/>
      <c r="CI478" s="822"/>
      <c r="CJ478" s="822"/>
      <c r="CK478" s="822"/>
      <c r="CL478" s="822"/>
      <c r="CM478" s="822"/>
      <c r="CN478" s="822"/>
      <c r="CO478" s="822"/>
      <c r="CP478" s="822"/>
      <c r="CQ478" s="822"/>
      <c r="CR478" s="822"/>
      <c r="CS478" s="822"/>
      <c r="CT478" s="822"/>
      <c r="CU478" s="822"/>
      <c r="CV478" s="822"/>
      <c r="CW478" s="822"/>
      <c r="CX478" s="822"/>
      <c r="CY478" s="822"/>
      <c r="CZ478" s="822"/>
      <c r="DA478" s="822"/>
      <c r="DB478" s="822"/>
      <c r="DC478" s="822"/>
      <c r="DD478" s="822"/>
      <c r="DE478" s="822"/>
      <c r="DF478" s="822"/>
      <c r="DG478" s="822"/>
      <c r="DH478" s="822"/>
      <c r="DI478" s="822"/>
      <c r="DJ478" s="822"/>
      <c r="DK478" s="822"/>
      <c r="DL478" s="822"/>
      <c r="DM478" s="822"/>
      <c r="DN478" s="822"/>
    </row>
    <row r="479" spans="2:118" ht="17.100000000000001" customHeight="1" x14ac:dyDescent="0.3">
      <c r="B479" s="2302"/>
      <c r="D479" s="2302"/>
      <c r="E479" s="2302"/>
      <c r="F479" s="2302"/>
      <c r="G479" s="2302"/>
      <c r="H479" s="2302"/>
      <c r="I479" s="2302"/>
      <c r="J479" s="2302"/>
      <c r="K479" s="2302"/>
      <c r="L479" s="2302"/>
      <c r="M479" s="2302"/>
      <c r="N479" s="2302"/>
      <c r="O479" s="2302"/>
      <c r="P479" s="2302"/>
      <c r="Q479" s="2302"/>
      <c r="R479" s="822"/>
      <c r="S479" s="822"/>
      <c r="T479" s="822"/>
      <c r="U479" s="822"/>
      <c r="V479" s="822"/>
      <c r="W479" s="822"/>
      <c r="X479" s="822"/>
      <c r="Y479" s="822"/>
      <c r="Z479" s="822"/>
      <c r="AA479" s="822"/>
      <c r="AB479" s="822"/>
      <c r="AC479" s="822"/>
      <c r="AD479" s="822"/>
      <c r="AE479" s="822"/>
      <c r="AF479" s="822"/>
      <c r="AG479" s="822"/>
      <c r="AH479" s="822"/>
      <c r="AI479" s="822"/>
      <c r="AJ479" s="822"/>
      <c r="AK479" s="822"/>
      <c r="AL479" s="822"/>
      <c r="AM479" s="822"/>
      <c r="AN479" s="822"/>
      <c r="AO479" s="822"/>
      <c r="AP479" s="822"/>
      <c r="AQ479" s="822"/>
      <c r="AR479" s="822"/>
      <c r="AS479" s="822"/>
      <c r="AT479" s="822"/>
      <c r="AU479" s="822"/>
      <c r="AV479" s="822"/>
      <c r="AW479" s="822"/>
      <c r="AX479" s="822"/>
      <c r="AY479" s="822"/>
      <c r="AZ479" s="822"/>
      <c r="BA479" s="822"/>
      <c r="BB479" s="822"/>
      <c r="BC479" s="822"/>
      <c r="BD479" s="822"/>
      <c r="BE479" s="822"/>
      <c r="BF479" s="822"/>
      <c r="BG479" s="822"/>
      <c r="BH479" s="822"/>
      <c r="BI479" s="822"/>
      <c r="BJ479" s="822"/>
      <c r="BK479" s="822"/>
      <c r="BL479" s="822"/>
      <c r="BM479" s="822"/>
      <c r="BN479" s="822"/>
      <c r="BO479" s="822"/>
      <c r="BP479" s="822"/>
      <c r="BQ479" s="822"/>
      <c r="BR479" s="822"/>
      <c r="BS479" s="822"/>
      <c r="BT479" s="822"/>
      <c r="BU479" s="822"/>
      <c r="BV479" s="822"/>
      <c r="BX479" s="822"/>
      <c r="BY479" s="822"/>
      <c r="BZ479" s="822"/>
      <c r="CA479" s="822"/>
      <c r="CB479" s="822"/>
      <c r="CC479" s="822"/>
      <c r="CD479" s="822"/>
      <c r="CE479" s="822"/>
      <c r="CF479" s="822"/>
      <c r="CG479" s="822"/>
      <c r="CH479" s="822"/>
      <c r="CI479" s="822"/>
      <c r="CJ479" s="822"/>
      <c r="CK479" s="822"/>
      <c r="CL479" s="822"/>
      <c r="CM479" s="822"/>
      <c r="CN479" s="822"/>
      <c r="CO479" s="822"/>
      <c r="CP479" s="822"/>
      <c r="CQ479" s="822"/>
      <c r="CR479" s="822"/>
      <c r="CS479" s="822"/>
      <c r="CT479" s="822"/>
      <c r="CU479" s="822"/>
      <c r="CV479" s="822"/>
      <c r="CW479" s="822"/>
      <c r="CX479" s="822"/>
      <c r="CY479" s="822"/>
      <c r="CZ479" s="822"/>
      <c r="DA479" s="822"/>
      <c r="DB479" s="822"/>
      <c r="DC479" s="822"/>
      <c r="DD479" s="822"/>
      <c r="DE479" s="822"/>
      <c r="DF479" s="822"/>
      <c r="DG479" s="822"/>
      <c r="DH479" s="822"/>
      <c r="DI479" s="822"/>
      <c r="DJ479" s="822"/>
      <c r="DK479" s="822"/>
      <c r="DL479" s="822"/>
      <c r="DM479" s="822"/>
      <c r="DN479" s="822"/>
    </row>
    <row r="480" spans="2:118" ht="17.100000000000001" customHeight="1" x14ac:dyDescent="0.3">
      <c r="B480" s="2302"/>
      <c r="D480" s="2302"/>
      <c r="E480" s="2302"/>
      <c r="F480" s="2302"/>
      <c r="G480" s="2302"/>
      <c r="H480" s="2302"/>
      <c r="I480" s="2302"/>
      <c r="J480" s="2302"/>
      <c r="K480" s="2302"/>
      <c r="L480" s="2302"/>
      <c r="M480" s="2302"/>
      <c r="N480" s="2302"/>
      <c r="O480" s="2302"/>
      <c r="P480" s="2302"/>
      <c r="Q480" s="2302"/>
      <c r="R480" s="822"/>
      <c r="S480" s="822"/>
      <c r="T480" s="822"/>
      <c r="U480" s="822"/>
      <c r="V480" s="822"/>
      <c r="W480" s="822"/>
      <c r="X480" s="822"/>
      <c r="Y480" s="822"/>
      <c r="Z480" s="822"/>
      <c r="AA480" s="822"/>
      <c r="AB480" s="822"/>
      <c r="AC480" s="822"/>
      <c r="AD480" s="822"/>
      <c r="AE480" s="822"/>
      <c r="AF480" s="822"/>
      <c r="AG480" s="822"/>
      <c r="AH480" s="822"/>
      <c r="AI480" s="822"/>
      <c r="AJ480" s="822"/>
      <c r="AK480" s="822"/>
      <c r="AL480" s="822"/>
      <c r="AM480" s="822"/>
      <c r="AN480" s="822"/>
      <c r="AO480" s="822"/>
      <c r="AP480" s="822"/>
      <c r="AQ480" s="822"/>
      <c r="AR480" s="822"/>
      <c r="AS480" s="822"/>
      <c r="AT480" s="822"/>
      <c r="AU480" s="822"/>
      <c r="AV480" s="822"/>
      <c r="AW480" s="822"/>
      <c r="AX480" s="822"/>
      <c r="AY480" s="822"/>
      <c r="AZ480" s="822"/>
      <c r="BA480" s="822"/>
      <c r="BB480" s="822"/>
      <c r="BC480" s="822"/>
      <c r="BD480" s="822"/>
      <c r="BE480" s="822"/>
      <c r="BF480" s="822"/>
      <c r="BG480" s="822"/>
      <c r="BH480" s="822"/>
      <c r="BI480" s="822"/>
      <c r="BJ480" s="822"/>
      <c r="BK480" s="822"/>
      <c r="BL480" s="822"/>
      <c r="BM480" s="822"/>
      <c r="BN480" s="822"/>
      <c r="BO480" s="822"/>
      <c r="BP480" s="822"/>
      <c r="BQ480" s="822"/>
      <c r="BR480" s="822"/>
      <c r="BS480" s="822"/>
      <c r="BT480" s="822"/>
      <c r="BU480" s="822"/>
      <c r="BV480" s="822"/>
      <c r="BX480" s="822"/>
      <c r="BY480" s="822"/>
      <c r="BZ480" s="822"/>
      <c r="CA480" s="822"/>
      <c r="CB480" s="822"/>
      <c r="CC480" s="822"/>
      <c r="CD480" s="822"/>
      <c r="CE480" s="822"/>
      <c r="CF480" s="822"/>
      <c r="CG480" s="822"/>
      <c r="CH480" s="822"/>
      <c r="CI480" s="822"/>
      <c r="CJ480" s="822"/>
      <c r="CK480" s="822"/>
      <c r="CL480" s="822"/>
      <c r="CM480" s="822"/>
      <c r="CN480" s="822"/>
      <c r="CO480" s="822"/>
      <c r="CP480" s="822"/>
      <c r="CQ480" s="822"/>
      <c r="CR480" s="822"/>
      <c r="CS480" s="822"/>
      <c r="CT480" s="822"/>
      <c r="CU480" s="822"/>
      <c r="CV480" s="822"/>
      <c r="CW480" s="822"/>
      <c r="CX480" s="822"/>
      <c r="CY480" s="822"/>
      <c r="CZ480" s="822"/>
      <c r="DA480" s="822"/>
      <c r="DB480" s="822"/>
      <c r="DC480" s="822"/>
      <c r="DD480" s="822"/>
      <c r="DE480" s="822"/>
      <c r="DF480" s="822"/>
      <c r="DG480" s="822"/>
      <c r="DH480" s="822"/>
      <c r="DI480" s="822"/>
      <c r="DJ480" s="822"/>
      <c r="DK480" s="822"/>
      <c r="DL480" s="822"/>
      <c r="DM480" s="822"/>
      <c r="DN480" s="822"/>
    </row>
    <row r="481" spans="2:118" ht="17.100000000000001" customHeight="1" x14ac:dyDescent="0.3">
      <c r="B481" s="2302"/>
      <c r="D481" s="2302"/>
      <c r="E481" s="2302"/>
      <c r="F481" s="2302"/>
      <c r="G481" s="2302"/>
      <c r="H481" s="2302"/>
      <c r="I481" s="2302"/>
      <c r="J481" s="2302"/>
      <c r="K481" s="2302"/>
      <c r="L481" s="2302"/>
      <c r="M481" s="2302"/>
      <c r="N481" s="2302"/>
      <c r="O481" s="2302"/>
      <c r="P481" s="2302"/>
      <c r="Q481" s="2302"/>
      <c r="R481" s="822"/>
      <c r="S481" s="822"/>
      <c r="T481" s="822"/>
      <c r="U481" s="822"/>
      <c r="V481" s="822"/>
      <c r="W481" s="822"/>
      <c r="X481" s="822"/>
      <c r="Y481" s="822"/>
      <c r="Z481" s="822"/>
      <c r="AA481" s="822"/>
      <c r="AB481" s="822"/>
      <c r="AC481" s="822"/>
      <c r="AD481" s="822"/>
      <c r="AE481" s="822"/>
      <c r="AF481" s="822"/>
      <c r="AG481" s="822"/>
      <c r="AH481" s="822"/>
      <c r="AI481" s="822"/>
      <c r="AJ481" s="822"/>
      <c r="AK481" s="822"/>
      <c r="AL481" s="822"/>
      <c r="AM481" s="822"/>
      <c r="AN481" s="822"/>
      <c r="AO481" s="822"/>
      <c r="AP481" s="822"/>
      <c r="AQ481" s="822"/>
      <c r="AR481" s="822"/>
      <c r="AS481" s="822"/>
      <c r="AT481" s="822"/>
      <c r="AU481" s="822"/>
      <c r="AV481" s="822"/>
      <c r="AW481" s="822"/>
      <c r="AX481" s="822"/>
      <c r="AY481" s="822"/>
      <c r="AZ481" s="822"/>
      <c r="BA481" s="822"/>
      <c r="BB481" s="822"/>
      <c r="BC481" s="822"/>
      <c r="BD481" s="822"/>
      <c r="BE481" s="822"/>
      <c r="BF481" s="822"/>
      <c r="BG481" s="822"/>
      <c r="BH481" s="822"/>
      <c r="BI481" s="822"/>
      <c r="BJ481" s="822"/>
      <c r="BK481" s="822"/>
      <c r="BL481" s="822"/>
      <c r="BM481" s="822"/>
      <c r="BN481" s="822"/>
      <c r="BO481" s="822"/>
      <c r="BP481" s="822"/>
      <c r="BQ481" s="822"/>
      <c r="BR481" s="822"/>
      <c r="BS481" s="822"/>
      <c r="BT481" s="822"/>
      <c r="BU481" s="822"/>
      <c r="BV481" s="822"/>
      <c r="BX481" s="822"/>
      <c r="BY481" s="822"/>
      <c r="BZ481" s="822"/>
      <c r="CA481" s="822"/>
      <c r="CB481" s="822"/>
      <c r="CC481" s="822"/>
      <c r="CD481" s="822"/>
      <c r="CE481" s="822"/>
      <c r="CF481" s="822"/>
      <c r="CG481" s="822"/>
      <c r="CH481" s="822"/>
      <c r="CI481" s="822"/>
      <c r="CJ481" s="822"/>
      <c r="CK481" s="822"/>
      <c r="CL481" s="822"/>
      <c r="CM481" s="822"/>
      <c r="CN481" s="822"/>
      <c r="CO481" s="822"/>
      <c r="CP481" s="822"/>
      <c r="CQ481" s="822"/>
      <c r="CR481" s="822"/>
      <c r="CS481" s="822"/>
      <c r="CT481" s="822"/>
      <c r="CU481" s="822"/>
      <c r="CV481" s="822"/>
      <c r="CW481" s="822"/>
      <c r="CX481" s="822"/>
      <c r="CY481" s="822"/>
      <c r="CZ481" s="822"/>
      <c r="DA481" s="822"/>
      <c r="DB481" s="822"/>
      <c r="DC481" s="822"/>
      <c r="DD481" s="822"/>
      <c r="DE481" s="822"/>
      <c r="DF481" s="822"/>
      <c r="DG481" s="822"/>
      <c r="DH481" s="822"/>
      <c r="DI481" s="822"/>
      <c r="DJ481" s="822"/>
      <c r="DK481" s="822"/>
      <c r="DL481" s="822"/>
      <c r="DM481" s="822"/>
      <c r="DN481" s="822"/>
    </row>
    <row r="482" spans="2:118" ht="17.100000000000001" customHeight="1" x14ac:dyDescent="0.3">
      <c r="B482" s="2302"/>
      <c r="D482" s="2302"/>
      <c r="E482" s="2302"/>
      <c r="F482" s="2302"/>
      <c r="G482" s="2302"/>
      <c r="H482" s="2302"/>
      <c r="I482" s="2302"/>
      <c r="J482" s="2302"/>
      <c r="K482" s="2302"/>
      <c r="L482" s="2302"/>
      <c r="M482" s="2302"/>
      <c r="N482" s="2302"/>
      <c r="O482" s="2302"/>
      <c r="P482" s="2302"/>
      <c r="Q482" s="2302"/>
      <c r="R482" s="822"/>
      <c r="S482" s="822"/>
      <c r="T482" s="822"/>
      <c r="U482" s="822"/>
      <c r="V482" s="822"/>
      <c r="W482" s="822"/>
      <c r="X482" s="822"/>
      <c r="Y482" s="822"/>
      <c r="Z482" s="822"/>
      <c r="AA482" s="822"/>
      <c r="AB482" s="822"/>
      <c r="AC482" s="822"/>
      <c r="AD482" s="822"/>
      <c r="AE482" s="822"/>
      <c r="AF482" s="822"/>
      <c r="AG482" s="822"/>
      <c r="AH482" s="822"/>
      <c r="AI482" s="822"/>
      <c r="AJ482" s="822"/>
      <c r="AK482" s="822"/>
      <c r="AL482" s="822"/>
      <c r="AM482" s="822"/>
      <c r="AN482" s="822"/>
      <c r="AO482" s="822"/>
      <c r="AP482" s="822"/>
      <c r="AQ482" s="822"/>
      <c r="AR482" s="822"/>
      <c r="AS482" s="822"/>
      <c r="AT482" s="822"/>
      <c r="AU482" s="822"/>
      <c r="AV482" s="822"/>
      <c r="AW482" s="822"/>
      <c r="AX482" s="822"/>
      <c r="AY482" s="822"/>
      <c r="AZ482" s="822"/>
      <c r="BA482" s="822"/>
      <c r="BB482" s="822"/>
      <c r="BC482" s="822"/>
      <c r="BD482" s="822"/>
      <c r="BE482" s="822"/>
      <c r="BF482" s="822"/>
      <c r="BG482" s="822"/>
      <c r="BH482" s="822"/>
      <c r="BI482" s="822"/>
      <c r="BJ482" s="822"/>
      <c r="BK482" s="822"/>
      <c r="BL482" s="822"/>
      <c r="BM482" s="822"/>
      <c r="BN482" s="822"/>
      <c r="BO482" s="822"/>
      <c r="BP482" s="822"/>
      <c r="BQ482" s="822"/>
      <c r="BR482" s="822"/>
      <c r="BS482" s="822"/>
      <c r="BT482" s="822"/>
      <c r="BU482" s="822"/>
      <c r="BV482" s="822"/>
      <c r="BX482" s="822"/>
      <c r="BY482" s="822"/>
      <c r="BZ482" s="822"/>
      <c r="CA482" s="822"/>
      <c r="CB482" s="822"/>
      <c r="CC482" s="822"/>
      <c r="CD482" s="822"/>
      <c r="CE482" s="822"/>
      <c r="CF482" s="822"/>
      <c r="CG482" s="822"/>
      <c r="CH482" s="822"/>
      <c r="CI482" s="822"/>
      <c r="CJ482" s="822"/>
      <c r="CK482" s="822"/>
      <c r="CL482" s="822"/>
      <c r="CM482" s="822"/>
      <c r="CN482" s="822"/>
      <c r="CO482" s="822"/>
      <c r="CP482" s="822"/>
      <c r="CQ482" s="822"/>
      <c r="CR482" s="822"/>
      <c r="CS482" s="822"/>
      <c r="CT482" s="822"/>
      <c r="CU482" s="822"/>
      <c r="CV482" s="822"/>
      <c r="CW482" s="822"/>
      <c r="CX482" s="822"/>
      <c r="CY482" s="822"/>
      <c r="CZ482" s="822"/>
      <c r="DA482" s="822"/>
      <c r="DB482" s="822"/>
      <c r="DC482" s="822"/>
      <c r="DD482" s="822"/>
      <c r="DE482" s="822"/>
      <c r="DF482" s="822"/>
      <c r="DG482" s="822"/>
      <c r="DH482" s="822"/>
      <c r="DI482" s="822"/>
      <c r="DJ482" s="822"/>
      <c r="DK482" s="822"/>
      <c r="DL482" s="822"/>
      <c r="DM482" s="822"/>
      <c r="DN482" s="822"/>
    </row>
    <row r="483" spans="2:118" ht="17.100000000000001" customHeight="1" x14ac:dyDescent="0.3">
      <c r="B483" s="2302"/>
      <c r="D483" s="2302"/>
      <c r="E483" s="2302"/>
      <c r="F483" s="2302"/>
      <c r="G483" s="2302"/>
      <c r="H483" s="2302"/>
      <c r="I483" s="2302"/>
      <c r="J483" s="2302"/>
      <c r="K483" s="2302"/>
      <c r="L483" s="2302"/>
      <c r="M483" s="2302"/>
      <c r="N483" s="2302"/>
      <c r="O483" s="2302"/>
      <c r="P483" s="2302"/>
      <c r="Q483" s="2302"/>
      <c r="R483" s="822"/>
      <c r="S483" s="822"/>
      <c r="T483" s="822"/>
      <c r="U483" s="822"/>
      <c r="V483" s="822"/>
      <c r="W483" s="822"/>
      <c r="X483" s="822"/>
      <c r="Y483" s="822"/>
      <c r="Z483" s="822"/>
      <c r="AA483" s="822"/>
      <c r="AB483" s="822"/>
      <c r="AC483" s="822"/>
      <c r="AD483" s="822"/>
      <c r="AE483" s="822"/>
      <c r="AF483" s="822"/>
      <c r="AG483" s="822"/>
      <c r="AH483" s="822"/>
      <c r="AI483" s="822"/>
      <c r="AJ483" s="822"/>
      <c r="AK483" s="822"/>
      <c r="AL483" s="822"/>
      <c r="AM483" s="822"/>
      <c r="AN483" s="822"/>
      <c r="AO483" s="822"/>
      <c r="AP483" s="822"/>
      <c r="AQ483" s="822"/>
      <c r="AR483" s="822"/>
      <c r="AS483" s="822"/>
      <c r="AT483" s="822"/>
      <c r="AU483" s="822"/>
      <c r="AV483" s="822"/>
      <c r="AW483" s="822"/>
      <c r="AX483" s="822"/>
      <c r="AY483" s="822"/>
      <c r="AZ483" s="822"/>
      <c r="BA483" s="822"/>
      <c r="BB483" s="822"/>
      <c r="BC483" s="822"/>
      <c r="BD483" s="822"/>
      <c r="BE483" s="822"/>
      <c r="BF483" s="822"/>
      <c r="BG483" s="822"/>
      <c r="BH483" s="822"/>
      <c r="BI483" s="822"/>
      <c r="BJ483" s="822"/>
      <c r="BK483" s="822"/>
      <c r="BL483" s="822"/>
      <c r="BM483" s="822"/>
      <c r="BN483" s="822"/>
      <c r="BO483" s="822"/>
      <c r="BP483" s="822"/>
      <c r="BQ483" s="822"/>
      <c r="BR483" s="822"/>
      <c r="BS483" s="822"/>
      <c r="BT483" s="822"/>
      <c r="BU483" s="822"/>
      <c r="BV483" s="822"/>
      <c r="BX483" s="822"/>
      <c r="BY483" s="822"/>
      <c r="BZ483" s="822"/>
      <c r="CA483" s="822"/>
      <c r="CB483" s="822"/>
      <c r="CC483" s="822"/>
      <c r="CD483" s="822"/>
      <c r="CE483" s="822"/>
      <c r="CF483" s="822"/>
      <c r="CG483" s="822"/>
      <c r="CH483" s="822"/>
      <c r="CI483" s="822"/>
      <c r="CJ483" s="822"/>
      <c r="CK483" s="822"/>
      <c r="CL483" s="822"/>
      <c r="CM483" s="822"/>
      <c r="CN483" s="822"/>
      <c r="CO483" s="822"/>
      <c r="CP483" s="822"/>
      <c r="CQ483" s="822"/>
      <c r="CR483" s="822"/>
      <c r="CS483" s="822"/>
      <c r="CT483" s="822"/>
      <c r="CU483" s="822"/>
      <c r="CV483" s="822"/>
      <c r="CW483" s="822"/>
      <c r="CX483" s="822"/>
      <c r="CY483" s="822"/>
      <c r="CZ483" s="822"/>
      <c r="DA483" s="822"/>
      <c r="DB483" s="822"/>
      <c r="DC483" s="822"/>
      <c r="DD483" s="822"/>
      <c r="DE483" s="822"/>
      <c r="DF483" s="822"/>
      <c r="DG483" s="822"/>
      <c r="DH483" s="822"/>
      <c r="DI483" s="822"/>
      <c r="DJ483" s="822"/>
      <c r="DK483" s="822"/>
      <c r="DL483" s="822"/>
      <c r="DM483" s="822"/>
      <c r="DN483" s="822"/>
    </row>
    <row r="484" spans="2:118" ht="17.100000000000001" customHeight="1" x14ac:dyDescent="0.3">
      <c r="B484" s="2302"/>
      <c r="D484" s="2302"/>
      <c r="E484" s="2302"/>
      <c r="F484" s="2302"/>
      <c r="G484" s="2302"/>
      <c r="H484" s="2302"/>
      <c r="I484" s="2302"/>
      <c r="J484" s="2302"/>
      <c r="K484" s="2302"/>
      <c r="L484" s="2302"/>
      <c r="M484" s="2302"/>
      <c r="N484" s="2302"/>
      <c r="O484" s="2302"/>
      <c r="P484" s="2302"/>
      <c r="Q484" s="2302"/>
      <c r="R484" s="822"/>
      <c r="S484" s="822"/>
      <c r="T484" s="822"/>
      <c r="U484" s="822"/>
      <c r="V484" s="822"/>
      <c r="W484" s="822"/>
      <c r="X484" s="822"/>
      <c r="Y484" s="822"/>
      <c r="Z484" s="822"/>
      <c r="AA484" s="822"/>
      <c r="AB484" s="822"/>
      <c r="AC484" s="822"/>
      <c r="AD484" s="822"/>
      <c r="AE484" s="822"/>
      <c r="AF484" s="822"/>
      <c r="AG484" s="822"/>
      <c r="AH484" s="822"/>
      <c r="AI484" s="822"/>
      <c r="AJ484" s="822"/>
      <c r="AK484" s="822"/>
      <c r="AL484" s="822"/>
      <c r="AM484" s="822"/>
      <c r="AN484" s="822"/>
      <c r="AO484" s="822"/>
      <c r="AP484" s="822"/>
      <c r="AQ484" s="822"/>
      <c r="AR484" s="822"/>
      <c r="AS484" s="822"/>
      <c r="AT484" s="822"/>
      <c r="AU484" s="822"/>
      <c r="AV484" s="822"/>
      <c r="AW484" s="822"/>
      <c r="AX484" s="822"/>
      <c r="AY484" s="822"/>
      <c r="AZ484" s="822"/>
      <c r="BA484" s="822"/>
      <c r="BB484" s="822"/>
      <c r="BC484" s="822"/>
      <c r="BD484" s="822"/>
      <c r="BE484" s="822"/>
      <c r="BF484" s="822"/>
      <c r="BG484" s="822"/>
      <c r="BH484" s="822"/>
      <c r="BI484" s="822"/>
      <c r="BJ484" s="822"/>
      <c r="BK484" s="822"/>
      <c r="BL484" s="822"/>
      <c r="BM484" s="822"/>
      <c r="BN484" s="822"/>
      <c r="BO484" s="822"/>
      <c r="BP484" s="822"/>
      <c r="BQ484" s="822"/>
      <c r="BR484" s="822"/>
      <c r="BS484" s="822"/>
      <c r="BT484" s="822"/>
      <c r="BU484" s="822"/>
      <c r="BV484" s="822"/>
      <c r="BX484" s="822"/>
      <c r="BY484" s="822"/>
      <c r="BZ484" s="822"/>
      <c r="CA484" s="822"/>
      <c r="CB484" s="822"/>
      <c r="CC484" s="822"/>
      <c r="CD484" s="822"/>
      <c r="CE484" s="822"/>
      <c r="CF484" s="822"/>
      <c r="CG484" s="822"/>
      <c r="CH484" s="822"/>
      <c r="CI484" s="822"/>
      <c r="CJ484" s="822"/>
      <c r="CK484" s="822"/>
      <c r="CL484" s="822"/>
      <c r="CM484" s="822"/>
      <c r="CN484" s="822"/>
      <c r="CO484" s="822"/>
      <c r="CP484" s="822"/>
      <c r="CQ484" s="822"/>
      <c r="CR484" s="822"/>
      <c r="CS484" s="822"/>
      <c r="CT484" s="822"/>
      <c r="CU484" s="822"/>
      <c r="CV484" s="822"/>
      <c r="CW484" s="822"/>
      <c r="CX484" s="822"/>
      <c r="CY484" s="822"/>
      <c r="CZ484" s="822"/>
      <c r="DA484" s="822"/>
      <c r="DB484" s="822"/>
      <c r="DC484" s="822"/>
      <c r="DD484" s="822"/>
      <c r="DE484" s="822"/>
      <c r="DF484" s="822"/>
      <c r="DG484" s="822"/>
      <c r="DH484" s="822"/>
      <c r="DI484" s="822"/>
      <c r="DJ484" s="822"/>
      <c r="DK484" s="822"/>
      <c r="DL484" s="822"/>
      <c r="DM484" s="822"/>
      <c r="DN484" s="822"/>
    </row>
    <row r="485" spans="2:118" ht="17.100000000000001" customHeight="1" x14ac:dyDescent="0.3">
      <c r="B485" s="2302"/>
      <c r="D485" s="2302"/>
      <c r="E485" s="2302"/>
      <c r="F485" s="2302"/>
      <c r="G485" s="2302"/>
      <c r="H485" s="2302"/>
      <c r="I485" s="2302"/>
      <c r="J485" s="2302"/>
      <c r="K485" s="2302"/>
      <c r="L485" s="2302"/>
      <c r="M485" s="2302"/>
      <c r="N485" s="2302"/>
      <c r="O485" s="2302"/>
      <c r="P485" s="2302"/>
      <c r="Q485" s="2302"/>
      <c r="R485" s="822"/>
      <c r="S485" s="822"/>
      <c r="T485" s="822"/>
      <c r="U485" s="822"/>
      <c r="V485" s="822"/>
      <c r="W485" s="822"/>
      <c r="X485" s="822"/>
      <c r="Y485" s="822"/>
      <c r="Z485" s="822"/>
      <c r="AA485" s="822"/>
      <c r="AB485" s="822"/>
      <c r="AC485" s="822"/>
      <c r="AD485" s="822"/>
      <c r="AE485" s="822"/>
      <c r="AF485" s="822"/>
      <c r="AG485" s="822"/>
      <c r="AH485" s="822"/>
      <c r="AI485" s="822"/>
      <c r="AJ485" s="822"/>
      <c r="AK485" s="822"/>
      <c r="AL485" s="822"/>
      <c r="AM485" s="822"/>
      <c r="AN485" s="822"/>
      <c r="AO485" s="822"/>
      <c r="AP485" s="822"/>
      <c r="AQ485" s="822"/>
      <c r="AR485" s="822"/>
      <c r="AS485" s="822"/>
      <c r="AT485" s="822"/>
      <c r="AU485" s="822"/>
      <c r="AV485" s="822"/>
      <c r="AW485" s="822"/>
      <c r="AX485" s="822"/>
      <c r="AY485" s="822"/>
      <c r="AZ485" s="822"/>
      <c r="BA485" s="822"/>
      <c r="BB485" s="822"/>
      <c r="BC485" s="822"/>
      <c r="BD485" s="822"/>
      <c r="BE485" s="822"/>
      <c r="BF485" s="822"/>
      <c r="BG485" s="822"/>
      <c r="BH485" s="822"/>
      <c r="BI485" s="822"/>
      <c r="BJ485" s="822"/>
      <c r="BK485" s="822"/>
      <c r="BL485" s="822"/>
      <c r="BM485" s="822"/>
      <c r="BN485" s="822"/>
      <c r="BO485" s="822"/>
      <c r="BP485" s="822"/>
      <c r="BQ485" s="822"/>
      <c r="BR485" s="822"/>
      <c r="BS485" s="822"/>
      <c r="BT485" s="822"/>
      <c r="BU485" s="822"/>
      <c r="BV485" s="822"/>
      <c r="BX485" s="822"/>
      <c r="BY485" s="822"/>
      <c r="BZ485" s="822"/>
      <c r="CA485" s="822"/>
      <c r="CB485" s="822"/>
      <c r="CC485" s="822"/>
      <c r="CD485" s="822"/>
      <c r="CE485" s="822"/>
      <c r="CF485" s="822"/>
      <c r="CG485" s="822"/>
      <c r="CH485" s="822"/>
      <c r="CI485" s="822"/>
      <c r="CJ485" s="822"/>
      <c r="CK485" s="822"/>
      <c r="CL485" s="822"/>
      <c r="CM485" s="822"/>
      <c r="CN485" s="822"/>
      <c r="CO485" s="822"/>
      <c r="CP485" s="822"/>
      <c r="CQ485" s="822"/>
      <c r="CR485" s="822"/>
      <c r="CS485" s="822"/>
      <c r="CT485" s="822"/>
      <c r="CU485" s="822"/>
      <c r="CV485" s="822"/>
      <c r="CW485" s="822"/>
      <c r="CX485" s="822"/>
      <c r="CY485" s="822"/>
      <c r="CZ485" s="822"/>
      <c r="DA485" s="822"/>
      <c r="DB485" s="822"/>
      <c r="DC485" s="822"/>
      <c r="DD485" s="822"/>
      <c r="DE485" s="822"/>
      <c r="DF485" s="822"/>
      <c r="DG485" s="822"/>
      <c r="DH485" s="822"/>
      <c r="DI485" s="822"/>
      <c r="DJ485" s="822"/>
      <c r="DK485" s="822"/>
      <c r="DL485" s="822"/>
      <c r="DM485" s="822"/>
      <c r="DN485" s="822"/>
    </row>
    <row r="486" spans="2:118" ht="17.100000000000001" customHeight="1" x14ac:dyDescent="0.3">
      <c r="B486" s="2302"/>
      <c r="D486" s="2302"/>
      <c r="E486" s="2302"/>
      <c r="F486" s="2302"/>
      <c r="G486" s="2302"/>
      <c r="H486" s="2302"/>
      <c r="I486" s="2302"/>
      <c r="J486" s="2302"/>
      <c r="K486" s="2302"/>
      <c r="L486" s="2302"/>
      <c r="M486" s="2302"/>
      <c r="N486" s="2302"/>
      <c r="O486" s="2302"/>
      <c r="P486" s="2302"/>
      <c r="Q486" s="2302"/>
      <c r="R486" s="822"/>
      <c r="S486" s="822"/>
      <c r="T486" s="822"/>
      <c r="U486" s="822"/>
      <c r="V486" s="822"/>
      <c r="W486" s="822"/>
      <c r="X486" s="822"/>
      <c r="Y486" s="822"/>
      <c r="Z486" s="822"/>
      <c r="AA486" s="822"/>
      <c r="AB486" s="822"/>
      <c r="AC486" s="822"/>
      <c r="AD486" s="822"/>
      <c r="AE486" s="822"/>
      <c r="AF486" s="822"/>
      <c r="AG486" s="822"/>
      <c r="AH486" s="822"/>
      <c r="AI486" s="822"/>
      <c r="AJ486" s="822"/>
      <c r="AK486" s="822"/>
      <c r="AL486" s="822"/>
      <c r="AM486" s="822"/>
      <c r="AN486" s="822"/>
      <c r="AO486" s="822"/>
      <c r="AP486" s="822"/>
      <c r="AQ486" s="822"/>
      <c r="AR486" s="822"/>
      <c r="AS486" s="822"/>
      <c r="AT486" s="822"/>
      <c r="AU486" s="822"/>
      <c r="AV486" s="822"/>
      <c r="AW486" s="822"/>
      <c r="AX486" s="822"/>
      <c r="AY486" s="822"/>
      <c r="AZ486" s="822"/>
      <c r="BA486" s="822"/>
      <c r="BB486" s="822"/>
      <c r="BC486" s="822"/>
      <c r="BD486" s="822"/>
      <c r="BE486" s="822"/>
      <c r="BF486" s="822"/>
      <c r="BG486" s="822"/>
      <c r="BH486" s="822"/>
      <c r="BI486" s="822"/>
      <c r="BJ486" s="822"/>
      <c r="BK486" s="822"/>
      <c r="BL486" s="822"/>
      <c r="BM486" s="822"/>
      <c r="BN486" s="822"/>
      <c r="BO486" s="822"/>
      <c r="BP486" s="822"/>
      <c r="BQ486" s="822"/>
      <c r="BR486" s="822"/>
      <c r="BS486" s="822"/>
      <c r="BT486" s="822"/>
      <c r="BU486" s="822"/>
      <c r="BV486" s="822"/>
      <c r="BX486" s="822"/>
      <c r="BY486" s="822"/>
      <c r="BZ486" s="822"/>
      <c r="CA486" s="822"/>
      <c r="CB486" s="822"/>
      <c r="CC486" s="822"/>
      <c r="CD486" s="822"/>
      <c r="CE486" s="822"/>
      <c r="CF486" s="822"/>
      <c r="CG486" s="822"/>
      <c r="CH486" s="822"/>
      <c r="CI486" s="822"/>
      <c r="CJ486" s="822"/>
      <c r="CK486" s="822"/>
      <c r="CL486" s="822"/>
      <c r="CM486" s="822"/>
      <c r="CN486" s="822"/>
      <c r="CO486" s="822"/>
      <c r="CP486" s="822"/>
      <c r="CQ486" s="822"/>
      <c r="CR486" s="822"/>
      <c r="CS486" s="822"/>
      <c r="CT486" s="822"/>
      <c r="CU486" s="822"/>
      <c r="CV486" s="822"/>
      <c r="CW486" s="822"/>
      <c r="CX486" s="822"/>
      <c r="CY486" s="822"/>
      <c r="CZ486" s="822"/>
      <c r="DA486" s="822"/>
      <c r="DB486" s="822"/>
      <c r="DC486" s="822"/>
      <c r="DD486" s="822"/>
      <c r="DE486" s="822"/>
      <c r="DF486" s="822"/>
      <c r="DG486" s="822"/>
      <c r="DH486" s="822"/>
      <c r="DI486" s="822"/>
      <c r="DJ486" s="822"/>
      <c r="DK486" s="822"/>
      <c r="DL486" s="822"/>
      <c r="DM486" s="822"/>
      <c r="DN486" s="822"/>
    </row>
    <row r="487" spans="2:118" ht="17.100000000000001" customHeight="1" x14ac:dyDescent="0.3">
      <c r="B487" s="2302"/>
      <c r="D487" s="2302"/>
      <c r="E487" s="2302"/>
      <c r="F487" s="2302"/>
      <c r="G487" s="2302"/>
      <c r="H487" s="2302"/>
      <c r="I487" s="2302"/>
      <c r="J487" s="2302"/>
      <c r="K487" s="2302"/>
      <c r="L487" s="2302"/>
      <c r="M487" s="2302"/>
      <c r="N487" s="2302"/>
      <c r="O487" s="2302"/>
      <c r="P487" s="2302"/>
      <c r="Q487" s="2302"/>
      <c r="R487" s="822"/>
      <c r="S487" s="822"/>
      <c r="T487" s="822"/>
      <c r="U487" s="822"/>
      <c r="V487" s="822"/>
      <c r="W487" s="822"/>
      <c r="X487" s="822"/>
      <c r="Y487" s="822"/>
      <c r="Z487" s="822"/>
      <c r="AA487" s="822"/>
      <c r="AB487" s="822"/>
      <c r="AC487" s="822"/>
      <c r="AD487" s="822"/>
      <c r="AE487" s="822"/>
      <c r="AF487" s="822"/>
      <c r="AG487" s="822"/>
      <c r="AH487" s="822"/>
      <c r="AI487" s="822"/>
      <c r="AJ487" s="822"/>
      <c r="AK487" s="822"/>
      <c r="AL487" s="822"/>
      <c r="AM487" s="822"/>
      <c r="AN487" s="822"/>
      <c r="AO487" s="822"/>
      <c r="AP487" s="822"/>
      <c r="AQ487" s="822"/>
      <c r="AR487" s="822"/>
      <c r="AS487" s="822"/>
      <c r="AT487" s="822"/>
      <c r="AU487" s="822"/>
      <c r="AV487" s="822"/>
      <c r="AW487" s="822"/>
      <c r="AX487" s="822"/>
      <c r="AY487" s="822"/>
      <c r="AZ487" s="822"/>
      <c r="BA487" s="822"/>
      <c r="BB487" s="822"/>
      <c r="BC487" s="822"/>
      <c r="BD487" s="822"/>
      <c r="BE487" s="822"/>
      <c r="BF487" s="822"/>
      <c r="BG487" s="822"/>
      <c r="BH487" s="822"/>
      <c r="BI487" s="822"/>
      <c r="BJ487" s="822"/>
      <c r="BK487" s="822"/>
      <c r="BL487" s="822"/>
      <c r="BM487" s="822"/>
      <c r="BN487" s="822"/>
      <c r="BO487" s="822"/>
      <c r="BP487" s="822"/>
      <c r="BQ487" s="822"/>
      <c r="BR487" s="822"/>
      <c r="BS487" s="822"/>
      <c r="BT487" s="822"/>
      <c r="BU487" s="822"/>
      <c r="BV487" s="822"/>
      <c r="BX487" s="822"/>
      <c r="BY487" s="822"/>
      <c r="BZ487" s="822"/>
      <c r="CA487" s="822"/>
      <c r="CB487" s="822"/>
      <c r="CC487" s="822"/>
      <c r="CD487" s="822"/>
      <c r="CE487" s="822"/>
      <c r="CF487" s="822"/>
      <c r="CG487" s="822"/>
      <c r="CH487" s="822"/>
      <c r="CI487" s="822"/>
      <c r="CJ487" s="822"/>
      <c r="CK487" s="822"/>
      <c r="CL487" s="822"/>
      <c r="CM487" s="822"/>
      <c r="CN487" s="822"/>
      <c r="CO487" s="822"/>
      <c r="CP487" s="822"/>
      <c r="CQ487" s="822"/>
      <c r="CR487" s="822"/>
      <c r="CS487" s="822"/>
      <c r="CT487" s="822"/>
      <c r="CU487" s="822"/>
      <c r="CV487" s="822"/>
      <c r="CW487" s="822"/>
      <c r="CX487" s="822"/>
      <c r="CY487" s="822"/>
      <c r="CZ487" s="822"/>
      <c r="DA487" s="822"/>
      <c r="DB487" s="822"/>
      <c r="DC487" s="822"/>
      <c r="DD487" s="822"/>
      <c r="DE487" s="822"/>
      <c r="DF487" s="822"/>
      <c r="DG487" s="822"/>
      <c r="DH487" s="822"/>
      <c r="DI487" s="822"/>
      <c r="DJ487" s="822"/>
      <c r="DK487" s="822"/>
      <c r="DL487" s="822"/>
      <c r="DM487" s="822"/>
      <c r="DN487" s="822"/>
    </row>
    <row r="488" spans="2:118" ht="17.100000000000001" customHeight="1" x14ac:dyDescent="0.3">
      <c r="B488" s="2302"/>
      <c r="D488" s="2302"/>
      <c r="E488" s="2302"/>
      <c r="F488" s="2302"/>
      <c r="G488" s="2302"/>
      <c r="H488" s="2302"/>
      <c r="I488" s="2302"/>
      <c r="J488" s="2302"/>
      <c r="K488" s="2302"/>
      <c r="L488" s="2302"/>
      <c r="M488" s="2302"/>
      <c r="N488" s="2302"/>
      <c r="O488" s="2302"/>
      <c r="P488" s="2302"/>
      <c r="Q488" s="2302"/>
      <c r="R488" s="822"/>
      <c r="S488" s="822"/>
      <c r="T488" s="822"/>
      <c r="U488" s="822"/>
      <c r="V488" s="822"/>
      <c r="W488" s="822"/>
      <c r="X488" s="822"/>
      <c r="Y488" s="822"/>
      <c r="Z488" s="822"/>
      <c r="AA488" s="822"/>
      <c r="AB488" s="822"/>
      <c r="AC488" s="822"/>
      <c r="AD488" s="822"/>
      <c r="AE488" s="822"/>
      <c r="AF488" s="822"/>
      <c r="AG488" s="822"/>
      <c r="AH488" s="822"/>
      <c r="AI488" s="822"/>
      <c r="AJ488" s="822"/>
      <c r="AK488" s="822"/>
      <c r="AL488" s="822"/>
      <c r="AM488" s="822"/>
      <c r="AN488" s="822"/>
      <c r="AO488" s="822"/>
      <c r="AP488" s="822"/>
      <c r="AQ488" s="822"/>
      <c r="AR488" s="822"/>
      <c r="AS488" s="822"/>
      <c r="AT488" s="822"/>
      <c r="AU488" s="822"/>
      <c r="AV488" s="822"/>
      <c r="AW488" s="822"/>
      <c r="AX488" s="822"/>
      <c r="AY488" s="822"/>
      <c r="AZ488" s="822"/>
      <c r="BA488" s="822"/>
      <c r="BB488" s="822"/>
      <c r="BC488" s="822"/>
      <c r="BD488" s="822"/>
      <c r="BE488" s="822"/>
      <c r="BF488" s="822"/>
      <c r="BG488" s="822"/>
      <c r="BH488" s="822"/>
      <c r="BI488" s="822"/>
      <c r="BJ488" s="822"/>
      <c r="BK488" s="822"/>
      <c r="BL488" s="822"/>
      <c r="BM488" s="822"/>
      <c r="BN488" s="822"/>
      <c r="BO488" s="822"/>
      <c r="BP488" s="822"/>
      <c r="BQ488" s="822"/>
      <c r="BR488" s="822"/>
      <c r="BS488" s="822"/>
      <c r="BT488" s="822"/>
      <c r="BU488" s="822"/>
      <c r="BV488" s="822"/>
      <c r="BX488" s="822"/>
      <c r="BY488" s="822"/>
      <c r="BZ488" s="822"/>
      <c r="CA488" s="822"/>
      <c r="CB488" s="822"/>
      <c r="CC488" s="822"/>
      <c r="CD488" s="822"/>
      <c r="CE488" s="822"/>
      <c r="CF488" s="822"/>
      <c r="CG488" s="822"/>
      <c r="CH488" s="822"/>
      <c r="CI488" s="822"/>
      <c r="CJ488" s="822"/>
      <c r="CK488" s="822"/>
      <c r="CL488" s="822"/>
      <c r="CM488" s="822"/>
      <c r="CN488" s="822"/>
      <c r="CO488" s="822"/>
      <c r="CP488" s="822"/>
      <c r="CQ488" s="822"/>
      <c r="CR488" s="822"/>
      <c r="CS488" s="822"/>
      <c r="CT488" s="822"/>
      <c r="CU488" s="822"/>
      <c r="CV488" s="822"/>
      <c r="CW488" s="822"/>
      <c r="CX488" s="822"/>
      <c r="CY488" s="822"/>
      <c r="CZ488" s="822"/>
      <c r="DA488" s="822"/>
      <c r="DB488" s="822"/>
      <c r="DC488" s="822"/>
      <c r="DD488" s="822"/>
      <c r="DE488" s="822"/>
      <c r="DF488" s="822"/>
      <c r="DG488" s="822"/>
      <c r="DH488" s="822"/>
      <c r="DI488" s="822"/>
      <c r="DJ488" s="822"/>
      <c r="DK488" s="822"/>
      <c r="DL488" s="822"/>
      <c r="DM488" s="822"/>
      <c r="DN488" s="822"/>
    </row>
    <row r="489" spans="2:118" ht="17.100000000000001" customHeight="1" x14ac:dyDescent="0.3">
      <c r="B489" s="2302"/>
      <c r="D489" s="2302"/>
      <c r="E489" s="2302"/>
      <c r="F489" s="2302"/>
      <c r="G489" s="2302"/>
      <c r="H489" s="2302"/>
      <c r="I489" s="2302"/>
      <c r="J489" s="2302"/>
      <c r="K489" s="2302"/>
      <c r="L489" s="2302"/>
      <c r="M489" s="2302"/>
      <c r="N489" s="2302"/>
      <c r="O489" s="2302"/>
      <c r="P489" s="2302"/>
      <c r="Q489" s="2302"/>
      <c r="R489" s="822"/>
      <c r="S489" s="822"/>
      <c r="T489" s="822"/>
      <c r="U489" s="822"/>
      <c r="V489" s="822"/>
      <c r="W489" s="822"/>
      <c r="X489" s="822"/>
      <c r="Y489" s="822"/>
      <c r="Z489" s="822"/>
      <c r="AA489" s="822"/>
      <c r="AB489" s="822"/>
      <c r="AC489" s="822"/>
      <c r="AD489" s="822"/>
      <c r="AE489" s="822"/>
      <c r="AF489" s="822"/>
      <c r="AG489" s="822"/>
      <c r="AH489" s="822"/>
      <c r="AI489" s="822"/>
      <c r="AJ489" s="822"/>
      <c r="AK489" s="822"/>
      <c r="AL489" s="822"/>
      <c r="AM489" s="822"/>
      <c r="AN489" s="822"/>
      <c r="AO489" s="822"/>
      <c r="AP489" s="822"/>
      <c r="AQ489" s="822"/>
      <c r="AR489" s="822"/>
      <c r="AS489" s="822"/>
      <c r="AT489" s="822"/>
      <c r="AU489" s="822"/>
      <c r="AV489" s="822"/>
      <c r="AW489" s="822"/>
      <c r="AX489" s="822"/>
      <c r="AY489" s="822"/>
      <c r="AZ489" s="822"/>
      <c r="BA489" s="822"/>
      <c r="BB489" s="822"/>
      <c r="BC489" s="822"/>
      <c r="BD489" s="822"/>
      <c r="BE489" s="822"/>
      <c r="BF489" s="822"/>
      <c r="BG489" s="822"/>
      <c r="BH489" s="822"/>
      <c r="BI489" s="822"/>
      <c r="BJ489" s="822"/>
      <c r="BK489" s="822"/>
      <c r="BL489" s="822"/>
      <c r="BM489" s="822"/>
      <c r="BN489" s="822"/>
      <c r="BO489" s="822"/>
      <c r="BP489" s="822"/>
      <c r="BQ489" s="822"/>
      <c r="BR489" s="822"/>
      <c r="BS489" s="822"/>
      <c r="BT489" s="822"/>
      <c r="BU489" s="822"/>
      <c r="BV489" s="822"/>
      <c r="BW489" s="2175"/>
      <c r="BX489" s="822"/>
      <c r="BY489" s="822"/>
      <c r="BZ489" s="822"/>
      <c r="CA489" s="822"/>
      <c r="CB489" s="822"/>
      <c r="CC489" s="822"/>
      <c r="CD489" s="822"/>
      <c r="CE489" s="822"/>
      <c r="CF489" s="822"/>
      <c r="CG489" s="822"/>
      <c r="CH489" s="822"/>
      <c r="CI489" s="822"/>
      <c r="CJ489" s="822"/>
      <c r="CK489" s="822"/>
      <c r="CL489" s="822"/>
      <c r="CM489" s="822"/>
      <c r="CN489" s="822"/>
      <c r="CO489" s="822"/>
      <c r="CP489" s="822"/>
      <c r="CQ489" s="822"/>
      <c r="CR489" s="822"/>
      <c r="CS489" s="822"/>
      <c r="CT489" s="822"/>
      <c r="CU489" s="822"/>
      <c r="CV489" s="822"/>
      <c r="CW489" s="822"/>
      <c r="CX489" s="822"/>
      <c r="CY489" s="822"/>
      <c r="CZ489" s="822"/>
      <c r="DA489" s="822"/>
      <c r="DB489" s="822"/>
      <c r="DC489" s="822"/>
      <c r="DD489" s="822"/>
      <c r="DE489" s="822"/>
      <c r="DF489" s="822"/>
      <c r="DG489" s="822"/>
      <c r="DH489" s="822"/>
      <c r="DI489" s="822"/>
      <c r="DJ489" s="822"/>
      <c r="DK489" s="822"/>
      <c r="DL489" s="822"/>
      <c r="DM489" s="822"/>
      <c r="DN489" s="822"/>
    </row>
    <row r="490" spans="2:118" ht="17.100000000000001" customHeight="1" x14ac:dyDescent="0.3">
      <c r="B490" s="2302"/>
      <c r="D490" s="2302"/>
      <c r="E490" s="2302"/>
      <c r="F490" s="2302"/>
      <c r="G490" s="2302"/>
      <c r="H490" s="2302"/>
      <c r="I490" s="2302"/>
      <c r="J490" s="2302"/>
      <c r="K490" s="2302"/>
      <c r="L490" s="2302"/>
      <c r="M490" s="2302"/>
      <c r="N490" s="2302"/>
      <c r="O490" s="2302"/>
      <c r="P490" s="2302"/>
      <c r="Q490" s="2302"/>
      <c r="R490" s="822"/>
      <c r="S490" s="822"/>
      <c r="T490" s="822"/>
      <c r="U490" s="822"/>
      <c r="V490" s="822"/>
      <c r="W490" s="822"/>
      <c r="X490" s="822"/>
      <c r="Y490" s="822"/>
      <c r="Z490" s="822"/>
      <c r="AA490" s="822"/>
      <c r="AB490" s="822"/>
      <c r="AC490" s="822"/>
      <c r="AD490" s="822"/>
      <c r="AE490" s="822"/>
      <c r="AF490" s="822"/>
      <c r="AG490" s="822"/>
      <c r="AH490" s="822"/>
      <c r="AI490" s="822"/>
      <c r="AJ490" s="822"/>
      <c r="AK490" s="822"/>
      <c r="AL490" s="822"/>
      <c r="AM490" s="822"/>
      <c r="AN490" s="822"/>
      <c r="AO490" s="822"/>
      <c r="AP490" s="822"/>
      <c r="AQ490" s="822"/>
      <c r="AR490" s="822"/>
      <c r="AS490" s="822"/>
      <c r="AT490" s="822"/>
      <c r="AU490" s="822"/>
      <c r="AV490" s="822"/>
      <c r="AW490" s="822"/>
      <c r="AX490" s="822"/>
      <c r="AY490" s="822"/>
      <c r="AZ490" s="822"/>
      <c r="BA490" s="822"/>
      <c r="BB490" s="822"/>
      <c r="BC490" s="822"/>
      <c r="BD490" s="822"/>
      <c r="BE490" s="822"/>
      <c r="BF490" s="822"/>
      <c r="BG490" s="822"/>
      <c r="BH490" s="822"/>
      <c r="BI490" s="822"/>
      <c r="BJ490" s="822"/>
      <c r="BK490" s="822"/>
      <c r="BL490" s="822"/>
      <c r="BM490" s="822"/>
      <c r="BN490" s="822"/>
      <c r="BO490" s="822"/>
      <c r="BP490" s="822"/>
      <c r="BQ490" s="822"/>
      <c r="BR490" s="822"/>
      <c r="BS490" s="822"/>
      <c r="BT490" s="822"/>
      <c r="BU490" s="822"/>
      <c r="BV490" s="822"/>
      <c r="BW490" s="2175"/>
      <c r="BX490" s="822"/>
      <c r="BY490" s="822"/>
      <c r="BZ490" s="822"/>
      <c r="CA490" s="822"/>
      <c r="CB490" s="822"/>
      <c r="CC490" s="822"/>
      <c r="CD490" s="822"/>
      <c r="CE490" s="822"/>
      <c r="CF490" s="822"/>
      <c r="CG490" s="822"/>
      <c r="CH490" s="822"/>
      <c r="CI490" s="822"/>
      <c r="CJ490" s="822"/>
      <c r="CK490" s="822"/>
      <c r="CL490" s="822"/>
      <c r="CM490" s="822"/>
      <c r="CN490" s="822"/>
      <c r="CO490" s="822"/>
      <c r="CP490" s="822"/>
      <c r="CQ490" s="822"/>
      <c r="CR490" s="822"/>
      <c r="CS490" s="822"/>
      <c r="CT490" s="822"/>
      <c r="CU490" s="822"/>
      <c r="CV490" s="822"/>
      <c r="CW490" s="822"/>
      <c r="CX490" s="822"/>
      <c r="CY490" s="822"/>
      <c r="CZ490" s="822"/>
      <c r="DA490" s="822"/>
      <c r="DB490" s="822"/>
      <c r="DC490" s="822"/>
      <c r="DD490" s="822"/>
      <c r="DE490" s="822"/>
      <c r="DF490" s="822"/>
      <c r="DG490" s="822"/>
      <c r="DH490" s="822"/>
      <c r="DI490" s="822"/>
      <c r="DJ490" s="822"/>
      <c r="DK490" s="822"/>
      <c r="DL490" s="822"/>
      <c r="DM490" s="822"/>
      <c r="DN490" s="822"/>
    </row>
    <row r="491" spans="2:118" ht="17.100000000000001" customHeight="1" x14ac:dyDescent="0.3">
      <c r="BI491" s="2300"/>
      <c r="BJ491" s="329"/>
      <c r="BK491" s="19"/>
      <c r="BL491" s="2300"/>
      <c r="BM491" s="325"/>
      <c r="BN491" s="2301"/>
      <c r="BO491" s="1601"/>
      <c r="BP491" s="329"/>
      <c r="BT491" s="1551"/>
      <c r="BU491" s="1551"/>
      <c r="BV491" s="1551"/>
      <c r="BW491" s="1551"/>
      <c r="DF491" s="19"/>
      <c r="DG491" s="2300"/>
      <c r="DH491" s="325"/>
      <c r="DI491" s="2301"/>
      <c r="DJ491" s="1601"/>
      <c r="DK491" s="329"/>
      <c r="DM491" s="1551"/>
      <c r="DN491" s="1551"/>
    </row>
    <row r="492" spans="2:118" ht="17.100000000000001" customHeight="1" x14ac:dyDescent="0.3">
      <c r="K492" s="1976"/>
      <c r="L492" s="1976"/>
      <c r="M492" s="38"/>
      <c r="N492" s="1976"/>
      <c r="O492" s="2303"/>
      <c r="P492" s="1976"/>
      <c r="W492" s="415"/>
      <c r="X492" s="378"/>
      <c r="Y492" s="35"/>
      <c r="Z492" s="415"/>
      <c r="AA492" s="225"/>
      <c r="AB492" s="2301"/>
      <c r="AC492" s="2304"/>
      <c r="AD492" s="378"/>
      <c r="AE492" s="19"/>
      <c r="AK492" s="378"/>
      <c r="AL492" s="35"/>
      <c r="AM492" s="225"/>
      <c r="AN492" s="2301"/>
      <c r="AO492" s="2304"/>
      <c r="AP492" s="378"/>
      <c r="AQ492" s="19"/>
      <c r="AW492" s="415"/>
      <c r="AX492" s="378"/>
      <c r="AY492" s="35"/>
      <c r="AZ492" s="415"/>
      <c r="BA492" s="225"/>
      <c r="BB492" s="2301"/>
      <c r="BC492" s="2304"/>
      <c r="BD492" s="378"/>
      <c r="BE492" s="19"/>
      <c r="BN492" s="415"/>
      <c r="BO492" s="378"/>
      <c r="BP492" s="35"/>
      <c r="BQ492" s="415"/>
      <c r="BR492" s="225"/>
      <c r="BS492" s="2301"/>
      <c r="BT492" s="2305"/>
      <c r="BU492" s="378"/>
      <c r="BV492" s="19"/>
    </row>
  </sheetData>
  <sheetProtection sheet="1" objects="1" scenarios="1"/>
  <mergeCells count="1746">
    <mergeCell ref="I61:S61"/>
    <mergeCell ref="V61:AF61"/>
    <mergeCell ref="AI61:AS61"/>
    <mergeCell ref="AV61:BF61"/>
    <mergeCell ref="BI61:BS61"/>
    <mergeCell ref="I57:S57"/>
    <mergeCell ref="V57:AF57"/>
    <mergeCell ref="AI57:AS57"/>
    <mergeCell ref="AV57:BF57"/>
    <mergeCell ref="BI57:BS57"/>
    <mergeCell ref="I58:S58"/>
    <mergeCell ref="V58:AF58"/>
    <mergeCell ref="AI58:AS58"/>
    <mergeCell ref="AV58:BF58"/>
    <mergeCell ref="BI58:BS58"/>
    <mergeCell ref="I59:S59"/>
    <mergeCell ref="V59:AF59"/>
    <mergeCell ref="AI59:AS59"/>
    <mergeCell ref="AV59:BF59"/>
    <mergeCell ref="BI59:BS59"/>
    <mergeCell ref="I60:S60"/>
    <mergeCell ref="V60:AF60"/>
    <mergeCell ref="AI60:AS60"/>
    <mergeCell ref="AV60:BF60"/>
    <mergeCell ref="BI60:BS60"/>
    <mergeCell ref="I53:S53"/>
    <mergeCell ref="V53:AF53"/>
    <mergeCell ref="AI53:AS53"/>
    <mergeCell ref="AV53:BF53"/>
    <mergeCell ref="BI53:BS53"/>
    <mergeCell ref="I54:S54"/>
    <mergeCell ref="V54:AF54"/>
    <mergeCell ref="AI54:AS54"/>
    <mergeCell ref="AV54:BF54"/>
    <mergeCell ref="BI54:BS54"/>
    <mergeCell ref="I55:S55"/>
    <mergeCell ref="V55:AF55"/>
    <mergeCell ref="AI55:AS55"/>
    <mergeCell ref="AV55:BF55"/>
    <mergeCell ref="BI55:BS55"/>
    <mergeCell ref="I56:S56"/>
    <mergeCell ref="V56:AF56"/>
    <mergeCell ref="AI56:AS56"/>
    <mergeCell ref="AV56:BF56"/>
    <mergeCell ref="BI56:BS56"/>
    <mergeCell ref="I49:S49"/>
    <mergeCell ref="V49:AF49"/>
    <mergeCell ref="AI49:AS49"/>
    <mergeCell ref="AV49:BF49"/>
    <mergeCell ref="BI49:BS49"/>
    <mergeCell ref="I50:S50"/>
    <mergeCell ref="V50:AF50"/>
    <mergeCell ref="AI50:AS50"/>
    <mergeCell ref="AV50:BF50"/>
    <mergeCell ref="BI50:BS50"/>
    <mergeCell ref="I51:S51"/>
    <mergeCell ref="V51:AF51"/>
    <mergeCell ref="AI51:AS51"/>
    <mergeCell ref="AV51:BF51"/>
    <mergeCell ref="BI51:BS51"/>
    <mergeCell ref="I52:S52"/>
    <mergeCell ref="V52:AF52"/>
    <mergeCell ref="AI52:AS52"/>
    <mergeCell ref="AV52:BF52"/>
    <mergeCell ref="BI52:BS52"/>
    <mergeCell ref="I44:S44"/>
    <mergeCell ref="V44:AF44"/>
    <mergeCell ref="AI44:AS44"/>
    <mergeCell ref="AV44:BF44"/>
    <mergeCell ref="BI44:BS44"/>
    <mergeCell ref="I46:S46"/>
    <mergeCell ref="V46:AF46"/>
    <mergeCell ref="AI46:AS46"/>
    <mergeCell ref="AV46:BF46"/>
    <mergeCell ref="BI46:BS46"/>
    <mergeCell ref="I47:S47"/>
    <mergeCell ref="V47:AF47"/>
    <mergeCell ref="AI47:AS47"/>
    <mergeCell ref="AV47:BF47"/>
    <mergeCell ref="BI47:BS47"/>
    <mergeCell ref="I48:S48"/>
    <mergeCell ref="V48:AF48"/>
    <mergeCell ref="AI48:AS48"/>
    <mergeCell ref="AV48:BF48"/>
    <mergeCell ref="BI48:BS48"/>
    <mergeCell ref="AR91:AT92"/>
    <mergeCell ref="AU91:AV92"/>
    <mergeCell ref="AW91:AY92"/>
    <mergeCell ref="BB91:BD92"/>
    <mergeCell ref="BE91:BF92"/>
    <mergeCell ref="BG91:BI92"/>
    <mergeCell ref="BL91:BN92"/>
    <mergeCell ref="BO91:BP92"/>
    <mergeCell ref="BQ91:BS92"/>
    <mergeCell ref="AR93:AR96"/>
    <mergeCell ref="AS93:AX95"/>
    <mergeCell ref="AY93:AY96"/>
    <mergeCell ref="BB93:BB96"/>
    <mergeCell ref="BC93:BH95"/>
    <mergeCell ref="BI93:BI96"/>
    <mergeCell ref="BL93:BL96"/>
    <mergeCell ref="BM93:BR95"/>
    <mergeCell ref="BS93:BS96"/>
    <mergeCell ref="AS96:AX96"/>
    <mergeCell ref="BC96:BH96"/>
    <mergeCell ref="BM96:BR96"/>
    <mergeCell ref="AR83:AT84"/>
    <mergeCell ref="AU83:AV84"/>
    <mergeCell ref="AW83:AY84"/>
    <mergeCell ref="BB83:BD84"/>
    <mergeCell ref="BE83:BF84"/>
    <mergeCell ref="BG83:BI84"/>
    <mergeCell ref="BL83:BN84"/>
    <mergeCell ref="BO83:BP84"/>
    <mergeCell ref="BQ83:BS84"/>
    <mergeCell ref="AR85:AR88"/>
    <mergeCell ref="AS85:AX87"/>
    <mergeCell ref="AY85:AY88"/>
    <mergeCell ref="BB85:BB88"/>
    <mergeCell ref="BC85:BH87"/>
    <mergeCell ref="BI85:BI88"/>
    <mergeCell ref="BL85:BL88"/>
    <mergeCell ref="BM85:BR87"/>
    <mergeCell ref="BS85:BS88"/>
    <mergeCell ref="AS88:AX88"/>
    <mergeCell ref="BC88:BH88"/>
    <mergeCell ref="BM88:BR88"/>
    <mergeCell ref="AW75:AY76"/>
    <mergeCell ref="BB75:BD76"/>
    <mergeCell ref="BE75:BF76"/>
    <mergeCell ref="BG75:BI76"/>
    <mergeCell ref="BL75:BN76"/>
    <mergeCell ref="BO75:BP76"/>
    <mergeCell ref="BQ75:BS76"/>
    <mergeCell ref="AR77:AR80"/>
    <mergeCell ref="AS77:AX79"/>
    <mergeCell ref="AY77:AY80"/>
    <mergeCell ref="BB77:BB80"/>
    <mergeCell ref="BC77:BH79"/>
    <mergeCell ref="BI77:BI80"/>
    <mergeCell ref="BL77:BL80"/>
    <mergeCell ref="BM77:BR79"/>
    <mergeCell ref="BS77:BS80"/>
    <mergeCell ref="AS80:AX80"/>
    <mergeCell ref="BC80:BH80"/>
    <mergeCell ref="BM80:BR80"/>
    <mergeCell ref="I91:K92"/>
    <mergeCell ref="L91:M92"/>
    <mergeCell ref="N91:P92"/>
    <mergeCell ref="S91:U92"/>
    <mergeCell ref="V91:W92"/>
    <mergeCell ref="X91:Z92"/>
    <mergeCell ref="AC91:AE92"/>
    <mergeCell ref="AF91:AG92"/>
    <mergeCell ref="AH91:AJ92"/>
    <mergeCell ref="I93:I96"/>
    <mergeCell ref="J93:O95"/>
    <mergeCell ref="P93:P96"/>
    <mergeCell ref="S93:S96"/>
    <mergeCell ref="T93:Y95"/>
    <mergeCell ref="Z93:Z96"/>
    <mergeCell ref="AC93:AC96"/>
    <mergeCell ref="AD93:AI95"/>
    <mergeCell ref="AJ93:AJ96"/>
    <mergeCell ref="J96:O96"/>
    <mergeCell ref="T96:Y96"/>
    <mergeCell ref="AD96:AI96"/>
    <mergeCell ref="I83:K84"/>
    <mergeCell ref="L83:M84"/>
    <mergeCell ref="N83:P84"/>
    <mergeCell ref="S83:U84"/>
    <mergeCell ref="V83:W84"/>
    <mergeCell ref="X83:Z84"/>
    <mergeCell ref="AC83:AE84"/>
    <mergeCell ref="AF83:AG84"/>
    <mergeCell ref="AH83:AJ84"/>
    <mergeCell ref="I85:I88"/>
    <mergeCell ref="J85:O87"/>
    <mergeCell ref="P85:P88"/>
    <mergeCell ref="S85:S88"/>
    <mergeCell ref="T85:Y87"/>
    <mergeCell ref="Z85:Z88"/>
    <mergeCell ref="AC85:AC88"/>
    <mergeCell ref="AD85:AI87"/>
    <mergeCell ref="AJ85:AJ88"/>
    <mergeCell ref="J88:O88"/>
    <mergeCell ref="T88:Y88"/>
    <mergeCell ref="AD88:AI88"/>
    <mergeCell ref="I75:K76"/>
    <mergeCell ref="L75:M76"/>
    <mergeCell ref="N75:P76"/>
    <mergeCell ref="S75:U76"/>
    <mergeCell ref="V75:W76"/>
    <mergeCell ref="X75:Z76"/>
    <mergeCell ref="AC75:AE76"/>
    <mergeCell ref="AF75:AG76"/>
    <mergeCell ref="AH75:AJ76"/>
    <mergeCell ref="I77:I80"/>
    <mergeCell ref="J77:O79"/>
    <mergeCell ref="P77:P80"/>
    <mergeCell ref="S77:S80"/>
    <mergeCell ref="T77:Y79"/>
    <mergeCell ref="Z77:Z80"/>
    <mergeCell ref="AC77:AC80"/>
    <mergeCell ref="AD77:AI79"/>
    <mergeCell ref="AJ77:AJ80"/>
    <mergeCell ref="J80:O80"/>
    <mergeCell ref="T80:Y80"/>
    <mergeCell ref="AD80:AI80"/>
    <mergeCell ref="BL25:BN26"/>
    <mergeCell ref="BO25:BP26"/>
    <mergeCell ref="BQ25:BS26"/>
    <mergeCell ref="AW25:AY26"/>
    <mergeCell ref="AM109:AO110"/>
    <mergeCell ref="AM112:AO114"/>
    <mergeCell ref="AM137:AO137"/>
    <mergeCell ref="AM257:AO258"/>
    <mergeCell ref="AM75:AO77"/>
    <mergeCell ref="AM442:AO443"/>
    <mergeCell ref="AM368:AO369"/>
    <mergeCell ref="AM405:AO406"/>
    <mergeCell ref="AM371:AO373"/>
    <mergeCell ref="AM394:AO394"/>
    <mergeCell ref="AM396:AO396"/>
    <mergeCell ref="AM408:AO410"/>
    <mergeCell ref="AM431:AO431"/>
    <mergeCell ref="AM433:AO433"/>
    <mergeCell ref="AM172:AO172"/>
    <mergeCell ref="AM174:AO174"/>
    <mergeCell ref="AM186:AO188"/>
    <mergeCell ref="AM209:AO209"/>
    <mergeCell ref="AM211:AO211"/>
    <mergeCell ref="AM285:AO285"/>
    <mergeCell ref="AM297:AO299"/>
    <mergeCell ref="AM320:AO320"/>
    <mergeCell ref="AM322:AO322"/>
    <mergeCell ref="AM334:AO336"/>
    <mergeCell ref="AK72:AQ73"/>
    <mergeCell ref="AK98:AQ99"/>
    <mergeCell ref="AR75:AT76"/>
    <mergeCell ref="AU75:AV76"/>
    <mergeCell ref="S19:S22"/>
    <mergeCell ref="T19:Y21"/>
    <mergeCell ref="Z19:Z22"/>
    <mergeCell ref="J22:O22"/>
    <mergeCell ref="T22:Y22"/>
    <mergeCell ref="I27:I30"/>
    <mergeCell ref="J27:O29"/>
    <mergeCell ref="P27:P30"/>
    <mergeCell ref="S27:S30"/>
    <mergeCell ref="T27:Y29"/>
    <mergeCell ref="Z27:Z30"/>
    <mergeCell ref="J30:O30"/>
    <mergeCell ref="T30:Y30"/>
    <mergeCell ref="I25:K26"/>
    <mergeCell ref="L25:M26"/>
    <mergeCell ref="N25:P26"/>
    <mergeCell ref="S25:U26"/>
    <mergeCell ref="V25:W26"/>
    <mergeCell ref="X25:Z26"/>
    <mergeCell ref="AS14:AX14"/>
    <mergeCell ref="BC14:BH14"/>
    <mergeCell ref="AR11:AR14"/>
    <mergeCell ref="AS11:AX13"/>
    <mergeCell ref="AY11:AY14"/>
    <mergeCell ref="BB11:BB14"/>
    <mergeCell ref="I17:K18"/>
    <mergeCell ref="L17:M18"/>
    <mergeCell ref="N17:P18"/>
    <mergeCell ref="S17:U18"/>
    <mergeCell ref="V17:W18"/>
    <mergeCell ref="X17:Z18"/>
    <mergeCell ref="BB19:BB22"/>
    <mergeCell ref="BC19:BH21"/>
    <mergeCell ref="BE17:BF18"/>
    <mergeCell ref="BG17:BI18"/>
    <mergeCell ref="AC17:AE18"/>
    <mergeCell ref="AF17:AG18"/>
    <mergeCell ref="AH17:AJ18"/>
    <mergeCell ref="AR17:AT18"/>
    <mergeCell ref="AU17:AV18"/>
    <mergeCell ref="AC19:AC22"/>
    <mergeCell ref="AD19:AI21"/>
    <mergeCell ref="AJ19:AJ22"/>
    <mergeCell ref="AR19:AR22"/>
    <mergeCell ref="AS19:AX21"/>
    <mergeCell ref="AY19:AY22"/>
    <mergeCell ref="AD22:AI22"/>
    <mergeCell ref="AS22:AX22"/>
    <mergeCell ref="I19:I22"/>
    <mergeCell ref="J19:O21"/>
    <mergeCell ref="P19:P22"/>
    <mergeCell ref="AF9:AG10"/>
    <mergeCell ref="AH9:AJ10"/>
    <mergeCell ref="AR9:AT10"/>
    <mergeCell ref="AU9:AV10"/>
    <mergeCell ref="AW9:AY10"/>
    <mergeCell ref="AC11:AC14"/>
    <mergeCell ref="AD11:AI13"/>
    <mergeCell ref="AJ11:AJ14"/>
    <mergeCell ref="BL11:BL14"/>
    <mergeCell ref="BM11:BR13"/>
    <mergeCell ref="BS11:BS14"/>
    <mergeCell ref="BM14:BR14"/>
    <mergeCell ref="BC11:BH13"/>
    <mergeCell ref="BI11:BI14"/>
    <mergeCell ref="I11:I14"/>
    <mergeCell ref="J11:O13"/>
    <mergeCell ref="P11:P14"/>
    <mergeCell ref="S11:S14"/>
    <mergeCell ref="T11:Y13"/>
    <mergeCell ref="Z11:Z14"/>
    <mergeCell ref="BB9:BD10"/>
    <mergeCell ref="BE9:BF10"/>
    <mergeCell ref="BG9:BI10"/>
    <mergeCell ref="I9:K10"/>
    <mergeCell ref="L9:M10"/>
    <mergeCell ref="N9:P10"/>
    <mergeCell ref="S9:U10"/>
    <mergeCell ref="V9:W10"/>
    <mergeCell ref="X9:Z10"/>
    <mergeCell ref="J14:O14"/>
    <mergeCell ref="T14:Y14"/>
    <mergeCell ref="AD14:AI14"/>
    <mergeCell ref="AS30:AX30"/>
    <mergeCell ref="BO17:BP18"/>
    <mergeCell ref="AC4:AY5"/>
    <mergeCell ref="AM223:AO225"/>
    <mergeCell ref="AM246:AO246"/>
    <mergeCell ref="AM248:AO248"/>
    <mergeCell ref="AM260:AO262"/>
    <mergeCell ref="AM283:AO283"/>
    <mergeCell ref="CC12:CD12"/>
    <mergeCell ref="CC13:CD13"/>
    <mergeCell ref="CC14:CD14"/>
    <mergeCell ref="CC15:CD15"/>
    <mergeCell ref="CC16:CD16"/>
    <mergeCell ref="CC17:CD17"/>
    <mergeCell ref="CC18:CD18"/>
    <mergeCell ref="CC19:CD19"/>
    <mergeCell ref="AM149:AO151"/>
    <mergeCell ref="AM135:AO135"/>
    <mergeCell ref="AM146:AO147"/>
    <mergeCell ref="AM183:AO184"/>
    <mergeCell ref="AM220:AO221"/>
    <mergeCell ref="AM33:AO33"/>
    <mergeCell ref="BQ17:BS18"/>
    <mergeCell ref="AW17:AY18"/>
    <mergeCell ref="BB17:BD18"/>
    <mergeCell ref="BL17:BN18"/>
    <mergeCell ref="AM6:AO7"/>
    <mergeCell ref="AM9:AO11"/>
    <mergeCell ref="BL9:BN10"/>
    <mergeCell ref="BO9:BP10"/>
    <mergeCell ref="BQ9:BS10"/>
    <mergeCell ref="AC9:AE10"/>
    <mergeCell ref="EM167:ER169"/>
    <mergeCell ref="AC34:AY35"/>
    <mergeCell ref="CC20:CD20"/>
    <mergeCell ref="BB25:BD26"/>
    <mergeCell ref="BB27:BB30"/>
    <mergeCell ref="BC27:BH29"/>
    <mergeCell ref="BE25:BF26"/>
    <mergeCell ref="BG25:BI26"/>
    <mergeCell ref="BI19:BI22"/>
    <mergeCell ref="BL19:BL22"/>
    <mergeCell ref="BM19:BR21"/>
    <mergeCell ref="BS19:BS22"/>
    <mergeCell ref="BC22:BH22"/>
    <mergeCell ref="BM22:BR22"/>
    <mergeCell ref="AC25:AE26"/>
    <mergeCell ref="AF25:AG26"/>
    <mergeCell ref="AH25:AJ26"/>
    <mergeCell ref="AR25:AT26"/>
    <mergeCell ref="AU25:AV26"/>
    <mergeCell ref="BI27:BI30"/>
    <mergeCell ref="BL27:BL30"/>
    <mergeCell ref="BM27:BR29"/>
    <mergeCell ref="BS27:BS30"/>
    <mergeCell ref="BC30:BH30"/>
    <mergeCell ref="BM30:BR30"/>
    <mergeCell ref="AC27:AC30"/>
    <mergeCell ref="AD27:AI29"/>
    <mergeCell ref="AJ27:AJ30"/>
    <mergeCell ref="AR27:AR30"/>
    <mergeCell ref="AS27:AX29"/>
    <mergeCell ref="AY27:AY30"/>
    <mergeCell ref="AD30:AI30"/>
    <mergeCell ref="CJ196:CO198"/>
    <mergeCell ref="CJ167:CO169"/>
    <mergeCell ref="CJ151:CO153"/>
    <mergeCell ref="CJ159:CO161"/>
    <mergeCell ref="EC11:EH13"/>
    <mergeCell ref="EM11:ER13"/>
    <mergeCell ref="CT19:CY21"/>
    <mergeCell ref="DD19:DI21"/>
    <mergeCell ref="DS19:DX21"/>
    <mergeCell ref="EC19:EH21"/>
    <mergeCell ref="EM19:ER21"/>
    <mergeCell ref="CT27:CY29"/>
    <mergeCell ref="DD27:DI29"/>
    <mergeCell ref="DS27:DX29"/>
    <mergeCell ref="EC27:EH29"/>
    <mergeCell ref="EM27:ER29"/>
    <mergeCell ref="CJ122:CO124"/>
    <mergeCell ref="CJ130:CO132"/>
    <mergeCell ref="CT114:CY116"/>
    <mergeCell ref="DD114:DI116"/>
    <mergeCell ref="DS114:DX116"/>
    <mergeCell ref="CJ27:CO29"/>
    <mergeCell ref="CJ114:CO116"/>
    <mergeCell ref="CJ11:CO13"/>
    <mergeCell ref="CJ19:CO21"/>
    <mergeCell ref="CT11:CY13"/>
    <mergeCell ref="DD11:DI13"/>
    <mergeCell ref="DS11:DX13"/>
    <mergeCell ref="CT167:CY169"/>
    <mergeCell ref="DD167:DI169"/>
    <mergeCell ref="DS167:DX169"/>
    <mergeCell ref="EC167:EH169"/>
    <mergeCell ref="EC188:EH190"/>
    <mergeCell ref="EM188:ER190"/>
    <mergeCell ref="CT196:CY198"/>
    <mergeCell ref="DD196:DI198"/>
    <mergeCell ref="DS196:DX198"/>
    <mergeCell ref="EC196:EH198"/>
    <mergeCell ref="EM196:ER198"/>
    <mergeCell ref="CT204:CY206"/>
    <mergeCell ref="DD204:DI206"/>
    <mergeCell ref="DS204:DX206"/>
    <mergeCell ref="EC204:EH206"/>
    <mergeCell ref="EM204:ER206"/>
    <mergeCell ref="CT188:CY190"/>
    <mergeCell ref="DD188:DI190"/>
    <mergeCell ref="DS188:DX190"/>
    <mergeCell ref="CJ352:CO354"/>
    <mergeCell ref="CJ373:CO375"/>
    <mergeCell ref="DD373:DI375"/>
    <mergeCell ref="DS373:DX375"/>
    <mergeCell ref="CJ336:CO338"/>
    <mergeCell ref="CJ344:CO346"/>
    <mergeCell ref="CJ307:CO309"/>
    <mergeCell ref="CJ315:CO317"/>
    <mergeCell ref="CJ278:CO280"/>
    <mergeCell ref="CJ299:CO301"/>
    <mergeCell ref="CJ262:CO264"/>
    <mergeCell ref="CJ270:CO272"/>
    <mergeCell ref="CJ233:CO235"/>
    <mergeCell ref="CJ241:CO243"/>
    <mergeCell ref="CJ204:CO206"/>
    <mergeCell ref="CJ225:CO227"/>
    <mergeCell ref="CJ188:CO190"/>
    <mergeCell ref="EC114:EH116"/>
    <mergeCell ref="EM114:ER116"/>
    <mergeCell ref="CT122:CY124"/>
    <mergeCell ref="DD122:DI124"/>
    <mergeCell ref="DS122:DX124"/>
    <mergeCell ref="EC122:EH124"/>
    <mergeCell ref="EM122:ER124"/>
    <mergeCell ref="CT130:CY132"/>
    <mergeCell ref="DD130:DI132"/>
    <mergeCell ref="DS130:DX132"/>
    <mergeCell ref="EC130:EH132"/>
    <mergeCell ref="EM130:ER132"/>
    <mergeCell ref="EC151:EH153"/>
    <mergeCell ref="EM151:ER153"/>
    <mergeCell ref="CT159:CY161"/>
    <mergeCell ref="DD159:DI161"/>
    <mergeCell ref="DS159:DX161"/>
    <mergeCell ref="EC159:EH161"/>
    <mergeCell ref="EM159:ER161"/>
    <mergeCell ref="CT151:CY153"/>
    <mergeCell ref="DD151:DI153"/>
    <mergeCell ref="DS151:DX153"/>
    <mergeCell ref="EC262:EH264"/>
    <mergeCell ref="EM262:ER264"/>
    <mergeCell ref="CT270:CY272"/>
    <mergeCell ref="DD270:DI272"/>
    <mergeCell ref="DS270:DX272"/>
    <mergeCell ref="EC270:EH272"/>
    <mergeCell ref="EM270:ER272"/>
    <mergeCell ref="CT278:CY280"/>
    <mergeCell ref="DD278:DI280"/>
    <mergeCell ref="DS278:DX280"/>
    <mergeCell ref="EC278:EH280"/>
    <mergeCell ref="EM278:ER280"/>
    <mergeCell ref="CT262:CY264"/>
    <mergeCell ref="DD262:DI264"/>
    <mergeCell ref="DS262:DX264"/>
    <mergeCell ref="EC225:EH227"/>
    <mergeCell ref="EM225:ER227"/>
    <mergeCell ref="CT233:CY235"/>
    <mergeCell ref="DD233:DI235"/>
    <mergeCell ref="DS233:DX235"/>
    <mergeCell ref="EC233:EH235"/>
    <mergeCell ref="EM233:ER235"/>
    <mergeCell ref="CT241:CY243"/>
    <mergeCell ref="DD241:DI243"/>
    <mergeCell ref="DS241:DX243"/>
    <mergeCell ref="EC241:EH243"/>
    <mergeCell ref="EM241:ER243"/>
    <mergeCell ref="CT225:CY227"/>
    <mergeCell ref="DD225:DI227"/>
    <mergeCell ref="DS225:DX227"/>
    <mergeCell ref="EC336:EH338"/>
    <mergeCell ref="EM336:ER338"/>
    <mergeCell ref="CT344:CY346"/>
    <mergeCell ref="DD344:DI346"/>
    <mergeCell ref="DS344:DX346"/>
    <mergeCell ref="EC344:EH346"/>
    <mergeCell ref="EM344:ER346"/>
    <mergeCell ref="CT352:CY354"/>
    <mergeCell ref="DD352:DI354"/>
    <mergeCell ref="DS352:DX354"/>
    <mergeCell ref="EC352:EH354"/>
    <mergeCell ref="EM352:ER354"/>
    <mergeCell ref="CT336:CY338"/>
    <mergeCell ref="DD336:DI338"/>
    <mergeCell ref="DS336:DX338"/>
    <mergeCell ref="EC299:EH301"/>
    <mergeCell ref="EM299:ER301"/>
    <mergeCell ref="CT307:CY309"/>
    <mergeCell ref="DD307:DI309"/>
    <mergeCell ref="DS307:DX309"/>
    <mergeCell ref="EC307:EH309"/>
    <mergeCell ref="EM307:ER309"/>
    <mergeCell ref="CT315:CY317"/>
    <mergeCell ref="DD315:DI317"/>
    <mergeCell ref="DS315:DX317"/>
    <mergeCell ref="EC315:EH317"/>
    <mergeCell ref="EM315:ER317"/>
    <mergeCell ref="CT299:CY301"/>
    <mergeCell ref="DD299:DI301"/>
    <mergeCell ref="DS299:DX301"/>
    <mergeCell ref="AM445:AO446"/>
    <mergeCell ref="AM448:AO449"/>
    <mergeCell ref="AM451:AO452"/>
    <mergeCell ref="AM454:AO455"/>
    <mergeCell ref="AM457:AO458"/>
    <mergeCell ref="EC373:EH375"/>
    <mergeCell ref="EM373:ER375"/>
    <mergeCell ref="CT381:CY383"/>
    <mergeCell ref="DD381:DI383"/>
    <mergeCell ref="DS381:DX383"/>
    <mergeCell ref="EC381:EH383"/>
    <mergeCell ref="EM381:ER383"/>
    <mergeCell ref="CT389:CY391"/>
    <mergeCell ref="DD389:DI391"/>
    <mergeCell ref="DS389:DX391"/>
    <mergeCell ref="EC389:EH391"/>
    <mergeCell ref="EM389:ER391"/>
    <mergeCell ref="CT373:CY375"/>
    <mergeCell ref="CJ381:CO383"/>
    <mergeCell ref="CJ389:CO391"/>
    <mergeCell ref="AQ443:AS445"/>
    <mergeCell ref="AQ447:AS449"/>
    <mergeCell ref="AQ451:AS453"/>
    <mergeCell ref="AW379:AY380"/>
    <mergeCell ref="BB373:BB376"/>
    <mergeCell ref="BC373:BH375"/>
    <mergeCell ref="BI373:BI376"/>
    <mergeCell ref="BL373:BL376"/>
    <mergeCell ref="BM373:BR375"/>
    <mergeCell ref="BS373:BS376"/>
    <mergeCell ref="AR424:AT425"/>
    <mergeCell ref="AU424:AV425"/>
    <mergeCell ref="W455:Y457"/>
    <mergeCell ref="AI443:AK445"/>
    <mergeCell ref="AI467:AK469"/>
    <mergeCell ref="AI455:AK457"/>
    <mergeCell ref="AI451:AK453"/>
    <mergeCell ref="AI447:AK449"/>
    <mergeCell ref="AI459:AK461"/>
    <mergeCell ref="AM466:AO467"/>
    <mergeCell ref="AM469:AO470"/>
    <mergeCell ref="AI463:AK465"/>
    <mergeCell ref="AQ455:AS457"/>
    <mergeCell ref="AQ459:AS461"/>
    <mergeCell ref="AQ463:AS465"/>
    <mergeCell ref="AQ467:AS469"/>
    <mergeCell ref="EC410:EH412"/>
    <mergeCell ref="EM410:ER412"/>
    <mergeCell ref="CT418:CY420"/>
    <mergeCell ref="DD418:DI420"/>
    <mergeCell ref="DS418:DX420"/>
    <mergeCell ref="EC418:EH420"/>
    <mergeCell ref="EM418:ER420"/>
    <mergeCell ref="CT426:CY428"/>
    <mergeCell ref="DD426:DI428"/>
    <mergeCell ref="DS426:DX428"/>
    <mergeCell ref="EC426:EH428"/>
    <mergeCell ref="EM426:ER428"/>
    <mergeCell ref="CJ426:CO428"/>
    <mergeCell ref="CJ410:CO412"/>
    <mergeCell ref="CJ418:CO420"/>
    <mergeCell ref="CT410:CY412"/>
    <mergeCell ref="DD410:DI412"/>
    <mergeCell ref="DS410:DX412"/>
    <mergeCell ref="AU459:AW461"/>
    <mergeCell ref="AU463:AW465"/>
    <mergeCell ref="AY451:BA453"/>
    <mergeCell ref="AY455:BA457"/>
    <mergeCell ref="AY459:BA461"/>
    <mergeCell ref="BC455:BE457"/>
    <mergeCell ref="AE447:AG449"/>
    <mergeCell ref="AE451:AG453"/>
    <mergeCell ref="AE455:AG457"/>
    <mergeCell ref="AE459:AG461"/>
    <mergeCell ref="AE463:AG465"/>
    <mergeCell ref="AM460:AO461"/>
    <mergeCell ref="AM463:AO464"/>
    <mergeCell ref="AU447:AW449"/>
    <mergeCell ref="AU451:AW453"/>
    <mergeCell ref="AU455:AW457"/>
    <mergeCell ref="AA451:AC453"/>
    <mergeCell ref="AA455:AC457"/>
    <mergeCell ref="AA459:AC461"/>
    <mergeCell ref="I114:I117"/>
    <mergeCell ref="J114:O116"/>
    <mergeCell ref="P114:P117"/>
    <mergeCell ref="S114:S117"/>
    <mergeCell ref="T114:Y116"/>
    <mergeCell ref="Z114:Z117"/>
    <mergeCell ref="AC114:AC117"/>
    <mergeCell ref="AD114:AI116"/>
    <mergeCell ref="AJ114:AJ117"/>
    <mergeCell ref="J117:O117"/>
    <mergeCell ref="T117:Y117"/>
    <mergeCell ref="AD117:AI117"/>
    <mergeCell ref="I112:K113"/>
    <mergeCell ref="L112:M113"/>
    <mergeCell ref="N112:P113"/>
    <mergeCell ref="S112:U113"/>
    <mergeCell ref="V112:W113"/>
    <mergeCell ref="X112:Z113"/>
    <mergeCell ref="AC112:AE113"/>
    <mergeCell ref="AF112:AG113"/>
    <mergeCell ref="AH112:AJ113"/>
    <mergeCell ref="I122:I125"/>
    <mergeCell ref="J122:O124"/>
    <mergeCell ref="P122:P125"/>
    <mergeCell ref="S122:S125"/>
    <mergeCell ref="T122:Y124"/>
    <mergeCell ref="Z122:Z125"/>
    <mergeCell ref="AC122:AC125"/>
    <mergeCell ref="AD122:AI124"/>
    <mergeCell ref="AJ122:AJ125"/>
    <mergeCell ref="J125:O125"/>
    <mergeCell ref="T125:Y125"/>
    <mergeCell ref="AD125:AI125"/>
    <mergeCell ref="I120:K121"/>
    <mergeCell ref="L120:M121"/>
    <mergeCell ref="N120:P121"/>
    <mergeCell ref="S120:U121"/>
    <mergeCell ref="V120:W121"/>
    <mergeCell ref="X120:Z121"/>
    <mergeCell ref="AC120:AE121"/>
    <mergeCell ref="AF120:AG121"/>
    <mergeCell ref="AH120:AJ121"/>
    <mergeCell ref="I130:I133"/>
    <mergeCell ref="J130:O132"/>
    <mergeCell ref="P130:P133"/>
    <mergeCell ref="S130:S133"/>
    <mergeCell ref="T130:Y132"/>
    <mergeCell ref="Z130:Z133"/>
    <mergeCell ref="AC130:AC133"/>
    <mergeCell ref="AD130:AI132"/>
    <mergeCell ref="AJ130:AJ133"/>
    <mergeCell ref="J133:O133"/>
    <mergeCell ref="T133:Y133"/>
    <mergeCell ref="AD133:AI133"/>
    <mergeCell ref="I128:K129"/>
    <mergeCell ref="L128:M129"/>
    <mergeCell ref="N128:P129"/>
    <mergeCell ref="S128:U129"/>
    <mergeCell ref="V128:W129"/>
    <mergeCell ref="X128:Z129"/>
    <mergeCell ref="AC128:AE129"/>
    <mergeCell ref="AF128:AG129"/>
    <mergeCell ref="AH128:AJ129"/>
    <mergeCell ref="AR114:AR117"/>
    <mergeCell ref="AS114:AX116"/>
    <mergeCell ref="AY114:AY117"/>
    <mergeCell ref="BB114:BB117"/>
    <mergeCell ref="BC114:BH116"/>
    <mergeCell ref="BI114:BI117"/>
    <mergeCell ref="BL114:BL117"/>
    <mergeCell ref="BM114:BR116"/>
    <mergeCell ref="BS114:BS117"/>
    <mergeCell ref="AS117:AX117"/>
    <mergeCell ref="BC117:BH117"/>
    <mergeCell ref="BM117:BR117"/>
    <mergeCell ref="AR112:AT113"/>
    <mergeCell ref="AU112:AV113"/>
    <mergeCell ref="AW112:AY113"/>
    <mergeCell ref="BB112:BD113"/>
    <mergeCell ref="BE112:BF113"/>
    <mergeCell ref="BG112:BI113"/>
    <mergeCell ref="BL112:BN113"/>
    <mergeCell ref="BO112:BP113"/>
    <mergeCell ref="BQ112:BS113"/>
    <mergeCell ref="AR122:AR125"/>
    <mergeCell ref="AS122:AX124"/>
    <mergeCell ref="AY122:AY125"/>
    <mergeCell ref="BB122:BB125"/>
    <mergeCell ref="BC122:BH124"/>
    <mergeCell ref="BI122:BI125"/>
    <mergeCell ref="BL122:BL125"/>
    <mergeCell ref="BM122:BR124"/>
    <mergeCell ref="BS122:BS125"/>
    <mergeCell ref="AS125:AX125"/>
    <mergeCell ref="BC125:BH125"/>
    <mergeCell ref="BM125:BR125"/>
    <mergeCell ref="AR120:AT121"/>
    <mergeCell ref="AU120:AV121"/>
    <mergeCell ref="AW120:AY121"/>
    <mergeCell ref="BB120:BD121"/>
    <mergeCell ref="BE120:BF121"/>
    <mergeCell ref="BG120:BI121"/>
    <mergeCell ref="BL120:BN121"/>
    <mergeCell ref="BO120:BP121"/>
    <mergeCell ref="BQ120:BS121"/>
    <mergeCell ref="AR130:AR133"/>
    <mergeCell ref="AS130:AX132"/>
    <mergeCell ref="AY130:AY133"/>
    <mergeCell ref="BB130:BB133"/>
    <mergeCell ref="BC130:BH132"/>
    <mergeCell ref="BI130:BI133"/>
    <mergeCell ref="BL130:BL133"/>
    <mergeCell ref="BM130:BR132"/>
    <mergeCell ref="BS130:BS133"/>
    <mergeCell ref="AS133:AX133"/>
    <mergeCell ref="BC133:BH133"/>
    <mergeCell ref="BM133:BR133"/>
    <mergeCell ref="AR128:AT129"/>
    <mergeCell ref="AU128:AV129"/>
    <mergeCell ref="AW128:AY129"/>
    <mergeCell ref="BB128:BD129"/>
    <mergeCell ref="BE128:BF129"/>
    <mergeCell ref="BG128:BI129"/>
    <mergeCell ref="BL128:BN129"/>
    <mergeCell ref="BO128:BP129"/>
    <mergeCell ref="BQ128:BS129"/>
    <mergeCell ref="I151:I154"/>
    <mergeCell ref="J151:O153"/>
    <mergeCell ref="P151:P154"/>
    <mergeCell ref="S151:S154"/>
    <mergeCell ref="T151:Y153"/>
    <mergeCell ref="Z151:Z154"/>
    <mergeCell ref="AC151:AC154"/>
    <mergeCell ref="AD151:AI153"/>
    <mergeCell ref="AJ151:AJ154"/>
    <mergeCell ref="J154:O154"/>
    <mergeCell ref="T154:Y154"/>
    <mergeCell ref="AD154:AI154"/>
    <mergeCell ref="I149:K150"/>
    <mergeCell ref="L149:M150"/>
    <mergeCell ref="N149:P150"/>
    <mergeCell ref="S149:U150"/>
    <mergeCell ref="V149:W150"/>
    <mergeCell ref="X149:Z150"/>
    <mergeCell ref="AC149:AE150"/>
    <mergeCell ref="AF149:AG150"/>
    <mergeCell ref="AH149:AJ150"/>
    <mergeCell ref="I159:I162"/>
    <mergeCell ref="J159:O161"/>
    <mergeCell ref="P159:P162"/>
    <mergeCell ref="S159:S162"/>
    <mergeCell ref="T159:Y161"/>
    <mergeCell ref="Z159:Z162"/>
    <mergeCell ref="AC159:AC162"/>
    <mergeCell ref="AD159:AI161"/>
    <mergeCell ref="AJ159:AJ162"/>
    <mergeCell ref="J162:O162"/>
    <mergeCell ref="T162:Y162"/>
    <mergeCell ref="AD162:AI162"/>
    <mergeCell ref="I157:K158"/>
    <mergeCell ref="L157:M158"/>
    <mergeCell ref="N157:P158"/>
    <mergeCell ref="S157:U158"/>
    <mergeCell ref="V157:W158"/>
    <mergeCell ref="X157:Z158"/>
    <mergeCell ref="AC157:AE158"/>
    <mergeCell ref="AF157:AG158"/>
    <mergeCell ref="AH157:AJ158"/>
    <mergeCell ref="I167:I170"/>
    <mergeCell ref="J167:O169"/>
    <mergeCell ref="P167:P170"/>
    <mergeCell ref="S167:S170"/>
    <mergeCell ref="T167:Y169"/>
    <mergeCell ref="Z167:Z170"/>
    <mergeCell ref="AC167:AC170"/>
    <mergeCell ref="AD167:AI169"/>
    <mergeCell ref="AJ167:AJ170"/>
    <mergeCell ref="J170:O170"/>
    <mergeCell ref="T170:Y170"/>
    <mergeCell ref="AD170:AI170"/>
    <mergeCell ref="I165:K166"/>
    <mergeCell ref="L165:M166"/>
    <mergeCell ref="N165:P166"/>
    <mergeCell ref="S165:U166"/>
    <mergeCell ref="V165:W166"/>
    <mergeCell ref="X165:Z166"/>
    <mergeCell ref="AC165:AE166"/>
    <mergeCell ref="AF165:AG166"/>
    <mergeCell ref="AH165:AJ166"/>
    <mergeCell ref="AR151:AR154"/>
    <mergeCell ref="AS151:AX153"/>
    <mergeCell ref="AY151:AY154"/>
    <mergeCell ref="BB151:BB154"/>
    <mergeCell ref="BC151:BH153"/>
    <mergeCell ref="BI151:BI154"/>
    <mergeCell ref="BL151:BL154"/>
    <mergeCell ref="BM151:BR153"/>
    <mergeCell ref="BS151:BS154"/>
    <mergeCell ref="AS154:AX154"/>
    <mergeCell ref="BC154:BH154"/>
    <mergeCell ref="BM154:BR154"/>
    <mergeCell ref="AR149:AT150"/>
    <mergeCell ref="AU149:AV150"/>
    <mergeCell ref="AW149:AY150"/>
    <mergeCell ref="BB149:BD150"/>
    <mergeCell ref="BE149:BF150"/>
    <mergeCell ref="BG149:BI150"/>
    <mergeCell ref="BL149:BN150"/>
    <mergeCell ref="BO149:BP150"/>
    <mergeCell ref="BQ149:BS150"/>
    <mergeCell ref="AR159:AR162"/>
    <mergeCell ref="AS159:AX161"/>
    <mergeCell ref="AY159:AY162"/>
    <mergeCell ref="BB159:BB162"/>
    <mergeCell ref="BC159:BH161"/>
    <mergeCell ref="BI159:BI162"/>
    <mergeCell ref="BL159:BL162"/>
    <mergeCell ref="BM159:BR161"/>
    <mergeCell ref="BS159:BS162"/>
    <mergeCell ref="AS162:AX162"/>
    <mergeCell ref="BC162:BH162"/>
    <mergeCell ref="BM162:BR162"/>
    <mergeCell ref="AR157:AT158"/>
    <mergeCell ref="AU157:AV158"/>
    <mergeCell ref="AW157:AY158"/>
    <mergeCell ref="BB157:BD158"/>
    <mergeCell ref="BE157:BF158"/>
    <mergeCell ref="BG157:BI158"/>
    <mergeCell ref="BL157:BN158"/>
    <mergeCell ref="BO157:BP158"/>
    <mergeCell ref="BQ157:BS158"/>
    <mergeCell ref="AR167:AR170"/>
    <mergeCell ref="AS167:AX169"/>
    <mergeCell ref="AY167:AY170"/>
    <mergeCell ref="BB167:BB170"/>
    <mergeCell ref="BC167:BH169"/>
    <mergeCell ref="BI167:BI170"/>
    <mergeCell ref="BL167:BL170"/>
    <mergeCell ref="BM167:BR169"/>
    <mergeCell ref="BS167:BS170"/>
    <mergeCell ref="AS170:AX170"/>
    <mergeCell ref="BC170:BH170"/>
    <mergeCell ref="BM170:BR170"/>
    <mergeCell ref="AR165:AT166"/>
    <mergeCell ref="AU165:AV166"/>
    <mergeCell ref="AW165:AY166"/>
    <mergeCell ref="BB165:BD166"/>
    <mergeCell ref="BE165:BF166"/>
    <mergeCell ref="BG165:BI166"/>
    <mergeCell ref="BL165:BN166"/>
    <mergeCell ref="BO165:BP166"/>
    <mergeCell ref="BQ165:BS166"/>
    <mergeCell ref="I196:I199"/>
    <mergeCell ref="J196:O198"/>
    <mergeCell ref="P196:P199"/>
    <mergeCell ref="J199:O199"/>
    <mergeCell ref="I202:K203"/>
    <mergeCell ref="L202:M203"/>
    <mergeCell ref="N202:P203"/>
    <mergeCell ref="I204:I207"/>
    <mergeCell ref="J204:O206"/>
    <mergeCell ref="P204:P207"/>
    <mergeCell ref="J207:O207"/>
    <mergeCell ref="I186:K187"/>
    <mergeCell ref="L186:M187"/>
    <mergeCell ref="N186:P187"/>
    <mergeCell ref="I188:I191"/>
    <mergeCell ref="J188:O190"/>
    <mergeCell ref="P188:P191"/>
    <mergeCell ref="J191:O191"/>
    <mergeCell ref="I194:K195"/>
    <mergeCell ref="L194:M195"/>
    <mergeCell ref="N194:P195"/>
    <mergeCell ref="I305:K306"/>
    <mergeCell ref="L305:M306"/>
    <mergeCell ref="N305:P306"/>
    <mergeCell ref="I307:I310"/>
    <mergeCell ref="J307:O309"/>
    <mergeCell ref="I223:K224"/>
    <mergeCell ref="L223:M224"/>
    <mergeCell ref="N223:P224"/>
    <mergeCell ref="I225:I228"/>
    <mergeCell ref="J225:O227"/>
    <mergeCell ref="P225:P228"/>
    <mergeCell ref="J228:O228"/>
    <mergeCell ref="I260:K261"/>
    <mergeCell ref="L260:M261"/>
    <mergeCell ref="N260:P261"/>
    <mergeCell ref="I231:K232"/>
    <mergeCell ref="L231:M232"/>
    <mergeCell ref="N231:P232"/>
    <mergeCell ref="I233:I236"/>
    <mergeCell ref="J233:O235"/>
    <mergeCell ref="P233:P236"/>
    <mergeCell ref="J236:O236"/>
    <mergeCell ref="I239:K240"/>
    <mergeCell ref="L239:M240"/>
    <mergeCell ref="N239:P240"/>
    <mergeCell ref="I241:I244"/>
    <mergeCell ref="J241:O243"/>
    <mergeCell ref="P241:P244"/>
    <mergeCell ref="J244:O244"/>
    <mergeCell ref="I262:I265"/>
    <mergeCell ref="J262:O264"/>
    <mergeCell ref="P262:P265"/>
    <mergeCell ref="J265:O265"/>
    <mergeCell ref="I297:K298"/>
    <mergeCell ref="L297:M298"/>
    <mergeCell ref="N297:P298"/>
    <mergeCell ref="I299:I302"/>
    <mergeCell ref="J299:O301"/>
    <mergeCell ref="P299:P302"/>
    <mergeCell ref="J302:O302"/>
    <mergeCell ref="I268:K269"/>
    <mergeCell ref="L268:M269"/>
    <mergeCell ref="N268:P269"/>
    <mergeCell ref="I270:I273"/>
    <mergeCell ref="J270:O272"/>
    <mergeCell ref="P270:P273"/>
    <mergeCell ref="J273:O273"/>
    <mergeCell ref="I276:K277"/>
    <mergeCell ref="L276:M277"/>
    <mergeCell ref="N276:P277"/>
    <mergeCell ref="I278:I281"/>
    <mergeCell ref="J278:O280"/>
    <mergeCell ref="P278:P281"/>
    <mergeCell ref="J281:O281"/>
    <mergeCell ref="P307:P310"/>
    <mergeCell ref="J310:O310"/>
    <mergeCell ref="I313:K314"/>
    <mergeCell ref="L313:M314"/>
    <mergeCell ref="N313:P314"/>
    <mergeCell ref="I373:I376"/>
    <mergeCell ref="J373:O375"/>
    <mergeCell ref="P373:P376"/>
    <mergeCell ref="J376:O376"/>
    <mergeCell ref="I408:K409"/>
    <mergeCell ref="L408:M409"/>
    <mergeCell ref="N408:P409"/>
    <mergeCell ref="I334:K335"/>
    <mergeCell ref="L334:M335"/>
    <mergeCell ref="N334:P335"/>
    <mergeCell ref="I336:I339"/>
    <mergeCell ref="J336:O338"/>
    <mergeCell ref="P336:P339"/>
    <mergeCell ref="J339:O339"/>
    <mergeCell ref="I371:K372"/>
    <mergeCell ref="L371:M372"/>
    <mergeCell ref="N371:P372"/>
    <mergeCell ref="I350:K351"/>
    <mergeCell ref="L350:M351"/>
    <mergeCell ref="N350:P351"/>
    <mergeCell ref="I352:I355"/>
    <mergeCell ref="P352:P355"/>
    <mergeCell ref="J355:O355"/>
    <mergeCell ref="L424:M425"/>
    <mergeCell ref="N424:P425"/>
    <mergeCell ref="I379:K380"/>
    <mergeCell ref="L379:M380"/>
    <mergeCell ref="N379:P380"/>
    <mergeCell ref="I381:I384"/>
    <mergeCell ref="J381:O383"/>
    <mergeCell ref="P381:P384"/>
    <mergeCell ref="J384:O384"/>
    <mergeCell ref="I387:K388"/>
    <mergeCell ref="L387:M388"/>
    <mergeCell ref="N387:P388"/>
    <mergeCell ref="I389:I392"/>
    <mergeCell ref="J389:O391"/>
    <mergeCell ref="P389:P392"/>
    <mergeCell ref="J392:O392"/>
    <mergeCell ref="I315:I318"/>
    <mergeCell ref="J315:O317"/>
    <mergeCell ref="P315:P318"/>
    <mergeCell ref="J318:O318"/>
    <mergeCell ref="I342:K343"/>
    <mergeCell ref="L342:M343"/>
    <mergeCell ref="N342:P343"/>
    <mergeCell ref="I344:I347"/>
    <mergeCell ref="J344:O346"/>
    <mergeCell ref="P344:P347"/>
    <mergeCell ref="J347:O347"/>
    <mergeCell ref="I410:I413"/>
    <mergeCell ref="J410:O412"/>
    <mergeCell ref="P410:P413"/>
    <mergeCell ref="J413:O413"/>
    <mergeCell ref="J352:O354"/>
    <mergeCell ref="I426:I429"/>
    <mergeCell ref="J426:O428"/>
    <mergeCell ref="P426:P429"/>
    <mergeCell ref="J429:O429"/>
    <mergeCell ref="S186:U187"/>
    <mergeCell ref="V186:W187"/>
    <mergeCell ref="X186:Z187"/>
    <mergeCell ref="AC186:AE187"/>
    <mergeCell ref="AF186:AG187"/>
    <mergeCell ref="S194:U195"/>
    <mergeCell ref="V194:W195"/>
    <mergeCell ref="X194:Z195"/>
    <mergeCell ref="AC194:AE195"/>
    <mergeCell ref="AF194:AG195"/>
    <mergeCell ref="S202:U203"/>
    <mergeCell ref="V202:W203"/>
    <mergeCell ref="X202:Z203"/>
    <mergeCell ref="AC202:AE203"/>
    <mergeCell ref="AF202:AG203"/>
    <mergeCell ref="S223:U224"/>
    <mergeCell ref="V223:W224"/>
    <mergeCell ref="X223:Z224"/>
    <mergeCell ref="AC223:AE224"/>
    <mergeCell ref="AF223:AG224"/>
    <mergeCell ref="I416:K417"/>
    <mergeCell ref="L416:M417"/>
    <mergeCell ref="N416:P417"/>
    <mergeCell ref="I418:I421"/>
    <mergeCell ref="J418:O420"/>
    <mergeCell ref="P418:P421"/>
    <mergeCell ref="J421:O421"/>
    <mergeCell ref="I424:K425"/>
    <mergeCell ref="BQ186:BS187"/>
    <mergeCell ref="S188:S191"/>
    <mergeCell ref="T188:Y190"/>
    <mergeCell ref="Z188:Z191"/>
    <mergeCell ref="AC188:AC191"/>
    <mergeCell ref="AD188:AI190"/>
    <mergeCell ref="AJ188:AJ191"/>
    <mergeCell ref="AR188:AR191"/>
    <mergeCell ref="AS188:AX190"/>
    <mergeCell ref="AY188:AY191"/>
    <mergeCell ref="BB188:BB191"/>
    <mergeCell ref="BC188:BH190"/>
    <mergeCell ref="BI188:BI191"/>
    <mergeCell ref="BL188:BL191"/>
    <mergeCell ref="BM188:BR190"/>
    <mergeCell ref="BS188:BS191"/>
    <mergeCell ref="T191:Y191"/>
    <mergeCell ref="AD191:AI191"/>
    <mergeCell ref="AS191:AX191"/>
    <mergeCell ref="BC191:BH191"/>
    <mergeCell ref="BM191:BR191"/>
    <mergeCell ref="AH186:AJ187"/>
    <mergeCell ref="AR186:AT187"/>
    <mergeCell ref="AU186:AV187"/>
    <mergeCell ref="AW186:AY187"/>
    <mergeCell ref="BB186:BD187"/>
    <mergeCell ref="BE186:BF187"/>
    <mergeCell ref="BG186:BI187"/>
    <mergeCell ref="BL186:BN187"/>
    <mergeCell ref="BO186:BP187"/>
    <mergeCell ref="BQ194:BS195"/>
    <mergeCell ref="S196:S199"/>
    <mergeCell ref="T196:Y198"/>
    <mergeCell ref="Z196:Z199"/>
    <mergeCell ref="AC196:AC199"/>
    <mergeCell ref="AD196:AI198"/>
    <mergeCell ref="AJ196:AJ199"/>
    <mergeCell ref="AR196:AR199"/>
    <mergeCell ref="AS196:AX198"/>
    <mergeCell ref="AY196:AY199"/>
    <mergeCell ref="BB196:BB199"/>
    <mergeCell ref="BC196:BH198"/>
    <mergeCell ref="BI196:BI199"/>
    <mergeCell ref="BL196:BL199"/>
    <mergeCell ref="BM196:BR198"/>
    <mergeCell ref="BS196:BS199"/>
    <mergeCell ref="T199:Y199"/>
    <mergeCell ref="AD199:AI199"/>
    <mergeCell ref="AS199:AX199"/>
    <mergeCell ref="BC199:BH199"/>
    <mergeCell ref="BM199:BR199"/>
    <mergeCell ref="AH194:AJ195"/>
    <mergeCell ref="AR194:AT195"/>
    <mergeCell ref="AU194:AV195"/>
    <mergeCell ref="AW194:AY195"/>
    <mergeCell ref="BB194:BD195"/>
    <mergeCell ref="BE194:BF195"/>
    <mergeCell ref="BG194:BI195"/>
    <mergeCell ref="BL194:BN195"/>
    <mergeCell ref="BO194:BP195"/>
    <mergeCell ref="BQ202:BS203"/>
    <mergeCell ref="S204:S207"/>
    <mergeCell ref="T204:Y206"/>
    <mergeCell ref="Z204:Z207"/>
    <mergeCell ref="AC204:AC207"/>
    <mergeCell ref="AD204:AI206"/>
    <mergeCell ref="AJ204:AJ207"/>
    <mergeCell ref="AR204:AR207"/>
    <mergeCell ref="AS204:AX206"/>
    <mergeCell ref="AY204:AY207"/>
    <mergeCell ref="BB204:BB207"/>
    <mergeCell ref="BC204:BH206"/>
    <mergeCell ref="BI204:BI207"/>
    <mergeCell ref="BL204:BL207"/>
    <mergeCell ref="BM204:BR206"/>
    <mergeCell ref="BS204:BS207"/>
    <mergeCell ref="T207:Y207"/>
    <mergeCell ref="AD207:AI207"/>
    <mergeCell ref="AS207:AX207"/>
    <mergeCell ref="BC207:BH207"/>
    <mergeCell ref="BM207:BR207"/>
    <mergeCell ref="AH202:AJ203"/>
    <mergeCell ref="AR202:AT203"/>
    <mergeCell ref="AU202:AV203"/>
    <mergeCell ref="AW202:AY203"/>
    <mergeCell ref="BB202:BD203"/>
    <mergeCell ref="BE202:BF203"/>
    <mergeCell ref="BG202:BI203"/>
    <mergeCell ref="BL202:BN203"/>
    <mergeCell ref="BO202:BP203"/>
    <mergeCell ref="AW231:AY232"/>
    <mergeCell ref="BQ223:BS224"/>
    <mergeCell ref="S225:S228"/>
    <mergeCell ref="T225:Y227"/>
    <mergeCell ref="Z225:Z228"/>
    <mergeCell ref="AC225:AC228"/>
    <mergeCell ref="AD225:AI227"/>
    <mergeCell ref="AJ225:AJ228"/>
    <mergeCell ref="AR225:AR228"/>
    <mergeCell ref="AS225:AX227"/>
    <mergeCell ref="AY225:AY228"/>
    <mergeCell ref="BB225:BB228"/>
    <mergeCell ref="BC225:BH227"/>
    <mergeCell ref="BI225:BI228"/>
    <mergeCell ref="BL225:BL228"/>
    <mergeCell ref="BM225:BR227"/>
    <mergeCell ref="BS225:BS228"/>
    <mergeCell ref="T228:Y228"/>
    <mergeCell ref="AD228:AI228"/>
    <mergeCell ref="AS228:AX228"/>
    <mergeCell ref="BC228:BH228"/>
    <mergeCell ref="BM228:BR228"/>
    <mergeCell ref="AH223:AJ224"/>
    <mergeCell ref="AR223:AT224"/>
    <mergeCell ref="AU223:AV224"/>
    <mergeCell ref="AW223:AY224"/>
    <mergeCell ref="BB223:BD224"/>
    <mergeCell ref="BE223:BF224"/>
    <mergeCell ref="BG223:BI224"/>
    <mergeCell ref="BL223:BN224"/>
    <mergeCell ref="BO223:BP224"/>
    <mergeCell ref="BB231:BD232"/>
    <mergeCell ref="BE231:BF232"/>
    <mergeCell ref="BG231:BI232"/>
    <mergeCell ref="BL231:BN232"/>
    <mergeCell ref="BO231:BP232"/>
    <mergeCell ref="BQ231:BS232"/>
    <mergeCell ref="S233:S236"/>
    <mergeCell ref="T233:Y235"/>
    <mergeCell ref="Z233:Z236"/>
    <mergeCell ref="AC233:AC236"/>
    <mergeCell ref="AD233:AI235"/>
    <mergeCell ref="AJ233:AJ236"/>
    <mergeCell ref="AR233:AR236"/>
    <mergeCell ref="AS233:AX235"/>
    <mergeCell ref="AY233:AY236"/>
    <mergeCell ref="BB233:BB236"/>
    <mergeCell ref="BC233:BH235"/>
    <mergeCell ref="BI233:BI236"/>
    <mergeCell ref="BL233:BL236"/>
    <mergeCell ref="BM233:BR235"/>
    <mergeCell ref="BS233:BS236"/>
    <mergeCell ref="T236:Y236"/>
    <mergeCell ref="AD236:AI236"/>
    <mergeCell ref="AS236:AX236"/>
    <mergeCell ref="S231:U232"/>
    <mergeCell ref="V231:W232"/>
    <mergeCell ref="X231:Z232"/>
    <mergeCell ref="AC231:AE232"/>
    <mergeCell ref="AF231:AG232"/>
    <mergeCell ref="AH231:AJ232"/>
    <mergeCell ref="AR231:AT232"/>
    <mergeCell ref="AU231:AV232"/>
    <mergeCell ref="BC236:BH236"/>
    <mergeCell ref="BM236:BR236"/>
    <mergeCell ref="S239:U240"/>
    <mergeCell ref="V239:W240"/>
    <mergeCell ref="X239:Z240"/>
    <mergeCell ref="AC239:AE240"/>
    <mergeCell ref="AF239:AG240"/>
    <mergeCell ref="AH239:AJ240"/>
    <mergeCell ref="AR239:AT240"/>
    <mergeCell ref="AU239:AV240"/>
    <mergeCell ref="AW239:AY240"/>
    <mergeCell ref="BB239:BD240"/>
    <mergeCell ref="BE239:BF240"/>
    <mergeCell ref="BG239:BI240"/>
    <mergeCell ref="BL239:BN240"/>
    <mergeCell ref="BO239:BP240"/>
    <mergeCell ref="BQ239:BS240"/>
    <mergeCell ref="AW260:AY261"/>
    <mergeCell ref="BB241:BB244"/>
    <mergeCell ref="BC241:BH243"/>
    <mergeCell ref="BI241:BI244"/>
    <mergeCell ref="BL241:BL244"/>
    <mergeCell ref="BM241:BR243"/>
    <mergeCell ref="BS241:BS244"/>
    <mergeCell ref="T244:Y244"/>
    <mergeCell ref="AD244:AI244"/>
    <mergeCell ref="AS244:AX244"/>
    <mergeCell ref="BC244:BH244"/>
    <mergeCell ref="BM244:BR244"/>
    <mergeCell ref="S241:S244"/>
    <mergeCell ref="T241:Y243"/>
    <mergeCell ref="Z241:Z244"/>
    <mergeCell ref="AC241:AC244"/>
    <mergeCell ref="AD241:AI243"/>
    <mergeCell ref="AJ241:AJ244"/>
    <mergeCell ref="AR241:AR244"/>
    <mergeCell ref="AS241:AX243"/>
    <mergeCell ref="AY241:AY244"/>
    <mergeCell ref="BB260:BD261"/>
    <mergeCell ref="BE260:BF261"/>
    <mergeCell ref="BG260:BI261"/>
    <mergeCell ref="BL260:BN261"/>
    <mergeCell ref="BO260:BP261"/>
    <mergeCell ref="BQ260:BS261"/>
    <mergeCell ref="S262:S265"/>
    <mergeCell ref="T262:Y264"/>
    <mergeCell ref="Z262:Z265"/>
    <mergeCell ref="AC262:AC265"/>
    <mergeCell ref="AD262:AI264"/>
    <mergeCell ref="AJ262:AJ265"/>
    <mergeCell ref="AR262:AR265"/>
    <mergeCell ref="AS262:AX264"/>
    <mergeCell ref="AY262:AY265"/>
    <mergeCell ref="BB262:BB265"/>
    <mergeCell ref="BC262:BH264"/>
    <mergeCell ref="BI262:BI265"/>
    <mergeCell ref="BL262:BL265"/>
    <mergeCell ref="BM262:BR264"/>
    <mergeCell ref="BS262:BS265"/>
    <mergeCell ref="T265:Y265"/>
    <mergeCell ref="AD265:AI265"/>
    <mergeCell ref="AS265:AX265"/>
    <mergeCell ref="S260:U261"/>
    <mergeCell ref="V260:W261"/>
    <mergeCell ref="X260:Z261"/>
    <mergeCell ref="AC260:AE261"/>
    <mergeCell ref="AF260:AG261"/>
    <mergeCell ref="AH260:AJ261"/>
    <mergeCell ref="AR260:AT261"/>
    <mergeCell ref="AU260:AV261"/>
    <mergeCell ref="BC265:BH265"/>
    <mergeCell ref="BM265:BR265"/>
    <mergeCell ref="S268:U269"/>
    <mergeCell ref="V268:W269"/>
    <mergeCell ref="X268:Z269"/>
    <mergeCell ref="AC268:AE269"/>
    <mergeCell ref="AF268:AG269"/>
    <mergeCell ref="AH268:AJ269"/>
    <mergeCell ref="AR268:AT269"/>
    <mergeCell ref="AU268:AV269"/>
    <mergeCell ref="AW268:AY269"/>
    <mergeCell ref="BB268:BD269"/>
    <mergeCell ref="BE268:BF269"/>
    <mergeCell ref="BG268:BI269"/>
    <mergeCell ref="BL268:BN269"/>
    <mergeCell ref="BO268:BP269"/>
    <mergeCell ref="BQ268:BS269"/>
    <mergeCell ref="S270:S273"/>
    <mergeCell ref="T270:Y272"/>
    <mergeCell ref="Z270:Z273"/>
    <mergeCell ref="AC270:AC273"/>
    <mergeCell ref="AD270:AI272"/>
    <mergeCell ref="AJ270:AJ273"/>
    <mergeCell ref="AR270:AR273"/>
    <mergeCell ref="AS270:AX272"/>
    <mergeCell ref="AY270:AY273"/>
    <mergeCell ref="BB276:BD277"/>
    <mergeCell ref="BE276:BF277"/>
    <mergeCell ref="BG276:BI277"/>
    <mergeCell ref="BL276:BN277"/>
    <mergeCell ref="BO276:BP277"/>
    <mergeCell ref="BQ276:BS277"/>
    <mergeCell ref="S276:U277"/>
    <mergeCell ref="V276:W277"/>
    <mergeCell ref="X276:Z277"/>
    <mergeCell ref="AC276:AE277"/>
    <mergeCell ref="AF276:AG277"/>
    <mergeCell ref="AD281:AI281"/>
    <mergeCell ref="AS281:AX281"/>
    <mergeCell ref="AW276:AY277"/>
    <mergeCell ref="BB270:BB273"/>
    <mergeCell ref="BC270:BH272"/>
    <mergeCell ref="BI270:BI273"/>
    <mergeCell ref="BL270:BL273"/>
    <mergeCell ref="BM270:BR272"/>
    <mergeCell ref="BS270:BS273"/>
    <mergeCell ref="T273:Y273"/>
    <mergeCell ref="AD273:AI273"/>
    <mergeCell ref="AS273:AX273"/>
    <mergeCell ref="BC273:BH273"/>
    <mergeCell ref="BM273:BR273"/>
    <mergeCell ref="AH276:AJ277"/>
    <mergeCell ref="AR276:AT277"/>
    <mergeCell ref="AU276:AV277"/>
    <mergeCell ref="BC281:BH281"/>
    <mergeCell ref="BM281:BR281"/>
    <mergeCell ref="S297:U298"/>
    <mergeCell ref="V297:W298"/>
    <mergeCell ref="X297:Z298"/>
    <mergeCell ref="AC297:AE298"/>
    <mergeCell ref="AF297:AG298"/>
    <mergeCell ref="AH297:AJ298"/>
    <mergeCell ref="AR297:AT298"/>
    <mergeCell ref="AU297:AV298"/>
    <mergeCell ref="AW297:AY298"/>
    <mergeCell ref="BB297:BD298"/>
    <mergeCell ref="BE297:BF298"/>
    <mergeCell ref="BG297:BI298"/>
    <mergeCell ref="BL297:BN298"/>
    <mergeCell ref="BO297:BP298"/>
    <mergeCell ref="BQ297:BS298"/>
    <mergeCell ref="AM294:AO295"/>
    <mergeCell ref="S278:S281"/>
    <mergeCell ref="T278:Y280"/>
    <mergeCell ref="Z278:Z281"/>
    <mergeCell ref="AC278:AC281"/>
    <mergeCell ref="AD278:AI280"/>
    <mergeCell ref="AJ278:AJ281"/>
    <mergeCell ref="AR278:AR281"/>
    <mergeCell ref="AS278:AX280"/>
    <mergeCell ref="AY278:AY281"/>
    <mergeCell ref="BB278:BB281"/>
    <mergeCell ref="BC278:BH280"/>
    <mergeCell ref="BI278:BI281"/>
    <mergeCell ref="BL278:BL281"/>
    <mergeCell ref="BM278:BR280"/>
    <mergeCell ref="BS278:BS281"/>
    <mergeCell ref="T281:Y281"/>
    <mergeCell ref="S299:S302"/>
    <mergeCell ref="T299:Y301"/>
    <mergeCell ref="Z299:Z302"/>
    <mergeCell ref="AC299:AC302"/>
    <mergeCell ref="AD299:AI301"/>
    <mergeCell ref="AJ299:AJ302"/>
    <mergeCell ref="AR299:AR302"/>
    <mergeCell ref="AS299:AX301"/>
    <mergeCell ref="AY299:AY302"/>
    <mergeCell ref="BB305:BD306"/>
    <mergeCell ref="BE305:BF306"/>
    <mergeCell ref="BG305:BI306"/>
    <mergeCell ref="BL305:BN306"/>
    <mergeCell ref="BO305:BP306"/>
    <mergeCell ref="BQ305:BS306"/>
    <mergeCell ref="S305:U306"/>
    <mergeCell ref="V305:W306"/>
    <mergeCell ref="X305:Z306"/>
    <mergeCell ref="AC305:AE306"/>
    <mergeCell ref="AF305:AG306"/>
    <mergeCell ref="AS310:AX310"/>
    <mergeCell ref="AW305:AY306"/>
    <mergeCell ref="BB299:BB302"/>
    <mergeCell ref="BC299:BH301"/>
    <mergeCell ref="BI299:BI302"/>
    <mergeCell ref="BL299:BL302"/>
    <mergeCell ref="BM299:BR301"/>
    <mergeCell ref="BS299:BS302"/>
    <mergeCell ref="T302:Y302"/>
    <mergeCell ref="AD302:AI302"/>
    <mergeCell ref="AS302:AX302"/>
    <mergeCell ref="BC302:BH302"/>
    <mergeCell ref="BM302:BR302"/>
    <mergeCell ref="AH305:AJ306"/>
    <mergeCell ref="AR305:AT306"/>
    <mergeCell ref="AU305:AV306"/>
    <mergeCell ref="BC310:BH310"/>
    <mergeCell ref="BM310:BR310"/>
    <mergeCell ref="S313:U314"/>
    <mergeCell ref="V313:W314"/>
    <mergeCell ref="X313:Z314"/>
    <mergeCell ref="AC313:AE314"/>
    <mergeCell ref="AF313:AG314"/>
    <mergeCell ref="AH313:AJ314"/>
    <mergeCell ref="AR313:AT314"/>
    <mergeCell ref="AU313:AV314"/>
    <mergeCell ref="AW313:AY314"/>
    <mergeCell ref="BB313:BD314"/>
    <mergeCell ref="BE313:BF314"/>
    <mergeCell ref="BG313:BI314"/>
    <mergeCell ref="BL313:BN314"/>
    <mergeCell ref="BO313:BP314"/>
    <mergeCell ref="BQ313:BS314"/>
    <mergeCell ref="S307:S310"/>
    <mergeCell ref="T307:Y309"/>
    <mergeCell ref="Z307:Z310"/>
    <mergeCell ref="AC307:AC310"/>
    <mergeCell ref="AD307:AI309"/>
    <mergeCell ref="AJ307:AJ310"/>
    <mergeCell ref="AR307:AR310"/>
    <mergeCell ref="AS307:AX309"/>
    <mergeCell ref="AY307:AY310"/>
    <mergeCell ref="BB307:BB310"/>
    <mergeCell ref="BC307:BH309"/>
    <mergeCell ref="BI307:BI310"/>
    <mergeCell ref="BL307:BL310"/>
    <mergeCell ref="BM307:BR309"/>
    <mergeCell ref="BS307:BS310"/>
    <mergeCell ref="T310:Y310"/>
    <mergeCell ref="AD310:AI310"/>
    <mergeCell ref="S315:S318"/>
    <mergeCell ref="T315:Y317"/>
    <mergeCell ref="Z315:Z318"/>
    <mergeCell ref="AC315:AC318"/>
    <mergeCell ref="AD315:AI317"/>
    <mergeCell ref="AJ315:AJ318"/>
    <mergeCell ref="AR315:AR318"/>
    <mergeCell ref="AS315:AX317"/>
    <mergeCell ref="AY315:AY318"/>
    <mergeCell ref="AM331:AO332"/>
    <mergeCell ref="BB334:BD335"/>
    <mergeCell ref="BE334:BF335"/>
    <mergeCell ref="BG334:BI335"/>
    <mergeCell ref="BL334:BN335"/>
    <mergeCell ref="BO334:BP335"/>
    <mergeCell ref="BQ334:BS335"/>
    <mergeCell ref="S334:U335"/>
    <mergeCell ref="V334:W335"/>
    <mergeCell ref="X334:Z335"/>
    <mergeCell ref="AC334:AE335"/>
    <mergeCell ref="AS339:AX339"/>
    <mergeCell ref="AW334:AY335"/>
    <mergeCell ref="BB315:BB318"/>
    <mergeCell ref="BC315:BH317"/>
    <mergeCell ref="BI315:BI318"/>
    <mergeCell ref="BL315:BL318"/>
    <mergeCell ref="BM315:BR317"/>
    <mergeCell ref="BS315:BS318"/>
    <mergeCell ref="T318:Y318"/>
    <mergeCell ref="AD318:AI318"/>
    <mergeCell ref="AS318:AX318"/>
    <mergeCell ref="BC318:BH318"/>
    <mergeCell ref="BM318:BR318"/>
    <mergeCell ref="AF334:AG335"/>
    <mergeCell ref="AH334:AJ335"/>
    <mergeCell ref="AR334:AT335"/>
    <mergeCell ref="AU334:AV335"/>
    <mergeCell ref="BC339:BH339"/>
    <mergeCell ref="BM339:BR339"/>
    <mergeCell ref="S342:U343"/>
    <mergeCell ref="V342:W343"/>
    <mergeCell ref="X342:Z343"/>
    <mergeCell ref="AC342:AE343"/>
    <mergeCell ref="AF342:AG343"/>
    <mergeCell ref="AH342:AJ343"/>
    <mergeCell ref="AR342:AT343"/>
    <mergeCell ref="AU342:AV343"/>
    <mergeCell ref="AW342:AY343"/>
    <mergeCell ref="BB342:BD343"/>
    <mergeCell ref="BE342:BF343"/>
    <mergeCell ref="BG342:BI343"/>
    <mergeCell ref="BL342:BN343"/>
    <mergeCell ref="BO342:BP343"/>
    <mergeCell ref="BQ342:BS343"/>
    <mergeCell ref="S336:S339"/>
    <mergeCell ref="T336:Y338"/>
    <mergeCell ref="Z336:Z339"/>
    <mergeCell ref="AC336:AC339"/>
    <mergeCell ref="AD336:AI338"/>
    <mergeCell ref="AJ336:AJ339"/>
    <mergeCell ref="AR336:AR339"/>
    <mergeCell ref="AS336:AX338"/>
    <mergeCell ref="AY336:AY339"/>
    <mergeCell ref="BB336:BB339"/>
    <mergeCell ref="BC336:BH338"/>
    <mergeCell ref="BI336:BI339"/>
    <mergeCell ref="BL336:BL339"/>
    <mergeCell ref="BM336:BR338"/>
    <mergeCell ref="BS336:BS339"/>
    <mergeCell ref="T339:Y339"/>
    <mergeCell ref="AD339:AI339"/>
    <mergeCell ref="S344:S347"/>
    <mergeCell ref="T344:Y346"/>
    <mergeCell ref="Z344:Z347"/>
    <mergeCell ref="AC344:AC347"/>
    <mergeCell ref="AD344:AI346"/>
    <mergeCell ref="AJ344:AJ347"/>
    <mergeCell ref="AR344:AR347"/>
    <mergeCell ref="AS344:AX346"/>
    <mergeCell ref="AY344:AY347"/>
    <mergeCell ref="BB350:BD351"/>
    <mergeCell ref="BE350:BF351"/>
    <mergeCell ref="BG350:BI351"/>
    <mergeCell ref="BL350:BN351"/>
    <mergeCell ref="BO350:BP351"/>
    <mergeCell ref="BQ350:BS351"/>
    <mergeCell ref="S350:U351"/>
    <mergeCell ref="V350:W351"/>
    <mergeCell ref="X350:Z351"/>
    <mergeCell ref="AC350:AE351"/>
    <mergeCell ref="AF350:AG351"/>
    <mergeCell ref="AW350:AY351"/>
    <mergeCell ref="BB344:BB347"/>
    <mergeCell ref="BC344:BH346"/>
    <mergeCell ref="BI344:BI347"/>
    <mergeCell ref="BL344:BL347"/>
    <mergeCell ref="BM344:BR346"/>
    <mergeCell ref="BS344:BS347"/>
    <mergeCell ref="T347:Y347"/>
    <mergeCell ref="AD347:AI347"/>
    <mergeCell ref="AS347:AX347"/>
    <mergeCell ref="BC347:BH347"/>
    <mergeCell ref="BM347:BR347"/>
    <mergeCell ref="AH350:AJ351"/>
    <mergeCell ref="AR350:AT351"/>
    <mergeCell ref="AU350:AV351"/>
    <mergeCell ref="BC355:BH355"/>
    <mergeCell ref="BM355:BR355"/>
    <mergeCell ref="AW371:AY372"/>
    <mergeCell ref="BB371:BD372"/>
    <mergeCell ref="BE371:BF372"/>
    <mergeCell ref="BG371:BI372"/>
    <mergeCell ref="BL371:BN372"/>
    <mergeCell ref="BO371:BP372"/>
    <mergeCell ref="BQ371:BS372"/>
    <mergeCell ref="AM357:AO357"/>
    <mergeCell ref="AM359:AO359"/>
    <mergeCell ref="BC352:BH354"/>
    <mergeCell ref="BI352:BI355"/>
    <mergeCell ref="BL352:BL355"/>
    <mergeCell ref="BM352:BR354"/>
    <mergeCell ref="BS352:BS355"/>
    <mergeCell ref="T355:Y355"/>
    <mergeCell ref="AD355:AI355"/>
    <mergeCell ref="AS355:AX355"/>
    <mergeCell ref="S352:S355"/>
    <mergeCell ref="T352:Y354"/>
    <mergeCell ref="Z352:Z355"/>
    <mergeCell ref="AC352:AC355"/>
    <mergeCell ref="AD352:AI354"/>
    <mergeCell ref="AJ352:AJ355"/>
    <mergeCell ref="AR352:AR355"/>
    <mergeCell ref="AS352:AX354"/>
    <mergeCell ref="AY352:AY355"/>
    <mergeCell ref="BB352:BB355"/>
    <mergeCell ref="T376:Y376"/>
    <mergeCell ref="AD376:AI376"/>
    <mergeCell ref="AS376:AX376"/>
    <mergeCell ref="BC376:BH376"/>
    <mergeCell ref="BM376:BR376"/>
    <mergeCell ref="S373:S376"/>
    <mergeCell ref="T373:Y375"/>
    <mergeCell ref="Z373:Z376"/>
    <mergeCell ref="AC373:AC376"/>
    <mergeCell ref="AD373:AI375"/>
    <mergeCell ref="AJ373:AJ376"/>
    <mergeCell ref="AR373:AR376"/>
    <mergeCell ref="AS373:AX375"/>
    <mergeCell ref="AY373:AY376"/>
    <mergeCell ref="S371:U372"/>
    <mergeCell ref="V371:W372"/>
    <mergeCell ref="X371:Z372"/>
    <mergeCell ref="AC371:AE372"/>
    <mergeCell ref="AF371:AG372"/>
    <mergeCell ref="AH371:AJ372"/>
    <mergeCell ref="AR371:AT372"/>
    <mergeCell ref="AU371:AV372"/>
    <mergeCell ref="BB379:BD380"/>
    <mergeCell ref="BE379:BF380"/>
    <mergeCell ref="BG379:BI380"/>
    <mergeCell ref="BL379:BN380"/>
    <mergeCell ref="BO379:BP380"/>
    <mergeCell ref="BQ379:BS380"/>
    <mergeCell ref="S379:U380"/>
    <mergeCell ref="V379:W380"/>
    <mergeCell ref="X379:Z380"/>
    <mergeCell ref="AC379:AE380"/>
    <mergeCell ref="AF379:AG380"/>
    <mergeCell ref="AH379:AJ380"/>
    <mergeCell ref="AR379:AT380"/>
    <mergeCell ref="AU379:AV380"/>
    <mergeCell ref="S381:S384"/>
    <mergeCell ref="T381:Y383"/>
    <mergeCell ref="Z381:Z384"/>
    <mergeCell ref="AC381:AC384"/>
    <mergeCell ref="AD381:AI383"/>
    <mergeCell ref="AJ381:AJ384"/>
    <mergeCell ref="AR381:AR384"/>
    <mergeCell ref="AS381:AX383"/>
    <mergeCell ref="AY381:AY384"/>
    <mergeCell ref="BB381:BB384"/>
    <mergeCell ref="BC381:BH383"/>
    <mergeCell ref="BI381:BI384"/>
    <mergeCell ref="BL381:BL384"/>
    <mergeCell ref="BM381:BR383"/>
    <mergeCell ref="BS381:BS384"/>
    <mergeCell ref="T384:Y384"/>
    <mergeCell ref="AD384:AI384"/>
    <mergeCell ref="AS384:AX384"/>
    <mergeCell ref="BC384:BH384"/>
    <mergeCell ref="BM384:BR384"/>
    <mergeCell ref="S387:U388"/>
    <mergeCell ref="V387:W388"/>
    <mergeCell ref="X387:Z388"/>
    <mergeCell ref="AC387:AE388"/>
    <mergeCell ref="AF387:AG388"/>
    <mergeCell ref="AH387:AJ388"/>
    <mergeCell ref="AR387:AT388"/>
    <mergeCell ref="AU387:AV388"/>
    <mergeCell ref="AW387:AY388"/>
    <mergeCell ref="BB387:BD388"/>
    <mergeCell ref="BE387:BF388"/>
    <mergeCell ref="BG387:BI388"/>
    <mergeCell ref="BL387:BN388"/>
    <mergeCell ref="BO387:BP388"/>
    <mergeCell ref="BQ387:BS388"/>
    <mergeCell ref="S389:S392"/>
    <mergeCell ref="T389:Y391"/>
    <mergeCell ref="Z389:Z392"/>
    <mergeCell ref="AC389:AC392"/>
    <mergeCell ref="AD389:AI391"/>
    <mergeCell ref="AJ389:AJ392"/>
    <mergeCell ref="AR389:AR392"/>
    <mergeCell ref="AS389:AX391"/>
    <mergeCell ref="AY389:AY392"/>
    <mergeCell ref="BB408:BD409"/>
    <mergeCell ref="BE408:BF409"/>
    <mergeCell ref="BG408:BI409"/>
    <mergeCell ref="BL408:BN409"/>
    <mergeCell ref="BO408:BP409"/>
    <mergeCell ref="BQ408:BS409"/>
    <mergeCell ref="S408:U409"/>
    <mergeCell ref="V408:W409"/>
    <mergeCell ref="X408:Z409"/>
    <mergeCell ref="AC408:AE409"/>
    <mergeCell ref="AF408:AG409"/>
    <mergeCell ref="AD413:AI413"/>
    <mergeCell ref="AS413:AX413"/>
    <mergeCell ref="AW408:AY409"/>
    <mergeCell ref="BB389:BB392"/>
    <mergeCell ref="BC389:BH391"/>
    <mergeCell ref="BI389:BI392"/>
    <mergeCell ref="BL389:BL392"/>
    <mergeCell ref="BM389:BR391"/>
    <mergeCell ref="BS389:BS392"/>
    <mergeCell ref="T392:Y392"/>
    <mergeCell ref="AD392:AI392"/>
    <mergeCell ref="AS392:AX392"/>
    <mergeCell ref="BC392:BH392"/>
    <mergeCell ref="BM392:BR392"/>
    <mergeCell ref="AH408:AJ409"/>
    <mergeCell ref="AR408:AT409"/>
    <mergeCell ref="AU408:AV409"/>
    <mergeCell ref="BC413:BH413"/>
    <mergeCell ref="BM413:BR413"/>
    <mergeCell ref="BC429:BH429"/>
    <mergeCell ref="S416:U417"/>
    <mergeCell ref="V416:W417"/>
    <mergeCell ref="X416:Z417"/>
    <mergeCell ref="AC416:AE417"/>
    <mergeCell ref="AF416:AG417"/>
    <mergeCell ref="AH416:AJ417"/>
    <mergeCell ref="AR416:AT417"/>
    <mergeCell ref="AU416:AV417"/>
    <mergeCell ref="AW416:AY417"/>
    <mergeCell ref="BB416:BD417"/>
    <mergeCell ref="BE416:BF417"/>
    <mergeCell ref="BG416:BI417"/>
    <mergeCell ref="BL416:BN417"/>
    <mergeCell ref="BO416:BP417"/>
    <mergeCell ref="BQ416:BS417"/>
    <mergeCell ref="S410:S413"/>
    <mergeCell ref="T410:Y412"/>
    <mergeCell ref="Z410:Z413"/>
    <mergeCell ref="AC410:AC413"/>
    <mergeCell ref="AD410:AI412"/>
    <mergeCell ref="AJ410:AJ413"/>
    <mergeCell ref="AR410:AR413"/>
    <mergeCell ref="AS410:AX412"/>
    <mergeCell ref="AY410:AY413"/>
    <mergeCell ref="BB410:BB413"/>
    <mergeCell ref="BC410:BH412"/>
    <mergeCell ref="BI410:BI413"/>
    <mergeCell ref="BL410:BL413"/>
    <mergeCell ref="BM410:BR412"/>
    <mergeCell ref="BS410:BS413"/>
    <mergeCell ref="T413:Y413"/>
    <mergeCell ref="BB418:BB421"/>
    <mergeCell ref="BC418:BH420"/>
    <mergeCell ref="BI418:BI421"/>
    <mergeCell ref="BL418:BL421"/>
    <mergeCell ref="BM418:BR420"/>
    <mergeCell ref="BS418:BS421"/>
    <mergeCell ref="T421:Y421"/>
    <mergeCell ref="AD421:AI421"/>
    <mergeCell ref="AS421:AX421"/>
    <mergeCell ref="BC421:BH421"/>
    <mergeCell ref="BM421:BR421"/>
    <mergeCell ref="S418:S421"/>
    <mergeCell ref="T418:Y420"/>
    <mergeCell ref="Z418:Z421"/>
    <mergeCell ref="AC418:AC421"/>
    <mergeCell ref="AD418:AI420"/>
    <mergeCell ref="AJ418:AJ421"/>
    <mergeCell ref="AR418:AR421"/>
    <mergeCell ref="AS418:AX420"/>
    <mergeCell ref="AY418:AY421"/>
    <mergeCell ref="BM429:BR429"/>
    <mergeCell ref="BB424:BD425"/>
    <mergeCell ref="BE424:BF425"/>
    <mergeCell ref="BG424:BI425"/>
    <mergeCell ref="BL424:BN425"/>
    <mergeCell ref="BO424:BP425"/>
    <mergeCell ref="BQ424:BS425"/>
    <mergeCell ref="S426:S429"/>
    <mergeCell ref="T426:Y428"/>
    <mergeCell ref="Z426:Z429"/>
    <mergeCell ref="AC426:AC429"/>
    <mergeCell ref="AD426:AI428"/>
    <mergeCell ref="AJ426:AJ429"/>
    <mergeCell ref="AR426:AR429"/>
    <mergeCell ref="AS426:AX428"/>
    <mergeCell ref="AY426:AY429"/>
    <mergeCell ref="BB426:BB429"/>
    <mergeCell ref="BC426:BH428"/>
    <mergeCell ref="BI426:BI429"/>
    <mergeCell ref="BL426:BL429"/>
    <mergeCell ref="BM426:BR428"/>
    <mergeCell ref="BS426:BS429"/>
    <mergeCell ref="T429:Y429"/>
    <mergeCell ref="AD429:AI429"/>
    <mergeCell ref="AS429:AX429"/>
    <mergeCell ref="S424:U425"/>
    <mergeCell ref="V424:W425"/>
    <mergeCell ref="X424:Z425"/>
    <mergeCell ref="AC424:AE425"/>
    <mergeCell ref="AF424:AG425"/>
    <mergeCell ref="AH424:AJ425"/>
    <mergeCell ref="AW424:AY425"/>
  </mergeCells>
  <conditionalFormatting sqref="DP106:DR111">
    <cfRule type="expression" dxfId="1258" priority="2278">
      <formula>EC106=100%</formula>
    </cfRule>
    <cfRule type="expression" dxfId="1257" priority="2279">
      <formula>EC106&gt;=75%</formula>
    </cfRule>
    <cfRule type="expression" dxfId="1256" priority="2280">
      <formula>EC106&gt;=50%</formula>
    </cfRule>
    <cfRule type="expression" dxfId="1255" priority="2281">
      <formula>EC106&gt;=25%</formula>
    </cfRule>
    <cfRule type="expression" dxfId="1254" priority="2282">
      <formula>EC106&gt;0%</formula>
    </cfRule>
  </conditionalFormatting>
  <conditionalFormatting sqref="DP31:DR105 DS31:DS34">
    <cfRule type="expression" dxfId="1253" priority="2273">
      <formula>EC31=100%</formula>
    </cfRule>
    <cfRule type="expression" dxfId="1252" priority="2274">
      <formula>EC31&gt;=75%</formula>
    </cfRule>
    <cfRule type="expression" dxfId="1251" priority="2275">
      <formula>EC31&gt;=50%</formula>
    </cfRule>
    <cfRule type="expression" dxfId="1250" priority="2276">
      <formula>EC31&gt;=25%</formula>
    </cfRule>
    <cfRule type="expression" dxfId="1249" priority="2277">
      <formula>EC31&gt;0%</formula>
    </cfRule>
  </conditionalFormatting>
  <conditionalFormatting sqref="EA30:EB30">
    <cfRule type="expression" dxfId="1248" priority="2268">
      <formula>EQ30=100%</formula>
    </cfRule>
    <cfRule type="expression" dxfId="1247" priority="2269">
      <formula>EQ30&gt;=75%</formula>
    </cfRule>
    <cfRule type="expression" dxfId="1246" priority="2270">
      <formula>EQ30&gt;=50%</formula>
    </cfRule>
    <cfRule type="expression" dxfId="1245" priority="2271">
      <formula>EQ30&gt;=25%</formula>
    </cfRule>
    <cfRule type="expression" dxfId="1244" priority="2272">
      <formula>EQ30&gt;0%</formula>
    </cfRule>
  </conditionalFormatting>
  <conditionalFormatting sqref="DP31 DP33 DP35 DP37 DP39 DP108 DP110 DP106:DQ107">
    <cfRule type="expression" dxfId="1243" priority="2267">
      <formula>AND(EC31=0%,ED31&lt;&gt;"")</formula>
    </cfRule>
  </conditionalFormatting>
  <conditionalFormatting sqref="DS35:EB35">
    <cfRule type="expression" dxfId="1242" priority="2283">
      <formula>#REF!=100%</formula>
    </cfRule>
    <cfRule type="expression" dxfId="1241" priority="2284">
      <formula>#REF!&gt;=75%</formula>
    </cfRule>
    <cfRule type="expression" dxfId="1240" priority="2285">
      <formula>#REF!&gt;=50%</formula>
    </cfRule>
    <cfRule type="expression" dxfId="1239" priority="2286">
      <formula>#REF!&gt;=25%</formula>
    </cfRule>
    <cfRule type="expression" dxfId="1238" priority="2287">
      <formula>#REF!&gt;0%</formula>
    </cfRule>
  </conditionalFormatting>
  <conditionalFormatting sqref="DT70:EB105 DT56:EB68 DT36:EB51 DT53:EB54">
    <cfRule type="expression" dxfId="1237" priority="2288">
      <formula>EJ35=100%</formula>
    </cfRule>
    <cfRule type="expression" dxfId="1236" priority="2289">
      <formula>EJ35&gt;=75%</formula>
    </cfRule>
    <cfRule type="expression" dxfId="1235" priority="2290">
      <formula>EJ35&gt;=50%</formula>
    </cfRule>
    <cfRule type="expression" dxfId="1234" priority="2291">
      <formula>EJ35&gt;=25%</formula>
    </cfRule>
    <cfRule type="expression" dxfId="1233" priority="2292">
      <formula>EJ35&gt;0%</formula>
    </cfRule>
  </conditionalFormatting>
  <conditionalFormatting sqref="DT107:EB111 EA112:EB113">
    <cfRule type="expression" dxfId="1232" priority="2293">
      <formula>EJ106=100%</formula>
    </cfRule>
    <cfRule type="expression" dxfId="1231" priority="2294">
      <formula>EJ106&gt;=75%</formula>
    </cfRule>
    <cfRule type="expression" dxfId="1230" priority="2295">
      <formula>EJ106&gt;=50%</formula>
    </cfRule>
    <cfRule type="expression" dxfId="1229" priority="2296">
      <formula>EJ106&gt;=25%</formula>
    </cfRule>
    <cfRule type="expression" dxfId="1228" priority="2297">
      <formula>EJ106&gt;0%</formula>
    </cfRule>
  </conditionalFormatting>
  <conditionalFormatting sqref="DT107:EB107">
    <cfRule type="expression" dxfId="1227" priority="2298">
      <formula>AND(EJ106=0%,EK106&lt;&gt;"")</formula>
    </cfRule>
  </conditionalFormatting>
  <conditionalFormatting sqref="DR107">
    <cfRule type="expression" dxfId="1226" priority="2299">
      <formula>AND(EE107=0%,EF106&lt;&gt;"")</formula>
    </cfRule>
  </conditionalFormatting>
  <conditionalFormatting sqref="AR17:AT18 BB25:BD26 BB17:BD18 BL17:BN18 AR9:AT10 BB9:BD10 BL9:BN10 BL25:BN26 I25:K26 I17:K18 S25:U26 S17:U18 AC17:AE18 I9:K10 S9:U10 AC9:AE10 AC25:AE26 AR25:AT26">
    <cfRule type="expression" dxfId="1225" priority="2265">
      <formula>OR(J11="",J14="",CJ11&gt;=1)</formula>
    </cfRule>
  </conditionalFormatting>
  <conditionalFormatting sqref="AW17:AY18 BG25:BI26 BG17:BI18 BQ17:BS18 AW9:AY10 BG9:BI10 BQ9:BS10 BQ25:BS26 N25:P26 N17:P18 X25:Z26 X17:Z18 AH17:AJ18 N9:P10 X9:Z10 AH9:AJ10 AH25:AJ26 AW25:AY26">
    <cfRule type="expression" dxfId="1224" priority="2264">
      <formula>OR(J11="",J14="",CJ11&gt;=1)</formula>
    </cfRule>
  </conditionalFormatting>
  <conditionalFormatting sqref="BO9:BP10 BO25:BP26 L25:M26 L17:M18 L9:M10 BO17:BP18 BE25:BF26 BE9:BF10 AU9:AV10 BE17:BF18 AU17:AV18 V17:W18 AF17:AG18 V25:W26 AF25:AG26 V9:W10 AF9:AG10 AU25:AV26">
    <cfRule type="expression" dxfId="1223" priority="963">
      <formula>OR( AND(J11="",J14="",CJ11=0),AND(J11="",J14&lt;&gt;"",CJ11=0),AND(J11="",J14&lt;&gt;"",CJ11&gt;=1),AND(J11&lt;&gt;"",J14="",CJ11&gt;=1),AND(J11&lt;&gt;"",J14&lt;&gt;"",CJ11&gt;=1))</formula>
    </cfRule>
    <cfRule type="expression" dxfId="1222" priority="964">
      <formula>AND(J11&lt;&gt;"",J14="",CJ11=0)</formula>
    </cfRule>
  </conditionalFormatting>
  <conditionalFormatting sqref="AS19:AX21 BC27:BH29 BC19:BH21 BM19:BR21 AS11:AX13 BC11:BH13 BM11:BR13 BM27:BR29 J27:O29 J19:O21 T27:Y29 T19:Y21 AD19:AI21 J11:O13 T11:Y13 AD11:AI13 AD27:AI29 AS27:AX29">
    <cfRule type="expression" dxfId="1221" priority="2258">
      <formula>OR( AND(J11="",J14="",CJ11=0),AND(J11="",J14&lt;&gt;"",CJ11=0),AND(J11="",J14&lt;&gt;"",CJ11&gt;=1),AND(J11&lt;&gt;"",J14="",CJ11&gt;=1),AND(J11&lt;&gt;"",J14&lt;&gt;"",CJ11&gt;=1))</formula>
    </cfRule>
    <cfRule type="expression" dxfId="1220" priority="2262">
      <formula>AND(J11&lt;&gt;"",J14="",CJ11=0)</formula>
    </cfRule>
  </conditionalFormatting>
  <conditionalFormatting sqref="AR19:AR22 BB27:BB30 BB19:BB22 BL19:BL22 AR11:AR14 BB11:BB14 BL11:BL14 BL27:BL30 I27:I30 I19:I22 S27:S30 S19:S22 AC19:AC22 I11:I14 S11:S14 AC11:AC14 AC27:AC30 AR27:AR30">
    <cfRule type="expression" dxfId="1219" priority="2261">
      <formula>OR(J11="",J14="",CJ11&gt;=1)</formula>
    </cfRule>
  </conditionalFormatting>
  <conditionalFormatting sqref="AS22:AX22 BC30:BH30 BC22:BH22 BM22:BR22 AS14:AX14 BC14:BH14 BM14:BR14 BM30:BR30 J30:O30 J22:O22 T30:Y30 T22:Y22 AD22:AI22 J14:O14 T14:Y14 AD14:AI14 AD30:AI30 AS30:AX30">
    <cfRule type="expression" dxfId="1218" priority="2260">
      <formula>OR(J11="",J14="",CJ11&gt;=1)</formula>
    </cfRule>
  </conditionalFormatting>
  <conditionalFormatting sqref="AY19:AY22 BI27:BI30 BI19:BI22 BS19:BS22 AY11:AY14 BI11:BI14 BS11:BS14 BS27:BS30 P27:P30 P19:P22 Z27:Z30 Z19:Z22 AJ19:AJ22 P11:P14 Z11:Z14 AJ11:AJ14 AJ27:AJ30 AY27:AY30">
    <cfRule type="expression" dxfId="1217" priority="2259">
      <formula>OR(J11="",J14="",CJ11&gt;=1)</formula>
    </cfRule>
  </conditionalFormatting>
  <conditionalFormatting sqref="AM33:AO33">
    <cfRule type="expression" dxfId="1216" priority="1915">
      <formula>AM33=""</formula>
    </cfRule>
  </conditionalFormatting>
  <conditionalFormatting sqref="AM109:AO110">
    <cfRule type="expression" dxfId="1215" priority="1406">
      <formula>AN133=0</formula>
    </cfRule>
  </conditionalFormatting>
  <conditionalFormatting sqref="AM137:AO137">
    <cfRule type="expression" dxfId="1214" priority="1405">
      <formula>AND(AN133=1,AM137="")</formula>
    </cfRule>
  </conditionalFormatting>
  <conditionalFormatting sqref="AM135:AO135">
    <cfRule type="expression" dxfId="1213" priority="1404">
      <formula>AND(AN133=1,AM135="")</formula>
    </cfRule>
  </conditionalFormatting>
  <conditionalFormatting sqref="AN136">
    <cfRule type="expression" dxfId="1212" priority="1403">
      <formula>AM135=""</formula>
    </cfRule>
  </conditionalFormatting>
  <conditionalFormatting sqref="DT106:EB106">
    <cfRule type="expression" dxfId="1211" priority="34318">
      <formula>EJ40=100%</formula>
    </cfRule>
    <cfRule type="expression" dxfId="1210" priority="34319">
      <formula>EJ40&gt;=75%</formula>
    </cfRule>
    <cfRule type="expression" dxfId="1209" priority="34320">
      <formula>EJ40&gt;=50%</formula>
    </cfRule>
    <cfRule type="expression" dxfId="1208" priority="34321">
      <formula>EJ40&gt;=25%</formula>
    </cfRule>
    <cfRule type="expression" dxfId="1207" priority="34322">
      <formula>EJ40&gt;0%</formula>
    </cfRule>
  </conditionalFormatting>
  <conditionalFormatting sqref="DT106:EB106">
    <cfRule type="expression" dxfId="1206" priority="34328">
      <formula>AND(EJ40=0%,EK40&lt;&gt;"")</formula>
    </cfRule>
  </conditionalFormatting>
  <conditionalFormatting sqref="DR106">
    <cfRule type="expression" dxfId="1205" priority="34330">
      <formula>AND(EE106=0%,EF40&lt;&gt;"")</formula>
    </cfRule>
  </conditionalFormatting>
  <conditionalFormatting sqref="AN95">
    <cfRule type="expression" dxfId="1204" priority="1038">
      <formula>AO96&gt;=1</formula>
    </cfRule>
    <cfRule type="expression" dxfId="1203" priority="1039">
      <formula>AM96&gt;=1</formula>
    </cfRule>
  </conditionalFormatting>
  <conditionalFormatting sqref="AM75:AO77">
    <cfRule type="expression" dxfId="1202" priority="1037">
      <formula>AO96=18</formula>
    </cfRule>
  </conditionalFormatting>
  <conditionalFormatting sqref="AN94">
    <cfRule type="expression" dxfId="1201" priority="1035">
      <formula>AO96&gt;=2</formula>
    </cfRule>
    <cfRule type="expression" dxfId="1200" priority="1036">
      <formula>AM96&gt;=2</formula>
    </cfRule>
  </conditionalFormatting>
  <conditionalFormatting sqref="AN93">
    <cfRule type="expression" dxfId="1199" priority="1018">
      <formula>AO96&gt;=3</formula>
    </cfRule>
    <cfRule type="expression" dxfId="1198" priority="1034">
      <formula>AM96&gt;=3</formula>
    </cfRule>
  </conditionalFormatting>
  <conditionalFormatting sqref="AN92">
    <cfRule type="expression" dxfId="1197" priority="1017">
      <formula>AO96&gt;=4</formula>
    </cfRule>
    <cfRule type="expression" dxfId="1196" priority="1033">
      <formula>AM96&gt;=4</formula>
    </cfRule>
  </conditionalFormatting>
  <conditionalFormatting sqref="AN91">
    <cfRule type="expression" dxfId="1195" priority="1016">
      <formula>AO96&gt;=5</formula>
    </cfRule>
    <cfRule type="expression" dxfId="1194" priority="1032">
      <formula>AM96&gt;=5</formula>
    </cfRule>
  </conditionalFormatting>
  <conditionalFormatting sqref="AN90">
    <cfRule type="expression" dxfId="1193" priority="1015">
      <formula>AO96&gt;=6</formula>
    </cfRule>
    <cfRule type="expression" dxfId="1192" priority="1031">
      <formula>AM96&gt;=6</formula>
    </cfRule>
  </conditionalFormatting>
  <conditionalFormatting sqref="AN89">
    <cfRule type="expression" dxfId="1191" priority="1014">
      <formula>AO96&gt;=7</formula>
    </cfRule>
    <cfRule type="expression" dxfId="1190" priority="1030">
      <formula>AM96&gt;=7</formula>
    </cfRule>
  </conditionalFormatting>
  <conditionalFormatting sqref="AN88">
    <cfRule type="expression" dxfId="1189" priority="1013">
      <formula>AO96&gt;=8</formula>
    </cfRule>
    <cfRule type="expression" dxfId="1188" priority="1029">
      <formula>AM96&gt;=8</formula>
    </cfRule>
  </conditionalFormatting>
  <conditionalFormatting sqref="AN87">
    <cfRule type="expression" dxfId="1187" priority="1012">
      <formula>AO96&gt;=9</formula>
    </cfRule>
    <cfRule type="expression" dxfId="1186" priority="1028">
      <formula>AM96&gt;=9</formula>
    </cfRule>
  </conditionalFormatting>
  <conditionalFormatting sqref="AN86">
    <cfRule type="expression" dxfId="1185" priority="1011">
      <formula>AO96&gt;=10</formula>
    </cfRule>
    <cfRule type="expression" dxfId="1184" priority="1027">
      <formula>AM96&gt;=10</formula>
    </cfRule>
  </conditionalFormatting>
  <conditionalFormatting sqref="AN85">
    <cfRule type="expression" dxfId="1183" priority="1010">
      <formula>AO96&gt;=11</formula>
    </cfRule>
    <cfRule type="expression" dxfId="1182" priority="1026">
      <formula>AM96&gt;=11</formula>
    </cfRule>
  </conditionalFormatting>
  <conditionalFormatting sqref="AN84">
    <cfRule type="expression" dxfId="1181" priority="1009">
      <formula>AO96&gt;=12</formula>
    </cfRule>
    <cfRule type="expression" dxfId="1180" priority="1025">
      <formula>AM96&gt;=12</formula>
    </cfRule>
  </conditionalFormatting>
  <conditionalFormatting sqref="AN83">
    <cfRule type="expression" dxfId="1179" priority="1008">
      <formula>AO96&gt;=13</formula>
    </cfRule>
    <cfRule type="expression" dxfId="1178" priority="1024">
      <formula>AM96&gt;=13</formula>
    </cfRule>
  </conditionalFormatting>
  <conditionalFormatting sqref="AN82">
    <cfRule type="expression" dxfId="1177" priority="1007">
      <formula>AO96&gt;=14</formula>
    </cfRule>
    <cfRule type="expression" dxfId="1176" priority="1023">
      <formula>AM96&gt;=14</formula>
    </cfRule>
  </conditionalFormatting>
  <conditionalFormatting sqref="AN81">
    <cfRule type="expression" dxfId="1175" priority="1006">
      <formula>AO96&gt;=15</formula>
    </cfRule>
    <cfRule type="expression" dxfId="1174" priority="1022">
      <formula>AM96&gt;=15</formula>
    </cfRule>
  </conditionalFormatting>
  <conditionalFormatting sqref="AN80">
    <cfRule type="expression" dxfId="1173" priority="1005">
      <formula>AO96&gt;=16</formula>
    </cfRule>
    <cfRule type="expression" dxfId="1172" priority="1021">
      <formula>AM96&gt;=16</formula>
    </cfRule>
  </conditionalFormatting>
  <conditionalFormatting sqref="AN79">
    <cfRule type="expression" dxfId="1171" priority="1004">
      <formula>AO96&gt;=17</formula>
    </cfRule>
    <cfRule type="expression" dxfId="1170" priority="1020">
      <formula>AM96&gt;=17</formula>
    </cfRule>
  </conditionalFormatting>
  <conditionalFormatting sqref="AN78">
    <cfRule type="expression" dxfId="1169" priority="1003">
      <formula>AO96&gt;=18</formula>
    </cfRule>
    <cfRule type="expression" dxfId="1168" priority="1019">
      <formula>AM96&gt;=18</formula>
    </cfRule>
  </conditionalFormatting>
  <conditionalFormatting sqref="AK72">
    <cfRule type="expression" dxfId="1167" priority="34380">
      <formula>AN96=0</formula>
    </cfRule>
  </conditionalFormatting>
  <conditionalFormatting sqref="L9:M10">
    <cfRule type="expression" dxfId="1166" priority="2263">
      <formula>AN8&lt;&gt;1</formula>
    </cfRule>
  </conditionalFormatting>
  <conditionalFormatting sqref="V9:W10">
    <cfRule type="expression" dxfId="1165" priority="2257">
      <formula>AN8&lt;&gt;1</formula>
    </cfRule>
  </conditionalFormatting>
  <conditionalFormatting sqref="AF9:AG10">
    <cfRule type="expression" dxfId="1164" priority="980">
      <formula>AN8&lt;&gt;1</formula>
    </cfRule>
  </conditionalFormatting>
  <conditionalFormatting sqref="L17:M18">
    <cfRule type="expression" dxfId="1163" priority="979">
      <formula>AN8&lt;&gt;1</formula>
    </cfRule>
  </conditionalFormatting>
  <conditionalFormatting sqref="V17:W18">
    <cfRule type="expression" dxfId="1162" priority="978">
      <formula>AN8&lt;&gt;1</formula>
    </cfRule>
  </conditionalFormatting>
  <conditionalFormatting sqref="AF17:AG18">
    <cfRule type="expression" dxfId="1161" priority="977">
      <formula>AN8&lt;&gt;1</formula>
    </cfRule>
  </conditionalFormatting>
  <conditionalFormatting sqref="L25:M26">
    <cfRule type="expression" dxfId="1160" priority="976">
      <formula>AN8&lt;&gt;1</formula>
    </cfRule>
  </conditionalFormatting>
  <conditionalFormatting sqref="V25:W26">
    <cfRule type="expression" dxfId="1159" priority="975">
      <formula>AN8&lt;&gt;1</formula>
    </cfRule>
  </conditionalFormatting>
  <conditionalFormatting sqref="AF25:AG26">
    <cfRule type="expression" dxfId="1158" priority="974">
      <formula>AN8&lt;&gt;1</formula>
    </cfRule>
  </conditionalFormatting>
  <conditionalFormatting sqref="AU9:AV10">
    <cfRule type="expression" dxfId="1157" priority="973">
      <formula>AN8&lt;&gt;1</formula>
    </cfRule>
  </conditionalFormatting>
  <conditionalFormatting sqref="BE9:BF10">
    <cfRule type="expression" dxfId="1156" priority="972">
      <formula>AN8&lt;&gt;1</formula>
    </cfRule>
  </conditionalFormatting>
  <conditionalFormatting sqref="BO9:BP10">
    <cfRule type="expression" dxfId="1155" priority="971">
      <formula>AN8&lt;&gt;1</formula>
    </cfRule>
  </conditionalFormatting>
  <conditionalFormatting sqref="AU17:AV18">
    <cfRule type="expression" dxfId="1154" priority="970">
      <formula>AN8&lt;&gt;1</formula>
    </cfRule>
  </conditionalFormatting>
  <conditionalFormatting sqref="BE17:BF18">
    <cfRule type="expression" dxfId="1153" priority="969">
      <formula>AN8&lt;&gt;1</formula>
    </cfRule>
  </conditionalFormatting>
  <conditionalFormatting sqref="BO17:BP18">
    <cfRule type="expression" dxfId="1152" priority="968">
      <formula>AN8&lt;&gt;1</formula>
    </cfRule>
  </conditionalFormatting>
  <conditionalFormatting sqref="AU25:AV26">
    <cfRule type="expression" dxfId="1151" priority="967">
      <formula>AN8&lt;&gt;1</formula>
    </cfRule>
  </conditionalFormatting>
  <conditionalFormatting sqref="BE25:BF26">
    <cfRule type="expression" dxfId="1150" priority="966">
      <formula>AN8&lt;&gt;1</formula>
    </cfRule>
  </conditionalFormatting>
  <conditionalFormatting sqref="BO25:BP26">
    <cfRule type="expression" dxfId="1149" priority="965">
      <formula>AN8&lt;&gt;1</formula>
    </cfRule>
  </conditionalFormatting>
  <conditionalFormatting sqref="AK98:AQ99">
    <cfRule type="expression" dxfId="1148" priority="926">
      <formula>AN96=0</formula>
    </cfRule>
  </conditionalFormatting>
  <conditionalFormatting sqref="I91:K92 I83:K84 S91:U92 S83:U84 AC83:AE84 I75:K76 S75:U76 AC75:AE76 AC91:AE92">
    <cfRule type="expression" dxfId="1147" priority="925">
      <formula>J77=""</formula>
    </cfRule>
  </conditionalFormatting>
  <conditionalFormatting sqref="N91:P92 N83:P84 X91:Z92 X83:Z84 AH83:AJ84 N75:P76 X75:Z76 AH75:AJ76 AH91:AJ92">
    <cfRule type="expression" dxfId="1146" priority="924">
      <formula>J77=""</formula>
    </cfRule>
  </conditionalFormatting>
  <conditionalFormatting sqref="L91:M92 L83:M84 L75:M76 V83:W84 AF83:AG84 V91:W92 AF91:AG92 V75:W76 AF75:AG76">
    <cfRule type="expression" dxfId="1145" priority="909">
      <formula>J77=""</formula>
    </cfRule>
  </conditionalFormatting>
  <conditionalFormatting sqref="J93:O95 J85:O87 T93:Y95 T85:Y87 AD85:AI87 J77:O79 T77:Y79 AD77:AI79 AD93:AI95">
    <cfRule type="expression" dxfId="1144" priority="918">
      <formula>J77=""</formula>
    </cfRule>
  </conditionalFormatting>
  <conditionalFormatting sqref="I93:I96 I85:I88 S93:S96 S85:S88 AC85:AC88 I77:I80 S77:S80 AC77:AC80 AC93:AC96">
    <cfRule type="expression" dxfId="1143" priority="921">
      <formula>J77=""</formula>
    </cfRule>
  </conditionalFormatting>
  <conditionalFormatting sqref="J96:O96 J88:O88 T96:Y96 T88:Y88 AD88:AI88 J80:O80 T80:Y80 AD80:AI80 AD96:AI96">
    <cfRule type="expression" dxfId="1142" priority="920">
      <formula>J77=""</formula>
    </cfRule>
  </conditionalFormatting>
  <conditionalFormatting sqref="P93:P96 P85:P88 Z93:Z96 Z85:Z88 AJ85:AJ88 P77:P80 Z77:Z80 AJ77:AJ80 AJ93:AJ96">
    <cfRule type="expression" dxfId="1141" priority="919">
      <formula>J77=""</formula>
    </cfRule>
  </conditionalFormatting>
  <conditionalFormatting sqref="V75:W76">
    <cfRule type="expression" dxfId="1140" priority="917">
      <formula>AN74&lt;&gt;1</formula>
    </cfRule>
  </conditionalFormatting>
  <conditionalFormatting sqref="AF75:AG76">
    <cfRule type="expression" dxfId="1139" priority="916">
      <formula>AN74&lt;&gt;1</formula>
    </cfRule>
  </conditionalFormatting>
  <conditionalFormatting sqref="L83:M84">
    <cfRule type="expression" dxfId="1138" priority="915">
      <formula>AN74&lt;&gt;1</formula>
    </cfRule>
  </conditionalFormatting>
  <conditionalFormatting sqref="V83:W84">
    <cfRule type="expression" dxfId="1137" priority="914">
      <formula>AN74&lt;&gt;1</formula>
    </cfRule>
  </conditionalFormatting>
  <conditionalFormatting sqref="AF83:AG84">
    <cfRule type="expression" dxfId="1136" priority="913">
      <formula>AN74&lt;&gt;1</formula>
    </cfRule>
  </conditionalFormatting>
  <conditionalFormatting sqref="L91:M92">
    <cfRule type="expression" dxfId="1135" priority="912">
      <formula>AN74&lt;&gt;1</formula>
    </cfRule>
  </conditionalFormatting>
  <conditionalFormatting sqref="V91:W92">
    <cfRule type="expression" dxfId="1134" priority="911">
      <formula>AN74&lt;&gt;1</formula>
    </cfRule>
  </conditionalFormatting>
  <conditionalFormatting sqref="AF91:AG92">
    <cfRule type="expression" dxfId="1133" priority="910">
      <formula>AN74&lt;&gt;1</formula>
    </cfRule>
  </conditionalFormatting>
  <conditionalFormatting sqref="AR83:AT84 BB91:BD92 BB83:BD84 BL83:BN84 AR75:AT76 BB75:BD76 BL75:BN76 BL91:BN92 AR91:AT92">
    <cfRule type="expression" dxfId="1132" priority="907">
      <formula>AS77=""</formula>
    </cfRule>
  </conditionalFormatting>
  <conditionalFormatting sqref="AW83:AY84 BG91:BI92 BG83:BI84 BQ83:BS84 AW75:AY76 BG75:BI76 BQ75:BS76 BQ91:BS92 AW91:AY92">
    <cfRule type="expression" dxfId="1131" priority="906">
      <formula>AS77=""</formula>
    </cfRule>
  </conditionalFormatting>
  <conditionalFormatting sqref="BO75:BP76 BO91:BP92 BO83:BP84 BE91:BF92 BE75:BF76 AU75:AV76 BE83:BF84 AU83:AV84 AU91:AV92">
    <cfRule type="expression" dxfId="1130" priority="891">
      <formula>AS77=""</formula>
    </cfRule>
  </conditionalFormatting>
  <conditionalFormatting sqref="AS85:AX87 BC93:BH95 BC85:BH87 BM85:BR87 AS77:AX79 BC77:BH79 BM77:BR79 BM93:BR95 AS93:AX95">
    <cfRule type="expression" dxfId="1129" priority="901">
      <formula>AS77=""</formula>
    </cfRule>
  </conditionalFormatting>
  <conditionalFormatting sqref="AR85:AR88 BB93:BB96 BB85:BB88 BL85:BL88 AR77:AR80 BB77:BB80 BL77:BL80 BL93:BL96 AR93:AR96">
    <cfRule type="expression" dxfId="1128" priority="904">
      <formula>AS77=""</formula>
    </cfRule>
  </conditionalFormatting>
  <conditionalFormatting sqref="AS88:AX88 BC96:BH96 BC88:BH88 BM88:BR88 AS80:AX80 BC80:BH80 BM80:BR80 BM96:BR96 AS96:AX96">
    <cfRule type="expression" dxfId="1127" priority="903">
      <formula>AS77=""</formula>
    </cfRule>
  </conditionalFormatting>
  <conditionalFormatting sqref="AY85:AY88 BI93:BI96 BI85:BI88 BS85:BS88 AY77:AY80 BI77:BI80 BS77:BS80 BS93:BS96 AY93:AY96">
    <cfRule type="expression" dxfId="1126" priority="902">
      <formula>AS77=""</formula>
    </cfRule>
  </conditionalFormatting>
  <conditionalFormatting sqref="BE75:BF76">
    <cfRule type="expression" dxfId="1125" priority="899">
      <formula>AN74&lt;&gt;1</formula>
    </cfRule>
  </conditionalFormatting>
  <conditionalFormatting sqref="BO75:BP76">
    <cfRule type="expression" dxfId="1124" priority="898">
      <formula>AN74&lt;&gt;1</formula>
    </cfRule>
  </conditionalFormatting>
  <conditionalFormatting sqref="AU83:AV84">
    <cfRule type="expression" dxfId="1123" priority="897">
      <formula>AN74&lt;&gt;1</formula>
    </cfRule>
  </conditionalFormatting>
  <conditionalFormatting sqref="BE83:BF84">
    <cfRule type="expression" dxfId="1122" priority="896">
      <formula>AN74&lt;&gt;1</formula>
    </cfRule>
  </conditionalFormatting>
  <conditionalFormatting sqref="BO83:BP84">
    <cfRule type="expression" dxfId="1121" priority="895">
      <formula>AN74&lt;&gt;1</formula>
    </cfRule>
  </conditionalFormatting>
  <conditionalFormatting sqref="AU91:AV92">
    <cfRule type="expression" dxfId="1120" priority="894">
      <formula>AN74&lt;&gt;1</formula>
    </cfRule>
  </conditionalFormatting>
  <conditionalFormatting sqref="BE91:BF92">
    <cfRule type="expression" dxfId="1119" priority="893">
      <formula>AN74&lt;&gt;1</formula>
    </cfRule>
  </conditionalFormatting>
  <conditionalFormatting sqref="BO91:BP92">
    <cfRule type="expression" dxfId="1118" priority="892">
      <formula>AN74&lt;&gt;1</formula>
    </cfRule>
  </conditionalFormatting>
  <conditionalFormatting sqref="DT31:EB34 EA22:EB26">
    <cfRule type="expression" dxfId="1117" priority="34454">
      <formula>EJ22=100%</formula>
    </cfRule>
    <cfRule type="expression" dxfId="1116" priority="34455">
      <formula>EJ22&gt;=75%</formula>
    </cfRule>
    <cfRule type="expression" dxfId="1115" priority="34456">
      <formula>EJ22&gt;=50%</formula>
    </cfRule>
    <cfRule type="expression" dxfId="1114" priority="34457">
      <formula>EJ22&gt;=25%</formula>
    </cfRule>
    <cfRule type="expression" dxfId="1113" priority="34458">
      <formula>EJ22&gt;0%</formula>
    </cfRule>
  </conditionalFormatting>
  <conditionalFormatting sqref="DS70:DS105 DS56:DS68 DS36:DS51 DS53:DS54">
    <cfRule type="expression" dxfId="1112" priority="34504">
      <formula>EF35=100%</formula>
    </cfRule>
    <cfRule type="expression" dxfId="1111" priority="34505">
      <formula>EF35&gt;=75%</formula>
    </cfRule>
    <cfRule type="expression" dxfId="1110" priority="34506">
      <formula>EF35&gt;=50%</formula>
    </cfRule>
    <cfRule type="expression" dxfId="1109" priority="34507">
      <formula>EF35&gt;=25%</formula>
    </cfRule>
    <cfRule type="expression" dxfId="1108" priority="34508">
      <formula>EF35&gt;0%</formula>
    </cfRule>
  </conditionalFormatting>
  <conditionalFormatting sqref="DS107:DS111">
    <cfRule type="expression" dxfId="1107" priority="34514">
      <formula>EF106=100%</formula>
    </cfRule>
    <cfRule type="expression" dxfId="1106" priority="34515">
      <formula>EF106&gt;=75%</formula>
    </cfRule>
    <cfRule type="expression" dxfId="1105" priority="34516">
      <formula>EF106&gt;=50%</formula>
    </cfRule>
    <cfRule type="expression" dxfId="1104" priority="34517">
      <formula>EF106&gt;=25%</formula>
    </cfRule>
    <cfRule type="expression" dxfId="1103" priority="34518">
      <formula>EF106&gt;0%</formula>
    </cfRule>
  </conditionalFormatting>
  <conditionalFormatting sqref="DS107">
    <cfRule type="expression" dxfId="1102" priority="34524">
      <formula>AND(EF106=0%,EG106&lt;&gt;"")</formula>
    </cfRule>
  </conditionalFormatting>
  <conditionalFormatting sqref="DS106">
    <cfRule type="expression" dxfId="1101" priority="34526">
      <formula>EF40=100%</formula>
    </cfRule>
    <cfRule type="expression" dxfId="1100" priority="34527">
      <formula>EF40&gt;=75%</formula>
    </cfRule>
    <cfRule type="expression" dxfId="1099" priority="34528">
      <formula>EF40&gt;=50%</formula>
    </cfRule>
    <cfRule type="expression" dxfId="1098" priority="34529">
      <formula>EF40&gt;=25%</formula>
    </cfRule>
    <cfRule type="expression" dxfId="1097" priority="34530">
      <formula>EF40&gt;0%</formula>
    </cfRule>
  </conditionalFormatting>
  <conditionalFormatting sqref="DS106">
    <cfRule type="expression" dxfId="1096" priority="34536">
      <formula>AND(EF40=0%,EG40&lt;&gt;"")</formula>
    </cfRule>
  </conditionalFormatting>
  <conditionalFormatting sqref="DT69:EB69">
    <cfRule type="expression" dxfId="1095" priority="34590">
      <formula>EJ40=100%</formula>
    </cfRule>
    <cfRule type="expression" dxfId="1094" priority="34591">
      <formula>EJ40&gt;=75%</formula>
    </cfRule>
    <cfRule type="expression" dxfId="1093" priority="34592">
      <formula>EJ40&gt;=50%</formula>
    </cfRule>
    <cfRule type="expression" dxfId="1092" priority="34593">
      <formula>EJ40&gt;=25%</formula>
    </cfRule>
    <cfRule type="expression" dxfId="1091" priority="34594">
      <formula>EJ40&gt;0%</formula>
    </cfRule>
  </conditionalFormatting>
  <conditionalFormatting sqref="DS69">
    <cfRule type="expression" dxfId="1090" priority="34605">
      <formula>EF40=100%</formula>
    </cfRule>
    <cfRule type="expression" dxfId="1089" priority="34606">
      <formula>EF40&gt;=75%</formula>
    </cfRule>
    <cfRule type="expression" dxfId="1088" priority="34607">
      <formula>EF40&gt;=50%</formula>
    </cfRule>
    <cfRule type="expression" dxfId="1087" priority="34608">
      <formula>EF40&gt;=25%</formula>
    </cfRule>
    <cfRule type="expression" dxfId="1086" priority="34609">
      <formula>EF40&gt;0%</formula>
    </cfRule>
  </conditionalFormatting>
  <conditionalFormatting sqref="DT55:EB55">
    <cfRule type="expression" dxfId="1085" priority="34663">
      <formula>EJ46=100%</formula>
    </cfRule>
    <cfRule type="expression" dxfId="1084" priority="34664">
      <formula>EJ46&gt;=75%</formula>
    </cfRule>
    <cfRule type="expression" dxfId="1083" priority="34665">
      <formula>EJ46&gt;=50%</formula>
    </cfRule>
    <cfRule type="expression" dxfId="1082" priority="34666">
      <formula>EJ46&gt;=25%</formula>
    </cfRule>
    <cfRule type="expression" dxfId="1081" priority="34667">
      <formula>EJ46&gt;0%</formula>
    </cfRule>
  </conditionalFormatting>
  <conditionalFormatting sqref="DS55">
    <cfRule type="expression" dxfId="1080" priority="34678">
      <formula>EF46=100%</formula>
    </cfRule>
    <cfRule type="expression" dxfId="1079" priority="34679">
      <formula>EF46&gt;=75%</formula>
    </cfRule>
    <cfRule type="expression" dxfId="1078" priority="34680">
      <formula>EF46&gt;=50%</formula>
    </cfRule>
    <cfRule type="expression" dxfId="1077" priority="34681">
      <formula>EF46&gt;=25%</formula>
    </cfRule>
    <cfRule type="expression" dxfId="1076" priority="34682">
      <formula>EF46&gt;0%</formula>
    </cfRule>
  </conditionalFormatting>
  <conditionalFormatting sqref="DT52:EB52">
    <cfRule type="expression" dxfId="1075" priority="34736">
      <formula>EJ47=100%</formula>
    </cfRule>
    <cfRule type="expression" dxfId="1074" priority="34737">
      <formula>EJ47&gt;=75%</formula>
    </cfRule>
    <cfRule type="expression" dxfId="1073" priority="34738">
      <formula>EJ47&gt;=50%</formula>
    </cfRule>
    <cfRule type="expression" dxfId="1072" priority="34739">
      <formula>EJ47&gt;=25%</formula>
    </cfRule>
    <cfRule type="expression" dxfId="1071" priority="34740">
      <formula>EJ47&gt;0%</formula>
    </cfRule>
  </conditionalFormatting>
  <conditionalFormatting sqref="DS52">
    <cfRule type="expression" dxfId="1070" priority="34751">
      <formula>EF47=100%</formula>
    </cfRule>
    <cfRule type="expression" dxfId="1069" priority="34752">
      <formula>EF47&gt;=75%</formula>
    </cfRule>
    <cfRule type="expression" dxfId="1068" priority="34753">
      <formula>EF47&gt;=50%</formula>
    </cfRule>
    <cfRule type="expression" dxfId="1067" priority="34754">
      <formula>EF47&gt;=25%</formula>
    </cfRule>
    <cfRule type="expression" dxfId="1066" priority="34755">
      <formula>EF47&gt;0%</formula>
    </cfRule>
  </conditionalFormatting>
  <conditionalFormatting sqref="AM442:AO443">
    <cfRule type="expression" dxfId="1065" priority="630">
      <formula>AN444=0</formula>
    </cfRule>
  </conditionalFormatting>
  <conditionalFormatting sqref="AM445:AO446">
    <cfRule type="expression" dxfId="1064" priority="591">
      <formula>AN447=0</formula>
    </cfRule>
  </conditionalFormatting>
  <conditionalFormatting sqref="AM448:AO449">
    <cfRule type="expression" dxfId="1063" priority="590">
      <formula>AN450=0</formula>
    </cfRule>
  </conditionalFormatting>
  <conditionalFormatting sqref="AM451:AO452">
    <cfRule type="expression" dxfId="1062" priority="589">
      <formula>AN453=0</formula>
    </cfRule>
  </conditionalFormatting>
  <conditionalFormatting sqref="AM454:AO455">
    <cfRule type="expression" dxfId="1061" priority="588">
      <formula>AN456=0</formula>
    </cfRule>
  </conditionalFormatting>
  <conditionalFormatting sqref="AM457:AO458">
    <cfRule type="expression" dxfId="1060" priority="587">
      <formula>AN459=0</formula>
    </cfRule>
  </conditionalFormatting>
  <conditionalFormatting sqref="AM460:AO461">
    <cfRule type="expression" dxfId="1059" priority="586">
      <formula>AN462=0</formula>
    </cfRule>
  </conditionalFormatting>
  <conditionalFormatting sqref="AM463:AO464">
    <cfRule type="expression" dxfId="1058" priority="585">
      <formula>AN465=0</formula>
    </cfRule>
  </conditionalFormatting>
  <conditionalFormatting sqref="AM466:AO467">
    <cfRule type="expression" dxfId="1057" priority="584">
      <formula>AN468=0</formula>
    </cfRule>
  </conditionalFormatting>
  <conditionalFormatting sqref="AM469:AO470">
    <cfRule type="expression" dxfId="1056" priority="583">
      <formula>AN471&lt;&gt;9</formula>
    </cfRule>
  </conditionalFormatting>
  <conditionalFormatting sqref="AI443:AK445">
    <cfRule type="expression" dxfId="1055" priority="497">
      <formula>AJ446=0</formula>
    </cfRule>
  </conditionalFormatting>
  <conditionalFormatting sqref="AQ443:AS445">
    <cfRule type="expression" dxfId="1054" priority="496">
      <formula>AR446=0</formula>
    </cfRule>
  </conditionalFormatting>
  <conditionalFormatting sqref="AU447:AW449">
    <cfRule type="expression" dxfId="1053" priority="495">
      <formula>AV450=0</formula>
    </cfRule>
  </conditionalFormatting>
  <conditionalFormatting sqref="AE447:AG449">
    <cfRule type="expression" dxfId="1052" priority="494">
      <formula>AF450=0</formula>
    </cfRule>
  </conditionalFormatting>
  <conditionalFormatting sqref="AA451:AC453">
    <cfRule type="expression" dxfId="1051" priority="493">
      <formula>AB454=0</formula>
    </cfRule>
  </conditionalFormatting>
  <conditionalFormatting sqref="AI451:AK453">
    <cfRule type="expression" dxfId="1050" priority="492">
      <formula>AJ454=0</formula>
    </cfRule>
  </conditionalFormatting>
  <conditionalFormatting sqref="AE455:AG457">
    <cfRule type="expression" dxfId="1049" priority="491">
      <formula>AF458=0</formula>
    </cfRule>
  </conditionalFormatting>
  <conditionalFormatting sqref="W455:Y457">
    <cfRule type="expression" dxfId="1048" priority="490">
      <formula>X458=0</formula>
    </cfRule>
  </conditionalFormatting>
  <conditionalFormatting sqref="AA459:AC461">
    <cfRule type="expression" dxfId="1047" priority="489">
      <formula>AB462=0</formula>
    </cfRule>
  </conditionalFormatting>
  <conditionalFormatting sqref="AE463:AG465">
    <cfRule type="expression" dxfId="1046" priority="488">
      <formula>AF466=0</formula>
    </cfRule>
  </conditionalFormatting>
  <conditionalFormatting sqref="AI467:AK469">
    <cfRule type="expression" dxfId="1045" priority="487">
      <formula>AJ470&lt;&gt;9</formula>
    </cfRule>
  </conditionalFormatting>
  <conditionalFormatting sqref="AU463:AW465">
    <cfRule type="expression" dxfId="1044" priority="485">
      <formula>AV466=0</formula>
    </cfRule>
  </conditionalFormatting>
  <conditionalFormatting sqref="AY459:BA461">
    <cfRule type="expression" dxfId="1043" priority="484">
      <formula>AZ462=0</formula>
    </cfRule>
  </conditionalFormatting>
  <conditionalFormatting sqref="AQ459:AS461">
    <cfRule type="expression" dxfId="1042" priority="483">
      <formula>AR462=0</formula>
    </cfRule>
  </conditionalFormatting>
  <conditionalFormatting sqref="AI459:AK461">
    <cfRule type="expression" dxfId="1041" priority="482">
      <formula>AJ462=0</formula>
    </cfRule>
  </conditionalFormatting>
  <conditionalFormatting sqref="AU455:AW457">
    <cfRule type="expression" dxfId="1040" priority="481">
      <formula>AV458=0</formula>
    </cfRule>
  </conditionalFormatting>
  <conditionalFormatting sqref="AQ451:AS453">
    <cfRule type="expression" dxfId="1039" priority="480">
      <formula>AR454=0</formula>
    </cfRule>
  </conditionalFormatting>
  <conditionalFormatting sqref="AY451:BA453">
    <cfRule type="expression" dxfId="1038" priority="479">
      <formula>AZ454=0</formula>
    </cfRule>
  </conditionalFormatting>
  <conditionalFormatting sqref="BC455:BE457">
    <cfRule type="expression" dxfId="1037" priority="478">
      <formula>BD458=0</formula>
    </cfRule>
  </conditionalFormatting>
  <conditionalFormatting sqref="AQ467:AS469">
    <cfRule type="expression" dxfId="1036" priority="477">
      <formula>AR470&lt;&gt;9</formula>
    </cfRule>
  </conditionalFormatting>
  <conditionalFormatting sqref="AN29">
    <cfRule type="expression" dxfId="1035" priority="434">
      <formula>AO30&gt;=1</formula>
    </cfRule>
    <cfRule type="expression" dxfId="1034" priority="435">
      <formula>AM30&gt;=1</formula>
    </cfRule>
  </conditionalFormatting>
  <conditionalFormatting sqref="AM9:AO11">
    <cfRule type="expression" dxfId="1033" priority="433">
      <formula>AO30=18</formula>
    </cfRule>
  </conditionalFormatting>
  <conditionalFormatting sqref="AN28">
    <cfRule type="expression" dxfId="1032" priority="431">
      <formula>AO30&gt;=2</formula>
    </cfRule>
    <cfRule type="expression" dxfId="1031" priority="432">
      <formula>AM30&gt;=2</formula>
    </cfRule>
  </conditionalFormatting>
  <conditionalFormatting sqref="AN27">
    <cfRule type="expression" dxfId="1030" priority="414">
      <formula>AO30&gt;=3</formula>
    </cfRule>
    <cfRule type="expression" dxfId="1029" priority="430">
      <formula>AM30&gt;=3</formula>
    </cfRule>
  </conditionalFormatting>
  <conditionalFormatting sqref="AN26">
    <cfRule type="expression" dxfId="1028" priority="413">
      <formula>AO30&gt;=4</formula>
    </cfRule>
    <cfRule type="expression" dxfId="1027" priority="429">
      <formula>AM30&gt;=4</formula>
    </cfRule>
  </conditionalFormatting>
  <conditionalFormatting sqref="AN25">
    <cfRule type="expression" dxfId="1026" priority="412">
      <formula>AO30&gt;=5</formula>
    </cfRule>
    <cfRule type="expression" dxfId="1025" priority="428">
      <formula>AM30&gt;=5</formula>
    </cfRule>
  </conditionalFormatting>
  <conditionalFormatting sqref="AN24">
    <cfRule type="expression" dxfId="1024" priority="411">
      <formula>AO30&gt;=6</formula>
    </cfRule>
    <cfRule type="expression" dxfId="1023" priority="427">
      <formula>AM30&gt;=6</formula>
    </cfRule>
  </conditionalFormatting>
  <conditionalFormatting sqref="AN23">
    <cfRule type="expression" dxfId="1022" priority="410">
      <formula>AO30&gt;=7</formula>
    </cfRule>
    <cfRule type="expression" dxfId="1021" priority="426">
      <formula>AM30&gt;=7</formula>
    </cfRule>
  </conditionalFormatting>
  <conditionalFormatting sqref="AN22">
    <cfRule type="expression" dxfId="1020" priority="409">
      <formula>AO30&gt;=8</formula>
    </cfRule>
    <cfRule type="expression" dxfId="1019" priority="425">
      <formula>AM30&gt;=8</formula>
    </cfRule>
  </conditionalFormatting>
  <conditionalFormatting sqref="AN21">
    <cfRule type="expression" dxfId="1018" priority="408">
      <formula>AO30&gt;=9</formula>
    </cfRule>
    <cfRule type="expression" dxfId="1017" priority="424">
      <formula>AM30&gt;=9</formula>
    </cfRule>
  </conditionalFormatting>
  <conditionalFormatting sqref="AN20">
    <cfRule type="expression" dxfId="1016" priority="407">
      <formula>AO30&gt;=10</formula>
    </cfRule>
    <cfRule type="expression" dxfId="1015" priority="423">
      <formula>AM30&gt;=10</formula>
    </cfRule>
  </conditionalFormatting>
  <conditionalFormatting sqref="AN19">
    <cfRule type="expression" dxfId="1014" priority="406">
      <formula>AO30&gt;=11</formula>
    </cfRule>
    <cfRule type="expression" dxfId="1013" priority="422">
      <formula>AM30&gt;=11</formula>
    </cfRule>
  </conditionalFormatting>
  <conditionalFormatting sqref="AN18">
    <cfRule type="expression" dxfId="1012" priority="405">
      <formula>AO30&gt;=12</formula>
    </cfRule>
    <cfRule type="expression" dxfId="1011" priority="421">
      <formula>AM30&gt;=12</formula>
    </cfRule>
  </conditionalFormatting>
  <conditionalFormatting sqref="AN17">
    <cfRule type="expression" dxfId="1010" priority="404">
      <formula>AO30&gt;=13</formula>
    </cfRule>
    <cfRule type="expression" dxfId="1009" priority="420">
      <formula>AM30&gt;=13</formula>
    </cfRule>
  </conditionalFormatting>
  <conditionalFormatting sqref="AN16">
    <cfRule type="expression" dxfId="1008" priority="403">
      <formula>AO30&gt;=14</formula>
    </cfRule>
    <cfRule type="expression" dxfId="1007" priority="419">
      <formula>AM30&gt;=14</formula>
    </cfRule>
  </conditionalFormatting>
  <conditionalFormatting sqref="AN15">
    <cfRule type="expression" dxfId="1006" priority="402">
      <formula>AO30&gt;=15</formula>
    </cfRule>
    <cfRule type="expression" dxfId="1005" priority="418">
      <formula>AM30&gt;=15</formula>
    </cfRule>
  </conditionalFormatting>
  <conditionalFormatting sqref="AN14">
    <cfRule type="expression" dxfId="1004" priority="401">
      <formula>AO30&gt;=16</formula>
    </cfRule>
    <cfRule type="expression" dxfId="1003" priority="417">
      <formula>AM30&gt;=16</formula>
    </cfRule>
  </conditionalFormatting>
  <conditionalFormatting sqref="AN13">
    <cfRule type="expression" dxfId="1002" priority="400">
      <formula>AO30&gt;=17</formula>
    </cfRule>
    <cfRule type="expression" dxfId="1001" priority="416">
      <formula>AM30&gt;=17</formula>
    </cfRule>
  </conditionalFormatting>
  <conditionalFormatting sqref="AN12">
    <cfRule type="expression" dxfId="1000" priority="399">
      <formula>AO30&gt;=18</formula>
    </cfRule>
    <cfRule type="expression" dxfId="999" priority="415">
      <formula>AM30&gt;=18</formula>
    </cfRule>
  </conditionalFormatting>
  <conditionalFormatting sqref="AM112:AO114">
    <cfRule type="expression" dxfId="998" priority="396">
      <formula>AN133=0</formula>
    </cfRule>
  </conditionalFormatting>
  <conditionalFormatting sqref="I128:K129 I120:K121 S128:U129 S120:U121 AC120:AE121 I112:K113 S112:U113 AC112:AE113 AC128:AE129">
    <cfRule type="expression" dxfId="997" priority="361">
      <formula>J114=""</formula>
    </cfRule>
  </conditionalFormatting>
  <conditionalFormatting sqref="N128:P129 N120:P121 X128:Z129 X120:Z121 AH120:AJ121 N112:P113 X112:Z113 AH112:AJ113 AH128:AJ129">
    <cfRule type="expression" dxfId="996" priority="360">
      <formula>J114=""</formula>
    </cfRule>
  </conditionalFormatting>
  <conditionalFormatting sqref="L128:M129 L120:M121 L112:M113 V120:W121 AF120:AG121 V128:W129 AF128:AG129 V112:W113 AF112:AG113">
    <cfRule type="expression" dxfId="995" priority="344">
      <formula>J114=""</formula>
    </cfRule>
  </conditionalFormatting>
  <conditionalFormatting sqref="J130:O132 J122:O124 T130:Y132 T122:Y124 AD122:AI124 J114:O116 T114:Y116 AD114:AI116 AD130:AI132">
    <cfRule type="expression" dxfId="994" priority="354">
      <formula>J114=""</formula>
    </cfRule>
  </conditionalFormatting>
  <conditionalFormatting sqref="I130:I133 I122:I125 S130:S133 S122:S125 AC122:AC125 I114:I117 S114:S117 AC114:AC117 AC130:AC133">
    <cfRule type="expression" dxfId="993" priority="357">
      <formula>J114=""</formula>
    </cfRule>
  </conditionalFormatting>
  <conditionalFormatting sqref="J133:O133 J125:O125 T133:Y133 T125:Y125 AD125:AI125 J117:O117 T117:Y117 AD117:AI117 AD133:AI133">
    <cfRule type="expression" dxfId="992" priority="356">
      <formula>J114=""</formula>
    </cfRule>
  </conditionalFormatting>
  <conditionalFormatting sqref="P130:P133 P122:P125 Z130:Z133 Z122:Z125 AJ122:AJ125 P114:P117 Z114:Z117 AJ114:AJ117 AJ130:AJ133">
    <cfRule type="expression" dxfId="991" priority="355">
      <formula>J114=""</formula>
    </cfRule>
  </conditionalFormatting>
  <conditionalFormatting sqref="V112:W113">
    <cfRule type="expression" dxfId="990" priority="353">
      <formula>AN111&lt;&gt;1</formula>
    </cfRule>
  </conditionalFormatting>
  <conditionalFormatting sqref="AF112:AG113">
    <cfRule type="expression" dxfId="989" priority="352">
      <formula>AN111&lt;&gt;1</formula>
    </cfRule>
  </conditionalFormatting>
  <conditionalFormatting sqref="L120:M121">
    <cfRule type="expression" dxfId="988" priority="351">
      <formula>AN111&lt;&gt;1</formula>
    </cfRule>
  </conditionalFormatting>
  <conditionalFormatting sqref="V120:W121">
    <cfRule type="expression" dxfId="987" priority="350">
      <formula>AN111&lt;&gt;1</formula>
    </cfRule>
  </conditionalFormatting>
  <conditionalFormatting sqref="AF120:AG121">
    <cfRule type="expression" dxfId="986" priority="349">
      <formula>AN111&lt;&gt;1</formula>
    </cfRule>
  </conditionalFormatting>
  <conditionalFormatting sqref="L128:M129">
    <cfRule type="expression" dxfId="985" priority="348">
      <formula>AN111&lt;&gt;1</formula>
    </cfRule>
  </conditionalFormatting>
  <conditionalFormatting sqref="V128:W129">
    <cfRule type="expression" dxfId="984" priority="347">
      <formula>AN111&lt;&gt;1</formula>
    </cfRule>
  </conditionalFormatting>
  <conditionalFormatting sqref="AF128:AG129">
    <cfRule type="expression" dxfId="983" priority="346">
      <formula>AN111&lt;&gt;1</formula>
    </cfRule>
  </conditionalFormatting>
  <conditionalFormatting sqref="AR120:AT121 BB128:BD129 BB120:BD121 BL120:BN121 AR112:AT113 BB112:BD113 BL112:BN113 BL128:BN129 AR128:AT129">
    <cfRule type="expression" dxfId="982" priority="343">
      <formula>AS114=""</formula>
    </cfRule>
  </conditionalFormatting>
  <conditionalFormatting sqref="AW120:AY121 BG128:BI129 BG120:BI121 BQ120:BS121 AW112:AY113 BG112:BI113 BQ112:BS113 BQ128:BS129 AW128:AY129">
    <cfRule type="expression" dxfId="981" priority="342">
      <formula>AS114=""</formula>
    </cfRule>
  </conditionalFormatting>
  <conditionalFormatting sqref="BO112:BP113 BO128:BP129 BO120:BP121 BE128:BF129 BE112:BF113 AU112:AV113 BE120:BF121 AU120:AV121 AU128:AV129">
    <cfRule type="expression" dxfId="980" priority="326">
      <formula>AS114=""</formula>
    </cfRule>
  </conditionalFormatting>
  <conditionalFormatting sqref="AS122:AX124 BC130:BH132 BC122:BH124 BM122:BR124 AS114:AX116 BC114:BH116 BM114:BR116 BM130:BR132 AS130:AX132">
    <cfRule type="expression" dxfId="979" priority="337">
      <formula>AS114=""</formula>
    </cfRule>
  </conditionalFormatting>
  <conditionalFormatting sqref="AR122:AR125 BB130:BB133 BB122:BB125 BL122:BL125 AR114:AR117 BB114:BB117 BL114:BL117 BL130:BL133 AR130:AR133">
    <cfRule type="expression" dxfId="978" priority="340">
      <formula>AS114=""</formula>
    </cfRule>
  </conditionalFormatting>
  <conditionalFormatting sqref="AS125:AX125 BC133:BH133 BC125:BH125 BM125:BR125 AS117:AX117 BC117:BH117 BM117:BR117 BM133:BR133 AS133:AX133">
    <cfRule type="expression" dxfId="977" priority="339">
      <formula>AS114=""</formula>
    </cfRule>
  </conditionalFormatting>
  <conditionalFormatting sqref="AY122:AY125 BI130:BI133 BI122:BI125 BS122:BS125 AY114:AY117 BI114:BI117 BS114:BS117 BS130:BS133 AY130:AY133">
    <cfRule type="expression" dxfId="976" priority="338">
      <formula>AS114=""</formula>
    </cfRule>
  </conditionalFormatting>
  <conditionalFormatting sqref="BE112:BF113">
    <cfRule type="expression" dxfId="975" priority="335">
      <formula>AN111&lt;&gt;1</formula>
    </cfRule>
  </conditionalFormatting>
  <conditionalFormatting sqref="BO112:BP113">
    <cfRule type="expression" dxfId="974" priority="334">
      <formula>AN111&lt;&gt;1</formula>
    </cfRule>
  </conditionalFormatting>
  <conditionalFormatting sqref="AU120:AV121">
    <cfRule type="expression" dxfId="973" priority="333">
      <formula>AN111&lt;&gt;1</formula>
    </cfRule>
  </conditionalFormatting>
  <conditionalFormatting sqref="BE120:BF121">
    <cfRule type="expression" dxfId="972" priority="332">
      <formula>AN111&lt;&gt;1</formula>
    </cfRule>
  </conditionalFormatting>
  <conditionalFormatting sqref="BO120:BP121">
    <cfRule type="expression" dxfId="971" priority="331">
      <formula>AN111&lt;&gt;1</formula>
    </cfRule>
  </conditionalFormatting>
  <conditionalFormatting sqref="AU128:AV129">
    <cfRule type="expression" dxfId="970" priority="330">
      <formula>AN111&lt;&gt;1</formula>
    </cfRule>
  </conditionalFormatting>
  <conditionalFormatting sqref="BE128:BF129">
    <cfRule type="expression" dxfId="969" priority="329">
      <formula>AN111&lt;&gt;1</formula>
    </cfRule>
  </conditionalFormatting>
  <conditionalFormatting sqref="BO128:BP129">
    <cfRule type="expression" dxfId="968" priority="328">
      <formula>AN111&lt;&gt;1</formula>
    </cfRule>
  </conditionalFormatting>
  <conditionalFormatting sqref="AN115:AN132">
    <cfRule type="expression" dxfId="967" priority="325">
      <formula>AM115=0</formula>
    </cfRule>
  </conditionalFormatting>
  <conditionalFormatting sqref="AM146:AO147">
    <cfRule type="expression" dxfId="966" priority="288">
      <formula>AN170=0</formula>
    </cfRule>
  </conditionalFormatting>
  <conditionalFormatting sqref="AM174:AO174">
    <cfRule type="expression" dxfId="965" priority="287">
      <formula>AND(AN170=1,AM174="")</formula>
    </cfRule>
  </conditionalFormatting>
  <conditionalFormatting sqref="AM172:AO172">
    <cfRule type="expression" dxfId="964" priority="286">
      <formula>AND(AN170=1,AM172="")</formula>
    </cfRule>
  </conditionalFormatting>
  <conditionalFormatting sqref="AN173">
    <cfRule type="expression" dxfId="963" priority="285">
      <formula>AM172=""</formula>
    </cfRule>
  </conditionalFormatting>
  <conditionalFormatting sqref="AM149:AO151">
    <cfRule type="expression" dxfId="962" priority="284">
      <formula>AN170=0</formula>
    </cfRule>
  </conditionalFormatting>
  <conditionalFormatting sqref="I165:K166 I157:K158 S165:U166 S157:U158 AC157:AE158 I149:K150 S149:U150 AC149:AE150 AC165:AE166">
    <cfRule type="expression" dxfId="961" priority="283">
      <formula>J151=""</formula>
    </cfRule>
  </conditionalFormatting>
  <conditionalFormatting sqref="N165:P166 N157:P158 X165:Z166 X157:Z158 AH157:AJ158 N149:P150 X149:Z150 AH149:AJ150 AH165:AJ166">
    <cfRule type="expression" dxfId="960" priority="282">
      <formula>J151=""</formula>
    </cfRule>
  </conditionalFormatting>
  <conditionalFormatting sqref="L165:M166 L157:M158 L149:M150 V157:W158 AF157:AG158 V165:W166 AF165:AG166 V149:W150 AF149:AG150">
    <cfRule type="expression" dxfId="959" priority="269">
      <formula>J151=""</formula>
    </cfRule>
  </conditionalFormatting>
  <conditionalFormatting sqref="J167:O169 J159:O161 T167:Y169 T159:Y161 AD159:AI161 J151:O153 T151:Y153 AD151:AI153 AD167:AI169">
    <cfRule type="expression" dxfId="958" priority="278">
      <formula>J151=""</formula>
    </cfRule>
  </conditionalFormatting>
  <conditionalFormatting sqref="I167:I170 I159:I162 S167:S170 S159:S162 AC159:AC162 I151:I154 S151:S154 AC151:AC154 AC167:AC170">
    <cfRule type="expression" dxfId="957" priority="281">
      <formula>J151=""</formula>
    </cfRule>
  </conditionalFormatting>
  <conditionalFormatting sqref="J170:O170 J162:O162 T170:Y170 T162:Y162 AD162:AI162 J154:O154 T154:Y154 AD154:AI154 AD170:AI170">
    <cfRule type="expression" dxfId="956" priority="280">
      <formula>J151=""</formula>
    </cfRule>
  </conditionalFormatting>
  <conditionalFormatting sqref="P167:P170 P159:P162 Z167:Z170 Z159:Z162 AJ159:AJ162 P151:P154 Z151:Z154 AJ151:AJ154 AJ167:AJ170">
    <cfRule type="expression" dxfId="955" priority="279">
      <formula>J151=""</formula>
    </cfRule>
  </conditionalFormatting>
  <conditionalFormatting sqref="V149:W150">
    <cfRule type="expression" dxfId="954" priority="277">
      <formula>AN148&lt;&gt;1</formula>
    </cfRule>
  </conditionalFormatting>
  <conditionalFormatting sqref="AF149:AG150">
    <cfRule type="expression" dxfId="953" priority="276">
      <formula>AN148&lt;&gt;1</formula>
    </cfRule>
  </conditionalFormatting>
  <conditionalFormatting sqref="L157:M158">
    <cfRule type="expression" dxfId="952" priority="275">
      <formula>AN148&lt;&gt;1</formula>
    </cfRule>
  </conditionalFormatting>
  <conditionalFormatting sqref="V157:W158">
    <cfRule type="expression" dxfId="951" priority="274">
      <formula>AN148&lt;&gt;1</formula>
    </cfRule>
  </conditionalFormatting>
  <conditionalFormatting sqref="AF157:AG158">
    <cfRule type="expression" dxfId="950" priority="273">
      <formula>AN148&lt;&gt;1</formula>
    </cfRule>
  </conditionalFormatting>
  <conditionalFormatting sqref="L165:M166">
    <cfRule type="expression" dxfId="949" priority="272">
      <formula>AN148&lt;&gt;1</formula>
    </cfRule>
  </conditionalFormatting>
  <conditionalFormatting sqref="V165:W166">
    <cfRule type="expression" dxfId="948" priority="271">
      <formula>AN148&lt;&gt;1</formula>
    </cfRule>
  </conditionalFormatting>
  <conditionalFormatting sqref="AF165:AG166">
    <cfRule type="expression" dxfId="947" priority="270">
      <formula>AN148&lt;&gt;1</formula>
    </cfRule>
  </conditionalFormatting>
  <conditionalFormatting sqref="AR157:AT158 BB165:BD166 BB157:BD158 BL157:BN158 AR149:AT150 BB149:BD150 BL149:BN150 BL165:BN166 AR165:AT166">
    <cfRule type="expression" dxfId="946" priority="268">
      <formula>AS151=""</formula>
    </cfRule>
  </conditionalFormatting>
  <conditionalFormatting sqref="AW157:AY158 BG165:BI166 BG157:BI158 BQ157:BS158 AW149:AY150 BG149:BI150 BQ149:BS150 BQ165:BS166 AW165:AY166">
    <cfRule type="expression" dxfId="945" priority="267">
      <formula>AS151=""</formula>
    </cfRule>
  </conditionalFormatting>
  <conditionalFormatting sqref="BO149:BP150 BO165:BP166 BO157:BP158 BE165:BF166 BE149:BF150 AU149:AV150 BE157:BF158 AU157:AV158 AU165:AV166">
    <cfRule type="expression" dxfId="944" priority="254">
      <formula>AS151=""</formula>
    </cfRule>
  </conditionalFormatting>
  <conditionalFormatting sqref="AS159:AX161 BC167:BH169 BC159:BH161 BM159:BR161 AS151:AX153 BC151:BH153 BM151:BR153 BM167:BR169 AS167:AX169">
    <cfRule type="expression" dxfId="943" priority="263">
      <formula>AS151=""</formula>
    </cfRule>
  </conditionalFormatting>
  <conditionalFormatting sqref="AR159:AR162 BB167:BB170 BB159:BB162 BL159:BL162 AR151:AR154 BB151:BB154 BL151:BL154 BL167:BL170 AR167:AR170">
    <cfRule type="expression" dxfId="942" priority="266">
      <formula>AS151=""</formula>
    </cfRule>
  </conditionalFormatting>
  <conditionalFormatting sqref="AS162:AX162 BC170:BH170 BC162:BH162 BM162:BR162 AS154:AX154 BC154:BH154 BM154:BR154 BM170:BR170 AS170:AX170">
    <cfRule type="expression" dxfId="941" priority="265">
      <formula>AS151=""</formula>
    </cfRule>
  </conditionalFormatting>
  <conditionalFormatting sqref="AY159:AY162 BI167:BI170 BI159:BI162 BS159:BS162 AY151:AY154 BI151:BI154 BS151:BS154 BS167:BS170 AY167:AY170">
    <cfRule type="expression" dxfId="940" priority="264">
      <formula>AS151=""</formula>
    </cfRule>
  </conditionalFormatting>
  <conditionalFormatting sqref="BE149:BF150">
    <cfRule type="expression" dxfId="939" priority="262">
      <formula>AN148&lt;&gt;1</formula>
    </cfRule>
  </conditionalFormatting>
  <conditionalFormatting sqref="BO149:BP150">
    <cfRule type="expression" dxfId="938" priority="261">
      <formula>AN148&lt;&gt;1</formula>
    </cfRule>
  </conditionalFormatting>
  <conditionalFormatting sqref="AU157:AV158">
    <cfRule type="expression" dxfId="937" priority="260">
      <formula>AN148&lt;&gt;1</formula>
    </cfRule>
  </conditionalFormatting>
  <conditionalFormatting sqref="BE157:BF158">
    <cfRule type="expression" dxfId="936" priority="259">
      <formula>AN148&lt;&gt;1</formula>
    </cfRule>
  </conditionalFormatting>
  <conditionalFormatting sqref="BO157:BP158">
    <cfRule type="expression" dxfId="935" priority="258">
      <formula>AN148&lt;&gt;1</formula>
    </cfRule>
  </conditionalFormatting>
  <conditionalFormatting sqref="AU165:AV166">
    <cfRule type="expression" dxfId="934" priority="257">
      <formula>AN148&lt;&gt;1</formula>
    </cfRule>
  </conditionalFormatting>
  <conditionalFormatting sqref="BE165:BF166">
    <cfRule type="expression" dxfId="933" priority="256">
      <formula>AN148&lt;&gt;1</formula>
    </cfRule>
  </conditionalFormatting>
  <conditionalFormatting sqref="BO165:BP166">
    <cfRule type="expression" dxfId="932" priority="255">
      <formula>AN148&lt;&gt;1</formula>
    </cfRule>
  </conditionalFormatting>
  <conditionalFormatting sqref="AN152:AN169">
    <cfRule type="expression" dxfId="931" priority="253">
      <formula>AM152=0</formula>
    </cfRule>
  </conditionalFormatting>
  <conditionalFormatting sqref="AM183:AO184">
    <cfRule type="expression" dxfId="930" priority="252">
      <formula>AN207=0</formula>
    </cfRule>
  </conditionalFormatting>
  <conditionalFormatting sqref="AM211:AO211">
    <cfRule type="expression" dxfId="929" priority="251">
      <formula>AND(AN207=1,AM211="")</formula>
    </cfRule>
  </conditionalFormatting>
  <conditionalFormatting sqref="AM209:AO209">
    <cfRule type="expression" dxfId="928" priority="250">
      <formula>AND(AN207=1,AM209="")</formula>
    </cfRule>
  </conditionalFormatting>
  <conditionalFormatting sqref="AN210">
    <cfRule type="expression" dxfId="927" priority="249">
      <formula>AM209=""</formula>
    </cfRule>
  </conditionalFormatting>
  <conditionalFormatting sqref="AM186:AO188">
    <cfRule type="expression" dxfId="926" priority="248">
      <formula>AN207=0</formula>
    </cfRule>
  </conditionalFormatting>
  <conditionalFormatting sqref="I202:K203 I194:K195 S202:U203 S194:U195 AC194:AE195 I186:K187 S186:U187 AC186:AE187 AC202:AE203">
    <cfRule type="expression" dxfId="925" priority="247">
      <formula>J188=""</formula>
    </cfRule>
  </conditionalFormatting>
  <conditionalFormatting sqref="N202:P203 N194:P195 X202:Z203 X194:Z195 AH194:AJ195 N186:P187 X186:Z187 AH186:AJ187 AH202:AJ203">
    <cfRule type="expression" dxfId="924" priority="246">
      <formula>J188=""</formula>
    </cfRule>
  </conditionalFormatting>
  <conditionalFormatting sqref="L202:M203 L194:M195 L186:M187 V194:W195 AF194:AG195 V202:W203 AF202:AG203 V186:W187 AF186:AG187">
    <cfRule type="expression" dxfId="923" priority="233">
      <formula>J188=""</formula>
    </cfRule>
  </conditionalFormatting>
  <conditionalFormatting sqref="J204:O206 J196:O198 T204:Y206 T196:Y198 AD196:AI198 J188:O190 T188:Y190 AD188:AI190 AD204:AI206">
    <cfRule type="expression" dxfId="922" priority="242">
      <formula>J188=""</formula>
    </cfRule>
  </conditionalFormatting>
  <conditionalFormatting sqref="I204:I207 I196:I199 S204:S207 S196:S199 AC196:AC199 I188:I191 S188:S191 AC188:AC191 AC204:AC207">
    <cfRule type="expression" dxfId="921" priority="245">
      <formula>J188=""</formula>
    </cfRule>
  </conditionalFormatting>
  <conditionalFormatting sqref="J207:O207 J199:O199 T207:Y207 T199:Y199 AD199:AI199 J191:O191 T191:Y191 AD191:AI191 AD207:AI207">
    <cfRule type="expression" dxfId="920" priority="244">
      <formula>J188=""</formula>
    </cfRule>
  </conditionalFormatting>
  <conditionalFormatting sqref="P204:P207 P196:P199 Z204:Z207 Z196:Z199 AJ196:AJ199 P188:P191 Z188:Z191 AJ188:AJ191 AJ204:AJ207">
    <cfRule type="expression" dxfId="919" priority="243">
      <formula>J188=""</formula>
    </cfRule>
  </conditionalFormatting>
  <conditionalFormatting sqref="V186:W187">
    <cfRule type="expression" dxfId="918" priority="241">
      <formula>AN185&lt;&gt;1</formula>
    </cfRule>
  </conditionalFormatting>
  <conditionalFormatting sqref="AF186:AG187">
    <cfRule type="expression" dxfId="917" priority="240">
      <formula>AN185&lt;&gt;1</formula>
    </cfRule>
  </conditionalFormatting>
  <conditionalFormatting sqref="L194:M195">
    <cfRule type="expression" dxfId="916" priority="239">
      <formula>AN185&lt;&gt;1</formula>
    </cfRule>
  </conditionalFormatting>
  <conditionalFormatting sqref="V194:W195">
    <cfRule type="expression" dxfId="915" priority="238">
      <formula>AN185&lt;&gt;1</formula>
    </cfRule>
  </conditionalFormatting>
  <conditionalFormatting sqref="AF194:AG195">
    <cfRule type="expression" dxfId="914" priority="237">
      <formula>AN185&lt;&gt;1</formula>
    </cfRule>
  </conditionalFormatting>
  <conditionalFormatting sqref="L202:M203">
    <cfRule type="expression" dxfId="913" priority="236">
      <formula>AN185&lt;&gt;1</formula>
    </cfRule>
  </conditionalFormatting>
  <conditionalFormatting sqref="V202:W203">
    <cfRule type="expression" dxfId="912" priority="235">
      <formula>AN185&lt;&gt;1</formula>
    </cfRule>
  </conditionalFormatting>
  <conditionalFormatting sqref="AF202:AG203">
    <cfRule type="expression" dxfId="911" priority="234">
      <formula>AN185&lt;&gt;1</formula>
    </cfRule>
  </conditionalFormatting>
  <conditionalFormatting sqref="AR194:AT195 BB202:BD203 BB194:BD195 BL194:BN195 AR186:AT187 BB186:BD187 BL186:BN187 BL202:BN203 AR202:AT203">
    <cfRule type="expression" dxfId="910" priority="232">
      <formula>AS188=""</formula>
    </cfRule>
  </conditionalFormatting>
  <conditionalFormatting sqref="AW194:AY195 BG202:BI203 BG194:BI195 BQ194:BS195 AW186:AY187 BG186:BI187 BQ186:BS187 BQ202:BS203 AW202:AY203">
    <cfRule type="expression" dxfId="909" priority="231">
      <formula>AS188=""</formula>
    </cfRule>
  </conditionalFormatting>
  <conditionalFormatting sqref="BO186:BP187 BO202:BP203 BO194:BP195 BE202:BF203 BE186:BF187 AU186:AV187 BE194:BF195 AU194:AV195 AU202:AV203">
    <cfRule type="expression" dxfId="908" priority="218">
      <formula>AS188=""</formula>
    </cfRule>
  </conditionalFormatting>
  <conditionalFormatting sqref="AS196:AX198 BC204:BH206 BC196:BH198 BM196:BR198 AS188:AX190 BC188:BH190 BM188:BR190 BM204:BR206 AS204:AX206">
    <cfRule type="expression" dxfId="907" priority="227">
      <formula>AS188=""</formula>
    </cfRule>
  </conditionalFormatting>
  <conditionalFormatting sqref="AR196:AR199 BB204:BB207 BB196:BB199 BL196:BL199 AR188:AR191 BB188:BB191 BL188:BL191 BL204:BL207 AR204:AR207">
    <cfRule type="expression" dxfId="906" priority="230">
      <formula>AS188=""</formula>
    </cfRule>
  </conditionalFormatting>
  <conditionalFormatting sqref="AS199:AX199 BC207:BH207 BC199:BH199 BM199:BR199 AS191:AX191 BC191:BH191 BM191:BR191 BM207:BR207 AS207:AX207">
    <cfRule type="expression" dxfId="905" priority="229">
      <formula>AS188=""</formula>
    </cfRule>
  </conditionalFormatting>
  <conditionalFormatting sqref="AY196:AY199 BI204:BI207 BI196:BI199 BS196:BS199 AY188:AY191 BI188:BI191 BS188:BS191 BS204:BS207 AY204:AY207">
    <cfRule type="expression" dxfId="904" priority="228">
      <formula>AS188=""</formula>
    </cfRule>
  </conditionalFormatting>
  <conditionalFormatting sqref="BE186:BF187">
    <cfRule type="expression" dxfId="903" priority="226">
      <formula>AN185&lt;&gt;1</formula>
    </cfRule>
  </conditionalFormatting>
  <conditionalFormatting sqref="BO186:BP187">
    <cfRule type="expression" dxfId="902" priority="225">
      <formula>AN185&lt;&gt;1</formula>
    </cfRule>
  </conditionalFormatting>
  <conditionalFormatting sqref="AU194:AV195">
    <cfRule type="expression" dxfId="901" priority="224">
      <formula>AN185&lt;&gt;1</formula>
    </cfRule>
  </conditionalFormatting>
  <conditionalFormatting sqref="BE194:BF195">
    <cfRule type="expression" dxfId="900" priority="223">
      <formula>AN185&lt;&gt;1</formula>
    </cfRule>
  </conditionalFormatting>
  <conditionalFormatting sqref="BO194:BP195">
    <cfRule type="expression" dxfId="899" priority="222">
      <formula>AN185&lt;&gt;1</formula>
    </cfRule>
  </conditionalFormatting>
  <conditionalFormatting sqref="AU202:AV203">
    <cfRule type="expression" dxfId="898" priority="221">
      <formula>AN185&lt;&gt;1</formula>
    </cfRule>
  </conditionalFormatting>
  <conditionalFormatting sqref="BE202:BF203">
    <cfRule type="expression" dxfId="897" priority="220">
      <formula>AN185&lt;&gt;1</formula>
    </cfRule>
  </conditionalFormatting>
  <conditionalFormatting sqref="BO202:BP203">
    <cfRule type="expression" dxfId="896" priority="219">
      <formula>AN185&lt;&gt;1</formula>
    </cfRule>
  </conditionalFormatting>
  <conditionalFormatting sqref="AN189:AN206">
    <cfRule type="expression" dxfId="895" priority="217">
      <formula>AM189=0</formula>
    </cfRule>
  </conditionalFormatting>
  <conditionalFormatting sqref="AM220:AO221">
    <cfRule type="expression" dxfId="894" priority="216">
      <formula>AN244=0</formula>
    </cfRule>
  </conditionalFormatting>
  <conditionalFormatting sqref="AM248:AO248">
    <cfRule type="expression" dxfId="893" priority="215">
      <formula>AND(AN244=1,AM248="")</formula>
    </cfRule>
  </conditionalFormatting>
  <conditionalFormatting sqref="AM246:AO246">
    <cfRule type="expression" dxfId="892" priority="214">
      <formula>AND(AN244=1,AM246="")</formula>
    </cfRule>
  </conditionalFormatting>
  <conditionalFormatting sqref="AN247">
    <cfRule type="expression" dxfId="891" priority="213">
      <formula>AM246=""</formula>
    </cfRule>
  </conditionalFormatting>
  <conditionalFormatting sqref="AM223:AO225">
    <cfRule type="expression" dxfId="890" priority="212">
      <formula>AN244=0</formula>
    </cfRule>
  </conditionalFormatting>
  <conditionalFormatting sqref="I239:K240 I231:K232 S239:U240 S231:U232 AC231:AE232 I223:K224 S223:U224 AC223:AE224 AC239:AE240">
    <cfRule type="expression" dxfId="889" priority="211">
      <formula>J225=""</formula>
    </cfRule>
  </conditionalFormatting>
  <conditionalFormatting sqref="N239:P240 N231:P232 X239:Z240 X231:Z232 AH231:AJ232 N223:P224 X223:Z224 AH223:AJ224 AH239:AJ240">
    <cfRule type="expression" dxfId="888" priority="210">
      <formula>J225=""</formula>
    </cfRule>
  </conditionalFormatting>
  <conditionalFormatting sqref="L239:M240 L231:M232 L223:M224 V231:W232 AF231:AG232 V239:W240 AF239:AG240 V223:W224 AF223:AG224">
    <cfRule type="expression" dxfId="887" priority="197">
      <formula>J225=""</formula>
    </cfRule>
  </conditionalFormatting>
  <conditionalFormatting sqref="J241:O243 J233:O235 T241:Y243 T233:Y235 AD233:AI235 J225:O227 T225:Y227 AD225:AI227 AD241:AI243">
    <cfRule type="expression" dxfId="886" priority="206">
      <formula>J225=""</formula>
    </cfRule>
  </conditionalFormatting>
  <conditionalFormatting sqref="I241:I244 I233:I236 S241:S244 S233:S236 AC233:AC236 I225:I228 S225:S228 AC225:AC228 AC241:AC244">
    <cfRule type="expression" dxfId="885" priority="209">
      <formula>J225=""</formula>
    </cfRule>
  </conditionalFormatting>
  <conditionalFormatting sqref="J244:O244 J236:O236 T244:Y244 T236:Y236 AD236:AI236 J228:O228 T228:Y228 AD228:AI228 AD244:AI244">
    <cfRule type="expression" dxfId="884" priority="208">
      <formula>J225=""</formula>
    </cfRule>
  </conditionalFormatting>
  <conditionalFormatting sqref="P241:P244 P233:P236 Z241:Z244 Z233:Z236 AJ233:AJ236 P225:P228 Z225:Z228 AJ225:AJ228 AJ241:AJ244">
    <cfRule type="expression" dxfId="883" priority="207">
      <formula>J225=""</formula>
    </cfRule>
  </conditionalFormatting>
  <conditionalFormatting sqref="V223:W224">
    <cfRule type="expression" dxfId="882" priority="205">
      <formula>AN222&lt;&gt;1</formula>
    </cfRule>
  </conditionalFormatting>
  <conditionalFormatting sqref="AF223:AG224">
    <cfRule type="expression" dxfId="881" priority="204">
      <formula>AN222&lt;&gt;1</formula>
    </cfRule>
  </conditionalFormatting>
  <conditionalFormatting sqref="L231:M232">
    <cfRule type="expression" dxfId="880" priority="203">
      <formula>AN222&lt;&gt;1</formula>
    </cfRule>
  </conditionalFormatting>
  <conditionalFormatting sqref="V231:W232">
    <cfRule type="expression" dxfId="879" priority="202">
      <formula>AN222&lt;&gt;1</formula>
    </cfRule>
  </conditionalFormatting>
  <conditionalFormatting sqref="AF231:AG232">
    <cfRule type="expression" dxfId="878" priority="201">
      <formula>AN222&lt;&gt;1</formula>
    </cfRule>
  </conditionalFormatting>
  <conditionalFormatting sqref="L239:M240">
    <cfRule type="expression" dxfId="877" priority="200">
      <formula>AN222&lt;&gt;1</formula>
    </cfRule>
  </conditionalFormatting>
  <conditionalFormatting sqref="V239:W240">
    <cfRule type="expression" dxfId="876" priority="199">
      <formula>AN222&lt;&gt;1</formula>
    </cfRule>
  </conditionalFormatting>
  <conditionalFormatting sqref="AF239:AG240">
    <cfRule type="expression" dxfId="875" priority="198">
      <formula>AN222&lt;&gt;1</formula>
    </cfRule>
  </conditionalFormatting>
  <conditionalFormatting sqref="AR231:AT232 BB239:BD240 BB231:BD232 BL231:BN232 AR223:AT224 BB223:BD224 BL223:BN224 BL239:BN240 AR239:AT240">
    <cfRule type="expression" dxfId="874" priority="196">
      <formula>AS225=""</formula>
    </cfRule>
  </conditionalFormatting>
  <conditionalFormatting sqref="AW231:AY232 BG239:BI240 BG231:BI232 BQ231:BS232 AW223:AY224 BG223:BI224 BQ223:BS224 BQ239:BS240 AW239:AY240">
    <cfRule type="expression" dxfId="873" priority="195">
      <formula>AS225=""</formula>
    </cfRule>
  </conditionalFormatting>
  <conditionalFormatting sqref="BO223:BP224 BO239:BP240 BO231:BP232 BE239:BF240 BE223:BF224 AU223:AV224 BE231:BF232 AU231:AV232 AU239:AV240">
    <cfRule type="expression" dxfId="872" priority="182">
      <formula>AS225=""</formula>
    </cfRule>
  </conditionalFormatting>
  <conditionalFormatting sqref="AS233:AX235 BC241:BH243 BC233:BH235 BM233:BR235 AS225:AX227 BC225:BH227 BM225:BR227 BM241:BR243 AS241:AX243">
    <cfRule type="expression" dxfId="871" priority="191">
      <formula>AS225=""</formula>
    </cfRule>
  </conditionalFormatting>
  <conditionalFormatting sqref="AR233:AR236 BB241:BB244 BB233:BB236 BL233:BL236 AR225:AR228 BB225:BB228 BL225:BL228 BL241:BL244 AR241:AR244">
    <cfRule type="expression" dxfId="870" priority="194">
      <formula>AS225=""</formula>
    </cfRule>
  </conditionalFormatting>
  <conditionalFormatting sqref="AS236:AX236 BC244:BH244 BC236:BH236 BM236:BR236 AS228:AX228 BC228:BH228 BM228:BR228 BM244:BR244 AS244:AX244">
    <cfRule type="expression" dxfId="869" priority="193">
      <formula>AS225=""</formula>
    </cfRule>
  </conditionalFormatting>
  <conditionalFormatting sqref="AY233:AY236 BI241:BI244 BI233:BI236 BS233:BS236 AY225:AY228 BI225:BI228 BS225:BS228 BS241:BS244 AY241:AY244">
    <cfRule type="expression" dxfId="868" priority="192">
      <formula>AS225=""</formula>
    </cfRule>
  </conditionalFormatting>
  <conditionalFormatting sqref="BE223:BF224">
    <cfRule type="expression" dxfId="867" priority="190">
      <formula>AN222&lt;&gt;1</formula>
    </cfRule>
  </conditionalFormatting>
  <conditionalFormatting sqref="BO223:BP224">
    <cfRule type="expression" dxfId="866" priority="189">
      <formula>AN222&lt;&gt;1</formula>
    </cfRule>
  </conditionalFormatting>
  <conditionalFormatting sqref="AU231:AV232">
    <cfRule type="expression" dxfId="865" priority="188">
      <formula>AN222&lt;&gt;1</formula>
    </cfRule>
  </conditionalFormatting>
  <conditionalFormatting sqref="BE231:BF232">
    <cfRule type="expression" dxfId="864" priority="187">
      <formula>AN222&lt;&gt;1</formula>
    </cfRule>
  </conditionalFormatting>
  <conditionalFormatting sqref="BO231:BP232">
    <cfRule type="expression" dxfId="863" priority="186">
      <formula>AN222&lt;&gt;1</formula>
    </cfRule>
  </conditionalFormatting>
  <conditionalFormatting sqref="AU239:AV240">
    <cfRule type="expression" dxfId="862" priority="185">
      <formula>AN222&lt;&gt;1</formula>
    </cfRule>
  </conditionalFormatting>
  <conditionalFormatting sqref="BE239:BF240">
    <cfRule type="expression" dxfId="861" priority="184">
      <formula>AN222&lt;&gt;1</formula>
    </cfRule>
  </conditionalFormatting>
  <conditionalFormatting sqref="BO239:BP240">
    <cfRule type="expression" dxfId="860" priority="183">
      <formula>AN222&lt;&gt;1</formula>
    </cfRule>
  </conditionalFormatting>
  <conditionalFormatting sqref="AN226:AN243">
    <cfRule type="expression" dxfId="859" priority="181">
      <formula>AM226=0</formula>
    </cfRule>
  </conditionalFormatting>
  <conditionalFormatting sqref="AM257:AO258">
    <cfRule type="expression" dxfId="858" priority="180">
      <formula>AN281=0</formula>
    </cfRule>
  </conditionalFormatting>
  <conditionalFormatting sqref="AM285:AO285">
    <cfRule type="expression" dxfId="857" priority="179">
      <formula>AND(AN281=1,AM285="")</formula>
    </cfRule>
  </conditionalFormatting>
  <conditionalFormatting sqref="AM283:AO283">
    <cfRule type="expression" dxfId="856" priority="178">
      <formula>AND(AN281=1,AM283="")</formula>
    </cfRule>
  </conditionalFormatting>
  <conditionalFormatting sqref="AN284">
    <cfRule type="expression" dxfId="855" priority="177">
      <formula>AM283=""</formula>
    </cfRule>
  </conditionalFormatting>
  <conditionalFormatting sqref="AM260:AO262">
    <cfRule type="expression" dxfId="854" priority="176">
      <formula>AN281=0</formula>
    </cfRule>
  </conditionalFormatting>
  <conditionalFormatting sqref="I276:K277 I268:K269 S276:U277 S268:U269 AC268:AE269 I260:K261 S260:U261 AC260:AE261 AC276:AE277">
    <cfRule type="expression" dxfId="853" priority="175">
      <formula>J262=""</formula>
    </cfRule>
  </conditionalFormatting>
  <conditionalFormatting sqref="N276:P277 N268:P269 X276:Z277 X268:Z269 AH268:AJ269 N260:P261 X260:Z261 AH260:AJ261 AH276:AJ277">
    <cfRule type="expression" dxfId="852" priority="174">
      <formula>J262=""</formula>
    </cfRule>
  </conditionalFormatting>
  <conditionalFormatting sqref="L276:M277 L268:M269 L260:M261 V268:W269 AF268:AG269 V276:W277 AF276:AG277 V260:W261 AF260:AG261">
    <cfRule type="expression" dxfId="851" priority="161">
      <formula>J262=""</formula>
    </cfRule>
  </conditionalFormatting>
  <conditionalFormatting sqref="J278:O280 J270:O272 T278:Y280 T270:Y272 AD270:AI272 J262:O264 T262:Y264 AD262:AI264 AD278:AI280">
    <cfRule type="expression" dxfId="850" priority="170">
      <formula>J262=""</formula>
    </cfRule>
  </conditionalFormatting>
  <conditionalFormatting sqref="I278:I281 I270:I273 S278:S281 S270:S273 AC270:AC273 I262:I265 S262:S265 AC262:AC265 AC278:AC281">
    <cfRule type="expression" dxfId="849" priority="173">
      <formula>J262=""</formula>
    </cfRule>
  </conditionalFormatting>
  <conditionalFormatting sqref="J281:O281 J273:O273 T281:Y281 T273:Y273 AD273:AI273 J265:O265 T265:Y265 AD265:AI265 AD281:AI281">
    <cfRule type="expression" dxfId="848" priority="172">
      <formula>J262=""</formula>
    </cfRule>
  </conditionalFormatting>
  <conditionalFormatting sqref="P278:P281 P270:P273 Z278:Z281 Z270:Z273 AJ270:AJ273 P262:P265 Z262:Z265 AJ262:AJ265 AJ278:AJ281">
    <cfRule type="expression" dxfId="847" priority="171">
      <formula>J262=""</formula>
    </cfRule>
  </conditionalFormatting>
  <conditionalFormatting sqref="V260:W261">
    <cfRule type="expression" dxfId="846" priority="169">
      <formula>AN259&lt;&gt;1</formula>
    </cfRule>
  </conditionalFormatting>
  <conditionalFormatting sqref="AF260:AG261">
    <cfRule type="expression" dxfId="845" priority="168">
      <formula>AN259&lt;&gt;1</formula>
    </cfRule>
  </conditionalFormatting>
  <conditionalFormatting sqref="L268:M269">
    <cfRule type="expression" dxfId="844" priority="167">
      <formula>AN259&lt;&gt;1</formula>
    </cfRule>
  </conditionalFormatting>
  <conditionalFormatting sqref="V268:W269">
    <cfRule type="expression" dxfId="843" priority="166">
      <formula>AN259&lt;&gt;1</formula>
    </cfRule>
  </conditionalFormatting>
  <conditionalFormatting sqref="AF268:AG269">
    <cfRule type="expression" dxfId="842" priority="165">
      <formula>AN259&lt;&gt;1</formula>
    </cfRule>
  </conditionalFormatting>
  <conditionalFormatting sqref="L276:M277">
    <cfRule type="expression" dxfId="841" priority="164">
      <formula>AN259&lt;&gt;1</formula>
    </cfRule>
  </conditionalFormatting>
  <conditionalFormatting sqref="V276:W277">
    <cfRule type="expression" dxfId="840" priority="163">
      <formula>AN259&lt;&gt;1</formula>
    </cfRule>
  </conditionalFormatting>
  <conditionalFormatting sqref="AF276:AG277">
    <cfRule type="expression" dxfId="839" priority="162">
      <formula>AN259&lt;&gt;1</formula>
    </cfRule>
  </conditionalFormatting>
  <conditionalFormatting sqref="AR268:AT269 BB276:BD277 BB268:BD269 BL268:BN269 AR260:AT261 BB260:BD261 BL260:BN261 BL276:BN277 AR276:AT277">
    <cfRule type="expression" dxfId="838" priority="160">
      <formula>AS262=""</formula>
    </cfRule>
  </conditionalFormatting>
  <conditionalFormatting sqref="AW268:AY269 BG276:BI277 BG268:BI269 BQ268:BS269 AW260:AY261 BG260:BI261 BQ260:BS261 BQ276:BS277 AW276:AY277">
    <cfRule type="expression" dxfId="837" priority="159">
      <formula>AS262=""</formula>
    </cfRule>
  </conditionalFormatting>
  <conditionalFormatting sqref="BO260:BP261 BO276:BP277 BO268:BP269 BE276:BF277 BE260:BF261 AU260:AV261 BE268:BF269 AU268:AV269 AU276:AV277">
    <cfRule type="expression" dxfId="836" priority="146">
      <formula>AS262=""</formula>
    </cfRule>
  </conditionalFormatting>
  <conditionalFormatting sqref="AS270:AX272 BC278:BH280 BC270:BH272 BM270:BR272 AS262:AX264 BC262:BH264 BM262:BR264 BM278:BR280 AS278:AX280">
    <cfRule type="expression" dxfId="835" priority="155">
      <formula>AS262=""</formula>
    </cfRule>
  </conditionalFormatting>
  <conditionalFormatting sqref="AR270:AR273 BB278:BB281 BB270:BB273 BL270:BL273 AR262:AR265 BB262:BB265 BL262:BL265 BL278:BL281 AR278:AR281">
    <cfRule type="expression" dxfId="834" priority="158">
      <formula>AS262=""</formula>
    </cfRule>
  </conditionalFormatting>
  <conditionalFormatting sqref="AS273:AX273 BC281:BH281 BC273:BH273 BM273:BR273 AS265:AX265 BC265:BH265 BM265:BR265 BM281:BR281 AS281:AX281">
    <cfRule type="expression" dxfId="833" priority="157">
      <formula>AS262=""</formula>
    </cfRule>
  </conditionalFormatting>
  <conditionalFormatting sqref="AY270:AY273 BI278:BI281 BI270:BI273 BS270:BS273 AY262:AY265 BI262:BI265 BS262:BS265 BS278:BS281 AY278:AY281">
    <cfRule type="expression" dxfId="832" priority="156">
      <formula>AS262=""</formula>
    </cfRule>
  </conditionalFormatting>
  <conditionalFormatting sqref="BE260:BF261">
    <cfRule type="expression" dxfId="831" priority="154">
      <formula>AN259&lt;&gt;1</formula>
    </cfRule>
  </conditionalFormatting>
  <conditionalFormatting sqref="BO260:BP261">
    <cfRule type="expression" dxfId="830" priority="153">
      <formula>AN259&lt;&gt;1</formula>
    </cfRule>
  </conditionalFormatting>
  <conditionalFormatting sqref="AU268:AV269">
    <cfRule type="expression" dxfId="829" priority="152">
      <formula>AN259&lt;&gt;1</formula>
    </cfRule>
  </conditionalFormatting>
  <conditionalFormatting sqref="BE268:BF269">
    <cfRule type="expression" dxfId="828" priority="151">
      <formula>AN259&lt;&gt;1</formula>
    </cfRule>
  </conditionalFormatting>
  <conditionalFormatting sqref="BO268:BP269">
    <cfRule type="expression" dxfId="827" priority="150">
      <formula>AN259&lt;&gt;1</formula>
    </cfRule>
  </conditionalFormatting>
  <conditionalFormatting sqref="AU276:AV277">
    <cfRule type="expression" dxfId="826" priority="149">
      <formula>AN259&lt;&gt;1</formula>
    </cfRule>
  </conditionalFormatting>
  <conditionalFormatting sqref="BE276:BF277">
    <cfRule type="expression" dxfId="825" priority="148">
      <formula>AN259&lt;&gt;1</formula>
    </cfRule>
  </conditionalFormatting>
  <conditionalFormatting sqref="BO276:BP277">
    <cfRule type="expression" dxfId="824" priority="147">
      <formula>AN259&lt;&gt;1</formula>
    </cfRule>
  </conditionalFormatting>
  <conditionalFormatting sqref="AN263:AN280">
    <cfRule type="expression" dxfId="823" priority="145">
      <formula>AM263=0</formula>
    </cfRule>
  </conditionalFormatting>
  <conditionalFormatting sqref="AM294:AO295">
    <cfRule type="expression" dxfId="822" priority="144">
      <formula>AN318=0</formula>
    </cfRule>
  </conditionalFormatting>
  <conditionalFormatting sqref="AM322:AO322">
    <cfRule type="expression" dxfId="821" priority="143">
      <formula>AND(AN318=1,AM322="")</formula>
    </cfRule>
  </conditionalFormatting>
  <conditionalFormatting sqref="AM320:AO320">
    <cfRule type="expression" dxfId="820" priority="142">
      <formula>AND(AN318=1,AM320="")</formula>
    </cfRule>
  </conditionalFormatting>
  <conditionalFormatting sqref="AN321">
    <cfRule type="expression" dxfId="819" priority="141">
      <formula>AM320=""</formula>
    </cfRule>
  </conditionalFormatting>
  <conditionalFormatting sqref="AM297:AO299">
    <cfRule type="expression" dxfId="818" priority="140">
      <formula>AN318=0</formula>
    </cfRule>
  </conditionalFormatting>
  <conditionalFormatting sqref="I313:K314 I305:K306 S313:U314 S305:U306 AC305:AE306 I297:K298 S297:U298 AC297:AE298 AC313:AE314">
    <cfRule type="expression" dxfId="817" priority="139">
      <formula>J299=""</formula>
    </cfRule>
  </conditionalFormatting>
  <conditionalFormatting sqref="N313:P314 N305:P306 X313:Z314 X305:Z306 AH305:AJ306 N297:P298 X297:Z298 AH297:AJ298 AH313:AJ314">
    <cfRule type="expression" dxfId="816" priority="138">
      <formula>J299=""</formula>
    </cfRule>
  </conditionalFormatting>
  <conditionalFormatting sqref="L313:M314 L305:M306 L297:M298 V305:W306 AF305:AG306 V313:W314 AF313:AG314 V297:W298 AF297:AG298">
    <cfRule type="expression" dxfId="815" priority="125">
      <formula>J299=""</formula>
    </cfRule>
  </conditionalFormatting>
  <conditionalFormatting sqref="J315:O317 J307:O309 T315:Y317 T307:Y309 AD307:AI309 J299:O301 T299:Y301 AD299:AI301 AD315:AI317">
    <cfRule type="expression" dxfId="814" priority="134">
      <formula>J299=""</formula>
    </cfRule>
  </conditionalFormatting>
  <conditionalFormatting sqref="I315:I318 I307:I310 S315:S318 S307:S310 AC307:AC310 I299:I302 S299:S302 AC299:AC302 AC315:AC318">
    <cfRule type="expression" dxfId="813" priority="137">
      <formula>J299=""</formula>
    </cfRule>
  </conditionalFormatting>
  <conditionalFormatting sqref="J318:O318 J310:O310 T318:Y318 T310:Y310 AD310:AI310 J302:O302 T302:Y302 AD302:AI302 AD318:AI318">
    <cfRule type="expression" dxfId="812" priority="136">
      <formula>J299=""</formula>
    </cfRule>
  </conditionalFormatting>
  <conditionalFormatting sqref="P315:P318 P307:P310 Z315:Z318 Z307:Z310 AJ307:AJ310 P299:P302 Z299:Z302 AJ299:AJ302 AJ315:AJ318">
    <cfRule type="expression" dxfId="811" priority="135">
      <formula>J299=""</formula>
    </cfRule>
  </conditionalFormatting>
  <conditionalFormatting sqref="V297:W298">
    <cfRule type="expression" dxfId="810" priority="133">
      <formula>AN296&lt;&gt;1</formula>
    </cfRule>
  </conditionalFormatting>
  <conditionalFormatting sqref="AF297:AG298">
    <cfRule type="expression" dxfId="809" priority="132">
      <formula>AN296&lt;&gt;1</formula>
    </cfRule>
  </conditionalFormatting>
  <conditionalFormatting sqref="L305:M306">
    <cfRule type="expression" dxfId="808" priority="131">
      <formula>AN296&lt;&gt;1</formula>
    </cfRule>
  </conditionalFormatting>
  <conditionalFormatting sqref="V305:W306">
    <cfRule type="expression" dxfId="807" priority="130">
      <formula>AN296&lt;&gt;1</formula>
    </cfRule>
  </conditionalFormatting>
  <conditionalFormatting sqref="AF305:AG306">
    <cfRule type="expression" dxfId="806" priority="129">
      <formula>AN296&lt;&gt;1</formula>
    </cfRule>
  </conditionalFormatting>
  <conditionalFormatting sqref="L313:M314">
    <cfRule type="expression" dxfId="805" priority="128">
      <formula>AN296&lt;&gt;1</formula>
    </cfRule>
  </conditionalFormatting>
  <conditionalFormatting sqref="V313:W314">
    <cfRule type="expression" dxfId="804" priority="127">
      <formula>AN296&lt;&gt;1</formula>
    </cfRule>
  </conditionalFormatting>
  <conditionalFormatting sqref="AF313:AG314">
    <cfRule type="expression" dxfId="803" priority="126">
      <formula>AN296&lt;&gt;1</formula>
    </cfRule>
  </conditionalFormatting>
  <conditionalFormatting sqref="AR305:AT306 BB313:BD314 BB305:BD306 BL305:BN306 AR297:AT298 BB297:BD298 BL297:BN298 BL313:BN314 AR313:AT314">
    <cfRule type="expression" dxfId="802" priority="124">
      <formula>AS299=""</formula>
    </cfRule>
  </conditionalFormatting>
  <conditionalFormatting sqref="AW305:AY306 BG313:BI314 BG305:BI306 BQ305:BS306 AW297:AY298 BG297:BI298 BQ297:BS298 BQ313:BS314 AW313:AY314">
    <cfRule type="expression" dxfId="801" priority="123">
      <formula>AS299=""</formula>
    </cfRule>
  </conditionalFormatting>
  <conditionalFormatting sqref="BO297:BP298 BO313:BP314 BO305:BP306 BE313:BF314 BE297:BF298 AU297:AV298 BE305:BF306 AU305:AV306 AU313:AV314">
    <cfRule type="expression" dxfId="800" priority="110">
      <formula>AS299=""</formula>
    </cfRule>
  </conditionalFormatting>
  <conditionalFormatting sqref="AS307:AX309 BC315:BH317 BC307:BH309 BM307:BR309 AS299:AX301 BC299:BH301 BM299:BR301 BM315:BR317 AS315:AX317">
    <cfRule type="expression" dxfId="799" priority="119">
      <formula>AS299=""</formula>
    </cfRule>
  </conditionalFormatting>
  <conditionalFormatting sqref="AR307:AR310 BB315:BB318 BB307:BB310 BL307:BL310 AR299:AR302 BB299:BB302 BL299:BL302 BL315:BL318 AR315:AR318">
    <cfRule type="expression" dxfId="798" priority="122">
      <formula>AS299=""</formula>
    </cfRule>
  </conditionalFormatting>
  <conditionalFormatting sqref="AS310:AX310 BC318:BH318 BC310:BH310 BM310:BR310 AS302:AX302 BC302:BH302 BM302:BR302 BM318:BR318 AS318:AX318">
    <cfRule type="expression" dxfId="797" priority="121">
      <formula>AS299=""</formula>
    </cfRule>
  </conditionalFormatting>
  <conditionalFormatting sqref="AY307:AY310 BI315:BI318 BI307:BI310 BS307:BS310 AY299:AY302 BI299:BI302 BS299:BS302 BS315:BS318 AY315:AY318">
    <cfRule type="expression" dxfId="796" priority="120">
      <formula>AS299=""</formula>
    </cfRule>
  </conditionalFormatting>
  <conditionalFormatting sqref="BE297:BF298">
    <cfRule type="expression" dxfId="795" priority="118">
      <formula>AN296&lt;&gt;1</formula>
    </cfRule>
  </conditionalFormatting>
  <conditionalFormatting sqref="BO297:BP298">
    <cfRule type="expression" dxfId="794" priority="117">
      <formula>AN296&lt;&gt;1</formula>
    </cfRule>
  </conditionalFormatting>
  <conditionalFormatting sqref="AU305:AV306">
    <cfRule type="expression" dxfId="793" priority="116">
      <formula>AN296&lt;&gt;1</formula>
    </cfRule>
  </conditionalFormatting>
  <conditionalFormatting sqref="BE305:BF306">
    <cfRule type="expression" dxfId="792" priority="115">
      <formula>AN296&lt;&gt;1</formula>
    </cfRule>
  </conditionalFormatting>
  <conditionalFormatting sqref="BO305:BP306">
    <cfRule type="expression" dxfId="791" priority="114">
      <formula>AN296&lt;&gt;1</formula>
    </cfRule>
  </conditionalFormatting>
  <conditionalFormatting sqref="AU313:AV314">
    <cfRule type="expression" dxfId="790" priority="113">
      <formula>AN296&lt;&gt;1</formula>
    </cfRule>
  </conditionalFormatting>
  <conditionalFormatting sqref="BE313:BF314">
    <cfRule type="expression" dxfId="789" priority="112">
      <formula>AN296&lt;&gt;1</formula>
    </cfRule>
  </conditionalFormatting>
  <conditionalFormatting sqref="BO313:BP314">
    <cfRule type="expression" dxfId="788" priority="111">
      <formula>AN296&lt;&gt;1</formula>
    </cfRule>
  </conditionalFormatting>
  <conditionalFormatting sqref="AN300:AN317">
    <cfRule type="expression" dxfId="787" priority="109">
      <formula>AM300=0</formula>
    </cfRule>
  </conditionalFormatting>
  <conditionalFormatting sqref="AM331:AO332">
    <cfRule type="expression" dxfId="786" priority="108">
      <formula>AN355=0</formula>
    </cfRule>
  </conditionalFormatting>
  <conditionalFormatting sqref="AM359:AO359">
    <cfRule type="expression" dxfId="785" priority="107">
      <formula>AND(AN355=1,AM359="")</formula>
    </cfRule>
  </conditionalFormatting>
  <conditionalFormatting sqref="AM357:AO357">
    <cfRule type="expression" dxfId="784" priority="106">
      <formula>AND(AN355=1,AM357="")</formula>
    </cfRule>
  </conditionalFormatting>
  <conditionalFormatting sqref="AN358">
    <cfRule type="expression" dxfId="783" priority="105">
      <formula>AM357=""</formula>
    </cfRule>
  </conditionalFormatting>
  <conditionalFormatting sqref="AM334:AO336">
    <cfRule type="expression" dxfId="782" priority="104">
      <formula>AN355=0</formula>
    </cfRule>
  </conditionalFormatting>
  <conditionalFormatting sqref="I350:K351 I342:K343 S350:U351 S342:U343 AC342:AE343 I334:K335 S334:U335 AC334:AE335 AC350:AE351">
    <cfRule type="expression" dxfId="781" priority="103">
      <formula>J336=""</formula>
    </cfRule>
  </conditionalFormatting>
  <conditionalFormatting sqref="N350:P351 N342:P343 X350:Z351 X342:Z343 AH342:AJ343 N334:P335 X334:Z335 AH334:AJ335 AH350:AJ351">
    <cfRule type="expression" dxfId="780" priority="102">
      <formula>J336=""</formula>
    </cfRule>
  </conditionalFormatting>
  <conditionalFormatting sqref="L350:M351 L342:M343 L334:M335 V342:W343 AF342:AG343 V350:W351 AF350:AG351 V334:W335 AF334:AG335">
    <cfRule type="expression" dxfId="779" priority="89">
      <formula>J336=""</formula>
    </cfRule>
  </conditionalFormatting>
  <conditionalFormatting sqref="J352:O354 J344:O346 T352:Y354 T344:Y346 AD344:AI346 J336:O338 T336:Y338 AD336:AI338 AD352:AI354">
    <cfRule type="expression" dxfId="778" priority="98">
      <formula>J336=""</formula>
    </cfRule>
  </conditionalFormatting>
  <conditionalFormatting sqref="I352:I355 I344:I347 S352:S355 S344:S347 AC344:AC347 I336:I339 S336:S339 AC336:AC339 AC352:AC355">
    <cfRule type="expression" dxfId="777" priority="101">
      <formula>J336=""</formula>
    </cfRule>
  </conditionalFormatting>
  <conditionalFormatting sqref="J355:O355 J347:O347 T355:Y355 T347:Y347 AD347:AI347 J339:O339 T339:Y339 AD339:AI339 AD355:AI355">
    <cfRule type="expression" dxfId="776" priority="100">
      <formula>J336=""</formula>
    </cfRule>
  </conditionalFormatting>
  <conditionalFormatting sqref="P352:P355 P344:P347 Z352:Z355 Z344:Z347 AJ344:AJ347 P336:P339 Z336:Z339 AJ336:AJ339 AJ352:AJ355">
    <cfRule type="expression" dxfId="775" priority="99">
      <formula>J336=""</formula>
    </cfRule>
  </conditionalFormatting>
  <conditionalFormatting sqref="V334:W335">
    <cfRule type="expression" dxfId="774" priority="97">
      <formula>AN333&lt;&gt;1</formula>
    </cfRule>
  </conditionalFormatting>
  <conditionalFormatting sqref="AF334:AG335">
    <cfRule type="expression" dxfId="773" priority="96">
      <formula>AN333&lt;&gt;1</formula>
    </cfRule>
  </conditionalFormatting>
  <conditionalFormatting sqref="L342:M343">
    <cfRule type="expression" dxfId="772" priority="95">
      <formula>AN333&lt;&gt;1</formula>
    </cfRule>
  </conditionalFormatting>
  <conditionalFormatting sqref="V342:W343">
    <cfRule type="expression" dxfId="771" priority="94">
      <formula>AN333&lt;&gt;1</formula>
    </cfRule>
  </conditionalFormatting>
  <conditionalFormatting sqref="AF342:AG343">
    <cfRule type="expression" dxfId="770" priority="93">
      <formula>AN333&lt;&gt;1</formula>
    </cfRule>
  </conditionalFormatting>
  <conditionalFormatting sqref="L350:M351">
    <cfRule type="expression" dxfId="769" priority="92">
      <formula>AN333&lt;&gt;1</formula>
    </cfRule>
  </conditionalFormatting>
  <conditionalFormatting sqref="V350:W351">
    <cfRule type="expression" dxfId="768" priority="91">
      <formula>AN333&lt;&gt;1</formula>
    </cfRule>
  </conditionalFormatting>
  <conditionalFormatting sqref="AF350:AG351">
    <cfRule type="expression" dxfId="767" priority="90">
      <formula>AN333&lt;&gt;1</formula>
    </cfRule>
  </conditionalFormatting>
  <conditionalFormatting sqref="AR342:AT343 BB350:BD351 BB342:BD343 BL342:BN343 AR334:AT335 BB334:BD335 BL334:BN335 BL350:BN351 AR350:AT351">
    <cfRule type="expression" dxfId="766" priority="88">
      <formula>AS336=""</formula>
    </cfRule>
  </conditionalFormatting>
  <conditionalFormatting sqref="AW342:AY343 BG350:BI351 BG342:BI343 BQ342:BS343 AW334:AY335 BG334:BI335 BQ334:BS335 BQ350:BS351 AW350:AY351">
    <cfRule type="expression" dxfId="765" priority="87">
      <formula>AS336=""</formula>
    </cfRule>
  </conditionalFormatting>
  <conditionalFormatting sqref="BO334:BP335 BO350:BP351 BO342:BP343 BE350:BF351 BE334:BF335 AU334:AV335 BE342:BF343 AU342:AV343 AU350:AV351">
    <cfRule type="expression" dxfId="764" priority="74">
      <formula>AS336=""</formula>
    </cfRule>
  </conditionalFormatting>
  <conditionalFormatting sqref="AS344:AX346 BC352:BH354 BC344:BH346 BM344:BR346 AS336:AX338 BC336:BH338 BM336:BR338 BM352:BR354 AS352:AX354">
    <cfRule type="expression" dxfId="763" priority="83">
      <formula>AS336=""</formula>
    </cfRule>
  </conditionalFormatting>
  <conditionalFormatting sqref="AR344:AR347 BB352:BB355 BB344:BB347 BL344:BL347 AR336:AR339 BB336:BB339 BL336:BL339 BL352:BL355 AR352:AR355">
    <cfRule type="expression" dxfId="762" priority="86">
      <formula>AS336=""</formula>
    </cfRule>
  </conditionalFormatting>
  <conditionalFormatting sqref="AS347:AX347 BC355:BH355 BC347:BH347 BM347:BR347 AS339:AX339 BC339:BH339 BM339:BR339 BM355:BR355 AS355:AX355">
    <cfRule type="expression" dxfId="761" priority="85">
      <formula>AS336=""</formula>
    </cfRule>
  </conditionalFormatting>
  <conditionalFormatting sqref="AY344:AY347 BI352:BI355 BI344:BI347 BS344:BS347 AY336:AY339 BI336:BI339 BS336:BS339 BS352:BS355 AY352:AY355">
    <cfRule type="expression" dxfId="760" priority="84">
      <formula>AS336=""</formula>
    </cfRule>
  </conditionalFormatting>
  <conditionalFormatting sqref="BE334:BF335">
    <cfRule type="expression" dxfId="759" priority="82">
      <formula>AN333&lt;&gt;1</formula>
    </cfRule>
  </conditionalFormatting>
  <conditionalFormatting sqref="BO334:BP335">
    <cfRule type="expression" dxfId="758" priority="81">
      <formula>AN333&lt;&gt;1</formula>
    </cfRule>
  </conditionalFormatting>
  <conditionalFormatting sqref="AU342:AV343">
    <cfRule type="expression" dxfId="757" priority="80">
      <formula>AN333&lt;&gt;1</formula>
    </cfRule>
  </conditionalFormatting>
  <conditionalFormatting sqref="BE342:BF343">
    <cfRule type="expression" dxfId="756" priority="79">
      <formula>AN333&lt;&gt;1</formula>
    </cfRule>
  </conditionalFormatting>
  <conditionalFormatting sqref="BO342:BP343">
    <cfRule type="expression" dxfId="755" priority="78">
      <formula>AN333&lt;&gt;1</formula>
    </cfRule>
  </conditionalFormatting>
  <conditionalFormatting sqref="AU350:AV351">
    <cfRule type="expression" dxfId="754" priority="77">
      <formula>AN333&lt;&gt;1</formula>
    </cfRule>
  </conditionalFormatting>
  <conditionalFormatting sqref="BE350:BF351">
    <cfRule type="expression" dxfId="753" priority="76">
      <formula>AN333&lt;&gt;1</formula>
    </cfRule>
  </conditionalFormatting>
  <conditionalFormatting sqref="BO350:BP351">
    <cfRule type="expression" dxfId="752" priority="75">
      <formula>AN333&lt;&gt;1</formula>
    </cfRule>
  </conditionalFormatting>
  <conditionalFormatting sqref="AN337:AN354">
    <cfRule type="expression" dxfId="751" priority="73">
      <formula>AM337=0</formula>
    </cfRule>
  </conditionalFormatting>
  <conditionalFormatting sqref="AM368:AO369">
    <cfRule type="expression" dxfId="750" priority="72">
      <formula>AN392=0</formula>
    </cfRule>
  </conditionalFormatting>
  <conditionalFormatting sqref="AM396:AO396">
    <cfRule type="expression" dxfId="749" priority="71">
      <formula>AND(AN392=1,AM396="")</formula>
    </cfRule>
  </conditionalFormatting>
  <conditionalFormatting sqref="AM394:AO394">
    <cfRule type="expression" dxfId="748" priority="70">
      <formula>AND(AN392=1,AM394="")</formula>
    </cfRule>
  </conditionalFormatting>
  <conditionalFormatting sqref="AN395">
    <cfRule type="expression" dxfId="747" priority="69">
      <formula>AM394=""</formula>
    </cfRule>
  </conditionalFormatting>
  <conditionalFormatting sqref="AM371:AO373">
    <cfRule type="expression" dxfId="746" priority="68">
      <formula>AN392=0</formula>
    </cfRule>
  </conditionalFormatting>
  <conditionalFormatting sqref="I387:K388 I379:K380 S387:U388 S379:U380 AC379:AE380 I371:K372 S371:U372 AC371:AE372 AC387:AE388">
    <cfRule type="expression" dxfId="745" priority="67">
      <formula>J373=""</formula>
    </cfRule>
  </conditionalFormatting>
  <conditionalFormatting sqref="N387:P388 N379:P380 X387:Z388 X379:Z380 AH379:AJ380 N371:P372 X371:Z372 AH371:AJ372 AH387:AJ388">
    <cfRule type="expression" dxfId="744" priority="66">
      <formula>J373=""</formula>
    </cfRule>
  </conditionalFormatting>
  <conditionalFormatting sqref="L387:M388 L379:M380 L371:M372 V379:W380 AF379:AG380 V387:W388 AF387:AG388 V371:W372 AF371:AG372">
    <cfRule type="expression" dxfId="743" priority="53">
      <formula>J373=""</formula>
    </cfRule>
  </conditionalFormatting>
  <conditionalFormatting sqref="J389:O391 J381:O383 T389:Y391 T381:Y383 AD381:AI383 J373:O375 T373:Y375 AD373:AI375 AD389:AI391">
    <cfRule type="expression" dxfId="742" priority="62">
      <formula>J373=""</formula>
    </cfRule>
  </conditionalFormatting>
  <conditionalFormatting sqref="I389:I392 I381:I384 S389:S392 S381:S384 AC381:AC384 I373:I376 S373:S376 AC373:AC376 AC389:AC392">
    <cfRule type="expression" dxfId="741" priority="65">
      <formula>J373=""</formula>
    </cfRule>
  </conditionalFormatting>
  <conditionalFormatting sqref="J392:O392 J384:O384 T392:Y392 T384:Y384 AD384:AI384 J376:O376 T376:Y376 AD376:AI376 AD392:AI392">
    <cfRule type="expression" dxfId="740" priority="64">
      <formula>J373=""</formula>
    </cfRule>
  </conditionalFormatting>
  <conditionalFormatting sqref="P389:P392 P381:P384 Z389:Z392 Z381:Z384 AJ381:AJ384 P373:P376 Z373:Z376 AJ373:AJ376 AJ389:AJ392">
    <cfRule type="expression" dxfId="739" priority="63">
      <formula>J373=""</formula>
    </cfRule>
  </conditionalFormatting>
  <conditionalFormatting sqref="V371:W372">
    <cfRule type="expression" dxfId="738" priority="61">
      <formula>AN370&lt;&gt;1</formula>
    </cfRule>
  </conditionalFormatting>
  <conditionalFormatting sqref="AF371:AG372">
    <cfRule type="expression" dxfId="737" priority="60">
      <formula>AN370&lt;&gt;1</formula>
    </cfRule>
  </conditionalFormatting>
  <conditionalFormatting sqref="L379:M380">
    <cfRule type="expression" dxfId="736" priority="59">
      <formula>AN370&lt;&gt;1</formula>
    </cfRule>
  </conditionalFormatting>
  <conditionalFormatting sqref="V379:W380">
    <cfRule type="expression" dxfId="735" priority="58">
      <formula>AN370&lt;&gt;1</formula>
    </cfRule>
  </conditionalFormatting>
  <conditionalFormatting sqref="AF379:AG380">
    <cfRule type="expression" dxfId="734" priority="57">
      <formula>AN370&lt;&gt;1</formula>
    </cfRule>
  </conditionalFormatting>
  <conditionalFormatting sqref="L387:M388">
    <cfRule type="expression" dxfId="733" priority="56">
      <formula>AN370&lt;&gt;1</formula>
    </cfRule>
  </conditionalFormatting>
  <conditionalFormatting sqref="V387:W388">
    <cfRule type="expression" dxfId="732" priority="55">
      <formula>AN370&lt;&gt;1</formula>
    </cfRule>
  </conditionalFormatting>
  <conditionalFormatting sqref="AF387:AG388">
    <cfRule type="expression" dxfId="731" priority="54">
      <formula>AN370&lt;&gt;1</formula>
    </cfRule>
  </conditionalFormatting>
  <conditionalFormatting sqref="AR379:AT380 BB387:BD388 BB379:BD380 BL379:BN380 AR371:AT372 BB371:BD372 BL371:BN372 BL387:BN388 AR387:AT388">
    <cfRule type="expression" dxfId="730" priority="52">
      <formula>AS373=""</formula>
    </cfRule>
  </conditionalFormatting>
  <conditionalFormatting sqref="AW379:AY380 BG387:BI388 BG379:BI380 BQ379:BS380 AW371:AY372 BG371:BI372 BQ371:BS372 BQ387:BS388 AW387:AY388">
    <cfRule type="expression" dxfId="729" priority="51">
      <formula>AS373=""</formula>
    </cfRule>
  </conditionalFormatting>
  <conditionalFormatting sqref="BO371:BP372 BO387:BP388 BO379:BP380 BE387:BF388 BE371:BF372 AU371:AV372 BE379:BF380 AU379:AV380 AU387:AV388">
    <cfRule type="expression" dxfId="728" priority="38">
      <formula>AS373=""</formula>
    </cfRule>
  </conditionalFormatting>
  <conditionalFormatting sqref="AS381:AX383 BC389:BH391 BC381:BH383 BM381:BR383 AS373:AX375 BC373:BH375 BM373:BR375 BM389:BR391 AS389:AX391">
    <cfRule type="expression" dxfId="727" priority="47">
      <formula>AS373=""</formula>
    </cfRule>
  </conditionalFormatting>
  <conditionalFormatting sqref="AR381:AR384 BB389:BB392 BB381:BB384 BL381:BL384 AR373:AR376 BB373:BB376 BL373:BL376 BL389:BL392 AR389:AR392">
    <cfRule type="expression" dxfId="726" priority="50">
      <formula>AS373=""</formula>
    </cfRule>
  </conditionalFormatting>
  <conditionalFormatting sqref="AS384:AX384 BC392:BH392 BC384:BH384 BM384:BR384 AS376:AX376 BC376:BH376 BM376:BR376 BM392:BR392 AS392:AX392">
    <cfRule type="expression" dxfId="725" priority="49">
      <formula>AS373=""</formula>
    </cfRule>
  </conditionalFormatting>
  <conditionalFormatting sqref="AY381:AY384 BI389:BI392 BI381:BI384 BS381:BS384 AY373:AY376 BI373:BI376 BS373:BS376 BS389:BS392 AY389:AY392">
    <cfRule type="expression" dxfId="724" priority="48">
      <formula>AS373=""</formula>
    </cfRule>
  </conditionalFormatting>
  <conditionalFormatting sqref="BE371:BF372">
    <cfRule type="expression" dxfId="723" priority="46">
      <formula>AN370&lt;&gt;1</formula>
    </cfRule>
  </conditionalFormatting>
  <conditionalFormatting sqref="BO371:BP372">
    <cfRule type="expression" dxfId="722" priority="45">
      <formula>AN370&lt;&gt;1</formula>
    </cfRule>
  </conditionalFormatting>
  <conditionalFormatting sqref="AU379:AV380">
    <cfRule type="expression" dxfId="721" priority="44">
      <formula>AN370&lt;&gt;1</formula>
    </cfRule>
  </conditionalFormatting>
  <conditionalFormatting sqref="BE379:BF380">
    <cfRule type="expression" dxfId="720" priority="43">
      <formula>AN370&lt;&gt;1</formula>
    </cfRule>
  </conditionalFormatting>
  <conditionalFormatting sqref="BO379:BP380">
    <cfRule type="expression" dxfId="719" priority="42">
      <formula>AN370&lt;&gt;1</formula>
    </cfRule>
  </conditionalFormatting>
  <conditionalFormatting sqref="AU387:AV388">
    <cfRule type="expression" dxfId="718" priority="41">
      <formula>AN370&lt;&gt;1</formula>
    </cfRule>
  </conditionalFormatting>
  <conditionalFormatting sqref="BE387:BF388">
    <cfRule type="expression" dxfId="717" priority="40">
      <formula>AN370&lt;&gt;1</formula>
    </cfRule>
  </conditionalFormatting>
  <conditionalFormatting sqref="BO387:BP388">
    <cfRule type="expression" dxfId="716" priority="39">
      <formula>AN370&lt;&gt;1</formula>
    </cfRule>
  </conditionalFormatting>
  <conditionalFormatting sqref="AN374:AN391">
    <cfRule type="expression" dxfId="715" priority="37">
      <formula>AM374=0</formula>
    </cfRule>
  </conditionalFormatting>
  <conditionalFormatting sqref="AM405:AO406">
    <cfRule type="expression" dxfId="714" priority="36">
      <formula>AN429=0</formula>
    </cfRule>
  </conditionalFormatting>
  <conditionalFormatting sqref="AM433:AO433">
    <cfRule type="expression" dxfId="713" priority="35">
      <formula>AND(AN429=1,AM433="")</formula>
    </cfRule>
  </conditionalFormatting>
  <conditionalFormatting sqref="AM431:AO431">
    <cfRule type="expression" dxfId="712" priority="34">
      <formula>AND(AN429=1,AM431="")</formula>
    </cfRule>
  </conditionalFormatting>
  <conditionalFormatting sqref="AN432">
    <cfRule type="expression" dxfId="711" priority="33">
      <formula>AM431=""</formula>
    </cfRule>
  </conditionalFormatting>
  <conditionalFormatting sqref="AM408:AO410">
    <cfRule type="expression" dxfId="710" priority="32">
      <formula>AN429=0</formula>
    </cfRule>
  </conditionalFormatting>
  <conditionalFormatting sqref="I424:K425 I416:K417 S424:U425 S416:U417 AC416:AE417 I408:K409 S408:U409 AC408:AE409 AC424:AE425">
    <cfRule type="expression" dxfId="709" priority="31">
      <formula>J410=""</formula>
    </cfRule>
  </conditionalFormatting>
  <conditionalFormatting sqref="N424:P425 N416:P417 X424:Z425 X416:Z417 AH416:AJ417 N408:P409 X408:Z409 AH408:AJ409 AH424:AJ425">
    <cfRule type="expression" dxfId="708" priority="30">
      <formula>J410=""</formula>
    </cfRule>
  </conditionalFormatting>
  <conditionalFormatting sqref="L424:M425 L416:M417 L408:M409 V416:W417 AF416:AG417 V424:W425 AF424:AG425 V408:W409 AF408:AG409">
    <cfRule type="expression" dxfId="707" priority="29">
      <formula>J410=""</formula>
    </cfRule>
  </conditionalFormatting>
  <conditionalFormatting sqref="J426:O428 J418:O420 T426:Y428 T418:Y420 AD418:AI420 J410:O412 T410:Y412 AD410:AI412 AD426:AI428">
    <cfRule type="expression" dxfId="706" priority="28">
      <formula>J410=""</formula>
    </cfRule>
  </conditionalFormatting>
  <conditionalFormatting sqref="I426:I429 I418:I421 S426:S429 S418:S421 AC418:AC421 I410:I413 S410:S413 AC410:AC413 AC426:AC429">
    <cfRule type="expression" dxfId="705" priority="34756">
      <formula>J410=""</formula>
    </cfRule>
  </conditionalFormatting>
  <conditionalFormatting sqref="J429:O429 J421:O421 T429:Y429 T421:Y421 AD421:AI421 J413:O413 T413:Y413 AD413:AI413 AD429:AI429">
    <cfRule type="expression" dxfId="704" priority="34757">
      <formula>J410=""</formula>
    </cfRule>
  </conditionalFormatting>
  <conditionalFormatting sqref="P426:P429 P418:P421 Z426:Z429 Z418:Z421 AJ418:AJ421 P410:P413 Z410:Z413 AJ410:AJ413 AJ426:AJ429">
    <cfRule type="expression" dxfId="703" priority="27">
      <formula>J410=""</formula>
    </cfRule>
  </conditionalFormatting>
  <conditionalFormatting sqref="V408:W409">
    <cfRule type="expression" dxfId="702" priority="25">
      <formula>AN407&lt;&gt;1</formula>
    </cfRule>
  </conditionalFormatting>
  <conditionalFormatting sqref="AF408:AG409">
    <cfRule type="expression" dxfId="701" priority="24">
      <formula>AN407&lt;&gt;1</formula>
    </cfRule>
  </conditionalFormatting>
  <conditionalFormatting sqref="L416:M417">
    <cfRule type="expression" dxfId="700" priority="23">
      <formula>AN407&lt;&gt;1</formula>
    </cfRule>
  </conditionalFormatting>
  <conditionalFormatting sqref="V416:W417">
    <cfRule type="expression" dxfId="699" priority="22">
      <formula>AN407&lt;&gt;1</formula>
    </cfRule>
  </conditionalFormatting>
  <conditionalFormatting sqref="AF416:AG417">
    <cfRule type="expression" dxfId="698" priority="21">
      <formula>AN407&lt;&gt;1</formula>
    </cfRule>
  </conditionalFormatting>
  <conditionalFormatting sqref="L424:M425">
    <cfRule type="expression" dxfId="697" priority="20">
      <formula>AN407&lt;&gt;1</formula>
    </cfRule>
  </conditionalFormatting>
  <conditionalFormatting sqref="V424:W425">
    <cfRule type="expression" dxfId="696" priority="19">
      <formula>AN407&lt;&gt;1</formula>
    </cfRule>
  </conditionalFormatting>
  <conditionalFormatting sqref="AF424:AG425">
    <cfRule type="expression" dxfId="695" priority="18">
      <formula>AN407&lt;&gt;1</formula>
    </cfRule>
  </conditionalFormatting>
  <conditionalFormatting sqref="AR416:AT417 BB424:BD425 BB416:BD417 BL416:BN417 AR408:AT409 BB408:BD409 BL408:BN409 BL424:BN425 AR424:AT425">
    <cfRule type="expression" dxfId="694" priority="16">
      <formula>AS410=""</formula>
    </cfRule>
  </conditionalFormatting>
  <conditionalFormatting sqref="AW416:AY417 BG424:BI425 BG416:BI417 BQ416:BS417 AW408:AY409 BG408:BI409 BQ408:BS409 BQ424:BS425 AW424:AY425">
    <cfRule type="expression" dxfId="693" priority="15">
      <formula>AS410=""</formula>
    </cfRule>
  </conditionalFormatting>
  <conditionalFormatting sqref="BO408:BP409 BO424:BP425 BO416:BP417 BE424:BF425 BE408:BF409 AU408:AV409 BE416:BF417 AU416:AV417 AU424:AV425">
    <cfRule type="expression" dxfId="692" priority="14">
      <formula>AS410=""</formula>
    </cfRule>
  </conditionalFormatting>
  <conditionalFormatting sqref="AS418:AX420 BC426:BH428 BC418:BH420 BM418:BR420 AS410:AX412 BC410:BH412 BM410:BR412 BM426:BR428 AS426:AX428">
    <cfRule type="expression" dxfId="691" priority="13">
      <formula>AS410=""</formula>
    </cfRule>
  </conditionalFormatting>
  <conditionalFormatting sqref="AR418:AR421 BB426:BB429 BB418:BB421 BL418:BL421 AR410:AR413 BB410:BB413 BL410:BL413 BL426:BL429 AR426:AR429">
    <cfRule type="expression" dxfId="690" priority="34758">
      <formula>AS410=""</formula>
    </cfRule>
  </conditionalFormatting>
  <conditionalFormatting sqref="AS421:AX421 BC429:BH429 BC421:BH421 BM421:BR421 AS413:AX413 BC413:BH413 BM413:BR413 BM429:BR429 AS429:AX429">
    <cfRule type="expression" dxfId="689" priority="34759">
      <formula>AS410=""</formula>
    </cfRule>
  </conditionalFormatting>
  <conditionalFormatting sqref="AY418:AY421 BI426:BI429 BI418:BI421 BS418:BS421 AY410:AY413 BI410:BI413 BS410:BS413 BS426:BS429 AY426:AY429">
    <cfRule type="expression" dxfId="688" priority="12">
      <formula>AS410=""</formula>
    </cfRule>
  </conditionalFormatting>
  <conditionalFormatting sqref="BE408:BF409">
    <cfRule type="expression" dxfId="687" priority="10">
      <formula>AN407&lt;&gt;1</formula>
    </cfRule>
  </conditionalFormatting>
  <conditionalFormatting sqref="BO408:BP409">
    <cfRule type="expression" dxfId="686" priority="9">
      <formula>AN407&lt;&gt;1</formula>
    </cfRule>
  </conditionalFormatting>
  <conditionalFormatting sqref="AU416:AV417">
    <cfRule type="expression" dxfId="685" priority="8">
      <formula>AN407&lt;&gt;1</formula>
    </cfRule>
  </conditionalFormatting>
  <conditionalFormatting sqref="BE416:BF417">
    <cfRule type="expression" dxfId="684" priority="7">
      <formula>AN407&lt;&gt;1</formula>
    </cfRule>
  </conditionalFormatting>
  <conditionalFormatting sqref="BO416:BP417">
    <cfRule type="expression" dxfId="683" priority="6">
      <formula>AN407&lt;&gt;1</formula>
    </cfRule>
  </conditionalFormatting>
  <conditionalFormatting sqref="AU424:AV425">
    <cfRule type="expression" dxfId="682" priority="5">
      <formula>AN407&lt;&gt;1</formula>
    </cfRule>
  </conditionalFormatting>
  <conditionalFormatting sqref="BE424:BF425">
    <cfRule type="expression" dxfId="681" priority="4">
      <formula>AN407&lt;&gt;1</formula>
    </cfRule>
  </conditionalFormatting>
  <conditionalFormatting sqref="BO424:BP425">
    <cfRule type="expression" dxfId="680" priority="3">
      <formula>AN407&lt;&gt;1</formula>
    </cfRule>
  </conditionalFormatting>
  <conditionalFormatting sqref="AN411:AN428">
    <cfRule type="expression" dxfId="679" priority="1">
      <formula>AM411=0</formula>
    </cfRule>
  </conditionalFormatting>
  <dataValidations count="10">
    <dataValidation type="list" allowBlank="1" showInputMessage="1" showErrorMessage="1" sqref="BC14:BH14 AD14:AI14 BM22:BR22 BM30:BR30 AS14:AX14 BM14:BR14 BC30:BH30 T14:Y14 BC22:BH22 AS22:AX22 AD30:AI30 T30:Y30 J30:O30 AS30:AX30 T22:Y22 AD22:AI22 J14:O14 J22:O22" xr:uid="{9D574BF0-5CB8-4DF7-B1C0-5747DFFBD2F2}">
      <formula1>$CC$7</formula1>
    </dataValidation>
    <dataValidation allowBlank="1" showInputMessage="1" showErrorMessage="1" promptTitle="Achievements" prompt="Actions completed and accomplishments made during the playthrough that are worthy of note and celebration. _x000a__x000a_• Enter details of the action in cell below symbol._x000a_• Once done, mark as complete in cell below details._x000a__x000a_See display below for suggestions." sqref="AC4:AY5" xr:uid="{E9208DE2-2DF0-4BA0-A8FD-0EFD67EAE0BA}"/>
    <dataValidation allowBlank="1" showInputMessage="1" showErrorMessage="1" promptTitle="Legacy" prompt="Actions of note and importance that occured before starting the gameplan playthrough. " sqref="AK72:AQ73" xr:uid="{A712FA0C-A178-4EA6-8B51-624097B14A1B}"/>
    <dataValidation allowBlank="1" showInputMessage="1" showErrorMessage="1" promptTitle=" VICTORY" prompt="This is for displaying and marking achievements._x000a_ _x000a_Here you can:_x000a_• set specific milestones to aim at next_x000a_• acknowledge successes so far_x000a_• see a record of all achievements _x000a_ _x000a_Select individual cells for specific information and instructions." sqref="CA1" xr:uid="{FCCC80C1-0CD9-44C2-929A-B612C87D1850}"/>
    <dataValidation allowBlank="1" showInputMessage="1" showErrorMessage="1" promptTitle=" HUD = Overview" prompt=" LOGS = Journal           PLANS = Calendar_x000a_ NOTES = Ideas            TIMINGS = Schedule_x000a__x000a_ MISSIONS = Tasks_x000a_ ACTIONS = Input_x000a_ PROGRESS = Output_x000a_ JOURNEY = Status_x000a__x000a_ BOUNTY = Rewards   MONEY = Finance_x000a_[VICTORY = Success]   RESPITE = Media_x000a_ GUIDE = History" sqref="A1" xr:uid="{8323C72E-51B1-4C48-B10F-0DFD7A103FFD}"/>
    <dataValidation allowBlank="1" showInputMessage="1" showErrorMessage="1" promptTitle="Levels | Missions | Logs" prompt="Types of achievement, milestone or victory._x000a__x000a_Edit and customise criteria details below as desired." sqref="V44:AF44" xr:uid="{C81CE182-F10B-4840-852A-82ECD311054C}"/>
    <dataValidation allowBlank="1" showInputMessage="1" showErrorMessage="1" promptTitle="Personal" prompt="Types of achievement, milestone or victory._x000a__x000a_Edit and customise criteria details below as desired." sqref="I44:S44" xr:uid="{19E5E7AF-065B-47FA-9FD9-4155804BF23C}"/>
    <dataValidation allowBlank="1" showInputMessage="1" showErrorMessage="1" promptTitle="XP | Lives | HP" prompt="Types of achievement, milestone or victory._x000a__x000a_Edit and customise criteria details below as desired." sqref="AI44:AS44" xr:uid="{747E0F60-486C-4AFF-9D51-06C5ED1A41DC}"/>
    <dataValidation allowBlank="1" showInputMessage="1" showErrorMessage="1" promptTitle="Challenges | Objectives" prompt="Types of achievement, milestone or victory._x000a__x000a_Edit and customise criteria details below as desired." sqref="AV44:BF44" xr:uid="{ED5738C1-1BEC-442B-9102-F567D62EFB24}"/>
    <dataValidation allowBlank="1" showInputMessage="1" showErrorMessage="1" promptTitle="Projects" prompt="Types of achievement, milestone or victory._x000a__x000a_Edit and customise criteria details below as desired." sqref="BI44:BS44" xr:uid="{2549DF92-E119-468E-8FD6-4B011394F8B5}"/>
  </dataValidations>
  <printOptions horizontalCentered="1" verticalCentered="1" gridLines="1"/>
  <pageMargins left="0.39370078740157483" right="0.39370078740157483" top="0.39370078740157483" bottom="0.39370078740157483" header="0" footer="0"/>
  <pageSetup paperSize="9" scale="50" fitToWidth="0" fitToHeight="0" orientation="landscape" r:id="rId1"/>
  <headerFooter>
    <oddHeader>&amp;C&amp;"Lucida Console,Bold"GAMEPLAN</oddHead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A15F3-C0FB-4B44-9FED-7E41C0196D48}">
  <sheetPr codeName="Sheet13"/>
  <dimension ref="A1:GT148"/>
  <sheetViews>
    <sheetView showGridLines="0" showRowColHeaders="0" zoomScaleNormal="100" workbookViewId="0"/>
  </sheetViews>
  <sheetFormatPr defaultColWidth="3.42578125" defaultRowHeight="17.100000000000001" customHeight="1" x14ac:dyDescent="0.15"/>
  <cols>
    <col min="1" max="36" width="3.42578125" style="19"/>
    <col min="37" max="37" width="3.42578125" style="19" customWidth="1"/>
    <col min="38" max="79" width="3.42578125" style="19"/>
    <col min="80" max="85" width="3.42578125" style="19" hidden="1" customWidth="1"/>
    <col min="86" max="86" width="3.85546875" style="19" hidden="1" customWidth="1"/>
    <col min="87" max="92" width="3.42578125" style="19" hidden="1" customWidth="1"/>
    <col min="93" max="93" width="3.85546875" style="19" hidden="1" customWidth="1"/>
    <col min="94" max="202" width="3.42578125" style="19" hidden="1" customWidth="1"/>
    <col min="203" max="16384" width="3.42578125" style="19"/>
  </cols>
  <sheetData>
    <row r="1" spans="1:134" ht="17.100000000000001" customHeight="1" thickBot="1" x14ac:dyDescent="0.2">
      <c r="A1" s="2694" t="s">
        <v>1706</v>
      </c>
      <c r="B1" s="17"/>
      <c r="C1" s="17"/>
      <c r="D1" s="17"/>
      <c r="E1" s="17"/>
      <c r="F1" s="17"/>
      <c r="G1" s="17"/>
      <c r="H1" s="17"/>
      <c r="I1" s="17"/>
      <c r="J1" s="17"/>
      <c r="K1" s="17"/>
      <c r="L1" s="311">
        <f ca="1">SUM(A7,A9,A11,A13,A15,A17,A19,A66,A68,A70,A72,A74,A76,A78,A80,A82,A84,A86,A88,A90,A92)</f>
        <v>0</v>
      </c>
      <c r="M1" s="311">
        <f ca="1">SUM(A7,A9,A11,A13,A15,A17,A19,A66,A68,A70,A72,A74,A76,A78,A80,A82,A84,A86,A88,A90,A92)</f>
        <v>0</v>
      </c>
      <c r="N1" s="2154" cm="1">
        <f t="array" aca="1" ref="N1" ca="1">_xlfn.IFS(
M1&gt;=1,1,
AND(O1=$L$28,$F$28=$F$27),1,
AND(O1=$L$29,$F$29=$F$27),1,
AND(O1=$L$30,$F$30=$F$27),1,
AND(O1=$L$31,$F$31=$F$27),1,
AND(O1=$L$32,$F$32=$F$27),1,
AND(O1=$L$33,$F$33=$F$27),1,
AND(O1=$L$34,$F$34=$F$27),1,
AND(O1=$L$35,$F$35=$F$27),1,
AND(O1=$L$36,$F$36=$F$27),1,
TRUE,0)</f>
        <v>0</v>
      </c>
      <c r="O1" s="2155" t="str">
        <f>$DP$68</f>
        <v>GAMING</v>
      </c>
      <c r="P1" s="47"/>
      <c r="Q1" s="47"/>
      <c r="R1" s="47"/>
      <c r="S1" s="47"/>
      <c r="T1" s="47"/>
      <c r="U1" s="47"/>
      <c r="V1" s="47"/>
      <c r="W1" s="47"/>
      <c r="X1" s="47"/>
      <c r="Y1" s="47"/>
      <c r="Z1" s="47"/>
      <c r="AA1" s="47"/>
      <c r="AB1" s="47"/>
      <c r="AC1" s="47"/>
      <c r="AD1" s="47"/>
      <c r="AE1" s="47"/>
      <c r="AF1" s="47"/>
      <c r="AG1" s="47"/>
      <c r="AH1" s="47"/>
      <c r="AI1" s="47"/>
      <c r="AJ1" s="47"/>
      <c r="AK1" s="47"/>
      <c r="AL1" s="311">
        <f ca="1">SUM(AA7,AA9,AA11,AA13,AA15,AA17,AA19,AA66,AA68,AA70,AA72,AA74,AA76,AA78,AA80,AA82,AA84,AA86,AA88,AA90,AA92)</f>
        <v>0</v>
      </c>
      <c r="AM1" s="311">
        <f ca="1">SUM(AA7,AA9,AA11,AA13,AA15,AA17,AA19,AA66,AA68,AA70,AA72,AA74,AA76,AA78,AA80,AA82,AA84,AA86,AA88,AA90,AA92)</f>
        <v>0</v>
      </c>
      <c r="AN1" s="2154" cm="1">
        <f t="array" aca="1" ref="AN1" ca="1">_xlfn.IFS(
AM1&gt;=1,1,
AND(AO1=$L$28,$F$28=$F$27),1,
AND(AO1=$L$29,$F$29=$F$27),1,
AND(AO1=$L$30,$F$30=$F$27),1,
AND(AO1=$L$31,$F$31=$F$27),1,
AND(AO1=$L$32,$F$32=$F$27),1,
AND(AO1=$L$33,$F$33=$F$27),1,
AND(AO1=$L$34,$F$34=$F$27),1,
AND(AO1=$L$35,$F$35=$F$27),1,
AND(AO1=$L$36,$F$36=$F$27),1,
TRUE,0)</f>
        <v>0</v>
      </c>
      <c r="AO1" s="2155" t="str">
        <f>$DP$7</f>
        <v>TV</v>
      </c>
      <c r="AP1" s="47"/>
      <c r="AQ1" s="47"/>
      <c r="AR1" s="47"/>
      <c r="AS1" s="47"/>
      <c r="AT1" s="47"/>
      <c r="AU1" s="47"/>
      <c r="AV1" s="47"/>
      <c r="AW1" s="47"/>
      <c r="AX1" s="47"/>
      <c r="AY1" s="47"/>
      <c r="AZ1" s="47"/>
      <c r="BA1" s="47"/>
      <c r="BB1" s="47"/>
      <c r="BC1" s="47"/>
      <c r="BD1" s="47"/>
      <c r="BE1" s="47"/>
      <c r="BF1" s="47"/>
      <c r="BG1" s="47"/>
      <c r="BH1" s="47"/>
      <c r="BI1" s="47"/>
      <c r="BJ1" s="47"/>
      <c r="BK1" s="47"/>
      <c r="BL1" s="311">
        <f ca="1">SUM(BA7,BA9,BA11,BA13,BA15,BA17,BA19,BA66,BA68,BA70,BA72,BA74,BA76,BA78,BA80,BA82,BA84,BA86,BA88,BA90,BA92,BA94,BA96,BA98,BA100,BA102,BA104,BA106,BA108,BA110,BA112,BA114,BA116,BA118,BA120)</f>
        <v>0</v>
      </c>
      <c r="BM1" s="311">
        <f ca="1">SUM(BA7,BA9,BA11,BA13,BA15,BA17,BA19,BA66,BA68,BA70,BA72,BA74,BA76,BA78,BA80,BA82,BA84,BA86,BA88,BA90,BA92,BA94,BA96,BA98,BA100,BA102,BA104,BA106,BA108,BA110,BA112,BA114,BA116,BA118,BA120)</f>
        <v>0</v>
      </c>
      <c r="BN1" s="2154" cm="1">
        <f t="array" aca="1" ref="BN1" ca="1">_xlfn.IFS(
BM1&gt;=1,1,
AND(BO1=$L$28,$F$28=$F$27),1,
AND(BO1=$L$29,$F$29=$F$27),1,
AND(BO1=$L$30,$F$30=$F$27),1,
AND(BO1=$L$31,$F$31=$F$27),1,
AND(BO1=$L$32,$F$32=$F$27),1,
AND(BO1=$L$33,$F$33=$F$27),1,
AND(BO1=$L$34,$F$34=$F$27),1,
AND(BO1=$L$35,$F$35=$F$27),1,
AND(BO1=$L$36,$F$36=$F$27),1,
TRUE,0)</f>
        <v>0</v>
      </c>
      <c r="BO1" s="2155" t="str">
        <f>$DP$30</f>
        <v>FILM</v>
      </c>
      <c r="BP1" s="47"/>
      <c r="BQ1" s="47"/>
      <c r="BR1" s="47"/>
      <c r="BS1" s="17"/>
      <c r="BT1" s="17"/>
      <c r="BU1" s="17"/>
      <c r="BV1" s="17"/>
      <c r="BW1" s="17"/>
      <c r="BX1" s="17"/>
      <c r="BY1" s="17"/>
      <c r="BZ1" s="17"/>
      <c r="CA1" s="18" t="s">
        <v>782</v>
      </c>
    </row>
    <row r="2" spans="1:134" ht="17.100000000000001" customHeight="1" thickTop="1" x14ac:dyDescent="0.2">
      <c r="A2" s="17"/>
      <c r="B2" s="4979" t="str">
        <f t="shared" ref="B2" si="0">IF($CY$49&gt;0,"N","")</f>
        <v/>
      </c>
      <c r="C2" s="4980"/>
      <c r="D2" s="4964" t="str">
        <f>IF($CY$49&gt;0,"&gt; "&amp;$CO$49&amp;" HRS","")</f>
        <v/>
      </c>
      <c r="E2" s="4964" t="str">
        <f t="shared" ref="E2:F2" si="1">IF($CY$53&gt;0,"N","")</f>
        <v/>
      </c>
      <c r="F2" s="4964" t="str">
        <f t="shared" si="1"/>
        <v/>
      </c>
      <c r="G2" s="936"/>
      <c r="H2" s="936"/>
      <c r="I2" s="936"/>
      <c r="J2" s="4961" t="s">
        <v>1234</v>
      </c>
      <c r="K2" s="4962"/>
      <c r="L2" s="4966" t="s">
        <v>123</v>
      </c>
      <c r="M2" s="4966"/>
      <c r="N2" s="4966"/>
      <c r="O2" s="4966"/>
      <c r="P2" s="4966"/>
      <c r="Q2" s="4961" t="s">
        <v>1234</v>
      </c>
      <c r="R2" s="4962"/>
      <c r="S2" s="936"/>
      <c r="T2" s="936"/>
      <c r="U2" s="936"/>
      <c r="V2" s="4969" t="str">
        <f>IF($CY$49&gt;0,"&gt; "&amp;$CO$49&amp;" HRS","")</f>
        <v/>
      </c>
      <c r="W2" s="4969" t="str">
        <f t="shared" ref="W2:X2" si="2">IF($CY$53&gt;0,"N","")</f>
        <v/>
      </c>
      <c r="X2" s="4969" t="str">
        <f t="shared" si="2"/>
        <v/>
      </c>
      <c r="Y2" s="4984" t="str">
        <f>IF($CY$49&gt;0,"N","")</f>
        <v/>
      </c>
      <c r="Z2" s="4985"/>
      <c r="AA2" s="605"/>
      <c r="AB2" s="4979" t="str">
        <f t="shared" ref="AB2" si="3">IF($CY$50&gt;0,"N","")</f>
        <v/>
      </c>
      <c r="AC2" s="4980"/>
      <c r="AD2" s="4964" t="str">
        <f>IF($CY$50&gt;0,"&gt; "&amp;$CO$50&amp;" HRS","")</f>
        <v/>
      </c>
      <c r="AE2" s="4964" t="str">
        <f t="shared" ref="AE2:AF2" si="4">IF($CY$53&gt;0,"N","")</f>
        <v/>
      </c>
      <c r="AF2" s="4964" t="str">
        <f t="shared" si="4"/>
        <v/>
      </c>
      <c r="AG2" s="936"/>
      <c r="AH2" s="936"/>
      <c r="AI2" s="936"/>
      <c r="AJ2" s="4961" t="s">
        <v>1235</v>
      </c>
      <c r="AK2" s="4962"/>
      <c r="AL2" s="4966" t="s">
        <v>409</v>
      </c>
      <c r="AM2" s="4966"/>
      <c r="AN2" s="4966"/>
      <c r="AO2" s="4966"/>
      <c r="AP2" s="4966"/>
      <c r="AQ2" s="4961" t="s">
        <v>1235</v>
      </c>
      <c r="AR2" s="4962"/>
      <c r="AS2" s="936"/>
      <c r="AT2" s="936"/>
      <c r="AU2" s="936"/>
      <c r="AV2" s="4969" t="str">
        <f>IF($CY$50&gt;0,"&gt; "&amp;$CO$50&amp;" HRS","")</f>
        <v/>
      </c>
      <c r="AW2" s="4969" t="str">
        <f t="shared" ref="AW2:AX2" si="5">IF($CY$53&gt;0,"N","")</f>
        <v/>
      </c>
      <c r="AX2" s="4969" t="str">
        <f t="shared" si="5"/>
        <v/>
      </c>
      <c r="AY2" s="4984" t="str">
        <f>IF($CY$50&gt;0,"N","")</f>
        <v/>
      </c>
      <c r="AZ2" s="4985"/>
      <c r="BA2" s="605"/>
      <c r="BB2" s="4979" t="str">
        <f t="shared" ref="BB2" si="6">IF($CY$51&gt;0,"N","")</f>
        <v/>
      </c>
      <c r="BC2" s="4980"/>
      <c r="BD2" s="4971" t="str">
        <f>IF($CY$51&gt;0,"&gt; "&amp;$CO$51&amp;" HRS","")</f>
        <v/>
      </c>
      <c r="BE2" s="4971" t="str">
        <f t="shared" ref="BE2:BF2" si="7">IF($CY$53&gt;0,"N","")</f>
        <v/>
      </c>
      <c r="BF2" s="4971" t="str">
        <f t="shared" si="7"/>
        <v/>
      </c>
      <c r="BG2" s="936"/>
      <c r="BH2" s="936"/>
      <c r="BI2" s="936"/>
      <c r="BJ2" s="4961" t="s">
        <v>1236</v>
      </c>
      <c r="BK2" s="4962"/>
      <c r="BL2" s="4966" t="s">
        <v>124</v>
      </c>
      <c r="BM2" s="4966"/>
      <c r="BN2" s="4966"/>
      <c r="BO2" s="4966"/>
      <c r="BP2" s="4966"/>
      <c r="BQ2" s="4961" t="s">
        <v>1236</v>
      </c>
      <c r="BR2" s="4962"/>
      <c r="BS2" s="936"/>
      <c r="BT2" s="936"/>
      <c r="BU2" s="936"/>
      <c r="BV2" s="4969" t="str">
        <f>IF($CY$51&gt;0,"&gt; "&amp;$CO$51&amp;" HRS","")</f>
        <v/>
      </c>
      <c r="BW2" s="4969" t="str">
        <f t="shared" ref="BW2:BX2" si="8">IF($CY$53&gt;0,"N","")</f>
        <v/>
      </c>
      <c r="BX2" s="4969" t="str">
        <f t="shared" si="8"/>
        <v/>
      </c>
      <c r="BY2" s="4984" t="str">
        <f>IF($CY$51&gt;0,"N","")</f>
        <v/>
      </c>
      <c r="BZ2" s="4985"/>
      <c r="CA2" s="17"/>
      <c r="CC2" s="2497" t="s">
        <v>1682</v>
      </c>
    </row>
    <row r="3" spans="1:134" ht="17.100000000000001" customHeight="1" thickBot="1" x14ac:dyDescent="0.25">
      <c r="A3" s="17"/>
      <c r="B3" s="4981"/>
      <c r="C3" s="4982"/>
      <c r="D3" s="4965"/>
      <c r="E3" s="4965"/>
      <c r="F3" s="4965"/>
      <c r="G3" s="937"/>
      <c r="H3" s="937"/>
      <c r="I3" s="937"/>
      <c r="J3" s="4963"/>
      <c r="K3" s="4963"/>
      <c r="L3" s="4967"/>
      <c r="M3" s="4967"/>
      <c r="N3" s="4967"/>
      <c r="O3" s="4967"/>
      <c r="P3" s="4967"/>
      <c r="Q3" s="4963"/>
      <c r="R3" s="4963"/>
      <c r="S3" s="937"/>
      <c r="T3" s="937"/>
      <c r="U3" s="937"/>
      <c r="V3" s="4970"/>
      <c r="W3" s="4970"/>
      <c r="X3" s="4970"/>
      <c r="Y3" s="4989"/>
      <c r="Z3" s="4990"/>
      <c r="AA3" s="17"/>
      <c r="AB3" s="4981"/>
      <c r="AC3" s="4982"/>
      <c r="AD3" s="4965"/>
      <c r="AE3" s="4965"/>
      <c r="AF3" s="4965"/>
      <c r="AG3" s="937"/>
      <c r="AH3" s="937"/>
      <c r="AI3" s="937"/>
      <c r="AJ3" s="4963"/>
      <c r="AK3" s="4963"/>
      <c r="AL3" s="4967"/>
      <c r="AM3" s="4967"/>
      <c r="AN3" s="4967"/>
      <c r="AO3" s="4967"/>
      <c r="AP3" s="4967"/>
      <c r="AQ3" s="4963"/>
      <c r="AR3" s="4963"/>
      <c r="AS3" s="937"/>
      <c r="AT3" s="937"/>
      <c r="AU3" s="937"/>
      <c r="AV3" s="4970"/>
      <c r="AW3" s="4970"/>
      <c r="AX3" s="4970"/>
      <c r="AY3" s="4982"/>
      <c r="AZ3" s="4988"/>
      <c r="BA3" s="17"/>
      <c r="BB3" s="4981"/>
      <c r="BC3" s="4982"/>
      <c r="BD3" s="4972"/>
      <c r="BE3" s="4972"/>
      <c r="BF3" s="4972"/>
      <c r="BG3" s="937"/>
      <c r="BH3" s="937"/>
      <c r="BI3" s="937"/>
      <c r="BJ3" s="4963"/>
      <c r="BK3" s="4963"/>
      <c r="BL3" s="4967"/>
      <c r="BM3" s="4967"/>
      <c r="BN3" s="4967"/>
      <c r="BO3" s="4967"/>
      <c r="BP3" s="4967"/>
      <c r="BQ3" s="4963"/>
      <c r="BR3" s="4963"/>
      <c r="BS3" s="937"/>
      <c r="BT3" s="937"/>
      <c r="BU3" s="937"/>
      <c r="BV3" s="4970"/>
      <c r="BW3" s="4970"/>
      <c r="BX3" s="4970"/>
      <c r="BY3" s="4986"/>
      <c r="BZ3" s="4987"/>
      <c r="CA3" s="17"/>
      <c r="CC3" s="2497" t="s">
        <v>1681</v>
      </c>
    </row>
    <row r="4" spans="1:134" ht="17.100000000000001" customHeight="1" thickTop="1" thickBot="1" x14ac:dyDescent="0.3">
      <c r="A4" s="17"/>
      <c r="B4" s="938" t="s">
        <v>125</v>
      </c>
      <c r="C4" s="939"/>
      <c r="D4" s="939"/>
      <c r="E4" s="939"/>
      <c r="F4" s="939"/>
      <c r="G4" s="939"/>
      <c r="H4" s="939"/>
      <c r="I4" s="939"/>
      <c r="J4" s="939"/>
      <c r="K4" s="939"/>
      <c r="L4" s="939"/>
      <c r="M4" s="939"/>
      <c r="N4" s="939"/>
      <c r="O4" s="940"/>
      <c r="P4" s="941"/>
      <c r="Q4" s="942"/>
      <c r="R4" s="942"/>
      <c r="S4" s="942"/>
      <c r="T4" s="942"/>
      <c r="U4" s="942"/>
      <c r="V4" s="942"/>
      <c r="W4" s="942"/>
      <c r="X4" s="942"/>
      <c r="Y4" s="942"/>
      <c r="Z4" s="943"/>
      <c r="AA4" s="944"/>
      <c r="AB4" s="938" t="s">
        <v>126</v>
      </c>
      <c r="AC4" s="942"/>
      <c r="AD4" s="942"/>
      <c r="AE4" s="942"/>
      <c r="AF4" s="942"/>
      <c r="AG4" s="942"/>
      <c r="AH4" s="942"/>
      <c r="AI4" s="942"/>
      <c r="AJ4" s="942"/>
      <c r="AK4" s="942"/>
      <c r="AL4" s="942"/>
      <c r="AM4" s="942"/>
      <c r="AN4" s="942"/>
      <c r="AO4" s="945"/>
      <c r="AP4" s="946"/>
      <c r="AQ4" s="947"/>
      <c r="AR4" s="947"/>
      <c r="AS4" s="947"/>
      <c r="AT4" s="947"/>
      <c r="AU4" s="947"/>
      <c r="AV4" s="947"/>
      <c r="AW4" s="947"/>
      <c r="AX4" s="947"/>
      <c r="AY4" s="947"/>
      <c r="AZ4" s="948"/>
      <c r="BA4" s="17"/>
      <c r="BB4" s="938" t="s">
        <v>1711</v>
      </c>
      <c r="BC4" s="942"/>
      <c r="BD4" s="942"/>
      <c r="BE4" s="942"/>
      <c r="BF4" s="942"/>
      <c r="BG4" s="942"/>
      <c r="BH4" s="942"/>
      <c r="BI4" s="942"/>
      <c r="BJ4" s="942"/>
      <c r="BK4" s="942"/>
      <c r="BL4" s="942"/>
      <c r="BM4" s="942"/>
      <c r="BN4" s="942"/>
      <c r="BO4" s="942"/>
      <c r="BP4" s="949"/>
      <c r="BQ4" s="950"/>
      <c r="BR4" s="950"/>
      <c r="BS4" s="950"/>
      <c r="BT4" s="951"/>
      <c r="BU4" s="952"/>
      <c r="BV4" s="952"/>
      <c r="BW4" s="952"/>
      <c r="BX4" s="952"/>
      <c r="BY4" s="952"/>
      <c r="BZ4" s="953"/>
      <c r="CA4" s="17"/>
      <c r="CC4" s="2497" t="s">
        <v>1571</v>
      </c>
    </row>
    <row r="5" spans="1:134" ht="17.100000000000001" customHeight="1" thickTop="1" thickBot="1" x14ac:dyDescent="0.3">
      <c r="A5" s="17"/>
      <c r="B5" s="2723" t="s">
        <v>372</v>
      </c>
      <c r="C5" s="2724"/>
      <c r="D5" s="2724"/>
      <c r="E5" s="2724"/>
      <c r="F5" s="2724"/>
      <c r="G5" s="2724"/>
      <c r="H5" s="2724"/>
      <c r="I5" s="2724"/>
      <c r="J5" s="2724"/>
      <c r="K5" s="2724"/>
      <c r="L5" s="2724"/>
      <c r="M5" s="2725"/>
      <c r="N5" s="2725"/>
      <c r="O5" s="2726" t="s">
        <v>130</v>
      </c>
      <c r="P5" s="2727" t="s">
        <v>519</v>
      </c>
      <c r="Q5" s="954"/>
      <c r="R5" s="955"/>
      <c r="S5" s="954"/>
      <c r="T5" s="955"/>
      <c r="U5" s="954"/>
      <c r="V5" s="955"/>
      <c r="W5" s="954"/>
      <c r="X5" s="955"/>
      <c r="Y5" s="2728" t="s">
        <v>522</v>
      </c>
      <c r="Z5" s="2729" t="s">
        <v>128</v>
      </c>
      <c r="AA5" s="2125"/>
      <c r="AB5" s="2723" t="s">
        <v>407</v>
      </c>
      <c r="AC5" s="2724"/>
      <c r="AD5" s="2724"/>
      <c r="AE5" s="2724"/>
      <c r="AF5" s="2724"/>
      <c r="AG5" s="2724"/>
      <c r="AH5" s="2724"/>
      <c r="AI5" s="2724"/>
      <c r="AJ5" s="2724"/>
      <c r="AK5" s="2724"/>
      <c r="AL5" s="2724"/>
      <c r="AM5" s="2725"/>
      <c r="AN5" s="2725"/>
      <c r="AO5" s="2726" t="s">
        <v>130</v>
      </c>
      <c r="AP5" s="2727" t="s">
        <v>520</v>
      </c>
      <c r="AQ5" s="954"/>
      <c r="AR5" s="955"/>
      <c r="AS5" s="954"/>
      <c r="AT5" s="955"/>
      <c r="AU5" s="954"/>
      <c r="AV5" s="955"/>
      <c r="AW5" s="954"/>
      <c r="AX5" s="955"/>
      <c r="AY5" s="2728" t="s">
        <v>522</v>
      </c>
      <c r="AZ5" s="2740" t="s">
        <v>128</v>
      </c>
      <c r="BA5" s="17"/>
      <c r="BB5" s="2723" t="s">
        <v>408</v>
      </c>
      <c r="BC5" s="2724"/>
      <c r="BD5" s="2724"/>
      <c r="BE5" s="2724"/>
      <c r="BF5" s="2724"/>
      <c r="BG5" s="2724"/>
      <c r="BH5" s="2724"/>
      <c r="BI5" s="2724"/>
      <c r="BJ5" s="2724"/>
      <c r="BK5" s="2724"/>
      <c r="BL5" s="2724"/>
      <c r="BM5" s="2725"/>
      <c r="BN5" s="2725"/>
      <c r="BO5" s="2726" t="s">
        <v>130</v>
      </c>
      <c r="BP5" s="2727" t="s">
        <v>1685</v>
      </c>
      <c r="BQ5" s="957"/>
      <c r="BR5" s="958"/>
      <c r="BS5" s="2741"/>
      <c r="BT5" s="2741"/>
      <c r="BU5" s="2157" cm="1">
        <f t="array" aca="1" ref="BU5" ca="1">_xlfn.IFS(
AND($BV$5=$L$28,$F$28=$F$27),1,
AND($BV$5=$L$29,$F$29=$F$27),1,
AND($BV$5=$L$30,$F$30=$F$27),1,
AND($BV$5=$L$31,$F$31=$F$27),1,
AND($BV$5=$L$32,$F$32=$F$27),1,
AND($BV$5=$L$33,$F$33=$F$27),1,
AND($BV$5=$L$34,$F$34=$F$27),1,
AND($BV$5=$L$35,$F$35=$F$27),1,
AND($BV$5=$L$36,$F$36=$F$27),1,
TRUE,0)</f>
        <v>0</v>
      </c>
      <c r="BV5" s="2742" t="s">
        <v>1291</v>
      </c>
      <c r="BW5" s="2741"/>
      <c r="BX5" s="2741"/>
      <c r="BY5" s="2741"/>
      <c r="BZ5" s="2741"/>
      <c r="CA5" s="17"/>
      <c r="DX5" s="2135" t="s">
        <v>1289</v>
      </c>
      <c r="DY5" s="2133"/>
      <c r="DZ5" s="2133"/>
      <c r="EA5" s="2133"/>
      <c r="EB5" s="2133"/>
      <c r="EC5" s="2133"/>
      <c r="ED5" s="2134"/>
    </row>
    <row r="6" spans="1:134" ht="17.100000000000001" customHeight="1" thickTop="1" thickBot="1" x14ac:dyDescent="0.2">
      <c r="A6" s="17"/>
      <c r="B6" s="2730" t="s">
        <v>129</v>
      </c>
      <c r="C6" s="2731"/>
      <c r="D6" s="2731"/>
      <c r="E6" s="2731"/>
      <c r="F6" s="2731"/>
      <c r="G6" s="2731"/>
      <c r="H6" s="2731"/>
      <c r="I6" s="2732" t="s">
        <v>121</v>
      </c>
      <c r="J6" s="2731"/>
      <c r="K6" s="2731"/>
      <c r="L6" s="2732" t="s">
        <v>177</v>
      </c>
      <c r="M6" s="2731"/>
      <c r="N6" s="2731"/>
      <c r="O6" s="2733" t="s">
        <v>70</v>
      </c>
      <c r="P6" s="2730" t="s">
        <v>518</v>
      </c>
      <c r="Q6" s="2734"/>
      <c r="R6" s="2735"/>
      <c r="S6" s="2736"/>
      <c r="T6" s="2737"/>
      <c r="U6" s="2736"/>
      <c r="V6" s="2737"/>
      <c r="W6" s="2736"/>
      <c r="X6" s="2737"/>
      <c r="Y6" s="2738"/>
      <c r="Z6" s="2739"/>
      <c r="AA6" s="956"/>
      <c r="AB6" s="2730" t="s">
        <v>131</v>
      </c>
      <c r="AC6" s="2731"/>
      <c r="AD6" s="2731"/>
      <c r="AE6" s="2731"/>
      <c r="AF6" s="2731"/>
      <c r="AG6" s="2731"/>
      <c r="AH6" s="2731"/>
      <c r="AI6" s="2732" t="s">
        <v>121</v>
      </c>
      <c r="AJ6" s="2731"/>
      <c r="AK6" s="2731"/>
      <c r="AL6" s="2732" t="s">
        <v>177</v>
      </c>
      <c r="AM6" s="2731"/>
      <c r="AN6" s="2731"/>
      <c r="AO6" s="2733" t="s">
        <v>70</v>
      </c>
      <c r="AP6" s="2730" t="s">
        <v>518</v>
      </c>
      <c r="AQ6" s="2734"/>
      <c r="AR6" s="2735"/>
      <c r="AS6" s="2736"/>
      <c r="AT6" s="2737"/>
      <c r="AU6" s="2736"/>
      <c r="AV6" s="2737"/>
      <c r="AW6" s="2736"/>
      <c r="AX6" s="2737"/>
      <c r="AY6" s="2738"/>
      <c r="AZ6" s="2739"/>
      <c r="BA6" s="2141"/>
      <c r="BB6" s="2730" t="s">
        <v>132</v>
      </c>
      <c r="BC6" s="2731"/>
      <c r="BD6" s="2731"/>
      <c r="BE6" s="2731"/>
      <c r="BF6" s="2731"/>
      <c r="BG6" s="2731"/>
      <c r="BH6" s="2731"/>
      <c r="BI6" s="2732" t="s">
        <v>121</v>
      </c>
      <c r="BJ6" s="2731"/>
      <c r="BK6" s="2731"/>
      <c r="BL6" s="2732" t="s">
        <v>177</v>
      </c>
      <c r="BM6" s="2731"/>
      <c r="BN6" s="2731"/>
      <c r="BO6" s="2733" t="s">
        <v>70</v>
      </c>
      <c r="BP6" s="2730" t="s">
        <v>518</v>
      </c>
      <c r="BQ6" s="2743"/>
      <c r="BR6" s="2744"/>
      <c r="BS6" s="2745"/>
      <c r="BT6" s="2730"/>
      <c r="BU6" s="2235">
        <f ca="1">VALUE(RIGHT(MISSIONS!$AP$2,1))</f>
        <v>0</v>
      </c>
      <c r="BV6" s="2746" t="s">
        <v>1287</v>
      </c>
      <c r="BW6" s="2747"/>
      <c r="BX6" s="2747"/>
      <c r="BY6" s="2748"/>
      <c r="BZ6" s="2745"/>
      <c r="CA6" s="17"/>
      <c r="CC6" s="227"/>
      <c r="CD6" s="228"/>
      <c r="CE6" s="228"/>
      <c r="CF6" s="228"/>
      <c r="CG6" s="228"/>
      <c r="CH6" s="228"/>
      <c r="CI6" s="228"/>
      <c r="CJ6" s="228"/>
      <c r="CK6" s="256"/>
      <c r="CN6" s="227"/>
      <c r="CO6" s="1128" t="s">
        <v>860</v>
      </c>
      <c r="CP6" s="228"/>
      <c r="CQ6" s="228"/>
      <c r="CR6" s="228"/>
      <c r="CS6" s="228"/>
      <c r="CT6" s="228"/>
      <c r="CU6" s="228"/>
      <c r="CV6" s="228"/>
      <c r="CW6" s="256"/>
      <c r="CY6" s="960" t="s">
        <v>879</v>
      </c>
      <c r="DH6" s="2137" t="s">
        <v>1271</v>
      </c>
      <c r="DI6" s="228"/>
      <c r="DJ6" s="256"/>
      <c r="DP6" s="2146" t="s">
        <v>1290</v>
      </c>
      <c r="DQ6" s="2147"/>
      <c r="DR6" s="2147"/>
      <c r="DS6" s="2147"/>
      <c r="DT6" s="2147"/>
      <c r="DU6" s="2147"/>
      <c r="DV6" s="2148"/>
      <c r="DX6" s="2131"/>
      <c r="ED6" s="299"/>
    </row>
    <row r="7" spans="1:134" ht="17.100000000000001" customHeight="1" thickTop="1" thickBot="1" x14ac:dyDescent="0.3">
      <c r="A7" s="2153" cm="1">
        <f t="array" aca="1" ref="A7" ca="1">_xlfn.IFS(
B7="",0,
A8=0,0,
AND(B7=$L$28,$F$28=$F$27),1,
AND(B7=$L$29,$F$29=$F$27),1,
AND(B7=$L$30,$F$30=$F$27),1,
AND(B7=$L$31,$F$31=$F$27),1,
AND(B7=$L$32,$F$32=$F$27),1,
AND(B7=$L$33,$F$33=$F$27),1,
AND(B7=$L$34,$F$34=$F$27),1,
AND(B7=$L$35,$F$35=$F$27),1,
AND(B7=$L$36,$F$36=$F$27),1,
TRUE,0)</f>
        <v>0</v>
      </c>
      <c r="B7" s="4874"/>
      <c r="C7" s="4542"/>
      <c r="D7" s="4542"/>
      <c r="E7" s="4542"/>
      <c r="F7" s="4542"/>
      <c r="G7" s="4542"/>
      <c r="H7" s="4542"/>
      <c r="I7" s="4542"/>
      <c r="J7" s="4542"/>
      <c r="K7" s="4542"/>
      <c r="L7" s="4542"/>
      <c r="M7" s="4551"/>
      <c r="N7" s="4551"/>
      <c r="O7" s="4552"/>
      <c r="P7" s="4913"/>
      <c r="Q7" s="4914"/>
      <c r="R7" s="4913"/>
      <c r="S7" s="4914"/>
      <c r="T7" s="4913"/>
      <c r="U7" s="4914"/>
      <c r="V7" s="4913"/>
      <c r="W7" s="4914"/>
      <c r="X7" s="4913"/>
      <c r="Y7" s="4914"/>
      <c r="Z7" s="1040"/>
      <c r="AA7" s="2153" cm="1">
        <f t="array" aca="1" ref="AA7" ca="1">_xlfn.IFS(
AB7="",0,
AA8=0,0,
AND(AB7=$L$28,$F$28=$F$27),1,
AND(AB7=$L$29,$F$29=$F$27),1,
AND(AB7=$L$30,$F$30=$F$27),1,
AND(AB7=$L$31,$F$31=$F$27),1,
AND(AB7=$L$32,$F$32=$F$27),1,
AND(AB7=$L$33,$F$33=$F$27),1,
AND(AB7=$L$34,$F$34=$F$27),1,
AND(AB7=$L$35,$F$35=$F$27),1,
AND(AB7=$L$36,$F$36=$F$27),1,
TRUE,0)</f>
        <v>0</v>
      </c>
      <c r="AB7" s="4874"/>
      <c r="AC7" s="4542"/>
      <c r="AD7" s="4542"/>
      <c r="AE7" s="4542"/>
      <c r="AF7" s="4542"/>
      <c r="AG7" s="4542"/>
      <c r="AH7" s="4542"/>
      <c r="AI7" s="4542"/>
      <c r="AJ7" s="4542"/>
      <c r="AK7" s="4542"/>
      <c r="AL7" s="4542"/>
      <c r="AM7" s="4551"/>
      <c r="AN7" s="4551"/>
      <c r="AO7" s="4552"/>
      <c r="AP7" s="2494"/>
      <c r="AQ7" s="2494"/>
      <c r="AR7" s="2494"/>
      <c r="AS7" s="2494"/>
      <c r="AT7" s="2494"/>
      <c r="AU7" s="2494"/>
      <c r="AV7" s="2494"/>
      <c r="AW7" s="2494"/>
      <c r="AX7" s="2494"/>
      <c r="AY7" s="2494"/>
      <c r="AZ7" s="1040"/>
      <c r="BA7" s="2153" cm="1">
        <f t="array" aca="1" ref="BA7" ca="1">_xlfn.IFS(
BB7="",0,
BA8=0,0,
AND($BU$5=1,BU8=$BU$6),1,
AND(BB7=$L$28,$F$28=$F$27),1,
AND(BB7=$L$29,$F$29=$F$27),1,
AND(BB7=$L$30,$F$30=$F$27),1,
AND(BB7=$L$31,$F$31=$F$27),1,
AND(BB7=$L$32,$F$32=$F$27),1,
AND(BB7=$L$33,$F$33=$F$27),1,
AND(BB7=$L$34,$F$34=$F$27),1,
AND(BB7=$L$35,$F$35=$F$27),1,
AND(BB7=$L$36,$F$36=$F$27),1,
TRUE,0)</f>
        <v>0</v>
      </c>
      <c r="BB7" s="4874"/>
      <c r="BC7" s="4542"/>
      <c r="BD7" s="4542"/>
      <c r="BE7" s="4542"/>
      <c r="BF7" s="4542"/>
      <c r="BG7" s="4542"/>
      <c r="BH7" s="4542"/>
      <c r="BI7" s="4542"/>
      <c r="BJ7" s="4542"/>
      <c r="BK7" s="4542"/>
      <c r="BL7" s="4542"/>
      <c r="BM7" s="4551"/>
      <c r="BN7" s="4551"/>
      <c r="BO7" s="4552"/>
      <c r="BP7" s="4881"/>
      <c r="BQ7" s="4882"/>
      <c r="BR7" s="4883"/>
      <c r="BS7" s="959"/>
      <c r="BT7" s="2234"/>
      <c r="BU7" s="2236"/>
      <c r="BV7" s="2249"/>
      <c r="BW7" s="2264">
        <f>COUNTA($BV$8:$BX$20,$BV$67:$BX$121)</f>
        <v>0</v>
      </c>
      <c r="BX7" s="2249"/>
      <c r="BY7" s="2238"/>
      <c r="BZ7" s="959"/>
      <c r="CA7" s="17"/>
      <c r="CC7" s="242"/>
      <c r="CD7" s="960" t="s">
        <v>2354</v>
      </c>
      <c r="CK7" s="299"/>
      <c r="CN7" s="242"/>
      <c r="CO7" s="44" t="s">
        <v>134</v>
      </c>
      <c r="CR7" s="44" t="s">
        <v>135</v>
      </c>
      <c r="CU7" s="44" t="s">
        <v>136</v>
      </c>
      <c r="CW7" s="299"/>
      <c r="DA7" s="509"/>
      <c r="DH7" s="2138" t="s">
        <v>1272</v>
      </c>
      <c r="DJ7" s="299"/>
      <c r="DO7" s="2143"/>
      <c r="DP7" s="2135" t="s">
        <v>135</v>
      </c>
      <c r="DQ7" s="2133"/>
      <c r="DR7" s="2133"/>
      <c r="DS7" s="2133"/>
      <c r="DT7" s="2133"/>
      <c r="DU7" s="2133"/>
      <c r="DV7" s="2134"/>
      <c r="DX7" s="2131" t="str" cm="1">
        <f t="array" ref="DX7:DX9">_xlfn._xlws.FILTER($DP$7:$DP$90,$DP$7:$DP$90&lt;&gt;"")</f>
        <v>TV</v>
      </c>
      <c r="ED7" s="299"/>
    </row>
    <row r="8" spans="1:134" ht="17.100000000000001" customHeight="1" thickTop="1" thickBot="1" x14ac:dyDescent="0.2">
      <c r="A8" s="2129" cm="1">
        <f t="array" ref="A8">_xlfn.IFS(P7="",0,AND(COUNTA(P7:Y7)=COUNTA(P8:Y8),DM8=0),0,TRUE,1)</f>
        <v>0</v>
      </c>
      <c r="B8" s="4540"/>
      <c r="C8" s="4535"/>
      <c r="D8" s="4535"/>
      <c r="E8" s="4535"/>
      <c r="F8" s="4535"/>
      <c r="G8" s="4535"/>
      <c r="H8" s="4535"/>
      <c r="I8" s="4535"/>
      <c r="J8" s="4535"/>
      <c r="K8" s="4535"/>
      <c r="L8" s="4564"/>
      <c r="M8" s="4564"/>
      <c r="N8" s="4876"/>
      <c r="O8" s="4877"/>
      <c r="P8" s="4920"/>
      <c r="Q8" s="4921"/>
      <c r="R8" s="4920"/>
      <c r="S8" s="4921"/>
      <c r="T8" s="4920"/>
      <c r="U8" s="4921"/>
      <c r="V8" s="4920"/>
      <c r="W8" s="4921"/>
      <c r="X8" s="4920"/>
      <c r="Y8" s="4921"/>
      <c r="Z8" s="3386"/>
      <c r="AA8" s="2129" cm="1">
        <f t="array" ref="AA8">_xlfn.IFS(AP7="",0,AND(COUNTA(AP7:AY7)=COUNTA(AP8:AY8),AZ8=0),0,TRUE,1)</f>
        <v>0</v>
      </c>
      <c r="AB8" s="4991"/>
      <c r="AC8" s="4535"/>
      <c r="AD8" s="4535"/>
      <c r="AE8" s="4535"/>
      <c r="AF8" s="4535"/>
      <c r="AG8" s="4535"/>
      <c r="AH8" s="4535"/>
      <c r="AI8" s="4535"/>
      <c r="AJ8" s="4535"/>
      <c r="AK8" s="4535"/>
      <c r="AL8" s="4564"/>
      <c r="AM8" s="4564"/>
      <c r="AN8" s="4876"/>
      <c r="AO8" s="4877"/>
      <c r="AP8" s="1042"/>
      <c r="AQ8" s="1042"/>
      <c r="AR8" s="1042"/>
      <c r="AS8" s="1042"/>
      <c r="AT8" s="1042"/>
      <c r="AU8" s="1042"/>
      <c r="AV8" s="1042"/>
      <c r="AW8" s="1042"/>
      <c r="AX8" s="1042"/>
      <c r="AY8" s="1042"/>
      <c r="AZ8" s="2127" cm="1">
        <f t="array" ref="AZ8">IF(AZ7&lt;&gt;"",_xlfn.IFS(AP9="",0,AND(COUNTA(AP9:AY9)=COUNTA(AP10:AY10),AZ10=0),0,TRUE,1),0)</f>
        <v>0</v>
      </c>
      <c r="BA8" s="2129">
        <f>IF(BP8=0,1,0)</f>
        <v>1</v>
      </c>
      <c r="BB8" s="4540"/>
      <c r="BC8" s="4535"/>
      <c r="BD8" s="4535"/>
      <c r="BE8" s="4535"/>
      <c r="BF8" s="4535"/>
      <c r="BG8" s="4535"/>
      <c r="BH8" s="4535"/>
      <c r="BI8" s="4535"/>
      <c r="BJ8" s="4535"/>
      <c r="BK8" s="4535"/>
      <c r="BL8" s="4564"/>
      <c r="BM8" s="4564"/>
      <c r="BN8" s="4876"/>
      <c r="BO8" s="4877"/>
      <c r="BP8" s="4878"/>
      <c r="BQ8" s="4879"/>
      <c r="BR8" s="4880"/>
      <c r="BS8" s="959"/>
      <c r="BT8" s="2234"/>
      <c r="BU8" s="2239" cm="1">
        <f t="array" ref="BU8">_xlfn.IFS(
BV8="",0,
BV8=$DH$15,1,
BV8=$DH$16,2,
BV8=$DH$17,3,
BV8=$DH$18,4,
BV8=$DH$19,5,
BV8=$DH$20,6,
TRUE,0)</f>
        <v>0</v>
      </c>
      <c r="BV8" s="4873"/>
      <c r="BW8" s="4873"/>
      <c r="BX8" s="4873"/>
      <c r="BY8" s="2240"/>
      <c r="BZ8" s="2126"/>
      <c r="CA8" s="17"/>
      <c r="CC8" s="242"/>
      <c r="CD8" s="46">
        <f>IF($Z8&lt;&gt;"",SUM(P8:Y8),0)</f>
        <v>0</v>
      </c>
      <c r="CK8" s="299"/>
      <c r="CN8" s="242"/>
      <c r="CO8" s="262">
        <f>IF(AND(N8&lt;&gt;"",OR(N8=$Q$51,N8=$Q$52,N8=$Q$53,N8=$Q$54,N8=$Q$55,N8=$Q$56,N8=$Q$57,N8=$Q$58)),SUM(P8:Y8),0)</f>
        <v>0</v>
      </c>
      <c r="CP8" s="101"/>
      <c r="CQ8" s="101"/>
      <c r="CR8" s="262">
        <f>IF(AND(AN8&lt;&gt;"",OR(AN8=$Q$51,AN8=$Q$52,AN8=$Q$53,AN8=$Q$54,AN8=$Q$55,AN8=$Q$56,AN8=$Q$57,AN8=$Q$58)),SUM(AP8:AY8),0)</f>
        <v>0</v>
      </c>
      <c r="CS8" s="101"/>
      <c r="CT8" s="101"/>
      <c r="CU8" s="262">
        <f>IF(AND(BN8&lt;&gt;"",OR(BN8=$Q$51,BN8=$Q$52,BN8=$Q$53,BN8=$Q$54,BN8=$Q$55,BN8=$Q$56,BN8=$Q$57,BN8=$Q$58)),BP8,0)</f>
        <v>0</v>
      </c>
      <c r="CW8" s="299"/>
      <c r="CY8" s="509" t="str">
        <f>Q45</f>
        <v>EN</v>
      </c>
      <c r="DA8" s="383" t="str" cm="1">
        <f t="array" ref="DA8">_xlfn._xlws.FILTER(CY8:CY19,CY8:CY19&lt;&gt;0)</f>
        <v>EN</v>
      </c>
      <c r="DH8" s="2138" t="s">
        <v>1273</v>
      </c>
      <c r="DJ8" s="299"/>
      <c r="DM8" s="2142" cm="1">
        <f t="array" ref="DM8">IF(Z7&lt;&gt;"",_xlfn.IFS(P9="",0,AND(COUNTA(P9:Y9)=COUNTA(P10:Y10),DM10=0),0,TRUE,1),0)</f>
        <v>0</v>
      </c>
      <c r="DP8" s="2136" t="str">
        <f>IF(AND(AB7&lt;&gt;"",AA8&lt;&gt;0),AB7,"")</f>
        <v/>
      </c>
      <c r="DV8" s="299"/>
      <c r="DX8" s="2131" t="str">
        <v>FILM</v>
      </c>
      <c r="ED8" s="299"/>
    </row>
    <row r="9" spans="1:134" ht="17.100000000000001" customHeight="1" thickTop="1" thickBot="1" x14ac:dyDescent="0.3">
      <c r="A9" s="2153" cm="1">
        <f t="array" aca="1" ref="A9" ca="1">_xlfn.IFS(
B9="",0,
Z7&lt;&gt;"",0,
A10=0,0,
AND(B9=$L$28,$F$28=$F$27),1,
AND(B9=$L$29,$F$29=$F$27),1,
AND(B9=$L$30,$F$30=$F$27),1,
AND(B9=$L$31,$F$31=$F$27),1,
AND(B9=$L$32,$F$32=$F$27),1,
AND(B9=$L$33,$F$33=$F$27),1,
AND(B9=$L$34,$F$34=$F$27),1,
AND(B9=$L$35,$F$35=$F$27),1,
AND(B9=$L$36,$F$36=$F$27),1,
TRUE,0)</f>
        <v>0</v>
      </c>
      <c r="B9" s="4874"/>
      <c r="C9" s="4542"/>
      <c r="D9" s="4542"/>
      <c r="E9" s="4542"/>
      <c r="F9" s="4542"/>
      <c r="G9" s="4542"/>
      <c r="H9" s="4542"/>
      <c r="I9" s="4542"/>
      <c r="J9" s="4542"/>
      <c r="K9" s="4542"/>
      <c r="L9" s="4542"/>
      <c r="M9" s="4551"/>
      <c r="N9" s="4551"/>
      <c r="O9" s="4552"/>
      <c r="P9" s="4913"/>
      <c r="Q9" s="4914"/>
      <c r="R9" s="4913"/>
      <c r="S9" s="4914"/>
      <c r="T9" s="4913"/>
      <c r="U9" s="4914"/>
      <c r="V9" s="4913"/>
      <c r="W9" s="4914"/>
      <c r="X9" s="4913"/>
      <c r="Y9" s="4914"/>
      <c r="Z9" s="1040"/>
      <c r="AA9" s="2153" cm="1">
        <f t="array" aca="1" ref="AA9" ca="1">_xlfn.IFS(
AB9="",0,
AZ7&lt;&gt;"",0,
AA10=0,0,
AND(AB9=$L$28,$F$28=$F$27),1,
AND(AB9=$L$29,$F$29=$F$27),1,
AND(AB9=$L$30,$F$30=$F$27),1,
AND(AB9=$L$31,$F$31=$F$27),1,
AND(AB9=$L$32,$F$32=$F$27),1,
AND(AB9=$L$33,$F$33=$F$27),1,
AND(AB9=$L$34,$F$34=$F$27),1,
AND(AB9=$L$35,$F$35=$F$27),1,
AND(AB9=$L$36,$F$36=$F$27),1,
TRUE,0)</f>
        <v>0</v>
      </c>
      <c r="AB9" s="4874"/>
      <c r="AC9" s="4542"/>
      <c r="AD9" s="4542"/>
      <c r="AE9" s="4542"/>
      <c r="AF9" s="4542"/>
      <c r="AG9" s="4542"/>
      <c r="AH9" s="4542"/>
      <c r="AI9" s="4542"/>
      <c r="AJ9" s="4542"/>
      <c r="AK9" s="4542"/>
      <c r="AL9" s="4542"/>
      <c r="AM9" s="4551"/>
      <c r="AN9" s="4551"/>
      <c r="AO9" s="4552"/>
      <c r="AP9" s="2494"/>
      <c r="AQ9" s="2494"/>
      <c r="AR9" s="2494"/>
      <c r="AS9" s="2494"/>
      <c r="AT9" s="2494"/>
      <c r="AU9" s="2494"/>
      <c r="AV9" s="2494"/>
      <c r="AW9" s="2494"/>
      <c r="AX9" s="2494"/>
      <c r="AY9" s="2494"/>
      <c r="AZ9" s="1040"/>
      <c r="BA9" s="2153" cm="1">
        <f t="array" aca="1" ref="BA9" ca="1">_xlfn.IFS(
BB9="",0,
BA10=0,0,
AND($BU$5=1,BU10=$BU$6),1,
AND(BB9=$L$28,$F$28=$F$27),1,
AND(BB9=$L$29,$F$29=$F$27),1,
AND(BB9=$L$30,$F$30=$F$27),1,
AND(BB9=$L$31,$F$31=$F$27),1,
AND(BB9=$L$32,$F$32=$F$27),1,
AND(BB9=$L$33,$F$33=$F$27),1,
AND(BB9=$L$34,$F$34=$F$27),1,
AND(BB9=$L$35,$F$35=$F$27),1,
AND(BB9=$L$36,$F$36=$F$27),1,
TRUE,0)</f>
        <v>0</v>
      </c>
      <c r="BB9" s="4874"/>
      <c r="BC9" s="4542"/>
      <c r="BD9" s="4542"/>
      <c r="BE9" s="4542"/>
      <c r="BF9" s="4542"/>
      <c r="BG9" s="4542"/>
      <c r="BH9" s="4542"/>
      <c r="BI9" s="4542"/>
      <c r="BJ9" s="4542"/>
      <c r="BK9" s="4542"/>
      <c r="BL9" s="4542"/>
      <c r="BM9" s="4551"/>
      <c r="BN9" s="4551"/>
      <c r="BO9" s="4552"/>
      <c r="BP9" s="4881"/>
      <c r="BQ9" s="4882"/>
      <c r="BR9" s="4883"/>
      <c r="BS9" s="959"/>
      <c r="BT9" s="2234"/>
      <c r="BU9" s="1244"/>
      <c r="BV9" s="2449"/>
      <c r="BW9" s="2450"/>
      <c r="BX9" s="2451"/>
      <c r="BY9" s="2241"/>
      <c r="BZ9" s="2126"/>
      <c r="CA9" s="17"/>
      <c r="CC9" s="242"/>
      <c r="CD9" s="46"/>
      <c r="CK9" s="299"/>
      <c r="CN9" s="242"/>
      <c r="CO9" s="262"/>
      <c r="CP9" s="101"/>
      <c r="CQ9" s="101"/>
      <c r="CR9" s="262"/>
      <c r="CS9" s="101"/>
      <c r="CT9" s="101"/>
      <c r="CU9" s="262"/>
      <c r="CW9" s="299"/>
      <c r="CY9" s="509">
        <f t="shared" ref="CY9:CY11" si="9">Q46</f>
        <v>0</v>
      </c>
      <c r="DA9" s="383"/>
      <c r="DH9" s="2138" t="s">
        <v>1274</v>
      </c>
      <c r="DJ9" s="299"/>
      <c r="DP9" s="2136" t="str">
        <f>IF(AND(AB9&lt;&gt;"",AA10&lt;&gt;0),AB9,"")</f>
        <v/>
      </c>
      <c r="DV9" s="299"/>
      <c r="DX9" s="2131" t="str">
        <v>GAMING</v>
      </c>
      <c r="ED9" s="299"/>
    </row>
    <row r="10" spans="1:134" ht="17.100000000000001" customHeight="1" thickTop="1" thickBot="1" x14ac:dyDescent="0.2">
      <c r="A10" s="2129" cm="1">
        <f t="array" ref="A10">_xlfn.IFS(P9="",0,AND(COUNTA(P9:Y9)=COUNTA(P10:Y10),DM10=0),0,TRUE,1)</f>
        <v>0</v>
      </c>
      <c r="B10" s="4540"/>
      <c r="C10" s="4535"/>
      <c r="D10" s="4535"/>
      <c r="E10" s="4535"/>
      <c r="F10" s="4535"/>
      <c r="G10" s="4535"/>
      <c r="H10" s="4535"/>
      <c r="I10" s="4535"/>
      <c r="J10" s="4535"/>
      <c r="K10" s="4535"/>
      <c r="L10" s="4564"/>
      <c r="M10" s="4564"/>
      <c r="N10" s="4876"/>
      <c r="O10" s="4877"/>
      <c r="P10" s="4920"/>
      <c r="Q10" s="4921"/>
      <c r="R10" s="4920"/>
      <c r="S10" s="4921"/>
      <c r="T10" s="4920"/>
      <c r="U10" s="4921"/>
      <c r="V10" s="4920"/>
      <c r="W10" s="4921"/>
      <c r="X10" s="4920"/>
      <c r="Y10" s="4921"/>
      <c r="Z10" s="3386"/>
      <c r="AA10" s="2129" cm="1">
        <f t="array" ref="AA10">_xlfn.IFS(AP9="",0,AND(COUNTA(AP9:AY9)=COUNTA(AP10:AY10),AZ10=0),0,TRUE,1)</f>
        <v>0</v>
      </c>
      <c r="AB10" s="4540"/>
      <c r="AC10" s="4535"/>
      <c r="AD10" s="4535"/>
      <c r="AE10" s="4535"/>
      <c r="AF10" s="4535"/>
      <c r="AG10" s="4535"/>
      <c r="AH10" s="4535"/>
      <c r="AI10" s="4535"/>
      <c r="AJ10" s="4535"/>
      <c r="AK10" s="4535"/>
      <c r="AL10" s="4564"/>
      <c r="AM10" s="4564"/>
      <c r="AN10" s="4876"/>
      <c r="AO10" s="4877"/>
      <c r="AP10" s="1042"/>
      <c r="AQ10" s="1042"/>
      <c r="AR10" s="1042"/>
      <c r="AS10" s="1042"/>
      <c r="AT10" s="1042"/>
      <c r="AU10" s="1042"/>
      <c r="AV10" s="1042"/>
      <c r="AW10" s="1042"/>
      <c r="AX10" s="1042"/>
      <c r="AY10" s="1042"/>
      <c r="AZ10" s="2127" cm="1">
        <f t="array" ref="AZ10">IF(AZ9&lt;&gt;"",_xlfn.IFS(AP11="",0,AND(COUNTA(AP11:AY11)=COUNTA(AP12:AY12),AZ12=0),0,TRUE,1),0)</f>
        <v>0</v>
      </c>
      <c r="BA10" s="2129">
        <f>IF(BP10=0,1,0)</f>
        <v>1</v>
      </c>
      <c r="BB10" s="4540"/>
      <c r="BC10" s="4535"/>
      <c r="BD10" s="4535"/>
      <c r="BE10" s="4535"/>
      <c r="BF10" s="4535"/>
      <c r="BG10" s="4535"/>
      <c r="BH10" s="4535"/>
      <c r="BI10" s="4535"/>
      <c r="BJ10" s="4535"/>
      <c r="BK10" s="4535"/>
      <c r="BL10" s="4564"/>
      <c r="BM10" s="4564"/>
      <c r="BN10" s="4876"/>
      <c r="BO10" s="4877"/>
      <c r="BP10" s="4878"/>
      <c r="BQ10" s="4879"/>
      <c r="BR10" s="4880"/>
      <c r="BS10" s="959"/>
      <c r="BT10" s="2234"/>
      <c r="BU10" s="2239" cm="1">
        <f t="array" ref="BU10">_xlfn.IFS(
BV10="",0,
BV10=$DH$15,1,
BV10=$DH$16,2,
BV10=$DH$17,3,
BV10=$DH$18,4,
BV10=$DH$19,5,
BV10=$DH$20,6,
TRUE,0)</f>
        <v>0</v>
      </c>
      <c r="BV10" s="4873"/>
      <c r="BW10" s="4873"/>
      <c r="BX10" s="4873"/>
      <c r="BY10" s="2240"/>
      <c r="BZ10" s="2126"/>
      <c r="CA10" s="17"/>
      <c r="CC10" s="242"/>
      <c r="CD10" s="46">
        <f>IF($Z10&lt;&gt;"",SUM(P10:Y10),0)</f>
        <v>0</v>
      </c>
      <c r="CK10" s="299"/>
      <c r="CN10" s="242"/>
      <c r="CO10" s="262">
        <f t="shared" ref="CO10" si="10">IF(AND(N10&lt;&gt;"",OR(N10=$Q$51,N10=$Q$52,N10=$Q$53,N10=$Q$54,N10=$Q$55,N10=$Q$56,N10=$Q$57,N10=$Q$58)),SUM(P10:Y10),0)</f>
        <v>0</v>
      </c>
      <c r="CP10" s="101"/>
      <c r="CQ10" s="101"/>
      <c r="CR10" s="262">
        <f t="shared" ref="CR10" si="11">IF(AND(AN10&lt;&gt;"",OR(AN10=$Q$51,AN10=$Q$52,AN10=$Q$53,AN10=$Q$54,AN10=$Q$55,AN10=$Q$56,AN10=$Q$57,AN10=$Q$58)),SUM(AP10:AY10),0)</f>
        <v>0</v>
      </c>
      <c r="CS10" s="101"/>
      <c r="CT10" s="101"/>
      <c r="CU10" s="262">
        <f t="shared" ref="CU10" si="12">IF(AND(BN10&lt;&gt;"",OR(BN10=$Q$51,BN10=$Q$52,BN10=$Q$53,BN10=$Q$54,BN10=$Q$55,BN10=$Q$56,BN10=$Q$57,BN10=$Q$58)),BP10,0)</f>
        <v>0</v>
      </c>
      <c r="CW10" s="299"/>
      <c r="CY10" s="509">
        <f t="shared" si="9"/>
        <v>0</v>
      </c>
      <c r="DA10" s="383"/>
      <c r="DH10" s="2138" t="s">
        <v>1275</v>
      </c>
      <c r="DJ10" s="299"/>
      <c r="DM10" s="2142" cm="1">
        <f t="array" ref="DM10">IF(Z9&lt;&gt;"",_xlfn.IFS(P11="",0,AND(COUNTA(P11:Y11)=COUNTA(P12:Y12),DM12=0),0,TRUE,1),0)</f>
        <v>0</v>
      </c>
      <c r="DP10" s="2136" t="str">
        <f>IF(AND(AB11&lt;&gt;"",AA12&lt;&gt;0),AB11,"")</f>
        <v/>
      </c>
      <c r="DV10" s="299"/>
      <c r="DX10" s="2131"/>
      <c r="ED10" s="299"/>
    </row>
    <row r="11" spans="1:134" ht="17.100000000000001" customHeight="1" thickTop="1" thickBot="1" x14ac:dyDescent="0.3">
      <c r="A11" s="2153" cm="1">
        <f t="array" aca="1" ref="A11" ca="1">_xlfn.IFS(
B11="",0,
Z9&lt;&gt;"",0,
A12=0,0,
AND(B11=$L$28,$F$28=$F$27),1,
AND(B11=$L$29,$F$29=$F$27),1,
AND(B11=$L$30,$F$30=$F$27),1,
AND(B11=$L$31,$F$31=$F$27),1,
AND(B11=$L$32,$F$32=$F$27),1,
AND(B11=$L$33,$F$33=$F$27),1,
AND(B11=$L$34,$F$34=$F$27),1,
AND(B11=$L$35,$F$35=$F$27),1,
AND(B11=$L$36,$F$36=$F$27),1,
TRUE,0)</f>
        <v>0</v>
      </c>
      <c r="B11" s="4874"/>
      <c r="C11" s="4542"/>
      <c r="D11" s="4542"/>
      <c r="E11" s="4542"/>
      <c r="F11" s="4542"/>
      <c r="G11" s="4542"/>
      <c r="H11" s="4542"/>
      <c r="I11" s="4542"/>
      <c r="J11" s="4542"/>
      <c r="K11" s="4542"/>
      <c r="L11" s="4542"/>
      <c r="M11" s="4551"/>
      <c r="N11" s="4551"/>
      <c r="O11" s="4552"/>
      <c r="P11" s="4913"/>
      <c r="Q11" s="4914"/>
      <c r="R11" s="4913"/>
      <c r="S11" s="4914"/>
      <c r="T11" s="4913"/>
      <c r="U11" s="4914"/>
      <c r="V11" s="4913"/>
      <c r="W11" s="4914"/>
      <c r="X11" s="4913"/>
      <c r="Y11" s="4914"/>
      <c r="Z11" s="1040"/>
      <c r="AA11" s="2153" cm="1">
        <f t="array" aca="1" ref="AA11" ca="1">_xlfn.IFS(
AB11="",0,
AZ9&lt;&gt;"",0,
AA12=0,0,
AND(AB11=$L$28,$F$28=$F$27),1,
AND(AB11=$L$29,$F$29=$F$27),1,
AND(AB11=$L$30,$F$30=$F$27),1,
AND(AB11=$L$31,$F$31=$F$27),1,
AND(AB11=$L$32,$F$32=$F$27),1,
AND(AB11=$L$33,$F$33=$F$27),1,
AND(AB11=$L$34,$F$34=$F$27),1,
AND(AB11=$L$35,$F$35=$F$27),1,
AND(AB11=$L$36,$F$36=$F$27),1,
TRUE,0)</f>
        <v>0</v>
      </c>
      <c r="AB11" s="4874"/>
      <c r="AC11" s="4542"/>
      <c r="AD11" s="4542"/>
      <c r="AE11" s="4542"/>
      <c r="AF11" s="4542"/>
      <c r="AG11" s="4542"/>
      <c r="AH11" s="4542"/>
      <c r="AI11" s="4542"/>
      <c r="AJ11" s="4542"/>
      <c r="AK11" s="4542"/>
      <c r="AL11" s="4542"/>
      <c r="AM11" s="4551"/>
      <c r="AN11" s="4551"/>
      <c r="AO11" s="4552"/>
      <c r="AP11" s="2494"/>
      <c r="AQ11" s="2494"/>
      <c r="AR11" s="2494"/>
      <c r="AS11" s="2494"/>
      <c r="AT11" s="2494"/>
      <c r="AU11" s="2494"/>
      <c r="AV11" s="2494"/>
      <c r="AW11" s="2494"/>
      <c r="AX11" s="2494"/>
      <c r="AY11" s="2494"/>
      <c r="AZ11" s="1040"/>
      <c r="BA11" s="2153" cm="1">
        <f t="array" aca="1" ref="BA11" ca="1">_xlfn.IFS(
BB11="",0,
BA12=0,0,
AND($BU$5=1,BU12=$BU$6),1,
AND(BB11=$L$28,$F$28=$F$27),1,
AND(BB11=$L$29,$F$29=$F$27),1,
AND(BB11=$L$30,$F$30=$F$27),1,
AND(BB11=$L$31,$F$31=$F$27),1,
AND(BB11=$L$32,$F$32=$F$27),1,
AND(BB11=$L$33,$F$33=$F$27),1,
AND(BB11=$L$34,$F$34=$F$27),1,
AND(BB11=$L$35,$F$35=$F$27),1,
AND(BB11=$L$36,$F$36=$F$27),1,
TRUE,0)</f>
        <v>0</v>
      </c>
      <c r="BB11" s="4874"/>
      <c r="BC11" s="4542"/>
      <c r="BD11" s="4542"/>
      <c r="BE11" s="4542"/>
      <c r="BF11" s="4542"/>
      <c r="BG11" s="4542"/>
      <c r="BH11" s="4542"/>
      <c r="BI11" s="4542"/>
      <c r="BJ11" s="4542"/>
      <c r="BK11" s="4542"/>
      <c r="BL11" s="4542"/>
      <c r="BM11" s="4551"/>
      <c r="BN11" s="4551"/>
      <c r="BO11" s="4552"/>
      <c r="BP11" s="4881"/>
      <c r="BQ11" s="4882"/>
      <c r="BR11" s="4883"/>
      <c r="BS11" s="959"/>
      <c r="BT11" s="2234"/>
      <c r="BU11" s="1244"/>
      <c r="BV11" s="2449"/>
      <c r="BW11" s="2450"/>
      <c r="BX11" s="2451"/>
      <c r="BY11" s="2241"/>
      <c r="BZ11" s="2126"/>
      <c r="CA11" s="17"/>
      <c r="CC11" s="242"/>
      <c r="CD11" s="46"/>
      <c r="CK11" s="299"/>
      <c r="CN11" s="242"/>
      <c r="CO11" s="262"/>
      <c r="CP11" s="101"/>
      <c r="CQ11" s="101"/>
      <c r="CR11" s="262"/>
      <c r="CS11" s="101"/>
      <c r="CT11" s="101"/>
      <c r="CU11" s="262"/>
      <c r="CW11" s="299"/>
      <c r="CY11" s="509">
        <f t="shared" si="9"/>
        <v>0</v>
      </c>
      <c r="DA11" s="383"/>
      <c r="DH11" s="2138" t="s">
        <v>1276</v>
      </c>
      <c r="DJ11" s="299"/>
      <c r="DP11" s="2136" t="str">
        <f>IF(AND(AB13&lt;&gt;"",AA14&lt;&gt;0),AB13,"")</f>
        <v/>
      </c>
      <c r="DV11" s="299"/>
      <c r="DX11" s="2131"/>
      <c r="ED11" s="299"/>
    </row>
    <row r="12" spans="1:134" ht="17.100000000000001" customHeight="1" thickTop="1" thickBot="1" x14ac:dyDescent="0.2">
      <c r="A12" s="2129" cm="1">
        <f t="array" ref="A12">_xlfn.IFS(P11="",0,AND(COUNTA(P11:Y11)=COUNTA(P12:Y12),DM12=0),0,TRUE,1)</f>
        <v>0</v>
      </c>
      <c r="B12" s="4540"/>
      <c r="C12" s="4535"/>
      <c r="D12" s="4535"/>
      <c r="E12" s="4535"/>
      <c r="F12" s="4535"/>
      <c r="G12" s="4535"/>
      <c r="H12" s="4535"/>
      <c r="I12" s="4535"/>
      <c r="J12" s="4535"/>
      <c r="K12" s="4535"/>
      <c r="L12" s="4564"/>
      <c r="M12" s="4564"/>
      <c r="N12" s="4876"/>
      <c r="O12" s="4877"/>
      <c r="P12" s="4920"/>
      <c r="Q12" s="4921"/>
      <c r="R12" s="4920"/>
      <c r="S12" s="4921"/>
      <c r="T12" s="4920"/>
      <c r="U12" s="4921"/>
      <c r="V12" s="4920"/>
      <c r="W12" s="4921"/>
      <c r="X12" s="4920"/>
      <c r="Y12" s="4921"/>
      <c r="Z12" s="3386"/>
      <c r="AA12" s="2129" cm="1">
        <f t="array" ref="AA12">_xlfn.IFS(AP11="",0,AND(COUNTA(AP11:AY11)=COUNTA(AP12:AY12),AZ12=0),0,TRUE,1)</f>
        <v>0</v>
      </c>
      <c r="AB12" s="4540"/>
      <c r="AC12" s="4535"/>
      <c r="AD12" s="4535"/>
      <c r="AE12" s="4535"/>
      <c r="AF12" s="4535"/>
      <c r="AG12" s="4535"/>
      <c r="AH12" s="4535"/>
      <c r="AI12" s="4535"/>
      <c r="AJ12" s="4535"/>
      <c r="AK12" s="4535"/>
      <c r="AL12" s="4564"/>
      <c r="AM12" s="4564"/>
      <c r="AN12" s="4876"/>
      <c r="AO12" s="4877"/>
      <c r="AP12" s="1042"/>
      <c r="AQ12" s="1042"/>
      <c r="AR12" s="1042"/>
      <c r="AS12" s="1042"/>
      <c r="AT12" s="1042"/>
      <c r="AU12" s="1042"/>
      <c r="AV12" s="1042"/>
      <c r="AW12" s="1042"/>
      <c r="AX12" s="1042"/>
      <c r="AY12" s="1042"/>
      <c r="AZ12" s="2127" cm="1">
        <f t="array" ref="AZ12">IF(AZ11&lt;&gt;"",_xlfn.IFS(AP13="",0,AND(COUNTA(AP13:AY13)=COUNTA(AP14:AY14),AZ14=0),0,TRUE,1),0)</f>
        <v>0</v>
      </c>
      <c r="BA12" s="2129">
        <f>IF(BP12=0,1,0)</f>
        <v>1</v>
      </c>
      <c r="BB12" s="4540"/>
      <c r="BC12" s="4535"/>
      <c r="BD12" s="4535"/>
      <c r="BE12" s="4535"/>
      <c r="BF12" s="4535"/>
      <c r="BG12" s="4535"/>
      <c r="BH12" s="4535"/>
      <c r="BI12" s="4535"/>
      <c r="BJ12" s="4535"/>
      <c r="BK12" s="4535"/>
      <c r="BL12" s="4564"/>
      <c r="BM12" s="4564"/>
      <c r="BN12" s="4876"/>
      <c r="BO12" s="4877"/>
      <c r="BP12" s="4878"/>
      <c r="BQ12" s="4879"/>
      <c r="BR12" s="4880"/>
      <c r="BS12" s="959"/>
      <c r="BT12" s="2234"/>
      <c r="BU12" s="2239" cm="1">
        <f t="array" ref="BU12">_xlfn.IFS(
BV12="",0,
BV12=$DH$15,1,
BV12=$DH$16,2,
BV12=$DH$17,3,
BV12=$DH$18,4,
BV12=$DH$19,5,
BV12=$DH$20,6,
TRUE,0)</f>
        <v>0</v>
      </c>
      <c r="BV12" s="4873"/>
      <c r="BW12" s="4873"/>
      <c r="BX12" s="4873"/>
      <c r="BY12" s="2240"/>
      <c r="BZ12" s="2126"/>
      <c r="CA12" s="17"/>
      <c r="CC12" s="242"/>
      <c r="CD12" s="46">
        <f>IF($Z12&lt;&gt;"",SUM(P12:Y12),0)</f>
        <v>0</v>
      </c>
      <c r="CK12" s="299"/>
      <c r="CN12" s="242"/>
      <c r="CO12" s="262">
        <f t="shared" ref="CO12" si="13">IF(AND(N12&lt;&gt;"",OR(N12=$Q$51,N12=$Q$52,N12=$Q$53,N12=$Q$54,N12=$Q$55,N12=$Q$56,N12=$Q$57,N12=$Q$58)),SUM(P12:Y12),0)</f>
        <v>0</v>
      </c>
      <c r="CP12" s="101"/>
      <c r="CQ12" s="101"/>
      <c r="CR12" s="262">
        <f t="shared" ref="CR12" si="14">IF(AND(AN12&lt;&gt;"",OR(AN12=$Q$51,AN12=$Q$52,AN12=$Q$53,AN12=$Q$54,AN12=$Q$55,AN12=$Q$56,AN12=$Q$57,AN12=$Q$58)),SUM(AP12:AY12),0)</f>
        <v>0</v>
      </c>
      <c r="CS12" s="101"/>
      <c r="CT12" s="101"/>
      <c r="CU12" s="262">
        <f t="shared" ref="CU12" si="15">IF(AND(BN12&lt;&gt;"",OR(BN12=$Q$51,BN12=$Q$52,BN12=$Q$53,BN12=$Q$54,BN12=$Q$55,BN12=$Q$56,BN12=$Q$57,BN12=$Q$58)),BP12,0)</f>
        <v>0</v>
      </c>
      <c r="CW12" s="299"/>
      <c r="CY12" s="509">
        <f t="shared" ref="CY12:CY19" si="16">Q51</f>
        <v>0</v>
      </c>
      <c r="DA12" s="383"/>
      <c r="DH12" s="2139" t="s">
        <v>1277</v>
      </c>
      <c r="DI12" s="252"/>
      <c r="DJ12" s="253"/>
      <c r="DM12" s="2142" cm="1">
        <f t="array" ref="DM12">IF(Z11&lt;&gt;"",_xlfn.IFS(P13="",0,AND(COUNTA(P13:Y13)=COUNTA(P14:Y14),DM14=0),0,TRUE,1),0)</f>
        <v>0</v>
      </c>
      <c r="DP12" s="2136" t="str">
        <f>IF(AND(AB15&lt;&gt;"",AA16&lt;&gt;0),AB15,"")</f>
        <v/>
      </c>
      <c r="DV12" s="299"/>
      <c r="DX12" s="2131"/>
      <c r="ED12" s="299"/>
    </row>
    <row r="13" spans="1:134" ht="17.100000000000001" customHeight="1" thickTop="1" thickBot="1" x14ac:dyDescent="0.3">
      <c r="A13" s="2153" cm="1">
        <f t="array" aca="1" ref="A13" ca="1">_xlfn.IFS(
B13="",0,
Z11&lt;&gt;"",0,
A14=0,0,
AND(B13=$L$28,$F$28=$F$27),1,
AND(B13=$L$29,$F$29=$F$27),1,
AND(B13=$L$30,$F$30=$F$27),1,
AND(B13=$L$31,$F$31=$F$27),1,
AND(B13=$L$32,$F$32=$F$27),1,
AND(B13=$L$33,$F$33=$F$27),1,
AND(B13=$L$34,$F$34=$F$27),1,
AND(B13=$L$35,$F$35=$F$27),1,
AND(B13=$L$36,$F$36=$F$27),1,
TRUE,0)</f>
        <v>0</v>
      </c>
      <c r="B13" s="4874"/>
      <c r="C13" s="4542"/>
      <c r="D13" s="4542"/>
      <c r="E13" s="4542"/>
      <c r="F13" s="4542"/>
      <c r="G13" s="4542"/>
      <c r="H13" s="4542"/>
      <c r="I13" s="4542"/>
      <c r="J13" s="4542"/>
      <c r="K13" s="4542"/>
      <c r="L13" s="4542"/>
      <c r="M13" s="4551"/>
      <c r="N13" s="4551"/>
      <c r="O13" s="4552"/>
      <c r="P13" s="4913"/>
      <c r="Q13" s="4914"/>
      <c r="R13" s="4913"/>
      <c r="S13" s="4914"/>
      <c r="T13" s="4913"/>
      <c r="U13" s="4914"/>
      <c r="V13" s="4913"/>
      <c r="W13" s="4914"/>
      <c r="X13" s="4913"/>
      <c r="Y13" s="4914"/>
      <c r="Z13" s="1040"/>
      <c r="AA13" s="2153" cm="1">
        <f t="array" aca="1" ref="AA13" ca="1">_xlfn.IFS(
AB13="",0,
AZ11&lt;&gt;"",0,
AA14=0,0,
AND(AB13=$L$28,$F$28=$F$27),1,
AND(AB13=$L$29,$F$29=$F$27),1,
AND(AB13=$L$30,$F$30=$F$27),1,
AND(AB13=$L$31,$F$31=$F$27),1,
AND(AB13=$L$32,$F$32=$F$27),1,
AND(AB13=$L$33,$F$33=$F$27),1,
AND(AB13=$L$34,$F$34=$F$27),1,
AND(AB13=$L$35,$F$35=$F$27),1,
AND(AB13=$L$36,$F$36=$F$27),1,
TRUE,0)</f>
        <v>0</v>
      </c>
      <c r="AB13" s="4874"/>
      <c r="AC13" s="4542"/>
      <c r="AD13" s="4542"/>
      <c r="AE13" s="4542"/>
      <c r="AF13" s="4542"/>
      <c r="AG13" s="4542"/>
      <c r="AH13" s="4542"/>
      <c r="AI13" s="4542"/>
      <c r="AJ13" s="4542"/>
      <c r="AK13" s="4542"/>
      <c r="AL13" s="4542"/>
      <c r="AM13" s="4551"/>
      <c r="AN13" s="4551"/>
      <c r="AO13" s="4552"/>
      <c r="AP13" s="2494"/>
      <c r="AQ13" s="2494"/>
      <c r="AR13" s="2494"/>
      <c r="AS13" s="2494"/>
      <c r="AT13" s="2494"/>
      <c r="AU13" s="2494"/>
      <c r="AV13" s="2494"/>
      <c r="AW13" s="2494"/>
      <c r="AX13" s="2494"/>
      <c r="AY13" s="2494"/>
      <c r="AZ13" s="1040"/>
      <c r="BA13" s="2153" cm="1">
        <f t="array" aca="1" ref="BA13" ca="1">_xlfn.IFS(
BB13="",0,
BA14=0,0,
AND($BU$5=1,BU14=$BU$6),1,
AND(BB13=$L$28,$F$28=$F$27),1,
AND(BB13=$L$29,$F$29=$F$27),1,
AND(BB13=$L$30,$F$30=$F$27),1,
AND(BB13=$L$31,$F$31=$F$27),1,
AND(BB13=$L$32,$F$32=$F$27),1,
AND(BB13=$L$33,$F$33=$F$27),1,
AND(BB13=$L$34,$F$34=$F$27),1,
AND(BB13=$L$35,$F$35=$F$27),1,
AND(BB13=$L$36,$F$36=$F$27),1,
TRUE,0)</f>
        <v>0</v>
      </c>
      <c r="BB13" s="4874"/>
      <c r="BC13" s="4542"/>
      <c r="BD13" s="4542"/>
      <c r="BE13" s="4542"/>
      <c r="BF13" s="4542"/>
      <c r="BG13" s="4542"/>
      <c r="BH13" s="4542"/>
      <c r="BI13" s="4542"/>
      <c r="BJ13" s="4542"/>
      <c r="BK13" s="4542"/>
      <c r="BL13" s="4542"/>
      <c r="BM13" s="4551"/>
      <c r="BN13" s="4551"/>
      <c r="BO13" s="4552"/>
      <c r="BP13" s="4881"/>
      <c r="BQ13" s="4882"/>
      <c r="BR13" s="4883"/>
      <c r="BS13" s="959"/>
      <c r="BT13" s="2234"/>
      <c r="BU13" s="1244"/>
      <c r="BV13" s="2449"/>
      <c r="BW13" s="2450"/>
      <c r="BX13" s="2451"/>
      <c r="BY13" s="2241"/>
      <c r="BZ13" s="2126"/>
      <c r="CA13" s="17"/>
      <c r="CC13" s="242"/>
      <c r="CD13" s="46"/>
      <c r="CK13" s="299"/>
      <c r="CN13" s="242"/>
      <c r="CO13" s="262"/>
      <c r="CP13" s="101"/>
      <c r="CQ13" s="101"/>
      <c r="CR13" s="262"/>
      <c r="CS13" s="101"/>
      <c r="CT13" s="101"/>
      <c r="CU13" s="262"/>
      <c r="CW13" s="299"/>
      <c r="CY13" s="509">
        <f t="shared" si="16"/>
        <v>0</v>
      </c>
      <c r="DA13" s="383"/>
      <c r="DP13" s="2136" t="str">
        <f>IF(AND(AB17&lt;&gt;"",AA18&lt;&gt;0),AB17,"")</f>
        <v/>
      </c>
      <c r="DV13" s="299"/>
      <c r="DX13" s="2131"/>
      <c r="ED13" s="299"/>
    </row>
    <row r="14" spans="1:134" ht="17.100000000000001" customHeight="1" thickTop="1" thickBot="1" x14ac:dyDescent="0.2">
      <c r="A14" s="2129" cm="1">
        <f t="array" ref="A14">_xlfn.IFS(P13="",0,AND(COUNTA(P13:Y13)=COUNTA(P14:Y14),DM14=0),0,TRUE,1)</f>
        <v>0</v>
      </c>
      <c r="B14" s="4540"/>
      <c r="C14" s="4535"/>
      <c r="D14" s="4535"/>
      <c r="E14" s="4535"/>
      <c r="F14" s="4535"/>
      <c r="G14" s="4535"/>
      <c r="H14" s="4535"/>
      <c r="I14" s="4535"/>
      <c r="J14" s="4535"/>
      <c r="K14" s="4535"/>
      <c r="L14" s="4564"/>
      <c r="M14" s="4564"/>
      <c r="N14" s="4876"/>
      <c r="O14" s="4877"/>
      <c r="P14" s="4920"/>
      <c r="Q14" s="4921"/>
      <c r="R14" s="4920"/>
      <c r="S14" s="4921"/>
      <c r="T14" s="4920"/>
      <c r="U14" s="4921"/>
      <c r="V14" s="4920"/>
      <c r="W14" s="4921"/>
      <c r="X14" s="4920"/>
      <c r="Y14" s="4921"/>
      <c r="Z14" s="3386"/>
      <c r="AA14" s="2129" cm="1">
        <f t="array" ref="AA14">_xlfn.IFS(AP13="",0,AND(COUNTA(AP13:AY13)=COUNTA(AP14:AY14),AZ14=0),0,TRUE,1)</f>
        <v>0</v>
      </c>
      <c r="AB14" s="4540"/>
      <c r="AC14" s="4535"/>
      <c r="AD14" s="4535"/>
      <c r="AE14" s="4535"/>
      <c r="AF14" s="4535"/>
      <c r="AG14" s="4535"/>
      <c r="AH14" s="4535"/>
      <c r="AI14" s="4535"/>
      <c r="AJ14" s="4535"/>
      <c r="AK14" s="4535"/>
      <c r="AL14" s="4564"/>
      <c r="AM14" s="4564"/>
      <c r="AN14" s="4876"/>
      <c r="AO14" s="4877"/>
      <c r="AP14" s="1042"/>
      <c r="AQ14" s="1042"/>
      <c r="AR14" s="1042"/>
      <c r="AS14" s="1042"/>
      <c r="AT14" s="1042"/>
      <c r="AU14" s="1042"/>
      <c r="AV14" s="1042"/>
      <c r="AW14" s="1042"/>
      <c r="AX14" s="1042"/>
      <c r="AY14" s="1042"/>
      <c r="AZ14" s="2127" cm="1">
        <f t="array" ref="AZ14">IF(AZ13&lt;&gt;"",_xlfn.IFS(AP15="",0,AND(COUNTA(AP15:AY15)=COUNTA(AP16:AY16),AZ16=0),0,TRUE,1),0)</f>
        <v>0</v>
      </c>
      <c r="BA14" s="2129">
        <f t="shared" ref="BA14" si="17">IF(BP14=0,1,0)</f>
        <v>1</v>
      </c>
      <c r="BB14" s="4540"/>
      <c r="BC14" s="4535"/>
      <c r="BD14" s="4535"/>
      <c r="BE14" s="4535"/>
      <c r="BF14" s="4535"/>
      <c r="BG14" s="4535"/>
      <c r="BH14" s="4535"/>
      <c r="BI14" s="4535"/>
      <c r="BJ14" s="4535"/>
      <c r="BK14" s="4535"/>
      <c r="BL14" s="4564"/>
      <c r="BM14" s="4564"/>
      <c r="BN14" s="4876"/>
      <c r="BO14" s="4877"/>
      <c r="BP14" s="4878"/>
      <c r="BQ14" s="4879"/>
      <c r="BR14" s="4880"/>
      <c r="BS14" s="959"/>
      <c r="BT14" s="2234"/>
      <c r="BU14" s="2239" cm="1">
        <f t="array" ref="BU14">_xlfn.IFS(
BV14="",0,
BV14=$DH$15,1,
BV14=$DH$16,2,
BV14=$DH$17,3,
BV14=$DH$18,4,
BV14=$DH$19,5,
BV14=$DH$20,6,
TRUE,0)</f>
        <v>0</v>
      </c>
      <c r="BV14" s="4873"/>
      <c r="BW14" s="4873"/>
      <c r="BX14" s="4873"/>
      <c r="BY14" s="2240"/>
      <c r="BZ14" s="2126"/>
      <c r="CA14" s="17"/>
      <c r="CC14" s="242"/>
      <c r="CD14" s="46">
        <f>IF($Z14&lt;&gt;"",SUM(P14:Y14),0)</f>
        <v>0</v>
      </c>
      <c r="CK14" s="299"/>
      <c r="CN14" s="242"/>
      <c r="CO14" s="262">
        <f t="shared" ref="CO14" si="18">IF(AND(N14&lt;&gt;"",OR(N14=$Q$51,N14=$Q$52,N14=$Q$53,N14=$Q$54,N14=$Q$55,N14=$Q$56,N14=$Q$57,N14=$Q$58)),SUM(P14:Y14),0)</f>
        <v>0</v>
      </c>
      <c r="CP14" s="101"/>
      <c r="CQ14" s="101"/>
      <c r="CR14" s="262">
        <f t="shared" ref="CR14" si="19">IF(AND(AN14&lt;&gt;"",OR(AN14=$Q$51,AN14=$Q$52,AN14=$Q$53,AN14=$Q$54,AN14=$Q$55,AN14=$Q$56,AN14=$Q$57,AN14=$Q$58)),SUM(AP14:AY14),0)</f>
        <v>0</v>
      </c>
      <c r="CS14" s="101"/>
      <c r="CT14" s="101"/>
      <c r="CU14" s="262">
        <f t="shared" ref="CU14" si="20">IF(AND(BN14&lt;&gt;"",OR(BN14=$Q$51,BN14=$Q$52,BN14=$Q$53,BN14=$Q$54,BN14=$Q$55,BN14=$Q$56,BN14=$Q$57,BN14=$Q$58)),BP14,0)</f>
        <v>0</v>
      </c>
      <c r="CW14" s="299"/>
      <c r="CY14" s="509">
        <f t="shared" si="16"/>
        <v>0</v>
      </c>
      <c r="DA14" s="383"/>
      <c r="DH14" s="2156"/>
      <c r="DI14" s="228"/>
      <c r="DJ14" s="256"/>
      <c r="DM14" s="2142" cm="1">
        <f t="array" ref="DM14">IF(Z13&lt;&gt;"",_xlfn.IFS(P15="",0,AND(COUNTA(P15:Y15)=COUNTA(P16:Y16),DM16=0),0,TRUE,1),0)</f>
        <v>0</v>
      </c>
      <c r="DP14" s="2136" t="str">
        <f>IF(AND(AB19&lt;&gt;"",AA20&lt;&gt;0),AB19,"")</f>
        <v/>
      </c>
      <c r="DV14" s="299"/>
      <c r="DX14" s="2131"/>
      <c r="ED14" s="299"/>
    </row>
    <row r="15" spans="1:134" ht="17.100000000000001" customHeight="1" thickTop="1" thickBot="1" x14ac:dyDescent="0.3">
      <c r="A15" s="2153" cm="1">
        <f t="array" aca="1" ref="A15" ca="1">_xlfn.IFS(
B15="",0,
Z13&lt;&gt;"",0,
A16=0,0,
AND(B15=$L$28,$F$28=$F$27),1,
AND(B15=$L$29,$F$29=$F$27),1,
AND(B15=$L$30,$F$30=$F$27),1,
AND(B15=$L$31,$F$31=$F$27),1,
AND(B15=$L$32,$F$32=$F$27),1,
AND(B15=$L$33,$F$33=$F$27),1,
AND(B15=$L$34,$F$34=$F$27),1,
AND(B15=$L$35,$F$35=$F$27),1,
AND(B15=$L$36,$F$36=$F$27),1,
TRUE,0)</f>
        <v>0</v>
      </c>
      <c r="B15" s="4874"/>
      <c r="C15" s="4542"/>
      <c r="D15" s="4542"/>
      <c r="E15" s="4542"/>
      <c r="F15" s="4542"/>
      <c r="G15" s="4542"/>
      <c r="H15" s="4542"/>
      <c r="I15" s="4542"/>
      <c r="J15" s="4542"/>
      <c r="K15" s="4542"/>
      <c r="L15" s="4542"/>
      <c r="M15" s="4551"/>
      <c r="N15" s="4551"/>
      <c r="O15" s="4552"/>
      <c r="P15" s="4913"/>
      <c r="Q15" s="4914"/>
      <c r="R15" s="4913"/>
      <c r="S15" s="4914"/>
      <c r="T15" s="4913"/>
      <c r="U15" s="4914"/>
      <c r="V15" s="4913"/>
      <c r="W15" s="4914"/>
      <c r="X15" s="4913"/>
      <c r="Y15" s="4914"/>
      <c r="Z15" s="1040"/>
      <c r="AA15" s="2153" cm="1">
        <f t="array" aca="1" ref="AA15" ca="1">_xlfn.IFS(
AB15="",0,
AZ13&lt;&gt;"",0,
AA16=0,0,
AND(AB15=$L$28,$F$28=$F$27),1,
AND(AB15=$L$29,$F$29=$F$27),1,
AND(AB15=$L$30,$F$30=$F$27),1,
AND(AB15=$L$31,$F$31=$F$27),1,
AND(AB15=$L$32,$F$32=$F$27),1,
AND(AB15=$L$33,$F$33=$F$27),1,
AND(AB15=$L$34,$F$34=$F$27),1,
AND(AB15=$L$35,$F$35=$F$27),1,
AND(AB15=$L$36,$F$36=$F$27),1,
TRUE,0)</f>
        <v>0</v>
      </c>
      <c r="AB15" s="4874"/>
      <c r="AC15" s="4542"/>
      <c r="AD15" s="4542"/>
      <c r="AE15" s="4542"/>
      <c r="AF15" s="4542"/>
      <c r="AG15" s="4542"/>
      <c r="AH15" s="4542"/>
      <c r="AI15" s="4542"/>
      <c r="AJ15" s="4542"/>
      <c r="AK15" s="4542"/>
      <c r="AL15" s="4542"/>
      <c r="AM15" s="4551"/>
      <c r="AN15" s="4551"/>
      <c r="AO15" s="4552"/>
      <c r="AP15" s="2494"/>
      <c r="AQ15" s="2494"/>
      <c r="AR15" s="2494"/>
      <c r="AS15" s="2494"/>
      <c r="AT15" s="2494"/>
      <c r="AU15" s="2494"/>
      <c r="AV15" s="2494"/>
      <c r="AW15" s="2494"/>
      <c r="AX15" s="2494"/>
      <c r="AY15" s="2494"/>
      <c r="AZ15" s="1040"/>
      <c r="BA15" s="2153" cm="1">
        <f t="array" aca="1" ref="BA15" ca="1">_xlfn.IFS(
BB15="",0,
BA16=0,0,
AND($BU$5=1,BU16=$BU$6),1,
AND(BB15=$L$28,$F$28=$F$27),1,
AND(BB15=$L$29,$F$29=$F$27),1,
AND(BB15=$L$30,$F$30=$F$27),1,
AND(BB15=$L$31,$F$31=$F$27),1,
AND(BB15=$L$32,$F$32=$F$27),1,
AND(BB15=$L$33,$F$33=$F$27),1,
AND(BB15=$L$34,$F$34=$F$27),1,
AND(BB15=$L$35,$F$35=$F$27),1,
AND(BB15=$L$36,$F$36=$F$27),1,
TRUE,0)</f>
        <v>0</v>
      </c>
      <c r="BB15" s="4874"/>
      <c r="BC15" s="4542"/>
      <c r="BD15" s="4542"/>
      <c r="BE15" s="4542"/>
      <c r="BF15" s="4542"/>
      <c r="BG15" s="4542"/>
      <c r="BH15" s="4542"/>
      <c r="BI15" s="4542"/>
      <c r="BJ15" s="4542"/>
      <c r="BK15" s="4542"/>
      <c r="BL15" s="4542"/>
      <c r="BM15" s="4551"/>
      <c r="BN15" s="4551"/>
      <c r="BO15" s="4552"/>
      <c r="BP15" s="4881"/>
      <c r="BQ15" s="4882"/>
      <c r="BR15" s="4883"/>
      <c r="BS15" s="959"/>
      <c r="BT15" s="2234"/>
      <c r="BU15" s="1244"/>
      <c r="BV15" s="2449"/>
      <c r="BW15" s="2452"/>
      <c r="BX15" s="2451"/>
      <c r="BY15" s="2241"/>
      <c r="BZ15" s="2126"/>
      <c r="CA15" s="17"/>
      <c r="CC15" s="242"/>
      <c r="CD15" s="46"/>
      <c r="CK15" s="299"/>
      <c r="CN15" s="242"/>
      <c r="CO15" s="262"/>
      <c r="CP15" s="101"/>
      <c r="CQ15" s="101"/>
      <c r="CR15" s="262"/>
      <c r="CS15" s="101"/>
      <c r="CT15" s="101"/>
      <c r="CU15" s="262"/>
      <c r="CW15" s="299"/>
      <c r="CY15" s="509">
        <f t="shared" si="16"/>
        <v>0</v>
      </c>
      <c r="DA15" s="383"/>
      <c r="DH15" s="2138" t="s">
        <v>1281</v>
      </c>
      <c r="DJ15" s="299"/>
      <c r="DP15" s="2136" t="str">
        <f>IF(AND(AB66&lt;&gt;"",AA67&lt;&gt;0),AB66,"")</f>
        <v/>
      </c>
      <c r="DV15" s="299"/>
      <c r="DX15" s="2131"/>
      <c r="ED15" s="299"/>
    </row>
    <row r="16" spans="1:134" ht="17.100000000000001" customHeight="1" thickTop="1" thickBot="1" x14ac:dyDescent="0.2">
      <c r="A16" s="2129" cm="1">
        <f t="array" ref="A16">_xlfn.IFS(P15="",0,AND(COUNTA(P15:Y15)=COUNTA(P16:Y16),DM16=0),0,TRUE,1)</f>
        <v>0</v>
      </c>
      <c r="B16" s="4540"/>
      <c r="C16" s="4535"/>
      <c r="D16" s="4535"/>
      <c r="E16" s="4535"/>
      <c r="F16" s="4535"/>
      <c r="G16" s="4535"/>
      <c r="H16" s="4535"/>
      <c r="I16" s="4535"/>
      <c r="J16" s="4535"/>
      <c r="K16" s="4535"/>
      <c r="L16" s="4564"/>
      <c r="M16" s="4564"/>
      <c r="N16" s="4876"/>
      <c r="O16" s="4877"/>
      <c r="P16" s="4920"/>
      <c r="Q16" s="4921"/>
      <c r="R16" s="4920"/>
      <c r="S16" s="4921"/>
      <c r="T16" s="4920"/>
      <c r="U16" s="4921"/>
      <c r="V16" s="4920"/>
      <c r="W16" s="4921"/>
      <c r="X16" s="4920"/>
      <c r="Y16" s="4921"/>
      <c r="Z16" s="3386"/>
      <c r="AA16" s="2129" cm="1">
        <f t="array" ref="AA16">_xlfn.IFS(AP15="",0,AND(COUNTA(AP15:AY15)=COUNTA(AP16:AY16),AZ16=0),0,TRUE,1)</f>
        <v>0</v>
      </c>
      <c r="AB16" s="4540"/>
      <c r="AC16" s="4535"/>
      <c r="AD16" s="4535"/>
      <c r="AE16" s="4535"/>
      <c r="AF16" s="4535"/>
      <c r="AG16" s="4535"/>
      <c r="AH16" s="4535"/>
      <c r="AI16" s="4535"/>
      <c r="AJ16" s="4535"/>
      <c r="AK16" s="4535"/>
      <c r="AL16" s="4564"/>
      <c r="AM16" s="4564"/>
      <c r="AN16" s="4876"/>
      <c r="AO16" s="4877"/>
      <c r="AP16" s="1042"/>
      <c r="AQ16" s="1042"/>
      <c r="AR16" s="1042"/>
      <c r="AS16" s="1042"/>
      <c r="AT16" s="1042"/>
      <c r="AU16" s="1042"/>
      <c r="AV16" s="1042"/>
      <c r="AW16" s="1042"/>
      <c r="AX16" s="1042"/>
      <c r="AY16" s="1042"/>
      <c r="AZ16" s="2127" cm="1">
        <f t="array" ref="AZ16">IF(AZ15&lt;&gt;"",_xlfn.IFS(AP17="",0,AND(COUNTA(AP17:AY17)=COUNTA(AP18:AY18),AZ18=0),0,TRUE,1),0)</f>
        <v>0</v>
      </c>
      <c r="BA16" s="2129">
        <f t="shared" ref="BA16" si="21">IF(BP16=0,1,0)</f>
        <v>1</v>
      </c>
      <c r="BB16" s="4540"/>
      <c r="BC16" s="4535"/>
      <c r="BD16" s="4535"/>
      <c r="BE16" s="4535"/>
      <c r="BF16" s="4535"/>
      <c r="BG16" s="4535"/>
      <c r="BH16" s="4535"/>
      <c r="BI16" s="4535"/>
      <c r="BJ16" s="4535"/>
      <c r="BK16" s="4535"/>
      <c r="BL16" s="4564"/>
      <c r="BM16" s="4564"/>
      <c r="BN16" s="4876"/>
      <c r="BO16" s="4877"/>
      <c r="BP16" s="4878"/>
      <c r="BQ16" s="4879"/>
      <c r="BR16" s="4880"/>
      <c r="BS16" s="959"/>
      <c r="BT16" s="2234"/>
      <c r="BU16" s="2239" cm="1">
        <f t="array" ref="BU16">_xlfn.IFS(
BV16="",0,
BV16=$DH$15,1,
BV16=$DH$16,2,
BV16=$DH$17,3,
BV16=$DH$18,4,
BV16=$DH$19,5,
BV16=$DH$20,6,
TRUE,0)</f>
        <v>0</v>
      </c>
      <c r="BV16" s="4873"/>
      <c r="BW16" s="4873"/>
      <c r="BX16" s="4873"/>
      <c r="BY16" s="2242"/>
      <c r="BZ16" s="2126"/>
      <c r="CA16" s="17"/>
      <c r="CC16" s="242"/>
      <c r="CD16" s="46">
        <f>IF($Z16&lt;&gt;"",SUM(P16:Y16),0)</f>
        <v>0</v>
      </c>
      <c r="CK16" s="299"/>
      <c r="CN16" s="242"/>
      <c r="CO16" s="262">
        <f t="shared" ref="CO16" si="22">IF(AND(N16&lt;&gt;"",OR(N16=$Q$51,N16=$Q$52,N16=$Q$53,N16=$Q$54,N16=$Q$55,N16=$Q$56,N16=$Q$57,N16=$Q$58)),SUM(P16:Y16),0)</f>
        <v>0</v>
      </c>
      <c r="CP16" s="101"/>
      <c r="CQ16" s="101"/>
      <c r="CR16" s="262">
        <f t="shared" ref="CR16" si="23">IF(AND(AN16&lt;&gt;"",OR(AN16=$Q$51,AN16=$Q$52,AN16=$Q$53,AN16=$Q$54,AN16=$Q$55,AN16=$Q$56,AN16=$Q$57,AN16=$Q$58)),SUM(AP16:AY16),0)</f>
        <v>0</v>
      </c>
      <c r="CS16" s="101"/>
      <c r="CT16" s="101"/>
      <c r="CU16" s="262">
        <f t="shared" ref="CU16" si="24">IF(AND(BN16&lt;&gt;"",OR(BN16=$Q$51,BN16=$Q$52,BN16=$Q$53,BN16=$Q$54,BN16=$Q$55,BN16=$Q$56,BN16=$Q$57,BN16=$Q$58)),BP16,0)</f>
        <v>0</v>
      </c>
      <c r="CW16" s="299"/>
      <c r="CY16" s="509">
        <f t="shared" si="16"/>
        <v>0</v>
      </c>
      <c r="DA16" s="383"/>
      <c r="DH16" s="2138" t="s">
        <v>1282</v>
      </c>
      <c r="DJ16" s="299"/>
      <c r="DM16" s="2142" cm="1">
        <f t="array" ref="DM16">IF(Z15&lt;&gt;"",_xlfn.IFS(P17="",0,AND(COUNTA(P17:Y17)=COUNTA(P18:Y18),DM18=0),0,TRUE,1),0)</f>
        <v>0</v>
      </c>
      <c r="DP16" s="2136" t="str">
        <f>IF(AND(AB68&lt;&gt;"",AA69&lt;&gt;0),AB68,"")</f>
        <v/>
      </c>
      <c r="DV16" s="299"/>
      <c r="DX16" s="2131"/>
      <c r="ED16" s="299"/>
    </row>
    <row r="17" spans="1:134" ht="17.100000000000001" customHeight="1" thickTop="1" thickBot="1" x14ac:dyDescent="0.3">
      <c r="A17" s="2153" cm="1">
        <f t="array" aca="1" ref="A17" ca="1">_xlfn.IFS(
B17="",0,
Z15&lt;&gt;"",0,
A18=0,0,
AND(B17=$L$28,$F$28=$F$27),1,
AND(B17=$L$29,$F$29=$F$27),1,
AND(B17=$L$30,$F$30=$F$27),1,
AND(B17=$L$31,$F$31=$F$27),1,
AND(B17=$L$32,$F$32=$F$27),1,
AND(B17=$L$33,$F$33=$F$27),1,
AND(B17=$L$34,$F$34=$F$27),1,
AND(B17=$L$35,$F$35=$F$27),1,
AND(B17=$L$36,$F$36=$F$27),1,
TRUE,0)</f>
        <v>0</v>
      </c>
      <c r="B17" s="4874"/>
      <c r="C17" s="4542"/>
      <c r="D17" s="4542"/>
      <c r="E17" s="4542"/>
      <c r="F17" s="4542"/>
      <c r="G17" s="4542"/>
      <c r="H17" s="4542"/>
      <c r="I17" s="4542"/>
      <c r="J17" s="4542"/>
      <c r="K17" s="4542"/>
      <c r="L17" s="4542"/>
      <c r="M17" s="4551"/>
      <c r="N17" s="4551"/>
      <c r="O17" s="4552"/>
      <c r="P17" s="4913"/>
      <c r="Q17" s="4914"/>
      <c r="R17" s="4913"/>
      <c r="S17" s="4914"/>
      <c r="T17" s="4913"/>
      <c r="U17" s="4914"/>
      <c r="V17" s="4913"/>
      <c r="W17" s="4914"/>
      <c r="X17" s="4913"/>
      <c r="Y17" s="4914"/>
      <c r="Z17" s="1040"/>
      <c r="AA17" s="2153" cm="1">
        <f t="array" aca="1" ref="AA17" ca="1">_xlfn.IFS(
AB17="",0,
AZ15&lt;&gt;"",0,
AA18=0,0,
AND(AB17=$L$28,$F$28=$F$27),1,
AND(AB17=$L$29,$F$29=$F$27),1,
AND(AB17=$L$30,$F$30=$F$27),1,
AND(AB17=$L$31,$F$31=$F$27),1,
AND(AB17=$L$32,$F$32=$F$27),1,
AND(AB17=$L$33,$F$33=$F$27),1,
AND(AB17=$L$34,$F$34=$F$27),1,
AND(AB17=$L$35,$F$35=$F$27),1,
AND(AB17=$L$36,$F$36=$F$27),1,
TRUE,0)</f>
        <v>0</v>
      </c>
      <c r="AB17" s="4874"/>
      <c r="AC17" s="4542"/>
      <c r="AD17" s="4542"/>
      <c r="AE17" s="4542"/>
      <c r="AF17" s="4542"/>
      <c r="AG17" s="4542"/>
      <c r="AH17" s="4542"/>
      <c r="AI17" s="4542"/>
      <c r="AJ17" s="4542"/>
      <c r="AK17" s="4542"/>
      <c r="AL17" s="4542"/>
      <c r="AM17" s="4551"/>
      <c r="AN17" s="4551"/>
      <c r="AO17" s="4552"/>
      <c r="AP17" s="2494"/>
      <c r="AQ17" s="2494"/>
      <c r="AR17" s="2494"/>
      <c r="AS17" s="2494"/>
      <c r="AT17" s="2494"/>
      <c r="AU17" s="2494"/>
      <c r="AV17" s="2494"/>
      <c r="AW17" s="2494"/>
      <c r="AX17" s="2494"/>
      <c r="AY17" s="2494"/>
      <c r="AZ17" s="1040"/>
      <c r="BA17" s="2153" cm="1">
        <f t="array" aca="1" ref="BA17" ca="1">_xlfn.IFS(
BB17="",0,
BA18=0,0,
AND($BU$5=1,BU18=$BU$6),1,
AND(BB17=$L$28,$F$28=$F$27),1,
AND(BB17=$L$29,$F$29=$F$27),1,
AND(BB17=$L$30,$F$30=$F$27),1,
AND(BB17=$L$31,$F$31=$F$27),1,
AND(BB17=$L$32,$F$32=$F$27),1,
AND(BB17=$L$33,$F$33=$F$27),1,
AND(BB17=$L$34,$F$34=$F$27),1,
AND(BB17=$L$35,$F$35=$F$27),1,
AND(BB17=$L$36,$F$36=$F$27),1,
TRUE,0)</f>
        <v>0</v>
      </c>
      <c r="BB17" s="4874"/>
      <c r="BC17" s="4542"/>
      <c r="BD17" s="4542"/>
      <c r="BE17" s="4542"/>
      <c r="BF17" s="4542"/>
      <c r="BG17" s="4542"/>
      <c r="BH17" s="4542"/>
      <c r="BI17" s="4542"/>
      <c r="BJ17" s="4542"/>
      <c r="BK17" s="4542"/>
      <c r="BL17" s="4542"/>
      <c r="BM17" s="4551"/>
      <c r="BN17" s="4551"/>
      <c r="BO17" s="4552"/>
      <c r="BP17" s="4881"/>
      <c r="BQ17" s="4882"/>
      <c r="BR17" s="4883"/>
      <c r="BS17" s="959"/>
      <c r="BT17" s="2234"/>
      <c r="BU17" s="1244"/>
      <c r="BV17" s="2449"/>
      <c r="BW17" s="2452"/>
      <c r="BX17" s="2451"/>
      <c r="BY17" s="2242"/>
      <c r="BZ17" s="2126"/>
      <c r="CA17" s="17"/>
      <c r="CC17" s="242"/>
      <c r="CD17" s="46"/>
      <c r="CK17" s="299"/>
      <c r="CN17" s="242"/>
      <c r="CO17" s="262"/>
      <c r="CP17" s="101"/>
      <c r="CQ17" s="101"/>
      <c r="CR17" s="262"/>
      <c r="CS17" s="101"/>
      <c r="CT17" s="101"/>
      <c r="CU17" s="262"/>
      <c r="CW17" s="299"/>
      <c r="CY17" s="509">
        <f t="shared" si="16"/>
        <v>0</v>
      </c>
      <c r="DA17" s="383"/>
      <c r="DH17" s="2138" t="s">
        <v>1283</v>
      </c>
      <c r="DJ17" s="299"/>
      <c r="DP17" s="2136" t="str">
        <f>IF(AND(AB70&lt;&gt;"",AA71&lt;&gt;0),AB70,"")</f>
        <v/>
      </c>
      <c r="DV17" s="299"/>
      <c r="DX17" s="2131"/>
      <c r="ED17" s="299"/>
    </row>
    <row r="18" spans="1:134" ht="17.100000000000001" customHeight="1" thickTop="1" thickBot="1" x14ac:dyDescent="0.2">
      <c r="A18" s="2129" cm="1">
        <f t="array" ref="A18">_xlfn.IFS(P17="",0,AND(COUNTA(P17:Y17)=COUNTA(P18:Y18),DM18=0),0,TRUE,1)</f>
        <v>0</v>
      </c>
      <c r="B18" s="4540"/>
      <c r="C18" s="4535"/>
      <c r="D18" s="4535"/>
      <c r="E18" s="4535"/>
      <c r="F18" s="4535"/>
      <c r="G18" s="4535"/>
      <c r="H18" s="4535"/>
      <c r="I18" s="4535"/>
      <c r="J18" s="4535"/>
      <c r="K18" s="4535"/>
      <c r="L18" s="4564"/>
      <c r="M18" s="4564"/>
      <c r="N18" s="4876"/>
      <c r="O18" s="4877"/>
      <c r="P18" s="4920"/>
      <c r="Q18" s="4921"/>
      <c r="R18" s="4920"/>
      <c r="S18" s="4921"/>
      <c r="T18" s="4920"/>
      <c r="U18" s="4921"/>
      <c r="V18" s="4920"/>
      <c r="W18" s="4921"/>
      <c r="X18" s="4920"/>
      <c r="Y18" s="4921"/>
      <c r="Z18" s="3386"/>
      <c r="AA18" s="2129" cm="1">
        <f t="array" ref="AA18">_xlfn.IFS(AP17="",0,AND(COUNTA(AP17:AY17)=COUNTA(AP18:AY18),AZ18=0),0,TRUE,1)</f>
        <v>0</v>
      </c>
      <c r="AB18" s="4540"/>
      <c r="AC18" s="4535"/>
      <c r="AD18" s="4535"/>
      <c r="AE18" s="4535"/>
      <c r="AF18" s="4535"/>
      <c r="AG18" s="4535"/>
      <c r="AH18" s="4535"/>
      <c r="AI18" s="4535"/>
      <c r="AJ18" s="4535"/>
      <c r="AK18" s="4535"/>
      <c r="AL18" s="4564"/>
      <c r="AM18" s="4564"/>
      <c r="AN18" s="4876"/>
      <c r="AO18" s="4877"/>
      <c r="AP18" s="1042"/>
      <c r="AQ18" s="1042"/>
      <c r="AR18" s="1042"/>
      <c r="AS18" s="1042"/>
      <c r="AT18" s="1042"/>
      <c r="AU18" s="1042"/>
      <c r="AV18" s="1042"/>
      <c r="AW18" s="1042"/>
      <c r="AX18" s="1042"/>
      <c r="AY18" s="1042"/>
      <c r="AZ18" s="2127" cm="1">
        <f t="array" ref="AZ18">IF(AZ17&lt;&gt;"",_xlfn.IFS(AP19="",0,AND(COUNTA(AP19:AY19)=COUNTA(AP20:AY20),AZ20=0),0,TRUE,1),0)</f>
        <v>0</v>
      </c>
      <c r="BA18" s="2129">
        <f t="shared" ref="BA18" si="25">IF(BP18=0,1,0)</f>
        <v>1</v>
      </c>
      <c r="BB18" s="4540"/>
      <c r="BC18" s="4535"/>
      <c r="BD18" s="4535"/>
      <c r="BE18" s="4535"/>
      <c r="BF18" s="4535"/>
      <c r="BG18" s="4535"/>
      <c r="BH18" s="4535"/>
      <c r="BI18" s="4535"/>
      <c r="BJ18" s="4535"/>
      <c r="BK18" s="4535"/>
      <c r="BL18" s="4564"/>
      <c r="BM18" s="4564"/>
      <c r="BN18" s="4876"/>
      <c r="BO18" s="4877"/>
      <c r="BP18" s="4878"/>
      <c r="BQ18" s="4879"/>
      <c r="BR18" s="4880"/>
      <c r="BS18" s="959"/>
      <c r="BT18" s="2234"/>
      <c r="BU18" s="2239" cm="1">
        <f t="array" ref="BU18">_xlfn.IFS(
BV18="",0,
BV18=$DH$15,1,
BV18=$DH$16,2,
BV18=$DH$17,3,
BV18=$DH$18,4,
BV18=$DH$19,5,
BV18=$DH$20,6,
TRUE,0)</f>
        <v>0</v>
      </c>
      <c r="BV18" s="4873"/>
      <c r="BW18" s="4873"/>
      <c r="BX18" s="4873"/>
      <c r="BY18" s="2243"/>
      <c r="BZ18" s="959"/>
      <c r="CA18" s="17"/>
      <c r="CC18" s="242"/>
      <c r="CD18" s="46">
        <f>IF($Z18&lt;&gt;"",SUM(P18:Y18),0)</f>
        <v>0</v>
      </c>
      <c r="CK18" s="299"/>
      <c r="CN18" s="242"/>
      <c r="CO18" s="262">
        <f t="shared" ref="CO18" si="26">IF(AND(N18&lt;&gt;"",OR(N18=$Q$51,N18=$Q$52,N18=$Q$53,N18=$Q$54,N18=$Q$55,N18=$Q$56,N18=$Q$57,N18=$Q$58)),SUM(P18:Y18),0)</f>
        <v>0</v>
      </c>
      <c r="CP18" s="101"/>
      <c r="CQ18" s="101"/>
      <c r="CR18" s="262">
        <f t="shared" ref="CR18" si="27">IF(AND(AN18&lt;&gt;"",OR(AN18=$Q$51,AN18=$Q$52,AN18=$Q$53,AN18=$Q$54,AN18=$Q$55,AN18=$Q$56,AN18=$Q$57,AN18=$Q$58)),SUM(AP18:AY18),0)</f>
        <v>0</v>
      </c>
      <c r="CS18" s="101"/>
      <c r="CT18" s="101"/>
      <c r="CU18" s="262">
        <f t="shared" ref="CU18" si="28">IF(AND(BN18&lt;&gt;"",OR(BN18=$Q$51,BN18=$Q$52,BN18=$Q$53,BN18=$Q$54,BN18=$Q$55,BN18=$Q$56,BN18=$Q$57,BN18=$Q$58)),BP18,0)</f>
        <v>0</v>
      </c>
      <c r="CW18" s="299"/>
      <c r="CY18" s="509">
        <f t="shared" si="16"/>
        <v>0</v>
      </c>
      <c r="DA18" s="383"/>
      <c r="DH18" s="2138" t="s">
        <v>1284</v>
      </c>
      <c r="DJ18" s="299"/>
      <c r="DM18" s="2142" cm="1">
        <f t="array" ref="DM18">IF(Z17&lt;&gt;"",_xlfn.IFS(P19="",0,AND(COUNTA(P19:Y19)=COUNTA(P20:Y20),DM20=0),0,TRUE,1),0)</f>
        <v>0</v>
      </c>
      <c r="DP18" s="2136" t="str">
        <f>IF(AND(AB72&lt;&gt;"",AA73&lt;&gt;0),AB72,"")</f>
        <v/>
      </c>
      <c r="DV18" s="299"/>
      <c r="DX18" s="2131"/>
      <c r="ED18" s="299"/>
    </row>
    <row r="19" spans="1:134" ht="17.100000000000001" customHeight="1" thickTop="1" thickBot="1" x14ac:dyDescent="0.3">
      <c r="A19" s="2153" cm="1">
        <f t="array" aca="1" ref="A19" ca="1">_xlfn.IFS(
B19="",0,
Z17&lt;&gt;"",0,
A20=0,0,
AND(B19=$L$28,$F$28=$F$27),1,
AND(B19=$L$29,$F$29=$F$27),1,
AND(B19=$L$30,$F$30=$F$27),1,
AND(B19=$L$31,$F$31=$F$27),1,
AND(B19=$L$32,$F$32=$F$27),1,
AND(B19=$L$33,$F$33=$F$27),1,
AND(B19=$L$34,$F$34=$F$27),1,
AND(B19=$L$35,$F$35=$F$27),1,
AND(B19=$L$36,$F$36=$F$27),1,
TRUE,0)</f>
        <v>0</v>
      </c>
      <c r="B19" s="4874"/>
      <c r="C19" s="4542"/>
      <c r="D19" s="4542"/>
      <c r="E19" s="4542"/>
      <c r="F19" s="4542"/>
      <c r="G19" s="4542"/>
      <c r="H19" s="4542"/>
      <c r="I19" s="4542"/>
      <c r="J19" s="4542"/>
      <c r="K19" s="4542"/>
      <c r="L19" s="4542"/>
      <c r="M19" s="4551"/>
      <c r="N19" s="4551"/>
      <c r="O19" s="4552"/>
      <c r="P19" s="4913"/>
      <c r="Q19" s="4914"/>
      <c r="R19" s="4913"/>
      <c r="S19" s="4914"/>
      <c r="T19" s="4913"/>
      <c r="U19" s="4914"/>
      <c r="V19" s="4913"/>
      <c r="W19" s="4914"/>
      <c r="X19" s="4913"/>
      <c r="Y19" s="4914"/>
      <c r="Z19" s="2740"/>
      <c r="AA19" s="2153" cm="1">
        <f t="array" aca="1" ref="AA19" ca="1">_xlfn.IFS(
AB19="",0,
AZ17&lt;&gt;"",0,
AA20=0,0,
AND(AB19=$L$28,$F$28=$F$27),1,
AND(AB19=$L$29,$F$29=$F$27),1,
AND(AB19=$L$30,$F$30=$F$27),1,
AND(AB19=$L$31,$F$31=$F$27),1,
AND(AB19=$L$32,$F$32=$F$27),1,
AND(AB19=$L$33,$F$33=$F$27),1,
AND(AB19=$L$34,$F$34=$F$27),1,
AND(AB19=$L$35,$F$35=$F$27),1,
AND(AB19=$L$36,$F$36=$F$27),1,
TRUE,0)</f>
        <v>0</v>
      </c>
      <c r="AB19" s="4874"/>
      <c r="AC19" s="4542"/>
      <c r="AD19" s="4542"/>
      <c r="AE19" s="4542"/>
      <c r="AF19" s="4542"/>
      <c r="AG19" s="4542"/>
      <c r="AH19" s="4542"/>
      <c r="AI19" s="4542"/>
      <c r="AJ19" s="4542"/>
      <c r="AK19" s="4542"/>
      <c r="AL19" s="4542"/>
      <c r="AM19" s="4551"/>
      <c r="AN19" s="4551"/>
      <c r="AO19" s="4552"/>
      <c r="AP19" s="2494"/>
      <c r="AQ19" s="2494"/>
      <c r="AR19" s="2494"/>
      <c r="AS19" s="2494"/>
      <c r="AT19" s="2494"/>
      <c r="AU19" s="2494"/>
      <c r="AV19" s="2494"/>
      <c r="AW19" s="2494"/>
      <c r="AX19" s="2494"/>
      <c r="AY19" s="2494"/>
      <c r="AZ19" s="1696"/>
      <c r="BA19" s="2153" cm="1">
        <f t="array" aca="1" ref="BA19" ca="1">_xlfn.IFS(
BB19="",0,
BA20=0,0,
AND($BU$5=1,BU20=$BU$6),1,
AND(BB19=$L$28,$F$28=$F$27),1,
AND(BB19=$L$29,$F$29=$F$27),1,
AND(BB19=$L$30,$F$30=$F$27),1,
AND(BB19=$L$31,$F$31=$F$27),1,
AND(BB19=$L$32,$F$32=$F$27),1,
AND(BB19=$L$33,$F$33=$F$27),1,
AND(BB19=$L$34,$F$34=$F$27),1,
AND(BB19=$L$35,$F$35=$F$27),1,
AND(BB19=$L$36,$F$36=$F$27),1,
TRUE,0)</f>
        <v>0</v>
      </c>
      <c r="BB19" s="4874"/>
      <c r="BC19" s="4542"/>
      <c r="BD19" s="4542"/>
      <c r="BE19" s="4542"/>
      <c r="BF19" s="4542"/>
      <c r="BG19" s="4542"/>
      <c r="BH19" s="4542"/>
      <c r="BI19" s="4542"/>
      <c r="BJ19" s="4542"/>
      <c r="BK19" s="4542"/>
      <c r="BL19" s="4542"/>
      <c r="BM19" s="4551"/>
      <c r="BN19" s="4551"/>
      <c r="BO19" s="4552"/>
      <c r="BP19" s="4881"/>
      <c r="BQ19" s="4882"/>
      <c r="BR19" s="4883"/>
      <c r="BS19" s="959"/>
      <c r="BT19" s="2234"/>
      <c r="BU19" s="1244"/>
      <c r="BV19" s="2449"/>
      <c r="BW19" s="2452"/>
      <c r="BX19" s="2451"/>
      <c r="BY19" s="2243"/>
      <c r="BZ19" s="959"/>
      <c r="CA19" s="17"/>
      <c r="CC19" s="242"/>
      <c r="CD19" s="46"/>
      <c r="CK19" s="299"/>
      <c r="CN19" s="242"/>
      <c r="CO19" s="262"/>
      <c r="CP19" s="101"/>
      <c r="CQ19" s="101"/>
      <c r="CR19" s="262"/>
      <c r="CS19" s="101"/>
      <c r="CT19" s="101"/>
      <c r="CU19" s="262"/>
      <c r="CW19" s="299"/>
      <c r="CY19" s="509">
        <f t="shared" si="16"/>
        <v>0</v>
      </c>
      <c r="DA19" s="383"/>
      <c r="DH19" s="2138" t="s">
        <v>1285</v>
      </c>
      <c r="DJ19" s="299"/>
      <c r="DP19" s="2136" t="str">
        <f>IF(AND(AB74&lt;&gt;"",AA75&lt;&gt;0),AB74,"")</f>
        <v/>
      </c>
      <c r="DV19" s="299"/>
      <c r="DX19" s="2131"/>
      <c r="ED19" s="299"/>
    </row>
    <row r="20" spans="1:134" ht="17.100000000000001" customHeight="1" thickTop="1" thickBot="1" x14ac:dyDescent="0.2">
      <c r="A20" s="2129" cm="1">
        <f t="array" ref="A20">_xlfn.IFS(P19="",0,AND(COUNTA(P19:Y19)=COUNTA(P20:Y20),DM20=0),0,TRUE,1)</f>
        <v>0</v>
      </c>
      <c r="B20" s="4540"/>
      <c r="C20" s="4535"/>
      <c r="D20" s="4535"/>
      <c r="E20" s="4535"/>
      <c r="F20" s="4535"/>
      <c r="G20" s="4535"/>
      <c r="H20" s="4535"/>
      <c r="I20" s="4535"/>
      <c r="J20" s="4535"/>
      <c r="K20" s="4535"/>
      <c r="L20" s="4564"/>
      <c r="M20" s="4564"/>
      <c r="N20" s="4876"/>
      <c r="O20" s="4877"/>
      <c r="P20" s="4920"/>
      <c r="Q20" s="4921"/>
      <c r="R20" s="4920"/>
      <c r="S20" s="4921"/>
      <c r="T20" s="4920"/>
      <c r="U20" s="4921"/>
      <c r="V20" s="4920"/>
      <c r="W20" s="4921"/>
      <c r="X20" s="4920"/>
      <c r="Y20" s="4921"/>
      <c r="Z20" s="3386"/>
      <c r="AA20" s="2129" cm="1">
        <f t="array" ref="AA20">_xlfn.IFS(AP19="",0,COUNTA(AP19:AY19)=COUNTA(AP20:AY20),0,TRUE,1)</f>
        <v>0</v>
      </c>
      <c r="AB20" s="4540"/>
      <c r="AC20" s="4535"/>
      <c r="AD20" s="4535"/>
      <c r="AE20" s="4535"/>
      <c r="AF20" s="4535"/>
      <c r="AG20" s="4535"/>
      <c r="AH20" s="4535"/>
      <c r="AI20" s="4535"/>
      <c r="AJ20" s="4535"/>
      <c r="AK20" s="4535"/>
      <c r="AL20" s="4564"/>
      <c r="AM20" s="4564"/>
      <c r="AN20" s="4876"/>
      <c r="AO20" s="4877"/>
      <c r="AP20" s="1042"/>
      <c r="AQ20" s="1042"/>
      <c r="AR20" s="1042"/>
      <c r="AS20" s="1042"/>
      <c r="AT20" s="1042"/>
      <c r="AU20" s="1042"/>
      <c r="AV20" s="1042"/>
      <c r="AW20" s="1042"/>
      <c r="AX20" s="1042"/>
      <c r="AY20" s="1042"/>
      <c r="AZ20" s="2127">
        <v>0</v>
      </c>
      <c r="BA20" s="2129">
        <f t="shared" ref="BA20" si="29">IF(BP20=0,1,0)</f>
        <v>1</v>
      </c>
      <c r="BB20" s="4540"/>
      <c r="BC20" s="4535"/>
      <c r="BD20" s="4535"/>
      <c r="BE20" s="4535"/>
      <c r="BF20" s="4535"/>
      <c r="BG20" s="4535"/>
      <c r="BH20" s="4535"/>
      <c r="BI20" s="4535"/>
      <c r="BJ20" s="4535"/>
      <c r="BK20" s="4535"/>
      <c r="BL20" s="4564"/>
      <c r="BM20" s="4564"/>
      <c r="BN20" s="4876"/>
      <c r="BO20" s="4877"/>
      <c r="BP20" s="4878"/>
      <c r="BQ20" s="4879"/>
      <c r="BR20" s="4880"/>
      <c r="BS20" s="959"/>
      <c r="BT20" s="2234"/>
      <c r="BU20" s="2239" cm="1">
        <f t="array" ref="BU20">_xlfn.IFS(
BV20="",0,
BV20=$DH$15,1,
BV20=$DH$16,2,
BV20=$DH$17,3,
BV20=$DH$18,4,
BV20=$DH$19,5,
BV20=$DH$20,6,
TRUE,0)</f>
        <v>0</v>
      </c>
      <c r="BV20" s="4873"/>
      <c r="BW20" s="4873"/>
      <c r="BX20" s="4873"/>
      <c r="BY20" s="2243"/>
      <c r="BZ20" s="959"/>
      <c r="CA20" s="17"/>
      <c r="CC20" s="242"/>
      <c r="CD20" s="46">
        <f>IF($Z20&lt;&gt;"",SUM(P20:Y20),0)</f>
        <v>0</v>
      </c>
      <c r="CK20" s="299"/>
      <c r="CN20" s="242"/>
      <c r="CO20" s="262">
        <f t="shared" ref="CO20" si="30">IF(AND(N20&lt;&gt;"",OR(N20=$Q$51,N20=$Q$52,N20=$Q$53,N20=$Q$54,N20=$Q$55,N20=$Q$56,N20=$Q$57,N20=$Q$58)),SUM(P20:Y20),0)</f>
        <v>0</v>
      </c>
      <c r="CP20" s="101"/>
      <c r="CQ20" s="101"/>
      <c r="CR20" s="262">
        <f t="shared" ref="CR20" si="31">IF(AND(AN20&lt;&gt;"",OR(AN20=$Q$51,AN20=$Q$52,AN20=$Q$53,AN20=$Q$54,AN20=$Q$55,AN20=$Q$56,AN20=$Q$57,AN20=$Q$58)),SUM(AP20:AY20),0)</f>
        <v>0</v>
      </c>
      <c r="CS20" s="101"/>
      <c r="CT20" s="101"/>
      <c r="CU20" s="262">
        <f t="shared" ref="CU20" si="32">IF(AND(BN20&lt;&gt;"",OR(BN20=$Q$51,BN20=$Q$52,BN20=$Q$53,BN20=$Q$54,BN20=$Q$55,BN20=$Q$56,BN20=$Q$57,BN20=$Q$58)),BP20,0)</f>
        <v>0</v>
      </c>
      <c r="CW20" s="299"/>
      <c r="DH20" s="2139" t="s">
        <v>1286</v>
      </c>
      <c r="DI20" s="252"/>
      <c r="DJ20" s="253"/>
      <c r="DM20" s="2142">
        <v>0</v>
      </c>
      <c r="DP20" s="2136" t="str">
        <f>IF(AND(AB76&lt;&gt;"",AA77&lt;&gt;0),AB76,"")</f>
        <v/>
      </c>
      <c r="DV20" s="299"/>
      <c r="DX20" s="2131"/>
      <c r="ED20" s="299"/>
    </row>
    <row r="21" spans="1:134" ht="17.100000000000001" customHeight="1" thickTop="1" thickBot="1" x14ac:dyDescent="0.3">
      <c r="A21" s="17"/>
      <c r="B21" s="938" t="str">
        <f>IF(B123=0,"",IF(B123=1, "Plus 1 further game below","Plus "&amp;B123&amp;" further games below"))</f>
        <v/>
      </c>
      <c r="C21" s="965"/>
      <c r="D21" s="965"/>
      <c r="E21" s="965"/>
      <c r="F21" s="965"/>
      <c r="G21" s="965"/>
      <c r="H21" s="965"/>
      <c r="I21" s="965"/>
      <c r="J21" s="965"/>
      <c r="K21" s="965"/>
      <c r="L21" s="965"/>
      <c r="M21" s="965"/>
      <c r="N21" s="965"/>
      <c r="O21" s="965"/>
      <c r="P21" s="965"/>
      <c r="Q21" s="965"/>
      <c r="R21" s="965"/>
      <c r="S21" s="965"/>
      <c r="T21" s="965"/>
      <c r="U21" s="965"/>
      <c r="V21" s="965"/>
      <c r="W21" s="965"/>
      <c r="X21" s="965"/>
      <c r="Y21" s="965"/>
      <c r="Z21" s="966"/>
      <c r="AA21" s="963"/>
      <c r="AB21" s="938" t="str">
        <f>IF(AB123=0,"","Plus "&amp;AB123&amp;" further series below")</f>
        <v/>
      </c>
      <c r="AC21" s="965"/>
      <c r="AD21" s="965"/>
      <c r="AE21" s="965"/>
      <c r="AF21" s="965"/>
      <c r="AG21" s="965"/>
      <c r="AH21" s="965"/>
      <c r="AI21" s="965"/>
      <c r="AJ21" s="965"/>
      <c r="AK21" s="965"/>
      <c r="AL21" s="965"/>
      <c r="AM21" s="965"/>
      <c r="AN21" s="965"/>
      <c r="AO21" s="965"/>
      <c r="AP21" s="965"/>
      <c r="AQ21" s="965"/>
      <c r="AR21" s="965"/>
      <c r="AS21" s="965"/>
      <c r="AT21" s="965"/>
      <c r="AU21" s="965"/>
      <c r="AV21" s="965"/>
      <c r="AW21" s="965"/>
      <c r="AX21" s="965"/>
      <c r="AY21" s="965"/>
      <c r="AZ21" s="967"/>
      <c r="BA21" s="964"/>
      <c r="BB21" s="938" t="str">
        <f>IF(BB123=0,"",IF(BB123=1, "Plus 1 further film below","Plus "&amp;BB123&amp;" further films below"))</f>
        <v/>
      </c>
      <c r="BC21" s="968"/>
      <c r="BD21" s="969"/>
      <c r="BE21" s="969"/>
      <c r="BF21" s="633"/>
      <c r="BG21" s="633"/>
      <c r="BH21" s="965"/>
      <c r="BI21" s="965"/>
      <c r="BJ21" s="965"/>
      <c r="BK21" s="965"/>
      <c r="BL21" s="965"/>
      <c r="BM21" s="965"/>
      <c r="BN21" s="965"/>
      <c r="BO21" s="965"/>
      <c r="BP21" s="965"/>
      <c r="BQ21" s="965"/>
      <c r="BR21" s="965"/>
      <c r="BS21" s="965"/>
      <c r="BT21" s="965"/>
      <c r="BU21" s="668"/>
      <c r="BV21" s="2233"/>
      <c r="BW21" s="2233"/>
      <c r="BX21" s="2233"/>
      <c r="BY21" s="2243"/>
      <c r="BZ21" s="967"/>
      <c r="CA21" s="17"/>
      <c r="CC21" s="242"/>
      <c r="CD21" s="46"/>
      <c r="CK21" s="299"/>
      <c r="CN21" s="242"/>
      <c r="CO21" s="262"/>
      <c r="CP21" s="101"/>
      <c r="CQ21" s="101"/>
      <c r="CR21" s="262"/>
      <c r="CS21" s="101"/>
      <c r="CT21" s="101"/>
      <c r="CU21" s="262"/>
      <c r="CW21" s="299"/>
      <c r="DP21" s="2136" t="str">
        <f>IF(AND(AB78&lt;&gt;"",AA79&lt;&gt;0),AB78,"")</f>
        <v/>
      </c>
      <c r="DV21" s="299"/>
      <c r="DX21" s="2131"/>
      <c r="ED21" s="299"/>
    </row>
    <row r="22" spans="1:134" ht="17.100000000000001" customHeight="1" thickTop="1" thickBot="1" x14ac:dyDescent="0.3">
      <c r="A22" s="17"/>
      <c r="B22" s="970"/>
      <c r="C22" s="971"/>
      <c r="D22" s="971"/>
      <c r="E22" s="971"/>
      <c r="F22" s="971"/>
      <c r="G22" s="971"/>
      <c r="H22" s="971"/>
      <c r="I22" s="971"/>
      <c r="J22" s="971"/>
      <c r="K22" s="971"/>
      <c r="L22" s="971"/>
      <c r="M22" s="971"/>
      <c r="N22" s="971"/>
      <c r="O22" s="971"/>
      <c r="P22" s="971"/>
      <c r="Q22" s="971"/>
      <c r="R22" s="971"/>
      <c r="S22" s="971"/>
      <c r="T22" s="971"/>
      <c r="U22" s="971"/>
      <c r="V22" s="971"/>
      <c r="W22" s="971"/>
      <c r="X22" s="971"/>
      <c r="Y22" s="971"/>
      <c r="Z22" s="972"/>
      <c r="AA22" s="963"/>
      <c r="AB22" s="977"/>
      <c r="AC22" s="971"/>
      <c r="AD22" s="971"/>
      <c r="AE22" s="971"/>
      <c r="AF22" s="971"/>
      <c r="AG22" s="971"/>
      <c r="AH22" s="971"/>
      <c r="AI22" s="971"/>
      <c r="AJ22" s="971"/>
      <c r="AK22" s="971"/>
      <c r="AL22" s="971"/>
      <c r="AM22" s="971"/>
      <c r="AN22" s="971"/>
      <c r="AO22" s="971"/>
      <c r="AP22" s="971"/>
      <c r="AQ22" s="971"/>
      <c r="AR22" s="971"/>
      <c r="AS22" s="971"/>
      <c r="AT22" s="971"/>
      <c r="AU22" s="971"/>
      <c r="AV22" s="971"/>
      <c r="AW22" s="971"/>
      <c r="AX22" s="971"/>
      <c r="AY22" s="971"/>
      <c r="AZ22" s="973"/>
      <c r="BA22" s="2129"/>
      <c r="BB22" s="970"/>
      <c r="BC22" s="971"/>
      <c r="BD22" s="971"/>
      <c r="BE22" s="971"/>
      <c r="BF22" s="971"/>
      <c r="BG22" s="971"/>
      <c r="BH22" s="971"/>
      <c r="BI22" s="971"/>
      <c r="BJ22" s="971"/>
      <c r="BK22" s="971"/>
      <c r="BL22" s="971"/>
      <c r="BM22" s="971"/>
      <c r="BN22" s="971"/>
      <c r="BO22" s="971"/>
      <c r="BP22" s="971"/>
      <c r="BQ22" s="971"/>
      <c r="BR22" s="971"/>
      <c r="BS22" s="971"/>
      <c r="BT22" s="971"/>
      <c r="BU22" s="971"/>
      <c r="BV22" s="971"/>
      <c r="BW22" s="971"/>
      <c r="BX22" s="971"/>
      <c r="BY22" s="971"/>
      <c r="BZ22" s="973"/>
      <c r="CA22" s="17"/>
      <c r="CC22" s="242"/>
      <c r="CD22" s="974">
        <f>SUM(CD8:CD20)</f>
        <v>0</v>
      </c>
      <c r="CE22" s="44" t="s">
        <v>439</v>
      </c>
      <c r="CH22" s="4953">
        <f>X46-CD23</f>
        <v>0</v>
      </c>
      <c r="CI22" s="4954"/>
      <c r="CJ22" s="44" t="s">
        <v>439</v>
      </c>
      <c r="CK22" s="299"/>
      <c r="CN22" s="242"/>
      <c r="CO22" s="974">
        <f>SUM(CO8:CO20)</f>
        <v>0</v>
      </c>
      <c r="CP22" s="44" t="s">
        <v>439</v>
      </c>
      <c r="CR22" s="974">
        <f>SUM(CR8:CR20)</f>
        <v>0</v>
      </c>
      <c r="CS22" s="44" t="s">
        <v>439</v>
      </c>
      <c r="CU22" s="974">
        <f>SUM(CU8:CU20)</f>
        <v>0</v>
      </c>
      <c r="CV22" s="44" t="s">
        <v>439</v>
      </c>
      <c r="CW22" s="299"/>
      <c r="CY22" s="1135"/>
      <c r="DH22" s="2131" t="s">
        <v>1288</v>
      </c>
      <c r="DP22" s="2136" t="str">
        <f>IF(AND(AB80&lt;&gt;"",AA81&lt;&gt;0),AB80,"")</f>
        <v/>
      </c>
      <c r="DV22" s="299"/>
      <c r="DX22" s="2131"/>
      <c r="ED22" s="299"/>
    </row>
    <row r="23" spans="1:134" ht="17.100000000000001" customHeight="1" thickTop="1" thickBot="1" x14ac:dyDescent="0.25">
      <c r="A23" s="17"/>
      <c r="B23" s="961"/>
      <c r="C23" s="961"/>
      <c r="D23" s="961"/>
      <c r="E23" s="961"/>
      <c r="F23" s="17"/>
      <c r="G23" s="975"/>
      <c r="H23" s="975"/>
      <c r="I23" s="975"/>
      <c r="J23" s="975"/>
      <c r="K23" s="975"/>
      <c r="L23" s="975"/>
      <c r="M23" s="964"/>
      <c r="N23" s="17"/>
      <c r="O23" s="976"/>
      <c r="P23" s="975"/>
      <c r="Q23" s="975"/>
      <c r="R23" s="975"/>
      <c r="S23" s="975"/>
      <c r="T23" s="975"/>
      <c r="U23" s="975"/>
      <c r="V23" s="975"/>
      <c r="W23" s="964"/>
      <c r="X23" s="964"/>
      <c r="Y23" s="964"/>
      <c r="Z23" s="17"/>
      <c r="AA23" s="963"/>
      <c r="AB23" s="977"/>
      <c r="AC23" s="2761" t="s">
        <v>1714</v>
      </c>
      <c r="AD23" s="2762"/>
      <c r="AE23" s="2762"/>
      <c r="AF23" s="2762"/>
      <c r="AG23" s="2762"/>
      <c r="AH23" s="2762"/>
      <c r="AI23" s="2762"/>
      <c r="AJ23" s="2762"/>
      <c r="AK23" s="2762"/>
      <c r="AL23" s="2762"/>
      <c r="AM23" s="2762"/>
      <c r="AN23" s="2762"/>
      <c r="AO23" s="2762"/>
      <c r="AP23" s="2762"/>
      <c r="AQ23" s="2762"/>
      <c r="AR23" s="2762"/>
      <c r="AS23" s="2762"/>
      <c r="AT23" s="2762"/>
      <c r="AU23" s="980"/>
      <c r="AV23" s="981"/>
      <c r="AW23" s="2763" t="s">
        <v>1715</v>
      </c>
      <c r="AX23" s="2764"/>
      <c r="AY23" s="2764"/>
      <c r="AZ23" s="982"/>
      <c r="BA23" s="963"/>
      <c r="BB23" s="962"/>
      <c r="BC23" s="983"/>
      <c r="BD23" s="975"/>
      <c r="BE23" s="975"/>
      <c r="BF23" s="975"/>
      <c r="BG23" s="975"/>
      <c r="BH23" s="975"/>
      <c r="BI23" s="975"/>
      <c r="BJ23" s="975"/>
      <c r="BK23" s="975"/>
      <c r="BL23" s="964"/>
      <c r="BM23" s="962"/>
      <c r="BN23" s="984"/>
      <c r="BO23" s="975"/>
      <c r="BP23" s="975"/>
      <c r="BQ23" s="975"/>
      <c r="BR23" s="975"/>
      <c r="BS23" s="975"/>
      <c r="BT23" s="975"/>
      <c r="BU23" s="975"/>
      <c r="BV23" s="964"/>
      <c r="BW23" s="962"/>
      <c r="BX23" s="961"/>
      <c r="BY23" s="961"/>
      <c r="BZ23" s="961"/>
      <c r="CA23" s="17"/>
      <c r="CC23" s="251"/>
      <c r="CD23" s="252">
        <f>CD22+CD123</f>
        <v>0</v>
      </c>
      <c r="CE23" s="1134" t="s">
        <v>779</v>
      </c>
      <c r="CF23" s="252"/>
      <c r="CG23" s="252"/>
      <c r="CH23" s="252"/>
      <c r="CI23" s="252"/>
      <c r="CJ23" s="252"/>
      <c r="CK23" s="253"/>
      <c r="CM23" s="28"/>
      <c r="CN23" s="242"/>
      <c r="CO23" s="252">
        <f>CO22+CO123</f>
        <v>0</v>
      </c>
      <c r="CP23" s="1135" t="s">
        <v>865</v>
      </c>
      <c r="CR23" s="252">
        <f>CR22+CR37+CR123</f>
        <v>0</v>
      </c>
      <c r="CS23" s="1135" t="s">
        <v>135</v>
      </c>
      <c r="CU23" s="252">
        <f>CU22+CU123</f>
        <v>0</v>
      </c>
      <c r="CV23" s="1135" t="s">
        <v>136</v>
      </c>
      <c r="CW23" s="299"/>
      <c r="CY23" s="1135" t="s">
        <v>863</v>
      </c>
      <c r="DG23" s="28"/>
      <c r="DP23" s="2136" t="str">
        <f>IF(AND(AB82&lt;&gt;"",AA83&lt;&gt;0),AB82,"")</f>
        <v/>
      </c>
      <c r="DV23" s="299"/>
      <c r="DX23" s="2131"/>
      <c r="ED23" s="299"/>
    </row>
    <row r="24" spans="1:134" ht="17.100000000000001" customHeight="1" thickTop="1" thickBot="1" x14ac:dyDescent="0.25">
      <c r="A24" s="17"/>
      <c r="B24" s="4922" t="str">
        <f t="shared" ref="B24" si="33">IF($CY$52&gt;0,"N","")</f>
        <v/>
      </c>
      <c r="C24" s="4922"/>
      <c r="D24" s="4918" t="str">
        <f>IF($CY$52&gt;0,"&gt; "&amp;$CO$52&amp;" HRS","")</f>
        <v/>
      </c>
      <c r="E24" s="4918" t="str">
        <f t="shared" ref="E24:F24" si="34">IF($CY$53&gt;0,"N","")</f>
        <v/>
      </c>
      <c r="F24" s="4918" t="str">
        <f t="shared" si="34"/>
        <v/>
      </c>
      <c r="G24" s="975"/>
      <c r="H24" s="975"/>
      <c r="I24" s="975"/>
      <c r="J24" s="975"/>
      <c r="K24" s="975"/>
      <c r="L24" s="975"/>
      <c r="M24" s="964"/>
      <c r="N24" s="17"/>
      <c r="O24" s="987"/>
      <c r="P24" s="987"/>
      <c r="Q24" s="987"/>
      <c r="R24" s="987"/>
      <c r="S24" s="987"/>
      <c r="T24" s="987"/>
      <c r="U24" s="975"/>
      <c r="V24" s="988"/>
      <c r="W24" s="988"/>
      <c r="X24" s="988"/>
      <c r="Y24" s="988"/>
      <c r="Z24" s="988"/>
      <c r="AA24" s="964"/>
      <c r="AB24" s="977"/>
      <c r="AC24" s="2749" t="s">
        <v>517</v>
      </c>
      <c r="AD24" s="2750"/>
      <c r="AE24" s="2750"/>
      <c r="AF24" s="2750"/>
      <c r="AG24" s="2750"/>
      <c r="AH24" s="2750"/>
      <c r="AI24" s="2750"/>
      <c r="AJ24" s="2750"/>
      <c r="AK24" s="2750"/>
      <c r="AL24" s="2750"/>
      <c r="AM24" s="2750"/>
      <c r="AN24" s="2750"/>
      <c r="AO24" s="2751" t="s">
        <v>516</v>
      </c>
      <c r="AP24" s="2751"/>
      <c r="AQ24" s="2751"/>
      <c r="AR24" s="2751"/>
      <c r="AS24" s="2751"/>
      <c r="AT24" s="2752" t="s">
        <v>861</v>
      </c>
      <c r="AU24" s="2753" t="s">
        <v>523</v>
      </c>
      <c r="AV24" s="991"/>
      <c r="AW24" s="2753" t="s">
        <v>524</v>
      </c>
      <c r="AX24" s="992"/>
      <c r="AY24" s="992"/>
      <c r="AZ24" s="992"/>
      <c r="BA24" s="964"/>
      <c r="BB24" s="993"/>
      <c r="BC24" s="993"/>
      <c r="BD24" s="993"/>
      <c r="BE24" s="993"/>
      <c r="BF24" s="993"/>
      <c r="BG24" s="975"/>
      <c r="BH24" s="975"/>
      <c r="BI24" s="975"/>
      <c r="BJ24" s="975"/>
      <c r="BK24" s="975"/>
      <c r="BL24" s="975"/>
      <c r="BM24" s="975"/>
      <c r="BN24" s="17"/>
      <c r="BO24" s="17"/>
      <c r="BP24" s="17"/>
      <c r="BQ24" s="17"/>
      <c r="BR24" s="17"/>
      <c r="BS24" s="17"/>
      <c r="BT24" s="17"/>
      <c r="BU24" s="17"/>
      <c r="BV24" s="4958" t="str">
        <f>IF($CY$52&gt;0,"&gt; "&amp;$CO$52&amp;" HRS","")</f>
        <v/>
      </c>
      <c r="BW24" s="4958" t="str">
        <f t="shared" ref="BW24:BX24" si="35">IF($CY$53&gt;0,"N","")</f>
        <v/>
      </c>
      <c r="BX24" s="4958" t="str">
        <f t="shared" si="35"/>
        <v/>
      </c>
      <c r="BY24" s="4922" t="str">
        <f>IF($CY$52&gt;0,"N","")</f>
        <v/>
      </c>
      <c r="BZ24" s="4922"/>
      <c r="CA24" s="17"/>
      <c r="CF24" s="46"/>
      <c r="CG24" s="46"/>
      <c r="CJ24" s="46"/>
      <c r="CM24" s="28"/>
      <c r="CN24" s="242"/>
      <c r="CW24" s="299"/>
      <c r="CY24" s="1135" t="s">
        <v>872</v>
      </c>
      <c r="DG24" s="28"/>
      <c r="DP24" s="2136" t="str">
        <f>IF(AND(AB84&lt;&gt;"",AA85&lt;&gt;0),AB84,"")</f>
        <v/>
      </c>
      <c r="DV24" s="299"/>
      <c r="DX24" s="2131"/>
      <c r="ED24" s="299"/>
    </row>
    <row r="25" spans="1:134" ht="17.100000000000001" customHeight="1" thickTop="1" thickBot="1" x14ac:dyDescent="0.3">
      <c r="A25" s="17"/>
      <c r="B25" s="4922"/>
      <c r="C25" s="4922"/>
      <c r="D25" s="4918"/>
      <c r="E25" s="4918"/>
      <c r="F25" s="4918"/>
      <c r="G25" s="975"/>
      <c r="H25" s="975"/>
      <c r="I25" s="975"/>
      <c r="J25" s="975"/>
      <c r="K25" s="975"/>
      <c r="L25" s="975"/>
      <c r="M25" s="975"/>
      <c r="N25" s="975"/>
      <c r="O25" s="975"/>
      <c r="P25" s="975"/>
      <c r="Q25" s="975"/>
      <c r="R25" s="975"/>
      <c r="S25" s="975"/>
      <c r="T25" s="975"/>
      <c r="U25" s="975"/>
      <c r="V25" s="976"/>
      <c r="W25" s="790"/>
      <c r="X25" s="790"/>
      <c r="Y25" s="790"/>
      <c r="Z25" s="994"/>
      <c r="AA25" s="963"/>
      <c r="AB25" s="977">
        <v>1</v>
      </c>
      <c r="AC25" s="4894"/>
      <c r="AD25" s="4895"/>
      <c r="AE25" s="4895"/>
      <c r="AF25" s="4895"/>
      <c r="AG25" s="4895"/>
      <c r="AH25" s="4895"/>
      <c r="AI25" s="4895"/>
      <c r="AJ25" s="4895"/>
      <c r="AK25" s="4895"/>
      <c r="AL25" s="4895"/>
      <c r="AM25" s="4895"/>
      <c r="AN25" s="4895"/>
      <c r="AO25" s="4889"/>
      <c r="AP25" s="4889"/>
      <c r="AQ25" s="4889"/>
      <c r="AR25" s="4889"/>
      <c r="AS25" s="4889"/>
      <c r="AT25" s="1130"/>
      <c r="AU25" s="1043"/>
      <c r="AV25" s="1044"/>
      <c r="AW25" s="1046"/>
      <c r="AX25" s="1046"/>
      <c r="AY25" s="1046"/>
      <c r="AZ25" s="992"/>
      <c r="BA25" s="964"/>
      <c r="BB25" s="993"/>
      <c r="BC25" s="995"/>
      <c r="BD25" s="995"/>
      <c r="BE25" s="995"/>
      <c r="BF25" s="17"/>
      <c r="BG25" s="975"/>
      <c r="BH25" s="975"/>
      <c r="BI25" s="975"/>
      <c r="BJ25" s="975"/>
      <c r="BK25" s="975"/>
      <c r="BL25" s="975"/>
      <c r="BM25" s="975"/>
      <c r="BN25" s="17"/>
      <c r="BO25" s="17"/>
      <c r="BP25" s="17"/>
      <c r="BQ25" s="17"/>
      <c r="BR25" s="17"/>
      <c r="BS25" s="17"/>
      <c r="BT25" s="17"/>
      <c r="BU25" s="17"/>
      <c r="BV25" s="4958"/>
      <c r="BW25" s="4958"/>
      <c r="BX25" s="4958"/>
      <c r="BY25" s="4922"/>
      <c r="BZ25" s="4922"/>
      <c r="CA25" s="17"/>
      <c r="CC25" s="1692">
        <v>1</v>
      </c>
      <c r="CD25" s="1692">
        <v>2</v>
      </c>
      <c r="CE25" s="1692">
        <v>3</v>
      </c>
      <c r="CF25" s="46"/>
      <c r="CG25" s="46"/>
      <c r="CL25" s="1136"/>
      <c r="CM25" s="1136" t="s">
        <v>873</v>
      </c>
      <c r="CN25" s="242" t="s">
        <v>128</v>
      </c>
      <c r="CO25" s="252">
        <f>IF(CD23&gt;CO23,CD23,CO23)</f>
        <v>0</v>
      </c>
      <c r="CR25" s="262">
        <f t="shared" ref="CR25:CR35" si="36">IF(AND(AT25&lt;&gt;"",OR(AT25=$Q$51,AT25=$Q$52,AT25=$Q$53,AT25=$Q$54,AT25=$Q$55,AT25=$Q$56,AT25=$Q$57,AT25=$Q$58)),$AU25,0)</f>
        <v>0</v>
      </c>
      <c r="CS25" s="44" t="s">
        <v>875</v>
      </c>
      <c r="CW25" s="299"/>
      <c r="CY25" s="1135" t="s">
        <v>864</v>
      </c>
      <c r="DP25" s="2136" t="str">
        <f>IF(AND(AB86&lt;&gt;"",AA87&lt;&gt;0),AB86,"")</f>
        <v/>
      </c>
      <c r="DV25" s="299"/>
      <c r="DX25" s="2131"/>
      <c r="ED25" s="299"/>
    </row>
    <row r="26" spans="1:134" ht="17.100000000000001" customHeight="1" thickTop="1" thickBot="1" x14ac:dyDescent="0.4">
      <c r="A26" s="17"/>
      <c r="B26" s="961"/>
      <c r="C26" s="961"/>
      <c r="D26" s="961"/>
      <c r="E26" s="996"/>
      <c r="F26" s="2130"/>
      <c r="G26" s="2124"/>
      <c r="H26" s="2124"/>
      <c r="I26" s="2124"/>
      <c r="J26" s="2124"/>
      <c r="K26" s="2124"/>
      <c r="L26" s="2124"/>
      <c r="M26" s="2124"/>
      <c r="N26" s="2124"/>
      <c r="O26" s="2124"/>
      <c r="P26" s="2124"/>
      <c r="Q26" s="2124"/>
      <c r="R26" s="2124"/>
      <c r="S26" s="2124"/>
      <c r="T26" s="2124"/>
      <c r="U26" s="2124"/>
      <c r="V26" s="975"/>
      <c r="W26" s="964"/>
      <c r="X26" s="997"/>
      <c r="Y26" s="790"/>
      <c r="Z26" s="994"/>
      <c r="AA26" s="963"/>
      <c r="AB26" s="977">
        <v>2</v>
      </c>
      <c r="AC26" s="4894"/>
      <c r="AD26" s="4895"/>
      <c r="AE26" s="4895"/>
      <c r="AF26" s="4895"/>
      <c r="AG26" s="4895"/>
      <c r="AH26" s="4895"/>
      <c r="AI26" s="4895"/>
      <c r="AJ26" s="4895"/>
      <c r="AK26" s="4895"/>
      <c r="AL26" s="4895"/>
      <c r="AM26" s="4895"/>
      <c r="AN26" s="4895"/>
      <c r="AO26" s="4889"/>
      <c r="AP26" s="4889"/>
      <c r="AQ26" s="4889"/>
      <c r="AR26" s="4889"/>
      <c r="AS26" s="4889"/>
      <c r="AT26" s="1130"/>
      <c r="AU26" s="1043"/>
      <c r="AV26" s="1044"/>
      <c r="AW26" s="1046"/>
      <c r="AX26" s="1046"/>
      <c r="AY26" s="1046"/>
      <c r="AZ26" s="992"/>
      <c r="BA26" s="964"/>
      <c r="BB26" s="993"/>
      <c r="BC26" s="995"/>
      <c r="BD26" s="997"/>
      <c r="BE26" s="17"/>
      <c r="BF26" s="998"/>
      <c r="BG26" s="1002"/>
      <c r="BH26" s="1002"/>
      <c r="BI26" s="1002"/>
      <c r="BJ26" s="1002"/>
      <c r="BK26" s="1002"/>
      <c r="BL26" s="1002"/>
      <c r="BM26" s="1002"/>
      <c r="BN26" s="1002"/>
      <c r="BO26" s="1002"/>
      <c r="BP26" s="1002"/>
      <c r="BQ26" s="1002"/>
      <c r="BR26" s="1002"/>
      <c r="BS26" s="1002"/>
      <c r="BT26" s="1002"/>
      <c r="BU26" s="1002"/>
      <c r="BV26" s="998"/>
      <c r="BW26" s="17"/>
      <c r="BX26" s="17"/>
      <c r="BY26" s="17"/>
      <c r="BZ26" s="999"/>
      <c r="CA26" s="17"/>
      <c r="CC26" s="1692">
        <v>4</v>
      </c>
      <c r="CD26" s="1692">
        <v>5</v>
      </c>
      <c r="CE26" s="1692">
        <v>6</v>
      </c>
      <c r="CF26" s="46"/>
      <c r="CG26" s="46"/>
      <c r="CL26" s="1136"/>
      <c r="CM26" s="1136" t="s">
        <v>866</v>
      </c>
      <c r="CN26" s="242"/>
      <c r="CR26" s="262">
        <f t="shared" si="36"/>
        <v>0</v>
      </c>
      <c r="CS26" s="44" t="s">
        <v>876</v>
      </c>
      <c r="CW26" s="299"/>
      <c r="DP26" s="2136" t="str">
        <f>IF(AND(AB88&lt;&gt;"",AA89&lt;&gt;0),AB88,"")</f>
        <v/>
      </c>
      <c r="DV26" s="299"/>
      <c r="DX26" s="2131"/>
      <c r="ED26" s="299"/>
    </row>
    <row r="27" spans="1:134" ht="17.100000000000001" customHeight="1" thickTop="1" thickBot="1" x14ac:dyDescent="0.4">
      <c r="A27" s="17"/>
      <c r="B27" s="961"/>
      <c r="C27" s="961"/>
      <c r="D27" s="961"/>
      <c r="E27" s="1151"/>
      <c r="F27" s="2130">
        <f ca="1">IF('^'!$BK$45="A C T I V E",WEEKDAY(PLANS!$L$3,2),0)</f>
        <v>0</v>
      </c>
      <c r="G27" s="4940" t="s">
        <v>1392</v>
      </c>
      <c r="H27" s="4940"/>
      <c r="I27" s="4940"/>
      <c r="J27" s="4940"/>
      <c r="K27" s="4940"/>
      <c r="L27" s="4940"/>
      <c r="M27" s="4940"/>
      <c r="N27" s="4940"/>
      <c r="O27" s="4940"/>
      <c r="P27" s="4940"/>
      <c r="Q27" s="4940"/>
      <c r="R27" s="4940"/>
      <c r="S27" s="4940"/>
      <c r="T27" s="4940"/>
      <c r="U27" s="4940"/>
      <c r="V27" s="1151"/>
      <c r="W27" s="1151"/>
      <c r="X27" s="975"/>
      <c r="Y27" s="790"/>
      <c r="Z27" s="994"/>
      <c r="AA27" s="963"/>
      <c r="AB27" s="977">
        <v>3</v>
      </c>
      <c r="AC27" s="4894"/>
      <c r="AD27" s="4895"/>
      <c r="AE27" s="4895"/>
      <c r="AF27" s="4895"/>
      <c r="AG27" s="4895"/>
      <c r="AH27" s="4895"/>
      <c r="AI27" s="4895"/>
      <c r="AJ27" s="4895"/>
      <c r="AK27" s="4895"/>
      <c r="AL27" s="4895"/>
      <c r="AM27" s="4895"/>
      <c r="AN27" s="4895"/>
      <c r="AO27" s="4889"/>
      <c r="AP27" s="4889"/>
      <c r="AQ27" s="4889"/>
      <c r="AR27" s="4889"/>
      <c r="AS27" s="4889"/>
      <c r="AT27" s="1130"/>
      <c r="AU27" s="1043"/>
      <c r="AV27" s="1044"/>
      <c r="AW27" s="1046"/>
      <c r="AX27" s="1046"/>
      <c r="AY27" s="1046"/>
      <c r="AZ27" s="992"/>
      <c r="BA27" s="964"/>
      <c r="BB27" s="993"/>
      <c r="BC27" s="995"/>
      <c r="BD27" s="17"/>
      <c r="BE27" s="17"/>
      <c r="BF27" s="998"/>
      <c r="BG27" s="4952" t="s">
        <v>362</v>
      </c>
      <c r="BH27" s="4952"/>
      <c r="BI27" s="4952"/>
      <c r="BJ27" s="4952"/>
      <c r="BK27" s="4952"/>
      <c r="BL27" s="4952"/>
      <c r="BM27" s="4952"/>
      <c r="BN27" s="4952"/>
      <c r="BO27" s="4952"/>
      <c r="BP27" s="4952"/>
      <c r="BQ27" s="4952"/>
      <c r="BR27" s="4952"/>
      <c r="BS27" s="4952"/>
      <c r="BT27" s="4952"/>
      <c r="BU27" s="4952"/>
      <c r="BV27" s="998"/>
      <c r="BW27" s="17"/>
      <c r="BX27" s="17"/>
      <c r="BY27" s="17"/>
      <c r="BZ27" s="999"/>
      <c r="CA27" s="17"/>
      <c r="CC27" s="1692">
        <v>7</v>
      </c>
      <c r="CD27" s="1692">
        <v>8</v>
      </c>
      <c r="CE27" s="1692">
        <v>9</v>
      </c>
      <c r="CF27" s="46"/>
      <c r="CG27" s="46"/>
      <c r="CL27" s="1136"/>
      <c r="CM27" s="1136" t="s">
        <v>867</v>
      </c>
      <c r="CN27" s="242"/>
      <c r="CR27" s="262">
        <f t="shared" si="36"/>
        <v>0</v>
      </c>
      <c r="CS27" s="44" t="s">
        <v>874</v>
      </c>
      <c r="CW27" s="299"/>
      <c r="DH27" s="2624" t="s">
        <v>1571</v>
      </c>
      <c r="DI27" s="228"/>
      <c r="DJ27" s="256"/>
      <c r="DP27" s="2136" t="str">
        <f>IF(AND(AB90&lt;&gt;"",AA91&lt;&gt;0),AB90,"")</f>
        <v/>
      </c>
      <c r="DV27" s="299"/>
      <c r="DX27" s="2131"/>
      <c r="ED27" s="299"/>
    </row>
    <row r="28" spans="1:134" ht="17.100000000000001" customHeight="1" thickTop="1" thickBot="1" x14ac:dyDescent="0.4">
      <c r="A28" s="17"/>
      <c r="B28" s="17"/>
      <c r="C28" s="961"/>
      <c r="D28" s="961"/>
      <c r="E28" s="961"/>
      <c r="F28" s="876" cm="1">
        <f t="array" ref="F28">_xlfn.IFS(
H28="","",
H28=$DH$6,1,
H28=$DH$7,2,
H28=$DH$8,3,
H28=$DH$9,4,
H28=$DH$10,5,
H28=$DH$11,6,
H28=$DH$12,7,
TRUE,0)</f>
        <v>1</v>
      </c>
      <c r="G28" s="17"/>
      <c r="H28" s="4928" t="s">
        <v>1271</v>
      </c>
      <c r="I28" s="4928"/>
      <c r="J28" s="4928"/>
      <c r="K28" s="4928"/>
      <c r="L28" s="4926"/>
      <c r="M28" s="4926"/>
      <c r="N28" s="4926"/>
      <c r="O28" s="4926"/>
      <c r="P28" s="4926"/>
      <c r="Q28" s="4926"/>
      <c r="R28" s="4926"/>
      <c r="S28" s="4926"/>
      <c r="T28" s="4926"/>
      <c r="U28" s="15"/>
      <c r="V28" s="975"/>
      <c r="W28" s="964"/>
      <c r="X28" s="975"/>
      <c r="Y28" s="975"/>
      <c r="Z28" s="988"/>
      <c r="AA28" s="964"/>
      <c r="AB28" s="977">
        <v>4</v>
      </c>
      <c r="AC28" s="4894"/>
      <c r="AD28" s="4895"/>
      <c r="AE28" s="4895"/>
      <c r="AF28" s="4895"/>
      <c r="AG28" s="4895"/>
      <c r="AH28" s="4895"/>
      <c r="AI28" s="4895"/>
      <c r="AJ28" s="4895"/>
      <c r="AK28" s="4895"/>
      <c r="AL28" s="4895"/>
      <c r="AM28" s="4895"/>
      <c r="AN28" s="4895"/>
      <c r="AO28" s="4889"/>
      <c r="AP28" s="4889"/>
      <c r="AQ28" s="4889"/>
      <c r="AR28" s="4889"/>
      <c r="AS28" s="4889"/>
      <c r="AT28" s="1130"/>
      <c r="AU28" s="1043"/>
      <c r="AV28" s="1044"/>
      <c r="AW28" s="1046"/>
      <c r="AX28" s="1046"/>
      <c r="AY28" s="1046"/>
      <c r="AZ28" s="992"/>
      <c r="BA28" s="964"/>
      <c r="BB28" s="993"/>
      <c r="BC28" s="998"/>
      <c r="BD28" s="998"/>
      <c r="BE28" s="998"/>
      <c r="BF28" s="998"/>
      <c r="BG28" s="3151">
        <v>1</v>
      </c>
      <c r="BH28" s="4916" t="str">
        <f>IFERROR(VLOOKUP(BG28,$GH$45:$GS$53,2),"None Currently")</f>
        <v>None Currently</v>
      </c>
      <c r="BI28" s="4916"/>
      <c r="BJ28" s="4916"/>
      <c r="BK28" s="4916"/>
      <c r="BL28" s="4916"/>
      <c r="BM28" s="4916"/>
      <c r="BN28" s="4916"/>
      <c r="BO28" s="4916"/>
      <c r="BP28" s="4916"/>
      <c r="BQ28" s="4917" t="str">
        <f>IFERROR(VLOOKUP(BG28,$GH$45:$GS$53,10),"")</f>
        <v/>
      </c>
      <c r="BR28" s="4917"/>
      <c r="BS28" s="4917"/>
      <c r="BT28" s="4917"/>
      <c r="BU28" s="2176"/>
      <c r="BV28" s="998"/>
      <c r="BW28" s="17"/>
      <c r="BX28" s="17"/>
      <c r="BY28" s="17"/>
      <c r="BZ28" s="1001"/>
      <c r="CA28" s="17"/>
      <c r="CC28" s="1692">
        <v>10</v>
      </c>
      <c r="CD28" s="1692">
        <v>11</v>
      </c>
      <c r="CE28" s="1692">
        <v>12</v>
      </c>
      <c r="CF28" s="46"/>
      <c r="CG28" s="46"/>
      <c r="CL28" s="1136"/>
      <c r="CM28" s="1136" t="s">
        <v>868</v>
      </c>
      <c r="CN28" s="242"/>
      <c r="CR28" s="262">
        <f t="shared" si="36"/>
        <v>0</v>
      </c>
      <c r="CS28" s="44"/>
      <c r="CW28" s="299"/>
      <c r="DH28" s="2625" t="s">
        <v>1682</v>
      </c>
      <c r="DJ28" s="299"/>
      <c r="DO28" s="2143"/>
      <c r="DP28" s="2140" t="str">
        <f>IF(AND(AB92&lt;&gt;"",AA93&lt;&gt;0),AB92,"")</f>
        <v/>
      </c>
      <c r="DQ28" s="252"/>
      <c r="DR28" s="252"/>
      <c r="DS28" s="252"/>
      <c r="DT28" s="252"/>
      <c r="DU28" s="252"/>
      <c r="DV28" s="253"/>
      <c r="DX28" s="2131"/>
      <c r="ED28" s="299"/>
    </row>
    <row r="29" spans="1:134" ht="17.100000000000001" customHeight="1" thickTop="1" thickBot="1" x14ac:dyDescent="0.4">
      <c r="A29" s="17"/>
      <c r="B29" s="961"/>
      <c r="C29" s="961"/>
      <c r="D29" s="961"/>
      <c r="E29" s="961"/>
      <c r="F29" s="876" cm="1">
        <f t="array" ref="F29">_xlfn.IFS(
H29="",F28,
H29=$DH$6,1,
H29=$DH$7,2,
H29=$DH$8,3,
H29=$DH$9,4,
H29=$DH$10,5,
H29=$DH$11,6,
H29=$DH$12,7,
TRUE,0)</f>
        <v>2</v>
      </c>
      <c r="G29" s="17"/>
      <c r="H29" s="4928" t="s">
        <v>1272</v>
      </c>
      <c r="I29" s="4928"/>
      <c r="J29" s="4928"/>
      <c r="K29" s="4928"/>
      <c r="L29" s="4926"/>
      <c r="M29" s="4926"/>
      <c r="N29" s="4926"/>
      <c r="O29" s="4926"/>
      <c r="P29" s="4926"/>
      <c r="Q29" s="4926"/>
      <c r="R29" s="4926"/>
      <c r="S29" s="4926"/>
      <c r="T29" s="4926"/>
      <c r="U29" s="15"/>
      <c r="V29" s="975"/>
      <c r="W29" s="964"/>
      <c r="X29" s="964"/>
      <c r="Y29" s="964"/>
      <c r="Z29" s="964"/>
      <c r="AA29" s="964"/>
      <c r="AB29" s="977">
        <v>5</v>
      </c>
      <c r="AC29" s="4894"/>
      <c r="AD29" s="4895"/>
      <c r="AE29" s="4895"/>
      <c r="AF29" s="4895"/>
      <c r="AG29" s="4895"/>
      <c r="AH29" s="4895"/>
      <c r="AI29" s="4895"/>
      <c r="AJ29" s="4895"/>
      <c r="AK29" s="4895"/>
      <c r="AL29" s="4895"/>
      <c r="AM29" s="4895"/>
      <c r="AN29" s="4895"/>
      <c r="AO29" s="4889"/>
      <c r="AP29" s="4889"/>
      <c r="AQ29" s="4889"/>
      <c r="AR29" s="4889"/>
      <c r="AS29" s="4889"/>
      <c r="AT29" s="1130"/>
      <c r="AU29" s="1043"/>
      <c r="AV29" s="1045"/>
      <c r="AW29" s="1046"/>
      <c r="AX29" s="1046"/>
      <c r="AY29" s="1046"/>
      <c r="AZ29" s="992"/>
      <c r="BA29" s="964"/>
      <c r="BB29" s="962"/>
      <c r="BC29" s="983"/>
      <c r="BD29" s="975"/>
      <c r="BE29" s="975"/>
      <c r="BF29" s="998"/>
      <c r="BG29" s="3151">
        <v>2</v>
      </c>
      <c r="BH29" s="4916">
        <f t="shared" ref="BH29:BH36" si="37">VLOOKUP(BG29,$GH$45:$GI$53,2)</f>
        <v>0</v>
      </c>
      <c r="BI29" s="4916"/>
      <c r="BJ29" s="4916"/>
      <c r="BK29" s="4916"/>
      <c r="BL29" s="4916"/>
      <c r="BM29" s="4916"/>
      <c r="BN29" s="4916"/>
      <c r="BO29" s="4916"/>
      <c r="BP29" s="4916"/>
      <c r="BQ29" s="4917">
        <f t="shared" ref="BQ29:BQ36" si="38">VLOOKUP(BG29,$GH$45:$GS$53,10)</f>
        <v>0</v>
      </c>
      <c r="BR29" s="4917"/>
      <c r="BS29" s="4917"/>
      <c r="BT29" s="4917"/>
      <c r="BU29" s="2176"/>
      <c r="BV29" s="3121"/>
      <c r="BW29" s="3121"/>
      <c r="BX29" s="17"/>
      <c r="BY29" s="17"/>
      <c r="BZ29" s="1001"/>
      <c r="CA29" s="17"/>
      <c r="CC29" s="1692">
        <v>13</v>
      </c>
      <c r="CD29" s="1692">
        <v>14</v>
      </c>
      <c r="CE29" s="1692">
        <v>15</v>
      </c>
      <c r="CF29" s="46"/>
      <c r="CG29" s="46"/>
      <c r="CL29" s="1136"/>
      <c r="CM29" s="1136" t="s">
        <v>869</v>
      </c>
      <c r="CN29" s="242"/>
      <c r="CR29" s="262">
        <f t="shared" si="36"/>
        <v>0</v>
      </c>
      <c r="CU29" s="252">
        <f>CO25+CR23+CU23</f>
        <v>0</v>
      </c>
      <c r="CV29" s="1135" t="s">
        <v>439</v>
      </c>
      <c r="CW29" s="299"/>
      <c r="DH29" s="2625" t="s">
        <v>1681</v>
      </c>
      <c r="DJ29" s="299"/>
      <c r="DP29" s="2150"/>
      <c r="DQ29" s="2133"/>
      <c r="DR29" s="2133"/>
      <c r="DS29" s="2133"/>
      <c r="DT29" s="2133"/>
      <c r="DU29" s="2133"/>
      <c r="DV29" s="2134"/>
      <c r="DX29" s="2131"/>
      <c r="ED29" s="299"/>
    </row>
    <row r="30" spans="1:134" ht="17.100000000000001" customHeight="1" thickTop="1" thickBot="1" x14ac:dyDescent="0.3">
      <c r="A30" s="17"/>
      <c r="B30" s="17"/>
      <c r="C30" s="17"/>
      <c r="D30" s="17"/>
      <c r="E30" s="996"/>
      <c r="F30" s="876" cm="1">
        <f t="array" ref="F30">_xlfn.IFS(
H30="",F29,
H30=$DH$6,1,
H30=$DH$7,2,
H30=$DH$8,3,
H30=$DH$9,4,
H30=$DH$10,5,
H30=$DH$11,6,
H30=$DH$12,7,
TRUE,0)</f>
        <v>3</v>
      </c>
      <c r="G30" s="17"/>
      <c r="H30" s="4928" t="s">
        <v>1273</v>
      </c>
      <c r="I30" s="4928"/>
      <c r="J30" s="4928"/>
      <c r="K30" s="4928"/>
      <c r="L30" s="4926"/>
      <c r="M30" s="4926"/>
      <c r="N30" s="4926"/>
      <c r="O30" s="4926"/>
      <c r="P30" s="4926"/>
      <c r="Q30" s="4926"/>
      <c r="R30" s="4926"/>
      <c r="S30" s="4926"/>
      <c r="T30" s="4926"/>
      <c r="U30" s="15"/>
      <c r="V30" s="975"/>
      <c r="W30" s="964"/>
      <c r="X30" s="964"/>
      <c r="Y30" s="964"/>
      <c r="Z30" s="964"/>
      <c r="AA30" s="964"/>
      <c r="AB30" s="977">
        <v>6</v>
      </c>
      <c r="AC30" s="4894"/>
      <c r="AD30" s="4895"/>
      <c r="AE30" s="4895"/>
      <c r="AF30" s="4895"/>
      <c r="AG30" s="4895"/>
      <c r="AH30" s="4895"/>
      <c r="AI30" s="4895"/>
      <c r="AJ30" s="4895"/>
      <c r="AK30" s="4895"/>
      <c r="AL30" s="4895"/>
      <c r="AM30" s="4895"/>
      <c r="AN30" s="4895"/>
      <c r="AO30" s="4889"/>
      <c r="AP30" s="4889"/>
      <c r="AQ30" s="4889"/>
      <c r="AR30" s="4889"/>
      <c r="AS30" s="4889"/>
      <c r="AT30" s="1130"/>
      <c r="AU30" s="1043"/>
      <c r="AV30" s="1045"/>
      <c r="AW30" s="1046"/>
      <c r="AX30" s="1046"/>
      <c r="AY30" s="1046"/>
      <c r="AZ30" s="992"/>
      <c r="BA30" s="964"/>
      <c r="BB30" s="962"/>
      <c r="BC30" s="983"/>
      <c r="BD30" s="975"/>
      <c r="BE30" s="975"/>
      <c r="BF30" s="1002"/>
      <c r="BG30" s="3151">
        <v>3</v>
      </c>
      <c r="BH30" s="4916">
        <f t="shared" si="37"/>
        <v>0</v>
      </c>
      <c r="BI30" s="4916"/>
      <c r="BJ30" s="4916"/>
      <c r="BK30" s="4916"/>
      <c r="BL30" s="4916"/>
      <c r="BM30" s="4916"/>
      <c r="BN30" s="4916"/>
      <c r="BO30" s="4916"/>
      <c r="BP30" s="4916"/>
      <c r="BQ30" s="4917">
        <f t="shared" si="38"/>
        <v>0</v>
      </c>
      <c r="BR30" s="4917"/>
      <c r="BS30" s="4917"/>
      <c r="BT30" s="4917"/>
      <c r="BU30" s="3121"/>
      <c r="BV30" s="3122"/>
      <c r="BW30" s="3121"/>
      <c r="BX30" s="17"/>
      <c r="BY30" s="17"/>
      <c r="BZ30" s="1001"/>
      <c r="CA30" s="17"/>
      <c r="CC30" s="1692">
        <v>16</v>
      </c>
      <c r="CD30" s="1692">
        <v>17</v>
      </c>
      <c r="CE30" s="1692">
        <v>18</v>
      </c>
      <c r="CF30" s="46"/>
      <c r="CG30" s="46"/>
      <c r="CL30" s="1136"/>
      <c r="CM30" s="1136" t="s">
        <v>870</v>
      </c>
      <c r="CN30" s="242"/>
      <c r="CR30" s="262">
        <f t="shared" si="36"/>
        <v>0</v>
      </c>
      <c r="CV30" s="1137" t="s">
        <v>877</v>
      </c>
      <c r="CW30" s="299"/>
      <c r="DH30" s="2625" t="s">
        <v>1683</v>
      </c>
      <c r="DJ30" s="299"/>
      <c r="DP30" s="2135" t="s">
        <v>136</v>
      </c>
      <c r="DQ30" s="2133"/>
      <c r="DR30" s="2133"/>
      <c r="DS30" s="2133"/>
      <c r="DT30" s="2133"/>
      <c r="DU30" s="2133"/>
      <c r="DV30" s="2134"/>
      <c r="DX30" s="2131"/>
      <c r="ED30" s="299"/>
    </row>
    <row r="31" spans="1:134" ht="17.100000000000001" customHeight="1" thickTop="1" thickBot="1" x14ac:dyDescent="0.3">
      <c r="A31" s="17"/>
      <c r="B31" s="961"/>
      <c r="C31" s="961"/>
      <c r="D31" s="961"/>
      <c r="E31" s="1003"/>
      <c r="F31" s="876" cm="1">
        <f t="array" ref="F31">_xlfn.IFS(
H31="",F30,
H31=$DH$6,1,
H31=$DH$7,2,
H31=$DH$8,3,
H31=$DH$9,4,
H31=$DH$10,5,
H31=$DH$11,6,
H31=$DH$12,7,
TRUE,0)</f>
        <v>4</v>
      </c>
      <c r="G31" s="17"/>
      <c r="H31" s="4928" t="s">
        <v>1274</v>
      </c>
      <c r="I31" s="4928"/>
      <c r="J31" s="4928"/>
      <c r="K31" s="4928"/>
      <c r="L31" s="4926"/>
      <c r="M31" s="4926"/>
      <c r="N31" s="4926"/>
      <c r="O31" s="4926"/>
      <c r="P31" s="4926"/>
      <c r="Q31" s="4926"/>
      <c r="R31" s="4926"/>
      <c r="S31" s="4926"/>
      <c r="T31" s="4926"/>
      <c r="U31" s="15"/>
      <c r="V31" s="975"/>
      <c r="W31" s="964"/>
      <c r="X31" s="964"/>
      <c r="Y31" s="964"/>
      <c r="Z31" s="964"/>
      <c r="AA31" s="964"/>
      <c r="AB31" s="977">
        <v>7</v>
      </c>
      <c r="AC31" s="4968"/>
      <c r="AD31" s="4895"/>
      <c r="AE31" s="4895"/>
      <c r="AF31" s="4895"/>
      <c r="AG31" s="4895"/>
      <c r="AH31" s="4895"/>
      <c r="AI31" s="4895"/>
      <c r="AJ31" s="4895"/>
      <c r="AK31" s="4895"/>
      <c r="AL31" s="4895"/>
      <c r="AM31" s="4895"/>
      <c r="AN31" s="4895"/>
      <c r="AO31" s="4889"/>
      <c r="AP31" s="4889"/>
      <c r="AQ31" s="4889"/>
      <c r="AR31" s="4889"/>
      <c r="AS31" s="4889"/>
      <c r="AT31" s="1130"/>
      <c r="AU31" s="1043"/>
      <c r="AV31" s="1045"/>
      <c r="AW31" s="1046"/>
      <c r="AX31" s="1046"/>
      <c r="AY31" s="1046"/>
      <c r="AZ31" s="992"/>
      <c r="BA31" s="964"/>
      <c r="BB31" s="962"/>
      <c r="BC31" s="983"/>
      <c r="BD31" s="975"/>
      <c r="BE31" s="975"/>
      <c r="BF31" s="1002"/>
      <c r="BG31" s="3151">
        <v>4</v>
      </c>
      <c r="BH31" s="4916">
        <f t="shared" si="37"/>
        <v>0</v>
      </c>
      <c r="BI31" s="4916"/>
      <c r="BJ31" s="4916"/>
      <c r="BK31" s="4916"/>
      <c r="BL31" s="4916"/>
      <c r="BM31" s="4916"/>
      <c r="BN31" s="4916"/>
      <c r="BO31" s="4916"/>
      <c r="BP31" s="4916"/>
      <c r="BQ31" s="4917">
        <f t="shared" si="38"/>
        <v>0</v>
      </c>
      <c r="BR31" s="4917"/>
      <c r="BS31" s="4917"/>
      <c r="BT31" s="4917"/>
      <c r="BU31" s="3121"/>
      <c r="BV31" s="3121"/>
      <c r="BW31" s="3121"/>
      <c r="BX31" s="47"/>
      <c r="BY31" s="17"/>
      <c r="BZ31" s="1001"/>
      <c r="CA31" s="17"/>
      <c r="CC31" s="1692">
        <v>19</v>
      </c>
      <c r="CD31" s="1692">
        <v>20</v>
      </c>
      <c r="CE31" s="1692">
        <v>21</v>
      </c>
      <c r="CL31" s="1136"/>
      <c r="CM31" s="1136" t="s">
        <v>871</v>
      </c>
      <c r="CN31" s="242"/>
      <c r="CR31" s="262">
        <f t="shared" si="36"/>
        <v>0</v>
      </c>
      <c r="CW31" s="299"/>
      <c r="DH31" s="2625" t="s">
        <v>1684</v>
      </c>
      <c r="DJ31" s="299"/>
      <c r="DP31" s="2135" t="str">
        <f>IF($BW$7&gt;=1,$BV$5,"")</f>
        <v/>
      </c>
      <c r="DQ31" s="2133"/>
      <c r="DR31" s="2133"/>
      <c r="DS31" s="2133"/>
      <c r="DT31" s="2133"/>
      <c r="DU31" s="2133"/>
      <c r="DV31" s="2134"/>
      <c r="DX31" s="2131"/>
      <c r="ED31" s="299"/>
    </row>
    <row r="32" spans="1:134" ht="17.100000000000001" customHeight="1" thickTop="1" thickBot="1" x14ac:dyDescent="0.3">
      <c r="A32" s="17"/>
      <c r="B32" s="961"/>
      <c r="C32" s="961"/>
      <c r="D32" s="961"/>
      <c r="E32" s="1000"/>
      <c r="F32" s="876" cm="1">
        <f t="array" ref="F32">_xlfn.IFS(
H32="",F31,
H32=$DH$6,1,
H32=$DH$7,2,
H32=$DH$8,3,
H32=$DH$9,4,
H32=$DH$10,5,
H32=$DH$11,6,
H32=$DH$12,7,
TRUE,0)</f>
        <v>5</v>
      </c>
      <c r="G32" s="17"/>
      <c r="H32" s="4928" t="s">
        <v>1275</v>
      </c>
      <c r="I32" s="4928"/>
      <c r="J32" s="4928"/>
      <c r="K32" s="4928"/>
      <c r="L32" s="4926"/>
      <c r="M32" s="4926"/>
      <c r="N32" s="4926"/>
      <c r="O32" s="4926"/>
      <c r="P32" s="4926"/>
      <c r="Q32" s="4926"/>
      <c r="R32" s="4926"/>
      <c r="S32" s="4926"/>
      <c r="T32" s="4926"/>
      <c r="U32" s="15"/>
      <c r="V32" s="975"/>
      <c r="W32" s="964"/>
      <c r="X32" s="964"/>
      <c r="Y32" s="964"/>
      <c r="Z32" s="964"/>
      <c r="AA32" s="964"/>
      <c r="AB32" s="977">
        <v>8</v>
      </c>
      <c r="AC32" s="4894"/>
      <c r="AD32" s="4895"/>
      <c r="AE32" s="4895"/>
      <c r="AF32" s="4895"/>
      <c r="AG32" s="4895"/>
      <c r="AH32" s="4895"/>
      <c r="AI32" s="4895"/>
      <c r="AJ32" s="4895"/>
      <c r="AK32" s="4895"/>
      <c r="AL32" s="4895"/>
      <c r="AM32" s="4895"/>
      <c r="AN32" s="4895"/>
      <c r="AO32" s="4889"/>
      <c r="AP32" s="4889"/>
      <c r="AQ32" s="4889"/>
      <c r="AR32" s="4889"/>
      <c r="AS32" s="4889"/>
      <c r="AT32" s="1130"/>
      <c r="AU32" s="1043"/>
      <c r="AV32" s="1045"/>
      <c r="AW32" s="1046"/>
      <c r="AX32" s="1046"/>
      <c r="AY32" s="1046"/>
      <c r="AZ32" s="992"/>
      <c r="BA32" s="964"/>
      <c r="BB32" s="962"/>
      <c r="BC32" s="983"/>
      <c r="BD32" s="975"/>
      <c r="BE32" s="975"/>
      <c r="BF32" s="975"/>
      <c r="BG32" s="3151">
        <v>5</v>
      </c>
      <c r="BH32" s="4916">
        <f t="shared" si="37"/>
        <v>0</v>
      </c>
      <c r="BI32" s="4916"/>
      <c r="BJ32" s="4916"/>
      <c r="BK32" s="4916"/>
      <c r="BL32" s="4916"/>
      <c r="BM32" s="4916"/>
      <c r="BN32" s="4916"/>
      <c r="BO32" s="4916"/>
      <c r="BP32" s="4916"/>
      <c r="BQ32" s="4917">
        <f t="shared" si="38"/>
        <v>0</v>
      </c>
      <c r="BR32" s="4917"/>
      <c r="BS32" s="4917"/>
      <c r="BT32" s="4917"/>
      <c r="BU32" s="3121"/>
      <c r="BV32" s="3121"/>
      <c r="BW32" s="3121"/>
      <c r="BX32" s="17"/>
      <c r="BY32" s="17"/>
      <c r="BZ32" s="1001"/>
      <c r="CA32" s="17"/>
      <c r="CC32" s="1692">
        <v>22</v>
      </c>
      <c r="CD32" s="1692">
        <v>23</v>
      </c>
      <c r="CE32" s="1692">
        <v>24</v>
      </c>
      <c r="CN32" s="242"/>
      <c r="CR32" s="262">
        <f t="shared" si="36"/>
        <v>0</v>
      </c>
      <c r="CW32" s="299"/>
      <c r="DH32" s="2625" t="s">
        <v>1686</v>
      </c>
      <c r="DJ32" s="299"/>
      <c r="DP32" s="2136" t="str">
        <f>IF(AND(BB7&lt;&gt;"",BA8&lt;&gt;0),BB7,"")</f>
        <v/>
      </c>
      <c r="DV32" s="299"/>
      <c r="DX32" s="2131"/>
      <c r="ED32" s="299"/>
    </row>
    <row r="33" spans="1:201" ht="17.100000000000001" customHeight="1" thickTop="1" thickBot="1" x14ac:dyDescent="0.25">
      <c r="A33" s="17"/>
      <c r="B33" s="988"/>
      <c r="C33" s="17"/>
      <c r="D33" s="17"/>
      <c r="E33" s="1000"/>
      <c r="F33" s="876" cm="1">
        <f t="array" ref="F33">_xlfn.IFS(
H33="",F32,
H33=$DH$6,1,
H33=$DH$7,2,
H33=$DH$8,3,
H33=$DH$9,4,
H33=$DH$10,5,
H33=$DH$11,6,
H33=$DH$12,7,
TRUE,0)</f>
        <v>6</v>
      </c>
      <c r="G33" s="17"/>
      <c r="H33" s="4928" t="s">
        <v>1276</v>
      </c>
      <c r="I33" s="4928"/>
      <c r="J33" s="4928"/>
      <c r="K33" s="4928"/>
      <c r="L33" s="4926"/>
      <c r="M33" s="4926"/>
      <c r="N33" s="4926"/>
      <c r="O33" s="4926"/>
      <c r="P33" s="4926"/>
      <c r="Q33" s="4926"/>
      <c r="R33" s="4926"/>
      <c r="S33" s="4926"/>
      <c r="T33" s="4926"/>
      <c r="U33" s="15"/>
      <c r="V33" s="975"/>
      <c r="W33" s="964"/>
      <c r="X33" s="964"/>
      <c r="Y33" s="964"/>
      <c r="Z33" s="964"/>
      <c r="AA33" s="964"/>
      <c r="AB33" s="977">
        <v>9</v>
      </c>
      <c r="AC33" s="4894"/>
      <c r="AD33" s="4895"/>
      <c r="AE33" s="4895"/>
      <c r="AF33" s="4895"/>
      <c r="AG33" s="4895"/>
      <c r="AH33" s="4895"/>
      <c r="AI33" s="4895"/>
      <c r="AJ33" s="4895"/>
      <c r="AK33" s="4895"/>
      <c r="AL33" s="4895"/>
      <c r="AM33" s="4895"/>
      <c r="AN33" s="4895"/>
      <c r="AO33" s="4889"/>
      <c r="AP33" s="4889"/>
      <c r="AQ33" s="4889"/>
      <c r="AR33" s="4889"/>
      <c r="AS33" s="4889"/>
      <c r="AT33" s="1130"/>
      <c r="AU33" s="1043"/>
      <c r="AV33" s="1045"/>
      <c r="AW33" s="1046"/>
      <c r="AX33" s="1046"/>
      <c r="AY33" s="1046"/>
      <c r="AZ33" s="992"/>
      <c r="BA33" s="964"/>
      <c r="BB33" s="962"/>
      <c r="BC33" s="983"/>
      <c r="BD33" s="975"/>
      <c r="BE33" s="975"/>
      <c r="BF33" s="1004"/>
      <c r="BG33" s="3151">
        <v>6</v>
      </c>
      <c r="BH33" s="4916">
        <f t="shared" si="37"/>
        <v>0</v>
      </c>
      <c r="BI33" s="4916"/>
      <c r="BJ33" s="4916"/>
      <c r="BK33" s="4916"/>
      <c r="BL33" s="4916"/>
      <c r="BM33" s="4916"/>
      <c r="BN33" s="4916"/>
      <c r="BO33" s="4916"/>
      <c r="BP33" s="4916"/>
      <c r="BQ33" s="4917">
        <f t="shared" si="38"/>
        <v>0</v>
      </c>
      <c r="BR33" s="4917"/>
      <c r="BS33" s="4917"/>
      <c r="BT33" s="4917"/>
      <c r="BU33" s="2176"/>
      <c r="BV33" s="1004"/>
      <c r="BW33" s="17"/>
      <c r="BX33" s="17"/>
      <c r="BY33" s="17"/>
      <c r="BZ33" s="993"/>
      <c r="CA33" s="17"/>
      <c r="CC33" s="1692">
        <v>25</v>
      </c>
      <c r="CD33" s="1692">
        <v>26</v>
      </c>
      <c r="CE33" s="1692">
        <v>27</v>
      </c>
      <c r="CN33" s="242"/>
      <c r="CR33" s="262">
        <f t="shared" si="36"/>
        <v>0</v>
      </c>
      <c r="CW33" s="299"/>
      <c r="DH33" s="2626" t="s">
        <v>1687</v>
      </c>
      <c r="DI33" s="252"/>
      <c r="DJ33" s="253"/>
      <c r="DP33" s="2136" t="str">
        <f>IF(AND(BB9&lt;&gt;"",BA10&lt;&gt;0),BB9,"")</f>
        <v/>
      </c>
      <c r="DV33" s="299"/>
      <c r="DX33" s="2131"/>
      <c r="ED33" s="299"/>
    </row>
    <row r="34" spans="1:201" ht="17.100000000000001" customHeight="1" thickTop="1" thickBot="1" x14ac:dyDescent="0.3">
      <c r="A34" s="17"/>
      <c r="B34" s="988"/>
      <c r="C34" s="790"/>
      <c r="D34" s="17"/>
      <c r="E34" s="1000"/>
      <c r="F34" s="876" cm="1">
        <f t="array" ref="F34">_xlfn.IFS(
H34="",F33,
H34=$DH$6,1,
H34=$DH$7,2,
H34=$DH$8,3,
H34=$DH$9,4,
H34=$DH$10,5,
H34=$DH$11,6,
H34=$DH$12,7,
TRUE,0)</f>
        <v>7</v>
      </c>
      <c r="G34" s="17"/>
      <c r="H34" s="4928" t="s">
        <v>1277</v>
      </c>
      <c r="I34" s="4928"/>
      <c r="J34" s="4928"/>
      <c r="K34" s="4928"/>
      <c r="L34" s="4926"/>
      <c r="M34" s="4926"/>
      <c r="N34" s="4926"/>
      <c r="O34" s="4926"/>
      <c r="P34" s="4926"/>
      <c r="Q34" s="4926"/>
      <c r="R34" s="4926"/>
      <c r="S34" s="4926"/>
      <c r="T34" s="4926"/>
      <c r="U34" s="15"/>
      <c r="V34" s="975"/>
      <c r="W34" s="964"/>
      <c r="X34" s="964"/>
      <c r="Y34" s="964"/>
      <c r="Z34" s="964"/>
      <c r="AA34" s="964"/>
      <c r="AB34" s="977">
        <v>10</v>
      </c>
      <c r="AC34" s="4894"/>
      <c r="AD34" s="4895"/>
      <c r="AE34" s="4895"/>
      <c r="AF34" s="4895"/>
      <c r="AG34" s="4895"/>
      <c r="AH34" s="4895"/>
      <c r="AI34" s="4895"/>
      <c r="AJ34" s="4895"/>
      <c r="AK34" s="4895"/>
      <c r="AL34" s="4895"/>
      <c r="AM34" s="4895"/>
      <c r="AN34" s="4895"/>
      <c r="AO34" s="4889"/>
      <c r="AP34" s="4889"/>
      <c r="AQ34" s="4889"/>
      <c r="AR34" s="4889"/>
      <c r="AS34" s="4889"/>
      <c r="AT34" s="1130"/>
      <c r="AU34" s="1043"/>
      <c r="AV34" s="1045"/>
      <c r="AW34" s="1046"/>
      <c r="AX34" s="1046"/>
      <c r="AY34" s="1046"/>
      <c r="AZ34" s="992"/>
      <c r="BA34" s="964"/>
      <c r="BB34" s="962"/>
      <c r="BC34" s="983"/>
      <c r="BD34" s="975"/>
      <c r="BE34" s="975"/>
      <c r="BF34" s="1004"/>
      <c r="BG34" s="3151">
        <v>7</v>
      </c>
      <c r="BH34" s="4916">
        <f t="shared" si="37"/>
        <v>0</v>
      </c>
      <c r="BI34" s="4916"/>
      <c r="BJ34" s="4916"/>
      <c r="BK34" s="4916"/>
      <c r="BL34" s="4916"/>
      <c r="BM34" s="4916"/>
      <c r="BN34" s="4916"/>
      <c r="BO34" s="4916"/>
      <c r="BP34" s="4916"/>
      <c r="BQ34" s="4917">
        <f t="shared" si="38"/>
        <v>0</v>
      </c>
      <c r="BR34" s="4917"/>
      <c r="BS34" s="4917"/>
      <c r="BT34" s="4917"/>
      <c r="BU34" s="2176"/>
      <c r="BV34" s="1004"/>
      <c r="BW34" s="1004"/>
      <c r="BX34" s="1001"/>
      <c r="BY34" s="1005"/>
      <c r="BZ34" s="993"/>
      <c r="CA34" s="17"/>
      <c r="CC34" s="1692">
        <v>28</v>
      </c>
      <c r="CD34" s="1692">
        <f>IF(data!$EB$24="","",data!$EB$24)</f>
        <v>29</v>
      </c>
      <c r="CE34" s="1692">
        <f>IF(data!$EB$23="","",data!$EB$23)</f>
        <v>30</v>
      </c>
      <c r="CF34" s="46"/>
      <c r="CG34" s="46"/>
      <c r="CN34" s="242"/>
      <c r="CR34" s="262">
        <f t="shared" si="36"/>
        <v>0</v>
      </c>
      <c r="CW34" s="299"/>
      <c r="DH34" s="2497"/>
      <c r="DP34" s="2136" t="str">
        <f>IF(AND(BB11&lt;&gt;"",BA12&lt;&gt;0),BB11,"")</f>
        <v/>
      </c>
      <c r="DV34" s="299"/>
      <c r="DX34" s="2131"/>
      <c r="ED34" s="299"/>
    </row>
    <row r="35" spans="1:201" ht="17.100000000000001" customHeight="1" thickTop="1" thickBot="1" x14ac:dyDescent="0.3">
      <c r="A35" s="17"/>
      <c r="B35" s="988"/>
      <c r="C35" s="790"/>
      <c r="D35" s="791"/>
      <c r="E35" s="1000"/>
      <c r="F35" s="876" cm="1">
        <f t="array" ref="F35">_xlfn.IFS(
H35="",F34,
H35=$DH$6,1,
H35=$DH$7,2,
H35=$DH$8,3,
H35=$DH$9,4,
H35=$DH$10,5,
H35=$DH$11,6,
H35=$DH$12,7,
TRUE,0)</f>
        <v>7</v>
      </c>
      <c r="G35" s="17"/>
      <c r="H35" s="4928"/>
      <c r="I35" s="4928"/>
      <c r="J35" s="4928"/>
      <c r="K35" s="4928"/>
      <c r="L35" s="4926"/>
      <c r="M35" s="4926"/>
      <c r="N35" s="4926"/>
      <c r="O35" s="4926"/>
      <c r="P35" s="4926"/>
      <c r="Q35" s="4926"/>
      <c r="R35" s="4926"/>
      <c r="S35" s="4926"/>
      <c r="T35" s="4926"/>
      <c r="U35" s="15"/>
      <c r="V35" s="975"/>
      <c r="W35" s="964"/>
      <c r="X35" s="964"/>
      <c r="Y35" s="964"/>
      <c r="Z35" s="964"/>
      <c r="AA35" s="964"/>
      <c r="AB35" s="977">
        <v>11</v>
      </c>
      <c r="AC35" s="4894"/>
      <c r="AD35" s="4895"/>
      <c r="AE35" s="4895"/>
      <c r="AF35" s="4895"/>
      <c r="AG35" s="4895"/>
      <c r="AH35" s="4895"/>
      <c r="AI35" s="4895"/>
      <c r="AJ35" s="4895"/>
      <c r="AK35" s="4895"/>
      <c r="AL35" s="4895"/>
      <c r="AM35" s="4895"/>
      <c r="AN35" s="4895"/>
      <c r="AO35" s="4889"/>
      <c r="AP35" s="4889"/>
      <c r="AQ35" s="4889"/>
      <c r="AR35" s="4889"/>
      <c r="AS35" s="4889"/>
      <c r="AT35" s="1130"/>
      <c r="AU35" s="1043"/>
      <c r="AV35" s="1045"/>
      <c r="AW35" s="1046"/>
      <c r="AX35" s="1006"/>
      <c r="AY35" s="1006"/>
      <c r="AZ35" s="992"/>
      <c r="BA35" s="964"/>
      <c r="BB35" s="962"/>
      <c r="BC35" s="983"/>
      <c r="BD35" s="975"/>
      <c r="BE35" s="975"/>
      <c r="BF35" s="1004"/>
      <c r="BG35" s="3151">
        <v>8</v>
      </c>
      <c r="BH35" s="4916">
        <f t="shared" si="37"/>
        <v>0</v>
      </c>
      <c r="BI35" s="4916"/>
      <c r="BJ35" s="4916"/>
      <c r="BK35" s="4916"/>
      <c r="BL35" s="4916"/>
      <c r="BM35" s="4916"/>
      <c r="BN35" s="4916"/>
      <c r="BO35" s="4916"/>
      <c r="BP35" s="4916"/>
      <c r="BQ35" s="4917">
        <f t="shared" si="38"/>
        <v>0</v>
      </c>
      <c r="BR35" s="4917"/>
      <c r="BS35" s="4917"/>
      <c r="BT35" s="4917"/>
      <c r="BU35" s="2176"/>
      <c r="BV35" s="1004"/>
      <c r="BW35" s="1004"/>
      <c r="BX35" s="997"/>
      <c r="BY35" s="1005"/>
      <c r="BZ35" s="993"/>
      <c r="CA35" s="17"/>
      <c r="CC35" s="1693">
        <f>IF(data!$EB$22="","",data!$EB$22)</f>
        <v>31</v>
      </c>
      <c r="CD35" s="46"/>
      <c r="CE35" s="46"/>
      <c r="CF35" s="46"/>
      <c r="CG35" s="46"/>
      <c r="CK35" s="46"/>
      <c r="CL35" s="46"/>
      <c r="CM35" s="46"/>
      <c r="CN35" s="242"/>
      <c r="CR35" s="262">
        <f t="shared" si="36"/>
        <v>0</v>
      </c>
      <c r="CW35" s="299"/>
      <c r="DP35" s="2136" t="str">
        <f>IF(AND(BB13&lt;&gt;"",BA14&lt;&gt;0),BB13,"")</f>
        <v/>
      </c>
      <c r="DV35" s="299"/>
      <c r="DX35" s="2131"/>
      <c r="ED35" s="299"/>
    </row>
    <row r="36" spans="1:201" ht="17.100000000000001" customHeight="1" thickTop="1" thickBot="1" x14ac:dyDescent="0.3">
      <c r="A36" s="17"/>
      <c r="B36" s="988"/>
      <c r="C36" s="790"/>
      <c r="D36" s="790"/>
      <c r="E36" s="790"/>
      <c r="F36" s="876" cm="1">
        <f t="array" ref="F36">_xlfn.IFS(
H36="",F35,
H36=$DH$6,1,
H36=$DH$7,2,
H36=$DH$8,3,
H36=$DH$9,4,
H36=$DH$10,5,
H36=$DH$11,6,
H36=$DH$12,7,
TRUE,0)</f>
        <v>7</v>
      </c>
      <c r="G36" s="17"/>
      <c r="H36" s="4928"/>
      <c r="I36" s="4928"/>
      <c r="J36" s="4928"/>
      <c r="K36" s="4928"/>
      <c r="L36" s="4926"/>
      <c r="M36" s="4926"/>
      <c r="N36" s="4926"/>
      <c r="O36" s="4926"/>
      <c r="P36" s="4926"/>
      <c r="Q36" s="4926"/>
      <c r="R36" s="4926"/>
      <c r="S36" s="4926"/>
      <c r="T36" s="4926"/>
      <c r="U36" s="15"/>
      <c r="V36" s="4958" t="str">
        <f>IF($CY$53&gt;0,"&gt; "&amp;$CO$53&amp;" HRS","")</f>
        <v/>
      </c>
      <c r="W36" s="4958" t="str">
        <f t="shared" ref="W36:X36" si="39">IF($CY$53&gt;0,"N","")</f>
        <v/>
      </c>
      <c r="X36" s="4958" t="str">
        <f t="shared" si="39"/>
        <v/>
      </c>
      <c r="Y36" s="4922" t="str">
        <f>IF($CY$53&gt;0,"N","")</f>
        <v/>
      </c>
      <c r="Z36" s="4922"/>
      <c r="AA36" s="964"/>
      <c r="AB36" s="977">
        <v>12</v>
      </c>
      <c r="AC36" s="4898"/>
      <c r="AD36" s="4899"/>
      <c r="AE36" s="4899"/>
      <c r="AF36" s="4899"/>
      <c r="AG36" s="4899"/>
      <c r="AH36" s="4899"/>
      <c r="AI36" s="4899"/>
      <c r="AJ36" s="4899"/>
      <c r="AK36" s="4899"/>
      <c r="AL36" s="4899"/>
      <c r="AM36" s="4899"/>
      <c r="AN36" s="4899"/>
      <c r="AO36" s="4889"/>
      <c r="AP36" s="4889"/>
      <c r="AQ36" s="4889"/>
      <c r="AR36" s="4889"/>
      <c r="AS36" s="4889"/>
      <c r="AT36" s="1130"/>
      <c r="AU36" s="1043"/>
      <c r="AV36" s="1045"/>
      <c r="AW36" s="1006"/>
      <c r="AX36" s="1006"/>
      <c r="AY36" s="1006"/>
      <c r="AZ36" s="992"/>
      <c r="BA36" s="964"/>
      <c r="BB36" s="4922" t="str">
        <f>IF($CY$53&gt;0,"N","")</f>
        <v/>
      </c>
      <c r="BC36" s="4922"/>
      <c r="BD36" s="4918" t="str">
        <f>IF($CY$53&gt;0,"&gt; "&amp;$CO$53&amp;" HRS","")</f>
        <v/>
      </c>
      <c r="BE36" s="4918" t="str">
        <f t="shared" ref="BE36:BF36" si="40">IF($CY$53&gt;0,"N","")</f>
        <v/>
      </c>
      <c r="BF36" s="4918" t="str">
        <f t="shared" si="40"/>
        <v/>
      </c>
      <c r="BG36" s="3151">
        <v>9</v>
      </c>
      <c r="BH36" s="4916">
        <f t="shared" si="37"/>
        <v>0</v>
      </c>
      <c r="BI36" s="4916"/>
      <c r="BJ36" s="4916"/>
      <c r="BK36" s="4916"/>
      <c r="BL36" s="4916"/>
      <c r="BM36" s="4916"/>
      <c r="BN36" s="4916"/>
      <c r="BO36" s="4916"/>
      <c r="BP36" s="4916"/>
      <c r="BQ36" s="4917">
        <f t="shared" si="38"/>
        <v>0</v>
      </c>
      <c r="BR36" s="4917"/>
      <c r="BS36" s="4917"/>
      <c r="BT36" s="4917"/>
      <c r="BU36" s="2176"/>
      <c r="BV36" s="1004"/>
      <c r="BW36" s="995"/>
      <c r="BX36" s="995"/>
      <c r="BY36" s="1005"/>
      <c r="BZ36" s="993"/>
      <c r="CA36" s="17"/>
      <c r="CC36" s="46"/>
      <c r="CD36" s="46"/>
      <c r="CE36" s="46"/>
      <c r="CF36" s="46"/>
      <c r="CG36" s="46"/>
      <c r="CK36" s="46"/>
      <c r="CL36" s="46"/>
      <c r="CM36" s="46"/>
      <c r="CN36" s="242"/>
      <c r="CR36" s="262">
        <f>IF(AND(AT36&lt;&gt;"",OR(AT36=$Q$51,AT36=$Q$52,AT36=$Q$53,AT36=$Q$54,AT36=$Q$55,AT36=$Q$56,AT36=$Q$57,AT36=$Q$58)),$AU36,0)</f>
        <v>0</v>
      </c>
      <c r="CW36" s="299"/>
      <c r="DP36" s="2136" t="str">
        <f>IF(AND(BB15&lt;&gt;"",BA16&lt;&gt;0),BB15,"")</f>
        <v/>
      </c>
      <c r="DV36" s="299"/>
      <c r="DX36" s="2131"/>
      <c r="ED36" s="299"/>
    </row>
    <row r="37" spans="1:201" ht="17.100000000000001" customHeight="1" thickTop="1" thickBot="1" x14ac:dyDescent="0.3">
      <c r="A37" s="17"/>
      <c r="B37" s="988"/>
      <c r="C37" s="988"/>
      <c r="D37" s="988"/>
      <c r="E37" s="988"/>
      <c r="F37" s="988"/>
      <c r="G37" s="17"/>
      <c r="H37" s="17"/>
      <c r="I37" s="17"/>
      <c r="J37" s="17"/>
      <c r="K37" s="17"/>
      <c r="L37" s="17"/>
      <c r="M37" s="17"/>
      <c r="N37" s="17"/>
      <c r="O37" s="17"/>
      <c r="P37" s="17"/>
      <c r="Q37" s="17"/>
      <c r="R37" s="17"/>
      <c r="S37" s="961"/>
      <c r="T37" s="961"/>
      <c r="U37" s="975"/>
      <c r="V37" s="4958"/>
      <c r="W37" s="4958"/>
      <c r="X37" s="4958"/>
      <c r="Y37" s="4922"/>
      <c r="Z37" s="4922"/>
      <c r="AA37" s="964"/>
      <c r="AB37" s="1007"/>
      <c r="AC37" s="3344" t="str">
        <f>IF(AC122=0,"",IF(AC122=1, "Plus 1 further video below","Plus "&amp;AC122&amp;" further videos below"))</f>
        <v/>
      </c>
      <c r="AD37" s="1008"/>
      <c r="AE37" s="1008"/>
      <c r="AF37" s="1008"/>
      <c r="AG37" s="1008"/>
      <c r="AH37" s="1008"/>
      <c r="AI37" s="1008"/>
      <c r="AJ37" s="1008"/>
      <c r="AK37" s="1008"/>
      <c r="AL37" s="1008"/>
      <c r="AM37" s="1008"/>
      <c r="AN37" s="1008"/>
      <c r="AO37" s="1008"/>
      <c r="AP37" s="1008"/>
      <c r="AQ37" s="1008"/>
      <c r="AR37" s="1008"/>
      <c r="AS37" s="1008"/>
      <c r="AT37" s="1009"/>
      <c r="AU37" s="1008"/>
      <c r="AV37" s="1008"/>
      <c r="AW37" s="1008"/>
      <c r="AX37" s="1008"/>
      <c r="AY37" s="1008"/>
      <c r="AZ37" s="1010"/>
      <c r="BA37" s="964"/>
      <c r="BB37" s="4922"/>
      <c r="BC37" s="4922"/>
      <c r="BD37" s="4918"/>
      <c r="BE37" s="4918"/>
      <c r="BF37" s="4918"/>
      <c r="BG37" s="1142"/>
      <c r="BH37" s="975"/>
      <c r="BI37" s="1001"/>
      <c r="BJ37" s="1001"/>
      <c r="BK37" s="1001"/>
      <c r="BL37" s="1001"/>
      <c r="BM37" s="797"/>
      <c r="BN37" s="1001"/>
      <c r="BO37" s="1001"/>
      <c r="BP37" s="1001"/>
      <c r="BQ37" s="1001"/>
      <c r="BR37" s="1001"/>
      <c r="BS37" s="1001"/>
      <c r="BT37" s="1001"/>
      <c r="BU37" s="1001"/>
      <c r="BV37" s="993"/>
      <c r="BW37" s="993"/>
      <c r="BX37" s="993"/>
      <c r="BY37" s="993"/>
      <c r="BZ37" s="993"/>
      <c r="CA37" s="17"/>
      <c r="CC37" s="46"/>
      <c r="CD37" s="46"/>
      <c r="CE37" s="46"/>
      <c r="CF37" s="46"/>
      <c r="CG37" s="46"/>
      <c r="CH37" s="46"/>
      <c r="CI37" s="46"/>
      <c r="CN37" s="242"/>
      <c r="CR37" s="974">
        <f>SUM(CR25:CR36)</f>
        <v>0</v>
      </c>
      <c r="CS37" s="44" t="s">
        <v>439</v>
      </c>
      <c r="CW37" s="299"/>
      <c r="DP37" s="2136" t="str">
        <f>IF(AND(BB17&lt;&gt;"",BA18&lt;&gt;0),BB17,"")</f>
        <v/>
      </c>
      <c r="DV37" s="299"/>
      <c r="DX37" s="2131"/>
      <c r="ED37" s="299"/>
    </row>
    <row r="38" spans="1:201" ht="17.100000000000001" customHeight="1" thickTop="1" x14ac:dyDescent="0.2">
      <c r="A38" s="17"/>
      <c r="B38" s="17"/>
      <c r="C38" s="17"/>
      <c r="D38" s="17"/>
      <c r="E38" s="17"/>
      <c r="F38" s="17"/>
      <c r="G38" s="17"/>
      <c r="H38" s="17"/>
      <c r="I38" s="17"/>
      <c r="J38" s="32"/>
      <c r="K38" s="32"/>
      <c r="L38" s="17"/>
      <c r="M38" s="17"/>
      <c r="N38" s="32" t="s">
        <v>1</v>
      </c>
      <c r="O38" s="17"/>
      <c r="P38" s="17"/>
      <c r="Q38" s="17"/>
      <c r="R38" s="17"/>
      <c r="S38" s="17"/>
      <c r="T38" s="17"/>
      <c r="U38" s="17"/>
      <c r="V38" s="17"/>
      <c r="W38" s="17"/>
      <c r="X38" s="17"/>
      <c r="Y38" s="17"/>
      <c r="Z38" s="17"/>
      <c r="AA38" s="17"/>
      <c r="AB38" s="1011"/>
      <c r="AC38" s="1011"/>
      <c r="AD38" s="1011"/>
      <c r="AE38" s="1011"/>
      <c r="AF38" s="1011"/>
      <c r="AG38" s="1011"/>
      <c r="AH38" s="1011"/>
      <c r="AI38" s="1011"/>
      <c r="AJ38" s="1011"/>
      <c r="AK38" s="1011"/>
      <c r="AL38" s="1011"/>
      <c r="AM38" s="1011"/>
      <c r="AN38" s="32"/>
      <c r="AO38" s="1011"/>
      <c r="AP38" s="1011"/>
      <c r="AQ38" s="1011"/>
      <c r="AR38" s="1011"/>
      <c r="AS38" s="1011"/>
      <c r="AT38" s="1011"/>
      <c r="AU38" s="1011"/>
      <c r="AV38" s="1011"/>
      <c r="AW38" s="1011"/>
      <c r="AX38" s="1011"/>
      <c r="AY38" s="1011"/>
      <c r="AZ38" s="1011"/>
      <c r="BA38" s="17"/>
      <c r="BB38" s="17"/>
      <c r="BC38" s="17"/>
      <c r="BD38" s="17"/>
      <c r="BE38" s="17"/>
      <c r="BF38" s="17"/>
      <c r="BG38" s="17"/>
      <c r="BH38" s="17"/>
      <c r="BI38" s="17"/>
      <c r="BJ38" s="17"/>
      <c r="BK38" s="17"/>
      <c r="BL38" s="17"/>
      <c r="BM38" s="17"/>
      <c r="BN38" s="32" t="s">
        <v>1</v>
      </c>
      <c r="BO38" s="17"/>
      <c r="BP38" s="17"/>
      <c r="BQ38" s="32"/>
      <c r="BR38" s="32"/>
      <c r="BS38" s="17"/>
      <c r="BT38" s="17"/>
      <c r="BU38" s="17"/>
      <c r="BV38" s="17"/>
      <c r="BW38" s="17"/>
      <c r="BX38" s="17"/>
      <c r="BY38" s="17"/>
      <c r="BZ38" s="17"/>
      <c r="CA38" s="17"/>
      <c r="CN38" s="251"/>
      <c r="CO38" s="985"/>
      <c r="CP38" s="986"/>
      <c r="CQ38" s="252"/>
      <c r="CR38" s="252"/>
      <c r="CS38" s="252"/>
      <c r="CT38" s="252"/>
      <c r="CU38" s="252"/>
      <c r="CV38" s="252"/>
      <c r="CW38" s="253"/>
      <c r="DP38" s="2136" t="str">
        <f>IF(AND(BB19&lt;&gt;"",BA20&lt;&gt;0),BB19,"")</f>
        <v/>
      </c>
      <c r="DV38" s="299"/>
      <c r="DX38" s="2131"/>
      <c r="ED38" s="299"/>
    </row>
    <row r="39" spans="1:201" ht="17.100000000000001" customHeight="1" x14ac:dyDescent="0.15">
      <c r="J39" s="34"/>
      <c r="K39" s="34"/>
      <c r="N39" s="34" t="s">
        <v>1</v>
      </c>
      <c r="AN39" s="34"/>
      <c r="BN39" s="34" t="s">
        <v>1</v>
      </c>
      <c r="BQ39" s="34"/>
      <c r="BR39" s="34"/>
      <c r="DP39" s="2136" t="str">
        <f>IF(AND(BB66&lt;&gt;"",BA67&lt;&gt;0),BB66,"")</f>
        <v/>
      </c>
      <c r="DV39" s="299"/>
      <c r="DX39" s="2131"/>
      <c r="ED39" s="299"/>
    </row>
    <row r="40" spans="1:201" ht="17.100000000000001" customHeight="1" thickBot="1" x14ac:dyDescent="0.2">
      <c r="B40" s="23"/>
      <c r="C40" s="23"/>
      <c r="D40" s="23"/>
      <c r="E40" s="23"/>
      <c r="F40" s="23"/>
      <c r="G40" s="23"/>
      <c r="H40" s="23"/>
      <c r="I40" s="23"/>
      <c r="J40" s="1012"/>
      <c r="K40" s="1012"/>
      <c r="L40" s="23"/>
      <c r="M40" s="23"/>
      <c r="N40" s="1012" t="s">
        <v>1</v>
      </c>
      <c r="O40" s="23"/>
      <c r="P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1012" t="s">
        <v>1</v>
      </c>
      <c r="BO40" s="23"/>
      <c r="BP40" s="23"/>
      <c r="BQ40" s="1012"/>
      <c r="BR40" s="1012"/>
      <c r="BS40" s="23"/>
      <c r="BT40" s="23"/>
      <c r="BU40" s="23"/>
      <c r="BV40" s="23"/>
      <c r="BW40" s="23"/>
      <c r="BZ40" s="2549"/>
      <c r="DP40" s="2136" t="str">
        <f>IF(AND(BB68&lt;&gt;"",BA69&lt;&gt;0),BB68,"")</f>
        <v/>
      </c>
      <c r="DV40" s="299"/>
      <c r="DX40" s="2131"/>
      <c r="ED40" s="299"/>
    </row>
    <row r="41" spans="1:201" ht="17.100000000000001" customHeight="1" thickTop="1" thickBot="1" x14ac:dyDescent="0.25">
      <c r="B41" s="4948" t="s">
        <v>1279</v>
      </c>
      <c r="C41" s="4948"/>
      <c r="D41" s="4948"/>
      <c r="E41" s="4948"/>
      <c r="F41" s="4948"/>
      <c r="G41" s="4948"/>
      <c r="H41" s="4948"/>
      <c r="I41" s="4948"/>
      <c r="J41" s="4948"/>
      <c r="K41" s="4948"/>
      <c r="L41" s="4948"/>
      <c r="M41" s="4948"/>
      <c r="N41" s="4948"/>
      <c r="O41" s="4948"/>
      <c r="P41" s="4948"/>
      <c r="Q41" s="4948"/>
      <c r="R41" s="4948"/>
      <c r="S41" s="4948"/>
      <c r="T41" s="678"/>
      <c r="U41" s="4904" t="s">
        <v>133</v>
      </c>
      <c r="V41" s="4905"/>
      <c r="W41" s="4905"/>
      <c r="X41" s="4905"/>
      <c r="Y41" s="4905"/>
      <c r="Z41" s="4905"/>
      <c r="AA41" s="4905"/>
      <c r="AB41" s="4905"/>
      <c r="AC41" s="4905"/>
      <c r="AD41" s="4905"/>
      <c r="AE41" s="4905"/>
      <c r="AF41" s="4905"/>
      <c r="AG41" s="4905"/>
      <c r="AH41" s="4905"/>
      <c r="AI41" s="4905"/>
      <c r="AJ41" s="4905"/>
      <c r="AK41" s="4905"/>
      <c r="AL41" s="4905"/>
      <c r="AM41" s="4905"/>
      <c r="AN41" s="4905"/>
      <c r="AO41" s="4905"/>
      <c r="AP41" s="4905"/>
      <c r="AQ41" s="4905"/>
      <c r="AR41" s="4905"/>
      <c r="AS41" s="4905"/>
      <c r="AT41" s="4905"/>
      <c r="AU41" s="4905"/>
      <c r="AV41" s="4905"/>
      <c r="AW41" s="4905"/>
      <c r="AX41" s="4905"/>
      <c r="AY41" s="4905"/>
      <c r="AZ41" s="4905"/>
      <c r="BA41" s="4905"/>
      <c r="BB41" s="4905"/>
      <c r="BC41" s="4905"/>
      <c r="BD41" s="4905"/>
      <c r="BE41" s="4905"/>
      <c r="BF41" s="4905"/>
      <c r="BG41" s="4906"/>
      <c r="BH41" s="678"/>
      <c r="BI41" s="4948" t="s">
        <v>1278</v>
      </c>
      <c r="BJ41" s="4948"/>
      <c r="BK41" s="4948"/>
      <c r="BL41" s="4948"/>
      <c r="BM41" s="4948"/>
      <c r="BN41" s="4948"/>
      <c r="BO41" s="4948"/>
      <c r="BP41" s="4948"/>
      <c r="BQ41" s="4948"/>
      <c r="BR41" s="4948"/>
      <c r="BS41" s="4948"/>
      <c r="BT41" s="4948"/>
      <c r="BU41" s="4948"/>
      <c r="BV41" s="4948"/>
      <c r="BW41" s="4948"/>
      <c r="BX41" s="4948"/>
      <c r="BY41" s="4948"/>
      <c r="BZ41" s="4948"/>
      <c r="CG41" s="2591"/>
      <c r="CH41" s="2591"/>
      <c r="CJ41" s="38"/>
      <c r="CN41" s="38"/>
      <c r="CZ41" s="2591"/>
      <c r="DA41" s="2591"/>
      <c r="DB41" s="2591"/>
      <c r="DC41" s="2591"/>
      <c r="DP41" s="2136" t="str">
        <f>IF(AND(BB70&lt;&gt;"",BA71&lt;&gt;0),BB70,"")</f>
        <v/>
      </c>
      <c r="DV41" s="299"/>
      <c r="DX41" s="2131"/>
      <c r="ED41" s="299"/>
    </row>
    <row r="42" spans="1:201" ht="17.100000000000001" customHeight="1" thickTop="1" thickBot="1" x14ac:dyDescent="0.25">
      <c r="B42" s="4948"/>
      <c r="C42" s="4948"/>
      <c r="D42" s="4948"/>
      <c r="E42" s="4948"/>
      <c r="F42" s="4948"/>
      <c r="G42" s="4948"/>
      <c r="H42" s="4948"/>
      <c r="I42" s="4948"/>
      <c r="J42" s="4948"/>
      <c r="K42" s="4948"/>
      <c r="L42" s="4948"/>
      <c r="M42" s="4948"/>
      <c r="N42" s="4948"/>
      <c r="O42" s="4948"/>
      <c r="P42" s="4948"/>
      <c r="Q42" s="4948"/>
      <c r="R42" s="4948"/>
      <c r="S42" s="4948"/>
      <c r="T42" s="23"/>
      <c r="U42" s="4936"/>
      <c r="V42" s="4937"/>
      <c r="W42" s="4937"/>
      <c r="X42" s="4937"/>
      <c r="Y42" s="4937"/>
      <c r="Z42" s="4937"/>
      <c r="AA42" s="4937"/>
      <c r="AB42" s="4937"/>
      <c r="AC42" s="4937"/>
      <c r="AD42" s="4937"/>
      <c r="AE42" s="4937"/>
      <c r="AF42" s="4937"/>
      <c r="AG42" s="4937"/>
      <c r="AH42" s="4937"/>
      <c r="AI42" s="4937"/>
      <c r="AJ42" s="4937"/>
      <c r="AK42" s="4937"/>
      <c r="AL42" s="4937"/>
      <c r="AM42" s="4937"/>
      <c r="AN42" s="4937"/>
      <c r="AO42" s="4937"/>
      <c r="AP42" s="4937"/>
      <c r="AQ42" s="4937"/>
      <c r="AR42" s="4937"/>
      <c r="AS42" s="4937"/>
      <c r="AT42" s="4937"/>
      <c r="AU42" s="4937"/>
      <c r="AV42" s="4937"/>
      <c r="AW42" s="4937"/>
      <c r="AX42" s="4937"/>
      <c r="AY42" s="4937"/>
      <c r="AZ42" s="4937"/>
      <c r="BA42" s="4937"/>
      <c r="BB42" s="4937"/>
      <c r="BC42" s="4937"/>
      <c r="BD42" s="4937"/>
      <c r="BE42" s="4937"/>
      <c r="BF42" s="4937"/>
      <c r="BG42" s="4938"/>
      <c r="BH42" s="23"/>
      <c r="BI42" s="4948"/>
      <c r="BJ42" s="4948"/>
      <c r="BK42" s="4948"/>
      <c r="BL42" s="4948"/>
      <c r="BM42" s="4948"/>
      <c r="BN42" s="4948"/>
      <c r="BO42" s="4948"/>
      <c r="BP42" s="4948"/>
      <c r="BQ42" s="4948"/>
      <c r="BR42" s="4948"/>
      <c r="BS42" s="4948"/>
      <c r="BT42" s="4948"/>
      <c r="BU42" s="4948"/>
      <c r="BV42" s="4948"/>
      <c r="BW42" s="4948"/>
      <c r="BX42" s="4948"/>
      <c r="BY42" s="4948"/>
      <c r="BZ42" s="4948"/>
      <c r="CC42" s="1741" t="s">
        <v>1111</v>
      </c>
      <c r="CG42" s="2591"/>
      <c r="CH42" s="2591"/>
      <c r="CI42" s="28"/>
      <c r="CJ42" s="28"/>
      <c r="CK42" s="28"/>
      <c r="CL42" s="28"/>
      <c r="CM42" s="28"/>
      <c r="CN42" s="28"/>
      <c r="CO42" s="28"/>
      <c r="CP42" s="28"/>
      <c r="CZ42" s="2591"/>
      <c r="DA42" s="2591"/>
      <c r="DB42" s="2591"/>
      <c r="DC42" s="2591"/>
      <c r="DP42" s="2136" t="str">
        <f>IF(AND(BB72&lt;&gt;"",BA73&lt;&gt;0),BB72,"")</f>
        <v/>
      </c>
      <c r="DV42" s="299"/>
      <c r="DX42" s="2131"/>
      <c r="ED42" s="299"/>
    </row>
    <row r="43" spans="1:201" ht="17.100000000000001" customHeight="1" thickTop="1" thickBot="1" x14ac:dyDescent="0.25">
      <c r="B43" s="2121"/>
      <c r="C43" s="2122"/>
      <c r="D43" s="2122"/>
      <c r="E43" s="2122"/>
      <c r="F43" s="2122"/>
      <c r="G43" s="2122"/>
      <c r="H43" s="2122"/>
      <c r="I43" s="2122"/>
      <c r="J43" s="2122"/>
      <c r="K43" s="2122"/>
      <c r="L43" s="2122"/>
      <c r="M43" s="2122"/>
      <c r="N43" s="2122"/>
      <c r="O43" s="2122"/>
      <c r="P43" s="2122"/>
      <c r="Q43" s="2122"/>
      <c r="R43" s="2122"/>
      <c r="S43" s="2123"/>
      <c r="T43" s="23"/>
      <c r="U43" s="1014"/>
      <c r="V43" s="1014"/>
      <c r="W43" s="1014"/>
      <c r="X43" s="1015"/>
      <c r="Y43" s="1016"/>
      <c r="Z43" s="1016"/>
      <c r="AA43" s="1016"/>
      <c r="AB43" s="1016"/>
      <c r="AC43" s="1016"/>
      <c r="AD43" s="1016"/>
      <c r="AE43" s="1016"/>
      <c r="AF43" s="1016"/>
      <c r="AG43" s="1016"/>
      <c r="AH43" s="1016"/>
      <c r="AI43" s="1016"/>
      <c r="AJ43" s="1016"/>
      <c r="AK43" s="1016"/>
      <c r="AL43" s="1016"/>
      <c r="AM43" s="1016"/>
      <c r="AN43" s="1016"/>
      <c r="AO43" s="1016"/>
      <c r="AP43" s="1016"/>
      <c r="AQ43" s="1016"/>
      <c r="AR43" s="1016"/>
      <c r="AS43" s="1016"/>
      <c r="AT43" s="1016"/>
      <c r="AU43" s="1016"/>
      <c r="AV43" s="1016"/>
      <c r="AW43" s="1016"/>
      <c r="AX43" s="1016"/>
      <c r="AY43" s="1016"/>
      <c r="AZ43" s="1016"/>
      <c r="BA43" s="1016"/>
      <c r="BB43" s="1016"/>
      <c r="BC43" s="1016"/>
      <c r="BD43" s="1016"/>
      <c r="BE43" s="1016"/>
      <c r="BF43" s="1016"/>
      <c r="BG43" s="1017"/>
      <c r="BH43" s="743"/>
      <c r="BI43" s="1013"/>
      <c r="BJ43" s="1013"/>
      <c r="BK43" s="1013"/>
      <c r="BL43" s="1013"/>
      <c r="BM43" s="1013"/>
      <c r="BN43" s="1013"/>
      <c r="BO43" s="1013"/>
      <c r="BP43" s="1013"/>
      <c r="BQ43" s="1013"/>
      <c r="BR43" s="1013"/>
      <c r="BS43" s="1013"/>
      <c r="BT43" s="1013"/>
      <c r="BU43" s="1013"/>
      <c r="BV43" s="1013"/>
      <c r="BW43" s="1013"/>
      <c r="BX43" s="1013"/>
      <c r="BY43" s="2491"/>
      <c r="BZ43" s="1013"/>
      <c r="CC43" s="4957" t="e">
        <f ca="1">IF('^'!$BK$45="A C T I V E",TODAY(),'^'!$CC$58)</f>
        <v>#VALUE!</v>
      </c>
      <c r="CD43" s="4957"/>
      <c r="CE43" s="4957"/>
      <c r="CG43" s="2591"/>
      <c r="CH43" s="2591"/>
      <c r="CI43" s="28"/>
      <c r="CJ43" s="28"/>
      <c r="CK43" s="28"/>
      <c r="CL43" s="28"/>
      <c r="CM43" s="28"/>
      <c r="CN43" s="28"/>
      <c r="CO43" s="28"/>
      <c r="CP43" s="28"/>
      <c r="CZ43" s="2591"/>
      <c r="DA43" s="2591"/>
      <c r="DB43" s="2591"/>
      <c r="DC43" s="2591"/>
      <c r="DP43" s="2136" t="str">
        <f>IF(AND(BB74&lt;&gt;"",BA75&lt;&gt;0),BB74,"")</f>
        <v/>
      </c>
      <c r="DV43" s="299"/>
      <c r="DX43" s="2131"/>
      <c r="ED43" s="299"/>
      <c r="EW43" s="301">
        <v>1</v>
      </c>
      <c r="EX43" s="2483">
        <v>2</v>
      </c>
      <c r="EY43" s="2483">
        <v>3</v>
      </c>
      <c r="EZ43" s="2483">
        <v>4</v>
      </c>
      <c r="FA43" s="2483">
        <v>5</v>
      </c>
      <c r="FB43" s="301">
        <v>6</v>
      </c>
      <c r="FC43" s="2483">
        <v>7</v>
      </c>
      <c r="FD43" s="2483">
        <v>8</v>
      </c>
      <c r="FE43" s="2484"/>
      <c r="FF43" s="301">
        <v>1</v>
      </c>
      <c r="FG43" s="2483">
        <v>2</v>
      </c>
      <c r="FH43" s="2483">
        <v>3</v>
      </c>
      <c r="FI43" s="2483">
        <v>4</v>
      </c>
      <c r="FJ43" s="2485">
        <v>5</v>
      </c>
      <c r="GM43" s="301"/>
      <c r="GN43" s="2483"/>
    </row>
    <row r="44" spans="1:201" ht="17.100000000000001" customHeight="1" thickTop="1" thickBot="1" x14ac:dyDescent="0.3">
      <c r="B44" s="2121"/>
      <c r="C44" s="4959" t="str" cm="1">
        <f t="array" ref="C44">_xlfn.IFS(COUNTA(C45:P48)=1,"First Language",COUNTA(C45:P48)&gt;=2,"First Languages",TRUE,"First Language/s")</f>
        <v>First Language</v>
      </c>
      <c r="D44" s="4960"/>
      <c r="E44" s="4960"/>
      <c r="F44" s="4960"/>
      <c r="G44" s="4960"/>
      <c r="H44" s="4960"/>
      <c r="I44" s="4960"/>
      <c r="J44" s="4960"/>
      <c r="K44" s="4960"/>
      <c r="L44" s="4960"/>
      <c r="M44" s="4960"/>
      <c r="N44" s="4960"/>
      <c r="O44" s="4960"/>
      <c r="P44" s="4960"/>
      <c r="Q44" s="4939" t="s">
        <v>1280</v>
      </c>
      <c r="R44" s="4939"/>
      <c r="S44" s="2123"/>
      <c r="T44" s="23"/>
      <c r="U44" s="1014"/>
      <c r="V44" s="1015"/>
      <c r="W44" s="1016"/>
      <c r="X44" s="1016"/>
      <c r="Y44" s="1016"/>
      <c r="Z44" s="1016"/>
      <c r="AA44" s="1016"/>
      <c r="AB44" s="1016"/>
      <c r="AC44" s="1141"/>
      <c r="AD44" s="1141"/>
      <c r="AE44" s="1141"/>
      <c r="AF44" s="1141"/>
      <c r="AG44" s="1141"/>
      <c r="AH44" s="1141"/>
      <c r="AI44" s="1141"/>
      <c r="AJ44" s="1141"/>
      <c r="AK44" s="1141"/>
      <c r="AL44" s="2256"/>
      <c r="AM44" s="1141"/>
      <c r="AN44" s="1141"/>
      <c r="AO44" s="1141"/>
      <c r="AP44" s="1141"/>
      <c r="AQ44" s="1141"/>
      <c r="AR44" s="1141"/>
      <c r="AS44" s="1141"/>
      <c r="AT44" s="1141"/>
      <c r="AU44" s="1141"/>
      <c r="AV44" s="2256"/>
      <c r="AW44" s="1141"/>
      <c r="AX44" s="1141"/>
      <c r="AY44" s="1141"/>
      <c r="AZ44" s="1141"/>
      <c r="BA44" s="1141"/>
      <c r="BB44" s="1141"/>
      <c r="BC44" s="1141"/>
      <c r="BD44" s="1141"/>
      <c r="BE44" s="1141"/>
      <c r="BF44" s="2256"/>
      <c r="BG44" s="1017"/>
      <c r="BH44" s="743"/>
      <c r="BI44" s="1013"/>
      <c r="BJ44" s="4946" t="s">
        <v>130</v>
      </c>
      <c r="BK44" s="4947"/>
      <c r="BL44" s="4947"/>
      <c r="BM44" s="4947"/>
      <c r="BN44" s="4947"/>
      <c r="BO44" s="4947"/>
      <c r="BP44" s="4947"/>
      <c r="BQ44" s="4949" t="s">
        <v>1404</v>
      </c>
      <c r="BR44" s="4950"/>
      <c r="BS44" s="4950"/>
      <c r="BT44" s="4955" t="s">
        <v>137</v>
      </c>
      <c r="BU44" s="4955"/>
      <c r="BV44" s="4956"/>
      <c r="BW44" s="4949" t="s">
        <v>1564</v>
      </c>
      <c r="BX44" s="4950"/>
      <c r="BY44" s="4951"/>
      <c r="BZ44" s="1013"/>
      <c r="CG44" s="2591"/>
      <c r="CH44" s="2591"/>
      <c r="CZ44" s="2591"/>
      <c r="DA44" s="2591"/>
      <c r="DB44" s="2591"/>
      <c r="DC44" s="2591"/>
      <c r="DF44" s="377" t="s">
        <v>1545</v>
      </c>
      <c r="DJ44" s="377" t="s">
        <v>1546</v>
      </c>
      <c r="DP44" s="2136" t="str">
        <f>IF(AND(BB76&lt;&gt;"",BA77&lt;&gt;0),BB76,"")</f>
        <v/>
      </c>
      <c r="DV44" s="299"/>
      <c r="DX44" s="2131"/>
      <c r="ED44" s="299"/>
      <c r="EG44" s="429" t="s">
        <v>1404</v>
      </c>
      <c r="EI44" s="429" t="s">
        <v>1565</v>
      </c>
      <c r="EL44" s="429"/>
      <c r="EQ44" s="382" t="s">
        <v>1547</v>
      </c>
      <c r="EW44" s="377" t="s">
        <v>1533</v>
      </c>
      <c r="EZ44" s="35"/>
      <c r="FA44" s="35"/>
      <c r="FB44" s="377"/>
      <c r="FL44" s="377" t="s">
        <v>135</v>
      </c>
      <c r="FP44" s="377" t="s">
        <v>408</v>
      </c>
      <c r="FU44" s="377" t="s">
        <v>2102</v>
      </c>
      <c r="FZ44" s="377" t="s">
        <v>2103</v>
      </c>
      <c r="GC44" s="377"/>
      <c r="GD44" s="377" t="s">
        <v>2104</v>
      </c>
      <c r="GH44" s="2483">
        <v>1</v>
      </c>
      <c r="GI44" s="301">
        <v>2</v>
      </c>
      <c r="GJ44" s="2483">
        <v>3</v>
      </c>
      <c r="GK44" s="2483">
        <v>4</v>
      </c>
      <c r="GL44" s="2483">
        <v>5</v>
      </c>
      <c r="GM44" s="301">
        <v>6</v>
      </c>
      <c r="GN44" s="2483">
        <v>7</v>
      </c>
      <c r="GO44" s="2483">
        <v>8</v>
      </c>
      <c r="GP44" s="301">
        <v>9</v>
      </c>
      <c r="GQ44" s="301">
        <v>10</v>
      </c>
      <c r="GR44" s="2483">
        <v>11</v>
      </c>
      <c r="GS44" s="2483">
        <v>12</v>
      </c>
    </row>
    <row r="45" spans="1:201" ht="17.100000000000001" customHeight="1" thickTop="1" thickBot="1" x14ac:dyDescent="0.3">
      <c r="B45" s="2121"/>
      <c r="C45" s="4974" t="s">
        <v>883</v>
      </c>
      <c r="D45" s="4974"/>
      <c r="E45" s="4974"/>
      <c r="F45" s="4974"/>
      <c r="G45" s="4974"/>
      <c r="H45" s="4974"/>
      <c r="I45" s="4974"/>
      <c r="J45" s="4974"/>
      <c r="K45" s="4974"/>
      <c r="L45" s="4974"/>
      <c r="M45" s="4974"/>
      <c r="N45" s="4974"/>
      <c r="O45" s="4974"/>
      <c r="P45" s="4974"/>
      <c r="Q45" s="4973" t="s">
        <v>118</v>
      </c>
      <c r="R45" s="4973"/>
      <c r="S45" s="2123"/>
      <c r="T45" s="23"/>
      <c r="U45" s="1014"/>
      <c r="V45" s="1015"/>
      <c r="W45" s="1016"/>
      <c r="X45" s="1016"/>
      <c r="Y45" s="1016"/>
      <c r="Z45" s="1016"/>
      <c r="AA45" s="1016"/>
      <c r="AB45" s="1016"/>
      <c r="AC45" s="1141"/>
      <c r="AD45" s="1141"/>
      <c r="AE45" s="1141"/>
      <c r="AF45" s="1141"/>
      <c r="AG45" s="1141"/>
      <c r="AH45" s="1141"/>
      <c r="AI45" s="1141"/>
      <c r="AJ45" s="1141"/>
      <c r="AK45" s="1141"/>
      <c r="AL45" s="2256"/>
      <c r="AM45" s="1141"/>
      <c r="AN45" s="1141"/>
      <c r="AO45" s="1141"/>
      <c r="AP45" s="1141"/>
      <c r="AQ45" s="1141"/>
      <c r="AR45" s="1141"/>
      <c r="AS45" s="1141"/>
      <c r="AT45" s="1141"/>
      <c r="AU45" s="1141"/>
      <c r="AV45" s="2256"/>
      <c r="AW45" s="1141"/>
      <c r="AX45" s="1141"/>
      <c r="AY45" s="1141"/>
      <c r="AZ45" s="1141"/>
      <c r="BA45" s="1141"/>
      <c r="BB45" s="1141"/>
      <c r="BC45" s="1141"/>
      <c r="BD45" s="1141"/>
      <c r="BE45" s="1141"/>
      <c r="BF45" s="2256"/>
      <c r="BG45" s="1017"/>
      <c r="BH45" s="743"/>
      <c r="BI45" s="1013"/>
      <c r="BJ45" s="4923"/>
      <c r="BK45" s="4911"/>
      <c r="BL45" s="4911"/>
      <c r="BM45" s="4911"/>
      <c r="BN45" s="4911"/>
      <c r="BO45" s="4911"/>
      <c r="BP45" s="4911"/>
      <c r="BQ45" s="4875"/>
      <c r="BR45" s="4875"/>
      <c r="BS45" s="4875"/>
      <c r="BT45" s="4884"/>
      <c r="BU45" s="4884"/>
      <c r="BV45" s="4884"/>
      <c r="BW45" s="4885" t="str" cm="1">
        <f t="array" ref="BW45">IF(BJ45="","",_xlfn.IFS(
AND(BQ45="",BT45=""),"",
OR(BQ45="free",BQ45="via friend",BQ45="via family"),"ACTIVE",
AND(BQ45&lt;&gt;"",OR(BT45="ongoing",BT45&gt;=$CC$43)),"ACTIVE",
AND(BQ45&lt;&gt;"",BT45=""),"INACTIVE",
TRUE,"EXPIRED"
))</f>
        <v/>
      </c>
      <c r="BX45" s="4885"/>
      <c r="BY45" s="4885"/>
      <c r="BZ45" s="2490"/>
      <c r="CG45" s="2591"/>
      <c r="CH45" s="2591"/>
      <c r="CZ45" s="2591"/>
      <c r="DA45" s="2591"/>
      <c r="DB45" s="2591"/>
      <c r="DC45" s="2591"/>
      <c r="DF45" s="2466"/>
      <c r="DG45" s="2467"/>
      <c r="DH45" s="2468"/>
      <c r="DJ45" s="2466"/>
      <c r="DK45" s="2467"/>
      <c r="DL45" s="2468"/>
      <c r="DP45" s="2136" t="str">
        <f>IF(AND(BB78&lt;&gt;"",BA79&lt;&gt;0),BB78,"")</f>
        <v/>
      </c>
      <c r="DV45" s="299"/>
      <c r="DX45" s="2131"/>
      <c r="ED45" s="299"/>
      <c r="EG45" s="2495" t="s">
        <v>1551</v>
      </c>
      <c r="EH45" s="2496"/>
      <c r="EI45" s="2481" t="s">
        <v>1569</v>
      </c>
      <c r="EJ45" s="2492"/>
      <c r="EL45" s="2463" t="str" cm="1">
        <f t="array" ref="EL45:EL67">IFERROR(_xlfn._xlws.FILTER($EQ$45:$EQ$67,$EQ$45:$EQ$67&lt;&gt;""),"")</f>
        <v>BBC iPlayer</v>
      </c>
      <c r="EM45" s="2464"/>
      <c r="EN45" s="2464"/>
      <c r="EO45" s="2464"/>
      <c r="EP45" s="2465"/>
      <c r="EQ45" s="2463" t="str">
        <f>IF(_xlfn.IFNA(VLOOKUP(EW45,$FF$45:$FJ$58,5,FALSE),0)=0,EW45,"")</f>
        <v>BBC iPlayer</v>
      </c>
      <c r="ER45" s="2464"/>
      <c r="ES45" s="2464"/>
      <c r="ET45" s="2464"/>
      <c r="EU45" s="2465"/>
      <c r="EW45" s="2463" t="s">
        <v>1125</v>
      </c>
      <c r="EX45" s="2464"/>
      <c r="EY45" s="2464"/>
      <c r="EZ45" s="2464"/>
      <c r="FA45" s="2465"/>
      <c r="FB45" s="2466" t="s">
        <v>1532</v>
      </c>
      <c r="FC45" s="2467"/>
      <c r="FD45" s="2468"/>
      <c r="FF45" s="2463">
        <f t="shared" ref="FF45:FF58" si="41">BJ45</f>
        <v>0</v>
      </c>
      <c r="FG45" s="2464"/>
      <c r="FH45" s="2464"/>
      <c r="FI45" s="2464"/>
      <c r="FJ45" s="2478">
        <v>1</v>
      </c>
      <c r="FL45" s="2466" t="str">
        <f>IF(BW45="ACTIVE",IFERROR(VLOOKUP(FF45,$EW$45:$FD$67,6,FALSE),FF45),"")</f>
        <v/>
      </c>
      <c r="FM45" s="2467"/>
      <c r="FN45" s="2468"/>
      <c r="FP45" s="2466" t="str">
        <f>IF(BW45="ACTIVE",IFERROR(VLOOKUP(FF45,$EW$45:$FD$67,6,FALSE),FF45),"")</f>
        <v/>
      </c>
      <c r="FQ45" s="2467"/>
      <c r="FR45" s="2468"/>
      <c r="FU45" s="2463" t="str">
        <f>IF(BW45="ACTIVE",BJ45,"")</f>
        <v/>
      </c>
      <c r="FV45" s="2464"/>
      <c r="FW45" s="2464"/>
      <c r="FX45" s="2464"/>
      <c r="FY45" s="3123"/>
      <c r="FZ45" s="3131" t="str" cm="1">
        <f t="array" ref="FZ45">_xlfn.IFS(GC45="","",GC45&lt;=7,"expires soon",OR(GC45&gt;7,GC45="#"),GC45&amp;"d",TRUE,"")</f>
        <v/>
      </c>
      <c r="GA45" s="2464"/>
      <c r="GB45" s="3125"/>
      <c r="GC45" s="3128" t="str">
        <f>IF(BW45="ACTIVE",IF(OR(BT45="",BT45=$EI$45,BT45=$EI$46),"#",_xlfn.DAYS(BT45,$CC$43)),"")</f>
        <v/>
      </c>
      <c r="GD45" s="3131" t="str" cm="1">
        <f t="array" ref="GD45">_xlfn.IFS(GC45="","",GC45="#","ongoing",GC45=0,"last day",GC45=1,GC45&amp;" day left",GC45&gt;=2,GC45&amp;" days left",TRUE,"")</f>
        <v/>
      </c>
      <c r="GE45" s="3132"/>
      <c r="GF45" s="3133"/>
      <c r="GH45" s="3140">
        <v>1</v>
      </c>
      <c r="GI45" s="3143" t="e" cm="1" vm="1">
        <f t="array" ref="GI45">_xlfn._xlws.FILTER($FU$45:$FU$58,$FU$45:$FU$58&lt;&gt;"")</f>
        <v>#VALUE!</v>
      </c>
      <c r="GJ45" s="3123"/>
      <c r="GK45" s="675"/>
      <c r="GL45" s="677"/>
      <c r="GM45" s="3143" t="e" cm="1" vm="1">
        <f t="array" ref="GM45">_xlfn._xlws.FILTER($FZ$45:$FZ$58,$FZ$45:$FZ$58&lt;&gt;"")</f>
        <v>#VALUE!</v>
      </c>
      <c r="GN45" s="675"/>
      <c r="GO45" s="677"/>
      <c r="GP45" s="3143" t="e" cm="1" vm="1">
        <f t="array" ref="GP45">_xlfn._xlws.FILTER($GC$45:$GC$58,$GC$45:$GC$58&lt;&gt;"")</f>
        <v>#VALUE!</v>
      </c>
      <c r="GQ45" s="3143" t="e" cm="1" vm="1">
        <f t="array" ref="GQ45">_xlfn._xlws.FILTER($GD$45:$GD$58,$GD$45:$GD$58&lt;&gt;"")</f>
        <v>#VALUE!</v>
      </c>
      <c r="GR45" s="3146"/>
      <c r="GS45" s="3147"/>
    </row>
    <row r="46" spans="1:201" ht="17.100000000000001" customHeight="1" thickTop="1" thickBot="1" x14ac:dyDescent="0.3">
      <c r="B46" s="2121"/>
      <c r="C46" s="4974"/>
      <c r="D46" s="4974"/>
      <c r="E46" s="4974"/>
      <c r="F46" s="4974"/>
      <c r="G46" s="4974"/>
      <c r="H46" s="4974"/>
      <c r="I46" s="4974"/>
      <c r="J46" s="4974"/>
      <c r="K46" s="4974"/>
      <c r="L46" s="4974"/>
      <c r="M46" s="4974"/>
      <c r="N46" s="4974"/>
      <c r="O46" s="4974"/>
      <c r="P46" s="4974"/>
      <c r="Q46" s="4973"/>
      <c r="R46" s="4973"/>
      <c r="S46" s="2123"/>
      <c r="T46" s="23"/>
      <c r="U46" s="1014"/>
      <c r="V46" s="4929" t="s">
        <v>122</v>
      </c>
      <c r="W46" s="4930"/>
      <c r="X46" s="4944">
        <f>SUM($P8:$Y8,$P10:$Y10,$P12:$Y12,$P14:$Y14,$P16:$Y16,$P18:$Y18,$P18:$Y18,$P20:$Y20,$P67:$Y67,$P69:$Y69,$P71:$Y71,$P73:$Y73,$P75:$Y75,$P77:$Y77,$P79:$Y79,$P81:$Y81,$P83:$Y83,$P85:$Y85,$P87:$Y87,$P89:$Y89,$P91:$Y91,$P93:$Y93)</f>
        <v>0</v>
      </c>
      <c r="Y46" s="4944"/>
      <c r="Z46" s="4941" t="s">
        <v>1234</v>
      </c>
      <c r="AA46" s="4942"/>
      <c r="AB46" s="4943"/>
      <c r="AC46" s="4945" t="str">
        <f t="shared" ref="AC46:BF46" si="42">IF(AC$57&lt;=$X48,"±","")</f>
        <v/>
      </c>
      <c r="AD46" s="4886" t="str">
        <f t="shared" si="42"/>
        <v/>
      </c>
      <c r="AE46" s="4886" t="str">
        <f t="shared" si="42"/>
        <v/>
      </c>
      <c r="AF46" s="4886" t="str">
        <f t="shared" si="42"/>
        <v/>
      </c>
      <c r="AG46" s="4886" t="str">
        <f t="shared" si="42"/>
        <v/>
      </c>
      <c r="AH46" s="4886" t="str">
        <f t="shared" si="42"/>
        <v/>
      </c>
      <c r="AI46" s="4886" t="str">
        <f t="shared" si="42"/>
        <v/>
      </c>
      <c r="AJ46" s="4886" t="str">
        <f t="shared" si="42"/>
        <v/>
      </c>
      <c r="AK46" s="4886" t="str">
        <f t="shared" si="42"/>
        <v/>
      </c>
      <c r="AL46" s="4919" t="str">
        <f t="shared" si="42"/>
        <v/>
      </c>
      <c r="AM46" s="4886" t="str">
        <f t="shared" si="42"/>
        <v/>
      </c>
      <c r="AN46" s="4886" t="str">
        <f t="shared" si="42"/>
        <v/>
      </c>
      <c r="AO46" s="4886" t="str">
        <f t="shared" si="42"/>
        <v/>
      </c>
      <c r="AP46" s="4886" t="str">
        <f t="shared" si="42"/>
        <v/>
      </c>
      <c r="AQ46" s="4886" t="str">
        <f t="shared" si="42"/>
        <v/>
      </c>
      <c r="AR46" s="4886" t="str">
        <f t="shared" si="42"/>
        <v/>
      </c>
      <c r="AS46" s="4886" t="str">
        <f t="shared" si="42"/>
        <v/>
      </c>
      <c r="AT46" s="4886" t="str">
        <f t="shared" si="42"/>
        <v/>
      </c>
      <c r="AU46" s="4886" t="str">
        <f t="shared" si="42"/>
        <v/>
      </c>
      <c r="AV46" s="4919" t="str">
        <f t="shared" si="42"/>
        <v/>
      </c>
      <c r="AW46" s="4886" t="str">
        <f t="shared" si="42"/>
        <v/>
      </c>
      <c r="AX46" s="4886" t="str">
        <f t="shared" si="42"/>
        <v/>
      </c>
      <c r="AY46" s="4886" t="str">
        <f t="shared" si="42"/>
        <v/>
      </c>
      <c r="AZ46" s="4886" t="str">
        <f t="shared" si="42"/>
        <v/>
      </c>
      <c r="BA46" s="4886" t="str">
        <f t="shared" si="42"/>
        <v/>
      </c>
      <c r="BB46" s="4886" t="str">
        <f t="shared" si="42"/>
        <v/>
      </c>
      <c r="BC46" s="4886" t="str">
        <f t="shared" si="42"/>
        <v/>
      </c>
      <c r="BD46" s="4886" t="str">
        <f t="shared" si="42"/>
        <v/>
      </c>
      <c r="BE46" s="4886" t="str">
        <f t="shared" si="42"/>
        <v/>
      </c>
      <c r="BF46" s="4919" t="str">
        <f t="shared" si="42"/>
        <v/>
      </c>
      <c r="BG46" s="1018"/>
      <c r="BH46" s="743"/>
      <c r="BI46" s="1013"/>
      <c r="BJ46" s="4923"/>
      <c r="BK46" s="4911"/>
      <c r="BL46" s="4911"/>
      <c r="BM46" s="4911"/>
      <c r="BN46" s="4911"/>
      <c r="BO46" s="4911"/>
      <c r="BP46" s="4911"/>
      <c r="BQ46" s="4875"/>
      <c r="BR46" s="4875"/>
      <c r="BS46" s="4875"/>
      <c r="BT46" s="4884"/>
      <c r="BU46" s="4884"/>
      <c r="BV46" s="4884"/>
      <c r="BW46" s="4885" t="str" cm="1">
        <f t="array" ref="BW46">IF(BJ46="","",_xlfn.IFS(
AND(BQ46="",BT46=""),"",
OR(BQ46="free",BQ46="via friend",BQ46="via family"),"ACTIVE",
AND(BQ46&lt;&gt;"",OR(BT46="ongoing",BT46&gt;=$CC$43)),"ACTIVE",
AND(BQ46&lt;&gt;"",BT46=""),"INACTIVE",
TRUE,"EXPIRED"
))</f>
        <v/>
      </c>
      <c r="BX46" s="4885"/>
      <c r="BY46" s="4885"/>
      <c r="BZ46" s="2490"/>
      <c r="CC46" s="2592"/>
      <c r="CD46" s="2593"/>
      <c r="CE46" s="2593"/>
      <c r="CF46" s="2593"/>
      <c r="CG46" s="2593"/>
      <c r="CH46" s="2593"/>
      <c r="CI46" s="2593"/>
      <c r="CJ46" s="2593"/>
      <c r="CK46" s="2593"/>
      <c r="CL46" s="2593"/>
      <c r="CM46" s="2593"/>
      <c r="CN46" s="2593"/>
      <c r="CO46" s="2593"/>
      <c r="CP46" s="2593"/>
      <c r="CQ46" s="2593"/>
      <c r="CR46" s="2593"/>
      <c r="CS46" s="2593"/>
      <c r="CT46" s="2593"/>
      <c r="CU46" s="2593"/>
      <c r="CV46" s="2593"/>
      <c r="CW46" s="2593"/>
      <c r="CX46" s="2593"/>
      <c r="CY46" s="2593"/>
      <c r="CZ46" s="2593"/>
      <c r="DA46" s="2593"/>
      <c r="DB46" s="2593"/>
      <c r="DC46" s="2594"/>
      <c r="DF46" s="2466" t="str" cm="1">
        <f t="array" ref="DF46:DF49">_xlfn._xlws.FILTER($FL$45:$FL$62,$FL$45:$FL$62&lt;&gt;"")</f>
        <v>Download</v>
      </c>
      <c r="DG46" s="2467"/>
      <c r="DH46" s="2468"/>
      <c r="DJ46" s="2466" t="str" cm="1">
        <f t="array" ref="DJ46:DJ50">_xlfn._xlws.FILTER($FP$45:$FP$63,$FP$45:$FP$63&lt;&gt;"")</f>
        <v>Cinema</v>
      </c>
      <c r="DK46" s="2467"/>
      <c r="DL46" s="2468"/>
      <c r="DP46" s="2136" t="str">
        <f>IF(AND(BB80&lt;&gt;"",BA81&lt;&gt;0),BB80,"")</f>
        <v/>
      </c>
      <c r="DV46" s="299"/>
      <c r="DX46" s="2131"/>
      <c r="ED46" s="299"/>
      <c r="EG46" s="2482" t="s">
        <v>1552</v>
      </c>
      <c r="EH46" s="681"/>
      <c r="EI46" s="2486" t="s">
        <v>1570</v>
      </c>
      <c r="EJ46" s="2487"/>
      <c r="EL46" s="1599" t="str">
        <v>YouTube Premium</v>
      </c>
      <c r="EM46" s="2458"/>
      <c r="EN46" s="2458"/>
      <c r="EO46" s="2458"/>
      <c r="EP46" s="2459"/>
      <c r="EQ46" s="1599" t="str">
        <f t="shared" ref="EQ46:EQ67" si="43">IF(_xlfn.IFNA(VLOOKUP(EW46,$FF$45:$FJ$58,5,FALSE),0)=0,EW46,"")</f>
        <v>YouTube Premium</v>
      </c>
      <c r="ER46" s="2458"/>
      <c r="ES46" s="2458"/>
      <c r="ET46" s="2458"/>
      <c r="EU46" s="2459"/>
      <c r="EW46" s="1599" t="s">
        <v>164</v>
      </c>
      <c r="EX46" s="2458"/>
      <c r="EY46" s="2458"/>
      <c r="EZ46" s="2458"/>
      <c r="FA46" s="2459"/>
      <c r="FB46" s="2469" t="s">
        <v>1534</v>
      </c>
      <c r="FC46" s="2470"/>
      <c r="FD46" s="2471"/>
      <c r="FF46" s="1599">
        <f t="shared" si="41"/>
        <v>0</v>
      </c>
      <c r="FG46" s="2458"/>
      <c r="FH46" s="2458"/>
      <c r="FI46" s="2458"/>
      <c r="FJ46" s="2479">
        <v>1</v>
      </c>
      <c r="FL46" s="2469" t="str">
        <f t="shared" ref="FL46:FL58" si="44">IF(BW46="ACTIVE",IFERROR(VLOOKUP(FF46,$EW$45:$FD$67,6,FALSE),FF46),"")</f>
        <v/>
      </c>
      <c r="FM46" s="2470"/>
      <c r="FN46" s="2471"/>
      <c r="FP46" s="2469" t="str">
        <f t="shared" ref="FP46:FP58" si="45">IF(BW46="ACTIVE",IFERROR(VLOOKUP(FF46,$EW$45:$FD$67,6,FALSE),FF46),"")</f>
        <v/>
      </c>
      <c r="FQ46" s="2470"/>
      <c r="FR46" s="2471"/>
      <c r="FU46" s="1599" t="str">
        <f>IF(BW46="ACTIVE",BJ46,"")</f>
        <v/>
      </c>
      <c r="FV46" s="2458"/>
      <c r="FW46" s="2458"/>
      <c r="FX46" s="2458"/>
      <c r="FY46" s="2164"/>
      <c r="FZ46" s="3134" t="str" cm="1">
        <f t="array" ref="FZ46">_xlfn.IFS(GC46="","",GC46&lt;=7,"expires soon",OR(GC46&gt;7,GC46="#"),GC46&amp;"d",TRUE,"")</f>
        <v/>
      </c>
      <c r="GA46" s="2448"/>
      <c r="GB46" s="2479"/>
      <c r="GC46" s="3129" t="str">
        <f t="shared" ref="GC46:GC58" si="46">IF(BW46="ACTIVE",IF(OR(BT46="",BT46=$EI$45,BT46=$EI$46),"#",_xlfn.DAYS(BT46,$CC$43)),"")</f>
        <v/>
      </c>
      <c r="GD46" s="3134" t="str" cm="1">
        <f t="array" ref="GD46">_xlfn.IFS(GC46="","",GC46="#","ongoing",GC46=0,"last day",GC46=1,GC46&amp;" day left",GC46&gt;=2,GC46&amp;" days left",TRUE,"")</f>
        <v/>
      </c>
      <c r="GE46" s="262"/>
      <c r="GF46" s="3135"/>
      <c r="GH46" s="3141">
        <v>2</v>
      </c>
      <c r="GI46" s="3144"/>
      <c r="GJ46" s="2164"/>
      <c r="GL46" s="681"/>
      <c r="GM46" s="3144"/>
      <c r="GO46" s="681"/>
      <c r="GP46" s="3144"/>
      <c r="GQ46" s="3144"/>
      <c r="GR46" s="2458"/>
      <c r="GS46" s="3148"/>
    </row>
    <row r="47" spans="1:201" ht="17.100000000000001" customHeight="1" thickTop="1" thickBot="1" x14ac:dyDescent="0.3">
      <c r="B47" s="2121"/>
      <c r="C47" s="4974"/>
      <c r="D47" s="4974"/>
      <c r="E47" s="4974"/>
      <c r="F47" s="4974"/>
      <c r="G47" s="4974"/>
      <c r="H47" s="4974"/>
      <c r="I47" s="4974"/>
      <c r="J47" s="4974"/>
      <c r="K47" s="4974"/>
      <c r="L47" s="4974"/>
      <c r="M47" s="4974"/>
      <c r="N47" s="4974"/>
      <c r="O47" s="4974"/>
      <c r="P47" s="4974"/>
      <c r="Q47" s="4973"/>
      <c r="R47" s="4973"/>
      <c r="S47" s="2123"/>
      <c r="T47" s="23"/>
      <c r="U47" s="1014"/>
      <c r="V47" s="4931"/>
      <c r="W47" s="4932"/>
      <c r="X47" s="4944"/>
      <c r="Y47" s="4944"/>
      <c r="Z47" s="4941"/>
      <c r="AA47" s="4942"/>
      <c r="AB47" s="4943"/>
      <c r="AC47" s="4945"/>
      <c r="AD47" s="4886"/>
      <c r="AE47" s="4886"/>
      <c r="AF47" s="4886"/>
      <c r="AG47" s="4886"/>
      <c r="AH47" s="4886"/>
      <c r="AI47" s="4886"/>
      <c r="AJ47" s="4886"/>
      <c r="AK47" s="4886"/>
      <c r="AL47" s="4919"/>
      <c r="AM47" s="4886"/>
      <c r="AN47" s="4886"/>
      <c r="AO47" s="4886"/>
      <c r="AP47" s="4886"/>
      <c r="AQ47" s="4886"/>
      <c r="AR47" s="4886"/>
      <c r="AS47" s="4886"/>
      <c r="AT47" s="4886"/>
      <c r="AU47" s="4886"/>
      <c r="AV47" s="4919"/>
      <c r="AW47" s="4886"/>
      <c r="AX47" s="4886"/>
      <c r="AY47" s="4886"/>
      <c r="AZ47" s="4886"/>
      <c r="BA47" s="4886"/>
      <c r="BB47" s="4886"/>
      <c r="BC47" s="4886"/>
      <c r="BD47" s="4886"/>
      <c r="BE47" s="4886"/>
      <c r="BF47" s="4919"/>
      <c r="BG47" s="1018"/>
      <c r="BH47" s="743"/>
      <c r="BI47" s="1013"/>
      <c r="BJ47" s="4923"/>
      <c r="BK47" s="4911"/>
      <c r="BL47" s="4911"/>
      <c r="BM47" s="4911"/>
      <c r="BN47" s="4911"/>
      <c r="BO47" s="4911"/>
      <c r="BP47" s="4911"/>
      <c r="BQ47" s="4875"/>
      <c r="BR47" s="4875"/>
      <c r="BS47" s="4875"/>
      <c r="BT47" s="4884"/>
      <c r="BU47" s="4884"/>
      <c r="BV47" s="4884"/>
      <c r="BW47" s="4885" t="str" cm="1">
        <f t="array" ref="BW47">IF(BJ47="","",_xlfn.IFS(
AND(BQ47="",BT47=""),"",
OR(BQ47="free",BQ47="via friend",BQ47="via family"),"ACTIVE",
AND(BQ47&lt;&gt;"",OR(BT47="ongoing",BT47&gt;=$CC$43)),"ACTIVE",
AND(BQ47&lt;&gt;"",BT47=""),"INACTIVE",
TRUE,"EXPIRED"
))</f>
        <v/>
      </c>
      <c r="BX47" s="4885"/>
      <c r="BY47" s="4885"/>
      <c r="BZ47" s="2490"/>
      <c r="CC47" s="2595"/>
      <c r="CD47" s="2591"/>
      <c r="CE47" s="2591"/>
      <c r="CF47" s="2596" t="s">
        <v>1248</v>
      </c>
      <c r="CG47" s="2597"/>
      <c r="CH47" s="1976" t="s">
        <v>1673</v>
      </c>
      <c r="CI47" s="1976"/>
      <c r="CJ47" s="415"/>
      <c r="CL47" s="2597"/>
      <c r="CM47" s="2597" t="s">
        <v>1674</v>
      </c>
      <c r="CN47" s="2597"/>
      <c r="CO47" s="2597"/>
      <c r="CP47" s="415"/>
      <c r="CQ47" s="2597"/>
      <c r="CR47" s="2597"/>
      <c r="CS47" s="2597"/>
      <c r="CU47" s="1741" t="s">
        <v>922</v>
      </c>
      <c r="CV47" s="2597"/>
      <c r="CW47" s="2597"/>
      <c r="CX47" s="2597"/>
      <c r="CY47" s="2604" t="s">
        <v>501</v>
      </c>
      <c r="CZ47" s="2597"/>
      <c r="DA47" s="2597"/>
      <c r="DB47" s="2597"/>
      <c r="DC47" s="2598"/>
      <c r="DF47" s="2469" t="str">
        <v>Blu-ray</v>
      </c>
      <c r="DG47" s="2470"/>
      <c r="DH47" s="2471"/>
      <c r="DJ47" s="2469" t="str">
        <v>Download</v>
      </c>
      <c r="DK47" s="2470"/>
      <c r="DL47" s="2471"/>
      <c r="DP47" s="2136" t="str">
        <f>IF(AND(BB82&lt;&gt;"",BA83&lt;&gt;0),BB82,"")</f>
        <v/>
      </c>
      <c r="DV47" s="299"/>
      <c r="DX47" s="2131"/>
      <c r="ED47" s="299"/>
      <c r="EG47" s="2482" t="s">
        <v>1553</v>
      </c>
      <c r="EH47" s="681"/>
      <c r="EI47" s="2482"/>
      <c r="EL47" s="1599" t="str">
        <v>Netflix</v>
      </c>
      <c r="EM47" s="2458"/>
      <c r="EN47" s="2458"/>
      <c r="EO47" s="2458"/>
      <c r="EP47" s="2459"/>
      <c r="EQ47" s="1599" t="str">
        <f t="shared" si="43"/>
        <v>Netflix</v>
      </c>
      <c r="ER47" s="2458"/>
      <c r="ES47" s="2458"/>
      <c r="ET47" s="2458"/>
      <c r="EU47" s="2459"/>
      <c r="EW47" s="1599" t="s">
        <v>127</v>
      </c>
      <c r="EX47" s="2458"/>
      <c r="EY47" s="2458"/>
      <c r="EZ47" s="2458"/>
      <c r="FA47" s="2459"/>
      <c r="FB47" s="2469" t="s">
        <v>127</v>
      </c>
      <c r="FC47" s="2470"/>
      <c r="FD47" s="2471"/>
      <c r="FF47" s="1599">
        <f t="shared" si="41"/>
        <v>0</v>
      </c>
      <c r="FG47" s="2458"/>
      <c r="FH47" s="2458"/>
      <c r="FI47" s="2458"/>
      <c r="FJ47" s="2479">
        <v>1</v>
      </c>
      <c r="FL47" s="2469" t="str">
        <f t="shared" si="44"/>
        <v/>
      </c>
      <c r="FM47" s="2470"/>
      <c r="FN47" s="2471"/>
      <c r="FP47" s="2469" t="str">
        <f t="shared" si="45"/>
        <v/>
      </c>
      <c r="FQ47" s="2470"/>
      <c r="FR47" s="2471"/>
      <c r="FU47" s="1599" t="str">
        <f t="shared" ref="FU47:FU58" si="47">IF(BW47="ACTIVE",BJ47,"")</f>
        <v/>
      </c>
      <c r="FV47" s="2458"/>
      <c r="FW47" s="2458"/>
      <c r="FX47" s="2458"/>
      <c r="FY47" s="2164"/>
      <c r="FZ47" s="3134" t="str" cm="1">
        <f t="array" ref="FZ47">_xlfn.IFS(GC47="","",GC47&lt;=7,"expires soon",OR(GC47&gt;7,GC47="#"),GC47&amp;"d",TRUE,"")</f>
        <v/>
      </c>
      <c r="GB47" s="299"/>
      <c r="GC47" s="3129" t="str">
        <f t="shared" si="46"/>
        <v/>
      </c>
      <c r="GD47" s="3134" t="str" cm="1">
        <f t="array" ref="GD47">_xlfn.IFS(GC47="","",GC47="#","ongoing",GC47=0,"last day",GC47=1,GC47&amp;" day left",GC47&gt;=2,GC47&amp;" days left",TRUE,"")</f>
        <v/>
      </c>
      <c r="GE47" s="262"/>
      <c r="GF47" s="3136"/>
      <c r="GH47" s="3141">
        <v>3</v>
      </c>
      <c r="GI47" s="3144"/>
      <c r="GJ47" s="2164"/>
      <c r="GL47" s="681"/>
      <c r="GM47" s="3144"/>
      <c r="GO47" s="681"/>
      <c r="GP47" s="3144"/>
      <c r="GQ47" s="3144"/>
      <c r="GR47" s="2458"/>
      <c r="GS47" s="3148"/>
    </row>
    <row r="48" spans="1:201" ht="17.100000000000001" customHeight="1" thickTop="1" thickBot="1" x14ac:dyDescent="0.3">
      <c r="B48" s="2121"/>
      <c r="C48" s="4974"/>
      <c r="D48" s="4974"/>
      <c r="E48" s="4974"/>
      <c r="F48" s="4974"/>
      <c r="G48" s="4974"/>
      <c r="H48" s="4974"/>
      <c r="I48" s="4974"/>
      <c r="J48" s="4974"/>
      <c r="K48" s="4974"/>
      <c r="L48" s="4974"/>
      <c r="M48" s="4974"/>
      <c r="N48" s="4974"/>
      <c r="O48" s="4974"/>
      <c r="P48" s="4974"/>
      <c r="Q48" s="4973"/>
      <c r="R48" s="4973"/>
      <c r="S48" s="2123"/>
      <c r="T48" s="23"/>
      <c r="U48" s="1143"/>
      <c r="V48" s="1145"/>
      <c r="W48" s="1144" t="s">
        <v>878</v>
      </c>
      <c r="X48" s="4934">
        <f>$CO$25</f>
        <v>0</v>
      </c>
      <c r="Y48" s="4935"/>
      <c r="Z48" s="4977">
        <f>X46-X48</f>
        <v>0</v>
      </c>
      <c r="AA48" s="4978"/>
      <c r="AB48" s="1020"/>
      <c r="AC48" s="1152"/>
      <c r="AD48" s="1152"/>
      <c r="AE48" s="1153"/>
      <c r="AF48" s="1153"/>
      <c r="AG48" s="1153"/>
      <c r="AH48" s="1153"/>
      <c r="AI48" s="1153"/>
      <c r="AJ48" s="1153"/>
      <c r="AK48" s="1153"/>
      <c r="AL48" s="2000"/>
      <c r="AM48" s="1153"/>
      <c r="AN48" s="1153"/>
      <c r="AO48" s="1153"/>
      <c r="AP48" s="1153"/>
      <c r="AQ48" s="1153"/>
      <c r="AR48" s="1153"/>
      <c r="AS48" s="1153"/>
      <c r="AT48" s="1153"/>
      <c r="AU48" s="1153"/>
      <c r="AV48" s="2000"/>
      <c r="AW48" s="1153"/>
      <c r="AX48" s="1153"/>
      <c r="AY48" s="1153"/>
      <c r="AZ48" s="1153"/>
      <c r="BA48" s="1153"/>
      <c r="BB48" s="1153"/>
      <c r="BC48" s="1153"/>
      <c r="BD48" s="1153"/>
      <c r="BE48" s="1153"/>
      <c r="BF48" s="2000"/>
      <c r="BG48" s="1018"/>
      <c r="BH48" s="743"/>
      <c r="BI48" s="1013"/>
      <c r="BJ48" s="4923"/>
      <c r="BK48" s="4911"/>
      <c r="BL48" s="4911"/>
      <c r="BM48" s="4911"/>
      <c r="BN48" s="4911"/>
      <c r="BO48" s="4911"/>
      <c r="BP48" s="4911"/>
      <c r="BQ48" s="4875"/>
      <c r="BR48" s="4875"/>
      <c r="BS48" s="4875"/>
      <c r="BT48" s="4884"/>
      <c r="BU48" s="4884"/>
      <c r="BV48" s="4884"/>
      <c r="BW48" s="4885" t="str" cm="1">
        <f t="array" ref="BW48">IF(BJ48="","",_xlfn.IFS(
AND(BQ48="",BT48=""),"",
OR(BQ48="free",BQ48="via friend",BQ48="via family"),"ACTIVE",
AND(BQ48&lt;&gt;"",OR(BT48="ongoing",BT48&gt;=$CC$43)),"ACTIVE",
AND(BQ48&lt;&gt;"",BT48=""),"INACTIVE",
TRUE,"EXPIRED"
))</f>
        <v/>
      </c>
      <c r="BX48" s="4885"/>
      <c r="BY48" s="4885"/>
      <c r="BZ48" s="2490"/>
      <c r="CC48" s="2595"/>
      <c r="CD48" s="2591"/>
      <c r="CE48" s="2591"/>
      <c r="CF48" s="2596"/>
      <c r="CG48" s="2597"/>
      <c r="CH48" s="2166" t="s">
        <v>1676</v>
      </c>
      <c r="CI48" s="695"/>
      <c r="CJ48" s="298"/>
      <c r="CK48" s="101"/>
      <c r="CL48" s="2597"/>
      <c r="CM48" s="2165" t="s">
        <v>1678</v>
      </c>
      <c r="CN48" s="2597"/>
      <c r="CO48" s="2597"/>
      <c r="CP48" s="435"/>
      <c r="CQ48" s="2597"/>
      <c r="CR48" s="2606" t="s">
        <v>1675</v>
      </c>
      <c r="CS48" s="2597"/>
      <c r="CU48" s="2607" t="s">
        <v>523</v>
      </c>
      <c r="CV48" s="2597"/>
      <c r="CW48" s="36"/>
      <c r="CX48" s="36"/>
      <c r="CY48" s="2606" t="s">
        <v>1677</v>
      </c>
      <c r="CZ48" s="2597"/>
      <c r="DA48" s="2597"/>
      <c r="DB48" s="2606" t="s">
        <v>1689</v>
      </c>
      <c r="DC48" s="2598"/>
      <c r="DF48" s="2469" t="str">
        <v>DVD</v>
      </c>
      <c r="DG48" s="2470"/>
      <c r="DH48" s="2471"/>
      <c r="DJ48" s="2469" t="str">
        <v>Blu-ray</v>
      </c>
      <c r="DK48" s="2470"/>
      <c r="DL48" s="2471"/>
      <c r="DP48" s="2136" t="str">
        <f>IF(AND(BB84&lt;&gt;"",BA85&lt;&gt;0),BB84,"")</f>
        <v/>
      </c>
      <c r="DV48" s="299"/>
      <c r="DX48" s="2131"/>
      <c r="ED48" s="299"/>
      <c r="EG48" s="2482" t="s">
        <v>1549</v>
      </c>
      <c r="EH48" s="681"/>
      <c r="EL48" s="1599" t="str">
        <v>Amazon Prime Video</v>
      </c>
      <c r="EM48" s="2458"/>
      <c r="EN48" s="2458"/>
      <c r="EO48" s="2458"/>
      <c r="EP48" s="2459"/>
      <c r="EQ48" s="1599" t="str">
        <f t="shared" si="43"/>
        <v>Amazon Prime Video</v>
      </c>
      <c r="ER48" s="2458"/>
      <c r="ES48" s="2458"/>
      <c r="ET48" s="2458"/>
      <c r="EU48" s="2459"/>
      <c r="EW48" s="1599" t="s">
        <v>1548</v>
      </c>
      <c r="EX48" s="2458"/>
      <c r="EY48" s="2458"/>
      <c r="EZ48" s="2458"/>
      <c r="FA48" s="2459"/>
      <c r="FB48" s="2469" t="s">
        <v>1408</v>
      </c>
      <c r="FC48" s="2470"/>
      <c r="FD48" s="2471"/>
      <c r="FF48" s="1599">
        <f t="shared" si="41"/>
        <v>0</v>
      </c>
      <c r="FG48" s="2458"/>
      <c r="FH48" s="2458"/>
      <c r="FI48" s="2458"/>
      <c r="FJ48" s="2479">
        <v>1</v>
      </c>
      <c r="FL48" s="2469" t="str">
        <f t="shared" si="44"/>
        <v/>
      </c>
      <c r="FM48" s="2470"/>
      <c r="FN48" s="2471"/>
      <c r="FP48" s="2469" t="str">
        <f t="shared" si="45"/>
        <v/>
      </c>
      <c r="FQ48" s="2470"/>
      <c r="FR48" s="2471"/>
      <c r="FU48" s="1599" t="str">
        <f t="shared" si="47"/>
        <v/>
      </c>
      <c r="FV48" s="2458"/>
      <c r="FW48" s="2458"/>
      <c r="FX48" s="2458"/>
      <c r="FY48" s="2164"/>
      <c r="FZ48" s="3134" t="str" cm="1">
        <f t="array" ref="FZ48">_xlfn.IFS(GC48="","",GC48&lt;=7,"expires soon",OR(GC48&gt;7,GC48="#"),GC48&amp;"d",TRUE,"")</f>
        <v/>
      </c>
      <c r="GB48" s="299"/>
      <c r="GC48" s="3129" t="str">
        <f t="shared" si="46"/>
        <v/>
      </c>
      <c r="GD48" s="3134" t="str" cm="1">
        <f t="array" ref="GD48">_xlfn.IFS(GC48="","",GC48="#","ongoing",GC48=0,"last day",GC48=1,GC48&amp;" day left",GC48&gt;=2,GC48&amp;" days left",TRUE,"")</f>
        <v/>
      </c>
      <c r="GE48" s="262"/>
      <c r="GF48" s="3136"/>
      <c r="GH48" s="3141">
        <v>4</v>
      </c>
      <c r="GI48" s="3144"/>
      <c r="GJ48" s="2164"/>
      <c r="GL48" s="681"/>
      <c r="GM48" s="3144"/>
      <c r="GO48" s="681"/>
      <c r="GP48" s="3144"/>
      <c r="GQ48" s="3144"/>
      <c r="GR48" s="2458"/>
      <c r="GS48" s="3148"/>
    </row>
    <row r="49" spans="2:201" ht="17.100000000000001" customHeight="1" thickTop="1" thickBot="1" x14ac:dyDescent="0.3">
      <c r="B49" s="2121"/>
      <c r="C49" s="2121"/>
      <c r="D49" s="2121"/>
      <c r="E49" s="2121"/>
      <c r="F49" s="2121"/>
      <c r="G49" s="2121"/>
      <c r="H49" s="2121"/>
      <c r="I49" s="2121"/>
      <c r="J49" s="2121"/>
      <c r="K49" s="2121"/>
      <c r="L49" s="2121"/>
      <c r="M49" s="2121"/>
      <c r="N49" s="2121"/>
      <c r="O49" s="2121"/>
      <c r="P49" s="2121"/>
      <c r="Q49" s="2121"/>
      <c r="R49" s="2121"/>
      <c r="S49" s="2123"/>
      <c r="T49" s="23"/>
      <c r="U49" s="1014"/>
      <c r="V49" s="1139"/>
      <c r="W49" s="1140"/>
      <c r="X49" s="1019"/>
      <c r="Y49" s="1019"/>
      <c r="Z49" s="1020"/>
      <c r="AA49" s="1020"/>
      <c r="AB49" s="1020"/>
      <c r="AC49" s="1152"/>
      <c r="AD49" s="1152"/>
      <c r="AE49" s="1153"/>
      <c r="AF49" s="1153"/>
      <c r="AG49" s="1153"/>
      <c r="AH49" s="1153"/>
      <c r="AI49" s="1153"/>
      <c r="AJ49" s="1153"/>
      <c r="AK49" s="1153"/>
      <c r="AL49" s="2000"/>
      <c r="AM49" s="1153"/>
      <c r="AN49" s="1153"/>
      <c r="AO49" s="1153"/>
      <c r="AP49" s="1153"/>
      <c r="AQ49" s="1153"/>
      <c r="AR49" s="1153"/>
      <c r="AS49" s="1153"/>
      <c r="AT49" s="1153"/>
      <c r="AU49" s="1153"/>
      <c r="AV49" s="2000"/>
      <c r="AW49" s="1153"/>
      <c r="AX49" s="1153"/>
      <c r="AY49" s="1153"/>
      <c r="AZ49" s="1153"/>
      <c r="BA49" s="1153"/>
      <c r="BB49" s="1153"/>
      <c r="BC49" s="1153"/>
      <c r="BD49" s="1153"/>
      <c r="BE49" s="1153"/>
      <c r="BF49" s="2000"/>
      <c r="BG49" s="1018"/>
      <c r="BH49" s="743"/>
      <c r="BI49" s="1013"/>
      <c r="BJ49" s="4923"/>
      <c r="BK49" s="4911"/>
      <c r="BL49" s="4911"/>
      <c r="BM49" s="4911"/>
      <c r="BN49" s="4911"/>
      <c r="BO49" s="4911"/>
      <c r="BP49" s="4911"/>
      <c r="BQ49" s="4875"/>
      <c r="BR49" s="4875"/>
      <c r="BS49" s="4875"/>
      <c r="BT49" s="4884"/>
      <c r="BU49" s="4884"/>
      <c r="BV49" s="4884"/>
      <c r="BW49" s="4885" t="str" cm="1">
        <f t="array" ref="BW49">IF(BJ49="","",_xlfn.IFS(
AND(BQ49="",BT49=""),"",
OR(BQ49="free",BQ49="via friend",BQ49="via family"),"ACTIVE",
AND(BQ49&lt;&gt;"",OR(BT49="ongoing",BT49&gt;=$CC$43)),"ACTIVE",
AND(BQ49&lt;&gt;"",BT49=""),"INACTIVE",
TRUE,"EXPIRED"
))</f>
        <v/>
      </c>
      <c r="BX49" s="4885"/>
      <c r="BY49" s="4885"/>
      <c r="BZ49" s="2490"/>
      <c r="CC49" s="2595"/>
      <c r="CD49" s="2591"/>
      <c r="CE49" s="2591"/>
      <c r="CF49" s="2596" t="s">
        <v>134</v>
      </c>
      <c r="CG49" s="2597"/>
      <c r="CH49" s="4890">
        <f>CJ49*60</f>
        <v>1200</v>
      </c>
      <c r="CI49" s="4891"/>
      <c r="CJ49" s="4890">
        <f>RESPITE!$M$132</f>
        <v>20</v>
      </c>
      <c r="CK49" s="4891">
        <f>RESPITE!$M$132</f>
        <v>20</v>
      </c>
      <c r="CL49" s="2597"/>
      <c r="CM49" s="4892">
        <f>data!DZ30</f>
        <v>2024</v>
      </c>
      <c r="CN49" s="4893"/>
      <c r="CO49" s="4892">
        <f>ROUNDDOWN(CM49/60,1)</f>
        <v>33.700000000000003</v>
      </c>
      <c r="CP49" s="4893"/>
      <c r="CQ49" s="2597"/>
      <c r="CR49" s="2605">
        <f>IF(MOD(CM49,2)=0,1,0.5)</f>
        <v>1</v>
      </c>
      <c r="CS49" s="2597"/>
      <c r="CU49" s="4896">
        <f>Z48</f>
        <v>0</v>
      </c>
      <c r="CV49" s="4897"/>
      <c r="CY49" s="2603">
        <f>IF(CU49&gt;CM49,CR49,0)</f>
        <v>0</v>
      </c>
      <c r="CZ49" s="2597"/>
      <c r="DA49" s="2597"/>
      <c r="DB49" s="2605">
        <f>IF(CU49&gt;CM49,1,0)</f>
        <v>0</v>
      </c>
      <c r="DC49" s="2598"/>
      <c r="DF49" s="2469" t="str">
        <v>VHS</v>
      </c>
      <c r="DG49" s="2470"/>
      <c r="DH49" s="2471"/>
      <c r="DJ49" s="2469" t="str">
        <v>DVD</v>
      </c>
      <c r="DK49" s="2470"/>
      <c r="DL49" s="2471"/>
      <c r="DP49" s="2136" t="str">
        <f>IF(AND(BB86&lt;&gt;"",BA87&lt;&gt;0),BB86,"")</f>
        <v/>
      </c>
      <c r="DV49" s="299"/>
      <c r="DX49" s="2131"/>
      <c r="ED49" s="299"/>
      <c r="EG49" s="2482" t="s">
        <v>1550</v>
      </c>
      <c r="EH49" s="681"/>
      <c r="EL49" s="1599" t="str">
        <v>Now Entertainment</v>
      </c>
      <c r="EM49" s="2458"/>
      <c r="EN49" s="2458"/>
      <c r="EO49" s="2458"/>
      <c r="EP49" s="2459"/>
      <c r="EQ49" s="1599" t="str">
        <f t="shared" si="43"/>
        <v>Now Entertainment</v>
      </c>
      <c r="ER49" s="2458"/>
      <c r="ES49" s="2458"/>
      <c r="ET49" s="2458"/>
      <c r="EU49" s="2459"/>
      <c r="EW49" s="1599" t="s">
        <v>141</v>
      </c>
      <c r="EX49" s="2458"/>
      <c r="EY49" s="2458"/>
      <c r="EZ49" s="2458"/>
      <c r="FA49" s="2459"/>
      <c r="FB49" s="2469" t="s">
        <v>1879</v>
      </c>
      <c r="FC49" s="2470"/>
      <c r="FD49" s="2471"/>
      <c r="FF49" s="1599">
        <f t="shared" si="41"/>
        <v>0</v>
      </c>
      <c r="FG49" s="2458"/>
      <c r="FH49" s="2458"/>
      <c r="FI49" s="2458"/>
      <c r="FJ49" s="2479">
        <v>1</v>
      </c>
      <c r="FL49" s="2469" t="str">
        <f t="shared" si="44"/>
        <v/>
      </c>
      <c r="FM49" s="2470"/>
      <c r="FN49" s="2471"/>
      <c r="FP49" s="2469" t="str">
        <f t="shared" si="45"/>
        <v/>
      </c>
      <c r="FQ49" s="2470"/>
      <c r="FR49" s="2471"/>
      <c r="FU49" s="1599" t="str">
        <f t="shared" si="47"/>
        <v/>
      </c>
      <c r="FV49" s="2458"/>
      <c r="FW49" s="2458"/>
      <c r="FX49" s="2458"/>
      <c r="FY49" s="2164"/>
      <c r="FZ49" s="3134" t="str" cm="1">
        <f t="array" ref="FZ49">_xlfn.IFS(GC49="","",GC49&lt;=7,"expires soon",OR(GC49&gt;7,GC49="#"),GC49&amp;"d",TRUE,"")</f>
        <v/>
      </c>
      <c r="GB49" s="299"/>
      <c r="GC49" s="3129" t="str">
        <f t="shared" si="46"/>
        <v/>
      </c>
      <c r="GD49" s="3134" t="str" cm="1">
        <f t="array" ref="GD49">_xlfn.IFS(GC49="","",GC49="#","ongoing",GC49=0,"last day",GC49=1,GC49&amp;" day left",GC49&gt;=2,GC49&amp;" days left",TRUE,"")</f>
        <v/>
      </c>
      <c r="GE49" s="262"/>
      <c r="GF49" s="3136"/>
      <c r="GH49" s="3141">
        <v>5</v>
      </c>
      <c r="GI49" s="3144"/>
      <c r="GJ49" s="2164"/>
      <c r="GL49" s="681"/>
      <c r="GM49" s="3144"/>
      <c r="GO49" s="681"/>
      <c r="GP49" s="3144"/>
      <c r="GQ49" s="3144"/>
      <c r="GR49" s="2458"/>
      <c r="GS49" s="3148"/>
    </row>
    <row r="50" spans="2:201" ht="17.100000000000001" customHeight="1" thickTop="1" thickBot="1" x14ac:dyDescent="0.3">
      <c r="B50" s="2121"/>
      <c r="C50" s="4959" t="str" cm="1">
        <f t="array" ref="C50">_xlfn.IFS(COUNTA(C51:P58)=1,"Second Language",COUNTA(C51:P58)&gt;=2,"Second Languages",TRUE,"Second Language/s")</f>
        <v>Second Language/s</v>
      </c>
      <c r="D50" s="4960"/>
      <c r="E50" s="4960"/>
      <c r="F50" s="4960"/>
      <c r="G50" s="4960"/>
      <c r="H50" s="4960"/>
      <c r="I50" s="4960"/>
      <c r="J50" s="4960"/>
      <c r="K50" s="4960"/>
      <c r="L50" s="4960"/>
      <c r="M50" s="4960"/>
      <c r="N50" s="4960"/>
      <c r="O50" s="4960"/>
      <c r="P50" s="4960"/>
      <c r="Q50" s="4939" t="s">
        <v>1280</v>
      </c>
      <c r="R50" s="4939"/>
      <c r="S50" s="2123"/>
      <c r="T50" s="23"/>
      <c r="U50" s="1014"/>
      <c r="V50" s="4929" t="s">
        <v>122</v>
      </c>
      <c r="W50" s="4930"/>
      <c r="X50" s="4944">
        <f>SUM($AP8:$AY8,$AP10:$AY10,$AP12:$AY12,$AP14:$AY14,$AP16:$AY16,$AP18:$AY18,$AP20:$AY20,$AU25:$AU36,$AW25:$AY36,$AP67:$AY67,$AP69:$AY69,$AP71:$AY71,$AP73:$AY73,$AP75:$AY75,$AP77:$AY77,$AP79:$AY79,$AP81:$AY81,$AP83:$AY83,$AP85:$AY85,$AP87:$AY87,$AP89:$AY89,$AP91:$AY91,$AP93:$AY93,$AY98:$AY121)</f>
        <v>0</v>
      </c>
      <c r="Y50" s="4944"/>
      <c r="Z50" s="4941" t="s">
        <v>1235</v>
      </c>
      <c r="AA50" s="4942"/>
      <c r="AB50" s="4943"/>
      <c r="AC50" s="4945" t="str">
        <f t="shared" ref="AC50:BF50" si="48">IF(AC$57&lt;=$X52,"±","")</f>
        <v/>
      </c>
      <c r="AD50" s="4886" t="str">
        <f t="shared" si="48"/>
        <v/>
      </c>
      <c r="AE50" s="4886" t="str">
        <f t="shared" si="48"/>
        <v/>
      </c>
      <c r="AF50" s="4886" t="str">
        <f t="shared" si="48"/>
        <v/>
      </c>
      <c r="AG50" s="4886" t="str">
        <f t="shared" si="48"/>
        <v/>
      </c>
      <c r="AH50" s="4886" t="str">
        <f t="shared" si="48"/>
        <v/>
      </c>
      <c r="AI50" s="4886" t="str">
        <f t="shared" si="48"/>
        <v/>
      </c>
      <c r="AJ50" s="4886" t="str">
        <f t="shared" si="48"/>
        <v/>
      </c>
      <c r="AK50" s="4886" t="str">
        <f t="shared" si="48"/>
        <v/>
      </c>
      <c r="AL50" s="4919" t="str">
        <f t="shared" si="48"/>
        <v/>
      </c>
      <c r="AM50" s="4886" t="str">
        <f t="shared" si="48"/>
        <v/>
      </c>
      <c r="AN50" s="4886" t="str">
        <f t="shared" si="48"/>
        <v/>
      </c>
      <c r="AO50" s="4886" t="str">
        <f t="shared" si="48"/>
        <v/>
      </c>
      <c r="AP50" s="4886" t="str">
        <f t="shared" si="48"/>
        <v/>
      </c>
      <c r="AQ50" s="4886" t="str">
        <f t="shared" si="48"/>
        <v/>
      </c>
      <c r="AR50" s="4886" t="str">
        <f t="shared" si="48"/>
        <v/>
      </c>
      <c r="AS50" s="4886" t="str">
        <f t="shared" si="48"/>
        <v/>
      </c>
      <c r="AT50" s="4886" t="str">
        <f t="shared" si="48"/>
        <v/>
      </c>
      <c r="AU50" s="4886" t="str">
        <f t="shared" si="48"/>
        <v/>
      </c>
      <c r="AV50" s="4919" t="str">
        <f t="shared" si="48"/>
        <v/>
      </c>
      <c r="AW50" s="4886" t="str">
        <f t="shared" si="48"/>
        <v/>
      </c>
      <c r="AX50" s="4886" t="str">
        <f t="shared" si="48"/>
        <v/>
      </c>
      <c r="AY50" s="4886" t="str">
        <f t="shared" si="48"/>
        <v/>
      </c>
      <c r="AZ50" s="4886" t="str">
        <f t="shared" si="48"/>
        <v/>
      </c>
      <c r="BA50" s="4886" t="str">
        <f t="shared" si="48"/>
        <v/>
      </c>
      <c r="BB50" s="4886" t="str">
        <f t="shared" si="48"/>
        <v/>
      </c>
      <c r="BC50" s="4886" t="str">
        <f t="shared" si="48"/>
        <v/>
      </c>
      <c r="BD50" s="4886" t="str">
        <f t="shared" si="48"/>
        <v/>
      </c>
      <c r="BE50" s="4886" t="str">
        <f t="shared" si="48"/>
        <v/>
      </c>
      <c r="BF50" s="4919" t="str">
        <f t="shared" si="48"/>
        <v/>
      </c>
      <c r="BG50" s="1018"/>
      <c r="BH50" s="23"/>
      <c r="BI50" s="1013"/>
      <c r="BJ50" s="4923"/>
      <c r="BK50" s="4911"/>
      <c r="BL50" s="4911"/>
      <c r="BM50" s="4911"/>
      <c r="BN50" s="4911"/>
      <c r="BO50" s="4911"/>
      <c r="BP50" s="4911"/>
      <c r="BQ50" s="4875"/>
      <c r="BR50" s="4875"/>
      <c r="BS50" s="4875"/>
      <c r="BT50" s="4884"/>
      <c r="BU50" s="4884"/>
      <c r="BV50" s="4884"/>
      <c r="BW50" s="4885" t="str" cm="1">
        <f t="array" ref="BW50">IF(BJ50="","",_xlfn.IFS(
AND(BQ50="",BT50=""),"",
OR(BQ50="free",BQ50="via friend",BQ50="via family"),"ACTIVE",
AND(BQ50&lt;&gt;"",OR(BT50="ongoing",BT50&gt;=$CC$43)),"ACTIVE",
AND(BQ50&lt;&gt;"",BT50=""),"INACTIVE",
TRUE,"EXPIRED"
))</f>
        <v/>
      </c>
      <c r="BX50" s="4885"/>
      <c r="BY50" s="4885"/>
      <c r="BZ50" s="2490"/>
      <c r="CC50" s="2595"/>
      <c r="CD50" s="2591"/>
      <c r="CE50" s="2591"/>
      <c r="CF50" s="2596" t="s">
        <v>135</v>
      </c>
      <c r="CG50" s="2597"/>
      <c r="CH50" s="4890">
        <f t="shared" ref="CH50:CH53" si="49">CJ50*60</f>
        <v>1200</v>
      </c>
      <c r="CI50" s="4891"/>
      <c r="CJ50" s="4890">
        <f>RESPITE!$AM$132</f>
        <v>20</v>
      </c>
      <c r="CK50" s="4891">
        <f>RESPITE!$AM$132</f>
        <v>20</v>
      </c>
      <c r="CL50" s="2597"/>
      <c r="CM50" s="4892">
        <f>data!DZ31</f>
        <v>2010</v>
      </c>
      <c r="CN50" s="4893"/>
      <c r="CO50" s="4892">
        <f t="shared" ref="CO50:CO53" si="50">ROUNDDOWN(CM50/60,1)</f>
        <v>33.5</v>
      </c>
      <c r="CP50" s="4893"/>
      <c r="CQ50" s="2597"/>
      <c r="CR50" s="2605">
        <f>IF(MOD(CM50,2)=0,1,0.5)</f>
        <v>1</v>
      </c>
      <c r="CS50" s="2597"/>
      <c r="CU50" s="4896">
        <f>Z52</f>
        <v>0</v>
      </c>
      <c r="CV50" s="4897"/>
      <c r="CY50" s="2603">
        <f>IF(CU50&gt;CM50,CR50,0)</f>
        <v>0</v>
      </c>
      <c r="CZ50" s="2597"/>
      <c r="DA50" s="2597"/>
      <c r="DB50" s="2605">
        <f t="shared" ref="DB50:DB53" si="51">IF(CU50&gt;CM50,1,0)</f>
        <v>0</v>
      </c>
      <c r="DC50" s="2598"/>
      <c r="DF50" s="2469"/>
      <c r="DG50" s="2470"/>
      <c r="DH50" s="2471"/>
      <c r="DJ50" s="2469" t="str">
        <v>VHS</v>
      </c>
      <c r="DK50" s="2470"/>
      <c r="DL50" s="2471"/>
      <c r="DP50" s="2136" t="str">
        <f>IF(AND(BB88&lt;&gt;"",BA89&lt;&gt;0),BB88,"")</f>
        <v/>
      </c>
      <c r="DV50" s="299"/>
      <c r="DX50" s="2131"/>
      <c r="ED50" s="299"/>
      <c r="EG50" s="2482">
        <v>0</v>
      </c>
      <c r="EH50" s="681"/>
      <c r="EL50" s="1599" t="str">
        <v>Now Cinema</v>
      </c>
      <c r="EM50" s="2458"/>
      <c r="EN50" s="2458"/>
      <c r="EO50" s="2458"/>
      <c r="EP50" s="2459"/>
      <c r="EQ50" s="1599" t="str">
        <f t="shared" si="43"/>
        <v>Now Cinema</v>
      </c>
      <c r="ER50" s="2458"/>
      <c r="ES50" s="2458"/>
      <c r="ET50" s="2458"/>
      <c r="EU50" s="2459"/>
      <c r="EW50" s="1599" t="s">
        <v>142</v>
      </c>
      <c r="EX50" s="2458"/>
      <c r="EY50" s="2458"/>
      <c r="EZ50" s="2458"/>
      <c r="FA50" s="2459"/>
      <c r="FB50" s="2469" t="s">
        <v>1880</v>
      </c>
      <c r="FC50" s="2470"/>
      <c r="FD50" s="2471"/>
      <c r="FF50" s="1599">
        <f t="shared" si="41"/>
        <v>0</v>
      </c>
      <c r="FG50" s="2458"/>
      <c r="FH50" s="2458"/>
      <c r="FI50" s="2458"/>
      <c r="FJ50" s="2479">
        <v>1</v>
      </c>
      <c r="FL50" s="2469" t="str">
        <f t="shared" si="44"/>
        <v/>
      </c>
      <c r="FM50" s="2470"/>
      <c r="FN50" s="2471"/>
      <c r="FP50" s="2469" t="str">
        <f t="shared" si="45"/>
        <v/>
      </c>
      <c r="FQ50" s="2470"/>
      <c r="FR50" s="2471"/>
      <c r="FU50" s="1599" t="str">
        <f t="shared" si="47"/>
        <v/>
      </c>
      <c r="FV50" s="2458"/>
      <c r="FW50" s="2458"/>
      <c r="FX50" s="2458"/>
      <c r="FY50" s="2164"/>
      <c r="FZ50" s="3134" t="str" cm="1">
        <f t="array" ref="FZ50">_xlfn.IFS(GC50="","",GC50&lt;=7,"expires soon",OR(GC50&gt;7,GC50="#"),GC50&amp;"d",TRUE,"")</f>
        <v/>
      </c>
      <c r="GB50" s="299"/>
      <c r="GC50" s="3129" t="str">
        <f t="shared" si="46"/>
        <v/>
      </c>
      <c r="GD50" s="3134" t="str" cm="1">
        <f t="array" ref="GD50">_xlfn.IFS(GC50="","",GC50="#","ongoing",GC50=0,"last day",GC50=1,GC50&amp;" day left",GC50&gt;=2,GC50&amp;" days left",TRUE,"")</f>
        <v/>
      </c>
      <c r="GE50" s="262"/>
      <c r="GF50" s="3136"/>
      <c r="GH50" s="3141">
        <v>6</v>
      </c>
      <c r="GI50" s="3144"/>
      <c r="GJ50" s="2164"/>
      <c r="GL50" s="681"/>
      <c r="GM50" s="3144"/>
      <c r="GO50" s="681"/>
      <c r="GP50" s="3144"/>
      <c r="GQ50" s="3144"/>
      <c r="GR50" s="2458"/>
      <c r="GS50" s="3148"/>
    </row>
    <row r="51" spans="2:201" ht="17.100000000000001" customHeight="1" thickTop="1" thickBot="1" x14ac:dyDescent="0.3">
      <c r="B51" s="2121"/>
      <c r="C51" s="4933"/>
      <c r="D51" s="4933"/>
      <c r="E51" s="4933"/>
      <c r="F51" s="4933"/>
      <c r="G51" s="4933"/>
      <c r="H51" s="4933"/>
      <c r="I51" s="4933"/>
      <c r="J51" s="4933"/>
      <c r="K51" s="4933"/>
      <c r="L51" s="4933"/>
      <c r="M51" s="4933"/>
      <c r="N51" s="4933"/>
      <c r="O51" s="4933"/>
      <c r="P51" s="4933"/>
      <c r="Q51" s="4927"/>
      <c r="R51" s="4927"/>
      <c r="S51" s="2123"/>
      <c r="T51" s="23"/>
      <c r="U51" s="1014"/>
      <c r="V51" s="4931"/>
      <c r="W51" s="4932"/>
      <c r="X51" s="4944"/>
      <c r="Y51" s="4944"/>
      <c r="Z51" s="4941"/>
      <c r="AA51" s="4942"/>
      <c r="AB51" s="4943"/>
      <c r="AC51" s="4945"/>
      <c r="AD51" s="4886"/>
      <c r="AE51" s="4886"/>
      <c r="AF51" s="4886"/>
      <c r="AG51" s="4886"/>
      <c r="AH51" s="4886"/>
      <c r="AI51" s="4886"/>
      <c r="AJ51" s="4886"/>
      <c r="AK51" s="4886"/>
      <c r="AL51" s="4919"/>
      <c r="AM51" s="4886"/>
      <c r="AN51" s="4886"/>
      <c r="AO51" s="4886"/>
      <c r="AP51" s="4886"/>
      <c r="AQ51" s="4886"/>
      <c r="AR51" s="4886"/>
      <c r="AS51" s="4886"/>
      <c r="AT51" s="4886"/>
      <c r="AU51" s="4886"/>
      <c r="AV51" s="4919"/>
      <c r="AW51" s="4886"/>
      <c r="AX51" s="4886"/>
      <c r="AY51" s="4886"/>
      <c r="AZ51" s="4886"/>
      <c r="BA51" s="4886"/>
      <c r="BB51" s="4886"/>
      <c r="BC51" s="4886"/>
      <c r="BD51" s="4886"/>
      <c r="BE51" s="4886"/>
      <c r="BF51" s="4919"/>
      <c r="BG51" s="1018"/>
      <c r="BH51" s="23"/>
      <c r="BI51" s="1013"/>
      <c r="BJ51" s="4923"/>
      <c r="BK51" s="4911"/>
      <c r="BL51" s="4911"/>
      <c r="BM51" s="4911"/>
      <c r="BN51" s="4911"/>
      <c r="BO51" s="4911"/>
      <c r="BP51" s="4911"/>
      <c r="BQ51" s="4875"/>
      <c r="BR51" s="4875"/>
      <c r="BS51" s="4875"/>
      <c r="BT51" s="4884"/>
      <c r="BU51" s="4884"/>
      <c r="BV51" s="4884"/>
      <c r="BW51" s="4885" t="str" cm="1">
        <f t="array" ref="BW51">IF(BJ51="","",_xlfn.IFS(
AND(BQ51="",BT51=""),"",
OR(BQ51="free",BQ51="via friend",BQ51="via family"),"ACTIVE",
AND(BQ51&lt;&gt;"",OR(BT51="ongoing",BT51&gt;=$CC$43)),"ACTIVE",
AND(BQ51&lt;&gt;"",BT51=""),"INACTIVE",
TRUE,"EXPIRED"
))</f>
        <v/>
      </c>
      <c r="BX51" s="4885"/>
      <c r="BY51" s="4885"/>
      <c r="BZ51" s="2490"/>
      <c r="CC51" s="2595"/>
      <c r="CD51" s="2591"/>
      <c r="CE51" s="2591"/>
      <c r="CF51" s="2596" t="s">
        <v>136</v>
      </c>
      <c r="CG51" s="2597"/>
      <c r="CH51" s="4890">
        <f t="shared" si="49"/>
        <v>600</v>
      </c>
      <c r="CI51" s="4891"/>
      <c r="CJ51" s="4890">
        <f>RESPITE!$BM$132</f>
        <v>10</v>
      </c>
      <c r="CK51" s="4891">
        <f>RESPITE!$BM$132</f>
        <v>10</v>
      </c>
      <c r="CL51" s="2597"/>
      <c r="CM51" s="4892">
        <f>data!DZ32</f>
        <v>1120</v>
      </c>
      <c r="CN51" s="4893"/>
      <c r="CO51" s="4892">
        <f t="shared" si="50"/>
        <v>18.600000000000001</v>
      </c>
      <c r="CP51" s="4893"/>
      <c r="CQ51" s="2597"/>
      <c r="CR51" s="2605">
        <f>IF(MOD(CM51,2)=0,1,0.5)</f>
        <v>1</v>
      </c>
      <c r="CS51" s="2597"/>
      <c r="CU51" s="4896">
        <f>Z56</f>
        <v>0</v>
      </c>
      <c r="CV51" s="4897"/>
      <c r="CY51" s="2603">
        <f>IF(CU51&gt;CM51,CR51,0)</f>
        <v>0</v>
      </c>
      <c r="CZ51" s="2597"/>
      <c r="DA51" s="2597"/>
      <c r="DB51" s="2605">
        <f t="shared" si="51"/>
        <v>0</v>
      </c>
      <c r="DC51" s="2598"/>
      <c r="DF51" s="2469"/>
      <c r="DG51" s="2470"/>
      <c r="DH51" s="2471"/>
      <c r="DJ51" s="2469"/>
      <c r="DK51" s="2470"/>
      <c r="DL51" s="2471"/>
      <c r="DP51" s="2136" t="str">
        <f>IF(AND(BB90&lt;&gt;"",BA91&lt;&gt;0),BB90,"")</f>
        <v/>
      </c>
      <c r="DV51" s="299"/>
      <c r="DX51" s="2131"/>
      <c r="ED51" s="299"/>
      <c r="EG51" s="2482">
        <v>0.99</v>
      </c>
      <c r="EH51" s="681"/>
      <c r="EL51" s="1599" t="str">
        <v>Paramount+</v>
      </c>
      <c r="EM51" s="2458"/>
      <c r="EN51" s="2458"/>
      <c r="EO51" s="2458"/>
      <c r="EP51" s="2459"/>
      <c r="EQ51" s="1599" t="str">
        <f t="shared" si="43"/>
        <v>Paramount+</v>
      </c>
      <c r="ER51" s="2458"/>
      <c r="ES51" s="2458"/>
      <c r="ET51" s="2458"/>
      <c r="EU51" s="2459"/>
      <c r="EW51" s="1599" t="s">
        <v>140</v>
      </c>
      <c r="EX51" s="2458"/>
      <c r="EY51" s="2458"/>
      <c r="EZ51" s="2458"/>
      <c r="FA51" s="2459"/>
      <c r="FB51" s="2469" t="s">
        <v>1484</v>
      </c>
      <c r="FC51" s="2470"/>
      <c r="FD51" s="2471"/>
      <c r="FF51" s="1599">
        <f t="shared" si="41"/>
        <v>0</v>
      </c>
      <c r="FG51" s="2458"/>
      <c r="FH51" s="2458"/>
      <c r="FI51" s="2458"/>
      <c r="FJ51" s="2479">
        <v>1</v>
      </c>
      <c r="FL51" s="2469" t="str">
        <f t="shared" si="44"/>
        <v/>
      </c>
      <c r="FM51" s="2470"/>
      <c r="FN51" s="2471"/>
      <c r="FP51" s="2469" t="str">
        <f t="shared" si="45"/>
        <v/>
      </c>
      <c r="FQ51" s="2470"/>
      <c r="FR51" s="2471"/>
      <c r="FU51" s="1599" t="str">
        <f t="shared" si="47"/>
        <v/>
      </c>
      <c r="FV51" s="2458"/>
      <c r="FW51" s="2458"/>
      <c r="FX51" s="2458"/>
      <c r="FY51" s="2164"/>
      <c r="FZ51" s="3134" t="str" cm="1">
        <f t="array" ref="FZ51">_xlfn.IFS(GC51="","",GC51&lt;=7,"expires soon",OR(GC51&gt;7,GC51="#"),GC51&amp;"d",TRUE,"")</f>
        <v/>
      </c>
      <c r="GB51" s="299"/>
      <c r="GC51" s="3129" t="str">
        <f t="shared" si="46"/>
        <v/>
      </c>
      <c r="GD51" s="3134" t="str" cm="1">
        <f t="array" ref="GD51">_xlfn.IFS(GC51="","",GC51="#","ongoing",GC51=0,"last day",GC51=1,GC51&amp;" day left",GC51&gt;=2,GC51&amp;" days left",TRUE,"")</f>
        <v/>
      </c>
      <c r="GE51" s="262"/>
      <c r="GF51" s="3136"/>
      <c r="GH51" s="3141">
        <v>7</v>
      </c>
      <c r="GI51" s="3144"/>
      <c r="GJ51" s="2164"/>
      <c r="GL51" s="681"/>
      <c r="GM51" s="3144"/>
      <c r="GO51" s="681"/>
      <c r="GP51" s="3144"/>
      <c r="GQ51" s="3144"/>
      <c r="GR51" s="2458"/>
      <c r="GS51" s="3148"/>
    </row>
    <row r="52" spans="2:201" ht="17.100000000000001" customHeight="1" thickTop="1" thickBot="1" x14ac:dyDescent="0.3">
      <c r="B52" s="2121"/>
      <c r="C52" s="4933"/>
      <c r="D52" s="4933"/>
      <c r="E52" s="4933"/>
      <c r="F52" s="4933"/>
      <c r="G52" s="4933"/>
      <c r="H52" s="4933"/>
      <c r="I52" s="4933"/>
      <c r="J52" s="4933"/>
      <c r="K52" s="4933"/>
      <c r="L52" s="4933"/>
      <c r="M52" s="4933"/>
      <c r="N52" s="4933"/>
      <c r="O52" s="4933"/>
      <c r="P52" s="4933"/>
      <c r="Q52" s="4927"/>
      <c r="R52" s="4927"/>
      <c r="S52" s="2123"/>
      <c r="T52" s="23"/>
      <c r="U52" s="1014"/>
      <c r="V52" s="1145"/>
      <c r="W52" s="1144" t="s">
        <v>70</v>
      </c>
      <c r="X52" s="4934">
        <f>$CR$23</f>
        <v>0</v>
      </c>
      <c r="Y52" s="4935"/>
      <c r="Z52" s="4977">
        <f>X50-X52</f>
        <v>0</v>
      </c>
      <c r="AA52" s="4978"/>
      <c r="AB52" s="1020"/>
      <c r="AC52" s="1152"/>
      <c r="AD52" s="1152"/>
      <c r="AE52" s="1153"/>
      <c r="AF52" s="1153"/>
      <c r="AG52" s="1153"/>
      <c r="AH52" s="1153"/>
      <c r="AI52" s="1153"/>
      <c r="AJ52" s="1153"/>
      <c r="AK52" s="1153"/>
      <c r="AL52" s="2000"/>
      <c r="AM52" s="1153"/>
      <c r="AN52" s="1153"/>
      <c r="AO52" s="1153"/>
      <c r="AP52" s="1153"/>
      <c r="AQ52" s="1153"/>
      <c r="AR52" s="1153"/>
      <c r="AS52" s="1153"/>
      <c r="AT52" s="1153"/>
      <c r="AU52" s="1153"/>
      <c r="AV52" s="2000"/>
      <c r="AW52" s="1153"/>
      <c r="AX52" s="1153"/>
      <c r="AY52" s="1153"/>
      <c r="AZ52" s="1153"/>
      <c r="BA52" s="1153"/>
      <c r="BB52" s="1153"/>
      <c r="BC52" s="1153"/>
      <c r="BD52" s="1153"/>
      <c r="BE52" s="1153"/>
      <c r="BF52" s="2000"/>
      <c r="BG52" s="1018"/>
      <c r="BH52" s="23"/>
      <c r="BI52" s="1013"/>
      <c r="BJ52" s="4923"/>
      <c r="BK52" s="4911"/>
      <c r="BL52" s="4911"/>
      <c r="BM52" s="4911"/>
      <c r="BN52" s="4911"/>
      <c r="BO52" s="4911"/>
      <c r="BP52" s="4911"/>
      <c r="BQ52" s="4875"/>
      <c r="BR52" s="4875"/>
      <c r="BS52" s="4875"/>
      <c r="BT52" s="4884"/>
      <c r="BU52" s="4884"/>
      <c r="BV52" s="4884"/>
      <c r="BW52" s="4885" t="str" cm="1">
        <f t="array" ref="BW52">IF(BJ52="","",_xlfn.IFS(
AND(BQ52="",BT52=""),"",
OR(BQ52="free",BQ52="via friend",BQ52="via family"),"ACTIVE",
AND(BQ52&lt;&gt;"",OR(BT52="ongoing",BT52&gt;=$CC$43)),"ACTIVE",
AND(BQ52&lt;&gt;"",BT52=""),"INACTIVE",
TRUE,"EXPIRED"
))</f>
        <v/>
      </c>
      <c r="BX52" s="4885"/>
      <c r="BY52" s="4885"/>
      <c r="BZ52" s="2490"/>
      <c r="CC52" s="2595"/>
      <c r="CD52" s="2591"/>
      <c r="CE52" s="2591"/>
      <c r="CF52" s="2596" t="s">
        <v>494</v>
      </c>
      <c r="CG52" s="2597"/>
      <c r="CH52" s="4890">
        <f t="shared" si="49"/>
        <v>2400</v>
      </c>
      <c r="CI52" s="4891"/>
      <c r="CJ52" s="4890">
        <f>RESPITE!$Z$132</f>
        <v>40</v>
      </c>
      <c r="CK52" s="4891">
        <f>RESPITE!$Z$132</f>
        <v>40</v>
      </c>
      <c r="CL52" s="2597"/>
      <c r="CM52" s="4892">
        <f>data!DZ33</f>
        <v>3771</v>
      </c>
      <c r="CN52" s="4893"/>
      <c r="CO52" s="4892">
        <f t="shared" si="50"/>
        <v>62.8</v>
      </c>
      <c r="CP52" s="4893"/>
      <c r="CQ52" s="2597"/>
      <c r="CR52" s="2605">
        <f>IF(MOD(CM52,2)=0,1,0.5)</f>
        <v>0.5</v>
      </c>
      <c r="CS52" s="2597"/>
      <c r="CU52" s="4896">
        <f>Z59</f>
        <v>0</v>
      </c>
      <c r="CV52" s="4897"/>
      <c r="CY52" s="2603">
        <f>IF(CU52&gt;CM52,CR52,0)</f>
        <v>0</v>
      </c>
      <c r="CZ52" s="2597"/>
      <c r="DA52" s="2597"/>
      <c r="DB52" s="2605">
        <f t="shared" si="51"/>
        <v>0</v>
      </c>
      <c r="DC52" s="2598"/>
      <c r="DF52" s="2469"/>
      <c r="DG52" s="2470"/>
      <c r="DH52" s="2471"/>
      <c r="DJ52" s="2469"/>
      <c r="DK52" s="2470"/>
      <c r="DL52" s="2471"/>
      <c r="DP52" s="2136" t="str">
        <f>IF(AND(BB92&lt;&gt;"",BA93&lt;&gt;0),BB92,"")</f>
        <v/>
      </c>
      <c r="DV52" s="299"/>
      <c r="DX52" s="2131"/>
      <c r="ED52" s="299"/>
      <c r="EG52" s="2482">
        <v>1.99</v>
      </c>
      <c r="EH52" s="681"/>
      <c r="EL52" s="1599" t="str">
        <v>Apple TV+</v>
      </c>
      <c r="EM52" s="2458"/>
      <c r="EN52" s="2458"/>
      <c r="EO52" s="2458"/>
      <c r="EP52" s="2459"/>
      <c r="EQ52" s="1599" t="str">
        <f t="shared" si="43"/>
        <v>Apple TV+</v>
      </c>
      <c r="ER52" s="2458"/>
      <c r="ES52" s="2458"/>
      <c r="ET52" s="2458"/>
      <c r="EU52" s="2459"/>
      <c r="EW52" s="1599" t="s">
        <v>139</v>
      </c>
      <c r="EX52" s="2458"/>
      <c r="EY52" s="2458"/>
      <c r="EZ52" s="2458"/>
      <c r="FA52" s="2459"/>
      <c r="FB52" s="2469" t="s">
        <v>1315</v>
      </c>
      <c r="FC52" s="2470"/>
      <c r="FD52" s="2471"/>
      <c r="FF52" s="1599">
        <f t="shared" si="41"/>
        <v>0</v>
      </c>
      <c r="FG52" s="2458"/>
      <c r="FH52" s="2458"/>
      <c r="FI52" s="2458"/>
      <c r="FJ52" s="2479">
        <v>1</v>
      </c>
      <c r="FL52" s="2469" t="str">
        <f t="shared" si="44"/>
        <v/>
      </c>
      <c r="FM52" s="2470"/>
      <c r="FN52" s="2471"/>
      <c r="FP52" s="2469" t="str">
        <f t="shared" si="45"/>
        <v/>
      </c>
      <c r="FQ52" s="2470"/>
      <c r="FR52" s="2471"/>
      <c r="FU52" s="1599" t="str">
        <f t="shared" si="47"/>
        <v/>
      </c>
      <c r="FV52" s="2458"/>
      <c r="FW52" s="2458"/>
      <c r="FX52" s="2458"/>
      <c r="FY52" s="2164"/>
      <c r="FZ52" s="3134" t="str" cm="1">
        <f t="array" ref="FZ52">_xlfn.IFS(GC52="","",GC52&lt;=7,"expires soon",OR(GC52&gt;7,GC52="#"),GC52&amp;"d",TRUE,"")</f>
        <v/>
      </c>
      <c r="GB52" s="299"/>
      <c r="GC52" s="3129" t="str">
        <f t="shared" si="46"/>
        <v/>
      </c>
      <c r="GD52" s="3134" t="str" cm="1">
        <f t="array" ref="GD52">_xlfn.IFS(GC52="","",GC52="#","ongoing",GC52=0,"last day",GC52=1,GC52&amp;" day left",GC52&gt;=2,GC52&amp;" days left",TRUE,"")</f>
        <v/>
      </c>
      <c r="GE52" s="262"/>
      <c r="GF52" s="3136"/>
      <c r="GH52" s="3141">
        <v>8</v>
      </c>
      <c r="GI52" s="3144"/>
      <c r="GJ52" s="2164"/>
      <c r="GL52" s="681"/>
      <c r="GM52" s="3144"/>
      <c r="GO52" s="681"/>
      <c r="GP52" s="3144"/>
      <c r="GQ52" s="3144"/>
      <c r="GR52" s="2458"/>
      <c r="GS52" s="3148"/>
    </row>
    <row r="53" spans="2:201" ht="17.100000000000001" customHeight="1" thickTop="1" thickBot="1" x14ac:dyDescent="0.3">
      <c r="B53" s="2121"/>
      <c r="C53" s="4933"/>
      <c r="D53" s="4933"/>
      <c r="E53" s="4933"/>
      <c r="F53" s="4933"/>
      <c r="G53" s="4933"/>
      <c r="H53" s="4933"/>
      <c r="I53" s="4933"/>
      <c r="J53" s="4933"/>
      <c r="K53" s="4933"/>
      <c r="L53" s="4933"/>
      <c r="M53" s="4933"/>
      <c r="N53" s="4933"/>
      <c r="O53" s="4933"/>
      <c r="P53" s="4933"/>
      <c r="Q53" s="4927"/>
      <c r="R53" s="4927"/>
      <c r="S53" s="2123"/>
      <c r="U53" s="1014"/>
      <c r="V53" s="1139"/>
      <c r="W53" s="1140"/>
      <c r="X53" s="1019"/>
      <c r="Y53" s="1019"/>
      <c r="Z53" s="1020"/>
      <c r="AA53" s="1020"/>
      <c r="AB53" s="1020"/>
      <c r="AC53" s="1152"/>
      <c r="AD53" s="1152"/>
      <c r="AE53" s="1153"/>
      <c r="AF53" s="1153"/>
      <c r="AG53" s="1153"/>
      <c r="AH53" s="1153"/>
      <c r="AI53" s="1153"/>
      <c r="AJ53" s="1153"/>
      <c r="AK53" s="1153"/>
      <c r="AL53" s="2000"/>
      <c r="AM53" s="1153"/>
      <c r="AN53" s="1153"/>
      <c r="AO53" s="1153"/>
      <c r="AP53" s="1153"/>
      <c r="AQ53" s="1153"/>
      <c r="AR53" s="1153"/>
      <c r="AS53" s="1153"/>
      <c r="AT53" s="1153"/>
      <c r="AU53" s="1153"/>
      <c r="AV53" s="2000"/>
      <c r="AW53" s="1153"/>
      <c r="AX53" s="1153"/>
      <c r="AY53" s="1153"/>
      <c r="AZ53" s="1153"/>
      <c r="BA53" s="1153"/>
      <c r="BB53" s="1153"/>
      <c r="BC53" s="1153"/>
      <c r="BD53" s="1153"/>
      <c r="BE53" s="1153"/>
      <c r="BF53" s="2000"/>
      <c r="BG53" s="1018"/>
      <c r="BI53" s="1013"/>
      <c r="BJ53" s="4923"/>
      <c r="BK53" s="4911"/>
      <c r="BL53" s="4911"/>
      <c r="BM53" s="4911"/>
      <c r="BN53" s="4911"/>
      <c r="BO53" s="4911"/>
      <c r="BP53" s="4911"/>
      <c r="BQ53" s="4875"/>
      <c r="BR53" s="4875"/>
      <c r="BS53" s="4875"/>
      <c r="BT53" s="4884"/>
      <c r="BU53" s="4884"/>
      <c r="BV53" s="4884"/>
      <c r="BW53" s="4885" t="str" cm="1">
        <f t="array" ref="BW53">IF(BJ53="","",_xlfn.IFS(
AND(BQ53="",BT53=""),"",
OR(BQ53="free",BQ53="via friend",BQ53="via family"),"ACTIVE",
AND(BQ53&lt;&gt;"",OR(BT53="ongoing",BT53&gt;=$CC$43)),"ACTIVE",
AND(BQ53&lt;&gt;"",BT53=""),"INACTIVE",
TRUE,"EXPIRED"
))</f>
        <v/>
      </c>
      <c r="BX53" s="4885"/>
      <c r="BY53" s="4885"/>
      <c r="BZ53" s="2490"/>
      <c r="CC53" s="2595"/>
      <c r="CD53" s="2591"/>
      <c r="CE53" s="2591"/>
      <c r="CF53" s="2596" t="s">
        <v>1406</v>
      </c>
      <c r="CG53" s="2597"/>
      <c r="CH53" s="4890">
        <f t="shared" si="49"/>
        <v>0</v>
      </c>
      <c r="CI53" s="4891"/>
      <c r="CJ53" s="4890">
        <f>RESPITE!$AZ$132</f>
        <v>0</v>
      </c>
      <c r="CK53" s="4891">
        <f>RESPITE!$AZ$132</f>
        <v>0</v>
      </c>
      <c r="CL53" s="2597"/>
      <c r="CM53" s="4892">
        <f>data!DZ34</f>
        <v>2511</v>
      </c>
      <c r="CN53" s="4893"/>
      <c r="CO53" s="4892">
        <f t="shared" si="50"/>
        <v>41.8</v>
      </c>
      <c r="CP53" s="4893"/>
      <c r="CQ53" s="2597"/>
      <c r="CR53" s="2605">
        <f>IF(MOD(CM53,2)=0,1,0.5)</f>
        <v>0.5</v>
      </c>
      <c r="CS53" s="2597"/>
      <c r="CU53" s="4896">
        <f>Z59</f>
        <v>0</v>
      </c>
      <c r="CV53" s="4897"/>
      <c r="CY53" s="2603">
        <f>IF(CU53&gt;CM53,CR53,0)</f>
        <v>0</v>
      </c>
      <c r="CZ53" s="2597"/>
      <c r="DA53" s="2597"/>
      <c r="DB53" s="2605">
        <f t="shared" si="51"/>
        <v>0</v>
      </c>
      <c r="DC53" s="2598"/>
      <c r="DF53" s="2469"/>
      <c r="DG53" s="2470"/>
      <c r="DH53" s="2471"/>
      <c r="DJ53" s="2469"/>
      <c r="DK53" s="2470"/>
      <c r="DL53" s="2471"/>
      <c r="DP53" s="2144" t="str">
        <f>IF(AND(BB94&lt;&gt;"",BA95&lt;&gt;0),BB94,"")</f>
        <v/>
      </c>
      <c r="DV53" s="299"/>
      <c r="DX53" s="2131"/>
      <c r="ED53" s="299"/>
      <c r="EG53" s="2482">
        <v>2.99</v>
      </c>
      <c r="EH53" s="681"/>
      <c r="EL53" s="1599" t="str">
        <v>Disney+</v>
      </c>
      <c r="EM53" s="2458"/>
      <c r="EN53" s="2458"/>
      <c r="EO53" s="2458"/>
      <c r="EP53" s="2459"/>
      <c r="EQ53" s="1599" t="str">
        <f t="shared" si="43"/>
        <v>Disney+</v>
      </c>
      <c r="ER53" s="2458"/>
      <c r="ES53" s="2458"/>
      <c r="ET53" s="2458"/>
      <c r="EU53" s="2459"/>
      <c r="EW53" s="1599" t="s">
        <v>138</v>
      </c>
      <c r="EX53" s="2458"/>
      <c r="EY53" s="2458"/>
      <c r="EZ53" s="2458"/>
      <c r="FA53" s="2459"/>
      <c r="FB53" s="2469" t="s">
        <v>1535</v>
      </c>
      <c r="FC53" s="2470"/>
      <c r="FD53" s="2471"/>
      <c r="FF53" s="1599">
        <f t="shared" si="41"/>
        <v>0</v>
      </c>
      <c r="FG53" s="2458"/>
      <c r="FH53" s="2458"/>
      <c r="FI53" s="2458"/>
      <c r="FJ53" s="2479">
        <v>1</v>
      </c>
      <c r="FL53" s="2469" t="str">
        <f t="shared" si="44"/>
        <v/>
      </c>
      <c r="FM53" s="2470"/>
      <c r="FN53" s="2471"/>
      <c r="FP53" s="2469" t="str">
        <f t="shared" si="45"/>
        <v/>
      </c>
      <c r="FQ53" s="2470"/>
      <c r="FR53" s="2471"/>
      <c r="FU53" s="1599" t="str">
        <f t="shared" si="47"/>
        <v/>
      </c>
      <c r="FV53" s="2458"/>
      <c r="FW53" s="2458"/>
      <c r="FX53" s="2458"/>
      <c r="FY53" s="2164"/>
      <c r="FZ53" s="3134" t="str" cm="1">
        <f t="array" ref="FZ53">_xlfn.IFS(GC53="","",GC53&lt;=7,"expires soon",OR(GC53&gt;7,GC53="#"),GC53&amp;"d",TRUE,"")</f>
        <v/>
      </c>
      <c r="GB53" s="299"/>
      <c r="GC53" s="3129" t="str">
        <f t="shared" si="46"/>
        <v/>
      </c>
      <c r="GD53" s="3134" t="str" cm="1">
        <f t="array" ref="GD53">_xlfn.IFS(GC53="","",GC53="#","ongoing",GC53=0,"last day",GC53=1,GC53&amp;" day left",GC53&gt;=2,GC53&amp;" days left",TRUE,"")</f>
        <v/>
      </c>
      <c r="GE53" s="262"/>
      <c r="GF53" s="3136"/>
      <c r="GH53" s="3142">
        <v>9</v>
      </c>
      <c r="GI53" s="3145"/>
      <c r="GJ53" s="3124"/>
      <c r="GK53" s="697"/>
      <c r="GL53" s="2710"/>
      <c r="GM53" s="3145"/>
      <c r="GN53" s="697"/>
      <c r="GO53" s="2710"/>
      <c r="GP53" s="3145"/>
      <c r="GQ53" s="3145"/>
      <c r="GR53" s="3149"/>
      <c r="GS53" s="3150"/>
    </row>
    <row r="54" spans="2:201" ht="17.100000000000001" customHeight="1" thickTop="1" thickBot="1" x14ac:dyDescent="0.3">
      <c r="B54" s="2121"/>
      <c r="C54" s="4933"/>
      <c r="D54" s="4933"/>
      <c r="E54" s="4933"/>
      <c r="F54" s="4933"/>
      <c r="G54" s="4933"/>
      <c r="H54" s="4933"/>
      <c r="I54" s="4933"/>
      <c r="J54" s="4933"/>
      <c r="K54" s="4933"/>
      <c r="L54" s="4933"/>
      <c r="M54" s="4933"/>
      <c r="N54" s="4933"/>
      <c r="O54" s="4933"/>
      <c r="P54" s="4933"/>
      <c r="Q54" s="4927"/>
      <c r="R54" s="4927"/>
      <c r="S54" s="2123"/>
      <c r="U54" s="1014"/>
      <c r="V54" s="4929" t="s">
        <v>122</v>
      </c>
      <c r="W54" s="4930"/>
      <c r="X54" s="4944">
        <f>SUM(BP$8,BP$10,BP$12,BP$14,BP$16,BP$18,BP$20,BP$67,BP$69,BP$71,BP$73,BP$75,BP$77,BP$79,BP$81,BP$83,BP$85,BP$87,BP$89,BP$91,BP$93,BP$95,BP$97,BP$99,BP$101,BP$103,BP$105,BP$107,BP$109,BP$111,BP$113,BP$115,BP$117,BP$119,BP$121)</f>
        <v>0</v>
      </c>
      <c r="Y54" s="4944"/>
      <c r="Z54" s="4941" t="s">
        <v>1236</v>
      </c>
      <c r="AA54" s="4942"/>
      <c r="AB54" s="4943"/>
      <c r="AC54" s="4945" t="str">
        <f t="shared" ref="AC54:BF54" si="52">IF(AC$57&lt;=$X56,"±","")</f>
        <v/>
      </c>
      <c r="AD54" s="4886" t="str">
        <f t="shared" si="52"/>
        <v/>
      </c>
      <c r="AE54" s="4886" t="str">
        <f t="shared" si="52"/>
        <v/>
      </c>
      <c r="AF54" s="4886" t="str">
        <f t="shared" si="52"/>
        <v/>
      </c>
      <c r="AG54" s="4886" t="str">
        <f t="shared" si="52"/>
        <v/>
      </c>
      <c r="AH54" s="4886" t="str">
        <f t="shared" si="52"/>
        <v/>
      </c>
      <c r="AI54" s="4886" t="str">
        <f t="shared" si="52"/>
        <v/>
      </c>
      <c r="AJ54" s="4886" t="str">
        <f t="shared" si="52"/>
        <v/>
      </c>
      <c r="AK54" s="4886" t="str">
        <f t="shared" si="52"/>
        <v/>
      </c>
      <c r="AL54" s="4919" t="str">
        <f t="shared" si="52"/>
        <v/>
      </c>
      <c r="AM54" s="4886" t="str">
        <f t="shared" si="52"/>
        <v/>
      </c>
      <c r="AN54" s="4886" t="str">
        <f t="shared" si="52"/>
        <v/>
      </c>
      <c r="AO54" s="4886" t="str">
        <f t="shared" si="52"/>
        <v/>
      </c>
      <c r="AP54" s="4886" t="str">
        <f t="shared" si="52"/>
        <v/>
      </c>
      <c r="AQ54" s="4886" t="str">
        <f t="shared" si="52"/>
        <v/>
      </c>
      <c r="AR54" s="4886" t="str">
        <f t="shared" si="52"/>
        <v/>
      </c>
      <c r="AS54" s="4886" t="str">
        <f t="shared" si="52"/>
        <v/>
      </c>
      <c r="AT54" s="4886" t="str">
        <f t="shared" si="52"/>
        <v/>
      </c>
      <c r="AU54" s="4886" t="str">
        <f t="shared" si="52"/>
        <v/>
      </c>
      <c r="AV54" s="4919" t="str">
        <f t="shared" si="52"/>
        <v/>
      </c>
      <c r="AW54" s="4886" t="str">
        <f t="shared" si="52"/>
        <v/>
      </c>
      <c r="AX54" s="4886" t="str">
        <f t="shared" si="52"/>
        <v/>
      </c>
      <c r="AY54" s="4886" t="str">
        <f t="shared" si="52"/>
        <v/>
      </c>
      <c r="AZ54" s="4886" t="str">
        <f t="shared" si="52"/>
        <v/>
      </c>
      <c r="BA54" s="4886" t="str">
        <f t="shared" si="52"/>
        <v/>
      </c>
      <c r="BB54" s="4886" t="str">
        <f t="shared" si="52"/>
        <v/>
      </c>
      <c r="BC54" s="4886" t="str">
        <f t="shared" si="52"/>
        <v/>
      </c>
      <c r="BD54" s="4886" t="str">
        <f t="shared" si="52"/>
        <v/>
      </c>
      <c r="BE54" s="4886" t="str">
        <f t="shared" si="52"/>
        <v/>
      </c>
      <c r="BF54" s="4919" t="str">
        <f t="shared" si="52"/>
        <v/>
      </c>
      <c r="BG54" s="1018"/>
      <c r="BI54" s="1013"/>
      <c r="BJ54" s="4910"/>
      <c r="BK54" s="4911"/>
      <c r="BL54" s="4911"/>
      <c r="BM54" s="4911"/>
      <c r="BN54" s="4911"/>
      <c r="BO54" s="4911"/>
      <c r="BP54" s="4911"/>
      <c r="BQ54" s="4875"/>
      <c r="BR54" s="4875"/>
      <c r="BS54" s="4875"/>
      <c r="BT54" s="4884"/>
      <c r="BU54" s="4884"/>
      <c r="BV54" s="4884"/>
      <c r="BW54" s="4885" t="str" cm="1">
        <f t="array" ref="BW54">IF(BJ54="","",_xlfn.IFS(
AND(BQ54="",BT54=""),"",
OR(BQ54="free",BQ54="via friend",BQ54="via family"),"ACTIVE",
AND(BQ54&lt;&gt;"",OR(BT54="ongoing",BT54&gt;=$CC$43)),"ACTIVE",
AND(BQ54&lt;&gt;"",BT54=""),"INACTIVE",
TRUE,"EXPIRED"
))</f>
        <v/>
      </c>
      <c r="BX54" s="4885"/>
      <c r="BY54" s="4885"/>
      <c r="BZ54" s="2490"/>
      <c r="CC54" s="2595"/>
      <c r="DC54" s="2598"/>
      <c r="DF54" s="2469"/>
      <c r="DG54" s="2470"/>
      <c r="DH54" s="2471"/>
      <c r="DJ54" s="2469"/>
      <c r="DK54" s="2470"/>
      <c r="DL54" s="2471"/>
      <c r="DP54" s="2144" t="str">
        <f>IF(AND(BB96&lt;&gt;"",BA97&lt;&gt;0),BB96,"")</f>
        <v/>
      </c>
      <c r="DV54" s="299"/>
      <c r="DX54" s="2131"/>
      <c r="ED54" s="299"/>
      <c r="EG54" s="2482">
        <v>3.99</v>
      </c>
      <c r="EH54" s="681"/>
      <c r="EL54" s="1599" t="str">
        <v>Discovery+</v>
      </c>
      <c r="EM54" s="2458"/>
      <c r="EN54" s="2458"/>
      <c r="EO54" s="2458"/>
      <c r="EP54" s="2459"/>
      <c r="EQ54" s="1599" t="str">
        <f t="shared" si="43"/>
        <v>Discovery+</v>
      </c>
      <c r="ER54" s="2458"/>
      <c r="ES54" s="2458"/>
      <c r="ET54" s="2458"/>
      <c r="EU54" s="2459"/>
      <c r="EW54" s="1599" t="s">
        <v>1537</v>
      </c>
      <c r="EX54" s="2458"/>
      <c r="EY54" s="2458"/>
      <c r="EZ54" s="2458"/>
      <c r="FA54" s="2459"/>
      <c r="FB54" s="2469" t="s">
        <v>1541</v>
      </c>
      <c r="FC54" s="2470"/>
      <c r="FD54" s="2471"/>
      <c r="FF54" s="1599">
        <f t="shared" si="41"/>
        <v>0</v>
      </c>
      <c r="FG54" s="2458"/>
      <c r="FH54" s="2458"/>
      <c r="FI54" s="2458"/>
      <c r="FJ54" s="2479">
        <v>1</v>
      </c>
      <c r="FL54" s="2469" t="str">
        <f t="shared" si="44"/>
        <v/>
      </c>
      <c r="FM54" s="2470"/>
      <c r="FN54" s="2471"/>
      <c r="FP54" s="2469" t="str">
        <f t="shared" si="45"/>
        <v/>
      </c>
      <c r="FQ54" s="2470"/>
      <c r="FR54" s="2471"/>
      <c r="FU54" s="1599" t="str">
        <f t="shared" si="47"/>
        <v/>
      </c>
      <c r="FV54" s="2458"/>
      <c r="FW54" s="2458"/>
      <c r="FX54" s="2458"/>
      <c r="FY54" s="2164"/>
      <c r="FZ54" s="3134" t="str" cm="1">
        <f t="array" ref="FZ54">_xlfn.IFS(GC54="","",GC54&lt;=7,"expires soon",OR(GC54&gt;7,GC54="#"),GC54&amp;"d",TRUE,"")</f>
        <v/>
      </c>
      <c r="GB54" s="299"/>
      <c r="GC54" s="3129" t="str">
        <f t="shared" si="46"/>
        <v/>
      </c>
      <c r="GD54" s="3134" t="str" cm="1">
        <f t="array" ref="GD54">_xlfn.IFS(GC54="","",GC54="#","ongoing",GC54=0,"last day",GC54=1,GC54&amp;" day left",GC54&gt;=2,GC54&amp;" days left",TRUE,"")</f>
        <v/>
      </c>
      <c r="GE54" s="262"/>
      <c r="GF54" s="3136"/>
    </row>
    <row r="55" spans="2:201" ht="17.100000000000001" customHeight="1" thickTop="1" thickBot="1" x14ac:dyDescent="0.3">
      <c r="B55" s="2121"/>
      <c r="C55" s="4933"/>
      <c r="D55" s="4933"/>
      <c r="E55" s="4933"/>
      <c r="F55" s="4933"/>
      <c r="G55" s="4933"/>
      <c r="H55" s="4933"/>
      <c r="I55" s="4933"/>
      <c r="J55" s="4933"/>
      <c r="K55" s="4933"/>
      <c r="L55" s="4933"/>
      <c r="M55" s="4933"/>
      <c r="N55" s="4933"/>
      <c r="O55" s="4933"/>
      <c r="P55" s="4933"/>
      <c r="Q55" s="4927"/>
      <c r="R55" s="4927"/>
      <c r="S55" s="2123"/>
      <c r="U55" s="1014"/>
      <c r="V55" s="4931"/>
      <c r="W55" s="4932"/>
      <c r="X55" s="4944"/>
      <c r="Y55" s="4944"/>
      <c r="Z55" s="4941"/>
      <c r="AA55" s="4942"/>
      <c r="AB55" s="4943"/>
      <c r="AC55" s="4945"/>
      <c r="AD55" s="4886"/>
      <c r="AE55" s="4886"/>
      <c r="AF55" s="4886"/>
      <c r="AG55" s="4886"/>
      <c r="AH55" s="4886"/>
      <c r="AI55" s="4886"/>
      <c r="AJ55" s="4886"/>
      <c r="AK55" s="4886"/>
      <c r="AL55" s="4919"/>
      <c r="AM55" s="4886"/>
      <c r="AN55" s="4886"/>
      <c r="AO55" s="4886"/>
      <c r="AP55" s="4886"/>
      <c r="AQ55" s="4886"/>
      <c r="AR55" s="4886"/>
      <c r="AS55" s="4886"/>
      <c r="AT55" s="4886"/>
      <c r="AU55" s="4886"/>
      <c r="AV55" s="4919"/>
      <c r="AW55" s="4886"/>
      <c r="AX55" s="4886"/>
      <c r="AY55" s="4886"/>
      <c r="AZ55" s="4886"/>
      <c r="BA55" s="4886"/>
      <c r="BB55" s="4886"/>
      <c r="BC55" s="4886"/>
      <c r="BD55" s="4886"/>
      <c r="BE55" s="4886"/>
      <c r="BF55" s="4919"/>
      <c r="BG55" s="1018"/>
      <c r="BI55" s="1013"/>
      <c r="BJ55" s="4910"/>
      <c r="BK55" s="4911"/>
      <c r="BL55" s="4911"/>
      <c r="BM55" s="4911"/>
      <c r="BN55" s="4911"/>
      <c r="BO55" s="4911"/>
      <c r="BP55" s="4911"/>
      <c r="BQ55" s="4875"/>
      <c r="BR55" s="4875"/>
      <c r="BS55" s="4875"/>
      <c r="BT55" s="4884"/>
      <c r="BU55" s="4884"/>
      <c r="BV55" s="4884"/>
      <c r="BW55" s="4885" t="str" cm="1">
        <f t="array" ref="BW55">IF(BJ55="","",_xlfn.IFS(
AND(BQ55="",BT55=""),"",
OR(BQ55="free",BQ55="via friend",BQ55="via family"),"ACTIVE",
AND(BQ55&lt;&gt;"",OR(BT55="ongoing",BT55&gt;=$CC$43)),"ACTIVE",
AND(BQ55&lt;&gt;"",BT55=""),"INACTIVE",
TRUE,"EXPIRED"
))</f>
        <v/>
      </c>
      <c r="BX55" s="4885"/>
      <c r="BY55" s="4885"/>
      <c r="BZ55" s="2490"/>
      <c r="CC55" s="2595"/>
      <c r="CG55" s="2591"/>
      <c r="CH55" s="2591"/>
      <c r="CW55" s="2616"/>
      <c r="CX55" s="2617" t="s">
        <v>439</v>
      </c>
      <c r="CY55" s="2603">
        <f>SUM(CY49:CY53)</f>
        <v>0</v>
      </c>
      <c r="CZ55" s="2591"/>
      <c r="DA55" s="2591"/>
      <c r="DB55" s="2605">
        <f>SUM(DB49:DB53)</f>
        <v>0</v>
      </c>
      <c r="DC55" s="2598"/>
      <c r="DF55" s="2469"/>
      <c r="DG55" s="2470"/>
      <c r="DH55" s="2471"/>
      <c r="DJ55" s="2469"/>
      <c r="DK55" s="2470"/>
      <c r="DL55" s="2471"/>
      <c r="DP55" s="2144" t="str">
        <f>IF(AND(BB98&lt;&gt;"",BA99&lt;&gt;0),BB98,"")</f>
        <v/>
      </c>
      <c r="DV55" s="299"/>
      <c r="DX55" s="2131"/>
      <c r="ED55" s="299"/>
      <c r="EG55" s="2482">
        <v>4.99</v>
      </c>
      <c r="EH55" s="681"/>
      <c r="EL55" s="1599" t="str">
        <v>Sky Stream</v>
      </c>
      <c r="EM55" s="2458"/>
      <c r="EN55" s="2458"/>
      <c r="EO55" s="2458"/>
      <c r="EP55" s="2459"/>
      <c r="EQ55" s="1599" t="str">
        <f t="shared" si="43"/>
        <v>Sky Stream</v>
      </c>
      <c r="ER55" s="2458"/>
      <c r="ES55" s="2458"/>
      <c r="ET55" s="2458"/>
      <c r="EU55" s="2459"/>
      <c r="EW55" s="1599" t="s">
        <v>1559</v>
      </c>
      <c r="EX55" s="2458"/>
      <c r="EY55" s="2458"/>
      <c r="EZ55" s="2458"/>
      <c r="FA55" s="2459"/>
      <c r="FB55" s="2469" t="s">
        <v>1560</v>
      </c>
      <c r="FC55" s="2470"/>
      <c r="FD55" s="2471"/>
      <c r="FF55" s="1599">
        <f t="shared" si="41"/>
        <v>0</v>
      </c>
      <c r="FG55" s="2458"/>
      <c r="FH55" s="2458"/>
      <c r="FI55" s="2458"/>
      <c r="FJ55" s="2479">
        <v>1</v>
      </c>
      <c r="FL55" s="2469" t="str">
        <f t="shared" si="44"/>
        <v/>
      </c>
      <c r="FM55" s="2470"/>
      <c r="FN55" s="2471"/>
      <c r="FP55" s="2469" t="str">
        <f t="shared" si="45"/>
        <v/>
      </c>
      <c r="FQ55" s="2470"/>
      <c r="FR55" s="2471"/>
      <c r="FU55" s="1599" t="str">
        <f t="shared" si="47"/>
        <v/>
      </c>
      <c r="FV55" s="2458"/>
      <c r="FW55" s="2458"/>
      <c r="FX55" s="2458"/>
      <c r="FY55" s="2164"/>
      <c r="FZ55" s="3134" t="str" cm="1">
        <f t="array" ref="FZ55">_xlfn.IFS(GC55="","",GC55&lt;=7,"expires soon",OR(GC55&gt;7,GC55="#"),GC55&amp;"d",TRUE,"")</f>
        <v/>
      </c>
      <c r="GB55" s="299"/>
      <c r="GC55" s="3129" t="str">
        <f t="shared" si="46"/>
        <v/>
      </c>
      <c r="GD55" s="3134" t="str" cm="1">
        <f t="array" ref="GD55">_xlfn.IFS(GC55="","",GC55="#","ongoing",GC55=0,"last day",GC55=1,GC55&amp;" day left",GC55&gt;=2,GC55&amp;" days left",TRUE,"")</f>
        <v/>
      </c>
      <c r="GE55" s="262"/>
      <c r="GF55" s="3136"/>
    </row>
    <row r="56" spans="2:201" ht="17.100000000000001" customHeight="1" thickTop="1" thickBot="1" x14ac:dyDescent="0.3">
      <c r="B56" s="2121"/>
      <c r="C56" s="4933"/>
      <c r="D56" s="4933"/>
      <c r="E56" s="4933"/>
      <c r="F56" s="4933"/>
      <c r="G56" s="4933"/>
      <c r="H56" s="4933"/>
      <c r="I56" s="4933"/>
      <c r="J56" s="4933"/>
      <c r="K56" s="4933"/>
      <c r="L56" s="4933"/>
      <c r="M56" s="4933"/>
      <c r="N56" s="4933"/>
      <c r="O56" s="4933"/>
      <c r="P56" s="4933"/>
      <c r="Q56" s="4927"/>
      <c r="R56" s="4927"/>
      <c r="S56" s="2123"/>
      <c r="U56" s="1014"/>
      <c r="V56" s="1138"/>
      <c r="W56" s="1144" t="s">
        <v>70</v>
      </c>
      <c r="X56" s="4934">
        <f>$CU$23</f>
        <v>0</v>
      </c>
      <c r="Y56" s="4935"/>
      <c r="Z56" s="4977">
        <f>X54-X56</f>
        <v>0</v>
      </c>
      <c r="AA56" s="4978"/>
      <c r="AB56" s="1016"/>
      <c r="AC56" s="2257"/>
      <c r="AD56" s="2257"/>
      <c r="AE56" s="2257"/>
      <c r="AF56" s="2257"/>
      <c r="AG56" s="2257"/>
      <c r="AH56" s="2257"/>
      <c r="AI56" s="2257"/>
      <c r="AJ56" s="2257"/>
      <c r="AK56" s="2257"/>
      <c r="AL56" s="2258"/>
      <c r="AM56" s="2257"/>
      <c r="AN56" s="2257"/>
      <c r="AO56" s="2257"/>
      <c r="AP56" s="2257"/>
      <c r="AQ56" s="2257"/>
      <c r="AR56" s="2257"/>
      <c r="AS56" s="2257"/>
      <c r="AT56" s="2257"/>
      <c r="AU56" s="2257"/>
      <c r="AV56" s="2258"/>
      <c r="AW56" s="2257"/>
      <c r="AX56" s="2257"/>
      <c r="AY56" s="2257"/>
      <c r="AZ56" s="2257"/>
      <c r="BA56" s="2257"/>
      <c r="BB56" s="2257"/>
      <c r="BC56" s="2257"/>
      <c r="BD56" s="2257"/>
      <c r="BE56" s="2257"/>
      <c r="BF56" s="2258"/>
      <c r="BG56" s="1018"/>
      <c r="BI56" s="1013"/>
      <c r="BJ56" s="4910"/>
      <c r="BK56" s="4911"/>
      <c r="BL56" s="4911"/>
      <c r="BM56" s="4911"/>
      <c r="BN56" s="4911"/>
      <c r="BO56" s="4911"/>
      <c r="BP56" s="4911"/>
      <c r="BQ56" s="4875"/>
      <c r="BR56" s="4875"/>
      <c r="BS56" s="4875"/>
      <c r="BT56" s="4884"/>
      <c r="BU56" s="4884"/>
      <c r="BV56" s="4884"/>
      <c r="BW56" s="4885" t="str" cm="1">
        <f t="array" ref="BW56">IF(BJ56="","",_xlfn.IFS(
AND(BQ56="",BT56=""),"",
OR(BQ56="free",BQ56="via friend",BQ56="via family"),"ACTIVE",
AND(BQ56&lt;&gt;"",OR(BT56="ongoing",BT56&gt;=$CC$43)),"ACTIVE",
AND(BQ56&lt;&gt;"",BT56=""),"INACTIVE",
TRUE,"EXPIRED"
))</f>
        <v/>
      </c>
      <c r="BX56" s="4885"/>
      <c r="BY56" s="4885"/>
      <c r="BZ56" s="2490"/>
      <c r="CC56" s="2599"/>
      <c r="CD56" s="2600"/>
      <c r="CE56" s="2600"/>
      <c r="CF56" s="2601"/>
      <c r="CG56" s="2601"/>
      <c r="CH56" s="2601"/>
      <c r="CI56" s="2601"/>
      <c r="CJ56" s="2601"/>
      <c r="CK56" s="2601"/>
      <c r="CL56" s="2601"/>
      <c r="CM56" s="2601"/>
      <c r="CN56" s="2601"/>
      <c r="CO56" s="2601"/>
      <c r="CP56" s="2601"/>
      <c r="CQ56" s="2601"/>
      <c r="CR56" s="2601"/>
      <c r="CS56" s="2601"/>
      <c r="CT56" s="2601"/>
      <c r="CU56" s="2601"/>
      <c r="CV56" s="2601"/>
      <c r="CW56" s="2601"/>
      <c r="CX56" s="2601"/>
      <c r="CY56" s="2601"/>
      <c r="CZ56" s="2601"/>
      <c r="DA56" s="2601"/>
      <c r="DB56" s="2601"/>
      <c r="DC56" s="2602"/>
      <c r="DF56" s="2469"/>
      <c r="DG56" s="2470"/>
      <c r="DH56" s="2471"/>
      <c r="DJ56" s="2469"/>
      <c r="DK56" s="2470"/>
      <c r="DL56" s="2471"/>
      <c r="DP56" s="2144" t="str">
        <f>IF(AND(BB100&lt;&gt;"",BA101&lt;&gt;0),BB100,"")</f>
        <v/>
      </c>
      <c r="DV56" s="299"/>
      <c r="DX56" s="2131"/>
      <c r="ED56" s="299"/>
      <c r="EG56" s="2482">
        <v>5.99</v>
      </c>
      <c r="EH56" s="681"/>
      <c r="EL56" s="1599" t="str">
        <v>Channel 4+</v>
      </c>
      <c r="EM56" s="2458"/>
      <c r="EN56" s="2458"/>
      <c r="EO56" s="2458"/>
      <c r="EP56" s="2459"/>
      <c r="EQ56" s="1599" t="str">
        <f t="shared" si="43"/>
        <v>Channel 4+</v>
      </c>
      <c r="ER56" s="2458"/>
      <c r="ES56" s="2458"/>
      <c r="ET56" s="2458"/>
      <c r="EU56" s="2459"/>
      <c r="EW56" s="1599" t="s">
        <v>1554</v>
      </c>
      <c r="EX56" s="2458"/>
      <c r="EY56" s="2458"/>
      <c r="EZ56" s="2458"/>
      <c r="FA56" s="2459"/>
      <c r="FB56" s="2469" t="s">
        <v>1555</v>
      </c>
      <c r="FC56" s="2470"/>
      <c r="FD56" s="2471"/>
      <c r="FF56" s="1599">
        <f t="shared" si="41"/>
        <v>0</v>
      </c>
      <c r="FG56" s="2458"/>
      <c r="FH56" s="2458"/>
      <c r="FI56" s="2458"/>
      <c r="FJ56" s="2479">
        <v>1</v>
      </c>
      <c r="FL56" s="2469" t="str">
        <f t="shared" si="44"/>
        <v/>
      </c>
      <c r="FM56" s="2470"/>
      <c r="FN56" s="2471"/>
      <c r="FP56" s="2469" t="str">
        <f t="shared" si="45"/>
        <v/>
      </c>
      <c r="FQ56" s="2470"/>
      <c r="FR56" s="2471"/>
      <c r="FU56" s="1599" t="str">
        <f t="shared" si="47"/>
        <v/>
      </c>
      <c r="FV56" s="2458"/>
      <c r="FW56" s="2458"/>
      <c r="FX56" s="2458"/>
      <c r="FY56" s="2164"/>
      <c r="FZ56" s="3134" t="str" cm="1">
        <f t="array" ref="FZ56">_xlfn.IFS(GC56="","",GC56&lt;=7,"expires soon",OR(GC56&gt;7,GC56="#"),GC56&amp;"d",TRUE,"")</f>
        <v/>
      </c>
      <c r="GB56" s="299"/>
      <c r="GC56" s="3129" t="str">
        <f t="shared" si="46"/>
        <v/>
      </c>
      <c r="GD56" s="3134" t="str" cm="1">
        <f t="array" ref="GD56">_xlfn.IFS(GC56="","",GC56="#","ongoing",GC56=0,"last day",GC56=1,GC56&amp;" day left",GC56&gt;=2,GC56&amp;" days left",TRUE,"")</f>
        <v/>
      </c>
      <c r="GE56" s="262"/>
      <c r="GF56" s="3136"/>
    </row>
    <row r="57" spans="2:201" ht="17.100000000000001" customHeight="1" thickTop="1" thickBot="1" x14ac:dyDescent="0.3">
      <c r="B57" s="2121"/>
      <c r="C57" s="4933"/>
      <c r="D57" s="4933"/>
      <c r="E57" s="4933"/>
      <c r="F57" s="4933"/>
      <c r="G57" s="4933"/>
      <c r="H57" s="4933"/>
      <c r="I57" s="4933"/>
      <c r="J57" s="4933"/>
      <c r="K57" s="4933"/>
      <c r="L57" s="4933"/>
      <c r="M57" s="4933"/>
      <c r="N57" s="4933"/>
      <c r="O57" s="4933"/>
      <c r="P57" s="4933"/>
      <c r="Q57" s="4927"/>
      <c r="R57" s="4927"/>
      <c r="S57" s="2123"/>
      <c r="U57" s="1014"/>
      <c r="V57" s="4992" t="s">
        <v>481</v>
      </c>
      <c r="W57" s="4993"/>
      <c r="X57" s="1021"/>
      <c r="Y57" s="1022"/>
      <c r="Z57" s="1016"/>
      <c r="AA57" s="1016"/>
      <c r="AB57" s="1016"/>
      <c r="AC57" s="1132">
        <v>60</v>
      </c>
      <c r="AD57" s="1132">
        <v>120</v>
      </c>
      <c r="AE57" s="1132">
        <v>180</v>
      </c>
      <c r="AF57" s="1132">
        <v>240</v>
      </c>
      <c r="AG57" s="1132">
        <v>300</v>
      </c>
      <c r="AH57" s="1132">
        <v>360</v>
      </c>
      <c r="AI57" s="1132">
        <v>420</v>
      </c>
      <c r="AJ57" s="1132">
        <v>480</v>
      </c>
      <c r="AK57" s="1132">
        <v>540</v>
      </c>
      <c r="AL57" s="2002">
        <v>600</v>
      </c>
      <c r="AM57" s="1132">
        <v>660</v>
      </c>
      <c r="AN57" s="1132">
        <v>720</v>
      </c>
      <c r="AO57" s="1132">
        <v>780</v>
      </c>
      <c r="AP57" s="1132">
        <v>840</v>
      </c>
      <c r="AQ57" s="1132">
        <v>900</v>
      </c>
      <c r="AR57" s="1132">
        <v>960</v>
      </c>
      <c r="AS57" s="1132">
        <v>1020</v>
      </c>
      <c r="AT57" s="1132">
        <v>1080</v>
      </c>
      <c r="AU57" s="1132">
        <v>1140</v>
      </c>
      <c r="AV57" s="2002">
        <v>1200</v>
      </c>
      <c r="AW57" s="1132">
        <v>1260</v>
      </c>
      <c r="AX57" s="1132">
        <v>1320</v>
      </c>
      <c r="AY57" s="1132">
        <v>1380</v>
      </c>
      <c r="AZ57" s="1132">
        <v>1440</v>
      </c>
      <c r="BA57" s="1132">
        <v>1500</v>
      </c>
      <c r="BB57" s="1132">
        <v>1560</v>
      </c>
      <c r="BC57" s="1132">
        <v>1620</v>
      </c>
      <c r="BD57" s="1132">
        <v>1680</v>
      </c>
      <c r="BE57" s="1132">
        <v>1740</v>
      </c>
      <c r="BF57" s="2002">
        <v>1800</v>
      </c>
      <c r="BG57" s="1018"/>
      <c r="BI57" s="1013"/>
      <c r="BJ57" s="4910"/>
      <c r="BK57" s="4911"/>
      <c r="BL57" s="4911"/>
      <c r="BM57" s="4911"/>
      <c r="BN57" s="4911"/>
      <c r="BO57" s="4911"/>
      <c r="BP57" s="4911"/>
      <c r="BQ57" s="4875"/>
      <c r="BR57" s="4875"/>
      <c r="BS57" s="4875"/>
      <c r="BT57" s="4884"/>
      <c r="BU57" s="4884"/>
      <c r="BV57" s="4884"/>
      <c r="BW57" s="4885" t="str" cm="1">
        <f t="array" ref="BW57">IF(BJ57="","",_xlfn.IFS(
AND(BQ57="",BT57=""),"",
OR(BQ57="free",BQ57="via friend",BQ57="via family"),"ACTIVE",
AND(BQ57&lt;&gt;"",OR(BT57="ongoing",BT57&gt;=$CC$43)),"ACTIVE",
AND(BQ57&lt;&gt;"",BT57=""),"INACTIVE",
TRUE,"EXPIRED"
))</f>
        <v/>
      </c>
      <c r="BX57" s="4885"/>
      <c r="BY57" s="4885"/>
      <c r="BZ57" s="2490"/>
      <c r="CG57" s="2591"/>
      <c r="CH57" s="2591"/>
      <c r="CZ57" s="2591"/>
      <c r="DA57" s="2591"/>
      <c r="DB57" s="2591"/>
      <c r="DC57" s="2591"/>
      <c r="DF57" s="2469"/>
      <c r="DG57" s="2470"/>
      <c r="DH57" s="2471"/>
      <c r="DJ57" s="2469"/>
      <c r="DK57" s="2470"/>
      <c r="DL57" s="2471"/>
      <c r="DP57" s="2144" t="str">
        <f>IF(AND(BB102&lt;&gt;"",BA103&lt;&gt;0),BB102,"")</f>
        <v/>
      </c>
      <c r="DV57" s="299"/>
      <c r="DX57" s="2131"/>
      <c r="ED57" s="299"/>
      <c r="EG57" s="2482">
        <v>6.99</v>
      </c>
      <c r="EH57" s="681"/>
      <c r="EL57" s="1599" t="str">
        <v>ITVX Premium</v>
      </c>
      <c r="EM57" s="2458"/>
      <c r="EN57" s="2458"/>
      <c r="EO57" s="2458"/>
      <c r="EP57" s="2459"/>
      <c r="EQ57" s="1599" t="str">
        <f t="shared" si="43"/>
        <v>ITVX Premium</v>
      </c>
      <c r="ER57" s="2458"/>
      <c r="ES57" s="2458"/>
      <c r="ET57" s="2458"/>
      <c r="EU57" s="2459"/>
      <c r="EW57" s="1599" t="s">
        <v>1556</v>
      </c>
      <c r="EX57" s="2458"/>
      <c r="EY57" s="2458"/>
      <c r="EZ57" s="2458"/>
      <c r="FA57" s="2459"/>
      <c r="FB57" s="2469" t="s">
        <v>1557</v>
      </c>
      <c r="FC57" s="2470"/>
      <c r="FD57" s="2471"/>
      <c r="FF57" s="1599">
        <f t="shared" si="41"/>
        <v>0</v>
      </c>
      <c r="FG57" s="2458"/>
      <c r="FH57" s="2458"/>
      <c r="FI57" s="2458"/>
      <c r="FJ57" s="2479">
        <v>1</v>
      </c>
      <c r="FL57" s="2469" t="str">
        <f t="shared" si="44"/>
        <v/>
      </c>
      <c r="FM57" s="2470"/>
      <c r="FN57" s="2471"/>
      <c r="FP57" s="2469" t="str">
        <f t="shared" si="45"/>
        <v/>
      </c>
      <c r="FQ57" s="2470"/>
      <c r="FR57" s="2471"/>
      <c r="FU57" s="1599" t="str">
        <f t="shared" si="47"/>
        <v/>
      </c>
      <c r="FV57" s="2458"/>
      <c r="FW57" s="2458"/>
      <c r="FX57" s="2458"/>
      <c r="FY57" s="2164"/>
      <c r="FZ57" s="3134" t="str" cm="1">
        <f t="array" ref="FZ57">_xlfn.IFS(GC57="","",GC57&lt;=7,"expires soon",OR(GC57&gt;7,GC57="#"),GC57&amp;"d",TRUE,"")</f>
        <v/>
      </c>
      <c r="GB57" s="299"/>
      <c r="GC57" s="3129" t="str">
        <f t="shared" si="46"/>
        <v/>
      </c>
      <c r="GD57" s="3134" t="str" cm="1">
        <f t="array" ref="GD57">_xlfn.IFS(GC57="","",GC57="#","ongoing",GC57=0,"last day",GC57=1,GC57&amp;" day left",GC57&gt;=2,GC57&amp;" days left",TRUE,"")</f>
        <v/>
      </c>
      <c r="GE57" s="262"/>
      <c r="GF57" s="3136"/>
    </row>
    <row r="58" spans="2:201" ht="17.100000000000001" customHeight="1" thickTop="1" thickBot="1" x14ac:dyDescent="0.3">
      <c r="B58" s="2121"/>
      <c r="C58" s="4933"/>
      <c r="D58" s="4933"/>
      <c r="E58" s="4933"/>
      <c r="F58" s="4933"/>
      <c r="G58" s="4933"/>
      <c r="H58" s="4933"/>
      <c r="I58" s="4933"/>
      <c r="J58" s="4933"/>
      <c r="K58" s="4933"/>
      <c r="L58" s="4933"/>
      <c r="M58" s="4933"/>
      <c r="N58" s="4933"/>
      <c r="O58" s="4933"/>
      <c r="P58" s="4933"/>
      <c r="Q58" s="4927"/>
      <c r="R58" s="4927"/>
      <c r="S58" s="2123"/>
      <c r="U58" s="1014"/>
      <c r="V58" s="4994"/>
      <c r="W58" s="4995"/>
      <c r="X58" s="4975">
        <f>SUM(X46,X50,X54)</f>
        <v>0</v>
      </c>
      <c r="Y58" s="4976"/>
      <c r="Z58" s="4983" t="s">
        <v>85</v>
      </c>
      <c r="AA58" s="4983"/>
      <c r="AB58" s="4983"/>
      <c r="AC58" s="1023">
        <v>1</v>
      </c>
      <c r="AD58" s="1023">
        <v>2</v>
      </c>
      <c r="AE58" s="1023">
        <v>3</v>
      </c>
      <c r="AF58" s="1023">
        <v>4</v>
      </c>
      <c r="AG58" s="1023">
        <v>5</v>
      </c>
      <c r="AH58" s="1023">
        <v>6</v>
      </c>
      <c r="AI58" s="1023">
        <v>7</v>
      </c>
      <c r="AJ58" s="1023">
        <v>8</v>
      </c>
      <c r="AK58" s="1023">
        <v>9</v>
      </c>
      <c r="AL58" s="2001">
        <v>10</v>
      </c>
      <c r="AM58" s="1023">
        <v>11</v>
      </c>
      <c r="AN58" s="1023">
        <v>12</v>
      </c>
      <c r="AO58" s="1023">
        <v>13</v>
      </c>
      <c r="AP58" s="1023">
        <v>14</v>
      </c>
      <c r="AQ58" s="1023">
        <v>15</v>
      </c>
      <c r="AR58" s="1023">
        <v>16</v>
      </c>
      <c r="AS58" s="1023">
        <v>17</v>
      </c>
      <c r="AT58" s="1023">
        <v>18</v>
      </c>
      <c r="AU58" s="1023">
        <v>19</v>
      </c>
      <c r="AV58" s="2001">
        <v>20</v>
      </c>
      <c r="AW58" s="1023">
        <v>21</v>
      </c>
      <c r="AX58" s="1023">
        <v>22</v>
      </c>
      <c r="AY58" s="1023">
        <v>23</v>
      </c>
      <c r="AZ58" s="1023">
        <v>24</v>
      </c>
      <c r="BA58" s="1023">
        <v>25</v>
      </c>
      <c r="BB58" s="1023">
        <v>26</v>
      </c>
      <c r="BC58" s="1023">
        <v>27</v>
      </c>
      <c r="BD58" s="1023">
        <v>28</v>
      </c>
      <c r="BE58" s="1023">
        <v>29</v>
      </c>
      <c r="BF58" s="2001">
        <v>30</v>
      </c>
      <c r="BG58" s="1024"/>
      <c r="BI58" s="1013"/>
      <c r="BJ58" s="4910"/>
      <c r="BK58" s="4911"/>
      <c r="BL58" s="4911"/>
      <c r="BM58" s="4911"/>
      <c r="BN58" s="4911"/>
      <c r="BO58" s="4911"/>
      <c r="BP58" s="4911"/>
      <c r="BQ58" s="4875"/>
      <c r="BR58" s="4875"/>
      <c r="BS58" s="4875"/>
      <c r="BT58" s="4884"/>
      <c r="BU58" s="4884"/>
      <c r="BV58" s="4884"/>
      <c r="BW58" s="4885" t="str" cm="1">
        <f t="array" ref="BW58">IF(BJ58="","",_xlfn.IFS(
AND(BQ58="",BT58=""),"",
OR(BQ58="free",BQ58="via friend",BQ58="via family"),"ACTIVE",
AND(BQ58&lt;&gt;"",OR(BT58="ongoing",BT58&gt;=$CC$43)),"ACTIVE",
AND(BQ58&lt;&gt;"",BT58=""),"INACTIVE",
TRUE,"EXPIRED"
))</f>
        <v/>
      </c>
      <c r="BX58" s="4885"/>
      <c r="BY58" s="4885"/>
      <c r="BZ58" s="2490"/>
      <c r="CG58" s="2591"/>
      <c r="CH58" s="2591"/>
      <c r="CZ58" s="2591"/>
      <c r="DA58" s="2591"/>
      <c r="DB58" s="2591"/>
      <c r="DC58" s="2591"/>
      <c r="DF58" s="2469"/>
      <c r="DG58" s="2470"/>
      <c r="DH58" s="2471"/>
      <c r="DJ58" s="2469"/>
      <c r="DK58" s="2470"/>
      <c r="DL58" s="2471"/>
      <c r="DP58" s="2144" t="str">
        <f>IF(AND(BB104&lt;&gt;"",BA105&lt;&gt;0),BB104,"")</f>
        <v/>
      </c>
      <c r="DV58" s="299"/>
      <c r="DX58" s="2131"/>
      <c r="ED58" s="299"/>
      <c r="EG58" s="2482">
        <v>7.99</v>
      </c>
      <c r="EH58" s="681"/>
      <c r="EL58" s="1599" t="str">
        <v>My5</v>
      </c>
      <c r="EM58" s="2458"/>
      <c r="EN58" s="2458"/>
      <c r="EO58" s="2458"/>
      <c r="EP58" s="2459"/>
      <c r="EQ58" s="1599" t="str">
        <f t="shared" si="43"/>
        <v>My5</v>
      </c>
      <c r="ER58" s="2458"/>
      <c r="ES58" s="2458"/>
      <c r="ET58" s="2458"/>
      <c r="EU58" s="2459"/>
      <c r="EW58" s="1599" t="s">
        <v>1558</v>
      </c>
      <c r="EX58" s="2458"/>
      <c r="EY58" s="2458"/>
      <c r="EZ58" s="2458"/>
      <c r="FA58" s="2459"/>
      <c r="FB58" s="2469" t="s">
        <v>1558</v>
      </c>
      <c r="FC58" s="2470"/>
      <c r="FD58" s="2471"/>
      <c r="FF58" s="1600">
        <f t="shared" si="41"/>
        <v>0</v>
      </c>
      <c r="FG58" s="2461"/>
      <c r="FH58" s="2461"/>
      <c r="FI58" s="2461"/>
      <c r="FJ58" s="2480">
        <v>1</v>
      </c>
      <c r="FL58" s="2474" t="str">
        <f t="shared" si="44"/>
        <v/>
      </c>
      <c r="FM58" s="2475"/>
      <c r="FN58" s="2476"/>
      <c r="FP58" s="2474" t="str">
        <f t="shared" si="45"/>
        <v/>
      </c>
      <c r="FQ58" s="2475"/>
      <c r="FR58" s="2476"/>
      <c r="FU58" s="1600" t="str">
        <f t="shared" si="47"/>
        <v/>
      </c>
      <c r="FV58" s="2461"/>
      <c r="FW58" s="2461"/>
      <c r="FX58" s="2461"/>
      <c r="FY58" s="3124"/>
      <c r="FZ58" s="3137" t="str" cm="1">
        <f t="array" ref="FZ58">_xlfn.IFS(GC58="","",GC58&lt;=7,"expires soon",OR(GC58&gt;7,GC58="#"),GC58&amp;"d",TRUE,"")</f>
        <v/>
      </c>
      <c r="GA58" s="3126"/>
      <c r="GB58" s="3127"/>
      <c r="GC58" s="3130" t="str">
        <f t="shared" si="46"/>
        <v/>
      </c>
      <c r="GD58" s="3137" t="str" cm="1">
        <f t="array" ref="GD58">_xlfn.IFS(GC58="","",GC58="#","ongoing",GC58=0,"last day",GC58=1,GC58&amp;" day left",GC58&gt;=2,GC58&amp;" days left",TRUE,"")</f>
        <v/>
      </c>
      <c r="GE58" s="3138"/>
      <c r="GF58" s="3139"/>
    </row>
    <row r="59" spans="2:201" ht="17.100000000000001" customHeight="1" thickTop="1" thickBot="1" x14ac:dyDescent="0.3">
      <c r="B59" s="2121"/>
      <c r="C59" s="2122"/>
      <c r="D59" s="2122"/>
      <c r="E59" s="2122"/>
      <c r="F59" s="2122"/>
      <c r="G59" s="2122"/>
      <c r="H59" s="2122"/>
      <c r="I59" s="2122"/>
      <c r="J59" s="2122"/>
      <c r="K59" s="2122"/>
      <c r="L59" s="2122"/>
      <c r="M59" s="2122"/>
      <c r="N59" s="2122"/>
      <c r="O59" s="2122"/>
      <c r="P59" s="2122"/>
      <c r="Q59" s="2122"/>
      <c r="R59" s="2122"/>
      <c r="S59" s="2123"/>
      <c r="U59" s="1014"/>
      <c r="V59" s="1143"/>
      <c r="W59" s="1144" t="s">
        <v>70</v>
      </c>
      <c r="X59" s="4934">
        <f>$CU$29</f>
        <v>0</v>
      </c>
      <c r="Y59" s="4935"/>
      <c r="Z59" s="4977">
        <f>X58-X59</f>
        <v>0</v>
      </c>
      <c r="AA59" s="4978"/>
      <c r="AB59" s="1025"/>
      <c r="AC59" s="1025"/>
      <c r="AD59" s="1025"/>
      <c r="AE59" s="1025"/>
      <c r="AF59" s="1025"/>
      <c r="AG59" s="1025"/>
      <c r="AH59" s="1025"/>
      <c r="AI59" s="1025"/>
      <c r="AJ59" s="1025"/>
      <c r="AK59" s="1025"/>
      <c r="AL59" s="1025"/>
      <c r="AM59" s="1025"/>
      <c r="AN59" s="1025"/>
      <c r="AO59" s="1025"/>
      <c r="AP59" s="1025"/>
      <c r="AQ59" s="1025"/>
      <c r="AR59" s="1025"/>
      <c r="AS59" s="1025"/>
      <c r="AT59" s="1025"/>
      <c r="AU59" s="1025"/>
      <c r="AV59" s="1025"/>
      <c r="AW59" s="1025"/>
      <c r="AX59" s="1025"/>
      <c r="AY59" s="1025"/>
      <c r="AZ59" s="1025"/>
      <c r="BA59" s="1025"/>
      <c r="BB59" s="1025"/>
      <c r="BC59" s="1025"/>
      <c r="BD59" s="1025"/>
      <c r="BE59" s="1025"/>
      <c r="BF59" s="1025"/>
      <c r="BG59" s="1026"/>
      <c r="BI59" s="1013"/>
      <c r="BJ59" s="1013"/>
      <c r="BK59" s="1013"/>
      <c r="BL59" s="1013"/>
      <c r="BM59" s="1013"/>
      <c r="BN59" s="1013"/>
      <c r="BO59" s="1013"/>
      <c r="BP59" s="1013"/>
      <c r="BQ59" s="1013"/>
      <c r="BR59" s="1013"/>
      <c r="BS59" s="1013"/>
      <c r="BT59" s="1013"/>
      <c r="BU59" s="1013"/>
      <c r="BV59" s="1013"/>
      <c r="BW59" s="1013"/>
      <c r="BX59" s="1013"/>
      <c r="BY59" s="1013"/>
      <c r="BZ59" s="1013"/>
      <c r="CG59" s="2591"/>
      <c r="CH59" s="2591"/>
      <c r="CZ59" s="2591"/>
      <c r="DA59" s="2591"/>
      <c r="DB59" s="2591"/>
      <c r="DC59" s="2591"/>
      <c r="DF59" s="2469"/>
      <c r="DG59" s="2470"/>
      <c r="DH59" s="2471"/>
      <c r="DJ59" s="2469"/>
      <c r="DK59" s="2470"/>
      <c r="DL59" s="2471"/>
      <c r="DP59" s="2144" t="str">
        <f>IF(AND(BB106&lt;&gt;"",BA107&lt;&gt;0),BB106,"")</f>
        <v/>
      </c>
      <c r="DV59" s="299"/>
      <c r="DX59" s="2131"/>
      <c r="ED59" s="299"/>
      <c r="EG59" s="2482">
        <v>8.99</v>
      </c>
      <c r="EH59" s="681"/>
      <c r="EL59" s="1599" t="str">
        <v>Freevee</v>
      </c>
      <c r="EP59" s="299"/>
      <c r="EQ59" s="1599" t="str">
        <f t="shared" si="43"/>
        <v>Freevee</v>
      </c>
      <c r="EU59" s="299"/>
      <c r="EW59" s="1599" t="s">
        <v>1539</v>
      </c>
      <c r="EX59" s="2458"/>
      <c r="EY59" s="2458"/>
      <c r="EZ59" s="2458"/>
      <c r="FA59" s="2459"/>
      <c r="FB59" s="2469" t="s">
        <v>1539</v>
      </c>
      <c r="FC59" s="2470"/>
      <c r="FD59" s="2471"/>
      <c r="FF59" s="2472"/>
      <c r="FG59" s="2473"/>
      <c r="FH59" s="2473"/>
      <c r="FI59" s="2473"/>
      <c r="FJ59" s="1557"/>
      <c r="FL59" s="2474" t="s">
        <v>1544</v>
      </c>
      <c r="FM59" s="2475"/>
      <c r="FN59" s="2476"/>
      <c r="FP59" s="2474" t="s">
        <v>707</v>
      </c>
      <c r="FQ59" s="2475"/>
      <c r="FR59" s="2476"/>
    </row>
    <row r="60" spans="2:201" ht="17.100000000000001" customHeight="1" thickTop="1" x14ac:dyDescent="0.25">
      <c r="CA60" s="101"/>
      <c r="DF60" s="2469"/>
      <c r="DG60" s="2470"/>
      <c r="DH60" s="2471"/>
      <c r="DJ60" s="2469"/>
      <c r="DK60" s="2470"/>
      <c r="DL60" s="2471"/>
      <c r="DP60" s="2136" t="str">
        <f>IF(AND(BB108&lt;&gt;"",BA109&lt;&gt;0),BB108,"")</f>
        <v/>
      </c>
      <c r="DV60" s="299"/>
      <c r="DX60" s="2131"/>
      <c r="ED60" s="299"/>
      <c r="EG60" s="2482">
        <v>9.99</v>
      </c>
      <c r="EH60" s="681"/>
      <c r="EL60" s="1599" t="str">
        <v>Lionsgate+</v>
      </c>
      <c r="EP60" s="299"/>
      <c r="EQ60" s="1599" t="str">
        <f t="shared" si="43"/>
        <v>Lionsgate+</v>
      </c>
      <c r="EU60" s="299"/>
      <c r="EW60" s="1599" t="s">
        <v>1542</v>
      </c>
      <c r="EX60" s="2458"/>
      <c r="EY60" s="2458"/>
      <c r="EZ60" s="2458"/>
      <c r="FA60" s="2459"/>
      <c r="FB60" s="2469" t="s">
        <v>1543</v>
      </c>
      <c r="FC60" s="2470"/>
      <c r="FD60" s="2471"/>
      <c r="FL60" s="2474" t="s">
        <v>379</v>
      </c>
      <c r="FM60" s="2475"/>
      <c r="FN60" s="2476"/>
      <c r="FP60" s="2474" t="s">
        <v>1544</v>
      </c>
      <c r="FQ60" s="2475"/>
      <c r="FR60" s="2476"/>
    </row>
    <row r="61" spans="2:201" ht="17.100000000000001" customHeight="1" x14ac:dyDescent="0.25">
      <c r="AN61" s="34" t="s">
        <v>9</v>
      </c>
      <c r="BK61" s="1183"/>
      <c r="CA61" s="101"/>
      <c r="DF61" s="2469"/>
      <c r="DG61" s="2470"/>
      <c r="DH61" s="2471"/>
      <c r="DJ61" s="2469"/>
      <c r="DK61" s="2470"/>
      <c r="DL61" s="2471"/>
      <c r="DP61" s="2136" t="str">
        <f>IF(AND(BB110&lt;&gt;"",BA111&lt;&gt;0),BB110,"")</f>
        <v/>
      </c>
      <c r="DV61" s="299"/>
      <c r="DX61" s="2131"/>
      <c r="ED61" s="299"/>
      <c r="EG61" s="2482">
        <v>10.99</v>
      </c>
      <c r="EH61" s="681"/>
      <c r="EL61" s="1599" t="str">
        <v>HBO Max</v>
      </c>
      <c r="EP61" s="299"/>
      <c r="EQ61" s="1599" t="str">
        <f t="shared" si="43"/>
        <v>HBO Max</v>
      </c>
      <c r="EU61" s="299"/>
      <c r="EW61" s="1599" t="s">
        <v>1536</v>
      </c>
      <c r="EX61" s="2458"/>
      <c r="EY61" s="2458"/>
      <c r="EZ61" s="2458"/>
      <c r="FA61" s="2459"/>
      <c r="FB61" s="2469" t="s">
        <v>1540</v>
      </c>
      <c r="FC61" s="2470"/>
      <c r="FD61" s="2471"/>
      <c r="FL61" s="2474" t="s">
        <v>380</v>
      </c>
      <c r="FM61" s="2475"/>
      <c r="FN61" s="2476"/>
      <c r="FP61" s="2474" t="s">
        <v>379</v>
      </c>
      <c r="FQ61" s="2475"/>
      <c r="FR61" s="2476"/>
    </row>
    <row r="62" spans="2:201" ht="17.100000000000001" customHeight="1" thickBot="1" x14ac:dyDescent="0.3">
      <c r="AN62" s="34" t="s">
        <v>9</v>
      </c>
      <c r="CA62" s="101"/>
      <c r="DF62" s="2469"/>
      <c r="DG62" s="2470"/>
      <c r="DH62" s="2471"/>
      <c r="DJ62" s="2469"/>
      <c r="DK62" s="2470"/>
      <c r="DL62" s="2471"/>
      <c r="DP62" s="2136" t="str">
        <f>IF(AND(BB112&lt;&gt;"",BA113&lt;&gt;0),BB112,"")</f>
        <v/>
      </c>
      <c r="DV62" s="299"/>
      <c r="DX62" s="2131"/>
      <c r="ED62" s="299"/>
      <c r="EG62" s="2482">
        <v>11.99</v>
      </c>
      <c r="EH62" s="681"/>
      <c r="EL62" s="1599" t="str">
        <v>Mubi</v>
      </c>
      <c r="EP62" s="299"/>
      <c r="EQ62" s="1599" t="str">
        <f t="shared" si="43"/>
        <v>Mubi</v>
      </c>
      <c r="EU62" s="299"/>
      <c r="EW62" s="1599" t="s">
        <v>143</v>
      </c>
      <c r="EX62" s="2458"/>
      <c r="EY62" s="2458"/>
      <c r="EZ62" s="2458"/>
      <c r="FA62" s="2459"/>
      <c r="FB62" s="2469" t="s">
        <v>143</v>
      </c>
      <c r="FC62" s="2470"/>
      <c r="FD62" s="2471"/>
      <c r="FL62" s="2474" t="s">
        <v>381</v>
      </c>
      <c r="FM62" s="2475"/>
      <c r="FN62" s="2476"/>
      <c r="FP62" s="2474" t="s">
        <v>380</v>
      </c>
      <c r="FQ62" s="2475"/>
      <c r="FR62" s="2476"/>
    </row>
    <row r="63" spans="2:201" ht="17.100000000000001" customHeight="1" thickTop="1" thickBot="1" x14ac:dyDescent="0.3">
      <c r="B63" s="1027" t="s">
        <v>548</v>
      </c>
      <c r="C63" s="1028"/>
      <c r="D63" s="1028"/>
      <c r="E63" s="1028"/>
      <c r="F63" s="1028"/>
      <c r="G63" s="1028"/>
      <c r="H63" s="1028"/>
      <c r="I63" s="1028"/>
      <c r="J63" s="1028"/>
      <c r="K63" s="1028"/>
      <c r="L63" s="1028"/>
      <c r="M63" s="1028"/>
      <c r="N63" s="1028"/>
      <c r="O63" s="1029"/>
      <c r="P63" s="1030"/>
      <c r="Q63" s="1031"/>
      <c r="R63" s="1031"/>
      <c r="S63" s="1031"/>
      <c r="T63" s="1031"/>
      <c r="U63" s="1031"/>
      <c r="V63" s="1031"/>
      <c r="W63" s="1031"/>
      <c r="X63" s="1031"/>
      <c r="Y63" s="1031"/>
      <c r="Z63" s="1032"/>
      <c r="AB63" s="1027" t="s">
        <v>549</v>
      </c>
      <c r="AC63" s="1031"/>
      <c r="AD63" s="1031"/>
      <c r="AE63" s="1031"/>
      <c r="AF63" s="1031"/>
      <c r="AG63" s="1031"/>
      <c r="AH63" s="1031"/>
      <c r="AI63" s="1031"/>
      <c r="AJ63" s="1031"/>
      <c r="AK63" s="1031"/>
      <c r="AL63" s="1031"/>
      <c r="AM63" s="1031"/>
      <c r="AN63" s="1031"/>
      <c r="AO63" s="1033"/>
      <c r="AP63" s="1030"/>
      <c r="AQ63" s="1031"/>
      <c r="AR63" s="1031"/>
      <c r="AS63" s="1031"/>
      <c r="AT63" s="1031"/>
      <c r="AU63" s="1031"/>
      <c r="AV63" s="1031"/>
      <c r="AW63" s="1031"/>
      <c r="AX63" s="1031"/>
      <c r="AY63" s="1031"/>
      <c r="AZ63" s="1032"/>
      <c r="BB63" s="1027" t="s">
        <v>1712</v>
      </c>
      <c r="BC63" s="1031"/>
      <c r="BD63" s="1031"/>
      <c r="BE63" s="1031"/>
      <c r="BF63" s="1031"/>
      <c r="BG63" s="1031"/>
      <c r="BH63" s="1031"/>
      <c r="BI63" s="1031"/>
      <c r="BJ63" s="1031"/>
      <c r="BK63" s="1031"/>
      <c r="BL63" s="1031"/>
      <c r="BM63" s="1031"/>
      <c r="BN63" s="1031"/>
      <c r="BO63" s="1031"/>
      <c r="BP63" s="1034"/>
      <c r="BQ63" s="1035"/>
      <c r="BR63" s="1035"/>
      <c r="BS63" s="1035"/>
      <c r="BT63" s="1035"/>
      <c r="BU63" s="1035"/>
      <c r="BV63" s="1036"/>
      <c r="BW63" s="1036"/>
      <c r="BX63" s="1036"/>
      <c r="BY63" s="1036"/>
      <c r="BZ63" s="1037"/>
      <c r="CA63" s="101"/>
      <c r="DF63" s="2474"/>
      <c r="DG63" s="2475"/>
      <c r="DH63" s="2476"/>
      <c r="DJ63" s="2469"/>
      <c r="DK63" s="2470"/>
      <c r="DL63" s="2471"/>
      <c r="DO63" s="2143"/>
      <c r="DP63" s="2136" t="str">
        <f>IF(AND(BB114&lt;&gt;"",BA115&lt;&gt;0),BB114,"")</f>
        <v/>
      </c>
      <c r="DV63" s="299"/>
      <c r="DX63" s="2131"/>
      <c r="ED63" s="299"/>
      <c r="EG63" s="2482">
        <v>12.99</v>
      </c>
      <c r="EH63" s="681"/>
      <c r="EL63" s="1599" t="str">
        <v>Peacock</v>
      </c>
      <c r="EP63" s="299"/>
      <c r="EQ63" s="1599" t="str">
        <f t="shared" si="43"/>
        <v>Peacock</v>
      </c>
      <c r="EU63" s="299"/>
      <c r="EW63" s="1599" t="s">
        <v>1538</v>
      </c>
      <c r="EX63" s="2458"/>
      <c r="EY63" s="2458"/>
      <c r="EZ63" s="2458"/>
      <c r="FA63" s="2459"/>
      <c r="FB63" s="2469" t="s">
        <v>1538</v>
      </c>
      <c r="FC63" s="2470"/>
      <c r="FD63" s="2471"/>
      <c r="FP63" s="2474" t="s">
        <v>381</v>
      </c>
      <c r="FQ63" s="2475"/>
      <c r="FR63" s="2476"/>
    </row>
    <row r="64" spans="2:201" ht="17.100000000000001" customHeight="1" thickTop="1" thickBot="1" x14ac:dyDescent="0.3">
      <c r="B64" s="2723" t="s">
        <v>372</v>
      </c>
      <c r="C64" s="2724"/>
      <c r="D64" s="2724"/>
      <c r="E64" s="2724"/>
      <c r="F64" s="2724"/>
      <c r="G64" s="2724"/>
      <c r="H64" s="2724"/>
      <c r="I64" s="2724"/>
      <c r="J64" s="2724"/>
      <c r="K64" s="2724"/>
      <c r="L64" s="2724"/>
      <c r="M64" s="2725"/>
      <c r="N64" s="2725"/>
      <c r="O64" s="2726" t="s">
        <v>130</v>
      </c>
      <c r="P64" s="2727" t="s">
        <v>519</v>
      </c>
      <c r="Q64" s="954"/>
      <c r="R64" s="955"/>
      <c r="S64" s="954"/>
      <c r="T64" s="955"/>
      <c r="U64" s="954"/>
      <c r="V64" s="955"/>
      <c r="W64" s="954"/>
      <c r="X64" s="955"/>
      <c r="Y64" s="2728" t="s">
        <v>522</v>
      </c>
      <c r="Z64" s="1133" t="s">
        <v>128</v>
      </c>
      <c r="AB64" s="2723" t="s">
        <v>407</v>
      </c>
      <c r="AC64" s="2724"/>
      <c r="AD64" s="2724"/>
      <c r="AE64" s="2724"/>
      <c r="AF64" s="2724"/>
      <c r="AG64" s="2724"/>
      <c r="AH64" s="2724"/>
      <c r="AI64" s="2724"/>
      <c r="AJ64" s="2724"/>
      <c r="AK64" s="2724"/>
      <c r="AL64" s="2724"/>
      <c r="AM64" s="2725"/>
      <c r="AN64" s="2725"/>
      <c r="AO64" s="2726" t="s">
        <v>130</v>
      </c>
      <c r="AP64" s="2727" t="s">
        <v>520</v>
      </c>
      <c r="AQ64" s="954"/>
      <c r="AR64" s="955"/>
      <c r="AS64" s="954"/>
      <c r="AT64" s="955"/>
      <c r="AU64" s="954"/>
      <c r="AV64" s="955"/>
      <c r="AW64" s="954"/>
      <c r="AX64" s="955"/>
      <c r="AY64" s="2728" t="s">
        <v>522</v>
      </c>
      <c r="AZ64" s="1133" t="s">
        <v>128</v>
      </c>
      <c r="BB64" s="2723" t="s">
        <v>408</v>
      </c>
      <c r="BC64" s="2724"/>
      <c r="BD64" s="2724"/>
      <c r="BE64" s="2724"/>
      <c r="BF64" s="2724"/>
      <c r="BG64" s="2724"/>
      <c r="BH64" s="2724"/>
      <c r="BI64" s="2724"/>
      <c r="BJ64" s="2724"/>
      <c r="BK64" s="2724"/>
      <c r="BL64" s="2724"/>
      <c r="BM64" s="2725"/>
      <c r="BN64" s="2725"/>
      <c r="BO64" s="2726" t="s">
        <v>130</v>
      </c>
      <c r="BP64" s="2727" t="s">
        <v>1685</v>
      </c>
      <c r="BQ64" s="957"/>
      <c r="BR64" s="958"/>
      <c r="BS64" s="2741"/>
      <c r="BT64" s="2741"/>
      <c r="BU64" s="2741"/>
      <c r="BV64" s="2742" t="str">
        <f>$BV$5</f>
        <v>Film of the Week</v>
      </c>
      <c r="BW64" s="2741"/>
      <c r="BX64" s="2741"/>
      <c r="BY64" s="2741"/>
      <c r="BZ64" s="2754"/>
      <c r="CA64" s="101"/>
      <c r="DJ64" s="2474"/>
      <c r="DK64" s="2475"/>
      <c r="DL64" s="2476"/>
      <c r="DP64" s="2136" t="str">
        <f>IF(AND(BB116&lt;&gt;"",BA117&lt;&gt;0),BB116,"")</f>
        <v/>
      </c>
      <c r="DV64" s="299"/>
      <c r="DX64" s="2131"/>
      <c r="ED64" s="299"/>
      <c r="EG64" s="2482">
        <v>13.99</v>
      </c>
      <c r="EH64" s="681"/>
      <c r="EL64" s="1599" t="str">
        <v>Freevee</v>
      </c>
      <c r="EP64" s="299"/>
      <c r="EQ64" s="1599" t="str">
        <f t="shared" si="43"/>
        <v>Freevee</v>
      </c>
      <c r="EU64" s="299"/>
      <c r="EW64" s="1599" t="s">
        <v>1539</v>
      </c>
      <c r="EX64" s="2458"/>
      <c r="EY64" s="2458"/>
      <c r="EZ64" s="2458"/>
      <c r="FA64" s="2459"/>
      <c r="FB64" s="2469" t="s">
        <v>1539</v>
      </c>
      <c r="FC64" s="2470"/>
      <c r="FD64" s="2471"/>
    </row>
    <row r="65" spans="1:160" ht="17.100000000000001" customHeight="1" thickTop="1" thickBot="1" x14ac:dyDescent="0.3">
      <c r="B65" s="2730" t="s">
        <v>129</v>
      </c>
      <c r="C65" s="2731"/>
      <c r="D65" s="2731"/>
      <c r="E65" s="2731"/>
      <c r="F65" s="2731"/>
      <c r="G65" s="2731"/>
      <c r="H65" s="2731"/>
      <c r="I65" s="2732" t="s">
        <v>121</v>
      </c>
      <c r="J65" s="2731"/>
      <c r="K65" s="2731"/>
      <c r="L65" s="2732" t="s">
        <v>177</v>
      </c>
      <c r="M65" s="2731"/>
      <c r="N65" s="2731"/>
      <c r="O65" s="2733" t="s">
        <v>70</v>
      </c>
      <c r="P65" s="2730" t="s">
        <v>518</v>
      </c>
      <c r="Q65" s="2734"/>
      <c r="R65" s="2735"/>
      <c r="S65" s="2736"/>
      <c r="T65" s="2737"/>
      <c r="U65" s="2736"/>
      <c r="V65" s="2737"/>
      <c r="W65" s="2736"/>
      <c r="X65" s="2737"/>
      <c r="Y65" s="2738"/>
      <c r="Z65" s="2739"/>
      <c r="AB65" s="2730" t="s">
        <v>131</v>
      </c>
      <c r="AC65" s="2731"/>
      <c r="AD65" s="2731"/>
      <c r="AE65" s="2731"/>
      <c r="AF65" s="2731"/>
      <c r="AG65" s="2731"/>
      <c r="AH65" s="2731"/>
      <c r="AI65" s="2732" t="s">
        <v>121</v>
      </c>
      <c r="AJ65" s="2731"/>
      <c r="AK65" s="2731"/>
      <c r="AL65" s="2732" t="s">
        <v>177</v>
      </c>
      <c r="AM65" s="2731"/>
      <c r="AN65" s="2731"/>
      <c r="AO65" s="2733" t="s">
        <v>70</v>
      </c>
      <c r="AP65" s="2730" t="s">
        <v>518</v>
      </c>
      <c r="AQ65" s="2734"/>
      <c r="AR65" s="2735"/>
      <c r="AS65" s="2736"/>
      <c r="AT65" s="2737"/>
      <c r="AU65" s="2736"/>
      <c r="AV65" s="2737"/>
      <c r="AW65" s="2736"/>
      <c r="AX65" s="2737"/>
      <c r="AY65" s="2736"/>
      <c r="AZ65" s="2756"/>
      <c r="BB65" s="2730" t="s">
        <v>132</v>
      </c>
      <c r="BC65" s="2731"/>
      <c r="BD65" s="2731"/>
      <c r="BE65" s="2731"/>
      <c r="BF65" s="2731"/>
      <c r="BG65" s="2731"/>
      <c r="BH65" s="2731"/>
      <c r="BI65" s="2732" t="s">
        <v>121</v>
      </c>
      <c r="BJ65" s="2731"/>
      <c r="BK65" s="2731"/>
      <c r="BL65" s="2732" t="s">
        <v>177</v>
      </c>
      <c r="BM65" s="2731"/>
      <c r="BN65" s="2731"/>
      <c r="BO65" s="2733" t="s">
        <v>70</v>
      </c>
      <c r="BP65" s="2730" t="s">
        <v>518</v>
      </c>
      <c r="BQ65" s="2743"/>
      <c r="BR65" s="2744"/>
      <c r="BS65" s="2745"/>
      <c r="BT65" s="2745"/>
      <c r="BU65" s="2746"/>
      <c r="BV65" s="2746" t="s">
        <v>1287</v>
      </c>
      <c r="BW65" s="2747"/>
      <c r="BX65" s="2747"/>
      <c r="BY65" s="2747"/>
      <c r="BZ65" s="2755"/>
      <c r="CA65" s="101"/>
      <c r="CC65" s="227"/>
      <c r="CD65" s="228"/>
      <c r="CE65" s="228"/>
      <c r="CF65" s="228"/>
      <c r="CG65" s="228"/>
      <c r="CH65" s="228"/>
      <c r="CI65" s="228"/>
      <c r="CJ65" s="228"/>
      <c r="CK65" s="256"/>
      <c r="CN65" s="227"/>
      <c r="CO65" s="1128" t="s">
        <v>862</v>
      </c>
      <c r="CP65" s="228"/>
      <c r="CQ65" s="228"/>
      <c r="CR65" s="228"/>
      <c r="CS65" s="228"/>
      <c r="CT65" s="228"/>
      <c r="CU65" s="228"/>
      <c r="CV65" s="228"/>
      <c r="CW65" s="256"/>
      <c r="CZ65" s="377"/>
      <c r="DP65" s="2136" t="str">
        <f>IF(AND(BB118&lt;&gt;"",BA119&lt;&gt;0),BB118,"")</f>
        <v/>
      </c>
      <c r="DV65" s="299"/>
      <c r="DX65" s="2131"/>
      <c r="ED65" s="299"/>
      <c r="EG65" s="2482">
        <v>14.99</v>
      </c>
      <c r="EH65" s="681"/>
      <c r="EL65" s="1599" t="str">
        <v>Tubi</v>
      </c>
      <c r="EP65" s="299"/>
      <c r="EQ65" s="1599" t="str">
        <f t="shared" si="43"/>
        <v>Tubi</v>
      </c>
      <c r="EU65" s="299"/>
      <c r="EW65" s="1599" t="s">
        <v>1561</v>
      </c>
      <c r="EX65" s="2458"/>
      <c r="EY65" s="2458"/>
      <c r="EZ65" s="2458"/>
      <c r="FA65" s="2459"/>
      <c r="FB65" s="2469" t="s">
        <v>1561</v>
      </c>
      <c r="FC65" s="2470"/>
      <c r="FD65" s="2471"/>
    </row>
    <row r="66" spans="1:160" ht="17.100000000000001" customHeight="1" thickTop="1" thickBot="1" x14ac:dyDescent="0.3">
      <c r="A66" s="2151" cm="1">
        <f t="array" aca="1" ref="A66" ca="1">_xlfn.IFS(
B66="",0,
A67=0,0,
AND(B66=$L$28,$F$28=$F$27),1,
AND(B66=$L$29,$F$29=$F$27),1,
AND(B66=$L$30,$F$30=$F$27),1,
AND(B66=$L$31,$F$31=$F$27),1,
AND(B66=$L$32,$F$32=$F$27),1,
AND(B66=$L$33,$F$33=$F$27),1,
AND(B66=$L$34,$F$34=$F$27),1,
AND(B66=$L$35,$F$35=$F$27),1,
AND(B66=$L$36,$F$36=$F$27),1,
TRUE,0)</f>
        <v>0</v>
      </c>
      <c r="B66" s="4874"/>
      <c r="C66" s="4542"/>
      <c r="D66" s="4542"/>
      <c r="E66" s="4542"/>
      <c r="F66" s="4542"/>
      <c r="G66" s="4542"/>
      <c r="H66" s="4542"/>
      <c r="I66" s="4542"/>
      <c r="J66" s="4542"/>
      <c r="K66" s="4542"/>
      <c r="L66" s="4542"/>
      <c r="M66" s="4551"/>
      <c r="N66" s="4551"/>
      <c r="O66" s="4552"/>
      <c r="P66" s="4913"/>
      <c r="Q66" s="4914"/>
      <c r="R66" s="4913"/>
      <c r="S66" s="4914"/>
      <c r="T66" s="4913"/>
      <c r="U66" s="4914"/>
      <c r="V66" s="4913"/>
      <c r="W66" s="4914"/>
      <c r="X66" s="4913"/>
      <c r="Y66" s="4914"/>
      <c r="Z66" s="1040"/>
      <c r="AA66" s="41" cm="1">
        <f t="array" aca="1" ref="AA66" ca="1">_xlfn.IFS(
AB66="",0,
AA67=0,0,
AND(AB66=$L$28,$F$28=$F$27),1,
AND(AB66=$L$29,$F$29=$F$27),1,
AND(AB66=$L$30,$F$30=$F$27),1,
AND(AB66=$L$31,$F$31=$F$27),1,
AND(AB66=$L$32,$F$32=$F$27),1,
AND(AB66=$L$33,$F$33=$F$27),1,
AND(AB66=$L$34,$F$34=$F$27),1,
AND(AB66=$L$35,$F$35=$F$27),1,
AND(AB66=$L$36,$F$36=$F$27),1,
TRUE,0)</f>
        <v>0</v>
      </c>
      <c r="AB66" s="4874"/>
      <c r="AC66" s="4542"/>
      <c r="AD66" s="4542"/>
      <c r="AE66" s="4542"/>
      <c r="AF66" s="4542"/>
      <c r="AG66" s="4542"/>
      <c r="AH66" s="4542"/>
      <c r="AI66" s="4542"/>
      <c r="AJ66" s="4542"/>
      <c r="AK66" s="4542"/>
      <c r="AL66" s="4542"/>
      <c r="AM66" s="4551"/>
      <c r="AN66" s="4551"/>
      <c r="AO66" s="4552"/>
      <c r="AP66" s="2494"/>
      <c r="AQ66" s="2494"/>
      <c r="AR66" s="2494"/>
      <c r="AS66" s="2494"/>
      <c r="AT66" s="2494"/>
      <c r="AU66" s="2494"/>
      <c r="AV66" s="2494"/>
      <c r="AW66" s="2494"/>
      <c r="AX66" s="2494"/>
      <c r="AY66" s="2494"/>
      <c r="AZ66" s="1047"/>
      <c r="BA66" s="2151" cm="1">
        <f t="array" aca="1" ref="BA66" ca="1">_xlfn.IFS(
BB66="",0,
BA67=0,0,
AND($BU$5=1,BU67=$BU$6),1,
AND(BB66=$L$28,$F$28=$F$27),1,
AND(BB66=$L$29,$F$29=$F$27),1,
AND(BB66=$L$30,$F$30=$F$27),1,
AND(BB66=$L$31,$F$31=$F$27),1,
AND(BB66=$L$32,$F$32=$F$27),1,
AND(BB66=$L$33,$F$33=$F$27),1,
AND(BB66=$L$34,$F$34=$F$27),1,
AND(BB66=$L$35,$F$35=$F$27),1,
AND(BB66=$L$36,$F$36=$F$27),1,
TRUE,0)</f>
        <v>0</v>
      </c>
      <c r="BB66" s="4874"/>
      <c r="BC66" s="4542"/>
      <c r="BD66" s="4542"/>
      <c r="BE66" s="4542"/>
      <c r="BF66" s="4542"/>
      <c r="BG66" s="4542"/>
      <c r="BH66" s="4542"/>
      <c r="BI66" s="4542"/>
      <c r="BJ66" s="4542"/>
      <c r="BK66" s="4542"/>
      <c r="BL66" s="4542"/>
      <c r="BM66" s="4551"/>
      <c r="BN66" s="4551"/>
      <c r="BO66" s="4552"/>
      <c r="BP66" s="4881"/>
      <c r="BQ66" s="4882"/>
      <c r="BR66" s="4883"/>
      <c r="BS66" s="959"/>
      <c r="BT66" s="2234"/>
      <c r="BU66" s="631"/>
      <c r="BV66" s="2244"/>
      <c r="BW66" s="2244"/>
      <c r="BX66" s="2245"/>
      <c r="BY66" s="2246"/>
      <c r="BZ66" s="1038"/>
      <c r="CA66" s="101"/>
      <c r="CC66" s="242"/>
      <c r="CD66" s="960" t="s">
        <v>2355</v>
      </c>
      <c r="CK66" s="299"/>
      <c r="CN66" s="242"/>
      <c r="CO66" s="44" t="s">
        <v>134</v>
      </c>
      <c r="CR66" s="44" t="s">
        <v>135</v>
      </c>
      <c r="CU66" s="44" t="s">
        <v>136</v>
      </c>
      <c r="CW66" s="299"/>
      <c r="CZ66" s="301"/>
      <c r="DP66" s="2140" t="str">
        <f>IF(AND(BB120&lt;&gt;"",BA121&lt;&gt;0),BB120,"")</f>
        <v/>
      </c>
      <c r="DQ66" s="697"/>
      <c r="DR66" s="697"/>
      <c r="DS66" s="697"/>
      <c r="DT66" s="697"/>
      <c r="DU66" s="697"/>
      <c r="DV66" s="2145"/>
      <c r="DX66" s="2131"/>
      <c r="ED66" s="299"/>
      <c r="EG66" s="2482">
        <v>15.99</v>
      </c>
      <c r="EH66" s="681"/>
      <c r="EL66" s="1599" t="str">
        <v>Hulu</v>
      </c>
      <c r="EP66" s="299"/>
      <c r="EQ66" s="1599" t="str">
        <f t="shared" si="43"/>
        <v>Hulu</v>
      </c>
      <c r="EU66" s="299"/>
      <c r="EW66" s="1599" t="s">
        <v>1562</v>
      </c>
      <c r="EX66" s="2458"/>
      <c r="EY66" s="2458"/>
      <c r="EZ66" s="2458"/>
      <c r="FA66" s="2459"/>
      <c r="FB66" s="2469" t="s">
        <v>1562</v>
      </c>
      <c r="FD66" s="2471"/>
    </row>
    <row r="67" spans="1:160" ht="17.100000000000001" customHeight="1" thickTop="1" thickBot="1" x14ac:dyDescent="0.3">
      <c r="A67" s="2152" cm="1">
        <f t="array" ref="A67">_xlfn.IFS(P66="",0,AND(COUNTA(P66:Y66)=COUNTA(P67:Y67),DM67=0),0,TRUE,1)</f>
        <v>0</v>
      </c>
      <c r="B67" s="4540"/>
      <c r="C67" s="4535"/>
      <c r="D67" s="4535"/>
      <c r="E67" s="4535"/>
      <c r="F67" s="4535"/>
      <c r="G67" s="4535"/>
      <c r="H67" s="4535"/>
      <c r="I67" s="4535"/>
      <c r="J67" s="4535"/>
      <c r="K67" s="4535"/>
      <c r="L67" s="4564"/>
      <c r="M67" s="4564"/>
      <c r="N67" s="4876"/>
      <c r="O67" s="4877"/>
      <c r="P67" s="4920"/>
      <c r="Q67" s="4921"/>
      <c r="R67" s="4920"/>
      <c r="S67" s="4921"/>
      <c r="T67" s="4920"/>
      <c r="U67" s="4921"/>
      <c r="V67" s="4920"/>
      <c r="W67" s="4921"/>
      <c r="X67" s="4920"/>
      <c r="Y67" s="4921"/>
      <c r="Z67" s="3386"/>
      <c r="AA67" s="2128" cm="1">
        <f t="array" ref="AA67">_xlfn.IFS(AP66="",0,AND(COUNTA(AP66:AY66)=COUNTA(AP67:AY67),AZ67=0),0,TRUE,1)</f>
        <v>0</v>
      </c>
      <c r="AB67" s="4540"/>
      <c r="AC67" s="4535"/>
      <c r="AD67" s="4535"/>
      <c r="AE67" s="4535"/>
      <c r="AF67" s="4535"/>
      <c r="AG67" s="4535"/>
      <c r="AH67" s="4535"/>
      <c r="AI67" s="4535"/>
      <c r="AJ67" s="4535"/>
      <c r="AK67" s="4535"/>
      <c r="AL67" s="4564"/>
      <c r="AM67" s="4564"/>
      <c r="AN67" s="4876"/>
      <c r="AO67" s="4877"/>
      <c r="AP67" s="1042"/>
      <c r="AQ67" s="1042"/>
      <c r="AR67" s="1042"/>
      <c r="AS67" s="1042"/>
      <c r="AT67" s="1042"/>
      <c r="AU67" s="1042"/>
      <c r="AV67" s="1042"/>
      <c r="AW67" s="1042"/>
      <c r="AX67" s="1042"/>
      <c r="AY67" s="1042"/>
      <c r="AZ67" s="2127" cm="1">
        <f t="array" ref="AZ67">IF(AZ66&lt;&gt;"",_xlfn.IFS(AP68="",0,AND(COUNTA(AP68:AY68)=COUNTA(AP69:AY69),AZ69=0),0,TRUE,1),0)</f>
        <v>0</v>
      </c>
      <c r="BA67" s="2152">
        <f>IF(BP67=0,1,0)</f>
        <v>1</v>
      </c>
      <c r="BB67" s="4540"/>
      <c r="BC67" s="4535"/>
      <c r="BD67" s="4535"/>
      <c r="BE67" s="4535"/>
      <c r="BF67" s="4535"/>
      <c r="BG67" s="4535"/>
      <c r="BH67" s="4535"/>
      <c r="BI67" s="4535"/>
      <c r="BJ67" s="4535"/>
      <c r="BK67" s="4535"/>
      <c r="BL67" s="4564"/>
      <c r="BM67" s="4564"/>
      <c r="BN67" s="4876"/>
      <c r="BO67" s="4877"/>
      <c r="BP67" s="4878"/>
      <c r="BQ67" s="4879"/>
      <c r="BR67" s="4880"/>
      <c r="BS67" s="959"/>
      <c r="BT67" s="2234"/>
      <c r="BU67" s="2239" cm="1">
        <f t="array" ref="BU67">_xlfn.IFS(
BV67="",0,
BV67=$DH$15,1,
BV67=$DH$16,2,
BV67=$DH$17,3,
BV67=$DH$18,4,
BV67=$DH$19,5,
BV67=$DH$20,6,
TRUE,0)</f>
        <v>0</v>
      </c>
      <c r="BV67" s="4873"/>
      <c r="BW67" s="4873"/>
      <c r="BX67" s="4873"/>
      <c r="BY67" s="2247"/>
      <c r="BZ67" s="1038"/>
      <c r="CA67" s="101"/>
      <c r="CC67" s="242"/>
      <c r="CD67" s="262">
        <f>IF($Z67&lt;&gt;"",SUM(P67:Y67),0)</f>
        <v>0</v>
      </c>
      <c r="CK67" s="299"/>
      <c r="CN67" s="242"/>
      <c r="CO67" s="262">
        <f>IF(AND(N67&lt;&gt;"",OR(N67=$Q$51,N67=$Q$52,N67=$Q$53,N67=$Q$54,N67=$Q$55,N67=$Q$56,N67=$Q$57,N67=$Q$58)),SUM(P67:Y67),0)</f>
        <v>0</v>
      </c>
      <c r="CP67" s="101"/>
      <c r="CQ67" s="101"/>
      <c r="CR67" s="262">
        <f>IF(AND(AN67&lt;&gt;"",OR(AN67=$Q$51,AN67=$Q$52,AN67=$Q$53,AN67=$Q$54,AN67=$Q$55,AN67=$Q$56,AN67=$Q$57,AN67=$Q$58)),SUM(AP67:AY67),0)</f>
        <v>0</v>
      </c>
      <c r="CS67" s="101"/>
      <c r="CT67" s="101"/>
      <c r="CU67" s="262">
        <f>IF(AND(BN67&lt;&gt;"",OR(BN67=$Q$51,BN67=$Q$52,BN67=$Q$53,BN67=$Q$54,BN67=$Q$55,BN67=$Q$56,BN67=$Q$57,BN67=$Q$58)),BP67,0)</f>
        <v>0</v>
      </c>
      <c r="CW67" s="299"/>
      <c r="CZ67" s="301"/>
      <c r="DM67" s="2142" cm="1">
        <f t="array" ref="DM67">IF(Z66&lt;&gt;"",_xlfn.IFS(P68="",0,AND(COUNTA(P68:Y68)=COUNTA(P69:Y69),DM69=0),0,TRUE,1),0)</f>
        <v>0</v>
      </c>
      <c r="DP67" s="2150"/>
      <c r="DQ67" s="2133"/>
      <c r="DR67" s="2133"/>
      <c r="DS67" s="2133"/>
      <c r="DT67" s="2133"/>
      <c r="DU67" s="2133"/>
      <c r="DV67" s="2134"/>
      <c r="DX67" s="2131"/>
      <c r="ED67" s="299"/>
      <c r="EG67" s="2482">
        <v>16.989999999999998</v>
      </c>
      <c r="EH67" s="681"/>
      <c r="EL67" s="2477" t="str">
        <v>Starz</v>
      </c>
      <c r="EM67" s="252"/>
      <c r="EN67" s="252"/>
      <c r="EO67" s="252"/>
      <c r="EP67" s="253"/>
      <c r="EQ67" s="2477" t="str">
        <f t="shared" si="43"/>
        <v>Starz</v>
      </c>
      <c r="ER67" s="252"/>
      <c r="ES67" s="252"/>
      <c r="ET67" s="252"/>
      <c r="EU67" s="253"/>
      <c r="EW67" s="1600" t="s">
        <v>1563</v>
      </c>
      <c r="EX67" s="2461"/>
      <c r="EY67" s="2461"/>
      <c r="EZ67" s="2461"/>
      <c r="FA67" s="2462"/>
      <c r="FB67" s="2488" t="s">
        <v>1563</v>
      </c>
      <c r="FC67" s="252"/>
      <c r="FD67" s="2489"/>
    </row>
    <row r="68" spans="1:160" ht="17.100000000000001" customHeight="1" thickTop="1" thickBot="1" x14ac:dyDescent="0.3">
      <c r="A68" s="2151" cm="1">
        <f t="array" aca="1" ref="A68" ca="1">_xlfn.IFS(
B68="",0,
Z66&lt;&gt;"",0,
A69=0,0,
AND(B68=$L$28,$F$28=$F$27),1,
AND(B68=$L$29,$F$29=$F$27),1,
AND(B68=$L$30,$F$30=$F$27),1,
AND(B68=$L$31,$F$31=$F$27),1,
AND(B68=$L$32,$F$32=$F$27),1,
AND(B68=$L$33,$F$33=$F$27),1,
AND(B68=$L$34,$F$34=$F$27),1,
AND(B68=$L$35,$F$35=$F$27),1,
AND(B68=$L$36,$F$36=$F$27),1,
TRUE,0)</f>
        <v>0</v>
      </c>
      <c r="B68" s="4874"/>
      <c r="C68" s="4542"/>
      <c r="D68" s="4542"/>
      <c r="E68" s="4542"/>
      <c r="F68" s="4542"/>
      <c r="G68" s="4542"/>
      <c r="H68" s="4542"/>
      <c r="I68" s="4542"/>
      <c r="J68" s="4542"/>
      <c r="K68" s="4542"/>
      <c r="L68" s="4542"/>
      <c r="M68" s="4551"/>
      <c r="N68" s="4551"/>
      <c r="O68" s="4552"/>
      <c r="P68" s="4913"/>
      <c r="Q68" s="4914"/>
      <c r="R68" s="4913"/>
      <c r="S68" s="4914"/>
      <c r="T68" s="4913"/>
      <c r="U68" s="4914"/>
      <c r="V68" s="4913"/>
      <c r="W68" s="4914"/>
      <c r="X68" s="4913"/>
      <c r="Y68" s="4914"/>
      <c r="Z68" s="1040"/>
      <c r="AA68" s="41" cm="1">
        <f t="array" aca="1" ref="AA68" ca="1">_xlfn.IFS(
AB68="",0,
AZ66&lt;&gt;"",0,
AA69=0,0,
AND(AB68=$L$28,$F$28=$F$27),1,
AND(AB68=$L$29,$F$29=$F$27),1,
AND(AB68=$L$30,$F$30=$F$27),1,
AND(AB68=$L$31,$F$31=$F$27),1,
AND(AB68=$L$32,$F$32=$F$27),1,
AND(AB68=$L$33,$F$33=$F$27),1,
AND(AB68=$L$34,$F$34=$F$27),1,
AND(AB68=$L$35,$F$35=$F$27),1,
AND(AB68=$L$36,$F$36=$F$27),1,
TRUE,0)</f>
        <v>0</v>
      </c>
      <c r="AB68" s="4874"/>
      <c r="AC68" s="4542"/>
      <c r="AD68" s="4542"/>
      <c r="AE68" s="4542"/>
      <c r="AF68" s="4542"/>
      <c r="AG68" s="4542"/>
      <c r="AH68" s="4542"/>
      <c r="AI68" s="4542"/>
      <c r="AJ68" s="4542"/>
      <c r="AK68" s="4542"/>
      <c r="AL68" s="4542"/>
      <c r="AM68" s="4551"/>
      <c r="AN68" s="4551"/>
      <c r="AO68" s="4552"/>
      <c r="AP68" s="2494"/>
      <c r="AQ68" s="2494"/>
      <c r="AR68" s="2494"/>
      <c r="AS68" s="2494"/>
      <c r="AT68" s="2494"/>
      <c r="AU68" s="2494"/>
      <c r="AV68" s="2494"/>
      <c r="AW68" s="2494"/>
      <c r="AX68" s="2494"/>
      <c r="AY68" s="2494"/>
      <c r="AZ68" s="1047"/>
      <c r="BA68" s="2151" cm="1">
        <f t="array" aca="1" ref="BA68" ca="1">_xlfn.IFS(
BB68="",0,
BA69=0,0,
AND($BU$5=1,BU69=$BU$6),1,
AND(BB68=$L$28,$F$28=$F$27),1,
AND(BB68=$L$29,$F$29=$F$27),1,
AND(BB68=$L$30,$F$30=$F$27),1,
AND(BB68=$L$31,$F$31=$F$27),1,
AND(BB68=$L$32,$F$32=$F$27),1,
AND(BB68=$L$33,$F$33=$F$27),1,
AND(BB68=$L$34,$F$34=$F$27),1,
AND(BB68=$L$35,$F$35=$F$27),1,
AND(BB68=$L$36,$F$36=$F$27),1,
TRUE,0)</f>
        <v>0</v>
      </c>
      <c r="BB68" s="4874"/>
      <c r="BC68" s="4542"/>
      <c r="BD68" s="4542"/>
      <c r="BE68" s="4542"/>
      <c r="BF68" s="4542"/>
      <c r="BG68" s="4542"/>
      <c r="BH68" s="4542"/>
      <c r="BI68" s="4542"/>
      <c r="BJ68" s="4542"/>
      <c r="BK68" s="4542"/>
      <c r="BL68" s="4542"/>
      <c r="BM68" s="4551"/>
      <c r="BN68" s="4551"/>
      <c r="BO68" s="4552"/>
      <c r="BP68" s="4881"/>
      <c r="BQ68" s="4882"/>
      <c r="BR68" s="4883"/>
      <c r="BS68" s="959"/>
      <c r="BT68" s="2234"/>
      <c r="BU68" s="1244"/>
      <c r="BV68" s="2244"/>
      <c r="BW68" s="2244"/>
      <c r="BX68" s="2266"/>
      <c r="BY68" s="2237"/>
      <c r="BZ68" s="1038"/>
      <c r="CA68" s="101"/>
      <c r="CC68" s="242"/>
      <c r="CD68" s="262"/>
      <c r="CK68" s="299"/>
      <c r="CN68" s="242"/>
      <c r="CO68" s="262"/>
      <c r="CP68" s="101"/>
      <c r="CQ68" s="101"/>
      <c r="CR68" s="262"/>
      <c r="CS68" s="101"/>
      <c r="CT68" s="101"/>
      <c r="CU68" s="262"/>
      <c r="CW68" s="299"/>
      <c r="CZ68" s="301"/>
      <c r="DP68" s="2135" t="s">
        <v>134</v>
      </c>
      <c r="DQ68" s="2133"/>
      <c r="DR68" s="2133"/>
      <c r="DS68" s="2133"/>
      <c r="DT68" s="2133"/>
      <c r="DU68" s="2133"/>
      <c r="DV68" s="2134"/>
      <c r="DX68" s="2131"/>
      <c r="ED68" s="299"/>
      <c r="EG68" s="2482">
        <v>17.989999999999998</v>
      </c>
      <c r="EH68" s="681"/>
    </row>
    <row r="69" spans="1:160" ht="17.100000000000001" customHeight="1" thickTop="1" thickBot="1" x14ac:dyDescent="0.25">
      <c r="A69" s="2152" cm="1">
        <f t="array" ref="A69">_xlfn.IFS(P68="",0,AND(COUNTA(P68:Y68)=COUNTA(P69:Y69),DM69=0),0,TRUE,1)</f>
        <v>0</v>
      </c>
      <c r="B69" s="4540"/>
      <c r="C69" s="4535"/>
      <c r="D69" s="4535"/>
      <c r="E69" s="4535"/>
      <c r="F69" s="4535"/>
      <c r="G69" s="4535"/>
      <c r="H69" s="4535"/>
      <c r="I69" s="4535"/>
      <c r="J69" s="4535"/>
      <c r="K69" s="4535"/>
      <c r="L69" s="4564"/>
      <c r="M69" s="4564"/>
      <c r="N69" s="4876"/>
      <c r="O69" s="4877"/>
      <c r="P69" s="4920"/>
      <c r="Q69" s="4921"/>
      <c r="R69" s="4920"/>
      <c r="S69" s="4921"/>
      <c r="T69" s="4920"/>
      <c r="U69" s="4921"/>
      <c r="V69" s="4920"/>
      <c r="W69" s="4921"/>
      <c r="X69" s="4920"/>
      <c r="Y69" s="4921"/>
      <c r="Z69" s="3386"/>
      <c r="AA69" s="2128" cm="1">
        <f t="array" ref="AA69">_xlfn.IFS(AP68="",0,AND(COUNTA(AP68:AY68)=COUNTA(AP69:AY69),AZ69=0),0,TRUE,1)</f>
        <v>0</v>
      </c>
      <c r="AB69" s="4540"/>
      <c r="AC69" s="4535"/>
      <c r="AD69" s="4535"/>
      <c r="AE69" s="4535"/>
      <c r="AF69" s="4535"/>
      <c r="AG69" s="4535"/>
      <c r="AH69" s="4535"/>
      <c r="AI69" s="4535"/>
      <c r="AJ69" s="4535"/>
      <c r="AK69" s="4535"/>
      <c r="AL69" s="4564"/>
      <c r="AM69" s="4564"/>
      <c r="AN69" s="4876"/>
      <c r="AO69" s="4877"/>
      <c r="AP69" s="1042"/>
      <c r="AQ69" s="1042"/>
      <c r="AR69" s="1042"/>
      <c r="AS69" s="1042"/>
      <c r="AT69" s="1042"/>
      <c r="AU69" s="1042"/>
      <c r="AV69" s="1042"/>
      <c r="AW69" s="1042"/>
      <c r="AX69" s="1042"/>
      <c r="AY69" s="1042"/>
      <c r="AZ69" s="2127" cm="1">
        <f t="array" ref="AZ69">IF(AZ68&lt;&gt;"",_xlfn.IFS(AP70="",0,AND(COUNTA(AP70:AY70)=COUNTA(AP71:AY71),AZ71=0),0,TRUE,1),0)</f>
        <v>0</v>
      </c>
      <c r="BA69" s="2152">
        <f t="shared" ref="BA69:BA121" si="53">IF(BP69=0,1,0)</f>
        <v>1</v>
      </c>
      <c r="BB69" s="4540"/>
      <c r="BC69" s="4535"/>
      <c r="BD69" s="4535"/>
      <c r="BE69" s="4535"/>
      <c r="BF69" s="4535"/>
      <c r="BG69" s="4535"/>
      <c r="BH69" s="4535"/>
      <c r="BI69" s="4535"/>
      <c r="BJ69" s="4535"/>
      <c r="BK69" s="4535"/>
      <c r="BL69" s="4564"/>
      <c r="BM69" s="4564"/>
      <c r="BN69" s="4876"/>
      <c r="BO69" s="4877"/>
      <c r="BP69" s="4878"/>
      <c r="BQ69" s="4879"/>
      <c r="BR69" s="4880"/>
      <c r="BS69" s="959"/>
      <c r="BT69" s="2234"/>
      <c r="BU69" s="2239" cm="1">
        <f t="array" ref="BU69">_xlfn.IFS(
BV69="",0,
BV69=$DH$15,1,
BV69=$DH$16,2,
BV69=$DH$17,3,
BV69=$DH$18,4,
BV69=$DH$19,5,
BV69=$DH$20,6,
TRUE,0)</f>
        <v>0</v>
      </c>
      <c r="BV69" s="4873"/>
      <c r="BW69" s="4873"/>
      <c r="BX69" s="4873"/>
      <c r="BY69" s="2237"/>
      <c r="BZ69" s="1038"/>
      <c r="CA69" s="101"/>
      <c r="CC69" s="242"/>
      <c r="CD69" s="262">
        <f>IF($Z69&lt;&gt;"",SUM(P69:Y69),0)</f>
        <v>0</v>
      </c>
      <c r="CK69" s="299"/>
      <c r="CN69" s="242"/>
      <c r="CO69" s="262">
        <f t="shared" ref="CO69" si="54">IF(AND(N69&lt;&gt;"",OR(N69=$Q$51,N69=$Q$52,N69=$Q$53,N69=$Q$54,N69=$Q$55,N69=$Q$56,N69=$Q$57,N69=$Q$58)),SUM(P69:Y69),0)</f>
        <v>0</v>
      </c>
      <c r="CP69" s="101"/>
      <c r="CQ69" s="101"/>
      <c r="CR69" s="262">
        <f t="shared" ref="CR69" si="55">IF(AND(AN69&lt;&gt;"",OR(AN69=$Q$51,AN69=$Q$52,AN69=$Q$53,AN69=$Q$54,AN69=$Q$55,AN69=$Q$56,AN69=$Q$57,AN69=$Q$58)),SUM(AP69:AY69),0)</f>
        <v>0</v>
      </c>
      <c r="CS69" s="101"/>
      <c r="CT69" s="101"/>
      <c r="CU69" s="262">
        <f t="shared" ref="CU69" si="56">IF(AND(BN69&lt;&gt;"",OR(BN69=$Q$51,BN69=$Q$52,BN69=$Q$53,BN69=$Q$54,BN69=$Q$55,BN69=$Q$56,BN69=$Q$57,BN69=$Q$58)),BP69,0)</f>
        <v>0</v>
      </c>
      <c r="CW69" s="299"/>
      <c r="CZ69" s="301"/>
      <c r="DM69" s="2142" cm="1">
        <f t="array" ref="DM69">IF(Z68&lt;&gt;"",_xlfn.IFS(P70="",0,AND(COUNTA(P70:Y70)=COUNTA(P71:Y71),DM71=0),0,TRUE,1),0)</f>
        <v>0</v>
      </c>
      <c r="DP69" s="2136" t="str">
        <f>IF(AND(B7&lt;&gt;"",A8&lt;&gt;0),B7,"")</f>
        <v/>
      </c>
      <c r="DV69" s="299"/>
      <c r="DX69" s="2131"/>
      <c r="ED69" s="299"/>
      <c r="EG69" s="2482">
        <v>18.989999999999998</v>
      </c>
      <c r="EH69" s="681"/>
    </row>
    <row r="70" spans="1:160" ht="17.100000000000001" customHeight="1" thickTop="1" thickBot="1" x14ac:dyDescent="0.3">
      <c r="A70" s="2151" cm="1">
        <f t="array" aca="1" ref="A70" ca="1">_xlfn.IFS(
B70="",0,
Z68&lt;&gt;"",0,
A71=0,0,
AND(B70=$L$28,$F$28=$F$27),1,
AND(B70=$L$29,$F$29=$F$27),1,
AND(B70=$L$30,$F$30=$F$27),1,
AND(B70=$L$31,$F$31=$F$27),1,
AND(B70=$L$32,$F$32=$F$27),1,
AND(B70=$L$33,$F$33=$F$27),1,
AND(B70=$L$34,$F$34=$F$27),1,
AND(B70=$L$35,$F$35=$F$27),1,
AND(B70=$L$36,$F$36=$F$27),1,
TRUE,0)</f>
        <v>0</v>
      </c>
      <c r="B70" s="4874"/>
      <c r="C70" s="4542"/>
      <c r="D70" s="4542"/>
      <c r="E70" s="4542"/>
      <c r="F70" s="4542"/>
      <c r="G70" s="4542"/>
      <c r="H70" s="4542"/>
      <c r="I70" s="4542"/>
      <c r="J70" s="4542"/>
      <c r="K70" s="4542"/>
      <c r="L70" s="4542"/>
      <c r="M70" s="4551"/>
      <c r="N70" s="4551"/>
      <c r="O70" s="4552"/>
      <c r="P70" s="4913"/>
      <c r="Q70" s="4914"/>
      <c r="R70" s="4913"/>
      <c r="S70" s="4914"/>
      <c r="T70" s="4913"/>
      <c r="U70" s="4914"/>
      <c r="V70" s="4913"/>
      <c r="W70" s="4914"/>
      <c r="X70" s="4913"/>
      <c r="Y70" s="4914"/>
      <c r="Z70" s="1040"/>
      <c r="AA70" s="41" cm="1">
        <f t="array" aca="1" ref="AA70" ca="1">_xlfn.IFS(
AB70="",0,
AZ68&lt;&gt;"",0,
AA71=0,0,
AND(AB70=$L$28,$F$28=$F$27),1,
AND(AB70=$L$29,$F$29=$F$27),1,
AND(AB70=$L$30,$F$30=$F$27),1,
AND(AB70=$L$31,$F$31=$F$27),1,
AND(AB70=$L$32,$F$32=$F$27),1,
AND(AB70=$L$33,$F$33=$F$27),1,
AND(AB70=$L$34,$F$34=$F$27),1,
AND(AB70=$L$35,$F$35=$F$27),1,
AND(AB70=$L$36,$F$36=$F$27),1,
TRUE,0)</f>
        <v>0</v>
      </c>
      <c r="AB70" s="4915"/>
      <c r="AC70" s="4542"/>
      <c r="AD70" s="4542"/>
      <c r="AE70" s="4542"/>
      <c r="AF70" s="4542"/>
      <c r="AG70" s="4542"/>
      <c r="AH70" s="4542"/>
      <c r="AI70" s="4542"/>
      <c r="AJ70" s="4542"/>
      <c r="AK70" s="4542"/>
      <c r="AL70" s="4542"/>
      <c r="AM70" s="4551"/>
      <c r="AN70" s="4551"/>
      <c r="AO70" s="4552"/>
      <c r="AP70" s="2494"/>
      <c r="AQ70" s="2494"/>
      <c r="AR70" s="2494"/>
      <c r="AS70" s="2494"/>
      <c r="AT70" s="2494"/>
      <c r="AU70" s="2494"/>
      <c r="AV70" s="2494"/>
      <c r="AW70" s="2494"/>
      <c r="AX70" s="2494"/>
      <c r="AY70" s="2494"/>
      <c r="AZ70" s="1047"/>
      <c r="BA70" s="2151" cm="1">
        <f t="array" aca="1" ref="BA70" ca="1">_xlfn.IFS(
BB70="",0,
BA71=0,0,
AND($BU$5=1,BU71=$BU$6),1,
AND(BB70=$L$28,$F$28=$F$27),1,
AND(BB70=$L$29,$F$29=$F$27),1,
AND(BB70=$L$30,$F$30=$F$27),1,
AND(BB70=$L$31,$F$31=$F$27),1,
AND(BB70=$L$32,$F$32=$F$27),1,
AND(BB70=$L$33,$F$33=$F$27),1,
AND(BB70=$L$34,$F$34=$F$27),1,
AND(BB70=$L$35,$F$35=$F$27),1,
AND(BB70=$L$36,$F$36=$F$27),1,
TRUE,0)</f>
        <v>0</v>
      </c>
      <c r="BB70" s="4874"/>
      <c r="BC70" s="4542"/>
      <c r="BD70" s="4542"/>
      <c r="BE70" s="4542"/>
      <c r="BF70" s="4542"/>
      <c r="BG70" s="4542"/>
      <c r="BH70" s="4542"/>
      <c r="BI70" s="4542"/>
      <c r="BJ70" s="4542"/>
      <c r="BK70" s="4542"/>
      <c r="BL70" s="4542"/>
      <c r="BM70" s="4551"/>
      <c r="BN70" s="4551"/>
      <c r="BO70" s="4552"/>
      <c r="BP70" s="4881"/>
      <c r="BQ70" s="4882"/>
      <c r="BR70" s="4883"/>
      <c r="BS70" s="959"/>
      <c r="BT70" s="2234"/>
      <c r="BU70" s="1244"/>
      <c r="BV70" s="2244"/>
      <c r="BW70" s="2244"/>
      <c r="BX70" s="2266"/>
      <c r="BY70" s="2237"/>
      <c r="BZ70" s="1038"/>
      <c r="CA70" s="101"/>
      <c r="CC70" s="242"/>
      <c r="CD70" s="262"/>
      <c r="CK70" s="299"/>
      <c r="CN70" s="242"/>
      <c r="CO70" s="262"/>
      <c r="CP70" s="101"/>
      <c r="CQ70" s="101"/>
      <c r="CR70" s="262"/>
      <c r="CS70" s="101"/>
      <c r="CT70" s="101"/>
      <c r="CU70" s="262"/>
      <c r="CW70" s="299"/>
      <c r="CZ70" s="301"/>
      <c r="DP70" s="2136" t="str">
        <f>IF(AND(B9&lt;&gt;"",A10&lt;&gt;0),B9,"")</f>
        <v/>
      </c>
      <c r="DV70" s="299"/>
      <c r="DX70" s="2131"/>
      <c r="ED70" s="299"/>
      <c r="EG70" s="2486">
        <v>19.989999999999998</v>
      </c>
      <c r="EH70" s="2487"/>
    </row>
    <row r="71" spans="1:160" ht="17.100000000000001" customHeight="1" thickTop="1" thickBot="1" x14ac:dyDescent="0.25">
      <c r="A71" s="2152" cm="1">
        <f t="array" ref="A71">_xlfn.IFS(P70="",0,AND(COUNTA(P70:Y70)=COUNTA(P71:Y71),DM71=0),0,TRUE,1)</f>
        <v>0</v>
      </c>
      <c r="B71" s="4540"/>
      <c r="C71" s="4535"/>
      <c r="D71" s="4535"/>
      <c r="E71" s="4535"/>
      <c r="F71" s="4535"/>
      <c r="G71" s="4535"/>
      <c r="H71" s="4535"/>
      <c r="I71" s="4535"/>
      <c r="J71" s="4535"/>
      <c r="K71" s="4535"/>
      <c r="L71" s="4564"/>
      <c r="M71" s="4564"/>
      <c r="N71" s="4876"/>
      <c r="O71" s="4877"/>
      <c r="P71" s="4920"/>
      <c r="Q71" s="4921"/>
      <c r="R71" s="4920"/>
      <c r="S71" s="4921"/>
      <c r="T71" s="4920"/>
      <c r="U71" s="4921"/>
      <c r="V71" s="4920"/>
      <c r="W71" s="4921"/>
      <c r="X71" s="4920"/>
      <c r="Y71" s="4921"/>
      <c r="Z71" s="3386"/>
      <c r="AA71" s="2128" cm="1">
        <f t="array" ref="AA71">_xlfn.IFS(AP70="",0,AND(COUNTA(AP70:AY70)=COUNTA(AP71:AY71),AZ71=0),0,TRUE,1)</f>
        <v>0</v>
      </c>
      <c r="AB71" s="4540"/>
      <c r="AC71" s="4535"/>
      <c r="AD71" s="4535"/>
      <c r="AE71" s="4535"/>
      <c r="AF71" s="4535"/>
      <c r="AG71" s="4535"/>
      <c r="AH71" s="4535"/>
      <c r="AI71" s="4535"/>
      <c r="AJ71" s="4535"/>
      <c r="AK71" s="4535"/>
      <c r="AL71" s="4564"/>
      <c r="AM71" s="4564"/>
      <c r="AN71" s="4876"/>
      <c r="AO71" s="4877"/>
      <c r="AP71" s="1042"/>
      <c r="AQ71" s="1042"/>
      <c r="AR71" s="1042"/>
      <c r="AS71" s="1042"/>
      <c r="AT71" s="1042"/>
      <c r="AU71" s="1042"/>
      <c r="AV71" s="1042"/>
      <c r="AW71" s="1042"/>
      <c r="AX71" s="1042"/>
      <c r="AY71" s="1042"/>
      <c r="AZ71" s="2127" cm="1">
        <f t="array" ref="AZ71">IF(AZ70&lt;&gt;"",_xlfn.IFS(AP72="",0,AND(COUNTA(AP72:AY72)=COUNTA(AP73:AY73),AZ73=0),0,TRUE,1),0)</f>
        <v>0</v>
      </c>
      <c r="BA71" s="2152">
        <f t="shared" si="53"/>
        <v>1</v>
      </c>
      <c r="BB71" s="4540"/>
      <c r="BC71" s="4535"/>
      <c r="BD71" s="4535"/>
      <c r="BE71" s="4535"/>
      <c r="BF71" s="4535"/>
      <c r="BG71" s="4535"/>
      <c r="BH71" s="4535"/>
      <c r="BI71" s="4535"/>
      <c r="BJ71" s="4535"/>
      <c r="BK71" s="4535"/>
      <c r="BL71" s="4564"/>
      <c r="BM71" s="4564"/>
      <c r="BN71" s="4876"/>
      <c r="BO71" s="4877"/>
      <c r="BP71" s="4878"/>
      <c r="BQ71" s="4879"/>
      <c r="BR71" s="4880"/>
      <c r="BS71" s="959"/>
      <c r="BT71" s="2234"/>
      <c r="BU71" s="2239" cm="1">
        <f t="array" ref="BU71">_xlfn.IFS(
BV71="",0,
BV71=$DH$15,1,
BV71=$DH$16,2,
BV71=$DH$17,3,
BV71=$DH$18,4,
BV71=$DH$19,5,
BV71=$DH$20,6,
TRUE,0)</f>
        <v>0</v>
      </c>
      <c r="BV71" s="4873"/>
      <c r="BW71" s="4873"/>
      <c r="BX71" s="4873"/>
      <c r="BY71" s="2237"/>
      <c r="BZ71" s="1038"/>
      <c r="CA71" s="101"/>
      <c r="CC71" s="242"/>
      <c r="CD71" s="262">
        <f>IF($Z71&lt;&gt;"",SUM(P71:Y71),0)</f>
        <v>0</v>
      </c>
      <c r="CK71" s="299"/>
      <c r="CN71" s="242"/>
      <c r="CO71" s="262">
        <f t="shared" ref="CO71" si="57">IF(AND(N71&lt;&gt;"",OR(N71=$Q$51,N71=$Q$52,N71=$Q$53,N71=$Q$54,N71=$Q$55,N71=$Q$56,N71=$Q$57,N71=$Q$58)),SUM(P71:Y71),0)</f>
        <v>0</v>
      </c>
      <c r="CP71" s="101"/>
      <c r="CQ71" s="101"/>
      <c r="CR71" s="262">
        <f t="shared" ref="CR71" si="58">IF(AND(AN71&lt;&gt;"",OR(AN71=$Q$51,AN71=$Q$52,AN71=$Q$53,AN71=$Q$54,AN71=$Q$55,AN71=$Q$56,AN71=$Q$57,AN71=$Q$58)),SUM(AP71:AY71),0)</f>
        <v>0</v>
      </c>
      <c r="CS71" s="101"/>
      <c r="CT71" s="101"/>
      <c r="CU71" s="262">
        <f t="shared" ref="CU71" si="59">IF(AND(BN71&lt;&gt;"",OR(BN71=$Q$51,BN71=$Q$52,BN71=$Q$53,BN71=$Q$54,BN71=$Q$55,BN71=$Q$56,BN71=$Q$57,BN71=$Q$58)),BP71,0)</f>
        <v>0</v>
      </c>
      <c r="CW71" s="299"/>
      <c r="CZ71" s="301"/>
      <c r="DM71" s="2142" cm="1">
        <f t="array" ref="DM71">IF(Z70&lt;&gt;"",_xlfn.IFS(P72="",0,AND(COUNTA(P72:Y72)=COUNTA(P73:Y73),DM73=0),0,TRUE,1),0)</f>
        <v>0</v>
      </c>
      <c r="DP71" s="2136" t="str">
        <f>IF(AND(B11&lt;&gt;"",A12&lt;&gt;0),B11,"")</f>
        <v/>
      </c>
      <c r="DV71" s="299"/>
      <c r="DX71" s="2131"/>
      <c r="ED71" s="299"/>
    </row>
    <row r="72" spans="1:160" ht="17.100000000000001" customHeight="1" thickTop="1" thickBot="1" x14ac:dyDescent="0.3">
      <c r="A72" s="2151" cm="1">
        <f t="array" aca="1" ref="A72" ca="1">_xlfn.IFS(
B72="",0,
Z70&lt;&gt;"",0,
A73=0,0,
AND(B72=$L$28,$F$28=$F$27),1,
AND(B72=$L$29,$F$29=$F$27),1,
AND(B72=$L$30,$F$30=$F$27),1,
AND(B72=$L$31,$F$31=$F$27),1,
AND(B72=$L$32,$F$32=$F$27),1,
AND(B72=$L$33,$F$33=$F$27),1,
AND(B72=$L$34,$F$34=$F$27),1,
AND(B72=$L$35,$F$35=$F$27),1,
AND(B72=$L$36,$F$36=$F$27),1,
TRUE,0)</f>
        <v>0</v>
      </c>
      <c r="B72" s="4874"/>
      <c r="C72" s="4542"/>
      <c r="D72" s="4542"/>
      <c r="E72" s="4542"/>
      <c r="F72" s="4542"/>
      <c r="G72" s="4542"/>
      <c r="H72" s="4542"/>
      <c r="I72" s="4542"/>
      <c r="J72" s="4542"/>
      <c r="K72" s="4542"/>
      <c r="L72" s="4542"/>
      <c r="M72" s="4551"/>
      <c r="N72" s="4551"/>
      <c r="O72" s="4552"/>
      <c r="P72" s="4913"/>
      <c r="Q72" s="4914"/>
      <c r="R72" s="4913"/>
      <c r="S72" s="4914"/>
      <c r="T72" s="4913"/>
      <c r="U72" s="4914"/>
      <c r="V72" s="4913"/>
      <c r="W72" s="4914"/>
      <c r="X72" s="4913"/>
      <c r="Y72" s="4914"/>
      <c r="Z72" s="1040"/>
      <c r="AA72" s="41" cm="1">
        <f t="array" aca="1" ref="AA72" ca="1">_xlfn.IFS(
AB72="",0,
AZ70&lt;&gt;"",0,
AA73=0,0,
AND(AB72=$L$28,$F$28=$F$27),1,
AND(AB72=$L$29,$F$29=$F$27),1,
AND(AB72=$L$30,$F$30=$F$27),1,
AND(AB72=$L$31,$F$31=$F$27),1,
AND(AB72=$L$32,$F$32=$F$27),1,
AND(AB72=$L$33,$F$33=$F$27),1,
AND(AB72=$L$34,$F$34=$F$27),1,
AND(AB72=$L$35,$F$35=$F$27),1,
AND(AB72=$L$36,$F$36=$F$27),1,
TRUE,0)</f>
        <v>0</v>
      </c>
      <c r="AB72" s="4874"/>
      <c r="AC72" s="4542"/>
      <c r="AD72" s="4542"/>
      <c r="AE72" s="4542"/>
      <c r="AF72" s="4542"/>
      <c r="AG72" s="4542"/>
      <c r="AH72" s="4542"/>
      <c r="AI72" s="4542"/>
      <c r="AJ72" s="4542"/>
      <c r="AK72" s="4542"/>
      <c r="AL72" s="4542"/>
      <c r="AM72" s="4551"/>
      <c r="AN72" s="4551"/>
      <c r="AO72" s="4552"/>
      <c r="AP72" s="2494"/>
      <c r="AQ72" s="2494"/>
      <c r="AR72" s="2494"/>
      <c r="AS72" s="2494"/>
      <c r="AT72" s="2494"/>
      <c r="AU72" s="2494"/>
      <c r="AV72" s="2494"/>
      <c r="AW72" s="2494"/>
      <c r="AX72" s="2494"/>
      <c r="AY72" s="2494"/>
      <c r="AZ72" s="1047"/>
      <c r="BA72" s="2151" cm="1">
        <f t="array" aca="1" ref="BA72" ca="1">_xlfn.IFS(
BB72="",0,
BA73=0,0,
AND($BU$5=1,BU73=$BU$6),1,
AND(BB72=$L$28,$F$28=$F$27),1,
AND(BB72=$L$29,$F$29=$F$27),1,
AND(BB72=$L$30,$F$30=$F$27),1,
AND(BB72=$L$31,$F$31=$F$27),1,
AND(BB72=$L$32,$F$32=$F$27),1,
AND(BB72=$L$33,$F$33=$F$27),1,
AND(BB72=$L$34,$F$34=$F$27),1,
AND(BB72=$L$35,$F$35=$F$27),1,
AND(BB72=$L$36,$F$36=$F$27),1,
TRUE,0)</f>
        <v>0</v>
      </c>
      <c r="BB72" s="4874"/>
      <c r="BC72" s="4542"/>
      <c r="BD72" s="4542"/>
      <c r="BE72" s="4542"/>
      <c r="BF72" s="4542"/>
      <c r="BG72" s="4542"/>
      <c r="BH72" s="4542"/>
      <c r="BI72" s="4542"/>
      <c r="BJ72" s="4542"/>
      <c r="BK72" s="4542"/>
      <c r="BL72" s="4542"/>
      <c r="BM72" s="4551"/>
      <c r="BN72" s="4551"/>
      <c r="BO72" s="4552"/>
      <c r="BP72" s="4881"/>
      <c r="BQ72" s="4882"/>
      <c r="BR72" s="4883"/>
      <c r="BS72" s="959"/>
      <c r="BT72" s="2234"/>
      <c r="BU72" s="1244"/>
      <c r="BV72" s="2244"/>
      <c r="BW72" s="2244"/>
      <c r="BX72" s="2266"/>
      <c r="BY72" s="2237"/>
      <c r="BZ72" s="1038"/>
      <c r="CA72" s="101"/>
      <c r="CC72" s="242"/>
      <c r="CD72" s="262"/>
      <c r="CK72" s="299"/>
      <c r="CN72" s="242"/>
      <c r="CO72" s="262"/>
      <c r="CP72" s="101"/>
      <c r="CQ72" s="101"/>
      <c r="CR72" s="262"/>
      <c r="CS72" s="101"/>
      <c r="CT72" s="101"/>
      <c r="CU72" s="262"/>
      <c r="CW72" s="299"/>
      <c r="CZ72" s="301"/>
      <c r="DP72" s="2136" t="str">
        <f>IF(AND(B13&lt;&gt;"",A14&lt;&gt;0),B13,"")</f>
        <v/>
      </c>
      <c r="DV72" s="299"/>
      <c r="DX72" s="2131"/>
      <c r="ED72" s="299"/>
    </row>
    <row r="73" spans="1:160" ht="17.100000000000001" customHeight="1" thickTop="1" thickBot="1" x14ac:dyDescent="0.25">
      <c r="A73" s="2152" cm="1">
        <f t="array" ref="A73">_xlfn.IFS(P72="",0,AND(COUNTA(P72:Y72)=COUNTA(P73:Y73),DM73=0),0,TRUE,1)</f>
        <v>0</v>
      </c>
      <c r="B73" s="4540"/>
      <c r="C73" s="4535"/>
      <c r="D73" s="4535"/>
      <c r="E73" s="4535"/>
      <c r="F73" s="4535"/>
      <c r="G73" s="4535"/>
      <c r="H73" s="4535"/>
      <c r="I73" s="4535"/>
      <c r="J73" s="4535"/>
      <c r="K73" s="4535"/>
      <c r="L73" s="4564"/>
      <c r="M73" s="4564"/>
      <c r="N73" s="4876"/>
      <c r="O73" s="4877"/>
      <c r="P73" s="4920"/>
      <c r="Q73" s="4921"/>
      <c r="R73" s="4920"/>
      <c r="S73" s="4921"/>
      <c r="T73" s="4920"/>
      <c r="U73" s="4921"/>
      <c r="V73" s="4920"/>
      <c r="W73" s="4921"/>
      <c r="X73" s="4920"/>
      <c r="Y73" s="4921"/>
      <c r="Z73" s="3386"/>
      <c r="AA73" s="2128" cm="1">
        <f t="array" ref="AA73">_xlfn.IFS(AP72="",0,AND(COUNTA(AP72:AY72)=COUNTA(AP73:AY73),AZ73=0),0,TRUE,1)</f>
        <v>0</v>
      </c>
      <c r="AB73" s="4540"/>
      <c r="AC73" s="4535"/>
      <c r="AD73" s="4535"/>
      <c r="AE73" s="4535"/>
      <c r="AF73" s="4535"/>
      <c r="AG73" s="4535"/>
      <c r="AH73" s="4535"/>
      <c r="AI73" s="4535"/>
      <c r="AJ73" s="4535"/>
      <c r="AK73" s="4535"/>
      <c r="AL73" s="4564"/>
      <c r="AM73" s="4564"/>
      <c r="AN73" s="4876"/>
      <c r="AO73" s="4877"/>
      <c r="AP73" s="1042"/>
      <c r="AQ73" s="1042"/>
      <c r="AR73" s="1042"/>
      <c r="AS73" s="1042"/>
      <c r="AT73" s="1042"/>
      <c r="AU73" s="1042"/>
      <c r="AV73" s="1042"/>
      <c r="AW73" s="1042"/>
      <c r="AX73" s="1042"/>
      <c r="AY73" s="1042"/>
      <c r="AZ73" s="2127" cm="1">
        <f t="array" ref="AZ73">IF(AZ72&lt;&gt;"",_xlfn.IFS(AP74="",0,AND(COUNTA(AP74:AY74)=COUNTA(AP75:AY75),AZ75=0),0,TRUE,1),0)</f>
        <v>0</v>
      </c>
      <c r="BA73" s="2152">
        <f t="shared" si="53"/>
        <v>1</v>
      </c>
      <c r="BB73" s="4540"/>
      <c r="BC73" s="4535"/>
      <c r="BD73" s="4535"/>
      <c r="BE73" s="4535"/>
      <c r="BF73" s="4535"/>
      <c r="BG73" s="4535"/>
      <c r="BH73" s="4535"/>
      <c r="BI73" s="4535"/>
      <c r="BJ73" s="4535"/>
      <c r="BK73" s="4535"/>
      <c r="BL73" s="4564"/>
      <c r="BM73" s="4564"/>
      <c r="BN73" s="4876"/>
      <c r="BO73" s="4877"/>
      <c r="BP73" s="4878"/>
      <c r="BQ73" s="4879"/>
      <c r="BR73" s="4880"/>
      <c r="BS73" s="959"/>
      <c r="BT73" s="2234"/>
      <c r="BU73" s="2239" cm="1">
        <f t="array" ref="BU73">_xlfn.IFS(
BV73="",0,
BV73=$DH$15,1,
BV73=$DH$16,2,
BV73=$DH$17,3,
BV73=$DH$18,4,
BV73=$DH$19,5,
BV73=$DH$20,6,
TRUE,0)</f>
        <v>0</v>
      </c>
      <c r="BV73" s="4873"/>
      <c r="BW73" s="4873"/>
      <c r="BX73" s="4873"/>
      <c r="BY73" s="2237"/>
      <c r="BZ73" s="1038"/>
      <c r="CA73" s="101"/>
      <c r="CC73" s="242"/>
      <c r="CD73" s="262">
        <f>IF($Z73&lt;&gt;"",SUM(P73:Y73),0)</f>
        <v>0</v>
      </c>
      <c r="CK73" s="299"/>
      <c r="CN73" s="242"/>
      <c r="CO73" s="262">
        <f t="shared" ref="CO73" si="60">IF(AND(N73&lt;&gt;"",OR(N73=$Q$51,N73=$Q$52,N73=$Q$53,N73=$Q$54,N73=$Q$55,N73=$Q$56,N73=$Q$57,N73=$Q$58)),SUM(P73:Y73),0)</f>
        <v>0</v>
      </c>
      <c r="CP73" s="101"/>
      <c r="CQ73" s="101"/>
      <c r="CR73" s="262">
        <f t="shared" ref="CR73" si="61">IF(AND(AN73&lt;&gt;"",OR(AN73=$Q$51,AN73=$Q$52,AN73=$Q$53,AN73=$Q$54,AN73=$Q$55,AN73=$Q$56,AN73=$Q$57,AN73=$Q$58)),SUM(AP73:AY73),0)</f>
        <v>0</v>
      </c>
      <c r="CS73" s="101"/>
      <c r="CT73" s="101"/>
      <c r="CU73" s="262">
        <f t="shared" ref="CU73" si="62">IF(AND(BN73&lt;&gt;"",OR(BN73=$Q$51,BN73=$Q$52,BN73=$Q$53,BN73=$Q$54,BN73=$Q$55,BN73=$Q$56,BN73=$Q$57,BN73=$Q$58)),BP73,0)</f>
        <v>0</v>
      </c>
      <c r="CW73" s="299"/>
      <c r="CZ73" s="301"/>
      <c r="DM73" s="2142" cm="1">
        <f t="array" ref="DM73">IF(Z72&lt;&gt;"",_xlfn.IFS(P74="",0,AND(COUNTA(P74:Y74)=COUNTA(P75:Y75),DM75=0),0,TRUE,1),0)</f>
        <v>0</v>
      </c>
      <c r="DP73" s="2136" t="str">
        <f>IF(AND(B15&lt;&gt;"",A16&lt;&gt;0),B15,"")</f>
        <v/>
      </c>
      <c r="DV73" s="299"/>
      <c r="DX73" s="2131"/>
      <c r="ED73" s="299"/>
    </row>
    <row r="74" spans="1:160" ht="17.100000000000001" customHeight="1" thickTop="1" thickBot="1" x14ac:dyDescent="0.3">
      <c r="A74" s="2151" cm="1">
        <f t="array" aca="1" ref="A74" ca="1">_xlfn.IFS(
B74="",0,
Z72&lt;&gt;"",0,
A75=0,0,
AND(B74=$L$28,$F$28=$F$27),1,
AND(B74=$L$29,$F$29=$F$27),1,
AND(B74=$L$30,$F$30=$F$27),1,
AND(B74=$L$31,$F$31=$F$27),1,
AND(B74=$L$32,$F$32=$F$27),1,
AND(B74=$L$33,$F$33=$F$27),1,
AND(B74=$L$34,$F$34=$F$27),1,
AND(B74=$L$35,$F$35=$F$27),1,
AND(B74=$L$36,$F$36=$F$27),1,
TRUE,0)</f>
        <v>0</v>
      </c>
      <c r="B74" s="4874"/>
      <c r="C74" s="4542"/>
      <c r="D74" s="4542"/>
      <c r="E74" s="4542"/>
      <c r="F74" s="4542"/>
      <c r="G74" s="4542"/>
      <c r="H74" s="4542"/>
      <c r="I74" s="4542"/>
      <c r="J74" s="4542"/>
      <c r="K74" s="4542"/>
      <c r="L74" s="4542"/>
      <c r="M74" s="4551"/>
      <c r="N74" s="4551"/>
      <c r="O74" s="4552"/>
      <c r="P74" s="4913"/>
      <c r="Q74" s="4914"/>
      <c r="R74" s="4913"/>
      <c r="S74" s="4914"/>
      <c r="T74" s="4913"/>
      <c r="U74" s="4914"/>
      <c r="V74" s="4913"/>
      <c r="W74" s="4914"/>
      <c r="X74" s="4913"/>
      <c r="Y74" s="4914"/>
      <c r="Z74" s="1040"/>
      <c r="AA74" s="41" cm="1">
        <f t="array" aca="1" ref="AA74" ca="1">_xlfn.IFS(
AB74="",0,
AZ72&lt;&gt;"",0,
AA75=0,0,
AND(AB74=$L$28,$F$28=$F$27),1,
AND(AB74=$L$29,$F$29=$F$27),1,
AND(AB74=$L$30,$F$30=$F$27),1,
AND(AB74=$L$31,$F$31=$F$27),1,
AND(AB74=$L$32,$F$32=$F$27),1,
AND(AB74=$L$33,$F$33=$F$27),1,
AND(AB74=$L$34,$F$34=$F$27),1,
AND(AB74=$L$35,$F$35=$F$27),1,
AND(AB74=$L$36,$F$36=$F$27),1,
TRUE,0)</f>
        <v>0</v>
      </c>
      <c r="AB74" s="4874"/>
      <c r="AC74" s="4542"/>
      <c r="AD74" s="4542"/>
      <c r="AE74" s="4542"/>
      <c r="AF74" s="4542"/>
      <c r="AG74" s="4542"/>
      <c r="AH74" s="4542"/>
      <c r="AI74" s="4542"/>
      <c r="AJ74" s="4542"/>
      <c r="AK74" s="4542"/>
      <c r="AL74" s="4542"/>
      <c r="AM74" s="4551"/>
      <c r="AN74" s="4551"/>
      <c r="AO74" s="4552"/>
      <c r="AP74" s="2494"/>
      <c r="AQ74" s="2494"/>
      <c r="AR74" s="2494"/>
      <c r="AS74" s="2494"/>
      <c r="AT74" s="2494"/>
      <c r="AU74" s="2494"/>
      <c r="AV74" s="2494"/>
      <c r="AW74" s="2494"/>
      <c r="AX74" s="2494"/>
      <c r="AY74" s="2494"/>
      <c r="AZ74" s="1047"/>
      <c r="BA74" s="2151" cm="1">
        <f t="array" aca="1" ref="BA74" ca="1">_xlfn.IFS(
BB74="",0,
BA75=0,0,
AND($BU$5=1,BU75=$BU$6),1,
AND(BB74=$L$28,$F$28=$F$27),1,
AND(BB74=$L$29,$F$29=$F$27),1,
AND(BB74=$L$30,$F$30=$F$27),1,
AND(BB74=$L$31,$F$31=$F$27),1,
AND(BB74=$L$32,$F$32=$F$27),1,
AND(BB74=$L$33,$F$33=$F$27),1,
AND(BB74=$L$34,$F$34=$F$27),1,
AND(BB74=$L$35,$F$35=$F$27),1,
AND(BB74=$L$36,$F$36=$F$27),1,
TRUE,0)</f>
        <v>0</v>
      </c>
      <c r="BB74" s="4874"/>
      <c r="BC74" s="4542"/>
      <c r="BD74" s="4542"/>
      <c r="BE74" s="4542"/>
      <c r="BF74" s="4542"/>
      <c r="BG74" s="4542"/>
      <c r="BH74" s="4542"/>
      <c r="BI74" s="4542"/>
      <c r="BJ74" s="4542"/>
      <c r="BK74" s="4542"/>
      <c r="BL74" s="4542"/>
      <c r="BM74" s="4551"/>
      <c r="BN74" s="4551"/>
      <c r="BO74" s="4552"/>
      <c r="BP74" s="4881"/>
      <c r="BQ74" s="4882"/>
      <c r="BR74" s="4883"/>
      <c r="BS74" s="959"/>
      <c r="BT74" s="2234"/>
      <c r="BU74" s="1244"/>
      <c r="BV74" s="2244"/>
      <c r="BW74" s="2244"/>
      <c r="BX74" s="2266"/>
      <c r="BY74" s="2237"/>
      <c r="BZ74" s="1038"/>
      <c r="CA74" s="101"/>
      <c r="CC74" s="242"/>
      <c r="CD74" s="262"/>
      <c r="CK74" s="299"/>
      <c r="CN74" s="242"/>
      <c r="CO74" s="262"/>
      <c r="CP74" s="101"/>
      <c r="CQ74" s="101"/>
      <c r="CR74" s="262"/>
      <c r="CS74" s="101"/>
      <c r="CT74" s="101"/>
      <c r="CU74" s="262"/>
      <c r="CW74" s="299"/>
      <c r="CZ74" s="301"/>
      <c r="DP74" s="2136" t="str">
        <f>IF(AND(B17&lt;&gt;"",A18&lt;&gt;0),B17,"")</f>
        <v/>
      </c>
      <c r="DV74" s="299"/>
      <c r="DX74" s="2131"/>
      <c r="ED74" s="299"/>
    </row>
    <row r="75" spans="1:160" ht="17.100000000000001" customHeight="1" thickTop="1" thickBot="1" x14ac:dyDescent="0.25">
      <c r="A75" s="2152" cm="1">
        <f t="array" ref="A75">_xlfn.IFS(P74="",0,AND(COUNTA(P74:Y74)=COUNTA(P75:Y75),DM75=0),0,TRUE,1)</f>
        <v>0</v>
      </c>
      <c r="B75" s="4540"/>
      <c r="C75" s="4535"/>
      <c r="D75" s="4535"/>
      <c r="E75" s="4535"/>
      <c r="F75" s="4535"/>
      <c r="G75" s="4535"/>
      <c r="H75" s="4535"/>
      <c r="I75" s="4535"/>
      <c r="J75" s="4535"/>
      <c r="K75" s="4535"/>
      <c r="L75" s="4564"/>
      <c r="M75" s="4564"/>
      <c r="N75" s="4876"/>
      <c r="O75" s="4877"/>
      <c r="P75" s="4920"/>
      <c r="Q75" s="4921"/>
      <c r="R75" s="4920"/>
      <c r="S75" s="4921"/>
      <c r="T75" s="4920"/>
      <c r="U75" s="4921"/>
      <c r="V75" s="4920"/>
      <c r="W75" s="4921"/>
      <c r="X75" s="4920"/>
      <c r="Y75" s="4921"/>
      <c r="Z75" s="3386"/>
      <c r="AA75" s="2128" cm="1">
        <f t="array" ref="AA75">_xlfn.IFS(AP74="",0,AND(COUNTA(AP74:AY74)=COUNTA(AP75:AY75),AZ75=0),0,TRUE,1)</f>
        <v>0</v>
      </c>
      <c r="AB75" s="4540"/>
      <c r="AC75" s="4535"/>
      <c r="AD75" s="4535"/>
      <c r="AE75" s="4535"/>
      <c r="AF75" s="4535"/>
      <c r="AG75" s="4535"/>
      <c r="AH75" s="4535"/>
      <c r="AI75" s="4535"/>
      <c r="AJ75" s="4535"/>
      <c r="AK75" s="4535"/>
      <c r="AL75" s="4564"/>
      <c r="AM75" s="4564"/>
      <c r="AN75" s="4876"/>
      <c r="AO75" s="4877"/>
      <c r="AP75" s="1042"/>
      <c r="AQ75" s="1042"/>
      <c r="AR75" s="1042"/>
      <c r="AS75" s="1042"/>
      <c r="AT75" s="1042"/>
      <c r="AU75" s="1042"/>
      <c r="AV75" s="1042"/>
      <c r="AW75" s="1042"/>
      <c r="AX75" s="1042"/>
      <c r="AY75" s="1042"/>
      <c r="AZ75" s="2127" cm="1">
        <f t="array" ref="AZ75">IF(AZ74&lt;&gt;"",_xlfn.IFS(AP76="",0,AND(COUNTA(AP76:AY76)=COUNTA(AP77:AY77),AZ77=0),0,TRUE,1),0)</f>
        <v>0</v>
      </c>
      <c r="BA75" s="2152">
        <f t="shared" si="53"/>
        <v>1</v>
      </c>
      <c r="BB75" s="4540"/>
      <c r="BC75" s="4535"/>
      <c r="BD75" s="4535"/>
      <c r="BE75" s="4535"/>
      <c r="BF75" s="4535"/>
      <c r="BG75" s="4535"/>
      <c r="BH75" s="4535"/>
      <c r="BI75" s="4535"/>
      <c r="BJ75" s="4535"/>
      <c r="BK75" s="4535"/>
      <c r="BL75" s="4564"/>
      <c r="BM75" s="4564"/>
      <c r="BN75" s="4876"/>
      <c r="BO75" s="4877"/>
      <c r="BP75" s="4878"/>
      <c r="BQ75" s="4879"/>
      <c r="BR75" s="4880"/>
      <c r="BS75" s="959"/>
      <c r="BT75" s="2234"/>
      <c r="BU75" s="2239" cm="1">
        <f t="array" ref="BU75">_xlfn.IFS(
BV75="",0,
BV75=$DH$15,1,
BV75=$DH$16,2,
BV75=$DH$17,3,
BV75=$DH$18,4,
BV75=$DH$19,5,
BV75=$DH$20,6,
TRUE,0)</f>
        <v>0</v>
      </c>
      <c r="BV75" s="4873"/>
      <c r="BW75" s="4873"/>
      <c r="BX75" s="4873"/>
      <c r="BY75" s="2237"/>
      <c r="BZ75" s="1038"/>
      <c r="CA75" s="101"/>
      <c r="CC75" s="242"/>
      <c r="CD75" s="262">
        <f>IF($Z75&lt;&gt;"",SUM(P75:Y75),0)</f>
        <v>0</v>
      </c>
      <c r="CK75" s="299"/>
      <c r="CN75" s="242"/>
      <c r="CO75" s="262">
        <f t="shared" ref="CO75" si="63">IF(AND(N75&lt;&gt;"",OR(N75=$Q$51,N75=$Q$52,N75=$Q$53,N75=$Q$54,N75=$Q$55,N75=$Q$56,N75=$Q$57,N75=$Q$58)),SUM(P75:Y75),0)</f>
        <v>0</v>
      </c>
      <c r="CP75" s="101"/>
      <c r="CQ75" s="101"/>
      <c r="CR75" s="262">
        <f t="shared" ref="CR75" si="64">IF(AND(AN75&lt;&gt;"",OR(AN75=$Q$51,AN75=$Q$52,AN75=$Q$53,AN75=$Q$54,AN75=$Q$55,AN75=$Q$56,AN75=$Q$57,AN75=$Q$58)),SUM(AP75:AY75),0)</f>
        <v>0</v>
      </c>
      <c r="CS75" s="101"/>
      <c r="CT75" s="101"/>
      <c r="CU75" s="262">
        <f t="shared" ref="CU75" si="65">IF(AND(BN75&lt;&gt;"",OR(BN75=$Q$51,BN75=$Q$52,BN75=$Q$53,BN75=$Q$54,BN75=$Q$55,BN75=$Q$56,BN75=$Q$57,BN75=$Q$58)),BP75,0)</f>
        <v>0</v>
      </c>
      <c r="CW75" s="299"/>
      <c r="CZ75" s="301"/>
      <c r="DM75" s="2142" cm="1">
        <f t="array" ref="DM75">IF(Z74&lt;&gt;"",_xlfn.IFS(P76="",0,AND(COUNTA(P76:Y76)=COUNTA(P77:Y77),DM77=0),0,TRUE,1),0)</f>
        <v>0</v>
      </c>
      <c r="DP75" s="2136" t="str">
        <f>IF(AND(B19&lt;&gt;"",A20&lt;&gt;0),B19,"")</f>
        <v/>
      </c>
      <c r="DV75" s="299"/>
      <c r="DX75" s="2131"/>
      <c r="ED75" s="299"/>
      <c r="EL75" s="377" t="s">
        <v>1531</v>
      </c>
      <c r="EM75" s="35"/>
      <c r="EN75" s="35"/>
      <c r="EP75" s="2448"/>
      <c r="EQ75" s="377" t="s">
        <v>1608</v>
      </c>
      <c r="ER75" s="35"/>
      <c r="ES75" s="35"/>
      <c r="EV75" s="377" t="s">
        <v>1607</v>
      </c>
      <c r="EW75" s="35"/>
      <c r="EX75" s="35"/>
    </row>
    <row r="76" spans="1:160" ht="17.100000000000001" customHeight="1" thickTop="1" thickBot="1" x14ac:dyDescent="0.3">
      <c r="A76" s="2151" cm="1">
        <f t="array" aca="1" ref="A76" ca="1">_xlfn.IFS(
B76="",0,
Z74&lt;&gt;"",0,
A77=0,0,
AND(B76=$L$28,$F$28=$F$27),1,
AND(B76=$L$29,$F$29=$F$27),1,
AND(B76=$L$30,$F$30=$F$27),1,
AND(B76=$L$31,$F$31=$F$27),1,
AND(B76=$L$32,$F$32=$F$27),1,
AND(B76=$L$33,$F$33=$F$27),1,
AND(B76=$L$34,$F$34=$F$27),1,
AND(B76=$L$35,$F$35=$F$27),1,
AND(B76=$L$36,$F$36=$F$27),1,
TRUE,0)</f>
        <v>0</v>
      </c>
      <c r="B76" s="4874"/>
      <c r="C76" s="4542"/>
      <c r="D76" s="4542"/>
      <c r="E76" s="4542"/>
      <c r="F76" s="4542"/>
      <c r="G76" s="4542"/>
      <c r="H76" s="4542"/>
      <c r="I76" s="4542"/>
      <c r="J76" s="4542"/>
      <c r="K76" s="4542"/>
      <c r="L76" s="4542"/>
      <c r="M76" s="4551"/>
      <c r="N76" s="4551"/>
      <c r="O76" s="4552"/>
      <c r="P76" s="4913"/>
      <c r="Q76" s="4914"/>
      <c r="R76" s="4913"/>
      <c r="S76" s="4914"/>
      <c r="T76" s="4913"/>
      <c r="U76" s="4914"/>
      <c r="V76" s="4913"/>
      <c r="W76" s="4914"/>
      <c r="X76" s="4913"/>
      <c r="Y76" s="4914"/>
      <c r="Z76" s="1040"/>
      <c r="AA76" s="41" cm="1">
        <f t="array" aca="1" ref="AA76" ca="1">_xlfn.IFS(
AB76="",0,
AZ74&lt;&gt;"",0,
AA77=0,0,
AND(AB76=$L$28,$F$28=$F$27),1,
AND(AB76=$L$29,$F$29=$F$27),1,
AND(AB76=$L$30,$F$30=$F$27),1,
AND(AB76=$L$31,$F$31=$F$27),1,
AND(AB76=$L$32,$F$32=$F$27),1,
AND(AB76=$L$33,$F$33=$F$27),1,
AND(AB76=$L$34,$F$34=$F$27),1,
AND(AB76=$L$35,$F$35=$F$27),1,
AND(AB76=$L$36,$F$36=$F$27),1,
TRUE,0)</f>
        <v>0</v>
      </c>
      <c r="AB76" s="4874"/>
      <c r="AC76" s="4542"/>
      <c r="AD76" s="4542"/>
      <c r="AE76" s="4542"/>
      <c r="AF76" s="4542"/>
      <c r="AG76" s="4542"/>
      <c r="AH76" s="4542"/>
      <c r="AI76" s="4542"/>
      <c r="AJ76" s="4542"/>
      <c r="AK76" s="4542"/>
      <c r="AL76" s="4542"/>
      <c r="AM76" s="4551"/>
      <c r="AN76" s="4551"/>
      <c r="AO76" s="4552"/>
      <c r="AP76" s="2494"/>
      <c r="AQ76" s="2494"/>
      <c r="AR76" s="2494"/>
      <c r="AS76" s="2494"/>
      <c r="AT76" s="2494"/>
      <c r="AU76" s="2494"/>
      <c r="AV76" s="2494"/>
      <c r="AW76" s="2494"/>
      <c r="AX76" s="2494"/>
      <c r="AY76" s="2494"/>
      <c r="AZ76" s="1047"/>
      <c r="BA76" s="2151" cm="1">
        <f t="array" aca="1" ref="BA76" ca="1">_xlfn.IFS(
BB76="",0,
BA77=0,0,
AND($BU$5=1,BU77=$BU$6),1,
AND(BB76=$L$28,$F$28=$F$27),1,
AND(BB76=$L$29,$F$29=$F$27),1,
AND(BB76=$L$30,$F$30=$F$27),1,
AND(BB76=$L$31,$F$31=$F$27),1,
AND(BB76=$L$32,$F$32=$F$27),1,
AND(BB76=$L$33,$F$33=$F$27),1,
AND(BB76=$L$34,$F$34=$F$27),1,
AND(BB76=$L$35,$F$35=$F$27),1,
AND(BB76=$L$36,$F$36=$F$27),1,
TRUE,0)</f>
        <v>0</v>
      </c>
      <c r="BB76" s="4912"/>
      <c r="BC76" s="4542"/>
      <c r="BD76" s="4542"/>
      <c r="BE76" s="4542"/>
      <c r="BF76" s="4542"/>
      <c r="BG76" s="4542"/>
      <c r="BH76" s="4542"/>
      <c r="BI76" s="4542"/>
      <c r="BJ76" s="4542"/>
      <c r="BK76" s="4542"/>
      <c r="BL76" s="4542"/>
      <c r="BM76" s="4551"/>
      <c r="BN76" s="4551"/>
      <c r="BO76" s="4552"/>
      <c r="BP76" s="4881"/>
      <c r="BQ76" s="4882"/>
      <c r="BR76" s="4883"/>
      <c r="BS76" s="959"/>
      <c r="BT76" s="2234"/>
      <c r="BU76" s="1244"/>
      <c r="BV76" s="2244"/>
      <c r="BW76" s="2244"/>
      <c r="BX76" s="2266"/>
      <c r="BY76" s="2237"/>
      <c r="BZ76" s="1038"/>
      <c r="CA76" s="101"/>
      <c r="CC76" s="242"/>
      <c r="CD76" s="262"/>
      <c r="CK76" s="299"/>
      <c r="CN76" s="242"/>
      <c r="CO76" s="262"/>
      <c r="CP76" s="101"/>
      <c r="CQ76" s="101"/>
      <c r="CR76" s="262"/>
      <c r="CS76" s="101"/>
      <c r="CT76" s="101"/>
      <c r="CU76" s="262"/>
      <c r="CW76" s="299"/>
      <c r="CZ76" s="301"/>
      <c r="DP76" s="2136" t="str">
        <f>IF(AND(B66&lt;&gt;"",A67&lt;&gt;0),B66,"")</f>
        <v/>
      </c>
      <c r="DV76" s="299"/>
      <c r="DX76" s="2131"/>
      <c r="ED76" s="299"/>
      <c r="EI76" s="377"/>
      <c r="EL76" s="2454" t="s">
        <v>1433</v>
      </c>
      <c r="EM76" s="2455"/>
      <c r="EN76" s="2456"/>
      <c r="EP76" s="2448"/>
      <c r="EQ76" s="2454" t="s">
        <v>1433</v>
      </c>
      <c r="ER76" s="2455"/>
      <c r="ES76" s="2456"/>
      <c r="EV76" s="2454" t="s">
        <v>1433</v>
      </c>
      <c r="EW76" s="2455"/>
      <c r="EX76" s="2456"/>
    </row>
    <row r="77" spans="1:160" ht="17.100000000000001" customHeight="1" thickTop="1" thickBot="1" x14ac:dyDescent="0.3">
      <c r="A77" s="2152" cm="1">
        <f t="array" ref="A77">_xlfn.IFS(P76="",0,AND(COUNTA(P76:Y76)=COUNTA(P77:Y77),DM77=0),0,TRUE,1)</f>
        <v>0</v>
      </c>
      <c r="B77" s="4540"/>
      <c r="C77" s="4535"/>
      <c r="D77" s="4535"/>
      <c r="E77" s="4535"/>
      <c r="F77" s="4535"/>
      <c r="G77" s="4535"/>
      <c r="H77" s="4535"/>
      <c r="I77" s="4535"/>
      <c r="J77" s="4535"/>
      <c r="K77" s="4535"/>
      <c r="L77" s="4564"/>
      <c r="M77" s="4564"/>
      <c r="N77" s="4876"/>
      <c r="O77" s="4877"/>
      <c r="P77" s="4920"/>
      <c r="Q77" s="4921"/>
      <c r="R77" s="4920"/>
      <c r="S77" s="4921"/>
      <c r="T77" s="4920"/>
      <c r="U77" s="4921"/>
      <c r="V77" s="4920"/>
      <c r="W77" s="4921"/>
      <c r="X77" s="4920"/>
      <c r="Y77" s="4921"/>
      <c r="Z77" s="3386"/>
      <c r="AA77" s="2128" cm="1">
        <f t="array" ref="AA77">_xlfn.IFS(AP76="",0,AND(COUNTA(AP76:AY76)=COUNTA(AP77:AY77),AZ77=0),0,TRUE,1)</f>
        <v>0</v>
      </c>
      <c r="AB77" s="4540"/>
      <c r="AC77" s="4535"/>
      <c r="AD77" s="4535"/>
      <c r="AE77" s="4535"/>
      <c r="AF77" s="4535"/>
      <c r="AG77" s="4535"/>
      <c r="AH77" s="4535"/>
      <c r="AI77" s="4535"/>
      <c r="AJ77" s="4535"/>
      <c r="AK77" s="4535"/>
      <c r="AL77" s="4564"/>
      <c r="AM77" s="4564"/>
      <c r="AN77" s="4876"/>
      <c r="AO77" s="4877"/>
      <c r="AP77" s="1042"/>
      <c r="AQ77" s="1042"/>
      <c r="AR77" s="1042"/>
      <c r="AS77" s="1042"/>
      <c r="AT77" s="1042"/>
      <c r="AU77" s="1042"/>
      <c r="AV77" s="1042"/>
      <c r="AW77" s="1042"/>
      <c r="AX77" s="1042"/>
      <c r="AY77" s="1042"/>
      <c r="AZ77" s="2127" cm="1">
        <f t="array" ref="AZ77">IF(AZ76&lt;&gt;"",_xlfn.IFS(AP78="",0,AND(COUNTA(AP78:AY78)=COUNTA(AP79:AY79),AZ79=0),0,TRUE,1),0)</f>
        <v>0</v>
      </c>
      <c r="BA77" s="2152">
        <f t="shared" si="53"/>
        <v>1</v>
      </c>
      <c r="BB77" s="4540"/>
      <c r="BC77" s="4535"/>
      <c r="BD77" s="4535"/>
      <c r="BE77" s="4535"/>
      <c r="BF77" s="4535"/>
      <c r="BG77" s="4535"/>
      <c r="BH77" s="4535"/>
      <c r="BI77" s="4535"/>
      <c r="BJ77" s="4535"/>
      <c r="BK77" s="4535"/>
      <c r="BL77" s="4564"/>
      <c r="BM77" s="4564"/>
      <c r="BN77" s="4876"/>
      <c r="BO77" s="4877"/>
      <c r="BP77" s="4878"/>
      <c r="BQ77" s="4879"/>
      <c r="BR77" s="4880"/>
      <c r="BS77" s="959"/>
      <c r="BT77" s="2234"/>
      <c r="BU77" s="2239" cm="1">
        <f t="array" ref="BU77">_xlfn.IFS(
BV77="",0,
BV77=$DH$15,1,
BV77=$DH$16,2,
BV77=$DH$17,3,
BV77=$DH$18,4,
BV77=$DH$19,5,
BV77=$DH$20,6,
TRUE,0)</f>
        <v>0</v>
      </c>
      <c r="BV77" s="4873"/>
      <c r="BW77" s="4873"/>
      <c r="BX77" s="4873"/>
      <c r="BY77" s="2237"/>
      <c r="BZ77" s="1038"/>
      <c r="CA77" s="101"/>
      <c r="CC77" s="242"/>
      <c r="CD77" s="262">
        <f>IF($Z77&lt;&gt;"",SUM(P77:Y77),0)</f>
        <v>0</v>
      </c>
      <c r="CK77" s="299"/>
      <c r="CN77" s="242"/>
      <c r="CO77" s="262">
        <f t="shared" ref="CO77" si="66">IF(AND(N77&lt;&gt;"",OR(N77=$Q$51,N77=$Q$52,N77=$Q$53,N77=$Q$54,N77=$Q$55,N77=$Q$56,N77=$Q$57,N77=$Q$58)),SUM(P77:Y77),0)</f>
        <v>0</v>
      </c>
      <c r="CP77" s="101"/>
      <c r="CQ77" s="101"/>
      <c r="CR77" s="262">
        <f t="shared" ref="CR77" si="67">IF(AND(AN77&lt;&gt;"",OR(AN77=$Q$51,AN77=$Q$52,AN77=$Q$53,AN77=$Q$54,AN77=$Q$55,AN77=$Q$56,AN77=$Q$57,AN77=$Q$58)),SUM(AP77:AY77),0)</f>
        <v>0</v>
      </c>
      <c r="CS77" s="101"/>
      <c r="CT77" s="101"/>
      <c r="CU77" s="262">
        <f t="shared" ref="CU77" si="68">IF(AND(BN77&lt;&gt;"",OR(BN77=$Q$51,BN77=$Q$52,BN77=$Q$53,BN77=$Q$54,BN77=$Q$55,BN77=$Q$56,BN77=$Q$57,BN77=$Q$58)),BP77,0)</f>
        <v>0</v>
      </c>
      <c r="CW77" s="299"/>
      <c r="CZ77" s="301"/>
      <c r="DM77" s="2142" cm="1">
        <f t="array" ref="DM77">IF(Z76&lt;&gt;"",_xlfn.IFS(P78="",0,AND(COUNTA(P78:Y78)=COUNTA(P79:Y79),DM79=0),0,TRUE,1),0)</f>
        <v>0</v>
      </c>
      <c r="DP77" s="2136" t="str">
        <f>IF(AND(B68&lt;&gt;"",A69&lt;&gt;0),B68,"")</f>
        <v/>
      </c>
      <c r="DV77" s="299"/>
      <c r="DX77" s="2131"/>
      <c r="ED77" s="299"/>
      <c r="EI77" s="377"/>
      <c r="EL77" s="2457" t="s">
        <v>686</v>
      </c>
      <c r="EM77" s="2458"/>
      <c r="EN77" s="2459"/>
      <c r="EP77" s="2448"/>
      <c r="EQ77" s="2457" t="s">
        <v>686</v>
      </c>
      <c r="ER77" s="2458"/>
      <c r="ES77" s="2459"/>
      <c r="EV77" s="2457" t="s">
        <v>686</v>
      </c>
      <c r="EW77" s="2458"/>
      <c r="EX77" s="2459"/>
    </row>
    <row r="78" spans="1:160" ht="17.100000000000001" customHeight="1" thickTop="1" thickBot="1" x14ac:dyDescent="0.3">
      <c r="A78" s="2151" cm="1">
        <f t="array" aca="1" ref="A78" ca="1">_xlfn.IFS(
B78="",0,
Z76&lt;&gt;"",0,
A79=0,0,
AND(B78=$L$28,$F$28=$F$27),1,
AND(B78=$L$29,$F$29=$F$27),1,
AND(B78=$L$30,$F$30=$F$27),1,
AND(B78=$L$31,$F$31=$F$27),1,
AND(B78=$L$32,$F$32=$F$27),1,
AND(B78=$L$33,$F$33=$F$27),1,
AND(B78=$L$34,$F$34=$F$27),1,
AND(B78=$L$35,$F$35=$F$27),1,
AND(B78=$L$36,$F$36=$F$27),1,
TRUE,0)</f>
        <v>0</v>
      </c>
      <c r="B78" s="4874"/>
      <c r="C78" s="4542"/>
      <c r="D78" s="4542"/>
      <c r="E78" s="4542"/>
      <c r="F78" s="4542"/>
      <c r="G78" s="4542"/>
      <c r="H78" s="4542"/>
      <c r="I78" s="4542"/>
      <c r="J78" s="4542"/>
      <c r="K78" s="4542"/>
      <c r="L78" s="4542"/>
      <c r="M78" s="4551"/>
      <c r="N78" s="4551"/>
      <c r="O78" s="4552"/>
      <c r="P78" s="4913"/>
      <c r="Q78" s="4914"/>
      <c r="R78" s="4913"/>
      <c r="S78" s="4914"/>
      <c r="T78" s="4913"/>
      <c r="U78" s="4914"/>
      <c r="V78" s="4913"/>
      <c r="W78" s="4914"/>
      <c r="X78" s="4913"/>
      <c r="Y78" s="4914"/>
      <c r="Z78" s="1040"/>
      <c r="AA78" s="41" cm="1">
        <f t="array" aca="1" ref="AA78" ca="1">_xlfn.IFS(
AB78="",0,
AZ76&lt;&gt;"",0,
AA79=0,0,
AND(AB78=$L$28,$F$28=$F$27),1,
AND(AB78=$L$29,$F$29=$F$27),1,
AND(AB78=$L$30,$F$30=$F$27),1,
AND(AB78=$L$31,$F$31=$F$27),1,
AND(AB78=$L$32,$F$32=$F$27),1,
AND(AB78=$L$33,$F$33=$F$27),1,
AND(AB78=$L$34,$F$34=$F$27),1,
AND(AB78=$L$35,$F$35=$F$27),1,
AND(AB78=$L$36,$F$36=$F$27),1,
TRUE,0)</f>
        <v>0</v>
      </c>
      <c r="AB78" s="4874"/>
      <c r="AC78" s="4542"/>
      <c r="AD78" s="4542"/>
      <c r="AE78" s="4542"/>
      <c r="AF78" s="4542"/>
      <c r="AG78" s="4542"/>
      <c r="AH78" s="4542"/>
      <c r="AI78" s="4542"/>
      <c r="AJ78" s="4542"/>
      <c r="AK78" s="4542"/>
      <c r="AL78" s="4542"/>
      <c r="AM78" s="4551"/>
      <c r="AN78" s="4551"/>
      <c r="AO78" s="4552"/>
      <c r="AP78" s="2494"/>
      <c r="AQ78" s="2494"/>
      <c r="AR78" s="2494"/>
      <c r="AS78" s="2494"/>
      <c r="AT78" s="2494"/>
      <c r="AU78" s="2494"/>
      <c r="AV78" s="2494"/>
      <c r="AW78" s="2494"/>
      <c r="AX78" s="2494"/>
      <c r="AY78" s="2494"/>
      <c r="AZ78" s="1047"/>
      <c r="BA78" s="2151" cm="1">
        <f t="array" aca="1" ref="BA78" ca="1">_xlfn.IFS(
BB78="",0,
BA79=0,0,
AND($BU$5=1,BU79=$BU$6),1,
AND(BB78=$L$28,$F$28=$F$27),1,
AND(BB78=$L$29,$F$29=$F$27),1,
AND(BB78=$L$30,$F$30=$F$27),1,
AND(BB78=$L$31,$F$31=$F$27),1,
AND(BB78=$L$32,$F$32=$F$27),1,
AND(BB78=$L$33,$F$33=$F$27),1,
AND(BB78=$L$34,$F$34=$F$27),1,
AND(BB78=$L$35,$F$35=$F$27),1,
AND(BB78=$L$36,$F$36=$F$27),1,
TRUE,0)</f>
        <v>0</v>
      </c>
      <c r="BB78" s="4874"/>
      <c r="BC78" s="4542"/>
      <c r="BD78" s="4542"/>
      <c r="BE78" s="4542"/>
      <c r="BF78" s="4542"/>
      <c r="BG78" s="4542"/>
      <c r="BH78" s="4542"/>
      <c r="BI78" s="4542"/>
      <c r="BJ78" s="4542"/>
      <c r="BK78" s="4542"/>
      <c r="BL78" s="4542"/>
      <c r="BM78" s="4551"/>
      <c r="BN78" s="4551"/>
      <c r="BO78" s="4552"/>
      <c r="BP78" s="4881"/>
      <c r="BQ78" s="4882"/>
      <c r="BR78" s="4883"/>
      <c r="BS78" s="959"/>
      <c r="BT78" s="2234"/>
      <c r="BU78" s="1244"/>
      <c r="BV78" s="2244"/>
      <c r="BW78" s="2244"/>
      <c r="BX78" s="2266"/>
      <c r="BY78" s="2237"/>
      <c r="BZ78" s="1038"/>
      <c r="CA78" s="101"/>
      <c r="CC78" s="242"/>
      <c r="CD78" s="262"/>
      <c r="CK78" s="299"/>
      <c r="CN78" s="242"/>
      <c r="CO78" s="262"/>
      <c r="CP78" s="101"/>
      <c r="CQ78" s="101"/>
      <c r="CR78" s="262"/>
      <c r="CS78" s="101"/>
      <c r="CT78" s="101"/>
      <c r="CU78" s="262"/>
      <c r="CW78" s="299"/>
      <c r="CZ78" s="301"/>
      <c r="DP78" s="2136" t="str">
        <f>IF(AND(B70&lt;&gt;"",A71&lt;&gt;0),B70,"")</f>
        <v/>
      </c>
      <c r="DV78" s="299"/>
      <c r="DX78" s="2131"/>
      <c r="ED78" s="299"/>
      <c r="EI78" s="377"/>
      <c r="EL78" s="2457" t="s">
        <v>1606</v>
      </c>
      <c r="EM78" s="2458"/>
      <c r="EN78" s="2459"/>
      <c r="EQ78" s="2457" t="s">
        <v>1618</v>
      </c>
      <c r="ER78" s="2458"/>
      <c r="ES78" s="2459"/>
      <c r="EV78" s="2457" t="s">
        <v>1618</v>
      </c>
      <c r="EW78" s="2458"/>
      <c r="EX78" s="2459"/>
    </row>
    <row r="79" spans="1:160" ht="17.100000000000001" customHeight="1" thickTop="1" thickBot="1" x14ac:dyDescent="0.3">
      <c r="A79" s="2152" cm="1">
        <f t="array" ref="A79">_xlfn.IFS(P78="",0,AND(COUNTA(P78:Y78)=COUNTA(P79:Y79),DM79=0),0,TRUE,1)</f>
        <v>0</v>
      </c>
      <c r="B79" s="4540"/>
      <c r="C79" s="4535"/>
      <c r="D79" s="4535"/>
      <c r="E79" s="4535"/>
      <c r="F79" s="4535"/>
      <c r="G79" s="4535"/>
      <c r="H79" s="4535"/>
      <c r="I79" s="4535"/>
      <c r="J79" s="4535"/>
      <c r="K79" s="4535"/>
      <c r="L79" s="4564"/>
      <c r="M79" s="4564"/>
      <c r="N79" s="4876"/>
      <c r="O79" s="4877"/>
      <c r="P79" s="4920"/>
      <c r="Q79" s="4921"/>
      <c r="R79" s="4920"/>
      <c r="S79" s="4921"/>
      <c r="T79" s="4920"/>
      <c r="U79" s="4921"/>
      <c r="V79" s="4920"/>
      <c r="W79" s="4921"/>
      <c r="X79" s="4920"/>
      <c r="Y79" s="4921"/>
      <c r="Z79" s="3386"/>
      <c r="AA79" s="2128" cm="1">
        <f t="array" ref="AA79">_xlfn.IFS(AP78="",0,AND(COUNTA(AP78:AY78)=COUNTA(AP79:AY79),AZ79=0),0,TRUE,1)</f>
        <v>0</v>
      </c>
      <c r="AB79" s="4540"/>
      <c r="AC79" s="4535"/>
      <c r="AD79" s="4535"/>
      <c r="AE79" s="4535"/>
      <c r="AF79" s="4535"/>
      <c r="AG79" s="4535"/>
      <c r="AH79" s="4535"/>
      <c r="AI79" s="4535"/>
      <c r="AJ79" s="4535"/>
      <c r="AK79" s="4535"/>
      <c r="AL79" s="4564"/>
      <c r="AM79" s="4564"/>
      <c r="AN79" s="4876"/>
      <c r="AO79" s="4877"/>
      <c r="AP79" s="1042"/>
      <c r="AQ79" s="1042"/>
      <c r="AR79" s="1042"/>
      <c r="AS79" s="1042"/>
      <c r="AT79" s="1042"/>
      <c r="AU79" s="1042"/>
      <c r="AV79" s="1042"/>
      <c r="AW79" s="1042"/>
      <c r="AX79" s="1042"/>
      <c r="AY79" s="1042"/>
      <c r="AZ79" s="2127" cm="1">
        <f t="array" ref="AZ79">IF(AZ78&lt;&gt;"",_xlfn.IFS(AP80="",0,AND(COUNTA(AP80:AY80)=COUNTA(AP81:AY81),AZ81=0),0,TRUE,1),0)</f>
        <v>0</v>
      </c>
      <c r="BA79" s="2152">
        <f t="shared" si="53"/>
        <v>1</v>
      </c>
      <c r="BB79" s="4540"/>
      <c r="BC79" s="4535"/>
      <c r="BD79" s="4535"/>
      <c r="BE79" s="4535"/>
      <c r="BF79" s="4535"/>
      <c r="BG79" s="4535"/>
      <c r="BH79" s="4535"/>
      <c r="BI79" s="4535"/>
      <c r="BJ79" s="4535"/>
      <c r="BK79" s="4535"/>
      <c r="BL79" s="4564"/>
      <c r="BM79" s="4564"/>
      <c r="BN79" s="4876"/>
      <c r="BO79" s="4877"/>
      <c r="BP79" s="4878"/>
      <c r="BQ79" s="4879"/>
      <c r="BR79" s="4880"/>
      <c r="BS79" s="959"/>
      <c r="BT79" s="2234"/>
      <c r="BU79" s="2239" cm="1">
        <f t="array" ref="BU79">_xlfn.IFS(
BV79="",0,
BV79=$DH$15,1,
BV79=$DH$16,2,
BV79=$DH$17,3,
BV79=$DH$18,4,
BV79=$DH$19,5,
BV79=$DH$20,6,
TRUE,0)</f>
        <v>0</v>
      </c>
      <c r="BV79" s="4873"/>
      <c r="BW79" s="4873"/>
      <c r="BX79" s="4873"/>
      <c r="BY79" s="2237"/>
      <c r="BZ79" s="1038"/>
      <c r="CA79" s="101"/>
      <c r="CC79" s="242"/>
      <c r="CD79" s="262">
        <f>IF($Z79&lt;&gt;"",SUM(P79:Y79),0)</f>
        <v>0</v>
      </c>
      <c r="CK79" s="299"/>
      <c r="CN79" s="242"/>
      <c r="CO79" s="262">
        <f t="shared" ref="CO79" si="69">IF(AND(N79&lt;&gt;"",OR(N79=$Q$51,N79=$Q$52,N79=$Q$53,N79=$Q$54,N79=$Q$55,N79=$Q$56,N79=$Q$57,N79=$Q$58)),SUM(P79:Y79),0)</f>
        <v>0</v>
      </c>
      <c r="CP79" s="101"/>
      <c r="CQ79" s="101"/>
      <c r="CR79" s="262">
        <f t="shared" ref="CR79" si="70">IF(AND(AN79&lt;&gt;"",OR(AN79=$Q$51,AN79=$Q$52,AN79=$Q$53,AN79=$Q$54,AN79=$Q$55,AN79=$Q$56,AN79=$Q$57,AN79=$Q$58)),SUM(AP79:AY79),0)</f>
        <v>0</v>
      </c>
      <c r="CS79" s="101"/>
      <c r="CT79" s="101"/>
      <c r="CU79" s="262">
        <f t="shared" ref="CU79" si="71">IF(AND(BN79&lt;&gt;"",OR(BN79=$Q$51,BN79=$Q$52,BN79=$Q$53,BN79=$Q$54,BN79=$Q$55,BN79=$Q$56,BN79=$Q$57,BN79=$Q$58)),BP79,0)</f>
        <v>0</v>
      </c>
      <c r="CW79" s="299"/>
      <c r="CZ79" s="301"/>
      <c r="DM79" s="2142" cm="1">
        <f t="array" ref="DM79">IF(Z78&lt;&gt;"",_xlfn.IFS(P80="",0,AND(COUNTA(P80:Y80)=COUNTA(P81:Y81),DM81=0),0,TRUE,1),0)</f>
        <v>0</v>
      </c>
      <c r="DP79" s="2136" t="str">
        <f>IF(AND(B72&lt;&gt;"",A73&lt;&gt;0),B72,"")</f>
        <v/>
      </c>
      <c r="DV79" s="299"/>
      <c r="DX79" s="2131"/>
      <c r="ED79" s="299"/>
      <c r="EI79" s="377"/>
      <c r="EL79" s="2457" t="s">
        <v>1610</v>
      </c>
      <c r="EM79" s="2458"/>
      <c r="EN79" s="2459"/>
      <c r="EQ79" s="2457" t="s">
        <v>1626</v>
      </c>
      <c r="ER79" s="2458"/>
      <c r="ES79" s="2459"/>
      <c r="EV79" s="2457" t="s">
        <v>1619</v>
      </c>
      <c r="EW79" s="2458"/>
      <c r="EX79" s="2459"/>
    </row>
    <row r="80" spans="1:160" ht="17.100000000000001" customHeight="1" thickTop="1" thickBot="1" x14ac:dyDescent="0.3">
      <c r="A80" s="2151" cm="1">
        <f t="array" aca="1" ref="A80" ca="1">_xlfn.IFS(
B80="",0,
Z78&lt;&gt;"",0,
A81=0,0,
AND(B80=$L$28,$F$28=$F$27),1,
AND(B80=$L$29,$F$29=$F$27),1,
AND(B80=$L$30,$F$30=$F$27),1,
AND(B80=$L$31,$F$31=$F$27),1,
AND(B80=$L$32,$F$32=$F$27),1,
AND(B80=$L$33,$F$33=$F$27),1,
AND(B80=$L$34,$F$34=$F$27),1,
AND(B80=$L$35,$F$35=$F$27),1,
AND(B80=$L$36,$F$36=$F$27),1,
TRUE,0)</f>
        <v>0</v>
      </c>
      <c r="B80" s="4874"/>
      <c r="C80" s="4542"/>
      <c r="D80" s="4542"/>
      <c r="E80" s="4542"/>
      <c r="F80" s="4542"/>
      <c r="G80" s="4542"/>
      <c r="H80" s="4542"/>
      <c r="I80" s="4542"/>
      <c r="J80" s="4542"/>
      <c r="K80" s="4542"/>
      <c r="L80" s="4542"/>
      <c r="M80" s="4551"/>
      <c r="N80" s="4551"/>
      <c r="O80" s="4552"/>
      <c r="P80" s="4913"/>
      <c r="Q80" s="4914"/>
      <c r="R80" s="4913"/>
      <c r="S80" s="4914"/>
      <c r="T80" s="4913"/>
      <c r="U80" s="4914"/>
      <c r="V80" s="4913"/>
      <c r="W80" s="4914"/>
      <c r="X80" s="4913"/>
      <c r="Y80" s="4914"/>
      <c r="Z80" s="1040"/>
      <c r="AA80" s="41" cm="1">
        <f t="array" aca="1" ref="AA80" ca="1">_xlfn.IFS(
AB80="",0,
AZ78&lt;&gt;"",0,
AA81=0,0,
AND(AB80=$L$28,$F$28=$F$27),1,
AND(AB80=$L$29,$F$29=$F$27),1,
AND(AB80=$L$30,$F$30=$F$27),1,
AND(AB80=$L$31,$F$31=$F$27),1,
AND(AB80=$L$32,$F$32=$F$27),1,
AND(AB80=$L$33,$F$33=$F$27),1,
AND(AB80=$L$34,$F$34=$F$27),1,
AND(AB80=$L$35,$F$35=$F$27),1,
AND(AB80=$L$36,$F$36=$F$27),1,
TRUE,0)</f>
        <v>0</v>
      </c>
      <c r="AB80" s="4874"/>
      <c r="AC80" s="4542"/>
      <c r="AD80" s="4542"/>
      <c r="AE80" s="4542"/>
      <c r="AF80" s="4542"/>
      <c r="AG80" s="4542"/>
      <c r="AH80" s="4542"/>
      <c r="AI80" s="4542"/>
      <c r="AJ80" s="4542"/>
      <c r="AK80" s="4542"/>
      <c r="AL80" s="4542"/>
      <c r="AM80" s="4551"/>
      <c r="AN80" s="4551"/>
      <c r="AO80" s="4552"/>
      <c r="AP80" s="2494"/>
      <c r="AQ80" s="2494"/>
      <c r="AR80" s="2494"/>
      <c r="AS80" s="2494"/>
      <c r="AT80" s="2494"/>
      <c r="AU80" s="2494"/>
      <c r="AV80" s="2494"/>
      <c r="AW80" s="2494"/>
      <c r="AX80" s="2494"/>
      <c r="AY80" s="2494"/>
      <c r="AZ80" s="1047"/>
      <c r="BA80" s="2151" cm="1">
        <f t="array" aca="1" ref="BA80" ca="1">_xlfn.IFS(
BB80="",0,
BA81=0,0,
AND($BU$5=1,BU81=$BU$6),1,
AND(BB80=$L$28,$F$28=$F$27),1,
AND(BB80=$L$29,$F$29=$F$27),1,
AND(BB80=$L$30,$F$30=$F$27),1,
AND(BB80=$L$31,$F$31=$F$27),1,
AND(BB80=$L$32,$F$32=$F$27),1,
AND(BB80=$L$33,$F$33=$F$27),1,
AND(BB80=$L$34,$F$34=$F$27),1,
AND(BB80=$L$35,$F$35=$F$27),1,
AND(BB80=$L$36,$F$36=$F$27),1,
TRUE,0)</f>
        <v>0</v>
      </c>
      <c r="BB80" s="4874"/>
      <c r="BC80" s="4542"/>
      <c r="BD80" s="4542"/>
      <c r="BE80" s="4542"/>
      <c r="BF80" s="4542"/>
      <c r="BG80" s="4542"/>
      <c r="BH80" s="4542"/>
      <c r="BI80" s="4542"/>
      <c r="BJ80" s="4542"/>
      <c r="BK80" s="4542"/>
      <c r="BL80" s="4542"/>
      <c r="BM80" s="4551"/>
      <c r="BN80" s="4551"/>
      <c r="BO80" s="4552"/>
      <c r="BP80" s="4881"/>
      <c r="BQ80" s="4882"/>
      <c r="BR80" s="4883"/>
      <c r="BS80" s="959"/>
      <c r="BT80" s="2234"/>
      <c r="BU80" s="1244"/>
      <c r="BV80" s="2244"/>
      <c r="BW80" s="2244"/>
      <c r="BX80" s="2266"/>
      <c r="BY80" s="2237"/>
      <c r="BZ80" s="1038"/>
      <c r="CA80" s="101"/>
      <c r="CC80" s="242"/>
      <c r="CD80" s="262"/>
      <c r="CK80" s="299"/>
      <c r="CN80" s="242"/>
      <c r="CO80" s="262"/>
      <c r="CP80" s="101"/>
      <c r="CQ80" s="101"/>
      <c r="CR80" s="262"/>
      <c r="CS80" s="101"/>
      <c r="CT80" s="101"/>
      <c r="CU80" s="262"/>
      <c r="CW80" s="299"/>
      <c r="CZ80" s="301"/>
      <c r="DP80" s="2136" t="str">
        <f>IF(AND(B74&lt;&gt;"",A75&lt;&gt;0),B74,"")</f>
        <v/>
      </c>
      <c r="DV80" s="299"/>
      <c r="DX80" s="2131"/>
      <c r="ED80" s="299"/>
      <c r="EI80" s="377"/>
      <c r="EL80" s="2457" t="s">
        <v>1616</v>
      </c>
      <c r="EM80" s="2458"/>
      <c r="EN80" s="2459"/>
      <c r="EQ80" s="2457" t="s">
        <v>1621</v>
      </c>
      <c r="ER80" s="2458"/>
      <c r="ES80" s="2459"/>
      <c r="EV80" s="2457" t="s">
        <v>1621</v>
      </c>
      <c r="EW80" s="2458"/>
      <c r="EX80" s="2459"/>
    </row>
    <row r="81" spans="1:154" ht="17.100000000000001" customHeight="1" thickTop="1" thickBot="1" x14ac:dyDescent="0.3">
      <c r="A81" s="2152" cm="1">
        <f t="array" ref="A81">_xlfn.IFS(P80="",0,AND(COUNTA(P80:Y80)=COUNTA(P81:Y81),DM81=0),0,TRUE,1)</f>
        <v>0</v>
      </c>
      <c r="B81" s="4540"/>
      <c r="C81" s="4535"/>
      <c r="D81" s="4535"/>
      <c r="E81" s="4535"/>
      <c r="F81" s="4535"/>
      <c r="G81" s="4535"/>
      <c r="H81" s="4535"/>
      <c r="I81" s="4535"/>
      <c r="J81" s="4535"/>
      <c r="K81" s="4535"/>
      <c r="L81" s="4564"/>
      <c r="M81" s="4564"/>
      <c r="N81" s="4876"/>
      <c r="O81" s="4877"/>
      <c r="P81" s="4920"/>
      <c r="Q81" s="4921"/>
      <c r="R81" s="4920"/>
      <c r="S81" s="4921"/>
      <c r="T81" s="4920"/>
      <c r="U81" s="4921"/>
      <c r="V81" s="4920"/>
      <c r="W81" s="4921"/>
      <c r="X81" s="4920"/>
      <c r="Y81" s="4921"/>
      <c r="Z81" s="3386"/>
      <c r="AA81" s="2128" cm="1">
        <f t="array" ref="AA81">_xlfn.IFS(AP80="",0,AND(COUNTA(AP80:AY80)=COUNTA(AP81:AY81),AZ81=0),0,TRUE,1)</f>
        <v>0</v>
      </c>
      <c r="AB81" s="4540"/>
      <c r="AC81" s="4535"/>
      <c r="AD81" s="4535"/>
      <c r="AE81" s="4535"/>
      <c r="AF81" s="4535"/>
      <c r="AG81" s="4535"/>
      <c r="AH81" s="4535"/>
      <c r="AI81" s="4535"/>
      <c r="AJ81" s="4535"/>
      <c r="AK81" s="4535"/>
      <c r="AL81" s="4564"/>
      <c r="AM81" s="4564"/>
      <c r="AN81" s="4876"/>
      <c r="AO81" s="4877"/>
      <c r="AP81" s="1042"/>
      <c r="AQ81" s="1042"/>
      <c r="AR81" s="1042"/>
      <c r="AS81" s="1042"/>
      <c r="AT81" s="1042"/>
      <c r="AU81" s="1042"/>
      <c r="AV81" s="1042"/>
      <c r="AW81" s="1042"/>
      <c r="AX81" s="1042"/>
      <c r="AY81" s="1042"/>
      <c r="AZ81" s="2127" cm="1">
        <f t="array" ref="AZ81">IF(AZ80&lt;&gt;"",_xlfn.IFS(AP82="",0,AND(COUNTA(AP82:AY82)=COUNTA(AP83:AY83),AZ83=0),0,TRUE,1),0)</f>
        <v>0</v>
      </c>
      <c r="BA81" s="2152">
        <f t="shared" si="53"/>
        <v>1</v>
      </c>
      <c r="BB81" s="4540"/>
      <c r="BC81" s="4535"/>
      <c r="BD81" s="4535"/>
      <c r="BE81" s="4535"/>
      <c r="BF81" s="4535"/>
      <c r="BG81" s="4535"/>
      <c r="BH81" s="4535"/>
      <c r="BI81" s="4535"/>
      <c r="BJ81" s="4535"/>
      <c r="BK81" s="4535"/>
      <c r="BL81" s="4564"/>
      <c r="BM81" s="4564"/>
      <c r="BN81" s="4876"/>
      <c r="BO81" s="4877"/>
      <c r="BP81" s="4878"/>
      <c r="BQ81" s="4879"/>
      <c r="BR81" s="4880"/>
      <c r="BS81" s="959"/>
      <c r="BT81" s="2234"/>
      <c r="BU81" s="2239" cm="1">
        <f t="array" ref="BU81">_xlfn.IFS(
BV81="",0,
BV81=$DH$15,1,
BV81=$DH$16,2,
BV81=$DH$17,3,
BV81=$DH$18,4,
BV81=$DH$19,5,
BV81=$DH$20,6,
TRUE,0)</f>
        <v>0</v>
      </c>
      <c r="BV81" s="4873"/>
      <c r="BW81" s="4873"/>
      <c r="BX81" s="4873"/>
      <c r="BY81" s="2237"/>
      <c r="BZ81" s="1038"/>
      <c r="CA81" s="101"/>
      <c r="CC81" s="242"/>
      <c r="CD81" s="262">
        <f t="shared" ref="CD81" si="72">IF($Z81&lt;&gt;"",SUM(P81:Y81),0)</f>
        <v>0</v>
      </c>
      <c r="CK81" s="299"/>
      <c r="CN81" s="242"/>
      <c r="CO81" s="262">
        <f t="shared" ref="CO81" si="73">IF(AND(N81&lt;&gt;"",OR(N81=$Q$51,N81=$Q$52,N81=$Q$53,N81=$Q$54,N81=$Q$55,N81=$Q$56,N81=$Q$57,N81=$Q$58)),SUM(P81:Y81),0)</f>
        <v>0</v>
      </c>
      <c r="CP81" s="101"/>
      <c r="CQ81" s="101"/>
      <c r="CR81" s="262">
        <f t="shared" ref="CR81" si="74">IF(AND(AN81&lt;&gt;"",OR(AN81=$Q$51,AN81=$Q$52,AN81=$Q$53,AN81=$Q$54,AN81=$Q$55,AN81=$Q$56,AN81=$Q$57,AN81=$Q$58)),SUM(AP81:AY81),0)</f>
        <v>0</v>
      </c>
      <c r="CS81" s="101"/>
      <c r="CT81" s="101"/>
      <c r="CU81" s="262">
        <f t="shared" ref="CU81" si="75">IF(AND(BN81&lt;&gt;"",OR(BN81=$Q$51,BN81=$Q$52,BN81=$Q$53,BN81=$Q$54,BN81=$Q$55,BN81=$Q$56,BN81=$Q$57,BN81=$Q$58)),BP81,0)</f>
        <v>0</v>
      </c>
      <c r="CW81" s="299"/>
      <c r="CZ81" s="301"/>
      <c r="DM81" s="2142" cm="1">
        <f t="array" ref="DM81">IF(Z80&lt;&gt;"",_xlfn.IFS(P82="",0,AND(COUNTA(P82:Y82)=COUNTA(P83:Y83),DM83=0),0,TRUE,1),0)</f>
        <v>0</v>
      </c>
      <c r="DP81" s="2136" t="str">
        <f>IF(AND(B76&lt;&gt;"",A77&lt;&gt;0),B76,"")</f>
        <v/>
      </c>
      <c r="DV81" s="299"/>
      <c r="DX81" s="2131"/>
      <c r="ED81" s="299"/>
      <c r="EI81" s="377"/>
      <c r="EL81" s="2457" t="s">
        <v>1612</v>
      </c>
      <c r="EM81" s="2458"/>
      <c r="EN81" s="2459"/>
      <c r="EQ81" s="2457" t="s">
        <v>331</v>
      </c>
      <c r="ER81" s="2458"/>
      <c r="ES81" s="2459"/>
      <c r="EV81" s="2457" t="s">
        <v>331</v>
      </c>
      <c r="EW81" s="2458"/>
      <c r="EX81" s="2459"/>
    </row>
    <row r="82" spans="1:154" ht="17.100000000000001" customHeight="1" thickTop="1" thickBot="1" x14ac:dyDescent="0.3">
      <c r="A82" s="2151" cm="1">
        <f t="array" aca="1" ref="A82" ca="1">_xlfn.IFS(
B82="",0,
Z80&lt;&gt;"",0,
A83=0,0,
AND(B82=$L$28,$F$28=$F$27),1,
AND(B82=$L$29,$F$29=$F$27),1,
AND(B82=$L$30,$F$30=$F$27),1,
AND(B82=$L$31,$F$31=$F$27),1,
AND(B82=$L$32,$F$32=$F$27),1,
AND(B82=$L$33,$F$33=$F$27),1,
AND(B82=$L$34,$F$34=$F$27),1,
AND(B82=$L$35,$F$35=$F$27),1,
AND(B82=$L$36,$F$36=$F$27),1,
TRUE,0)</f>
        <v>0</v>
      </c>
      <c r="B82" s="4874"/>
      <c r="C82" s="4542"/>
      <c r="D82" s="4542"/>
      <c r="E82" s="4542"/>
      <c r="F82" s="4542"/>
      <c r="G82" s="4542"/>
      <c r="H82" s="4542"/>
      <c r="I82" s="4542"/>
      <c r="J82" s="4542"/>
      <c r="K82" s="4542"/>
      <c r="L82" s="4542"/>
      <c r="M82" s="4551"/>
      <c r="N82" s="4551"/>
      <c r="O82" s="4552"/>
      <c r="P82" s="4913"/>
      <c r="Q82" s="4914"/>
      <c r="R82" s="4913"/>
      <c r="S82" s="4914"/>
      <c r="T82" s="4913"/>
      <c r="U82" s="4914"/>
      <c r="V82" s="4913"/>
      <c r="W82" s="4914"/>
      <c r="X82" s="4913"/>
      <c r="Y82" s="4914"/>
      <c r="Z82" s="1040"/>
      <c r="AA82" s="41" cm="1">
        <f t="array" aca="1" ref="AA82" ca="1">_xlfn.IFS(
AB82="",0,
AZ80&lt;&gt;"",0,
AA83=0,0,
AND(AB82=$L$28,$F$28=$F$27),1,
AND(AB82=$L$29,$F$29=$F$27),1,
AND(AB82=$L$30,$F$30=$F$27),1,
AND(AB82=$L$31,$F$31=$F$27),1,
AND(AB82=$L$32,$F$32=$F$27),1,
AND(AB82=$L$33,$F$33=$F$27),1,
AND(AB82=$L$34,$F$34=$F$27),1,
AND(AB82=$L$35,$F$35=$F$27),1,
AND(AB82=$L$36,$F$36=$F$27),1,
TRUE,0)</f>
        <v>0</v>
      </c>
      <c r="AB82" s="4874"/>
      <c r="AC82" s="4542"/>
      <c r="AD82" s="4542"/>
      <c r="AE82" s="4542"/>
      <c r="AF82" s="4542"/>
      <c r="AG82" s="4542"/>
      <c r="AH82" s="4542"/>
      <c r="AI82" s="4542"/>
      <c r="AJ82" s="4542"/>
      <c r="AK82" s="4542"/>
      <c r="AL82" s="4542"/>
      <c r="AM82" s="4551"/>
      <c r="AN82" s="4551"/>
      <c r="AO82" s="4552"/>
      <c r="AP82" s="2494"/>
      <c r="AQ82" s="2494"/>
      <c r="AR82" s="2494"/>
      <c r="AS82" s="2494"/>
      <c r="AT82" s="2494"/>
      <c r="AU82" s="2494"/>
      <c r="AV82" s="2494"/>
      <c r="AW82" s="2494"/>
      <c r="AX82" s="2494"/>
      <c r="AY82" s="2494"/>
      <c r="AZ82" s="1047"/>
      <c r="BA82" s="2151" cm="1">
        <f t="array" aca="1" ref="BA82" ca="1">_xlfn.IFS(
BB82="",0,
BA83=0,0,
AND($BU$5=1,BU83=$BU$6),1,
AND(BB82=$L$28,$F$28=$F$27),1,
AND(BB82=$L$29,$F$29=$F$27),1,
AND(BB82=$L$30,$F$30=$F$27),1,
AND(BB82=$L$31,$F$31=$F$27),1,
AND(BB82=$L$32,$F$32=$F$27),1,
AND(BB82=$L$33,$F$33=$F$27),1,
AND(BB82=$L$34,$F$34=$F$27),1,
AND(BB82=$L$35,$F$35=$F$27),1,
AND(BB82=$L$36,$F$36=$F$27),1,
TRUE,0)</f>
        <v>0</v>
      </c>
      <c r="BB82" s="4874"/>
      <c r="BC82" s="4542"/>
      <c r="BD82" s="4542"/>
      <c r="BE82" s="4542"/>
      <c r="BF82" s="4542"/>
      <c r="BG82" s="4542"/>
      <c r="BH82" s="4542"/>
      <c r="BI82" s="4542"/>
      <c r="BJ82" s="4542"/>
      <c r="BK82" s="4542"/>
      <c r="BL82" s="4542"/>
      <c r="BM82" s="4551"/>
      <c r="BN82" s="4551"/>
      <c r="BO82" s="4552"/>
      <c r="BP82" s="4881"/>
      <c r="BQ82" s="4882"/>
      <c r="BR82" s="4883"/>
      <c r="BS82" s="959"/>
      <c r="BT82" s="2234"/>
      <c r="BU82" s="1244"/>
      <c r="BV82" s="2244"/>
      <c r="BW82" s="2244"/>
      <c r="BX82" s="2266"/>
      <c r="BY82" s="2237"/>
      <c r="BZ82" s="1038"/>
      <c r="CA82" s="101"/>
      <c r="CC82" s="242"/>
      <c r="CD82" s="262"/>
      <c r="CK82" s="299"/>
      <c r="CN82" s="242"/>
      <c r="CO82" s="262"/>
      <c r="CP82" s="101"/>
      <c r="CQ82" s="101"/>
      <c r="CR82" s="262"/>
      <c r="CS82" s="101"/>
      <c r="CT82" s="101"/>
      <c r="CU82" s="262"/>
      <c r="CW82" s="299"/>
      <c r="CZ82" s="301"/>
      <c r="DP82" s="2136" t="str">
        <f>IF(AND(B78&lt;&gt;"",A79&lt;&gt;0),B78,"")</f>
        <v/>
      </c>
      <c r="DV82" s="299"/>
      <c r="DX82" s="2131"/>
      <c r="ED82" s="299"/>
      <c r="EI82" s="377"/>
      <c r="EL82" s="2457" t="s">
        <v>1599</v>
      </c>
      <c r="EM82" s="2458"/>
      <c r="EN82" s="2459"/>
      <c r="EQ82" s="2457" t="s">
        <v>1610</v>
      </c>
      <c r="ER82" s="2458"/>
      <c r="ES82" s="2459"/>
      <c r="EV82" s="2457" t="s">
        <v>1610</v>
      </c>
      <c r="EW82" s="2458"/>
      <c r="EX82" s="2459"/>
    </row>
    <row r="83" spans="1:154" ht="17.100000000000001" customHeight="1" thickTop="1" thickBot="1" x14ac:dyDescent="0.3">
      <c r="A83" s="2152" cm="1">
        <f t="array" ref="A83">_xlfn.IFS(P82="",0,AND(COUNTA(P82:Y82)=COUNTA(P83:Y83),DM83=0),0,TRUE,1)</f>
        <v>0</v>
      </c>
      <c r="B83" s="4540"/>
      <c r="C83" s="4535"/>
      <c r="D83" s="4535"/>
      <c r="E83" s="4535"/>
      <c r="F83" s="4535"/>
      <c r="G83" s="4535"/>
      <c r="H83" s="4535"/>
      <c r="I83" s="4535"/>
      <c r="J83" s="4535"/>
      <c r="K83" s="4535"/>
      <c r="L83" s="4564"/>
      <c r="M83" s="4564"/>
      <c r="N83" s="4876"/>
      <c r="O83" s="4877"/>
      <c r="P83" s="4920"/>
      <c r="Q83" s="4921"/>
      <c r="R83" s="4920"/>
      <c r="S83" s="4921"/>
      <c r="T83" s="4920"/>
      <c r="U83" s="4921"/>
      <c r="V83" s="4920"/>
      <c r="W83" s="4921"/>
      <c r="X83" s="4920"/>
      <c r="Y83" s="4921"/>
      <c r="Z83" s="3386"/>
      <c r="AA83" s="2128" cm="1">
        <f t="array" ref="AA83">_xlfn.IFS(AP82="",0,AND(COUNTA(AP82:AY82)=COUNTA(AP83:AY83),AZ83=0),0,TRUE,1)</f>
        <v>0</v>
      </c>
      <c r="AB83" s="4540"/>
      <c r="AC83" s="4535"/>
      <c r="AD83" s="4535"/>
      <c r="AE83" s="4535"/>
      <c r="AF83" s="4535"/>
      <c r="AG83" s="4535"/>
      <c r="AH83" s="4535"/>
      <c r="AI83" s="4535"/>
      <c r="AJ83" s="4535"/>
      <c r="AK83" s="4535"/>
      <c r="AL83" s="4564"/>
      <c r="AM83" s="4564"/>
      <c r="AN83" s="4876"/>
      <c r="AO83" s="4877"/>
      <c r="AP83" s="1042"/>
      <c r="AQ83" s="1042"/>
      <c r="AR83" s="1042"/>
      <c r="AS83" s="1042"/>
      <c r="AT83" s="1042"/>
      <c r="AU83" s="1042"/>
      <c r="AV83" s="1042"/>
      <c r="AW83" s="1042"/>
      <c r="AX83" s="1042"/>
      <c r="AY83" s="1042"/>
      <c r="AZ83" s="2127" cm="1">
        <f t="array" ref="AZ83">IF(AZ82&lt;&gt;"",_xlfn.IFS(AP84="",0,AND(COUNTA(AP84:AY84)=COUNTA(AP85:AY85),AZ85=0),0,TRUE,1),0)</f>
        <v>0</v>
      </c>
      <c r="BA83" s="2152">
        <f t="shared" si="53"/>
        <v>1</v>
      </c>
      <c r="BB83" s="4540"/>
      <c r="BC83" s="4535"/>
      <c r="BD83" s="4535"/>
      <c r="BE83" s="4535"/>
      <c r="BF83" s="4535"/>
      <c r="BG83" s="4535"/>
      <c r="BH83" s="4535"/>
      <c r="BI83" s="4535"/>
      <c r="BJ83" s="4535"/>
      <c r="BK83" s="4535"/>
      <c r="BL83" s="4564"/>
      <c r="BM83" s="4564"/>
      <c r="BN83" s="4876"/>
      <c r="BO83" s="4877"/>
      <c r="BP83" s="4878"/>
      <c r="BQ83" s="4879"/>
      <c r="BR83" s="4880"/>
      <c r="BS83" s="959"/>
      <c r="BT83" s="2234"/>
      <c r="BU83" s="2239" cm="1">
        <f t="array" ref="BU83">_xlfn.IFS(
BV83="",0,
BV83=$DH$15,1,
BV83=$DH$16,2,
BV83=$DH$17,3,
BV83=$DH$18,4,
BV83=$DH$19,5,
BV83=$DH$20,6,
TRUE,0)</f>
        <v>0</v>
      </c>
      <c r="BV83" s="4873"/>
      <c r="BW83" s="4873"/>
      <c r="BX83" s="4873"/>
      <c r="BY83" s="2237"/>
      <c r="BZ83" s="1038"/>
      <c r="CA83" s="101"/>
      <c r="CC83" s="242"/>
      <c r="CD83" s="262">
        <f t="shared" ref="CD83" si="76">IF($Z83&lt;&gt;"",SUM(P83:Y83),0)</f>
        <v>0</v>
      </c>
      <c r="CK83" s="299"/>
      <c r="CN83" s="242"/>
      <c r="CO83" s="262">
        <f t="shared" ref="CO83" si="77">IF(AND(N83&lt;&gt;"",OR(N83=$Q$51,N83=$Q$52,N83=$Q$53,N83=$Q$54,N83=$Q$55,N83=$Q$56,N83=$Q$57,N83=$Q$58)),SUM(P83:Y83),0)</f>
        <v>0</v>
      </c>
      <c r="CP83" s="101"/>
      <c r="CQ83" s="101"/>
      <c r="CR83" s="262">
        <f t="shared" ref="CR83" si="78">IF(AND(AN83&lt;&gt;"",OR(AN83=$Q$51,AN83=$Q$52,AN83=$Q$53,AN83=$Q$54,AN83=$Q$55,AN83=$Q$56,AN83=$Q$57,AN83=$Q$58)),SUM(AP83:AY83),0)</f>
        <v>0</v>
      </c>
      <c r="CS83" s="101"/>
      <c r="CT83" s="101"/>
      <c r="CU83" s="262">
        <f t="shared" ref="CU83" si="79">IF(AND(BN83&lt;&gt;"",OR(BN83=$Q$51,BN83=$Q$52,BN83=$Q$53,BN83=$Q$54,BN83=$Q$55,BN83=$Q$56,BN83=$Q$57,BN83=$Q$58)),BP83,0)</f>
        <v>0</v>
      </c>
      <c r="CW83" s="299"/>
      <c r="CZ83" s="301"/>
      <c r="DM83" s="2142" cm="1">
        <f t="array" ref="DM83">IF(Z82&lt;&gt;"",_xlfn.IFS(P84="",0,AND(COUNTA(P84:Y84)=COUNTA(P85:Y85),DM85=0),0,TRUE,1),0)</f>
        <v>0</v>
      </c>
      <c r="DP83" s="2136" t="str">
        <f>IF(AND(B80&lt;&gt;"",A81&lt;&gt;0),B80,"")</f>
        <v/>
      </c>
      <c r="DV83" s="299"/>
      <c r="DX83" s="2131"/>
      <c r="ED83" s="299"/>
      <c r="EI83" s="377"/>
      <c r="EL83" s="2457" t="s">
        <v>1600</v>
      </c>
      <c r="EM83" s="2458"/>
      <c r="EN83" s="2459"/>
      <c r="EQ83" s="2457" t="s">
        <v>1620</v>
      </c>
      <c r="ER83" s="2458"/>
      <c r="ES83" s="2459"/>
      <c r="EV83" s="2457" t="s">
        <v>1620</v>
      </c>
      <c r="EW83" s="2458"/>
      <c r="EX83" s="2459"/>
    </row>
    <row r="84" spans="1:154" ht="17.100000000000001" customHeight="1" thickTop="1" thickBot="1" x14ac:dyDescent="0.3">
      <c r="A84" s="2151" cm="1">
        <f t="array" aca="1" ref="A84" ca="1">_xlfn.IFS(
B84="",0,
Z82&lt;&gt;"",0,
A85=0,0,
AND(B84=$L$28,$F$28=$F$27),1,
AND(B84=$L$29,$F$29=$F$27),1,
AND(B84=$L$30,$F$30=$F$27),1,
AND(B84=$L$31,$F$31=$F$27),1,
AND(B84=$L$32,$F$32=$F$27),1,
AND(B84=$L$33,$F$33=$F$27),1,
AND(B84=$L$34,$F$34=$F$27),1,
AND(B84=$L$35,$F$35=$F$27),1,
AND(B84=$L$36,$F$36=$F$27),1,
TRUE,0)</f>
        <v>0</v>
      </c>
      <c r="B84" s="4874"/>
      <c r="C84" s="4542"/>
      <c r="D84" s="4542"/>
      <c r="E84" s="4542"/>
      <c r="F84" s="4542"/>
      <c r="G84" s="4542"/>
      <c r="H84" s="4542"/>
      <c r="I84" s="4542"/>
      <c r="J84" s="4542"/>
      <c r="K84" s="4542"/>
      <c r="L84" s="4542"/>
      <c r="M84" s="4551"/>
      <c r="N84" s="4551"/>
      <c r="O84" s="4552"/>
      <c r="P84" s="4913"/>
      <c r="Q84" s="4914"/>
      <c r="R84" s="4913"/>
      <c r="S84" s="4914"/>
      <c r="T84" s="4913"/>
      <c r="U84" s="4914"/>
      <c r="V84" s="4913"/>
      <c r="W84" s="4914"/>
      <c r="X84" s="4913"/>
      <c r="Y84" s="4914"/>
      <c r="Z84" s="1040"/>
      <c r="AA84" s="41" cm="1">
        <f t="array" aca="1" ref="AA84" ca="1">_xlfn.IFS(
AB84="",0,
AZ82&lt;&gt;"",0,
AA85=0,0,
AND(AB84=$L$28,$F$28=$F$27),1,
AND(AB84=$L$29,$F$29=$F$27),1,
AND(AB84=$L$30,$F$30=$F$27),1,
AND(AB84=$L$31,$F$31=$F$27),1,
AND(AB84=$L$32,$F$32=$F$27),1,
AND(AB84=$L$33,$F$33=$F$27),1,
AND(AB84=$L$34,$F$34=$F$27),1,
AND(AB84=$L$35,$F$35=$F$27),1,
AND(AB84=$L$36,$F$36=$F$27),1,
TRUE,0)</f>
        <v>0</v>
      </c>
      <c r="AB84" s="4874"/>
      <c r="AC84" s="4542"/>
      <c r="AD84" s="4542"/>
      <c r="AE84" s="4542"/>
      <c r="AF84" s="4542"/>
      <c r="AG84" s="4542"/>
      <c r="AH84" s="4542"/>
      <c r="AI84" s="4542"/>
      <c r="AJ84" s="4542"/>
      <c r="AK84" s="4542"/>
      <c r="AL84" s="4542"/>
      <c r="AM84" s="4551"/>
      <c r="AN84" s="4551"/>
      <c r="AO84" s="4552"/>
      <c r="AP84" s="2494"/>
      <c r="AQ84" s="2494"/>
      <c r="AR84" s="2494"/>
      <c r="AS84" s="2494"/>
      <c r="AT84" s="2494"/>
      <c r="AU84" s="2494"/>
      <c r="AV84" s="2494"/>
      <c r="AW84" s="2494"/>
      <c r="AX84" s="2494"/>
      <c r="AY84" s="2494"/>
      <c r="AZ84" s="1047"/>
      <c r="BA84" s="2151" cm="1">
        <f t="array" aca="1" ref="BA84" ca="1">_xlfn.IFS(
BB84="",0,
BA85=0,0,
AND($BU$5=1,BU85=$BU$6),1,
AND(BB84=$L$28,$F$28=$F$27),1,
AND(BB84=$L$29,$F$29=$F$27),1,
AND(BB84=$L$30,$F$30=$F$27),1,
AND(BB84=$L$31,$F$31=$F$27),1,
AND(BB84=$L$32,$F$32=$F$27),1,
AND(BB84=$L$33,$F$33=$F$27),1,
AND(BB84=$L$34,$F$34=$F$27),1,
AND(BB84=$L$35,$F$35=$F$27),1,
AND(BB84=$L$36,$F$36=$F$27),1,
TRUE,0)</f>
        <v>0</v>
      </c>
      <c r="BB84" s="4874"/>
      <c r="BC84" s="4542"/>
      <c r="BD84" s="4542"/>
      <c r="BE84" s="4542"/>
      <c r="BF84" s="4542"/>
      <c r="BG84" s="4542"/>
      <c r="BH84" s="4542"/>
      <c r="BI84" s="4542"/>
      <c r="BJ84" s="4542"/>
      <c r="BK84" s="4542"/>
      <c r="BL84" s="4542"/>
      <c r="BM84" s="4551"/>
      <c r="BN84" s="4551"/>
      <c r="BO84" s="4552"/>
      <c r="BP84" s="4881"/>
      <c r="BQ84" s="4882"/>
      <c r="BR84" s="4883"/>
      <c r="BS84" s="959"/>
      <c r="BT84" s="2234"/>
      <c r="BU84" s="1244"/>
      <c r="BV84" s="2244"/>
      <c r="BW84" s="2244"/>
      <c r="BX84" s="2266"/>
      <c r="BY84" s="2237"/>
      <c r="BZ84" s="1038"/>
      <c r="CA84" s="101"/>
      <c r="CC84" s="242"/>
      <c r="CD84" s="262"/>
      <c r="CK84" s="299"/>
      <c r="CN84" s="242"/>
      <c r="CO84" s="262"/>
      <c r="CP84" s="101"/>
      <c r="CQ84" s="101"/>
      <c r="CR84" s="262"/>
      <c r="CS84" s="101"/>
      <c r="CT84" s="101"/>
      <c r="CU84" s="262"/>
      <c r="CW84" s="299"/>
      <c r="CZ84" s="301"/>
      <c r="DP84" s="2136" t="str">
        <f>IF(AND(B82&lt;&gt;"",A83&lt;&gt;0),B82,"")</f>
        <v/>
      </c>
      <c r="DV84" s="299"/>
      <c r="DX84" s="2131"/>
      <c r="ED84" s="299"/>
      <c r="EI84" s="377"/>
      <c r="EL84" s="2457" t="s">
        <v>1613</v>
      </c>
      <c r="EM84" s="2458"/>
      <c r="EN84" s="2459"/>
      <c r="EQ84" s="2457" t="s">
        <v>1616</v>
      </c>
      <c r="ER84" s="2458"/>
      <c r="ES84" s="2459"/>
      <c r="EV84" s="2457" t="s">
        <v>1616</v>
      </c>
      <c r="EW84" s="2458"/>
      <c r="EX84" s="2459"/>
    </row>
    <row r="85" spans="1:154" ht="17.100000000000001" customHeight="1" thickTop="1" thickBot="1" x14ac:dyDescent="0.3">
      <c r="A85" s="2152" cm="1">
        <f t="array" ref="A85">_xlfn.IFS(P84="",0,AND(COUNTA(P84:Y84)=COUNTA(P85:Y85),DM85=0),0,TRUE,1)</f>
        <v>0</v>
      </c>
      <c r="B85" s="4540"/>
      <c r="C85" s="4535"/>
      <c r="D85" s="4535"/>
      <c r="E85" s="4535"/>
      <c r="F85" s="4535"/>
      <c r="G85" s="4535"/>
      <c r="H85" s="4535"/>
      <c r="I85" s="4535"/>
      <c r="J85" s="4535"/>
      <c r="K85" s="4535"/>
      <c r="L85" s="4564"/>
      <c r="M85" s="4564"/>
      <c r="N85" s="4876"/>
      <c r="O85" s="4877"/>
      <c r="P85" s="4920"/>
      <c r="Q85" s="4921"/>
      <c r="R85" s="4920"/>
      <c r="S85" s="4921"/>
      <c r="T85" s="4920"/>
      <c r="U85" s="4921"/>
      <c r="V85" s="4920"/>
      <c r="W85" s="4921"/>
      <c r="X85" s="4920"/>
      <c r="Y85" s="4921"/>
      <c r="Z85" s="3386"/>
      <c r="AA85" s="2128" cm="1">
        <f t="array" ref="AA85">_xlfn.IFS(AP84="",0,AND(COUNTA(AP84:AY84)=COUNTA(AP85:AY85),AZ85=0),0,TRUE,1)</f>
        <v>0</v>
      </c>
      <c r="AB85" s="4540"/>
      <c r="AC85" s="4535"/>
      <c r="AD85" s="4535"/>
      <c r="AE85" s="4535"/>
      <c r="AF85" s="4535"/>
      <c r="AG85" s="4535"/>
      <c r="AH85" s="4535"/>
      <c r="AI85" s="4535"/>
      <c r="AJ85" s="4535"/>
      <c r="AK85" s="4535"/>
      <c r="AL85" s="4564"/>
      <c r="AM85" s="4564"/>
      <c r="AN85" s="4876"/>
      <c r="AO85" s="4877"/>
      <c r="AP85" s="1042"/>
      <c r="AQ85" s="1042"/>
      <c r="AR85" s="1042"/>
      <c r="AS85" s="1042"/>
      <c r="AT85" s="1042"/>
      <c r="AU85" s="1042"/>
      <c r="AV85" s="1042"/>
      <c r="AW85" s="1042"/>
      <c r="AX85" s="1042"/>
      <c r="AY85" s="1042"/>
      <c r="AZ85" s="2127" cm="1">
        <f t="array" ref="AZ85">IF(AZ84&lt;&gt;"",_xlfn.IFS(AP86="",0,AND(COUNTA(AP86:AY86)=COUNTA(AP87:AY87),AZ87=0),0,TRUE,1),0)</f>
        <v>0</v>
      </c>
      <c r="BA85" s="2152">
        <f t="shared" si="53"/>
        <v>1</v>
      </c>
      <c r="BB85" s="4540"/>
      <c r="BC85" s="4535"/>
      <c r="BD85" s="4535"/>
      <c r="BE85" s="4535"/>
      <c r="BF85" s="4535"/>
      <c r="BG85" s="4535"/>
      <c r="BH85" s="4535"/>
      <c r="BI85" s="4535"/>
      <c r="BJ85" s="4535"/>
      <c r="BK85" s="4535"/>
      <c r="BL85" s="4564"/>
      <c r="BM85" s="4564"/>
      <c r="BN85" s="4876"/>
      <c r="BO85" s="4877"/>
      <c r="BP85" s="4878"/>
      <c r="BQ85" s="4879"/>
      <c r="BR85" s="4880"/>
      <c r="BS85" s="959"/>
      <c r="BT85" s="2234"/>
      <c r="BU85" s="2239" cm="1">
        <f t="array" ref="BU85">_xlfn.IFS(
BV85="",0,
BV85=$DH$15,1,
BV85=$DH$16,2,
BV85=$DH$17,3,
BV85=$DH$18,4,
BV85=$DH$19,5,
BV85=$DH$20,6,
TRUE,0)</f>
        <v>0</v>
      </c>
      <c r="BV85" s="4873"/>
      <c r="BW85" s="4873"/>
      <c r="BX85" s="4873"/>
      <c r="BY85" s="2237"/>
      <c r="BZ85" s="1038"/>
      <c r="CA85" s="101"/>
      <c r="CC85" s="242"/>
      <c r="CD85" s="262">
        <f t="shared" ref="CD85" si="80">IF($Z85&lt;&gt;"",SUM(P85:Y85),0)</f>
        <v>0</v>
      </c>
      <c r="CK85" s="299"/>
      <c r="CN85" s="242"/>
      <c r="CO85" s="262">
        <f t="shared" ref="CO85" si="81">IF(AND(N85&lt;&gt;"",OR(N85=$Q$51,N85=$Q$52,N85=$Q$53,N85=$Q$54,N85=$Q$55,N85=$Q$56,N85=$Q$57,N85=$Q$58)),SUM(P85:Y85),0)</f>
        <v>0</v>
      </c>
      <c r="CP85" s="101"/>
      <c r="CQ85" s="101"/>
      <c r="CR85" s="262">
        <f t="shared" ref="CR85" si="82">IF(AND(AN85&lt;&gt;"",OR(AN85=$Q$51,AN85=$Q$52,AN85=$Q$53,AN85=$Q$54,AN85=$Q$55,AN85=$Q$56,AN85=$Q$57,AN85=$Q$58)),SUM(AP85:AY85),0)</f>
        <v>0</v>
      </c>
      <c r="CS85" s="101"/>
      <c r="CT85" s="101"/>
      <c r="CU85" s="262">
        <f t="shared" ref="CU85" si="83">IF(AND(BN85&lt;&gt;"",OR(BN85=$Q$51,BN85=$Q$52,BN85=$Q$53,BN85=$Q$54,BN85=$Q$55,BN85=$Q$56,BN85=$Q$57,BN85=$Q$58)),BP85,0)</f>
        <v>0</v>
      </c>
      <c r="CW85" s="299"/>
      <c r="CZ85" s="301"/>
      <c r="DM85" s="2142" cm="1">
        <f t="array" ref="DM85">IF(Z84&lt;&gt;"",_xlfn.IFS(P86="",0,AND(COUNTA(P86:Y86)=COUNTA(P87:Y87),DM87=0),0,TRUE,1),0)</f>
        <v>0</v>
      </c>
      <c r="DP85" s="2136" t="str">
        <f>IF(AND(B84&lt;&gt;"",A85&lt;&gt;0),B84,"")</f>
        <v/>
      </c>
      <c r="DV85" s="299"/>
      <c r="DX85" s="2131"/>
      <c r="ED85" s="299"/>
      <c r="EI85" s="377"/>
      <c r="EL85" s="2457" t="s">
        <v>1422</v>
      </c>
      <c r="EM85" s="2458"/>
      <c r="EN85" s="2459"/>
      <c r="EQ85" s="2457" t="s">
        <v>1612</v>
      </c>
      <c r="ER85" s="2458"/>
      <c r="ES85" s="2459"/>
      <c r="EV85" s="2457" t="s">
        <v>1612</v>
      </c>
      <c r="EW85" s="2458"/>
      <c r="EX85" s="2459"/>
    </row>
    <row r="86" spans="1:154" ht="17.100000000000001" customHeight="1" thickTop="1" thickBot="1" x14ac:dyDescent="0.3">
      <c r="A86" s="2151" cm="1">
        <f t="array" aca="1" ref="A86" ca="1">_xlfn.IFS(
B86="",0,
Z84&lt;&gt;"",0,
A87=0,0,
AND(B86=$L$28,$F$28=$F$27),1,
AND(B86=$L$29,$F$29=$F$27),1,
AND(B86=$L$30,$F$30=$F$27),1,
AND(B86=$L$31,$F$31=$F$27),1,
AND(B86=$L$32,$F$32=$F$27),1,
AND(B86=$L$33,$F$33=$F$27),1,
AND(B86=$L$34,$F$34=$F$27),1,
AND(B86=$L$35,$F$35=$F$27),1,
AND(B86=$L$36,$F$36=$F$27),1,
TRUE,0)</f>
        <v>0</v>
      </c>
      <c r="B86" s="4874"/>
      <c r="C86" s="4542"/>
      <c r="D86" s="4542"/>
      <c r="E86" s="4542"/>
      <c r="F86" s="4542"/>
      <c r="G86" s="4542"/>
      <c r="H86" s="4542"/>
      <c r="I86" s="4542"/>
      <c r="J86" s="4542"/>
      <c r="K86" s="4542"/>
      <c r="L86" s="4542"/>
      <c r="M86" s="4551"/>
      <c r="N86" s="4551"/>
      <c r="O86" s="4552"/>
      <c r="P86" s="4913"/>
      <c r="Q86" s="4914"/>
      <c r="R86" s="4913"/>
      <c r="S86" s="4914"/>
      <c r="T86" s="4913"/>
      <c r="U86" s="4914"/>
      <c r="V86" s="4913"/>
      <c r="W86" s="4914"/>
      <c r="X86" s="4913"/>
      <c r="Y86" s="4914"/>
      <c r="Z86" s="1040"/>
      <c r="AA86" s="41" cm="1">
        <f t="array" aca="1" ref="AA86" ca="1">_xlfn.IFS(
AB86="",0,
AZ84&lt;&gt;"",0,
AA87=0,0,
AND(AB86=$L$28,$F$28=$F$27),1,
AND(AB86=$L$29,$F$29=$F$27),1,
AND(AB86=$L$30,$F$30=$F$27),1,
AND(AB86=$L$31,$F$31=$F$27),1,
AND(AB86=$L$32,$F$32=$F$27),1,
AND(AB86=$L$33,$F$33=$F$27),1,
AND(AB86=$L$34,$F$34=$F$27),1,
AND(AB86=$L$35,$F$35=$F$27),1,
AND(AB86=$L$36,$F$36=$F$27),1,
TRUE,0)</f>
        <v>0</v>
      </c>
      <c r="AB86" s="4874"/>
      <c r="AC86" s="4542"/>
      <c r="AD86" s="4542"/>
      <c r="AE86" s="4542"/>
      <c r="AF86" s="4542"/>
      <c r="AG86" s="4542"/>
      <c r="AH86" s="4542"/>
      <c r="AI86" s="4542"/>
      <c r="AJ86" s="4542"/>
      <c r="AK86" s="4542"/>
      <c r="AL86" s="4542"/>
      <c r="AM86" s="4551"/>
      <c r="AN86" s="4551"/>
      <c r="AO86" s="4552"/>
      <c r="AP86" s="2494"/>
      <c r="AQ86" s="2494"/>
      <c r="AR86" s="2494"/>
      <c r="AS86" s="2494"/>
      <c r="AT86" s="2494"/>
      <c r="AU86" s="2494"/>
      <c r="AV86" s="2494"/>
      <c r="AW86" s="2494"/>
      <c r="AX86" s="2494"/>
      <c r="AY86" s="2494"/>
      <c r="AZ86" s="1047"/>
      <c r="BA86" s="2151" cm="1">
        <f t="array" aca="1" ref="BA86" ca="1">_xlfn.IFS(
BB86="",0,
BA87=0,0,
AND($BU$5=1,BU87=$BU$6),1,
AND(BB86=$L$28,$F$28=$F$27),1,
AND(BB86=$L$29,$F$29=$F$27),1,
AND(BB86=$L$30,$F$30=$F$27),1,
AND(BB86=$L$31,$F$31=$F$27),1,
AND(BB86=$L$32,$F$32=$F$27),1,
AND(BB86=$L$33,$F$33=$F$27),1,
AND(BB86=$L$34,$F$34=$F$27),1,
AND(BB86=$L$35,$F$35=$F$27),1,
AND(BB86=$L$36,$F$36=$F$27),1,
TRUE,0)</f>
        <v>0</v>
      </c>
      <c r="BB86" s="4874"/>
      <c r="BC86" s="4542"/>
      <c r="BD86" s="4542"/>
      <c r="BE86" s="4542"/>
      <c r="BF86" s="4542"/>
      <c r="BG86" s="4542"/>
      <c r="BH86" s="4542"/>
      <c r="BI86" s="4542"/>
      <c r="BJ86" s="4542"/>
      <c r="BK86" s="4542"/>
      <c r="BL86" s="4542"/>
      <c r="BM86" s="4551"/>
      <c r="BN86" s="4551"/>
      <c r="BO86" s="4552"/>
      <c r="BP86" s="4881"/>
      <c r="BQ86" s="4882"/>
      <c r="BR86" s="4883"/>
      <c r="BS86" s="959"/>
      <c r="BT86" s="2234"/>
      <c r="BU86" s="1244"/>
      <c r="BV86" s="2244"/>
      <c r="BW86" s="2244"/>
      <c r="BX86" s="2266"/>
      <c r="BY86" s="2237"/>
      <c r="BZ86" s="1038"/>
      <c r="CA86" s="101"/>
      <c r="CC86" s="242"/>
      <c r="CD86" s="262"/>
      <c r="CK86" s="299"/>
      <c r="CN86" s="242"/>
      <c r="CO86" s="262"/>
      <c r="CP86" s="101"/>
      <c r="CQ86" s="101"/>
      <c r="CR86" s="262"/>
      <c r="CS86" s="101"/>
      <c r="CT86" s="101"/>
      <c r="CU86" s="262"/>
      <c r="CW86" s="299"/>
      <c r="CZ86" s="301"/>
      <c r="DP86" s="2136" t="str">
        <f>IF(AND(B86&lt;&gt;"",A87&lt;&gt;0),B86,"")</f>
        <v/>
      </c>
      <c r="DV86" s="299"/>
      <c r="DX86" s="2131"/>
      <c r="ED86" s="299"/>
      <c r="EI86" s="377"/>
      <c r="EL86" s="2457" t="s">
        <v>1605</v>
      </c>
      <c r="EM86" s="2458"/>
      <c r="EN86" s="2459"/>
      <c r="EQ86" s="2457" t="s">
        <v>1613</v>
      </c>
      <c r="ER86" s="2458"/>
      <c r="ES86" s="2459"/>
      <c r="EV86" s="2457" t="s">
        <v>1613</v>
      </c>
      <c r="EW86" s="2458"/>
      <c r="EX86" s="2459"/>
    </row>
    <row r="87" spans="1:154" ht="17.100000000000001" customHeight="1" thickTop="1" thickBot="1" x14ac:dyDescent="0.3">
      <c r="A87" s="2152" cm="1">
        <f t="array" ref="A87">_xlfn.IFS(P86="",0,AND(COUNTA(P86:Y86)=COUNTA(P87:Y87),DM87=0),0,TRUE,1)</f>
        <v>0</v>
      </c>
      <c r="B87" s="4540"/>
      <c r="C87" s="4535"/>
      <c r="D87" s="4535"/>
      <c r="E87" s="4535"/>
      <c r="F87" s="4535"/>
      <c r="G87" s="4535"/>
      <c r="H87" s="4535"/>
      <c r="I87" s="4535"/>
      <c r="J87" s="4535"/>
      <c r="K87" s="4535"/>
      <c r="L87" s="4564"/>
      <c r="M87" s="4564"/>
      <c r="N87" s="4876"/>
      <c r="O87" s="4877"/>
      <c r="P87" s="4920"/>
      <c r="Q87" s="4921"/>
      <c r="R87" s="4920"/>
      <c r="S87" s="4921"/>
      <c r="T87" s="4920"/>
      <c r="U87" s="4921"/>
      <c r="V87" s="4920"/>
      <c r="W87" s="4921"/>
      <c r="X87" s="4920"/>
      <c r="Y87" s="4921"/>
      <c r="Z87" s="3386"/>
      <c r="AA87" s="2128" cm="1">
        <f t="array" ref="AA87">_xlfn.IFS(AP86="",0,AND(COUNTA(AP86:AY86)=COUNTA(AP87:AY87),AZ87=0),0,TRUE,1)</f>
        <v>0</v>
      </c>
      <c r="AB87" s="4540"/>
      <c r="AC87" s="4535"/>
      <c r="AD87" s="4535"/>
      <c r="AE87" s="4535"/>
      <c r="AF87" s="4535"/>
      <c r="AG87" s="4535"/>
      <c r="AH87" s="4535"/>
      <c r="AI87" s="4535"/>
      <c r="AJ87" s="4535"/>
      <c r="AK87" s="4535"/>
      <c r="AL87" s="4564"/>
      <c r="AM87" s="4564"/>
      <c r="AN87" s="4876"/>
      <c r="AO87" s="4877"/>
      <c r="AP87" s="1042"/>
      <c r="AQ87" s="1042"/>
      <c r="AR87" s="1042"/>
      <c r="AS87" s="1042"/>
      <c r="AT87" s="1042"/>
      <c r="AU87" s="1042"/>
      <c r="AV87" s="1042"/>
      <c r="AW87" s="1042"/>
      <c r="AX87" s="1042"/>
      <c r="AY87" s="1042"/>
      <c r="AZ87" s="2127" cm="1">
        <f t="array" ref="AZ87">IF(AZ86&lt;&gt;"",_xlfn.IFS(AP88="",0,AND(COUNTA(AP88:AY88)=COUNTA(AP89:AY89),AZ89=0),0,TRUE,1),0)</f>
        <v>0</v>
      </c>
      <c r="BA87" s="2152">
        <f t="shared" si="53"/>
        <v>1</v>
      </c>
      <c r="BB87" s="4540"/>
      <c r="BC87" s="4535"/>
      <c r="BD87" s="4535"/>
      <c r="BE87" s="4535"/>
      <c r="BF87" s="4535"/>
      <c r="BG87" s="4535"/>
      <c r="BH87" s="4535"/>
      <c r="BI87" s="4535"/>
      <c r="BJ87" s="4535"/>
      <c r="BK87" s="4535"/>
      <c r="BL87" s="4564"/>
      <c r="BM87" s="4564"/>
      <c r="BN87" s="4876"/>
      <c r="BO87" s="4877"/>
      <c r="BP87" s="4878"/>
      <c r="BQ87" s="4879"/>
      <c r="BR87" s="4880"/>
      <c r="BS87" s="959"/>
      <c r="BT87" s="2234"/>
      <c r="BU87" s="2239" cm="1">
        <f t="array" ref="BU87">_xlfn.IFS(
BV87="",0,
BV87=$DH$15,1,
BV87=$DH$16,2,
BV87=$DH$17,3,
BV87=$DH$18,4,
BV87=$DH$19,5,
BV87=$DH$20,6,
TRUE,0)</f>
        <v>0</v>
      </c>
      <c r="BV87" s="4873"/>
      <c r="BW87" s="4873"/>
      <c r="BX87" s="4873"/>
      <c r="BY87" s="2237"/>
      <c r="BZ87" s="1038"/>
      <c r="CA87" s="101"/>
      <c r="CC87" s="242"/>
      <c r="CD87" s="262">
        <f t="shared" ref="CD87" si="84">IF($Z87&lt;&gt;"",SUM(P87:Y87),0)</f>
        <v>0</v>
      </c>
      <c r="CK87" s="299"/>
      <c r="CN87" s="242"/>
      <c r="CO87" s="262">
        <f t="shared" ref="CO87" si="85">IF(AND(N87&lt;&gt;"",OR(N87=$Q$51,N87=$Q$52,N87=$Q$53,N87=$Q$54,N87=$Q$55,N87=$Q$56,N87=$Q$57,N87=$Q$58)),SUM(P87:Y87),0)</f>
        <v>0</v>
      </c>
      <c r="CP87" s="101"/>
      <c r="CQ87" s="101"/>
      <c r="CR87" s="262">
        <f t="shared" ref="CR87" si="86">IF(AND(AN87&lt;&gt;"",OR(AN87=$Q$51,AN87=$Q$52,AN87=$Q$53,AN87=$Q$54,AN87=$Q$55,AN87=$Q$56,AN87=$Q$57,AN87=$Q$58)),SUM(AP87:AY87),0)</f>
        <v>0</v>
      </c>
      <c r="CS87" s="101"/>
      <c r="CT87" s="101"/>
      <c r="CU87" s="262">
        <f t="shared" ref="CU87" si="87">IF(AND(BN87&lt;&gt;"",OR(BN87=$Q$51,BN87=$Q$52,BN87=$Q$53,BN87=$Q$54,BN87=$Q$55,BN87=$Q$56,BN87=$Q$57,BN87=$Q$58)),BP87,0)</f>
        <v>0</v>
      </c>
      <c r="CW87" s="299"/>
      <c r="CZ87" s="301"/>
      <c r="DM87" s="2142" cm="1">
        <f t="array" ref="DM87">IF(Z86&lt;&gt;"",_xlfn.IFS(P88="",0,AND(COUNTA(P88:Y88)=COUNTA(P89:Y89),DM89=0),0,TRUE,1),0)</f>
        <v>0</v>
      </c>
      <c r="DP87" s="2136" t="str">
        <f>IF(AND(B88&lt;&gt;"",A89&lt;&gt;0),B88,"")</f>
        <v/>
      </c>
      <c r="DV87" s="299"/>
      <c r="DX87" s="2131"/>
      <c r="ED87" s="299"/>
      <c r="EI87" s="377"/>
      <c r="EL87" s="2457" t="s">
        <v>1611</v>
      </c>
      <c r="EM87" s="2458"/>
      <c r="EN87" s="2459"/>
      <c r="EQ87" s="2457" t="s">
        <v>1422</v>
      </c>
      <c r="ER87" s="2458"/>
      <c r="ES87" s="2459"/>
      <c r="EV87" s="2457" t="s">
        <v>1422</v>
      </c>
      <c r="EW87" s="2458"/>
      <c r="EX87" s="2459"/>
    </row>
    <row r="88" spans="1:154" ht="17.100000000000001" customHeight="1" thickTop="1" thickBot="1" x14ac:dyDescent="0.3">
      <c r="A88" s="2151" cm="1">
        <f t="array" aca="1" ref="A88" ca="1">_xlfn.IFS(
B88="",0,
Z86&lt;&gt;"",0,
A89=0,0,
AND(B88=$L$28,$F$28=$F$27),1,
AND(B88=$L$29,$F$29=$F$27),1,
AND(B88=$L$30,$F$30=$F$27),1,
AND(B88=$L$31,$F$31=$F$27),1,
AND(B88=$L$32,$F$32=$F$27),1,
AND(B88=$L$33,$F$33=$F$27),1,
AND(B88=$L$34,$F$34=$F$27),1,
AND(B88=$L$35,$F$35=$F$27),1,
AND(B88=$L$36,$F$36=$F$27),1,
TRUE,0)</f>
        <v>0</v>
      </c>
      <c r="B88" s="4874"/>
      <c r="C88" s="4542"/>
      <c r="D88" s="4542"/>
      <c r="E88" s="4542"/>
      <c r="F88" s="4542"/>
      <c r="G88" s="4542"/>
      <c r="H88" s="4542"/>
      <c r="I88" s="4542"/>
      <c r="J88" s="4542"/>
      <c r="K88" s="4542"/>
      <c r="L88" s="4542"/>
      <c r="M88" s="4551"/>
      <c r="N88" s="4551"/>
      <c r="O88" s="4552"/>
      <c r="P88" s="4913"/>
      <c r="Q88" s="4914"/>
      <c r="R88" s="4913"/>
      <c r="S88" s="4914"/>
      <c r="T88" s="4913"/>
      <c r="U88" s="4914"/>
      <c r="V88" s="4913"/>
      <c r="W88" s="4914"/>
      <c r="X88" s="4913"/>
      <c r="Y88" s="4914"/>
      <c r="Z88" s="1040"/>
      <c r="AA88" s="41" cm="1">
        <f t="array" aca="1" ref="AA88" ca="1">_xlfn.IFS(
AB88="",0,
AZ86&lt;&gt;"",0,
AA89=0,0,
AND(AB88=$L$28,$F$28=$F$27),1,
AND(AB88=$L$29,$F$29=$F$27),1,
AND(AB88=$L$30,$F$30=$F$27),1,
AND(AB88=$L$31,$F$31=$F$27),1,
AND(AB88=$L$32,$F$32=$F$27),1,
AND(AB88=$L$33,$F$33=$F$27),1,
AND(AB88=$L$34,$F$34=$F$27),1,
AND(AB88=$L$35,$F$35=$F$27),1,
AND(AB88=$L$36,$F$36=$F$27),1,
TRUE,0)</f>
        <v>0</v>
      </c>
      <c r="AB88" s="4874"/>
      <c r="AC88" s="4542"/>
      <c r="AD88" s="4542"/>
      <c r="AE88" s="4542"/>
      <c r="AF88" s="4542"/>
      <c r="AG88" s="4542"/>
      <c r="AH88" s="4542"/>
      <c r="AI88" s="4542"/>
      <c r="AJ88" s="4542"/>
      <c r="AK88" s="4542"/>
      <c r="AL88" s="4542"/>
      <c r="AM88" s="4551"/>
      <c r="AN88" s="4551"/>
      <c r="AO88" s="4552"/>
      <c r="AP88" s="2494"/>
      <c r="AQ88" s="2494"/>
      <c r="AR88" s="2494"/>
      <c r="AS88" s="2494"/>
      <c r="AT88" s="2494"/>
      <c r="AU88" s="2494"/>
      <c r="AV88" s="2494"/>
      <c r="AW88" s="2494"/>
      <c r="AX88" s="2494"/>
      <c r="AY88" s="2494"/>
      <c r="AZ88" s="1047"/>
      <c r="BA88" s="2151" cm="1">
        <f t="array" aca="1" ref="BA88" ca="1">_xlfn.IFS(
BB88="",0,
BA89=0,0,
AND($BU$5=1,BU89=$BU$6),1,
AND(BB88=$L$28,$F$28=$F$27),1,
AND(BB88=$L$29,$F$29=$F$27),1,
AND(BB88=$L$30,$F$30=$F$27),1,
AND(BB88=$L$31,$F$31=$F$27),1,
AND(BB88=$L$32,$F$32=$F$27),1,
AND(BB88=$L$33,$F$33=$F$27),1,
AND(BB88=$L$34,$F$34=$F$27),1,
AND(BB88=$L$35,$F$35=$F$27),1,
AND(BB88=$L$36,$F$36=$F$27),1,
TRUE,0)</f>
        <v>0</v>
      </c>
      <c r="BB88" s="4874"/>
      <c r="BC88" s="4542"/>
      <c r="BD88" s="4542"/>
      <c r="BE88" s="4542"/>
      <c r="BF88" s="4542"/>
      <c r="BG88" s="4542"/>
      <c r="BH88" s="4542"/>
      <c r="BI88" s="4542"/>
      <c r="BJ88" s="4542"/>
      <c r="BK88" s="4542"/>
      <c r="BL88" s="4542"/>
      <c r="BM88" s="4551"/>
      <c r="BN88" s="4551"/>
      <c r="BO88" s="4552"/>
      <c r="BP88" s="4881"/>
      <c r="BQ88" s="4882"/>
      <c r="BR88" s="4883"/>
      <c r="BS88" s="959"/>
      <c r="BT88" s="2234"/>
      <c r="BU88" s="1244"/>
      <c r="BV88" s="2244"/>
      <c r="BW88" s="2244"/>
      <c r="BX88" s="2266"/>
      <c r="BY88" s="2237"/>
      <c r="BZ88" s="1038"/>
      <c r="CA88" s="101"/>
      <c r="CC88" s="242"/>
      <c r="CD88" s="262"/>
      <c r="CK88" s="299"/>
      <c r="CN88" s="242"/>
      <c r="CO88" s="262"/>
      <c r="CP88" s="101"/>
      <c r="CQ88" s="101"/>
      <c r="CR88" s="262"/>
      <c r="CS88" s="101"/>
      <c r="CT88" s="101"/>
      <c r="CU88" s="262"/>
      <c r="CW88" s="299"/>
      <c r="CZ88" s="301"/>
      <c r="DP88" s="2136" t="str">
        <f>IF(AND(B90&lt;&gt;"",A91&lt;&gt;0),B90,"")</f>
        <v/>
      </c>
      <c r="DV88" s="299"/>
      <c r="DX88" s="2131"/>
      <c r="ED88" s="299"/>
      <c r="EI88" s="377"/>
      <c r="EL88" s="2457" t="s">
        <v>1602</v>
      </c>
      <c r="EM88" s="2458"/>
      <c r="EN88" s="2459"/>
      <c r="EQ88" s="2457" t="s">
        <v>1617</v>
      </c>
      <c r="ER88" s="2458"/>
      <c r="ES88" s="2459"/>
      <c r="EV88" s="2457" t="s">
        <v>1617</v>
      </c>
      <c r="EW88" s="2458"/>
      <c r="EX88" s="2459"/>
    </row>
    <row r="89" spans="1:154" ht="17.100000000000001" customHeight="1" thickTop="1" thickBot="1" x14ac:dyDescent="0.3">
      <c r="A89" s="2152" cm="1">
        <f t="array" ref="A89">_xlfn.IFS(P88="",0,AND(COUNTA(P88:Y88)=COUNTA(P89:Y89),DM89=0),0,TRUE,1)</f>
        <v>0</v>
      </c>
      <c r="B89" s="4540"/>
      <c r="C89" s="4535"/>
      <c r="D89" s="4535"/>
      <c r="E89" s="4535"/>
      <c r="F89" s="4535"/>
      <c r="G89" s="4535"/>
      <c r="H89" s="4535"/>
      <c r="I89" s="4535"/>
      <c r="J89" s="4535"/>
      <c r="K89" s="4535"/>
      <c r="L89" s="4564"/>
      <c r="M89" s="4564"/>
      <c r="N89" s="4876"/>
      <c r="O89" s="4877"/>
      <c r="P89" s="4920"/>
      <c r="Q89" s="4921"/>
      <c r="R89" s="4920"/>
      <c r="S89" s="4921"/>
      <c r="T89" s="4920"/>
      <c r="U89" s="4921"/>
      <c r="V89" s="4920"/>
      <c r="W89" s="4921"/>
      <c r="X89" s="4920"/>
      <c r="Y89" s="4921"/>
      <c r="Z89" s="3386"/>
      <c r="AA89" s="2128" cm="1">
        <f t="array" ref="AA89">_xlfn.IFS(AP88="",0,AND(COUNTA(AP88:AY88)=COUNTA(AP89:AY89),AZ89=0),0,TRUE,1)</f>
        <v>0</v>
      </c>
      <c r="AB89" s="4540"/>
      <c r="AC89" s="4535"/>
      <c r="AD89" s="4535"/>
      <c r="AE89" s="4535"/>
      <c r="AF89" s="4535"/>
      <c r="AG89" s="4535"/>
      <c r="AH89" s="4535"/>
      <c r="AI89" s="4535"/>
      <c r="AJ89" s="4535"/>
      <c r="AK89" s="4535"/>
      <c r="AL89" s="4564"/>
      <c r="AM89" s="4564"/>
      <c r="AN89" s="4876"/>
      <c r="AO89" s="4877"/>
      <c r="AP89" s="1042"/>
      <c r="AQ89" s="1042"/>
      <c r="AR89" s="1042"/>
      <c r="AS89" s="1042"/>
      <c r="AT89" s="1042"/>
      <c r="AU89" s="1042"/>
      <c r="AV89" s="1042"/>
      <c r="AW89" s="1042"/>
      <c r="AX89" s="1042"/>
      <c r="AY89" s="1042"/>
      <c r="AZ89" s="2127" cm="1">
        <f t="array" ref="AZ89">IF(AZ88&lt;&gt;"",_xlfn.IFS(AP90="",0,AND(COUNTA(AP90:AY90)=COUNTA(AP91:AY91),AZ91=0),0,TRUE,1),0)</f>
        <v>0</v>
      </c>
      <c r="BA89" s="2152">
        <f t="shared" si="53"/>
        <v>1</v>
      </c>
      <c r="BB89" s="4540"/>
      <c r="BC89" s="4535"/>
      <c r="BD89" s="4535"/>
      <c r="BE89" s="4535"/>
      <c r="BF89" s="4535"/>
      <c r="BG89" s="4535"/>
      <c r="BH89" s="4535"/>
      <c r="BI89" s="4535"/>
      <c r="BJ89" s="4535"/>
      <c r="BK89" s="4535"/>
      <c r="BL89" s="4564"/>
      <c r="BM89" s="4564"/>
      <c r="BN89" s="4876"/>
      <c r="BO89" s="4877"/>
      <c r="BP89" s="4878"/>
      <c r="BQ89" s="4879"/>
      <c r="BR89" s="4880"/>
      <c r="BS89" s="959"/>
      <c r="BT89" s="2234"/>
      <c r="BU89" s="2239" cm="1">
        <f t="array" ref="BU89">_xlfn.IFS(
BV89="",0,
BV89=$DH$15,1,
BV89=$DH$16,2,
BV89=$DH$17,3,
BV89=$DH$18,4,
BV89=$DH$19,5,
BV89=$DH$20,6,
TRUE,0)</f>
        <v>0</v>
      </c>
      <c r="BV89" s="4873"/>
      <c r="BW89" s="4873"/>
      <c r="BX89" s="4873"/>
      <c r="BY89" s="2237"/>
      <c r="BZ89" s="1038"/>
      <c r="CA89" s="101"/>
      <c r="CC89" s="242"/>
      <c r="CD89" s="262">
        <f t="shared" ref="CD89" si="88">IF($Z89&lt;&gt;"",SUM(P89:Y89),0)</f>
        <v>0</v>
      </c>
      <c r="CK89" s="299"/>
      <c r="CN89" s="242"/>
      <c r="CO89" s="262">
        <f t="shared" ref="CO89" si="89">IF(AND(N89&lt;&gt;"",OR(N89=$Q$51,N89=$Q$52,N89=$Q$53,N89=$Q$54,N89=$Q$55,N89=$Q$56,N89=$Q$57,N89=$Q$58)),SUM(P89:Y89),0)</f>
        <v>0</v>
      </c>
      <c r="CP89" s="101"/>
      <c r="CQ89" s="101"/>
      <c r="CR89" s="262">
        <f t="shared" ref="CR89" si="90">IF(AND(AN89&lt;&gt;"",OR(AN89=$Q$51,AN89=$Q$52,AN89=$Q$53,AN89=$Q$54,AN89=$Q$55,AN89=$Q$56,AN89=$Q$57,AN89=$Q$58)),SUM(AP89:AY89),0)</f>
        <v>0</v>
      </c>
      <c r="CS89" s="101"/>
      <c r="CT89" s="101"/>
      <c r="CU89" s="262">
        <f t="shared" ref="CU89" si="91">IF(AND(BN89&lt;&gt;"",OR(BN89=$Q$51,BN89=$Q$52,BN89=$Q$53,BN89=$Q$54,BN89=$Q$55,BN89=$Q$56,BN89=$Q$57,BN89=$Q$58)),BP89,0)</f>
        <v>0</v>
      </c>
      <c r="CW89" s="299"/>
      <c r="CZ89" s="301"/>
      <c r="DM89" s="2142" cm="1">
        <f t="array" ref="DM89">IF(Z88&lt;&gt;"",_xlfn.IFS(P90="",0,AND(COUNTA(P90:Y90)=COUNTA(P91:Y91),DM91=0),0,TRUE,1),0)</f>
        <v>0</v>
      </c>
      <c r="DP89" s="2140" t="str">
        <f>IF(AND(B92&lt;&gt;"",A93&lt;&gt;0),B92,"")</f>
        <v/>
      </c>
      <c r="DQ89" s="252"/>
      <c r="DR89" s="252"/>
      <c r="DS89" s="252"/>
      <c r="DT89" s="252"/>
      <c r="DU89" s="252"/>
      <c r="DV89" s="253"/>
      <c r="DX89" s="2131"/>
      <c r="ED89" s="299"/>
      <c r="EI89" s="377"/>
      <c r="EL89" s="2457" t="s">
        <v>1603</v>
      </c>
      <c r="EM89" s="2458"/>
      <c r="EN89" s="2459"/>
      <c r="EQ89" s="2457" t="s">
        <v>1611</v>
      </c>
      <c r="ER89" s="2458"/>
      <c r="ES89" s="2459"/>
      <c r="EV89" s="2457" t="s">
        <v>1611</v>
      </c>
      <c r="EW89" s="2458"/>
      <c r="EX89" s="2459"/>
    </row>
    <row r="90" spans="1:154" ht="17.100000000000001" customHeight="1" thickTop="1" thickBot="1" x14ac:dyDescent="0.3">
      <c r="A90" s="2151" cm="1">
        <f t="array" aca="1" ref="A90" ca="1">_xlfn.IFS(
B90="",0,
Z88&lt;&gt;"",0,
A91=0,0,
AND(B90=$L$28,$F$28=$F$27),1,
AND(B90=$L$29,$F$29=$F$27),1,
AND(B90=$L$30,$F$30=$F$27),1,
AND(B90=$L$31,$F$31=$F$27),1,
AND(B90=$L$32,$F$32=$F$27),1,
AND(B90=$L$33,$F$33=$F$27),1,
AND(B90=$L$34,$F$34=$F$27),1,
AND(B90=$L$35,$F$35=$F$27),1,
AND(B90=$L$36,$F$36=$F$27),1,
TRUE,0)</f>
        <v>0</v>
      </c>
      <c r="B90" s="4874"/>
      <c r="C90" s="4542"/>
      <c r="D90" s="4542"/>
      <c r="E90" s="4542"/>
      <c r="F90" s="4542"/>
      <c r="G90" s="4542"/>
      <c r="H90" s="4542"/>
      <c r="I90" s="4542"/>
      <c r="J90" s="4542"/>
      <c r="K90" s="4542"/>
      <c r="L90" s="4542"/>
      <c r="M90" s="4551"/>
      <c r="N90" s="4551"/>
      <c r="O90" s="4552"/>
      <c r="P90" s="4913"/>
      <c r="Q90" s="4914"/>
      <c r="R90" s="4913"/>
      <c r="S90" s="4914"/>
      <c r="T90" s="4913"/>
      <c r="U90" s="4914"/>
      <c r="V90" s="4913"/>
      <c r="W90" s="4914"/>
      <c r="X90" s="4913"/>
      <c r="Y90" s="4914"/>
      <c r="Z90" s="1040"/>
      <c r="AA90" s="41" cm="1">
        <f t="array" aca="1" ref="AA90" ca="1">_xlfn.IFS(
AB90="",0,
AZ88&lt;&gt;"",0,
AA91=0,0,
AND(AB90=$L$28,$F$28=$F$27),1,
AND(AB90=$L$29,$F$29=$F$27),1,
AND(AB90=$L$30,$F$30=$F$27),1,
AND(AB90=$L$31,$F$31=$F$27),1,
AND(AB90=$L$32,$F$32=$F$27),1,
AND(AB90=$L$33,$F$33=$F$27),1,
AND(AB90=$L$34,$F$34=$F$27),1,
AND(AB90=$L$35,$F$35=$F$27),1,
AND(AB90=$L$36,$F$36=$F$27),1,
TRUE,0)</f>
        <v>0</v>
      </c>
      <c r="AB90" s="4874"/>
      <c r="AC90" s="4542"/>
      <c r="AD90" s="4542"/>
      <c r="AE90" s="4542"/>
      <c r="AF90" s="4542"/>
      <c r="AG90" s="4542"/>
      <c r="AH90" s="4542"/>
      <c r="AI90" s="4542"/>
      <c r="AJ90" s="4542"/>
      <c r="AK90" s="4542"/>
      <c r="AL90" s="4542"/>
      <c r="AM90" s="4551"/>
      <c r="AN90" s="4551"/>
      <c r="AO90" s="4552"/>
      <c r="AP90" s="2494"/>
      <c r="AQ90" s="2494"/>
      <c r="AR90" s="2494"/>
      <c r="AS90" s="2494"/>
      <c r="AT90" s="2494"/>
      <c r="AU90" s="2494"/>
      <c r="AV90" s="2494"/>
      <c r="AW90" s="2494"/>
      <c r="AX90" s="2494"/>
      <c r="AY90" s="2494"/>
      <c r="AZ90" s="1047"/>
      <c r="BA90" s="2151" cm="1">
        <f t="array" aca="1" ref="BA90" ca="1">_xlfn.IFS(
BB90="",0,
BA91=0,0,
AND($BU$5=1,BU91=$BU$6),1,
AND(BB90=$L$28,$F$28=$F$27),1,
AND(BB90=$L$29,$F$29=$F$27),1,
AND(BB90=$L$30,$F$30=$F$27),1,
AND(BB90=$L$31,$F$31=$F$27),1,
AND(BB90=$L$32,$F$32=$F$27),1,
AND(BB90=$L$33,$F$33=$F$27),1,
AND(BB90=$L$34,$F$34=$F$27),1,
AND(BB90=$L$35,$F$35=$F$27),1,
AND(BB90=$L$36,$F$36=$F$27),1,
TRUE,0)</f>
        <v>0</v>
      </c>
      <c r="BB90" s="4874"/>
      <c r="BC90" s="4542"/>
      <c r="BD90" s="4542"/>
      <c r="BE90" s="4542"/>
      <c r="BF90" s="4542"/>
      <c r="BG90" s="4542"/>
      <c r="BH90" s="4542"/>
      <c r="BI90" s="4542"/>
      <c r="BJ90" s="4542"/>
      <c r="BK90" s="4542"/>
      <c r="BL90" s="4542"/>
      <c r="BM90" s="4551"/>
      <c r="BN90" s="4551"/>
      <c r="BO90" s="4552"/>
      <c r="BP90" s="4881"/>
      <c r="BQ90" s="4882"/>
      <c r="BR90" s="4883"/>
      <c r="BS90" s="959"/>
      <c r="BT90" s="2234"/>
      <c r="BU90" s="1244"/>
      <c r="BV90" s="2244"/>
      <c r="BW90" s="2244"/>
      <c r="BX90" s="2266"/>
      <c r="BY90" s="2237"/>
      <c r="BZ90" s="1038"/>
      <c r="CA90" s="101"/>
      <c r="CC90" s="242"/>
      <c r="CD90" s="262"/>
      <c r="CK90" s="299"/>
      <c r="CN90" s="242"/>
      <c r="CO90" s="262"/>
      <c r="CP90" s="101"/>
      <c r="CQ90" s="101"/>
      <c r="CR90" s="262"/>
      <c r="CS90" s="101"/>
      <c r="CT90" s="101"/>
      <c r="CU90" s="262"/>
      <c r="CW90" s="299"/>
      <c r="CZ90" s="301"/>
      <c r="DP90" s="2149"/>
      <c r="DQ90" s="2133"/>
      <c r="DR90" s="2133"/>
      <c r="DS90" s="2133"/>
      <c r="DT90" s="2133"/>
      <c r="DU90" s="2133"/>
      <c r="DV90" s="2134"/>
      <c r="DX90" s="2132"/>
      <c r="DY90" s="252"/>
      <c r="DZ90" s="252"/>
      <c r="EA90" s="252"/>
      <c r="EB90" s="252"/>
      <c r="EC90" s="252"/>
      <c r="ED90" s="253"/>
      <c r="EI90" s="377"/>
      <c r="EL90" s="2457" t="s">
        <v>1604</v>
      </c>
      <c r="EM90" s="2458"/>
      <c r="EN90" s="2459"/>
      <c r="EQ90" s="2457" t="s">
        <v>1622</v>
      </c>
      <c r="ER90" s="2458"/>
      <c r="ES90" s="2459"/>
      <c r="EV90" s="2457" t="s">
        <v>1622</v>
      </c>
      <c r="EW90" s="2458"/>
      <c r="EX90" s="2459"/>
    </row>
    <row r="91" spans="1:154" ht="17.100000000000001" customHeight="1" thickTop="1" thickBot="1" x14ac:dyDescent="0.3">
      <c r="A91" s="2152" cm="1">
        <f t="array" ref="A91">_xlfn.IFS(P90="",0,AND(COUNTA(P90:Y90)=COUNTA(P91:Y91),DM91=0),0,TRUE,1)</f>
        <v>0</v>
      </c>
      <c r="B91" s="4540"/>
      <c r="C91" s="4535"/>
      <c r="D91" s="4535"/>
      <c r="E91" s="4535"/>
      <c r="F91" s="4535"/>
      <c r="G91" s="4535"/>
      <c r="H91" s="4535"/>
      <c r="I91" s="4535"/>
      <c r="J91" s="4535"/>
      <c r="K91" s="4535"/>
      <c r="L91" s="4564"/>
      <c r="M91" s="4564"/>
      <c r="N91" s="4876"/>
      <c r="O91" s="4877"/>
      <c r="P91" s="4920"/>
      <c r="Q91" s="4921"/>
      <c r="R91" s="4920"/>
      <c r="S91" s="4921"/>
      <c r="T91" s="4920"/>
      <c r="U91" s="4921"/>
      <c r="V91" s="4920"/>
      <c r="W91" s="4921"/>
      <c r="X91" s="4920"/>
      <c r="Y91" s="4921"/>
      <c r="Z91" s="3386"/>
      <c r="AA91" s="2128" cm="1">
        <f t="array" ref="AA91">_xlfn.IFS(AP90="",0,AND(COUNTA(AP90:AY90)=COUNTA(AP91:AY91),AZ91=0),0,TRUE,1)</f>
        <v>0</v>
      </c>
      <c r="AB91" s="4540"/>
      <c r="AC91" s="4535"/>
      <c r="AD91" s="4535"/>
      <c r="AE91" s="4535"/>
      <c r="AF91" s="4535"/>
      <c r="AG91" s="4535"/>
      <c r="AH91" s="4535"/>
      <c r="AI91" s="4535"/>
      <c r="AJ91" s="4535"/>
      <c r="AK91" s="4535"/>
      <c r="AL91" s="4564"/>
      <c r="AM91" s="4564"/>
      <c r="AN91" s="4876"/>
      <c r="AO91" s="4877"/>
      <c r="AP91" s="1042"/>
      <c r="AQ91" s="1042"/>
      <c r="AR91" s="1042"/>
      <c r="AS91" s="1042"/>
      <c r="AT91" s="1042"/>
      <c r="AU91" s="1042"/>
      <c r="AV91" s="1042"/>
      <c r="AW91" s="1042"/>
      <c r="AX91" s="1042"/>
      <c r="AY91" s="1042"/>
      <c r="AZ91" s="2127" cm="1">
        <f t="array" ref="AZ91">IF(AZ90&lt;&gt;"",_xlfn.IFS(AP92="",0,AND(COUNTA(AP92:AY92)=COUNTA(AP93:AY93),AZ93=0),0,TRUE,1),0)</f>
        <v>0</v>
      </c>
      <c r="BA91" s="2152">
        <f t="shared" si="53"/>
        <v>1</v>
      </c>
      <c r="BB91" s="4540"/>
      <c r="BC91" s="4535"/>
      <c r="BD91" s="4535"/>
      <c r="BE91" s="4535"/>
      <c r="BF91" s="4535"/>
      <c r="BG91" s="4535"/>
      <c r="BH91" s="4535"/>
      <c r="BI91" s="4535"/>
      <c r="BJ91" s="4535"/>
      <c r="BK91" s="4535"/>
      <c r="BL91" s="4564"/>
      <c r="BM91" s="4564"/>
      <c r="BN91" s="4876"/>
      <c r="BO91" s="4877"/>
      <c r="BP91" s="4878"/>
      <c r="BQ91" s="4879"/>
      <c r="BR91" s="4880"/>
      <c r="BS91" s="959"/>
      <c r="BT91" s="2234"/>
      <c r="BU91" s="2239" cm="1">
        <f t="array" ref="BU91">_xlfn.IFS(
BV91="",0,
BV91=$DH$15,1,
BV91=$DH$16,2,
BV91=$DH$17,3,
BV91=$DH$18,4,
BV91=$DH$19,5,
BV91=$DH$20,6,
TRUE,0)</f>
        <v>0</v>
      </c>
      <c r="BV91" s="4873"/>
      <c r="BW91" s="4873"/>
      <c r="BX91" s="4873"/>
      <c r="BY91" s="2237"/>
      <c r="BZ91" s="1038"/>
      <c r="CA91" s="101"/>
      <c r="CC91" s="242"/>
      <c r="CD91" s="262">
        <f t="shared" ref="CD91" si="92">IF($Z91&lt;&gt;"",SUM(P91:Y91),0)</f>
        <v>0</v>
      </c>
      <c r="CK91" s="299"/>
      <c r="CN91" s="242"/>
      <c r="CO91" s="262">
        <f t="shared" ref="CO91" si="93">IF(AND(N91&lt;&gt;"",OR(N91=$Q$51,N91=$Q$52,N91=$Q$53,N91=$Q$54,N91=$Q$55,N91=$Q$56,N91=$Q$57,N91=$Q$58)),SUM(P91:Y91),0)</f>
        <v>0</v>
      </c>
      <c r="CP91" s="101"/>
      <c r="CQ91" s="101"/>
      <c r="CR91" s="262">
        <f t="shared" ref="CR91" si="94">IF(AND(AN91&lt;&gt;"",OR(AN91=$Q$51,AN91=$Q$52,AN91=$Q$53,AN91=$Q$54,AN91=$Q$55,AN91=$Q$56,AN91=$Q$57,AN91=$Q$58)),SUM(AP91:AY91),0)</f>
        <v>0</v>
      </c>
      <c r="CS91" s="101"/>
      <c r="CT91" s="101"/>
      <c r="CU91" s="262">
        <f t="shared" ref="CU91" si="95">IF(AND(BN91&lt;&gt;"",OR(BN91=$Q$51,BN91=$Q$52,BN91=$Q$53,BN91=$Q$54,BN91=$Q$55,BN91=$Q$56,BN91=$Q$57,BN91=$Q$58)),BP91,0)</f>
        <v>0</v>
      </c>
      <c r="CW91" s="299"/>
      <c r="CZ91" s="2493"/>
      <c r="DM91" s="2142" cm="1">
        <f t="array" ref="DM91">IF(Z90&lt;&gt;"",_xlfn.IFS(P92="",0,AND(COUNTA(P92:Y92)=COUNTA(P93:Y93),DM93=0),0,TRUE,1),0)</f>
        <v>0</v>
      </c>
      <c r="EI91" s="377"/>
      <c r="EL91" s="2457" t="s">
        <v>1596</v>
      </c>
      <c r="EM91" s="2458"/>
      <c r="EN91" s="2459"/>
      <c r="EQ91" s="2457" t="s">
        <v>1609</v>
      </c>
      <c r="ER91" s="2458"/>
      <c r="ES91" s="2459"/>
      <c r="EV91" s="2457" t="s">
        <v>1609</v>
      </c>
      <c r="EW91" s="2458"/>
      <c r="EX91" s="2459"/>
    </row>
    <row r="92" spans="1:154" ht="17.100000000000001" customHeight="1" thickTop="1" thickBot="1" x14ac:dyDescent="0.3">
      <c r="A92" s="2151" cm="1">
        <f t="array" aca="1" ref="A92" ca="1">_xlfn.IFS(
B92="",0,
Z90&lt;&gt;"",0,
A93=0,0,
AND(B92=$L$28,$F$28=$F$27),1,
AND(B92=$L$29,$F$29=$F$27),1,
AND(B92=$L$30,$F$30=$F$27),1,
AND(B92=$L$31,$F$31=$F$27),1,
AND(B92=$L$32,$F$32=$F$27),1,
AND(B92=$L$33,$F$33=$F$27),1,
AND(B92=$L$34,$F$34=$F$27),1,
AND(B92=$L$35,$F$35=$F$27),1,
AND(B92=$L$36,$F$36=$F$27),1,
TRUE,0)</f>
        <v>0</v>
      </c>
      <c r="B92" s="4874"/>
      <c r="C92" s="4542"/>
      <c r="D92" s="4542"/>
      <c r="E92" s="4542"/>
      <c r="F92" s="4542"/>
      <c r="G92" s="4542"/>
      <c r="H92" s="4542"/>
      <c r="I92" s="4542"/>
      <c r="J92" s="4542"/>
      <c r="K92" s="4542"/>
      <c r="L92" s="4542"/>
      <c r="M92" s="4551"/>
      <c r="N92" s="4551"/>
      <c r="O92" s="4552"/>
      <c r="P92" s="4913"/>
      <c r="Q92" s="4914"/>
      <c r="R92" s="4913"/>
      <c r="S92" s="4914"/>
      <c r="T92" s="4913"/>
      <c r="U92" s="4914"/>
      <c r="V92" s="4913"/>
      <c r="W92" s="4914"/>
      <c r="X92" s="4913"/>
      <c r="Y92" s="4914"/>
      <c r="Z92" s="2740"/>
      <c r="AA92" s="41" cm="1">
        <f t="array" aca="1" ref="AA92" ca="1">_xlfn.IFS(
AB92="",0,
AZ90&lt;&gt;"",0,
AA93=0,0,
AND(AB92=$L$28,$F$28=$F$27),1,
AND(AB92=$L$29,$F$29=$F$27),1,
AND(AB92=$L$30,$F$30=$F$27),1,
AND(AB92=$L$31,$F$31=$F$27),1,
AND(AB92=$L$32,$F$32=$F$27),1,
AND(AB92=$L$33,$F$33=$F$27),1,
AND(AB92=$L$34,$F$34=$F$27),1,
AND(AB92=$L$35,$F$35=$F$27),1,
AND(AB92=$L$36,$F$36=$F$27),1,
TRUE,0)</f>
        <v>0</v>
      </c>
      <c r="AB92" s="4874"/>
      <c r="AC92" s="4542"/>
      <c r="AD92" s="4542"/>
      <c r="AE92" s="4542"/>
      <c r="AF92" s="4542"/>
      <c r="AG92" s="4542"/>
      <c r="AH92" s="4542"/>
      <c r="AI92" s="4542"/>
      <c r="AJ92" s="4542"/>
      <c r="AK92" s="4542"/>
      <c r="AL92" s="4542"/>
      <c r="AM92" s="4551"/>
      <c r="AN92" s="4551"/>
      <c r="AO92" s="4552"/>
      <c r="AP92" s="2494"/>
      <c r="AQ92" s="2494"/>
      <c r="AR92" s="2494"/>
      <c r="AS92" s="2494"/>
      <c r="AT92" s="2494"/>
      <c r="AU92" s="2494"/>
      <c r="AV92" s="2494"/>
      <c r="AW92" s="2494"/>
      <c r="AX92" s="2494"/>
      <c r="AY92" s="2494"/>
      <c r="AZ92" s="1697"/>
      <c r="BA92" s="2151" cm="1">
        <f t="array" aca="1" ref="BA92" ca="1">_xlfn.IFS(
BB92="",0,
BA93=0,0,
AND($BU$5=1,BU93=$BU$6),1,
AND(BB92=$L$28,$F$28=$F$27),1,
AND(BB92=$L$29,$F$29=$F$27),1,
AND(BB92=$L$30,$F$30=$F$27),1,
AND(BB92=$L$31,$F$31=$F$27),1,
AND(BB92=$L$32,$F$32=$F$27),1,
AND(BB92=$L$33,$F$33=$F$27),1,
AND(BB92=$L$34,$F$34=$F$27),1,
AND(BB92=$L$35,$F$35=$F$27),1,
AND(BB92=$L$36,$F$36=$F$27),1,
TRUE,0)</f>
        <v>0</v>
      </c>
      <c r="BB92" s="4874"/>
      <c r="BC92" s="4542"/>
      <c r="BD92" s="4542"/>
      <c r="BE92" s="4542"/>
      <c r="BF92" s="4542"/>
      <c r="BG92" s="4542"/>
      <c r="BH92" s="4542"/>
      <c r="BI92" s="4542"/>
      <c r="BJ92" s="4542"/>
      <c r="BK92" s="4542"/>
      <c r="BL92" s="4542"/>
      <c r="BM92" s="4551"/>
      <c r="BN92" s="4551"/>
      <c r="BO92" s="4552"/>
      <c r="BP92" s="4881"/>
      <c r="BQ92" s="4882"/>
      <c r="BR92" s="4883"/>
      <c r="BS92" s="959"/>
      <c r="BT92" s="2234"/>
      <c r="BU92" s="1244"/>
      <c r="BV92" s="2244"/>
      <c r="BW92" s="2244"/>
      <c r="BX92" s="2266"/>
      <c r="BY92" s="2237"/>
      <c r="BZ92" s="1038"/>
      <c r="CA92" s="101"/>
      <c r="CC92" s="242"/>
      <c r="CD92" s="262"/>
      <c r="CK92" s="299"/>
      <c r="CN92" s="242"/>
      <c r="CO92" s="262"/>
      <c r="CP92" s="101"/>
      <c r="CQ92" s="101"/>
      <c r="CR92" s="262"/>
      <c r="CS92" s="101"/>
      <c r="CT92" s="101"/>
      <c r="CU92" s="262"/>
      <c r="CW92" s="299"/>
      <c r="CZ92" s="2493"/>
      <c r="EI92" s="377"/>
      <c r="EL92" s="2457" t="s">
        <v>406</v>
      </c>
      <c r="EM92" s="2458"/>
      <c r="EN92" s="2459"/>
      <c r="EQ92" s="2457" t="s">
        <v>1614</v>
      </c>
      <c r="ER92" s="2458"/>
      <c r="ES92" s="2459"/>
      <c r="EV92" s="2457" t="s">
        <v>1614</v>
      </c>
      <c r="EW92" s="2458"/>
      <c r="EX92" s="2459"/>
    </row>
    <row r="93" spans="1:154" ht="17.100000000000001" customHeight="1" thickTop="1" thickBot="1" x14ac:dyDescent="0.3">
      <c r="A93" s="2152" cm="1">
        <f t="array" ref="A93">_xlfn.IFS(P92="",0,AND(COUNTA(P92:Y92)=COUNTA(P93:Y93),DM93=0),0,TRUE,1)</f>
        <v>0</v>
      </c>
      <c r="B93" s="4540"/>
      <c r="C93" s="4535"/>
      <c r="D93" s="4535"/>
      <c r="E93" s="4535"/>
      <c r="F93" s="4535"/>
      <c r="G93" s="4535"/>
      <c r="H93" s="4535"/>
      <c r="I93" s="4535"/>
      <c r="J93" s="4535"/>
      <c r="K93" s="4535"/>
      <c r="L93" s="4564"/>
      <c r="M93" s="4564"/>
      <c r="N93" s="4876"/>
      <c r="O93" s="4877"/>
      <c r="P93" s="4920"/>
      <c r="Q93" s="4921"/>
      <c r="R93" s="4920"/>
      <c r="S93" s="4921"/>
      <c r="T93" s="4920"/>
      <c r="U93" s="4921"/>
      <c r="V93" s="4920"/>
      <c r="W93" s="4921"/>
      <c r="X93" s="4920"/>
      <c r="Y93" s="4921"/>
      <c r="Z93" s="3386"/>
      <c r="AA93" s="2128" cm="1">
        <f t="array" ref="AA93">_xlfn.IFS(AP92="",0,AND(COUNTA(AP92:AY92)=COUNTA(AP93:AY93),AZ93=0),0,TRUE,1)</f>
        <v>0</v>
      </c>
      <c r="AB93" s="4540"/>
      <c r="AC93" s="4535"/>
      <c r="AD93" s="4535"/>
      <c r="AE93" s="4535"/>
      <c r="AF93" s="4535"/>
      <c r="AG93" s="4535"/>
      <c r="AH93" s="4535"/>
      <c r="AI93" s="4535"/>
      <c r="AJ93" s="4535"/>
      <c r="AK93" s="4535"/>
      <c r="AL93" s="4564"/>
      <c r="AM93" s="4564"/>
      <c r="AN93" s="4876"/>
      <c r="AO93" s="4877"/>
      <c r="AP93" s="1042"/>
      <c r="AQ93" s="1042"/>
      <c r="AR93" s="1042"/>
      <c r="AS93" s="1042"/>
      <c r="AT93" s="1042"/>
      <c r="AU93" s="1042"/>
      <c r="AV93" s="1042"/>
      <c r="AW93" s="1042"/>
      <c r="AX93" s="1042"/>
      <c r="AY93" s="1042"/>
      <c r="AZ93" s="2127">
        <v>0</v>
      </c>
      <c r="BA93" s="2152">
        <f t="shared" si="53"/>
        <v>1</v>
      </c>
      <c r="BB93" s="4540"/>
      <c r="BC93" s="4535"/>
      <c r="BD93" s="4535"/>
      <c r="BE93" s="4535"/>
      <c r="BF93" s="4535"/>
      <c r="BG93" s="4535"/>
      <c r="BH93" s="4535"/>
      <c r="BI93" s="4535"/>
      <c r="BJ93" s="4535"/>
      <c r="BK93" s="4535"/>
      <c r="BL93" s="4564"/>
      <c r="BM93" s="4564"/>
      <c r="BN93" s="4876"/>
      <c r="BO93" s="4877"/>
      <c r="BP93" s="4878"/>
      <c r="BQ93" s="4879"/>
      <c r="BR93" s="4880"/>
      <c r="BS93" s="959"/>
      <c r="BT93" s="2234"/>
      <c r="BU93" s="2239" cm="1">
        <f t="array" ref="BU93">_xlfn.IFS(
BV93="",0,
BV93=$DH$15,1,
BV93=$DH$16,2,
BV93=$DH$17,3,
BV93=$DH$18,4,
BV93=$DH$19,5,
BV93=$DH$20,6,
TRUE,0)</f>
        <v>0</v>
      </c>
      <c r="BV93" s="4873"/>
      <c r="BW93" s="4873"/>
      <c r="BX93" s="4873"/>
      <c r="BY93" s="2237"/>
      <c r="BZ93" s="1038"/>
      <c r="CA93" s="101"/>
      <c r="CC93" s="242"/>
      <c r="CD93" s="262">
        <f t="shared" ref="CD93" si="96">IF($Z93&lt;&gt;"",SUM(P93:Y93),0)</f>
        <v>0</v>
      </c>
      <c r="CK93" s="299"/>
      <c r="CN93" s="242"/>
      <c r="CO93" s="262">
        <f t="shared" ref="CO93" si="97">IF(AND(N93&lt;&gt;"",OR(N93=$Q$51,N93=$Q$52,N93=$Q$53,N93=$Q$54,N93=$Q$55,N93=$Q$56,N93=$Q$57,N93=$Q$58)),SUM(P93:Y93),0)</f>
        <v>0</v>
      </c>
      <c r="CP93" s="101"/>
      <c r="CQ93" s="101"/>
      <c r="CR93" s="262">
        <f t="shared" ref="CR93" si="98">IF(AND(AN93&lt;&gt;"",OR(AN93=$Q$51,AN93=$Q$52,AN93=$Q$53,AN93=$Q$54,AN93=$Q$55,AN93=$Q$56,AN93=$Q$57,AN93=$Q$58)),SUM(AP93:AY93),0)</f>
        <v>0</v>
      </c>
      <c r="CS93" s="101"/>
      <c r="CT93" s="101"/>
      <c r="CU93" s="262">
        <f t="shared" ref="CU93:CU121" si="99">IF(AND(BN93&lt;&gt;"",OR(BN93=$Q$51,BN93=$Q$52,BN93=$Q$53,BN93=$Q$54,BN93=$Q$55,BN93=$Q$56,BN93=$Q$57,BN93=$Q$58)),BP93,0)</f>
        <v>0</v>
      </c>
      <c r="CW93" s="299"/>
      <c r="CZ93" s="2493"/>
      <c r="DM93" s="2142">
        <v>0</v>
      </c>
      <c r="EI93" s="377"/>
      <c r="EL93" s="2457" t="s">
        <v>1595</v>
      </c>
      <c r="EM93" s="2458"/>
      <c r="EN93" s="2459"/>
      <c r="EQ93" s="2457" t="s">
        <v>1615</v>
      </c>
      <c r="ER93" s="2458"/>
      <c r="ES93" s="2459"/>
      <c r="EV93" s="2457" t="s">
        <v>1615</v>
      </c>
      <c r="EW93" s="2458"/>
      <c r="EX93" s="2459"/>
    </row>
    <row r="94" spans="1:154" ht="17.100000000000001" customHeight="1" thickTop="1" thickBot="1" x14ac:dyDescent="0.3">
      <c r="B94" s="1189"/>
      <c r="C94" s="1185"/>
      <c r="D94" s="1185"/>
      <c r="E94" s="1185"/>
      <c r="F94" s="1185"/>
      <c r="G94" s="1185"/>
      <c r="H94" s="1185"/>
      <c r="I94" s="1185"/>
      <c r="J94" s="1185"/>
      <c r="K94" s="1185"/>
      <c r="L94" s="1185"/>
      <c r="M94" s="1185"/>
      <c r="N94" s="1185"/>
      <c r="O94" s="1185"/>
      <c r="P94" s="1185"/>
      <c r="Q94" s="1185"/>
      <c r="R94" s="1185"/>
      <c r="S94" s="1185"/>
      <c r="T94" s="1185"/>
      <c r="U94" s="1185"/>
      <c r="V94" s="1185"/>
      <c r="W94" s="1185"/>
      <c r="X94" s="1185"/>
      <c r="Y94" s="1185"/>
      <c r="Z94" s="1190"/>
      <c r="AB94" s="977"/>
      <c r="AC94" s="1133"/>
      <c r="AD94" s="1133"/>
      <c r="AE94" s="1133"/>
      <c r="AF94" s="1133"/>
      <c r="AG94" s="1133"/>
      <c r="AH94" s="1133"/>
      <c r="AI94" s="1133"/>
      <c r="AJ94" s="1133"/>
      <c r="AK94" s="1133"/>
      <c r="AL94" s="1133"/>
      <c r="AM94" s="1133"/>
      <c r="AN94" s="1133"/>
      <c r="AO94" s="1133"/>
      <c r="AP94" s="1133"/>
      <c r="AQ94" s="1133"/>
      <c r="AR94" s="1133"/>
      <c r="AS94" s="1133"/>
      <c r="AT94" s="1133"/>
      <c r="AU94" s="1133"/>
      <c r="AV94" s="1133"/>
      <c r="AW94" s="1133"/>
      <c r="AX94" s="1133"/>
      <c r="AY94" s="1133"/>
      <c r="AZ94" s="1133"/>
      <c r="BA94" s="2151" cm="1">
        <f t="array" aca="1" ref="BA94" ca="1">_xlfn.IFS(
BB94="",0,
BA95=0,0,
AND($BU$5=1,BU95=$BU$6),1,
AND(BB94=$L$28,$F$28=$F$27),1,
AND(BB94=$L$29,$F$29=$F$27),1,
AND(BB94=$L$30,$F$30=$F$27),1,
AND(BB94=$L$31,$F$31=$F$27),1,
AND(BB94=$L$32,$F$32=$F$27),1,
AND(BB94=$L$33,$F$33=$F$27),1,
AND(BB94=$L$34,$F$34=$F$27),1,
AND(BB94=$L$35,$F$35=$F$27),1,
AND(BB94=$L$36,$F$36=$F$27),1,
TRUE,0)</f>
        <v>0</v>
      </c>
      <c r="BB94" s="4874"/>
      <c r="BC94" s="4542"/>
      <c r="BD94" s="4542"/>
      <c r="BE94" s="4542"/>
      <c r="BF94" s="4542"/>
      <c r="BG94" s="4542"/>
      <c r="BH94" s="4542"/>
      <c r="BI94" s="4542"/>
      <c r="BJ94" s="4542"/>
      <c r="BK94" s="4542"/>
      <c r="BL94" s="4542"/>
      <c r="BM94" s="4551"/>
      <c r="BN94" s="4551"/>
      <c r="BO94" s="4552"/>
      <c r="BP94" s="4881"/>
      <c r="BQ94" s="4882"/>
      <c r="BR94" s="4883"/>
      <c r="BS94" s="959"/>
      <c r="BT94" s="2234"/>
      <c r="BU94" s="1244"/>
      <c r="BV94" s="2244"/>
      <c r="BW94" s="2244"/>
      <c r="BX94" s="2266"/>
      <c r="BY94" s="2237"/>
      <c r="BZ94" s="1038"/>
      <c r="CA94" s="101"/>
      <c r="CC94" s="242"/>
      <c r="CD94" s="262"/>
      <c r="CK94" s="299"/>
      <c r="CN94" s="242"/>
      <c r="CO94" s="262"/>
      <c r="CP94" s="101"/>
      <c r="CQ94" s="101"/>
      <c r="CR94" s="262"/>
      <c r="CS94" s="101"/>
      <c r="CT94" s="101"/>
      <c r="CU94" s="262"/>
      <c r="CW94" s="299"/>
      <c r="CZ94" s="2493"/>
      <c r="EL94" s="2457" t="s">
        <v>1597</v>
      </c>
      <c r="EM94" s="2458"/>
      <c r="EN94" s="2459"/>
      <c r="EQ94" s="2457" t="s">
        <v>406</v>
      </c>
      <c r="ER94" s="2458"/>
      <c r="ES94" s="2459"/>
      <c r="EV94" s="2457" t="s">
        <v>406</v>
      </c>
      <c r="EW94" s="2458"/>
      <c r="EX94" s="2459"/>
    </row>
    <row r="95" spans="1:154" ht="17.100000000000001" customHeight="1" thickTop="1" thickBot="1" x14ac:dyDescent="0.3">
      <c r="B95" s="1189"/>
      <c r="C95" s="1185"/>
      <c r="D95" s="1185"/>
      <c r="E95" s="1185"/>
      <c r="F95" s="1185"/>
      <c r="G95" s="1185"/>
      <c r="H95" s="1185"/>
      <c r="I95" s="1185"/>
      <c r="J95" s="1185"/>
      <c r="K95" s="1185"/>
      <c r="L95" s="1185"/>
      <c r="M95" s="1185"/>
      <c r="N95" s="1185"/>
      <c r="O95" s="1185"/>
      <c r="P95" s="1185"/>
      <c r="Q95" s="1185"/>
      <c r="R95" s="1185"/>
      <c r="S95" s="1185"/>
      <c r="T95" s="1185"/>
      <c r="U95" s="1185"/>
      <c r="V95" s="1185"/>
      <c r="W95" s="1185"/>
      <c r="X95" s="1185"/>
      <c r="Y95" s="1185"/>
      <c r="Z95" s="1190"/>
      <c r="AB95" s="977"/>
      <c r="AC95" s="978" t="s">
        <v>1716</v>
      </c>
      <c r="AD95" s="1133"/>
      <c r="AE95" s="1133"/>
      <c r="AF95" s="1133"/>
      <c r="AG95" s="1133"/>
      <c r="AH95" s="1133"/>
      <c r="AI95" s="1133"/>
      <c r="AJ95" s="1133"/>
      <c r="AK95" s="1133"/>
      <c r="AL95" s="1133"/>
      <c r="AM95" s="1133"/>
      <c r="AN95" s="1133"/>
      <c r="AO95" s="1133"/>
      <c r="AP95" s="1133"/>
      <c r="AQ95" s="1133"/>
      <c r="AR95" s="1133"/>
      <c r="AS95" s="1133"/>
      <c r="AT95" s="1133"/>
      <c r="AU95" s="1133"/>
      <c r="AV95" s="1133"/>
      <c r="AW95" s="1133"/>
      <c r="AX95" s="1133"/>
      <c r="AY95" s="1133"/>
      <c r="AZ95" s="1133"/>
      <c r="BA95" s="2152">
        <f t="shared" si="53"/>
        <v>1</v>
      </c>
      <c r="BB95" s="4540"/>
      <c r="BC95" s="4535"/>
      <c r="BD95" s="4535"/>
      <c r="BE95" s="4535"/>
      <c r="BF95" s="4535"/>
      <c r="BG95" s="4535"/>
      <c r="BH95" s="4535"/>
      <c r="BI95" s="4535"/>
      <c r="BJ95" s="4535"/>
      <c r="BK95" s="4535"/>
      <c r="BL95" s="4564"/>
      <c r="BM95" s="4564"/>
      <c r="BN95" s="4876"/>
      <c r="BO95" s="4877"/>
      <c r="BP95" s="4878"/>
      <c r="BQ95" s="4879"/>
      <c r="BR95" s="4880"/>
      <c r="BS95" s="959"/>
      <c r="BT95" s="2234"/>
      <c r="BU95" s="2239" cm="1">
        <f t="array" ref="BU95">_xlfn.IFS(
BV95="",0,
BV95=$DH$15,1,
BV95=$DH$16,2,
BV95=$DH$17,3,
BV95=$DH$18,4,
BV95=$DH$19,5,
BV95=$DH$20,6,
TRUE,0)</f>
        <v>0</v>
      </c>
      <c r="BV95" s="4873"/>
      <c r="BW95" s="4873"/>
      <c r="BX95" s="4873"/>
      <c r="BY95" s="2237"/>
      <c r="BZ95" s="1038"/>
      <c r="CA95" s="101"/>
      <c r="CC95" s="242"/>
      <c r="CD95" s="262"/>
      <c r="CK95" s="299"/>
      <c r="CN95" s="242"/>
      <c r="CO95" s="262"/>
      <c r="CP95" s="101"/>
      <c r="CQ95" s="101"/>
      <c r="CR95" s="262"/>
      <c r="CS95" s="101"/>
      <c r="CT95" s="101"/>
      <c r="CU95" s="262">
        <f t="shared" si="99"/>
        <v>0</v>
      </c>
      <c r="CW95" s="299"/>
      <c r="CZ95" s="2493"/>
      <c r="EL95" s="2457" t="s">
        <v>1623</v>
      </c>
      <c r="EM95" s="2458"/>
      <c r="EN95" s="2459"/>
      <c r="EQ95" s="2457" t="s">
        <v>1623</v>
      </c>
      <c r="ER95" s="2458"/>
      <c r="ES95" s="2459"/>
      <c r="EV95" s="2457" t="s">
        <v>1623</v>
      </c>
      <c r="EW95" s="2458"/>
      <c r="EX95" s="2459"/>
    </row>
    <row r="96" spans="1:154" ht="17.100000000000001" customHeight="1" thickTop="1" thickBot="1" x14ac:dyDescent="0.3">
      <c r="B96" s="1189"/>
      <c r="C96" s="978" t="s">
        <v>1527</v>
      </c>
      <c r="D96" s="979"/>
      <c r="E96" s="979"/>
      <c r="F96" s="979"/>
      <c r="G96" s="979"/>
      <c r="H96" s="979"/>
      <c r="I96" s="979"/>
      <c r="J96" s="979"/>
      <c r="K96" s="979"/>
      <c r="L96" s="979"/>
      <c r="M96" s="979"/>
      <c r="N96" s="979"/>
      <c r="O96" s="979"/>
      <c r="P96" s="979"/>
      <c r="Q96" s="979"/>
      <c r="R96" s="980"/>
      <c r="S96" s="980"/>
      <c r="T96" s="980"/>
      <c r="U96" s="980"/>
      <c r="V96" s="981"/>
      <c r="W96" s="2453"/>
      <c r="X96" s="2453"/>
      <c r="Y96" s="1185"/>
      <c r="Z96" s="1190"/>
      <c r="AB96" s="977"/>
      <c r="AC96" s="978" t="s">
        <v>1714</v>
      </c>
      <c r="AD96" s="979"/>
      <c r="AE96" s="979"/>
      <c r="AF96" s="979"/>
      <c r="AG96" s="979"/>
      <c r="AH96" s="979"/>
      <c r="AI96" s="979"/>
      <c r="AJ96" s="979"/>
      <c r="AK96" s="979"/>
      <c r="AL96" s="979"/>
      <c r="AM96" s="979"/>
      <c r="AN96" s="979"/>
      <c r="AO96" s="979"/>
      <c r="AP96" s="979"/>
      <c r="AQ96" s="979"/>
      <c r="AR96" s="980"/>
      <c r="AS96" s="980"/>
      <c r="AT96" s="980"/>
      <c r="AU96" s="980"/>
      <c r="AV96" s="981"/>
      <c r="AW96" s="1041"/>
      <c r="AX96" s="1041"/>
      <c r="AY96" s="1041"/>
      <c r="AZ96" s="1133"/>
      <c r="BA96" s="2151" cm="1">
        <f t="array" aca="1" ref="BA96" ca="1">_xlfn.IFS(
BB96="",0,
BA97=0,0,
AND($BU$5=1,BU97=$BU$6),1,
AND(BB96=$L$28,$F$28=$F$27),1,
AND(BB96=$L$29,$F$29=$F$27),1,
AND(BB96=$L$30,$F$30=$F$27),1,
AND(BB96=$L$31,$F$31=$F$27),1,
AND(BB96=$L$32,$F$32=$F$27),1,
AND(BB96=$L$33,$F$33=$F$27),1,
AND(BB96=$L$34,$F$34=$F$27),1,
AND(BB96=$L$35,$F$35=$F$27),1,
AND(BB96=$L$36,$F$36=$F$27),1,
TRUE,0)</f>
        <v>0</v>
      </c>
      <c r="BB96" s="4874"/>
      <c r="BC96" s="4542"/>
      <c r="BD96" s="4542"/>
      <c r="BE96" s="4542"/>
      <c r="BF96" s="4542"/>
      <c r="BG96" s="4542"/>
      <c r="BH96" s="4542"/>
      <c r="BI96" s="4542"/>
      <c r="BJ96" s="4542"/>
      <c r="BK96" s="4542"/>
      <c r="BL96" s="4542"/>
      <c r="BM96" s="4551"/>
      <c r="BN96" s="4551"/>
      <c r="BO96" s="4552"/>
      <c r="BP96" s="4881"/>
      <c r="BQ96" s="4882"/>
      <c r="BR96" s="4883"/>
      <c r="BS96" s="959"/>
      <c r="BT96" s="2234"/>
      <c r="BU96" s="1244"/>
      <c r="BV96" s="2244"/>
      <c r="BW96" s="2244"/>
      <c r="BX96" s="2266"/>
      <c r="BY96" s="2237"/>
      <c r="BZ96" s="1038"/>
      <c r="CA96" s="101"/>
      <c r="CC96" s="242"/>
      <c r="CD96" s="262"/>
      <c r="CK96" s="299"/>
      <c r="CN96" s="242"/>
      <c r="CO96" s="262"/>
      <c r="CP96" s="101"/>
      <c r="CQ96" s="101"/>
      <c r="CR96" s="262"/>
      <c r="CS96" s="101"/>
      <c r="CT96" s="101"/>
      <c r="CU96" s="262"/>
      <c r="CW96" s="299"/>
      <c r="CZ96" s="2493"/>
      <c r="DP96" s="377" t="s">
        <v>1530</v>
      </c>
      <c r="EL96" s="2457" t="s">
        <v>970</v>
      </c>
      <c r="EM96" s="2458"/>
      <c r="EN96" s="2459"/>
      <c r="EQ96" s="2460" t="s">
        <v>1438</v>
      </c>
      <c r="ER96" s="2461"/>
      <c r="ES96" s="2462"/>
      <c r="EV96" s="2460" t="s">
        <v>1438</v>
      </c>
      <c r="EW96" s="2461"/>
      <c r="EX96" s="2462"/>
    </row>
    <row r="97" spans="2:144" ht="17.100000000000001" customHeight="1" thickTop="1" thickBot="1" x14ac:dyDescent="0.3">
      <c r="B97" s="1189"/>
      <c r="C97" s="2749" t="s">
        <v>1528</v>
      </c>
      <c r="D97" s="989"/>
      <c r="E97" s="989"/>
      <c r="F97" s="989"/>
      <c r="G97" s="989"/>
      <c r="H97" s="989"/>
      <c r="I97" s="989"/>
      <c r="J97" s="989"/>
      <c r="K97" s="989"/>
      <c r="L97" s="989"/>
      <c r="M97" s="989"/>
      <c r="N97" s="989"/>
      <c r="O97" s="989"/>
      <c r="P97" s="989"/>
      <c r="Q97" s="990"/>
      <c r="R97" s="990"/>
      <c r="S97" s="990"/>
      <c r="T97" s="990"/>
      <c r="U97" s="990"/>
      <c r="V97" s="990"/>
      <c r="W97" s="990"/>
      <c r="X97" s="1129"/>
      <c r="Y97" s="1185"/>
      <c r="Z97" s="1190"/>
      <c r="AB97" s="977"/>
      <c r="AC97" s="2749" t="s">
        <v>517</v>
      </c>
      <c r="AD97" s="2750"/>
      <c r="AE97" s="2750"/>
      <c r="AF97" s="2750"/>
      <c r="AG97" s="2750"/>
      <c r="AH97" s="2750"/>
      <c r="AI97" s="2750"/>
      <c r="AJ97" s="2750"/>
      <c r="AK97" s="2750"/>
      <c r="AL97" s="2750"/>
      <c r="AM97" s="2750"/>
      <c r="AN97" s="2750"/>
      <c r="AO97" s="2750"/>
      <c r="AP97" s="2750"/>
      <c r="AQ97" s="2751" t="s">
        <v>516</v>
      </c>
      <c r="AR97" s="2751"/>
      <c r="AS97" s="2751"/>
      <c r="AT97" s="2751"/>
      <c r="AU97" s="2751"/>
      <c r="AV97" s="2751"/>
      <c r="AW97" s="2751"/>
      <c r="AX97" s="2752" t="s">
        <v>861</v>
      </c>
      <c r="AY97" s="2753" t="s">
        <v>523</v>
      </c>
      <c r="AZ97" s="1133"/>
      <c r="BA97" s="2152">
        <f t="shared" si="53"/>
        <v>1</v>
      </c>
      <c r="BB97" s="4540"/>
      <c r="BC97" s="4535"/>
      <c r="BD97" s="4535"/>
      <c r="BE97" s="4535"/>
      <c r="BF97" s="4535"/>
      <c r="BG97" s="4535"/>
      <c r="BH97" s="4535"/>
      <c r="BI97" s="4535"/>
      <c r="BJ97" s="4535"/>
      <c r="BK97" s="4535"/>
      <c r="BL97" s="4564"/>
      <c r="BM97" s="4564"/>
      <c r="BN97" s="4876"/>
      <c r="BO97" s="4877"/>
      <c r="BP97" s="4878"/>
      <c r="BQ97" s="4879"/>
      <c r="BR97" s="4880"/>
      <c r="BS97" s="959"/>
      <c r="BT97" s="2234"/>
      <c r="BU97" s="2239" cm="1">
        <f t="array" ref="BU97">_xlfn.IFS(
BV97="",0,
BV97=$DH$15,1,
BV97=$DH$16,2,
BV97=$DH$17,3,
BV97=$DH$18,4,
BV97=$DH$19,5,
BV97=$DH$20,6,
TRUE,0)</f>
        <v>0</v>
      </c>
      <c r="BV97" s="4873"/>
      <c r="BW97" s="4873"/>
      <c r="BX97" s="4873"/>
      <c r="BY97" s="2237"/>
      <c r="BZ97" s="1038"/>
      <c r="CA97" s="101"/>
      <c r="CC97" s="242"/>
      <c r="CD97" s="262"/>
      <c r="CK97" s="299"/>
      <c r="CN97" s="242"/>
      <c r="CO97" s="262"/>
      <c r="CP97" s="101"/>
      <c r="CQ97" s="101"/>
      <c r="CR97" s="262"/>
      <c r="CS97" s="101"/>
      <c r="CT97" s="101"/>
      <c r="CU97" s="262">
        <f t="shared" si="99"/>
        <v>0</v>
      </c>
      <c r="CW97" s="299"/>
      <c r="CZ97" s="2493"/>
      <c r="DP97" s="2454"/>
      <c r="DQ97" s="2455"/>
      <c r="DR97" s="2456"/>
      <c r="DV97" s="429"/>
      <c r="DZ97" s="382" t="s">
        <v>1566</v>
      </c>
      <c r="EL97" s="2457" t="s">
        <v>1322</v>
      </c>
      <c r="EM97" s="2458"/>
      <c r="EN97" s="2459"/>
    </row>
    <row r="98" spans="2:144" ht="17.100000000000001" customHeight="1" thickTop="1" thickBot="1" x14ac:dyDescent="0.3">
      <c r="B98" s="1189"/>
      <c r="C98" s="4887"/>
      <c r="D98" s="4888"/>
      <c r="E98" s="4888"/>
      <c r="F98" s="4888"/>
      <c r="G98" s="4888"/>
      <c r="H98" s="4888"/>
      <c r="I98" s="4888"/>
      <c r="J98" s="4888"/>
      <c r="K98" s="4888"/>
      <c r="L98" s="4888"/>
      <c r="M98" s="4888"/>
      <c r="N98" s="4888"/>
      <c r="O98" s="4888"/>
      <c r="P98" s="1185"/>
      <c r="Q98" s="1185"/>
      <c r="R98" s="1185"/>
      <c r="S98" s="1185"/>
      <c r="T98" s="1185"/>
      <c r="U98" s="1185"/>
      <c r="V98" s="1185"/>
      <c r="W98" s="1185"/>
      <c r="X98" s="1185"/>
      <c r="Y98" s="1185"/>
      <c r="Z98" s="1190"/>
      <c r="AB98" s="977">
        <v>1</v>
      </c>
      <c r="AC98" s="4924"/>
      <c r="AD98" s="4925"/>
      <c r="AE98" s="4925"/>
      <c r="AF98" s="4925"/>
      <c r="AG98" s="4925"/>
      <c r="AH98" s="4925"/>
      <c r="AI98" s="4925"/>
      <c r="AJ98" s="4925"/>
      <c r="AK98" s="4925"/>
      <c r="AL98" s="4925"/>
      <c r="AM98" s="4925"/>
      <c r="AN98" s="4925"/>
      <c r="AO98" s="4925"/>
      <c r="AP98" s="4925"/>
      <c r="AQ98" s="4889"/>
      <c r="AR98" s="4889"/>
      <c r="AS98" s="4889"/>
      <c r="AT98" s="4889"/>
      <c r="AU98" s="4889"/>
      <c r="AV98" s="4889"/>
      <c r="AW98" s="4889"/>
      <c r="AX98" s="1130"/>
      <c r="AY98" s="1043"/>
      <c r="AZ98" s="1133"/>
      <c r="BA98" s="2151" cm="1">
        <f t="array" aca="1" ref="BA98" ca="1">_xlfn.IFS(
BB98="",0,
BA99=0,0,
AND($BU$5=1,BU99=$BU$6),1,
AND(BB98=$L$28,$F$28=$F$27),1,
AND(BB98=$L$29,$F$29=$F$27),1,
AND(BB98=$L$30,$F$30=$F$27),1,
AND(BB98=$L$31,$F$31=$F$27),1,
AND(BB98=$L$32,$F$32=$F$27),1,
AND(BB98=$L$33,$F$33=$F$27),1,
AND(BB98=$L$34,$F$34=$F$27),1,
AND(BB98=$L$35,$F$35=$F$27),1,
AND(BB98=$L$36,$F$36=$F$27),1,
TRUE,0)</f>
        <v>0</v>
      </c>
      <c r="BB98" s="4874"/>
      <c r="BC98" s="4542"/>
      <c r="BD98" s="4542"/>
      <c r="BE98" s="4542"/>
      <c r="BF98" s="4542"/>
      <c r="BG98" s="4542"/>
      <c r="BH98" s="4542"/>
      <c r="BI98" s="4542"/>
      <c r="BJ98" s="4542"/>
      <c r="BK98" s="4542"/>
      <c r="BL98" s="4542"/>
      <c r="BM98" s="4551"/>
      <c r="BN98" s="4551"/>
      <c r="BO98" s="4552"/>
      <c r="BP98" s="4881"/>
      <c r="BQ98" s="4882"/>
      <c r="BR98" s="4883"/>
      <c r="BS98" s="959"/>
      <c r="BT98" s="2234"/>
      <c r="BU98" s="1244"/>
      <c r="BV98" s="2244"/>
      <c r="BW98" s="2244"/>
      <c r="BX98" s="2266"/>
      <c r="BY98" s="2237"/>
      <c r="BZ98" s="1038"/>
      <c r="CA98" s="101"/>
      <c r="CC98" s="242"/>
      <c r="CD98" s="262"/>
      <c r="CK98" s="299"/>
      <c r="CN98" s="242"/>
      <c r="CO98" s="262"/>
      <c r="CP98" s="101"/>
      <c r="CQ98" s="101"/>
      <c r="CR98" s="262">
        <f>IF(AND(AX98&lt;&gt;"",OR(AX98=$Q$51,AX98=$Q$52,AX98=$Q$53,AX98=$Q$54,AX98=$Q$55,AX98=$Q$56,AX98=$Q$57,AX98=$Q$58)),$AY98,0)</f>
        <v>0</v>
      </c>
      <c r="CS98" s="44" t="s">
        <v>875</v>
      </c>
      <c r="CT98" s="101"/>
      <c r="CU98" s="262"/>
      <c r="CW98" s="299"/>
      <c r="CZ98" s="2493"/>
      <c r="DP98" s="2454" t="str">
        <f t="shared" ref="DP98:DP107" si="100">IF(C98&lt;&gt;"",C98,"")</f>
        <v/>
      </c>
      <c r="DQ98" s="2455"/>
      <c r="DR98" s="2456"/>
      <c r="DS98" s="1599">
        <v>1</v>
      </c>
      <c r="DV98" s="2463" t="str" cm="1">
        <f t="array" ref="DV98:DV118">IFERROR(_xlfn._xlws.FILTER($DZ$98:$DZ$118,$DZ$98:$DZ$118&lt;&gt;""),"")</f>
        <v>PC</v>
      </c>
      <c r="DW98" s="2455"/>
      <c r="DX98" s="2455"/>
      <c r="DY98" s="2456"/>
      <c r="DZ98" s="2463" t="str">
        <f t="shared" ref="DZ98:DZ118" si="101">IF(_xlfn.IFNA(VLOOKUP(ED98,$DP$98:$DS$107,4,FALSE),0)=0,ED98,"")</f>
        <v>PC</v>
      </c>
      <c r="EA98" s="2455"/>
      <c r="EB98" s="2455"/>
      <c r="EC98" s="2456"/>
      <c r="ED98" s="2463" t="s">
        <v>551</v>
      </c>
      <c r="EE98" s="2455"/>
      <c r="EF98" s="2455"/>
      <c r="EG98" s="2456"/>
      <c r="EL98" s="2457" t="s">
        <v>1601</v>
      </c>
      <c r="EM98" s="2458"/>
      <c r="EN98" s="2459"/>
    </row>
    <row r="99" spans="2:144" ht="17.100000000000001" customHeight="1" thickTop="1" thickBot="1" x14ac:dyDescent="0.3">
      <c r="B99" s="1189"/>
      <c r="C99" s="4887"/>
      <c r="D99" s="4888"/>
      <c r="E99" s="4888"/>
      <c r="F99" s="4888"/>
      <c r="G99" s="4888"/>
      <c r="H99" s="4888"/>
      <c r="I99" s="4888"/>
      <c r="J99" s="4888"/>
      <c r="K99" s="4888"/>
      <c r="L99" s="4888"/>
      <c r="M99" s="4888"/>
      <c r="N99" s="4888"/>
      <c r="O99" s="4888"/>
      <c r="P99" s="1185"/>
      <c r="Q99" s="1185"/>
      <c r="R99" s="1185"/>
      <c r="S99" s="1185"/>
      <c r="T99" s="1185"/>
      <c r="U99" s="1185"/>
      <c r="V99" s="1185"/>
      <c r="W99" s="1185"/>
      <c r="X99" s="1185"/>
      <c r="Y99" s="1185"/>
      <c r="Z99" s="1190"/>
      <c r="AB99" s="977">
        <v>2</v>
      </c>
      <c r="AC99" s="4894"/>
      <c r="AD99" s="4895"/>
      <c r="AE99" s="4895"/>
      <c r="AF99" s="4895"/>
      <c r="AG99" s="4895"/>
      <c r="AH99" s="4895"/>
      <c r="AI99" s="4895"/>
      <c r="AJ99" s="4895"/>
      <c r="AK99" s="4895"/>
      <c r="AL99" s="4895"/>
      <c r="AM99" s="4895"/>
      <c r="AN99" s="4895"/>
      <c r="AO99" s="4895"/>
      <c r="AP99" s="4895"/>
      <c r="AQ99" s="4889"/>
      <c r="AR99" s="4889"/>
      <c r="AS99" s="4889"/>
      <c r="AT99" s="4889"/>
      <c r="AU99" s="4889"/>
      <c r="AV99" s="4889"/>
      <c r="AW99" s="4889"/>
      <c r="AX99" s="1130"/>
      <c r="AY99" s="1043"/>
      <c r="AZ99" s="1133"/>
      <c r="BA99" s="2152">
        <f t="shared" si="53"/>
        <v>1</v>
      </c>
      <c r="BB99" s="4540"/>
      <c r="BC99" s="4535"/>
      <c r="BD99" s="4535"/>
      <c r="BE99" s="4535"/>
      <c r="BF99" s="4535"/>
      <c r="BG99" s="4535"/>
      <c r="BH99" s="4535"/>
      <c r="BI99" s="4535"/>
      <c r="BJ99" s="4535"/>
      <c r="BK99" s="4535"/>
      <c r="BL99" s="4564"/>
      <c r="BM99" s="4564"/>
      <c r="BN99" s="4876"/>
      <c r="BO99" s="4877"/>
      <c r="BP99" s="4878"/>
      <c r="BQ99" s="4879"/>
      <c r="BR99" s="4880"/>
      <c r="BS99" s="959"/>
      <c r="BT99" s="2234"/>
      <c r="BU99" s="2239" cm="1">
        <f t="array" ref="BU99">_xlfn.IFS(
BV99="",0,
BV99=$DH$15,1,
BV99=$DH$16,2,
BV99=$DH$17,3,
BV99=$DH$18,4,
BV99=$DH$19,5,
BV99=$DH$20,6,
TRUE,0)</f>
        <v>0</v>
      </c>
      <c r="BV99" s="4873"/>
      <c r="BW99" s="4873"/>
      <c r="BX99" s="4873"/>
      <c r="BY99" s="2237"/>
      <c r="BZ99" s="1038"/>
      <c r="CA99" s="101"/>
      <c r="CC99" s="242"/>
      <c r="CD99" s="262"/>
      <c r="CK99" s="299"/>
      <c r="CN99" s="242"/>
      <c r="CO99" s="262"/>
      <c r="CP99" s="101"/>
      <c r="CQ99" s="101"/>
      <c r="CR99" s="262">
        <f t="shared" ref="CR99:CR121" si="102">IF(AND(AX99&lt;&gt;"",OR(AX99=$Q$51,AX99=$Q$52,AX99=$Q$53,AX99=$Q$54,AX99=$Q$55,AX99=$Q$56,AX99=$Q$57,AX99=$Q$58)),$AY99,0)</f>
        <v>0</v>
      </c>
      <c r="CS99" s="44" t="s">
        <v>876</v>
      </c>
      <c r="CT99" s="101"/>
      <c r="CU99" s="262">
        <f t="shared" si="99"/>
        <v>0</v>
      </c>
      <c r="CW99" s="299"/>
      <c r="CZ99" s="2493"/>
      <c r="DP99" s="2457" t="str">
        <f t="shared" si="100"/>
        <v/>
      </c>
      <c r="DQ99" s="2458"/>
      <c r="DR99" s="2459"/>
      <c r="DS99" s="1599">
        <v>1</v>
      </c>
      <c r="DV99" s="1599" t="str">
        <v>PS5</v>
      </c>
      <c r="DW99" s="2458"/>
      <c r="DX99" s="2458"/>
      <c r="DY99" s="2459"/>
      <c r="DZ99" s="1599" t="str">
        <f t="shared" si="101"/>
        <v>PS5</v>
      </c>
      <c r="EA99" s="2458"/>
      <c r="EB99" s="2458"/>
      <c r="EC99" s="2459"/>
      <c r="ED99" s="1599" t="s">
        <v>1515</v>
      </c>
      <c r="EE99" s="2458"/>
      <c r="EF99" s="2458"/>
      <c r="EG99" s="2459"/>
      <c r="EL99" s="2457" t="s">
        <v>1598</v>
      </c>
      <c r="EM99" s="2458"/>
      <c r="EN99" s="2459"/>
    </row>
    <row r="100" spans="2:144" ht="17.100000000000001" customHeight="1" thickTop="1" thickBot="1" x14ac:dyDescent="0.3">
      <c r="B100" s="1189"/>
      <c r="C100" s="4887"/>
      <c r="D100" s="4888"/>
      <c r="E100" s="4888"/>
      <c r="F100" s="4888"/>
      <c r="G100" s="4888"/>
      <c r="H100" s="4888"/>
      <c r="I100" s="4888"/>
      <c r="J100" s="4888"/>
      <c r="K100" s="4888"/>
      <c r="L100" s="4888"/>
      <c r="M100" s="4888"/>
      <c r="N100" s="4888"/>
      <c r="O100" s="4888"/>
      <c r="P100" s="1185"/>
      <c r="Q100" s="1185"/>
      <c r="R100" s="1185"/>
      <c r="S100" s="1185"/>
      <c r="T100" s="1185"/>
      <c r="U100" s="1185"/>
      <c r="V100" s="1185"/>
      <c r="W100" s="1185"/>
      <c r="X100" s="1185"/>
      <c r="Y100" s="1185"/>
      <c r="Z100" s="1190"/>
      <c r="AB100" s="977">
        <v>3</v>
      </c>
      <c r="AC100" s="4894"/>
      <c r="AD100" s="4895"/>
      <c r="AE100" s="4895"/>
      <c r="AF100" s="4895"/>
      <c r="AG100" s="4895"/>
      <c r="AH100" s="4895"/>
      <c r="AI100" s="4895"/>
      <c r="AJ100" s="4895"/>
      <c r="AK100" s="4895"/>
      <c r="AL100" s="4895"/>
      <c r="AM100" s="4895"/>
      <c r="AN100" s="4895"/>
      <c r="AO100" s="4895"/>
      <c r="AP100" s="4895"/>
      <c r="AQ100" s="4889"/>
      <c r="AR100" s="4889"/>
      <c r="AS100" s="4889"/>
      <c r="AT100" s="4889"/>
      <c r="AU100" s="4889"/>
      <c r="AV100" s="4889"/>
      <c r="AW100" s="4889"/>
      <c r="AX100" s="1130"/>
      <c r="AY100" s="1043"/>
      <c r="AZ100" s="1133"/>
      <c r="BA100" s="2151" cm="1">
        <f t="array" aca="1" ref="BA100" ca="1">_xlfn.IFS(
BB100="",0,
BA101=0,0,
AND($BU$5=1,BU101=$BU$6),1,
AND(BB100=$L$28,$F$28=$F$27),1,
AND(BB100=$L$29,$F$29=$F$27),1,
AND(BB100=$L$30,$F$30=$F$27),1,
AND(BB100=$L$31,$F$31=$F$27),1,
AND(BB100=$L$32,$F$32=$F$27),1,
AND(BB100=$L$33,$F$33=$F$27),1,
AND(BB100=$L$34,$F$34=$F$27),1,
AND(BB100=$L$35,$F$35=$F$27),1,
AND(BB100=$L$36,$F$36=$F$27),1,
TRUE,0)</f>
        <v>0</v>
      </c>
      <c r="BB100" s="4874"/>
      <c r="BC100" s="4542"/>
      <c r="BD100" s="4542"/>
      <c r="BE100" s="4542"/>
      <c r="BF100" s="4542"/>
      <c r="BG100" s="4542"/>
      <c r="BH100" s="4542"/>
      <c r="BI100" s="4542"/>
      <c r="BJ100" s="4542"/>
      <c r="BK100" s="4542"/>
      <c r="BL100" s="4542"/>
      <c r="BM100" s="4551"/>
      <c r="BN100" s="4551"/>
      <c r="BO100" s="4552"/>
      <c r="BP100" s="4881"/>
      <c r="BQ100" s="4882"/>
      <c r="BR100" s="4883"/>
      <c r="BS100" s="959"/>
      <c r="BT100" s="2234"/>
      <c r="BU100" s="1244"/>
      <c r="BV100" s="2244"/>
      <c r="BW100" s="2244"/>
      <c r="BX100" s="2266"/>
      <c r="BY100" s="2237"/>
      <c r="BZ100" s="1038"/>
      <c r="CA100" s="101"/>
      <c r="CC100" s="242"/>
      <c r="CD100" s="262"/>
      <c r="CK100" s="299"/>
      <c r="CN100" s="242"/>
      <c r="CO100" s="262"/>
      <c r="CP100" s="101"/>
      <c r="CQ100" s="101"/>
      <c r="CR100" s="262">
        <f t="shared" si="102"/>
        <v>0</v>
      </c>
      <c r="CS100" s="44" t="s">
        <v>874</v>
      </c>
      <c r="CT100" s="101"/>
      <c r="CU100" s="262"/>
      <c r="CW100" s="299"/>
      <c r="CZ100" s="2493"/>
      <c r="DP100" s="2457" t="str">
        <f t="shared" si="100"/>
        <v/>
      </c>
      <c r="DQ100" s="2458"/>
      <c r="DR100" s="2459"/>
      <c r="DS100" s="1599">
        <v>1</v>
      </c>
      <c r="DV100" s="1599" t="str">
        <v>Xbox S-X</v>
      </c>
      <c r="DW100" s="2458"/>
      <c r="DX100" s="2458"/>
      <c r="DY100" s="2459"/>
      <c r="DZ100" s="1599" t="str">
        <f t="shared" si="101"/>
        <v>Xbox S-X</v>
      </c>
      <c r="EA100" s="2458"/>
      <c r="EB100" s="2458"/>
      <c r="EC100" s="2459"/>
      <c r="ED100" s="1599" t="s">
        <v>1567</v>
      </c>
      <c r="EE100" s="2458"/>
      <c r="EF100" s="2458"/>
      <c r="EG100" s="2459"/>
      <c r="EL100" s="2460" t="s">
        <v>1438</v>
      </c>
      <c r="EM100" s="2461"/>
      <c r="EN100" s="2462"/>
    </row>
    <row r="101" spans="2:144" ht="17.100000000000001" customHeight="1" thickTop="1" thickBot="1" x14ac:dyDescent="0.3">
      <c r="B101" s="1189"/>
      <c r="C101" s="4887"/>
      <c r="D101" s="4888"/>
      <c r="E101" s="4888"/>
      <c r="F101" s="4888"/>
      <c r="G101" s="4888"/>
      <c r="H101" s="4888"/>
      <c r="I101" s="4888"/>
      <c r="J101" s="4888"/>
      <c r="K101" s="4888"/>
      <c r="L101" s="4888"/>
      <c r="M101" s="4888"/>
      <c r="N101" s="4888"/>
      <c r="O101" s="4888"/>
      <c r="P101" s="1185"/>
      <c r="Q101" s="1185"/>
      <c r="R101" s="1185"/>
      <c r="S101" s="1185"/>
      <c r="T101" s="1185"/>
      <c r="U101" s="1185"/>
      <c r="V101" s="1185"/>
      <c r="W101" s="1185"/>
      <c r="X101" s="1185"/>
      <c r="Y101" s="1185"/>
      <c r="Z101" s="1190"/>
      <c r="AB101" s="977">
        <v>4</v>
      </c>
      <c r="AC101" s="4894"/>
      <c r="AD101" s="4895"/>
      <c r="AE101" s="4895"/>
      <c r="AF101" s="4895"/>
      <c r="AG101" s="4895"/>
      <c r="AH101" s="4895"/>
      <c r="AI101" s="4895"/>
      <c r="AJ101" s="4895"/>
      <c r="AK101" s="4895"/>
      <c r="AL101" s="4895"/>
      <c r="AM101" s="4895"/>
      <c r="AN101" s="4895"/>
      <c r="AO101" s="4895"/>
      <c r="AP101" s="4895"/>
      <c r="AQ101" s="4889"/>
      <c r="AR101" s="4889"/>
      <c r="AS101" s="4889"/>
      <c r="AT101" s="4889"/>
      <c r="AU101" s="4889"/>
      <c r="AV101" s="4889"/>
      <c r="AW101" s="4889"/>
      <c r="AX101" s="1130"/>
      <c r="AY101" s="1043"/>
      <c r="AZ101" s="1133"/>
      <c r="BA101" s="2152">
        <f t="shared" si="53"/>
        <v>1</v>
      </c>
      <c r="BB101" s="4540"/>
      <c r="BC101" s="4535"/>
      <c r="BD101" s="4535"/>
      <c r="BE101" s="4535"/>
      <c r="BF101" s="4535"/>
      <c r="BG101" s="4535"/>
      <c r="BH101" s="4535"/>
      <c r="BI101" s="4535"/>
      <c r="BJ101" s="4535"/>
      <c r="BK101" s="4535"/>
      <c r="BL101" s="4564"/>
      <c r="BM101" s="4564"/>
      <c r="BN101" s="4876"/>
      <c r="BO101" s="4877"/>
      <c r="BP101" s="4878"/>
      <c r="BQ101" s="4879"/>
      <c r="BR101" s="4880"/>
      <c r="BS101" s="959"/>
      <c r="BT101" s="2234"/>
      <c r="BU101" s="2239" cm="1">
        <f t="array" ref="BU101">_xlfn.IFS(
BV101="",0,
BV101=$DH$15,1,
BV101=$DH$16,2,
BV101=$DH$17,3,
BV101=$DH$18,4,
BV101=$DH$19,5,
BV101=$DH$20,6,
TRUE,0)</f>
        <v>0</v>
      </c>
      <c r="BV101" s="4873"/>
      <c r="BW101" s="4873"/>
      <c r="BX101" s="4873"/>
      <c r="BY101" s="2237"/>
      <c r="BZ101" s="1038"/>
      <c r="CA101" s="101"/>
      <c r="CC101" s="242"/>
      <c r="CD101" s="262"/>
      <c r="CK101" s="299"/>
      <c r="CN101" s="242"/>
      <c r="CO101" s="262"/>
      <c r="CP101" s="101"/>
      <c r="CQ101" s="101"/>
      <c r="CR101" s="262">
        <f t="shared" si="102"/>
        <v>0</v>
      </c>
      <c r="CS101" s="101"/>
      <c r="CT101" s="101"/>
      <c r="CU101" s="262">
        <f t="shared" si="99"/>
        <v>0</v>
      </c>
      <c r="CW101" s="299"/>
      <c r="CZ101" s="2493"/>
      <c r="DP101" s="2457" t="str">
        <f t="shared" si="100"/>
        <v/>
      </c>
      <c r="DQ101" s="2458"/>
      <c r="DR101" s="2459"/>
      <c r="DS101" s="1599">
        <v>1</v>
      </c>
      <c r="DV101" s="1599" t="str">
        <v>Xbox S-S</v>
      </c>
      <c r="DW101" s="2458"/>
      <c r="DX101" s="2458"/>
      <c r="DY101" s="2459"/>
      <c r="DZ101" s="1599" t="str">
        <f t="shared" si="101"/>
        <v>Xbox S-S</v>
      </c>
      <c r="EA101" s="2458"/>
      <c r="EB101" s="2458"/>
      <c r="EC101" s="2459"/>
      <c r="ED101" s="1599" t="s">
        <v>1568</v>
      </c>
      <c r="EE101" s="2458"/>
      <c r="EF101" s="2458"/>
      <c r="EG101" s="2459"/>
    </row>
    <row r="102" spans="2:144" ht="17.100000000000001" customHeight="1" thickTop="1" thickBot="1" x14ac:dyDescent="0.3">
      <c r="B102" s="1189"/>
      <c r="C102" s="4887"/>
      <c r="D102" s="4888"/>
      <c r="E102" s="4888"/>
      <c r="F102" s="4888"/>
      <c r="G102" s="4888"/>
      <c r="H102" s="4888"/>
      <c r="I102" s="4888"/>
      <c r="J102" s="4888"/>
      <c r="K102" s="4888"/>
      <c r="L102" s="4888"/>
      <c r="M102" s="4888"/>
      <c r="N102" s="4888"/>
      <c r="O102" s="4888"/>
      <c r="P102" s="1185"/>
      <c r="Q102" s="1185"/>
      <c r="R102" s="1185"/>
      <c r="S102" s="1185"/>
      <c r="T102" s="1185"/>
      <c r="U102" s="1185"/>
      <c r="V102" s="1185"/>
      <c r="W102" s="1185"/>
      <c r="X102" s="1185"/>
      <c r="Y102" s="1185"/>
      <c r="Z102" s="1190"/>
      <c r="AB102" s="977">
        <v>5</v>
      </c>
      <c r="AC102" s="4894"/>
      <c r="AD102" s="4895"/>
      <c r="AE102" s="4895"/>
      <c r="AF102" s="4895"/>
      <c r="AG102" s="4895"/>
      <c r="AH102" s="4895"/>
      <c r="AI102" s="4895"/>
      <c r="AJ102" s="4895"/>
      <c r="AK102" s="4895"/>
      <c r="AL102" s="4895"/>
      <c r="AM102" s="4895"/>
      <c r="AN102" s="4895"/>
      <c r="AO102" s="4895"/>
      <c r="AP102" s="4895"/>
      <c r="AQ102" s="4889"/>
      <c r="AR102" s="4889"/>
      <c r="AS102" s="4889"/>
      <c r="AT102" s="4889"/>
      <c r="AU102" s="4889"/>
      <c r="AV102" s="4889"/>
      <c r="AW102" s="4889"/>
      <c r="AX102" s="1130"/>
      <c r="AY102" s="1043"/>
      <c r="AZ102" s="1133"/>
      <c r="BA102" s="2151" cm="1">
        <f t="array" aca="1" ref="BA102" ca="1">_xlfn.IFS(
BB102="",0,
BA103=0,0,
AND($BU$5=1,BU103=$BU$6),1,
AND(BB102=$L$28,$F$28=$F$27),1,
AND(BB102=$L$29,$F$29=$F$27),1,
AND(BB102=$L$30,$F$30=$F$27),1,
AND(BB102=$L$31,$F$31=$F$27),1,
AND(BB102=$L$32,$F$32=$F$27),1,
AND(BB102=$L$33,$F$33=$F$27),1,
AND(BB102=$L$34,$F$34=$F$27),1,
AND(BB102=$L$35,$F$35=$F$27),1,
AND(BB102=$L$36,$F$36=$F$27),1,
TRUE,0)</f>
        <v>0</v>
      </c>
      <c r="BB102" s="4874"/>
      <c r="BC102" s="4542"/>
      <c r="BD102" s="4542"/>
      <c r="BE102" s="4542"/>
      <c r="BF102" s="4542"/>
      <c r="BG102" s="4542"/>
      <c r="BH102" s="4542"/>
      <c r="BI102" s="4542"/>
      <c r="BJ102" s="4542"/>
      <c r="BK102" s="4542"/>
      <c r="BL102" s="4542"/>
      <c r="BM102" s="4551"/>
      <c r="BN102" s="4551"/>
      <c r="BO102" s="4552"/>
      <c r="BP102" s="4881"/>
      <c r="BQ102" s="4882"/>
      <c r="BR102" s="4883"/>
      <c r="BS102" s="959"/>
      <c r="BT102" s="2234"/>
      <c r="BU102" s="1244"/>
      <c r="BV102" s="2244"/>
      <c r="BW102" s="2244"/>
      <c r="BX102" s="2266"/>
      <c r="BY102" s="2237"/>
      <c r="BZ102" s="1038"/>
      <c r="CA102" s="101"/>
      <c r="CC102" s="242"/>
      <c r="CD102" s="262"/>
      <c r="CK102" s="299"/>
      <c r="CN102" s="242"/>
      <c r="CO102" s="262"/>
      <c r="CP102" s="101"/>
      <c r="CQ102" s="101"/>
      <c r="CR102" s="262">
        <f t="shared" si="102"/>
        <v>0</v>
      </c>
      <c r="CS102" s="101"/>
      <c r="CT102" s="101"/>
      <c r="CU102" s="262"/>
      <c r="CW102" s="299"/>
      <c r="CZ102" s="2493"/>
      <c r="DP102" s="2457" t="str">
        <f t="shared" si="100"/>
        <v/>
      </c>
      <c r="DQ102" s="2458"/>
      <c r="DR102" s="2459"/>
      <c r="DS102" s="1599">
        <v>1</v>
      </c>
      <c r="DV102" s="1599" t="str">
        <v>Switch</v>
      </c>
      <c r="DW102" s="2458"/>
      <c r="DX102" s="2458"/>
      <c r="DY102" s="2459"/>
      <c r="DZ102" s="1599" t="str">
        <f t="shared" si="101"/>
        <v>Switch</v>
      </c>
      <c r="EA102" s="2458"/>
      <c r="EB102" s="2458"/>
      <c r="EC102" s="2459"/>
      <c r="ED102" s="1599" t="s">
        <v>690</v>
      </c>
      <c r="EE102" s="2458"/>
      <c r="EF102" s="2458"/>
      <c r="EG102" s="2459"/>
    </row>
    <row r="103" spans="2:144" ht="17.100000000000001" customHeight="1" thickTop="1" thickBot="1" x14ac:dyDescent="0.3">
      <c r="B103" s="1189"/>
      <c r="C103" s="4887"/>
      <c r="D103" s="4888"/>
      <c r="E103" s="4888"/>
      <c r="F103" s="4888"/>
      <c r="G103" s="4888"/>
      <c r="H103" s="4888"/>
      <c r="I103" s="4888"/>
      <c r="J103" s="4888"/>
      <c r="K103" s="4888"/>
      <c r="L103" s="4888"/>
      <c r="M103" s="4888"/>
      <c r="N103" s="4888"/>
      <c r="O103" s="4888"/>
      <c r="P103" s="1185"/>
      <c r="Q103" s="1185"/>
      <c r="R103" s="1185"/>
      <c r="S103" s="1185"/>
      <c r="T103" s="1185"/>
      <c r="U103" s="1185"/>
      <c r="V103" s="1185"/>
      <c r="W103" s="1185"/>
      <c r="X103" s="1185"/>
      <c r="Y103" s="1185"/>
      <c r="Z103" s="1190"/>
      <c r="AB103" s="977">
        <v>6</v>
      </c>
      <c r="AC103" s="4894"/>
      <c r="AD103" s="4895"/>
      <c r="AE103" s="4895"/>
      <c r="AF103" s="4895"/>
      <c r="AG103" s="4895"/>
      <c r="AH103" s="4895"/>
      <c r="AI103" s="4895"/>
      <c r="AJ103" s="4895"/>
      <c r="AK103" s="4895"/>
      <c r="AL103" s="4895"/>
      <c r="AM103" s="4895"/>
      <c r="AN103" s="4895"/>
      <c r="AO103" s="4895"/>
      <c r="AP103" s="4895"/>
      <c r="AQ103" s="4889"/>
      <c r="AR103" s="4889"/>
      <c r="AS103" s="4889"/>
      <c r="AT103" s="4889"/>
      <c r="AU103" s="4889"/>
      <c r="AV103" s="4889"/>
      <c r="AW103" s="4889"/>
      <c r="AX103" s="1130"/>
      <c r="AY103" s="1043"/>
      <c r="AZ103" s="1133"/>
      <c r="BA103" s="2152">
        <f t="shared" si="53"/>
        <v>1</v>
      </c>
      <c r="BB103" s="4540"/>
      <c r="BC103" s="4535"/>
      <c r="BD103" s="4535"/>
      <c r="BE103" s="4535"/>
      <c r="BF103" s="4535"/>
      <c r="BG103" s="4535"/>
      <c r="BH103" s="4535"/>
      <c r="BI103" s="4535"/>
      <c r="BJ103" s="4535"/>
      <c r="BK103" s="4535"/>
      <c r="BL103" s="4564"/>
      <c r="BM103" s="4564"/>
      <c r="BN103" s="4876"/>
      <c r="BO103" s="4877"/>
      <c r="BP103" s="4878"/>
      <c r="BQ103" s="4879"/>
      <c r="BR103" s="4880"/>
      <c r="BS103" s="959"/>
      <c r="BT103" s="2234"/>
      <c r="BU103" s="2239" cm="1">
        <f t="array" ref="BU103">_xlfn.IFS(
BV103="",0,
BV103=$DH$15,1,
BV103=$DH$16,2,
BV103=$DH$17,3,
BV103=$DH$18,4,
BV103=$DH$19,5,
BV103=$DH$20,6,
TRUE,0)</f>
        <v>0</v>
      </c>
      <c r="BV103" s="4873"/>
      <c r="BW103" s="4873"/>
      <c r="BX103" s="4873"/>
      <c r="BY103" s="2237"/>
      <c r="BZ103" s="1038"/>
      <c r="CA103" s="101"/>
      <c r="CC103" s="242"/>
      <c r="CD103" s="262"/>
      <c r="CK103" s="299"/>
      <c r="CN103" s="242"/>
      <c r="CO103" s="262"/>
      <c r="CP103" s="101"/>
      <c r="CQ103" s="101"/>
      <c r="CR103" s="262">
        <f t="shared" si="102"/>
        <v>0</v>
      </c>
      <c r="CS103" s="101"/>
      <c r="CT103" s="101"/>
      <c r="CU103" s="262">
        <f t="shared" si="99"/>
        <v>0</v>
      </c>
      <c r="CW103" s="299"/>
      <c r="CZ103" s="2493"/>
      <c r="DP103" s="2457" t="str">
        <f t="shared" si="100"/>
        <v/>
      </c>
      <c r="DQ103" s="2458"/>
      <c r="DR103" s="2459"/>
      <c r="DS103" s="1599">
        <v>1</v>
      </c>
      <c r="DV103" s="1599" t="str">
        <v>PS4</v>
      </c>
      <c r="DW103" s="2458"/>
      <c r="DX103" s="2458"/>
      <c r="DY103" s="2459"/>
      <c r="DZ103" s="1599" t="str">
        <f t="shared" si="101"/>
        <v>PS4</v>
      </c>
      <c r="EA103" s="2458"/>
      <c r="EB103" s="2458"/>
      <c r="EC103" s="2459"/>
      <c r="ED103" s="1599" t="s">
        <v>1514</v>
      </c>
      <c r="EE103" s="2458"/>
      <c r="EF103" s="2458"/>
      <c r="EG103" s="2459"/>
    </row>
    <row r="104" spans="2:144" ht="17.100000000000001" customHeight="1" thickTop="1" thickBot="1" x14ac:dyDescent="0.3">
      <c r="B104" s="1189"/>
      <c r="C104" s="4887"/>
      <c r="D104" s="4888"/>
      <c r="E104" s="4888"/>
      <c r="F104" s="4888"/>
      <c r="G104" s="4888"/>
      <c r="H104" s="4888"/>
      <c r="I104" s="4888"/>
      <c r="J104" s="4888"/>
      <c r="K104" s="4888"/>
      <c r="L104" s="4888"/>
      <c r="M104" s="4888"/>
      <c r="N104" s="4888"/>
      <c r="O104" s="4888"/>
      <c r="P104" s="1185"/>
      <c r="Q104" s="1185"/>
      <c r="R104" s="1185"/>
      <c r="S104" s="1185"/>
      <c r="T104" s="1185"/>
      <c r="U104" s="1185"/>
      <c r="V104" s="1185"/>
      <c r="W104" s="1185"/>
      <c r="X104" s="1185"/>
      <c r="Y104" s="1185"/>
      <c r="Z104" s="1190"/>
      <c r="AB104" s="977">
        <v>7</v>
      </c>
      <c r="AC104" s="4894"/>
      <c r="AD104" s="4895"/>
      <c r="AE104" s="4895"/>
      <c r="AF104" s="4895"/>
      <c r="AG104" s="4895"/>
      <c r="AH104" s="4895"/>
      <c r="AI104" s="4895"/>
      <c r="AJ104" s="4895"/>
      <c r="AK104" s="4895"/>
      <c r="AL104" s="4895"/>
      <c r="AM104" s="4895"/>
      <c r="AN104" s="4895"/>
      <c r="AO104" s="4895"/>
      <c r="AP104" s="4895"/>
      <c r="AQ104" s="4889"/>
      <c r="AR104" s="4889"/>
      <c r="AS104" s="4889"/>
      <c r="AT104" s="4889"/>
      <c r="AU104" s="4889"/>
      <c r="AV104" s="4889"/>
      <c r="AW104" s="4889"/>
      <c r="AX104" s="1130"/>
      <c r="AY104" s="1043"/>
      <c r="AZ104" s="1133"/>
      <c r="BA104" s="2151" cm="1">
        <f t="array" aca="1" ref="BA104" ca="1">_xlfn.IFS(
BB104="",0,
BA105=0,0,
AND($BU$5=1,BU105=$BU$6),1,
AND(BB104=$L$28,$F$28=$F$27),1,
AND(BB104=$L$29,$F$29=$F$27),1,
AND(BB104=$L$30,$F$30=$F$27),1,
AND(BB104=$L$31,$F$31=$F$27),1,
AND(BB104=$L$32,$F$32=$F$27),1,
AND(BB104=$L$33,$F$33=$F$27),1,
AND(BB104=$L$34,$F$34=$F$27),1,
AND(BB104=$L$35,$F$35=$F$27),1,
AND(BB104=$L$36,$F$36=$F$27),1,
TRUE,0)</f>
        <v>0</v>
      </c>
      <c r="BB104" s="4874"/>
      <c r="BC104" s="4542"/>
      <c r="BD104" s="4542"/>
      <c r="BE104" s="4542"/>
      <c r="BF104" s="4542"/>
      <c r="BG104" s="4542"/>
      <c r="BH104" s="4542"/>
      <c r="BI104" s="4542"/>
      <c r="BJ104" s="4542"/>
      <c r="BK104" s="4542"/>
      <c r="BL104" s="4542"/>
      <c r="BM104" s="4551"/>
      <c r="BN104" s="4551"/>
      <c r="BO104" s="4552"/>
      <c r="BP104" s="4881"/>
      <c r="BQ104" s="4882"/>
      <c r="BR104" s="4883"/>
      <c r="BS104" s="959"/>
      <c r="BT104" s="2234"/>
      <c r="BU104" s="1244"/>
      <c r="BV104" s="2244"/>
      <c r="BW104" s="2244"/>
      <c r="BX104" s="2266"/>
      <c r="BY104" s="2237"/>
      <c r="BZ104" s="1038"/>
      <c r="CA104" s="101"/>
      <c r="CC104" s="242"/>
      <c r="CD104" s="262"/>
      <c r="CK104" s="299"/>
      <c r="CN104" s="242"/>
      <c r="CO104" s="262"/>
      <c r="CP104" s="101"/>
      <c r="CQ104" s="101"/>
      <c r="CR104" s="262">
        <f t="shared" si="102"/>
        <v>0</v>
      </c>
      <c r="CS104" s="101"/>
      <c r="CT104" s="101"/>
      <c r="CU104" s="262"/>
      <c r="CW104" s="299"/>
      <c r="CZ104" s="2493"/>
      <c r="DP104" s="2457" t="str">
        <f t="shared" si="100"/>
        <v/>
      </c>
      <c r="DQ104" s="2458"/>
      <c r="DR104" s="2459"/>
      <c r="DS104" s="1599">
        <v>1</v>
      </c>
      <c r="DV104" s="1599" t="str">
        <v>Wii U</v>
      </c>
      <c r="DW104" s="2458"/>
      <c r="DX104" s="2458"/>
      <c r="DY104" s="2459"/>
      <c r="DZ104" s="1599" t="str">
        <f t="shared" si="101"/>
        <v>Wii U</v>
      </c>
      <c r="EA104" s="2458"/>
      <c r="EB104" s="2458"/>
      <c r="EC104" s="2459"/>
      <c r="ED104" s="1599" t="s">
        <v>1516</v>
      </c>
      <c r="EE104" s="2458"/>
      <c r="EF104" s="2458"/>
      <c r="EG104" s="2459"/>
    </row>
    <row r="105" spans="2:144" ht="17.100000000000001" customHeight="1" thickTop="1" thickBot="1" x14ac:dyDescent="0.3">
      <c r="B105" s="1189"/>
      <c r="C105" s="4887"/>
      <c r="D105" s="4888"/>
      <c r="E105" s="4888"/>
      <c r="F105" s="4888"/>
      <c r="G105" s="4888"/>
      <c r="H105" s="4888"/>
      <c r="I105" s="4888"/>
      <c r="J105" s="4888"/>
      <c r="K105" s="4888"/>
      <c r="L105" s="4888"/>
      <c r="M105" s="4888"/>
      <c r="N105" s="4888"/>
      <c r="O105" s="4888"/>
      <c r="P105" s="1185"/>
      <c r="Q105" s="1185"/>
      <c r="R105" s="1185"/>
      <c r="S105" s="1185"/>
      <c r="T105" s="1185"/>
      <c r="U105" s="1185"/>
      <c r="V105" s="1185"/>
      <c r="W105" s="1185"/>
      <c r="X105" s="1185"/>
      <c r="Y105" s="1185"/>
      <c r="Z105" s="1190"/>
      <c r="AB105" s="977">
        <v>8</v>
      </c>
      <c r="AC105" s="4894"/>
      <c r="AD105" s="4895"/>
      <c r="AE105" s="4895"/>
      <c r="AF105" s="4895"/>
      <c r="AG105" s="4895"/>
      <c r="AH105" s="4895"/>
      <c r="AI105" s="4895"/>
      <c r="AJ105" s="4895"/>
      <c r="AK105" s="4895"/>
      <c r="AL105" s="4895"/>
      <c r="AM105" s="4895"/>
      <c r="AN105" s="4895"/>
      <c r="AO105" s="4895"/>
      <c r="AP105" s="4895"/>
      <c r="AQ105" s="4889"/>
      <c r="AR105" s="4889"/>
      <c r="AS105" s="4889"/>
      <c r="AT105" s="4889"/>
      <c r="AU105" s="4889"/>
      <c r="AV105" s="4889"/>
      <c r="AW105" s="4889"/>
      <c r="AX105" s="1130"/>
      <c r="AY105" s="1043"/>
      <c r="AZ105" s="1133"/>
      <c r="BA105" s="2152">
        <f t="shared" si="53"/>
        <v>1</v>
      </c>
      <c r="BB105" s="4540"/>
      <c r="BC105" s="4535"/>
      <c r="BD105" s="4535"/>
      <c r="BE105" s="4535"/>
      <c r="BF105" s="4535"/>
      <c r="BG105" s="4535"/>
      <c r="BH105" s="4535"/>
      <c r="BI105" s="4535"/>
      <c r="BJ105" s="4535"/>
      <c r="BK105" s="4535"/>
      <c r="BL105" s="4564"/>
      <c r="BM105" s="4564"/>
      <c r="BN105" s="4876"/>
      <c r="BO105" s="4877"/>
      <c r="BP105" s="4878"/>
      <c r="BQ105" s="4879"/>
      <c r="BR105" s="4880"/>
      <c r="BS105" s="959"/>
      <c r="BT105" s="2234"/>
      <c r="BU105" s="2239" cm="1">
        <f t="array" ref="BU105">_xlfn.IFS(
BV105="",0,
BV105=$DH$15,1,
BV105=$DH$16,2,
BV105=$DH$17,3,
BV105=$DH$18,4,
BV105=$DH$19,5,
BV105=$DH$20,6,
TRUE,0)</f>
        <v>0</v>
      </c>
      <c r="BV105" s="4873"/>
      <c r="BW105" s="4873"/>
      <c r="BX105" s="4873"/>
      <c r="BY105" s="2237"/>
      <c r="BZ105" s="1038"/>
      <c r="CA105" s="101"/>
      <c r="CC105" s="242"/>
      <c r="CD105" s="262"/>
      <c r="CK105" s="299"/>
      <c r="CN105" s="242"/>
      <c r="CO105" s="262"/>
      <c r="CP105" s="101"/>
      <c r="CQ105" s="101"/>
      <c r="CR105" s="262">
        <f t="shared" si="102"/>
        <v>0</v>
      </c>
      <c r="CS105" s="101"/>
      <c r="CT105" s="101"/>
      <c r="CU105" s="262">
        <f t="shared" si="99"/>
        <v>0</v>
      </c>
      <c r="CW105" s="299"/>
      <c r="CZ105" s="2493"/>
      <c r="DP105" s="2457" t="str">
        <f t="shared" si="100"/>
        <v/>
      </c>
      <c r="DQ105" s="2458"/>
      <c r="DR105" s="2459"/>
      <c r="DS105" s="1599">
        <v>1</v>
      </c>
      <c r="DV105" s="1599" t="str">
        <v>Wii</v>
      </c>
      <c r="DW105" s="2458"/>
      <c r="DX105" s="2458"/>
      <c r="DY105" s="2459"/>
      <c r="DZ105" s="1599" t="str">
        <f t="shared" si="101"/>
        <v>Wii</v>
      </c>
      <c r="EA105" s="2458"/>
      <c r="EB105" s="2458"/>
      <c r="EC105" s="2459"/>
      <c r="ED105" s="1599" t="s">
        <v>1517</v>
      </c>
      <c r="EE105" s="2458"/>
      <c r="EF105" s="2458"/>
      <c r="EG105" s="2459"/>
    </row>
    <row r="106" spans="2:144" ht="17.100000000000001" customHeight="1" thickTop="1" thickBot="1" x14ac:dyDescent="0.3">
      <c r="B106" s="1189"/>
      <c r="C106" s="4887"/>
      <c r="D106" s="4888"/>
      <c r="E106" s="4888"/>
      <c r="F106" s="4888"/>
      <c r="G106" s="4888"/>
      <c r="H106" s="4888"/>
      <c r="I106" s="4888"/>
      <c r="J106" s="4888"/>
      <c r="K106" s="4888"/>
      <c r="L106" s="4888"/>
      <c r="M106" s="4888"/>
      <c r="N106" s="4888"/>
      <c r="O106" s="4888"/>
      <c r="P106" s="1185"/>
      <c r="Q106" s="1185"/>
      <c r="R106" s="1185"/>
      <c r="S106" s="1185"/>
      <c r="T106" s="1185"/>
      <c r="U106" s="1185"/>
      <c r="V106" s="1185"/>
      <c r="W106" s="1185"/>
      <c r="X106" s="1185"/>
      <c r="Y106" s="1185"/>
      <c r="Z106" s="1190"/>
      <c r="AB106" s="977">
        <v>9</v>
      </c>
      <c r="AC106" s="4894"/>
      <c r="AD106" s="4895"/>
      <c r="AE106" s="4895"/>
      <c r="AF106" s="4895"/>
      <c r="AG106" s="4895"/>
      <c r="AH106" s="4895"/>
      <c r="AI106" s="4895"/>
      <c r="AJ106" s="4895"/>
      <c r="AK106" s="4895"/>
      <c r="AL106" s="4895"/>
      <c r="AM106" s="4895"/>
      <c r="AN106" s="4895"/>
      <c r="AO106" s="4895"/>
      <c r="AP106" s="4895"/>
      <c r="AQ106" s="4889"/>
      <c r="AR106" s="4889"/>
      <c r="AS106" s="4889"/>
      <c r="AT106" s="4889"/>
      <c r="AU106" s="4889"/>
      <c r="AV106" s="4889"/>
      <c r="AW106" s="4889"/>
      <c r="AX106" s="1130"/>
      <c r="AY106" s="1043"/>
      <c r="AZ106" s="1133"/>
      <c r="BA106" s="2151" cm="1">
        <f t="array" aca="1" ref="BA106" ca="1">_xlfn.IFS(
BB106="",0,
BA107=0,0,
AND($BU$5=1,BU107=$BU$6),1,
AND(BB106=$L$28,$F$28=$F$27),1,
AND(BB106=$L$29,$F$29=$F$27),1,
AND(BB106=$L$30,$F$30=$F$27),1,
AND(BB106=$L$31,$F$31=$F$27),1,
AND(BB106=$L$32,$F$32=$F$27),1,
AND(BB106=$L$33,$F$33=$F$27),1,
AND(BB106=$L$34,$F$34=$F$27),1,
AND(BB106=$L$35,$F$35=$F$27),1,
AND(BB106=$L$36,$F$36=$F$27),1,
TRUE,0)</f>
        <v>0</v>
      </c>
      <c r="BB106" s="4874"/>
      <c r="BC106" s="4542"/>
      <c r="BD106" s="4542"/>
      <c r="BE106" s="4542"/>
      <c r="BF106" s="4542"/>
      <c r="BG106" s="4542"/>
      <c r="BH106" s="4542"/>
      <c r="BI106" s="4542"/>
      <c r="BJ106" s="4542"/>
      <c r="BK106" s="4542"/>
      <c r="BL106" s="4542"/>
      <c r="BM106" s="4551"/>
      <c r="BN106" s="4551"/>
      <c r="BO106" s="4552"/>
      <c r="BP106" s="4881"/>
      <c r="BQ106" s="4882"/>
      <c r="BR106" s="4883"/>
      <c r="BS106" s="959"/>
      <c r="BT106" s="2234"/>
      <c r="BU106" s="1244"/>
      <c r="BV106" s="2244"/>
      <c r="BW106" s="2244"/>
      <c r="BX106" s="2266"/>
      <c r="BY106" s="2237"/>
      <c r="BZ106" s="1038"/>
      <c r="CA106" s="101"/>
      <c r="CC106" s="242"/>
      <c r="CD106" s="262"/>
      <c r="CK106" s="299"/>
      <c r="CN106" s="242"/>
      <c r="CO106" s="262"/>
      <c r="CP106" s="101"/>
      <c r="CQ106" s="101"/>
      <c r="CR106" s="262">
        <f t="shared" si="102"/>
        <v>0</v>
      </c>
      <c r="CS106" s="101"/>
      <c r="CT106" s="101"/>
      <c r="CU106" s="262"/>
      <c r="CW106" s="299"/>
      <c r="CZ106" s="2493"/>
      <c r="DP106" s="2457" t="str">
        <f t="shared" si="100"/>
        <v/>
      </c>
      <c r="DQ106" s="2458"/>
      <c r="DR106" s="2459"/>
      <c r="DS106" s="1599">
        <v>1</v>
      </c>
      <c r="DV106" s="1599" t="str">
        <v>PS3</v>
      </c>
      <c r="DW106" s="2458"/>
      <c r="DX106" s="2458"/>
      <c r="DY106" s="2459"/>
      <c r="DZ106" s="1599" t="str">
        <f t="shared" si="101"/>
        <v>PS3</v>
      </c>
      <c r="EA106" s="2458"/>
      <c r="EB106" s="2458"/>
      <c r="EC106" s="2459"/>
      <c r="ED106" s="1599" t="s">
        <v>1518</v>
      </c>
      <c r="EE106" s="2458"/>
      <c r="EF106" s="2458"/>
      <c r="EG106" s="2459"/>
    </row>
    <row r="107" spans="2:144" ht="17.100000000000001" customHeight="1" thickTop="1" thickBot="1" x14ac:dyDescent="0.3">
      <c r="B107" s="1189"/>
      <c r="C107" s="4887"/>
      <c r="D107" s="4888"/>
      <c r="E107" s="4888"/>
      <c r="F107" s="4888"/>
      <c r="G107" s="4888"/>
      <c r="H107" s="4888"/>
      <c r="I107" s="4888"/>
      <c r="J107" s="4888"/>
      <c r="K107" s="4888"/>
      <c r="L107" s="4888"/>
      <c r="M107" s="4888"/>
      <c r="N107" s="4888"/>
      <c r="O107" s="4888"/>
      <c r="P107" s="1185"/>
      <c r="Q107" s="1185"/>
      <c r="R107" s="1185"/>
      <c r="S107" s="1185"/>
      <c r="T107" s="1185"/>
      <c r="U107" s="1185"/>
      <c r="V107" s="1185"/>
      <c r="W107" s="1185"/>
      <c r="X107" s="1185"/>
      <c r="Y107" s="1185"/>
      <c r="Z107" s="1190"/>
      <c r="AB107" s="977">
        <v>10</v>
      </c>
      <c r="AC107" s="4894"/>
      <c r="AD107" s="4895"/>
      <c r="AE107" s="4895"/>
      <c r="AF107" s="4895"/>
      <c r="AG107" s="4895"/>
      <c r="AH107" s="4895"/>
      <c r="AI107" s="4895"/>
      <c r="AJ107" s="4895"/>
      <c r="AK107" s="4895"/>
      <c r="AL107" s="4895"/>
      <c r="AM107" s="4895"/>
      <c r="AN107" s="4895"/>
      <c r="AO107" s="4895"/>
      <c r="AP107" s="4895"/>
      <c r="AQ107" s="4889"/>
      <c r="AR107" s="4889"/>
      <c r="AS107" s="4889"/>
      <c r="AT107" s="4889"/>
      <c r="AU107" s="4889"/>
      <c r="AV107" s="4889"/>
      <c r="AW107" s="4889"/>
      <c r="AX107" s="1130"/>
      <c r="AY107" s="1043"/>
      <c r="AZ107" s="1133"/>
      <c r="BA107" s="2152">
        <f t="shared" si="53"/>
        <v>1</v>
      </c>
      <c r="BB107" s="4540"/>
      <c r="BC107" s="4535"/>
      <c r="BD107" s="4535"/>
      <c r="BE107" s="4535"/>
      <c r="BF107" s="4535"/>
      <c r="BG107" s="4535"/>
      <c r="BH107" s="4535"/>
      <c r="BI107" s="4535"/>
      <c r="BJ107" s="4535"/>
      <c r="BK107" s="4535"/>
      <c r="BL107" s="4564"/>
      <c r="BM107" s="4564"/>
      <c r="BN107" s="4876"/>
      <c r="BO107" s="4877"/>
      <c r="BP107" s="4878"/>
      <c r="BQ107" s="4879"/>
      <c r="BR107" s="4880"/>
      <c r="BS107" s="959"/>
      <c r="BT107" s="2234"/>
      <c r="BU107" s="2239" cm="1">
        <f t="array" ref="BU107">_xlfn.IFS(
BV107="",0,
BV107=$DH$15,1,
BV107=$DH$16,2,
BV107=$DH$17,3,
BV107=$DH$18,4,
BV107=$DH$19,5,
BV107=$DH$20,6,
TRUE,0)</f>
        <v>0</v>
      </c>
      <c r="BV107" s="4873"/>
      <c r="BW107" s="4873"/>
      <c r="BX107" s="4873"/>
      <c r="BY107" s="2237"/>
      <c r="BZ107" s="1038"/>
      <c r="CA107" s="101"/>
      <c r="CC107" s="242"/>
      <c r="CD107" s="262"/>
      <c r="CK107" s="299"/>
      <c r="CN107" s="242"/>
      <c r="CO107" s="262"/>
      <c r="CP107" s="101"/>
      <c r="CQ107" s="101"/>
      <c r="CR107" s="262">
        <f t="shared" si="102"/>
        <v>0</v>
      </c>
      <c r="CS107" s="101"/>
      <c r="CT107" s="101"/>
      <c r="CU107" s="262">
        <f t="shared" si="99"/>
        <v>0</v>
      </c>
      <c r="CW107" s="299"/>
      <c r="CZ107" s="2493"/>
      <c r="DP107" s="2460" t="str">
        <f t="shared" si="100"/>
        <v/>
      </c>
      <c r="DQ107" s="2461"/>
      <c r="DR107" s="2462"/>
      <c r="DS107" s="1599">
        <v>1</v>
      </c>
      <c r="DV107" s="1599" t="str">
        <v>Xbox 360</v>
      </c>
      <c r="DW107" s="2458"/>
      <c r="DX107" s="2458"/>
      <c r="DY107" s="2459"/>
      <c r="DZ107" s="1599" t="str">
        <f t="shared" si="101"/>
        <v>Xbox 360</v>
      </c>
      <c r="EA107" s="2458"/>
      <c r="EB107" s="2458"/>
      <c r="EC107" s="2459"/>
      <c r="ED107" s="1599" t="s">
        <v>1519</v>
      </c>
      <c r="EE107" s="2458"/>
      <c r="EF107" s="2458"/>
      <c r="EG107" s="2459"/>
    </row>
    <row r="108" spans="2:144" ht="17.100000000000001" customHeight="1" thickTop="1" thickBot="1" x14ac:dyDescent="0.3">
      <c r="B108" s="1189"/>
      <c r="C108" s="1185"/>
      <c r="D108" s="1185"/>
      <c r="E108" s="1185"/>
      <c r="F108" s="1185"/>
      <c r="G108" s="1185"/>
      <c r="H108" s="1185"/>
      <c r="I108" s="1185"/>
      <c r="J108" s="1185"/>
      <c r="K108" s="1185"/>
      <c r="L108" s="1185"/>
      <c r="M108" s="1185"/>
      <c r="N108" s="1185"/>
      <c r="O108" s="1185"/>
      <c r="P108" s="1185"/>
      <c r="Q108" s="1185"/>
      <c r="R108" s="1185"/>
      <c r="S108" s="1185"/>
      <c r="T108" s="1185"/>
      <c r="U108" s="1185"/>
      <c r="V108" s="1185"/>
      <c r="W108" s="1185"/>
      <c r="X108" s="1185"/>
      <c r="Y108" s="1185"/>
      <c r="Z108" s="1190"/>
      <c r="AB108" s="977">
        <v>11</v>
      </c>
      <c r="AC108" s="4894"/>
      <c r="AD108" s="4895"/>
      <c r="AE108" s="4895"/>
      <c r="AF108" s="4895"/>
      <c r="AG108" s="4895"/>
      <c r="AH108" s="4895"/>
      <c r="AI108" s="4895"/>
      <c r="AJ108" s="4895"/>
      <c r="AK108" s="4895"/>
      <c r="AL108" s="4895"/>
      <c r="AM108" s="4895"/>
      <c r="AN108" s="4895"/>
      <c r="AO108" s="4895"/>
      <c r="AP108" s="4895"/>
      <c r="AQ108" s="4889"/>
      <c r="AR108" s="4889"/>
      <c r="AS108" s="4889"/>
      <c r="AT108" s="4889"/>
      <c r="AU108" s="4889"/>
      <c r="AV108" s="4889"/>
      <c r="AW108" s="4889"/>
      <c r="AX108" s="1130"/>
      <c r="AY108" s="1043"/>
      <c r="AZ108" s="1133"/>
      <c r="BA108" s="2151" cm="1">
        <f t="array" aca="1" ref="BA108" ca="1">_xlfn.IFS(
BB108="",0,
BA109=0,0,
AND($BU$5=1,BU109=$BU$6),1,
AND(BB108=$L$28,$F$28=$F$27),1,
AND(BB108=$L$29,$F$29=$F$27),1,
AND(BB108=$L$30,$F$30=$F$27),1,
AND(BB108=$L$31,$F$31=$F$27),1,
AND(BB108=$L$32,$F$32=$F$27),1,
AND(BB108=$L$33,$F$33=$F$27),1,
AND(BB108=$L$34,$F$34=$F$27),1,
AND(BB108=$L$35,$F$35=$F$27),1,
AND(BB108=$L$36,$F$36=$F$27),1,
TRUE,0)</f>
        <v>0</v>
      </c>
      <c r="BB108" s="4874"/>
      <c r="BC108" s="4542"/>
      <c r="BD108" s="4542"/>
      <c r="BE108" s="4542"/>
      <c r="BF108" s="4542"/>
      <c r="BG108" s="4542"/>
      <c r="BH108" s="4542"/>
      <c r="BI108" s="4542"/>
      <c r="BJ108" s="4542"/>
      <c r="BK108" s="4542"/>
      <c r="BL108" s="4542"/>
      <c r="BM108" s="4551"/>
      <c r="BN108" s="4551"/>
      <c r="BO108" s="4552"/>
      <c r="BP108" s="4881"/>
      <c r="BQ108" s="4882"/>
      <c r="BR108" s="4883"/>
      <c r="BS108" s="959"/>
      <c r="BT108" s="2234"/>
      <c r="BU108" s="1244"/>
      <c r="BV108" s="2244"/>
      <c r="BW108" s="2244"/>
      <c r="BX108" s="2266"/>
      <c r="BY108" s="2237"/>
      <c r="BZ108" s="1038"/>
      <c r="CA108" s="101"/>
      <c r="CC108" s="242"/>
      <c r="CD108" s="262"/>
      <c r="CK108" s="299"/>
      <c r="CN108" s="242"/>
      <c r="CO108" s="262"/>
      <c r="CP108" s="101"/>
      <c r="CQ108" s="101"/>
      <c r="CR108" s="262">
        <f t="shared" si="102"/>
        <v>0</v>
      </c>
      <c r="CS108" s="101"/>
      <c r="CT108" s="101"/>
      <c r="CU108" s="262"/>
      <c r="CW108" s="299"/>
      <c r="CZ108" s="2493"/>
      <c r="DV108" s="1599" t="str">
        <v>Xbox</v>
      </c>
      <c r="DW108" s="2458"/>
      <c r="DX108" s="2458"/>
      <c r="DY108" s="2459"/>
      <c r="DZ108" s="1599" t="str">
        <f t="shared" si="101"/>
        <v>Xbox</v>
      </c>
      <c r="EA108" s="2458"/>
      <c r="EB108" s="2458"/>
      <c r="EC108" s="2459"/>
      <c r="ED108" s="1599" t="s">
        <v>813</v>
      </c>
      <c r="EE108" s="2458"/>
      <c r="EF108" s="2458"/>
      <c r="EG108" s="2459"/>
    </row>
    <row r="109" spans="2:144" ht="17.100000000000001" customHeight="1" thickTop="1" thickBot="1" x14ac:dyDescent="0.25">
      <c r="AB109" s="977">
        <v>12</v>
      </c>
      <c r="AC109" s="4898"/>
      <c r="AD109" s="4899"/>
      <c r="AE109" s="4899"/>
      <c r="AF109" s="4899"/>
      <c r="AG109" s="4899"/>
      <c r="AH109" s="4899"/>
      <c r="AI109" s="4899"/>
      <c r="AJ109" s="4899"/>
      <c r="AK109" s="4899"/>
      <c r="AL109" s="4899"/>
      <c r="AM109" s="4899"/>
      <c r="AN109" s="4899"/>
      <c r="AO109" s="4899"/>
      <c r="AP109" s="4899"/>
      <c r="AQ109" s="4889"/>
      <c r="AR109" s="4889"/>
      <c r="AS109" s="4889"/>
      <c r="AT109" s="4889"/>
      <c r="AU109" s="4889"/>
      <c r="AV109" s="4889"/>
      <c r="AW109" s="4889"/>
      <c r="AX109" s="1130"/>
      <c r="AY109" s="1043"/>
      <c r="AZ109" s="1133"/>
      <c r="BA109" s="2152">
        <f t="shared" si="53"/>
        <v>1</v>
      </c>
      <c r="BB109" s="4540"/>
      <c r="BC109" s="4535"/>
      <c r="BD109" s="4535"/>
      <c r="BE109" s="4535"/>
      <c r="BF109" s="4535"/>
      <c r="BG109" s="4535"/>
      <c r="BH109" s="4535"/>
      <c r="BI109" s="4535"/>
      <c r="BJ109" s="4535"/>
      <c r="BK109" s="4535"/>
      <c r="BL109" s="4564"/>
      <c r="BM109" s="4564"/>
      <c r="BN109" s="4876"/>
      <c r="BO109" s="4877"/>
      <c r="BP109" s="4878"/>
      <c r="BQ109" s="4879"/>
      <c r="BR109" s="4880"/>
      <c r="BS109" s="959"/>
      <c r="BT109" s="2234"/>
      <c r="BU109" s="2239" cm="1">
        <f t="array" ref="BU109">_xlfn.IFS(
BV109="",0,
BV109=$DH$15,1,
BV109=$DH$16,2,
BV109=$DH$17,3,
BV109=$DH$18,4,
BV109=$DH$19,5,
BV109=$DH$20,6,
TRUE,0)</f>
        <v>0</v>
      </c>
      <c r="BV109" s="4873"/>
      <c r="BW109" s="4873"/>
      <c r="BX109" s="4873"/>
      <c r="BY109" s="2237"/>
      <c r="BZ109" s="1038"/>
      <c r="CA109" s="101"/>
      <c r="CC109" s="242"/>
      <c r="CD109" s="262"/>
      <c r="CK109" s="299"/>
      <c r="CN109" s="242"/>
      <c r="CO109" s="262"/>
      <c r="CP109" s="101"/>
      <c r="CQ109" s="101"/>
      <c r="CR109" s="262">
        <f t="shared" si="102"/>
        <v>0</v>
      </c>
      <c r="CS109" s="101"/>
      <c r="CT109" s="101"/>
      <c r="CU109" s="262">
        <f t="shared" si="99"/>
        <v>0</v>
      </c>
      <c r="CW109" s="299"/>
      <c r="CZ109" s="2493"/>
      <c r="DV109" s="1599" t="str">
        <v>GameCube</v>
      </c>
      <c r="DW109" s="2458"/>
      <c r="DX109" s="2458"/>
      <c r="DY109" s="2459"/>
      <c r="DZ109" s="1599" t="str">
        <f t="shared" si="101"/>
        <v>GameCube</v>
      </c>
      <c r="EA109" s="2458"/>
      <c r="EB109" s="2458"/>
      <c r="EC109" s="2459"/>
      <c r="ED109" s="1599" t="s">
        <v>1520</v>
      </c>
      <c r="EE109" s="2458"/>
      <c r="EF109" s="2458"/>
      <c r="EG109" s="2459"/>
    </row>
    <row r="110" spans="2:144" ht="17.100000000000001" customHeight="1" thickTop="1" thickBot="1" x14ac:dyDescent="0.3">
      <c r="B110" s="1189"/>
      <c r="C110" s="978" t="s">
        <v>1713</v>
      </c>
      <c r="D110" s="979"/>
      <c r="E110" s="979"/>
      <c r="F110" s="979"/>
      <c r="G110" s="979"/>
      <c r="H110" s="979"/>
      <c r="I110" s="979"/>
      <c r="J110" s="979"/>
      <c r="K110" s="979"/>
      <c r="L110" s="979"/>
      <c r="M110" s="979"/>
      <c r="N110" s="979"/>
      <c r="O110" s="979"/>
      <c r="P110" s="1185"/>
      <c r="Q110" s="1185"/>
      <c r="R110" s="1185"/>
      <c r="S110" s="1185"/>
      <c r="T110" s="1185"/>
      <c r="U110" s="1185"/>
      <c r="V110" s="1185"/>
      <c r="W110" s="1185"/>
      <c r="X110" s="1185"/>
      <c r="Y110" s="1185"/>
      <c r="Z110" s="1190"/>
      <c r="AB110" s="977">
        <v>1</v>
      </c>
      <c r="AC110" s="4924"/>
      <c r="AD110" s="4925"/>
      <c r="AE110" s="4925"/>
      <c r="AF110" s="4925"/>
      <c r="AG110" s="4925"/>
      <c r="AH110" s="4925"/>
      <c r="AI110" s="4925"/>
      <c r="AJ110" s="4925"/>
      <c r="AK110" s="4925"/>
      <c r="AL110" s="4925"/>
      <c r="AM110" s="4925"/>
      <c r="AN110" s="4925"/>
      <c r="AO110" s="4925"/>
      <c r="AP110" s="4925"/>
      <c r="AQ110" s="4889"/>
      <c r="AR110" s="4889"/>
      <c r="AS110" s="4889"/>
      <c r="AT110" s="4889"/>
      <c r="AU110" s="4889"/>
      <c r="AV110" s="4889"/>
      <c r="AW110" s="4889"/>
      <c r="AX110" s="1130"/>
      <c r="AY110" s="1043"/>
      <c r="AZ110" s="1133"/>
      <c r="BA110" s="2151" cm="1">
        <f t="array" aca="1" ref="BA110" ca="1">_xlfn.IFS(
BB110="",0,
BA111=0,0,
AND($BU$5=1,BU111=$BU$6),1,
AND(BB110=$L$28,$F$28=$F$27),1,
AND(BB110=$L$29,$F$29=$F$27),1,
AND(BB110=$L$30,$F$30=$F$27),1,
AND(BB110=$L$31,$F$31=$F$27),1,
AND(BB110=$L$32,$F$32=$F$27),1,
AND(BB110=$L$33,$F$33=$F$27),1,
AND(BB110=$L$34,$F$34=$F$27),1,
AND(BB110=$L$35,$F$35=$F$27),1,
AND(BB110=$L$36,$F$36=$F$27),1,
TRUE,0)</f>
        <v>0</v>
      </c>
      <c r="BB110" s="4874"/>
      <c r="BC110" s="4542"/>
      <c r="BD110" s="4542"/>
      <c r="BE110" s="4542"/>
      <c r="BF110" s="4542"/>
      <c r="BG110" s="4542"/>
      <c r="BH110" s="4542"/>
      <c r="BI110" s="4542"/>
      <c r="BJ110" s="4542"/>
      <c r="BK110" s="4542"/>
      <c r="BL110" s="4542"/>
      <c r="BM110" s="4551"/>
      <c r="BN110" s="4551"/>
      <c r="BO110" s="4552"/>
      <c r="BP110" s="4881"/>
      <c r="BQ110" s="4882"/>
      <c r="BR110" s="4883"/>
      <c r="BS110" s="959"/>
      <c r="BT110" s="2234"/>
      <c r="BU110" s="1244"/>
      <c r="BV110" s="2244"/>
      <c r="BW110" s="2244"/>
      <c r="BX110" s="2266"/>
      <c r="BY110" s="2237"/>
      <c r="BZ110" s="1038"/>
      <c r="CA110" s="101"/>
      <c r="CC110" s="242"/>
      <c r="CD110" s="262"/>
      <c r="CK110" s="299"/>
      <c r="CN110" s="242"/>
      <c r="CO110" s="262"/>
      <c r="CP110" s="101"/>
      <c r="CQ110" s="101"/>
      <c r="CR110" s="262">
        <f t="shared" si="102"/>
        <v>0</v>
      </c>
      <c r="CS110" s="101"/>
      <c r="CT110" s="101"/>
      <c r="CU110" s="262"/>
      <c r="CW110" s="299"/>
      <c r="CZ110" s="2493"/>
      <c r="DL110" s="377" t="s">
        <v>1594</v>
      </c>
      <c r="DV110" s="1599" t="str">
        <v>PS2</v>
      </c>
      <c r="DW110" s="2458"/>
      <c r="DX110" s="2458"/>
      <c r="DY110" s="2459"/>
      <c r="DZ110" s="1599" t="str">
        <f t="shared" si="101"/>
        <v>PS2</v>
      </c>
      <c r="EA110" s="2458"/>
      <c r="EB110" s="2458"/>
      <c r="EC110" s="2459"/>
      <c r="ED110" s="1599" t="s">
        <v>1521</v>
      </c>
      <c r="EE110" s="2458"/>
      <c r="EF110" s="2458"/>
      <c r="EG110" s="2459"/>
    </row>
    <row r="111" spans="2:144" ht="17.100000000000001" customHeight="1" thickTop="1" thickBot="1" x14ac:dyDescent="0.3">
      <c r="B111" s="1189"/>
      <c r="C111" s="2749" t="s">
        <v>1592</v>
      </c>
      <c r="D111" s="989"/>
      <c r="E111" s="989"/>
      <c r="F111" s="989"/>
      <c r="G111" s="989"/>
      <c r="H111" s="989"/>
      <c r="I111" s="989"/>
      <c r="J111" s="989"/>
      <c r="K111" s="989"/>
      <c r="L111" s="989"/>
      <c r="M111" s="989"/>
      <c r="N111" s="989"/>
      <c r="O111" s="989"/>
      <c r="P111" s="1185"/>
      <c r="Q111" s="1185"/>
      <c r="R111" s="1185"/>
      <c r="S111" s="1185"/>
      <c r="T111" s="1185"/>
      <c r="U111" s="1185"/>
      <c r="V111" s="1185"/>
      <c r="W111" s="1185"/>
      <c r="X111" s="1185"/>
      <c r="Y111" s="1185"/>
      <c r="Z111" s="1190"/>
      <c r="AB111" s="977">
        <v>2</v>
      </c>
      <c r="AC111" s="4894"/>
      <c r="AD111" s="4895"/>
      <c r="AE111" s="4895"/>
      <c r="AF111" s="4895"/>
      <c r="AG111" s="4895"/>
      <c r="AH111" s="4895"/>
      <c r="AI111" s="4895"/>
      <c r="AJ111" s="4895"/>
      <c r="AK111" s="4895"/>
      <c r="AL111" s="4895"/>
      <c r="AM111" s="4895"/>
      <c r="AN111" s="4895"/>
      <c r="AO111" s="4895"/>
      <c r="AP111" s="4895"/>
      <c r="AQ111" s="4889"/>
      <c r="AR111" s="4889"/>
      <c r="AS111" s="4889"/>
      <c r="AT111" s="4889"/>
      <c r="AU111" s="4889"/>
      <c r="AV111" s="4889"/>
      <c r="AW111" s="4889"/>
      <c r="AX111" s="1130"/>
      <c r="AY111" s="1043"/>
      <c r="AZ111" s="1133"/>
      <c r="BA111" s="2152">
        <f t="shared" si="53"/>
        <v>1</v>
      </c>
      <c r="BB111" s="4540"/>
      <c r="BC111" s="4535"/>
      <c r="BD111" s="4535"/>
      <c r="BE111" s="4535"/>
      <c r="BF111" s="4535"/>
      <c r="BG111" s="4535"/>
      <c r="BH111" s="4535"/>
      <c r="BI111" s="4535"/>
      <c r="BJ111" s="4535"/>
      <c r="BK111" s="4535"/>
      <c r="BL111" s="4564"/>
      <c r="BM111" s="4564"/>
      <c r="BN111" s="4876"/>
      <c r="BO111" s="4877"/>
      <c r="BP111" s="4878"/>
      <c r="BQ111" s="4879"/>
      <c r="BR111" s="4880"/>
      <c r="BS111" s="959"/>
      <c r="BT111" s="2234"/>
      <c r="BU111" s="2239" cm="1">
        <f t="array" ref="BU111">_xlfn.IFS(
BV111="",0,
BV111=$DH$15,1,
BV111=$DH$16,2,
BV111=$DH$17,3,
BV111=$DH$18,4,
BV111=$DH$19,5,
BV111=$DH$20,6,
TRUE,0)</f>
        <v>0</v>
      </c>
      <c r="BV111" s="4873"/>
      <c r="BW111" s="4873"/>
      <c r="BX111" s="4873"/>
      <c r="BY111" s="2237"/>
      <c r="BZ111" s="1038"/>
      <c r="CA111" s="101"/>
      <c r="CC111" s="242"/>
      <c r="CD111" s="262"/>
      <c r="CK111" s="299"/>
      <c r="CN111" s="242"/>
      <c r="CO111" s="262"/>
      <c r="CP111" s="101"/>
      <c r="CQ111" s="101"/>
      <c r="CR111" s="262">
        <f t="shared" si="102"/>
        <v>0</v>
      </c>
      <c r="CS111" s="101"/>
      <c r="CT111" s="101"/>
      <c r="CU111" s="262">
        <f t="shared" si="99"/>
        <v>0</v>
      </c>
      <c r="CW111" s="299"/>
      <c r="CZ111" s="2493"/>
      <c r="DL111" s="2463"/>
      <c r="DM111" s="2455"/>
      <c r="DN111" s="2455"/>
      <c r="DO111" s="2456"/>
      <c r="DP111" s="2503"/>
      <c r="DQ111" s="2455"/>
      <c r="DR111" s="2455"/>
      <c r="DS111" s="2456"/>
      <c r="DV111" s="1599" t="str">
        <v>Dreamcast</v>
      </c>
      <c r="DW111" s="2458"/>
      <c r="DX111" s="2458"/>
      <c r="DY111" s="2459"/>
      <c r="DZ111" s="1599" t="str">
        <f t="shared" si="101"/>
        <v>Dreamcast</v>
      </c>
      <c r="EA111" s="2458"/>
      <c r="EB111" s="2458"/>
      <c r="EC111" s="2459"/>
      <c r="ED111" s="1599" t="s">
        <v>1522</v>
      </c>
      <c r="EE111" s="2458"/>
      <c r="EF111" s="2458"/>
      <c r="EG111" s="2459"/>
    </row>
    <row r="112" spans="2:144" ht="17.100000000000001" customHeight="1" thickTop="1" thickBot="1" x14ac:dyDescent="0.3">
      <c r="B112" s="1189"/>
      <c r="C112" s="4887"/>
      <c r="D112" s="4888"/>
      <c r="E112" s="4888"/>
      <c r="F112" s="4888"/>
      <c r="G112" s="4888"/>
      <c r="H112" s="4888"/>
      <c r="I112" s="4888"/>
      <c r="J112" s="4888"/>
      <c r="K112" s="4888"/>
      <c r="L112" s="4888"/>
      <c r="M112" s="4888"/>
      <c r="N112" s="4888"/>
      <c r="O112" s="4888"/>
      <c r="P112" s="1185"/>
      <c r="Q112" s="1185"/>
      <c r="R112" s="1185"/>
      <c r="S112" s="1185"/>
      <c r="T112" s="1185"/>
      <c r="U112" s="1185"/>
      <c r="V112" s="1185"/>
      <c r="W112" s="1185"/>
      <c r="X112" s="1185"/>
      <c r="Y112" s="1185"/>
      <c r="Z112" s="1190"/>
      <c r="AB112" s="977">
        <v>3</v>
      </c>
      <c r="AC112" s="4894"/>
      <c r="AD112" s="4895"/>
      <c r="AE112" s="4895"/>
      <c r="AF112" s="4895"/>
      <c r="AG112" s="4895"/>
      <c r="AH112" s="4895"/>
      <c r="AI112" s="4895"/>
      <c r="AJ112" s="4895"/>
      <c r="AK112" s="4895"/>
      <c r="AL112" s="4895"/>
      <c r="AM112" s="4895"/>
      <c r="AN112" s="4895"/>
      <c r="AO112" s="4895"/>
      <c r="AP112" s="4895"/>
      <c r="AQ112" s="4889"/>
      <c r="AR112" s="4889"/>
      <c r="AS112" s="4889"/>
      <c r="AT112" s="4889"/>
      <c r="AU112" s="4889"/>
      <c r="AV112" s="4889"/>
      <c r="AW112" s="4889"/>
      <c r="AX112" s="1130"/>
      <c r="AY112" s="1043"/>
      <c r="AZ112" s="1133"/>
      <c r="BA112" s="2151" cm="1">
        <f t="array" aca="1" ref="BA112" ca="1">_xlfn.IFS(
BB112="",0,
BA113=0,0,
AND($BU$5=1,BU113=$BU$6),1,
AND(BB112=$L$28,$F$28=$F$27),1,
AND(BB112=$L$29,$F$29=$F$27),1,
AND(BB112=$L$30,$F$30=$F$27),1,
AND(BB112=$L$31,$F$31=$F$27),1,
AND(BB112=$L$32,$F$32=$F$27),1,
AND(BB112=$L$33,$F$33=$F$27),1,
AND(BB112=$L$34,$F$34=$F$27),1,
AND(BB112=$L$35,$F$35=$F$27),1,
AND(BB112=$L$36,$F$36=$F$27),1,
TRUE,0)</f>
        <v>0</v>
      </c>
      <c r="BB112" s="4874"/>
      <c r="BC112" s="4542"/>
      <c r="BD112" s="4542"/>
      <c r="BE112" s="4542"/>
      <c r="BF112" s="4542"/>
      <c r="BG112" s="4542"/>
      <c r="BH112" s="4542"/>
      <c r="BI112" s="4542"/>
      <c r="BJ112" s="4542"/>
      <c r="BK112" s="4542"/>
      <c r="BL112" s="4542"/>
      <c r="BM112" s="4551"/>
      <c r="BN112" s="4551"/>
      <c r="BO112" s="4552"/>
      <c r="BP112" s="4881"/>
      <c r="BQ112" s="4882"/>
      <c r="BR112" s="4883"/>
      <c r="BS112" s="959"/>
      <c r="BT112" s="2234"/>
      <c r="BU112" s="1244"/>
      <c r="BV112" s="2244"/>
      <c r="BW112" s="2244"/>
      <c r="BX112" s="2266"/>
      <c r="BY112" s="2237"/>
      <c r="BZ112" s="1038"/>
      <c r="CA112" s="101"/>
      <c r="CC112" s="242"/>
      <c r="CD112" s="262"/>
      <c r="CK112" s="299"/>
      <c r="CN112" s="242"/>
      <c r="CO112" s="262"/>
      <c r="CP112" s="101"/>
      <c r="CQ112" s="101"/>
      <c r="CR112" s="262">
        <f t="shared" si="102"/>
        <v>0</v>
      </c>
      <c r="CS112" s="101"/>
      <c r="CT112" s="101"/>
      <c r="CU112" s="262"/>
      <c r="CW112" s="299"/>
      <c r="CZ112" s="2493"/>
      <c r="DL112" s="2463" t="str" cm="1">
        <f t="array" ref="DL112:DL115">IFERROR(_xlfn._xlws.FILTER($DP$112:$DP$139,$DP$112:$DP$139&lt;&gt;""),"")</f>
        <v>Download</v>
      </c>
      <c r="DM112" s="2455"/>
      <c r="DN112" s="2455"/>
      <c r="DO112" s="2456"/>
      <c r="DP112" s="2503" t="str">
        <f t="shared" ref="DP112:DP121" si="103">IF(C112&lt;&gt;"",C112,"")</f>
        <v/>
      </c>
      <c r="DQ112" s="2455"/>
      <c r="DR112" s="2455"/>
      <c r="DS112" s="2456"/>
      <c r="DV112" s="1599" t="str">
        <v>N64</v>
      </c>
      <c r="DW112" s="2458"/>
      <c r="DX112" s="2458"/>
      <c r="DY112" s="2459"/>
      <c r="DZ112" s="1599" t="str">
        <f t="shared" si="101"/>
        <v>N64</v>
      </c>
      <c r="EA112" s="2458"/>
      <c r="EB112" s="2458"/>
      <c r="EC112" s="2459"/>
      <c r="ED112" s="1599" t="s">
        <v>1593</v>
      </c>
      <c r="EE112" s="2458"/>
      <c r="EF112" s="2458"/>
      <c r="EG112" s="2459"/>
    </row>
    <row r="113" spans="2:137" ht="17.100000000000001" customHeight="1" thickTop="1" thickBot="1" x14ac:dyDescent="0.3">
      <c r="B113" s="1189"/>
      <c r="C113" s="4887"/>
      <c r="D113" s="4888"/>
      <c r="E113" s="4888"/>
      <c r="F113" s="4888"/>
      <c r="G113" s="4888"/>
      <c r="H113" s="4888"/>
      <c r="I113" s="4888"/>
      <c r="J113" s="4888"/>
      <c r="K113" s="4888"/>
      <c r="L113" s="4888"/>
      <c r="M113" s="4888"/>
      <c r="N113" s="4888"/>
      <c r="O113" s="4888"/>
      <c r="P113" s="1185"/>
      <c r="Q113" s="1185"/>
      <c r="R113" s="1185"/>
      <c r="S113" s="1185"/>
      <c r="T113" s="1185"/>
      <c r="U113" s="1185"/>
      <c r="V113" s="1185"/>
      <c r="W113" s="1185"/>
      <c r="X113" s="1185"/>
      <c r="Y113" s="1185"/>
      <c r="Z113" s="1190"/>
      <c r="AB113" s="977">
        <v>4</v>
      </c>
      <c r="AC113" s="4894"/>
      <c r="AD113" s="4895"/>
      <c r="AE113" s="4895"/>
      <c r="AF113" s="4895"/>
      <c r="AG113" s="4895"/>
      <c r="AH113" s="4895"/>
      <c r="AI113" s="4895"/>
      <c r="AJ113" s="4895"/>
      <c r="AK113" s="4895"/>
      <c r="AL113" s="4895"/>
      <c r="AM113" s="4895"/>
      <c r="AN113" s="4895"/>
      <c r="AO113" s="4895"/>
      <c r="AP113" s="4895"/>
      <c r="AQ113" s="4889"/>
      <c r="AR113" s="4889"/>
      <c r="AS113" s="4889"/>
      <c r="AT113" s="4889"/>
      <c r="AU113" s="4889"/>
      <c r="AV113" s="4889"/>
      <c r="AW113" s="4889"/>
      <c r="AX113" s="1130"/>
      <c r="AY113" s="1043"/>
      <c r="AZ113" s="1133"/>
      <c r="BA113" s="2152">
        <f t="shared" si="53"/>
        <v>1</v>
      </c>
      <c r="BB113" s="4540"/>
      <c r="BC113" s="4535"/>
      <c r="BD113" s="4535"/>
      <c r="BE113" s="4535"/>
      <c r="BF113" s="4535"/>
      <c r="BG113" s="4535"/>
      <c r="BH113" s="4535"/>
      <c r="BI113" s="4535"/>
      <c r="BJ113" s="4535"/>
      <c r="BK113" s="4535"/>
      <c r="BL113" s="4564"/>
      <c r="BM113" s="4564"/>
      <c r="BN113" s="4876"/>
      <c r="BO113" s="4877"/>
      <c r="BP113" s="4878"/>
      <c r="BQ113" s="4879"/>
      <c r="BR113" s="4880"/>
      <c r="BS113" s="959"/>
      <c r="BT113" s="2234"/>
      <c r="BU113" s="2239" cm="1">
        <f t="array" ref="BU113">_xlfn.IFS(
BV113="",0,
BV113=$DH$15,1,
BV113=$DH$16,2,
BV113=$DH$17,3,
BV113=$DH$18,4,
BV113=$DH$19,5,
BV113=$DH$20,6,
TRUE,0)</f>
        <v>0</v>
      </c>
      <c r="BV113" s="4873"/>
      <c r="BW113" s="4873"/>
      <c r="BX113" s="4873"/>
      <c r="BY113" s="2237"/>
      <c r="BZ113" s="1038"/>
      <c r="CA113" s="101"/>
      <c r="CC113" s="242"/>
      <c r="CD113" s="262"/>
      <c r="CK113" s="299"/>
      <c r="CN113" s="242"/>
      <c r="CO113" s="262"/>
      <c r="CP113" s="101"/>
      <c r="CQ113" s="101"/>
      <c r="CR113" s="262">
        <f t="shared" si="102"/>
        <v>0</v>
      </c>
      <c r="CS113" s="101"/>
      <c r="CT113" s="101"/>
      <c r="CU113" s="262">
        <f t="shared" si="99"/>
        <v>0</v>
      </c>
      <c r="CW113" s="299"/>
      <c r="CZ113" s="2493"/>
      <c r="DL113" s="1599" t="str">
        <v>Blu-ray</v>
      </c>
      <c r="DM113" s="2458"/>
      <c r="DN113" s="2458"/>
      <c r="DO113" s="2459"/>
      <c r="DP113" s="1599" t="str">
        <f t="shared" si="103"/>
        <v/>
      </c>
      <c r="DQ113" s="2458"/>
      <c r="DR113" s="2458"/>
      <c r="DS113" s="2459"/>
      <c r="DV113" s="1599" t="str">
        <v>Playstation</v>
      </c>
      <c r="DW113" s="2458"/>
      <c r="DX113" s="2458"/>
      <c r="DY113" s="2459"/>
      <c r="DZ113" s="1599" t="str">
        <f t="shared" si="101"/>
        <v>Playstation</v>
      </c>
      <c r="EA113" s="2458"/>
      <c r="EB113" s="2458"/>
      <c r="EC113" s="2459"/>
      <c r="ED113" s="1599" t="s">
        <v>814</v>
      </c>
      <c r="EE113" s="2458"/>
      <c r="EF113" s="2458"/>
      <c r="EG113" s="2459"/>
    </row>
    <row r="114" spans="2:137" ht="17.100000000000001" customHeight="1" thickTop="1" thickBot="1" x14ac:dyDescent="0.3">
      <c r="B114" s="1189"/>
      <c r="C114" s="4887"/>
      <c r="D114" s="4888"/>
      <c r="E114" s="4888"/>
      <c r="F114" s="4888"/>
      <c r="G114" s="4888"/>
      <c r="H114" s="4888"/>
      <c r="I114" s="4888"/>
      <c r="J114" s="4888"/>
      <c r="K114" s="4888"/>
      <c r="L114" s="4888"/>
      <c r="M114" s="4888"/>
      <c r="N114" s="4888"/>
      <c r="O114" s="4888"/>
      <c r="P114" s="1185"/>
      <c r="Q114" s="1185"/>
      <c r="R114" s="1185"/>
      <c r="S114" s="1185"/>
      <c r="T114" s="1185"/>
      <c r="U114" s="1185"/>
      <c r="V114" s="1185"/>
      <c r="W114" s="1185"/>
      <c r="X114" s="1185"/>
      <c r="Y114" s="1185"/>
      <c r="Z114" s="1190"/>
      <c r="AB114" s="977">
        <v>5</v>
      </c>
      <c r="AC114" s="4894"/>
      <c r="AD114" s="4895"/>
      <c r="AE114" s="4895"/>
      <c r="AF114" s="4895"/>
      <c r="AG114" s="4895"/>
      <c r="AH114" s="4895"/>
      <c r="AI114" s="4895"/>
      <c r="AJ114" s="4895"/>
      <c r="AK114" s="4895"/>
      <c r="AL114" s="4895"/>
      <c r="AM114" s="4895"/>
      <c r="AN114" s="4895"/>
      <c r="AO114" s="4895"/>
      <c r="AP114" s="4895"/>
      <c r="AQ114" s="4889"/>
      <c r="AR114" s="4889"/>
      <c r="AS114" s="4889"/>
      <c r="AT114" s="4889"/>
      <c r="AU114" s="4889"/>
      <c r="AV114" s="4889"/>
      <c r="AW114" s="4889"/>
      <c r="AX114" s="1130"/>
      <c r="AY114" s="1043"/>
      <c r="AZ114" s="1133"/>
      <c r="BA114" s="2151" cm="1">
        <f t="array" aca="1" ref="BA114" ca="1">_xlfn.IFS(
BB114="",0,
BA115=0,0,
AND($BU$5=1,BU115=$BU$6),1,
AND(BB114=$L$28,$F$28=$F$27),1,
AND(BB114=$L$29,$F$29=$F$27),1,
AND(BB114=$L$30,$F$30=$F$27),1,
AND(BB114=$L$31,$F$31=$F$27),1,
AND(BB114=$L$32,$F$32=$F$27),1,
AND(BB114=$L$33,$F$33=$F$27),1,
AND(BB114=$L$34,$F$34=$F$27),1,
AND(BB114=$L$35,$F$35=$F$27),1,
AND(BB114=$L$36,$F$36=$F$27),1,
TRUE,0)</f>
        <v>0</v>
      </c>
      <c r="BB114" s="4874"/>
      <c r="BC114" s="4542"/>
      <c r="BD114" s="4542"/>
      <c r="BE114" s="4542"/>
      <c r="BF114" s="4542"/>
      <c r="BG114" s="4542"/>
      <c r="BH114" s="4542"/>
      <c r="BI114" s="4542"/>
      <c r="BJ114" s="4542"/>
      <c r="BK114" s="4542"/>
      <c r="BL114" s="4542"/>
      <c r="BM114" s="4551"/>
      <c r="BN114" s="4551"/>
      <c r="BO114" s="4552"/>
      <c r="BP114" s="4881"/>
      <c r="BQ114" s="4882"/>
      <c r="BR114" s="4883"/>
      <c r="BS114" s="959"/>
      <c r="BT114" s="2234"/>
      <c r="BU114" s="1244"/>
      <c r="BV114" s="2244"/>
      <c r="BW114" s="2244"/>
      <c r="BX114" s="2266"/>
      <c r="BY114" s="2237"/>
      <c r="BZ114" s="1038"/>
      <c r="CA114" s="101"/>
      <c r="CC114" s="242"/>
      <c r="CD114" s="262"/>
      <c r="CK114" s="299"/>
      <c r="CN114" s="242"/>
      <c r="CO114" s="262"/>
      <c r="CP114" s="101"/>
      <c r="CQ114" s="101"/>
      <c r="CR114" s="262">
        <f t="shared" si="102"/>
        <v>0</v>
      </c>
      <c r="CS114" s="101"/>
      <c r="CT114" s="101"/>
      <c r="CU114" s="262"/>
      <c r="CW114" s="299"/>
      <c r="CZ114" s="2493"/>
      <c r="DL114" s="1599" t="str">
        <v>DVD</v>
      </c>
      <c r="DP114" s="1599" t="str">
        <f t="shared" si="103"/>
        <v/>
      </c>
      <c r="DQ114" s="2458"/>
      <c r="DR114" s="2458"/>
      <c r="DS114" s="2459"/>
      <c r="DV114" s="1599" t="str">
        <v>Sega Saturn</v>
      </c>
      <c r="DW114" s="2458"/>
      <c r="DX114" s="2458"/>
      <c r="DY114" s="2459"/>
      <c r="DZ114" s="1599" t="str">
        <f t="shared" si="101"/>
        <v>Sega Saturn</v>
      </c>
      <c r="EA114" s="2458"/>
      <c r="EB114" s="2458"/>
      <c r="EC114" s="2459"/>
      <c r="ED114" s="1599" t="s">
        <v>1525</v>
      </c>
      <c r="EE114" s="2458"/>
      <c r="EF114" s="2458"/>
      <c r="EG114" s="2459"/>
    </row>
    <row r="115" spans="2:137" ht="17.100000000000001" customHeight="1" thickTop="1" thickBot="1" x14ac:dyDescent="0.3">
      <c r="B115" s="1189"/>
      <c r="C115" s="4887"/>
      <c r="D115" s="4888"/>
      <c r="E115" s="4888"/>
      <c r="F115" s="4888"/>
      <c r="G115" s="4888"/>
      <c r="H115" s="4888"/>
      <c r="I115" s="4888"/>
      <c r="J115" s="4888"/>
      <c r="K115" s="4888"/>
      <c r="L115" s="4888"/>
      <c r="M115" s="4888"/>
      <c r="N115" s="4888"/>
      <c r="O115" s="4888"/>
      <c r="P115" s="1185"/>
      <c r="Q115" s="1185"/>
      <c r="R115" s="1185"/>
      <c r="S115" s="1185"/>
      <c r="T115" s="1185"/>
      <c r="U115" s="1185"/>
      <c r="V115" s="1185"/>
      <c r="W115" s="1185"/>
      <c r="X115" s="1185"/>
      <c r="Y115" s="1185"/>
      <c r="Z115" s="1190"/>
      <c r="AB115" s="977">
        <v>6</v>
      </c>
      <c r="AC115" s="4894"/>
      <c r="AD115" s="4895"/>
      <c r="AE115" s="4895"/>
      <c r="AF115" s="4895"/>
      <c r="AG115" s="4895"/>
      <c r="AH115" s="4895"/>
      <c r="AI115" s="4895"/>
      <c r="AJ115" s="4895"/>
      <c r="AK115" s="4895"/>
      <c r="AL115" s="4895"/>
      <c r="AM115" s="4895"/>
      <c r="AN115" s="4895"/>
      <c r="AO115" s="4895"/>
      <c r="AP115" s="4895"/>
      <c r="AQ115" s="4889"/>
      <c r="AR115" s="4889"/>
      <c r="AS115" s="4889"/>
      <c r="AT115" s="4889"/>
      <c r="AU115" s="4889"/>
      <c r="AV115" s="4889"/>
      <c r="AW115" s="4889"/>
      <c r="AX115" s="1130"/>
      <c r="AY115" s="1043"/>
      <c r="AZ115" s="1133"/>
      <c r="BA115" s="2152">
        <f t="shared" si="53"/>
        <v>1</v>
      </c>
      <c r="BB115" s="4540"/>
      <c r="BC115" s="4535"/>
      <c r="BD115" s="4535"/>
      <c r="BE115" s="4535"/>
      <c r="BF115" s="4535"/>
      <c r="BG115" s="4535"/>
      <c r="BH115" s="4535"/>
      <c r="BI115" s="4535"/>
      <c r="BJ115" s="4535"/>
      <c r="BK115" s="4535"/>
      <c r="BL115" s="4564"/>
      <c r="BM115" s="4564"/>
      <c r="BN115" s="4876"/>
      <c r="BO115" s="4877"/>
      <c r="BP115" s="4878"/>
      <c r="BQ115" s="4879"/>
      <c r="BR115" s="4880"/>
      <c r="BS115" s="959"/>
      <c r="BT115" s="2234"/>
      <c r="BU115" s="2239" cm="1">
        <f t="array" ref="BU115">_xlfn.IFS(
BV115="",0,
BV115=$DH$15,1,
BV115=$DH$16,2,
BV115=$DH$17,3,
BV115=$DH$18,4,
BV115=$DH$19,5,
BV115=$DH$20,6,
TRUE,0)</f>
        <v>0</v>
      </c>
      <c r="BV115" s="4873"/>
      <c r="BW115" s="4873"/>
      <c r="BX115" s="4873"/>
      <c r="BY115" s="2237"/>
      <c r="BZ115" s="1038"/>
      <c r="CA115" s="101"/>
      <c r="CC115" s="242"/>
      <c r="CD115" s="262"/>
      <c r="CK115" s="299"/>
      <c r="CN115" s="242"/>
      <c r="CO115" s="262"/>
      <c r="CP115" s="101"/>
      <c r="CQ115" s="101"/>
      <c r="CR115" s="262">
        <f t="shared" si="102"/>
        <v>0</v>
      </c>
      <c r="CS115" s="101"/>
      <c r="CT115" s="101"/>
      <c r="CU115" s="262">
        <f t="shared" si="99"/>
        <v>0</v>
      </c>
      <c r="CW115" s="299"/>
      <c r="CZ115" s="2493"/>
      <c r="DL115" s="1599" t="str">
        <v>VHS</v>
      </c>
      <c r="DP115" s="1599" t="str">
        <f t="shared" si="103"/>
        <v/>
      </c>
      <c r="DQ115" s="2458"/>
      <c r="DR115" s="2458"/>
      <c r="DS115" s="2459"/>
      <c r="DV115" s="1599" t="str">
        <v>SNES</v>
      </c>
      <c r="DW115" s="2458"/>
      <c r="DX115" s="2458"/>
      <c r="DY115" s="2459"/>
      <c r="DZ115" s="1599" t="str">
        <f t="shared" si="101"/>
        <v>SNES</v>
      </c>
      <c r="EA115" s="2458"/>
      <c r="EB115" s="2458"/>
      <c r="EC115" s="2459"/>
      <c r="ED115" s="1599" t="s">
        <v>1523</v>
      </c>
      <c r="EE115" s="2458"/>
      <c r="EF115" s="2458"/>
      <c r="EG115" s="2459"/>
    </row>
    <row r="116" spans="2:137" ht="17.100000000000001" customHeight="1" thickTop="1" thickBot="1" x14ac:dyDescent="0.3">
      <c r="B116" s="1189"/>
      <c r="C116" s="4887"/>
      <c r="D116" s="4888"/>
      <c r="E116" s="4888"/>
      <c r="F116" s="4888"/>
      <c r="G116" s="4888"/>
      <c r="H116" s="4888"/>
      <c r="I116" s="4888"/>
      <c r="J116" s="4888"/>
      <c r="K116" s="4888"/>
      <c r="L116" s="4888"/>
      <c r="M116" s="4888"/>
      <c r="N116" s="4888"/>
      <c r="O116" s="4888"/>
      <c r="P116" s="1185"/>
      <c r="Q116" s="1185"/>
      <c r="R116" s="1185"/>
      <c r="S116" s="1185"/>
      <c r="T116" s="1185"/>
      <c r="U116" s="1185"/>
      <c r="V116" s="1185"/>
      <c r="W116" s="1185"/>
      <c r="X116" s="1185"/>
      <c r="Y116" s="1185"/>
      <c r="Z116" s="1190"/>
      <c r="AB116" s="977">
        <v>7</v>
      </c>
      <c r="AC116" s="4894"/>
      <c r="AD116" s="4895"/>
      <c r="AE116" s="4895"/>
      <c r="AF116" s="4895"/>
      <c r="AG116" s="4895"/>
      <c r="AH116" s="4895"/>
      <c r="AI116" s="4895"/>
      <c r="AJ116" s="4895"/>
      <c r="AK116" s="4895"/>
      <c r="AL116" s="4895"/>
      <c r="AM116" s="4895"/>
      <c r="AN116" s="4895"/>
      <c r="AO116" s="4895"/>
      <c r="AP116" s="4895"/>
      <c r="AQ116" s="4889"/>
      <c r="AR116" s="4889"/>
      <c r="AS116" s="4889"/>
      <c r="AT116" s="4889"/>
      <c r="AU116" s="4889"/>
      <c r="AV116" s="4889"/>
      <c r="AW116" s="4889"/>
      <c r="AX116" s="1130"/>
      <c r="AY116" s="1043"/>
      <c r="AZ116" s="1133"/>
      <c r="BA116" s="2151" cm="1">
        <f t="array" aca="1" ref="BA116" ca="1">_xlfn.IFS(
BB116="",0,
BA117=0,0,
AND($BU$5=1,BU117=$BU$6),1,
AND(BB116=$L$28,$F$28=$F$27),1,
AND(BB116=$L$29,$F$29=$F$27),1,
AND(BB116=$L$30,$F$30=$F$27),1,
AND(BB116=$L$31,$F$31=$F$27),1,
AND(BB116=$L$32,$F$32=$F$27),1,
AND(BB116=$L$33,$F$33=$F$27),1,
AND(BB116=$L$34,$F$34=$F$27),1,
AND(BB116=$L$35,$F$35=$F$27),1,
AND(BB116=$L$36,$F$36=$F$27),1,
TRUE,0)</f>
        <v>0</v>
      </c>
      <c r="BB116" s="4874"/>
      <c r="BC116" s="4542"/>
      <c r="BD116" s="4542"/>
      <c r="BE116" s="4542"/>
      <c r="BF116" s="4542"/>
      <c r="BG116" s="4542"/>
      <c r="BH116" s="4542"/>
      <c r="BI116" s="4542"/>
      <c r="BJ116" s="4542"/>
      <c r="BK116" s="4542"/>
      <c r="BL116" s="4542"/>
      <c r="BM116" s="4551"/>
      <c r="BN116" s="4551"/>
      <c r="BO116" s="4552"/>
      <c r="BP116" s="4881"/>
      <c r="BQ116" s="4882"/>
      <c r="BR116" s="4883"/>
      <c r="BS116" s="959"/>
      <c r="BT116" s="2234"/>
      <c r="BU116" s="1244"/>
      <c r="BV116" s="2244"/>
      <c r="BW116" s="2244"/>
      <c r="BX116" s="2266"/>
      <c r="BY116" s="2237"/>
      <c r="BZ116" s="1038"/>
      <c r="CA116" s="101"/>
      <c r="CC116" s="242"/>
      <c r="CD116" s="262"/>
      <c r="CK116" s="299"/>
      <c r="CN116" s="242"/>
      <c r="CO116" s="262"/>
      <c r="CP116" s="101"/>
      <c r="CQ116" s="101"/>
      <c r="CR116" s="262">
        <f t="shared" si="102"/>
        <v>0</v>
      </c>
      <c r="CS116" s="101"/>
      <c r="CT116" s="101"/>
      <c r="CU116" s="262"/>
      <c r="CW116" s="299"/>
      <c r="DL116" s="1599"/>
      <c r="DP116" s="1599" t="str">
        <f t="shared" si="103"/>
        <v/>
      </c>
      <c r="DQ116" s="2458"/>
      <c r="DR116" s="2458"/>
      <c r="DS116" s="2459"/>
      <c r="DV116" s="1599" t="str">
        <v>Sega MD</v>
      </c>
      <c r="DW116" s="2458"/>
      <c r="DX116" s="2458"/>
      <c r="DY116" s="2459"/>
      <c r="DZ116" s="1599" t="str">
        <f t="shared" si="101"/>
        <v>Sega MD</v>
      </c>
      <c r="EA116" s="2458"/>
      <c r="EB116" s="2458"/>
      <c r="EC116" s="2459"/>
      <c r="ED116" s="1599" t="s">
        <v>1529</v>
      </c>
      <c r="EE116" s="2458"/>
      <c r="EF116" s="2458"/>
      <c r="EG116" s="2459"/>
    </row>
    <row r="117" spans="2:137" ht="17.100000000000001" customHeight="1" thickTop="1" thickBot="1" x14ac:dyDescent="0.3">
      <c r="B117" s="1189"/>
      <c r="C117" s="4887"/>
      <c r="D117" s="4888"/>
      <c r="E117" s="4888"/>
      <c r="F117" s="4888"/>
      <c r="G117" s="4888"/>
      <c r="H117" s="4888"/>
      <c r="I117" s="4888"/>
      <c r="J117" s="4888"/>
      <c r="K117" s="4888"/>
      <c r="L117" s="4888"/>
      <c r="M117" s="4888"/>
      <c r="N117" s="4888"/>
      <c r="O117" s="4888"/>
      <c r="P117" s="1185"/>
      <c r="Q117" s="1185"/>
      <c r="R117" s="1185"/>
      <c r="S117" s="1185"/>
      <c r="T117" s="1185"/>
      <c r="U117" s="1185"/>
      <c r="V117" s="1185"/>
      <c r="W117" s="1185"/>
      <c r="X117" s="1185"/>
      <c r="Y117" s="1185"/>
      <c r="Z117" s="1190"/>
      <c r="AB117" s="977">
        <v>8</v>
      </c>
      <c r="AC117" s="4894"/>
      <c r="AD117" s="4895"/>
      <c r="AE117" s="4895"/>
      <c r="AF117" s="4895"/>
      <c r="AG117" s="4895"/>
      <c r="AH117" s="4895"/>
      <c r="AI117" s="4895"/>
      <c r="AJ117" s="4895"/>
      <c r="AK117" s="4895"/>
      <c r="AL117" s="4895"/>
      <c r="AM117" s="4895"/>
      <c r="AN117" s="4895"/>
      <c r="AO117" s="4895"/>
      <c r="AP117" s="4895"/>
      <c r="AQ117" s="4889"/>
      <c r="AR117" s="4889"/>
      <c r="AS117" s="4889"/>
      <c r="AT117" s="4889"/>
      <c r="AU117" s="4889"/>
      <c r="AV117" s="4889"/>
      <c r="AW117" s="4889"/>
      <c r="AX117" s="1130"/>
      <c r="AY117" s="1043"/>
      <c r="AZ117" s="1133"/>
      <c r="BA117" s="2152">
        <f t="shared" si="53"/>
        <v>1</v>
      </c>
      <c r="BB117" s="4540"/>
      <c r="BC117" s="4535"/>
      <c r="BD117" s="4535"/>
      <c r="BE117" s="4535"/>
      <c r="BF117" s="4535"/>
      <c r="BG117" s="4535"/>
      <c r="BH117" s="4535"/>
      <c r="BI117" s="4535"/>
      <c r="BJ117" s="4535"/>
      <c r="BK117" s="4535"/>
      <c r="BL117" s="4564"/>
      <c r="BM117" s="4564"/>
      <c r="BN117" s="4876"/>
      <c r="BO117" s="4877"/>
      <c r="BP117" s="4878"/>
      <c r="BQ117" s="4879"/>
      <c r="BR117" s="4880"/>
      <c r="BS117" s="959"/>
      <c r="BT117" s="2234"/>
      <c r="BU117" s="2239" cm="1">
        <f t="array" ref="BU117">_xlfn.IFS(
BV117="",0,
BV117=$DH$15,1,
BV117=$DH$16,2,
BV117=$DH$17,3,
BV117=$DH$18,4,
BV117=$DH$19,5,
BV117=$DH$20,6,
TRUE,0)</f>
        <v>0</v>
      </c>
      <c r="BV117" s="4873"/>
      <c r="BW117" s="4873"/>
      <c r="BX117" s="4873"/>
      <c r="BY117" s="2237"/>
      <c r="BZ117" s="1038"/>
      <c r="CA117" s="101"/>
      <c r="CC117" s="242"/>
      <c r="CD117" s="262"/>
      <c r="CK117" s="299"/>
      <c r="CN117" s="242"/>
      <c r="CO117" s="262"/>
      <c r="CP117" s="101"/>
      <c r="CQ117" s="101"/>
      <c r="CR117" s="262">
        <f t="shared" si="102"/>
        <v>0</v>
      </c>
      <c r="CS117" s="101"/>
      <c r="CT117" s="101"/>
      <c r="CU117" s="262">
        <f t="shared" si="99"/>
        <v>0</v>
      </c>
      <c r="CW117" s="299"/>
      <c r="DL117" s="1599"/>
      <c r="DP117" s="1599" t="str">
        <f t="shared" si="103"/>
        <v/>
      </c>
      <c r="DQ117" s="2458"/>
      <c r="DR117" s="2458"/>
      <c r="DS117" s="2459"/>
      <c r="DV117" s="1599" t="str">
        <v>Sega MS</v>
      </c>
      <c r="DW117" s="2458"/>
      <c r="DX117" s="2458"/>
      <c r="DY117" s="2459"/>
      <c r="DZ117" s="1599" t="str">
        <f t="shared" si="101"/>
        <v>Sega MS</v>
      </c>
      <c r="EA117" s="2458"/>
      <c r="EB117" s="2458"/>
      <c r="EC117" s="2459"/>
      <c r="ED117" s="1599" t="s">
        <v>1526</v>
      </c>
      <c r="EE117" s="2458"/>
      <c r="EF117" s="2458"/>
      <c r="EG117" s="2459"/>
    </row>
    <row r="118" spans="2:137" ht="17.100000000000001" customHeight="1" thickTop="1" thickBot="1" x14ac:dyDescent="0.3">
      <c r="B118" s="1189"/>
      <c r="C118" s="4887"/>
      <c r="D118" s="4888"/>
      <c r="E118" s="4888"/>
      <c r="F118" s="4888"/>
      <c r="G118" s="4888"/>
      <c r="H118" s="4888"/>
      <c r="I118" s="4888"/>
      <c r="J118" s="4888"/>
      <c r="K118" s="4888"/>
      <c r="L118" s="4888"/>
      <c r="M118" s="4888"/>
      <c r="N118" s="4888"/>
      <c r="O118" s="4888"/>
      <c r="P118" s="1185"/>
      <c r="Q118" s="1185"/>
      <c r="R118" s="1185"/>
      <c r="S118" s="1185"/>
      <c r="T118" s="1185"/>
      <c r="U118" s="1185"/>
      <c r="V118" s="1185"/>
      <c r="W118" s="1185"/>
      <c r="X118" s="1185"/>
      <c r="Y118" s="1185"/>
      <c r="Z118" s="1190"/>
      <c r="AB118" s="977">
        <v>9</v>
      </c>
      <c r="AC118" s="4894"/>
      <c r="AD118" s="4895"/>
      <c r="AE118" s="4895"/>
      <c r="AF118" s="4895"/>
      <c r="AG118" s="4895"/>
      <c r="AH118" s="4895"/>
      <c r="AI118" s="4895"/>
      <c r="AJ118" s="4895"/>
      <c r="AK118" s="4895"/>
      <c r="AL118" s="4895"/>
      <c r="AM118" s="4895"/>
      <c r="AN118" s="4895"/>
      <c r="AO118" s="4895"/>
      <c r="AP118" s="4895"/>
      <c r="AQ118" s="4889"/>
      <c r="AR118" s="4889"/>
      <c r="AS118" s="4889"/>
      <c r="AT118" s="4889"/>
      <c r="AU118" s="4889"/>
      <c r="AV118" s="4889"/>
      <c r="AW118" s="4889"/>
      <c r="AX118" s="1130"/>
      <c r="AY118" s="1043"/>
      <c r="AZ118" s="1133"/>
      <c r="BA118" s="2151" cm="1">
        <f t="array" aca="1" ref="BA118" ca="1">_xlfn.IFS(
BB118="",0,
BA119=0,0,
AND($BU$5=1,BU119=$BU$6),1,
AND(BB118=$L$28,$F$28=$F$27),1,
AND(BB118=$L$29,$F$29=$F$27),1,
AND(BB118=$L$30,$F$30=$F$27),1,
AND(BB118=$L$31,$F$31=$F$27),1,
AND(BB118=$L$32,$F$32=$F$27),1,
AND(BB118=$L$33,$F$33=$F$27),1,
AND(BB118=$L$34,$F$34=$F$27),1,
AND(BB118=$L$35,$F$35=$F$27),1,
AND(BB118=$L$36,$F$36=$F$27),1,
TRUE,0)</f>
        <v>0</v>
      </c>
      <c r="BB118" s="4874"/>
      <c r="BC118" s="4542"/>
      <c r="BD118" s="4542"/>
      <c r="BE118" s="4542"/>
      <c r="BF118" s="4542"/>
      <c r="BG118" s="4542"/>
      <c r="BH118" s="4542"/>
      <c r="BI118" s="4542"/>
      <c r="BJ118" s="4542"/>
      <c r="BK118" s="4542"/>
      <c r="BL118" s="4542"/>
      <c r="BM118" s="4551"/>
      <c r="BN118" s="4551"/>
      <c r="BO118" s="4552"/>
      <c r="BP118" s="4881"/>
      <c r="BQ118" s="4882"/>
      <c r="BR118" s="4883"/>
      <c r="BS118" s="959"/>
      <c r="BT118" s="2234"/>
      <c r="BU118" s="1244"/>
      <c r="BV118" s="2244"/>
      <c r="BW118" s="2244"/>
      <c r="BX118" s="2266"/>
      <c r="BY118" s="2237"/>
      <c r="BZ118" s="1038"/>
      <c r="CA118" s="101"/>
      <c r="CC118" s="242"/>
      <c r="CD118" s="262"/>
      <c r="CK118" s="299"/>
      <c r="CN118" s="242"/>
      <c r="CO118" s="262"/>
      <c r="CP118" s="101"/>
      <c r="CQ118" s="101"/>
      <c r="CR118" s="262">
        <f t="shared" si="102"/>
        <v>0</v>
      </c>
      <c r="CS118" s="101"/>
      <c r="CT118" s="101"/>
      <c r="CU118" s="262"/>
      <c r="CW118" s="299"/>
      <c r="DL118" s="1599"/>
      <c r="DP118" s="1599" t="str">
        <f t="shared" si="103"/>
        <v/>
      </c>
      <c r="DQ118" s="2458"/>
      <c r="DR118" s="2458"/>
      <c r="DS118" s="2459"/>
      <c r="DV118" s="1600" t="str">
        <v>NES</v>
      </c>
      <c r="DW118" s="2461"/>
      <c r="DX118" s="2461"/>
      <c r="DY118" s="2462"/>
      <c r="DZ118" s="1600" t="str">
        <f t="shared" si="101"/>
        <v>NES</v>
      </c>
      <c r="EA118" s="2461"/>
      <c r="EB118" s="2461"/>
      <c r="EC118" s="2462"/>
      <c r="ED118" s="2477" t="s">
        <v>1524</v>
      </c>
      <c r="EE118" s="2461"/>
      <c r="EF118" s="2461"/>
      <c r="EG118" s="2462"/>
    </row>
    <row r="119" spans="2:137" ht="17.100000000000001" customHeight="1" thickTop="1" thickBot="1" x14ac:dyDescent="0.3">
      <c r="B119" s="1189"/>
      <c r="C119" s="4887"/>
      <c r="D119" s="4888"/>
      <c r="E119" s="4888"/>
      <c r="F119" s="4888"/>
      <c r="G119" s="4888"/>
      <c r="H119" s="4888"/>
      <c r="I119" s="4888"/>
      <c r="J119" s="4888"/>
      <c r="K119" s="4888"/>
      <c r="L119" s="4888"/>
      <c r="M119" s="4888"/>
      <c r="N119" s="4888"/>
      <c r="O119" s="4888"/>
      <c r="P119" s="1185"/>
      <c r="Q119" s="1185"/>
      <c r="R119" s="1185"/>
      <c r="S119" s="1185"/>
      <c r="T119" s="1185"/>
      <c r="U119" s="1185"/>
      <c r="V119" s="1185"/>
      <c r="W119" s="1185"/>
      <c r="X119" s="1185"/>
      <c r="Y119" s="1185"/>
      <c r="Z119" s="1190"/>
      <c r="AB119" s="977">
        <v>10</v>
      </c>
      <c r="AC119" s="4894"/>
      <c r="AD119" s="4895"/>
      <c r="AE119" s="4895"/>
      <c r="AF119" s="4895"/>
      <c r="AG119" s="4895"/>
      <c r="AH119" s="4895"/>
      <c r="AI119" s="4895"/>
      <c r="AJ119" s="4895"/>
      <c r="AK119" s="4895"/>
      <c r="AL119" s="4895"/>
      <c r="AM119" s="4895"/>
      <c r="AN119" s="4895"/>
      <c r="AO119" s="4895"/>
      <c r="AP119" s="4895"/>
      <c r="AQ119" s="4889"/>
      <c r="AR119" s="4889"/>
      <c r="AS119" s="4889"/>
      <c r="AT119" s="4889"/>
      <c r="AU119" s="4889"/>
      <c r="AV119" s="4889"/>
      <c r="AW119" s="4889"/>
      <c r="AX119" s="1130"/>
      <c r="AY119" s="1043"/>
      <c r="AZ119" s="1133"/>
      <c r="BA119" s="2152">
        <f t="shared" si="53"/>
        <v>1</v>
      </c>
      <c r="BB119" s="4540"/>
      <c r="BC119" s="4535"/>
      <c r="BD119" s="4535"/>
      <c r="BE119" s="4535"/>
      <c r="BF119" s="4535"/>
      <c r="BG119" s="4535"/>
      <c r="BH119" s="4535"/>
      <c r="BI119" s="4535"/>
      <c r="BJ119" s="4535"/>
      <c r="BK119" s="4535"/>
      <c r="BL119" s="4564"/>
      <c r="BM119" s="4564"/>
      <c r="BN119" s="4876"/>
      <c r="BO119" s="4877"/>
      <c r="BP119" s="4878"/>
      <c r="BQ119" s="4879"/>
      <c r="BR119" s="4880"/>
      <c r="BS119" s="959"/>
      <c r="BT119" s="2234"/>
      <c r="BU119" s="2239" cm="1">
        <f t="array" ref="BU119">_xlfn.IFS(
BV119="",0,
BV119=$DH$15,1,
BV119=$DH$16,2,
BV119=$DH$17,3,
BV119=$DH$18,4,
BV119=$DH$19,5,
BV119=$DH$20,6,
TRUE,0)</f>
        <v>0</v>
      </c>
      <c r="BV119" s="4873"/>
      <c r="BW119" s="4873"/>
      <c r="BX119" s="4873"/>
      <c r="BY119" s="2237"/>
      <c r="BZ119" s="1038"/>
      <c r="CA119" s="101"/>
      <c r="CC119" s="242"/>
      <c r="CD119" s="262"/>
      <c r="CK119" s="299"/>
      <c r="CN119" s="242"/>
      <c r="CO119" s="262"/>
      <c r="CP119" s="101"/>
      <c r="CQ119" s="101"/>
      <c r="CR119" s="262">
        <f t="shared" si="102"/>
        <v>0</v>
      </c>
      <c r="CS119" s="101"/>
      <c r="CT119" s="101"/>
      <c r="CU119" s="262">
        <f t="shared" si="99"/>
        <v>0</v>
      </c>
      <c r="CW119" s="299"/>
      <c r="DL119" s="1599"/>
      <c r="DP119" s="1599" t="str">
        <f t="shared" si="103"/>
        <v/>
      </c>
      <c r="DQ119" s="2458"/>
      <c r="DR119" s="2458"/>
      <c r="DS119" s="2459"/>
    </row>
    <row r="120" spans="2:137" ht="17.100000000000001" customHeight="1" thickTop="1" thickBot="1" x14ac:dyDescent="0.3">
      <c r="B120" s="1189"/>
      <c r="C120" s="4887"/>
      <c r="D120" s="4888"/>
      <c r="E120" s="4888"/>
      <c r="F120" s="4888"/>
      <c r="G120" s="4888"/>
      <c r="H120" s="4888"/>
      <c r="I120" s="4888"/>
      <c r="J120" s="4888"/>
      <c r="K120" s="4888"/>
      <c r="L120" s="4888"/>
      <c r="M120" s="4888"/>
      <c r="N120" s="4888"/>
      <c r="O120" s="4888"/>
      <c r="P120" s="1185"/>
      <c r="Q120" s="1185"/>
      <c r="R120" s="1185"/>
      <c r="S120" s="1185"/>
      <c r="T120" s="1185"/>
      <c r="U120" s="1185"/>
      <c r="V120" s="1185"/>
      <c r="W120" s="1185"/>
      <c r="X120" s="1185"/>
      <c r="Y120" s="1185"/>
      <c r="Z120" s="1190"/>
      <c r="AB120" s="977">
        <v>11</v>
      </c>
      <c r="AC120" s="4894"/>
      <c r="AD120" s="4895"/>
      <c r="AE120" s="4895"/>
      <c r="AF120" s="4895"/>
      <c r="AG120" s="4895"/>
      <c r="AH120" s="4895"/>
      <c r="AI120" s="4895"/>
      <c r="AJ120" s="4895"/>
      <c r="AK120" s="4895"/>
      <c r="AL120" s="4895"/>
      <c r="AM120" s="4895"/>
      <c r="AN120" s="4895"/>
      <c r="AO120" s="4895"/>
      <c r="AP120" s="4895"/>
      <c r="AQ120" s="4889"/>
      <c r="AR120" s="4889"/>
      <c r="AS120" s="4889"/>
      <c r="AT120" s="4889"/>
      <c r="AU120" s="4889"/>
      <c r="AV120" s="4889"/>
      <c r="AW120" s="4889"/>
      <c r="AX120" s="1130"/>
      <c r="AY120" s="1043"/>
      <c r="AZ120" s="1133"/>
      <c r="BA120" s="2151" cm="1">
        <f t="array" aca="1" ref="BA120" ca="1">_xlfn.IFS(
BB120="",0,
BA121=0,0,
AND($BU$5=1,BU121=$BU$6),1,
AND(BB120=$L$28,$F$28=$F$27),1,
AND(BB120=$L$29,$F$29=$F$27),1,
AND(BB120=$L$30,$F$30=$F$27),1,
AND(BB120=$L$31,$F$31=$F$27),1,
AND(BB120=$L$32,$F$32=$F$27),1,
AND(BB120=$L$33,$F$33=$F$27),1,
AND(BB120=$L$34,$F$34=$F$27),1,
AND(BB120=$L$35,$F$35=$F$27),1,
AND(BB120=$L$36,$F$36=$F$27),1,
TRUE,0)</f>
        <v>0</v>
      </c>
      <c r="BB120" s="4874"/>
      <c r="BC120" s="4542"/>
      <c r="BD120" s="4542"/>
      <c r="BE120" s="4542"/>
      <c r="BF120" s="4542"/>
      <c r="BG120" s="4542"/>
      <c r="BH120" s="4542"/>
      <c r="BI120" s="4542"/>
      <c r="BJ120" s="4542"/>
      <c r="BK120" s="4542"/>
      <c r="BL120" s="4542"/>
      <c r="BM120" s="4551"/>
      <c r="BN120" s="4551"/>
      <c r="BO120" s="4552"/>
      <c r="BP120" s="4881"/>
      <c r="BQ120" s="4882"/>
      <c r="BR120" s="4883"/>
      <c r="BS120" s="959"/>
      <c r="BT120" s="2234"/>
      <c r="BU120" s="1244"/>
      <c r="BV120" s="2244"/>
      <c r="BW120" s="2244"/>
      <c r="BX120" s="2266"/>
      <c r="BY120" s="2237"/>
      <c r="BZ120" s="1038"/>
      <c r="CA120" s="101"/>
      <c r="CC120" s="242"/>
      <c r="CD120" s="262"/>
      <c r="CK120" s="299"/>
      <c r="CN120" s="242"/>
      <c r="CO120" s="262"/>
      <c r="CP120" s="101"/>
      <c r="CQ120" s="101"/>
      <c r="CR120" s="262">
        <f t="shared" si="102"/>
        <v>0</v>
      </c>
      <c r="CS120" s="101"/>
      <c r="CT120" s="101"/>
      <c r="CU120" s="262"/>
      <c r="CW120" s="299"/>
      <c r="DL120" s="1599"/>
      <c r="DP120" s="1599" t="str">
        <f t="shared" si="103"/>
        <v/>
      </c>
      <c r="DQ120" s="2458"/>
      <c r="DR120" s="2458"/>
      <c r="DS120" s="2459"/>
    </row>
    <row r="121" spans="2:137" ht="17.100000000000001" customHeight="1" thickTop="1" thickBot="1" x14ac:dyDescent="0.3">
      <c r="B121" s="1189"/>
      <c r="C121" s="4887"/>
      <c r="D121" s="4888"/>
      <c r="E121" s="4888"/>
      <c r="F121" s="4888"/>
      <c r="G121" s="4888"/>
      <c r="H121" s="4888"/>
      <c r="I121" s="4888"/>
      <c r="J121" s="4888"/>
      <c r="K121" s="4888"/>
      <c r="L121" s="4888"/>
      <c r="M121" s="4888"/>
      <c r="N121" s="4888"/>
      <c r="O121" s="4888"/>
      <c r="P121" s="1185"/>
      <c r="Q121" s="1185"/>
      <c r="R121" s="1185"/>
      <c r="S121" s="1185"/>
      <c r="T121" s="1185"/>
      <c r="U121" s="1185"/>
      <c r="V121" s="1185"/>
      <c r="W121" s="1185"/>
      <c r="X121" s="1185"/>
      <c r="Y121" s="1185"/>
      <c r="Z121" s="1190"/>
      <c r="AB121" s="977">
        <v>12</v>
      </c>
      <c r="AC121" s="4898"/>
      <c r="AD121" s="4899"/>
      <c r="AE121" s="4899"/>
      <c r="AF121" s="4899"/>
      <c r="AG121" s="4899"/>
      <c r="AH121" s="4899"/>
      <c r="AI121" s="4899"/>
      <c r="AJ121" s="4899"/>
      <c r="AK121" s="4899"/>
      <c r="AL121" s="4899"/>
      <c r="AM121" s="4899"/>
      <c r="AN121" s="4899"/>
      <c r="AO121" s="4899"/>
      <c r="AP121" s="4899"/>
      <c r="AQ121" s="4889"/>
      <c r="AR121" s="4889"/>
      <c r="AS121" s="4889"/>
      <c r="AT121" s="4889"/>
      <c r="AU121" s="4889"/>
      <c r="AV121" s="4889"/>
      <c r="AW121" s="4889"/>
      <c r="AX121" s="1130"/>
      <c r="AY121" s="1043"/>
      <c r="AZ121" s="1133"/>
      <c r="BA121" s="2152">
        <f t="shared" si="53"/>
        <v>1</v>
      </c>
      <c r="BB121" s="4540"/>
      <c r="BC121" s="4535"/>
      <c r="BD121" s="4535"/>
      <c r="BE121" s="4535"/>
      <c r="BF121" s="4535"/>
      <c r="BG121" s="4535"/>
      <c r="BH121" s="4535"/>
      <c r="BI121" s="4535"/>
      <c r="BJ121" s="4535"/>
      <c r="BK121" s="4535"/>
      <c r="BL121" s="4564"/>
      <c r="BM121" s="4564"/>
      <c r="BN121" s="4876"/>
      <c r="BO121" s="4877"/>
      <c r="BP121" s="4878"/>
      <c r="BQ121" s="4879"/>
      <c r="BR121" s="4880"/>
      <c r="BS121" s="959"/>
      <c r="BT121" s="2234"/>
      <c r="BU121" s="2239" cm="1">
        <f t="array" ref="BU121">_xlfn.IFS(
BV121="",0,
BV121=$DH$15,1,
BV121=$DH$16,2,
BV121=$DH$17,3,
BV121=$DH$18,4,
BV121=$DH$19,5,
BV121=$DH$20,6,
TRUE,0)</f>
        <v>0</v>
      </c>
      <c r="BV121" s="4873"/>
      <c r="BW121" s="4873"/>
      <c r="BX121" s="4873"/>
      <c r="BY121" s="2237"/>
      <c r="BZ121" s="1038"/>
      <c r="CA121" s="101"/>
      <c r="CC121" s="242"/>
      <c r="CD121" s="262"/>
      <c r="CK121" s="299"/>
      <c r="CN121" s="242"/>
      <c r="CO121" s="262"/>
      <c r="CP121" s="101"/>
      <c r="CQ121" s="101"/>
      <c r="CR121" s="262">
        <f t="shared" si="102"/>
        <v>0</v>
      </c>
      <c r="CS121" s="101"/>
      <c r="CT121" s="101"/>
      <c r="CU121" s="262">
        <f t="shared" si="99"/>
        <v>0</v>
      </c>
      <c r="CW121" s="299"/>
      <c r="DL121" s="1599"/>
      <c r="DP121" s="1600" t="str">
        <f t="shared" si="103"/>
        <v/>
      </c>
      <c r="DQ121" s="2461"/>
      <c r="DR121" s="2461"/>
      <c r="DS121" s="2462"/>
    </row>
    <row r="122" spans="2:137" ht="17.100000000000001" customHeight="1" thickTop="1" thickBot="1" x14ac:dyDescent="0.3">
      <c r="B122" s="1189"/>
      <c r="C122" s="1185"/>
      <c r="D122" s="1185"/>
      <c r="E122" s="1185"/>
      <c r="F122" s="1185"/>
      <c r="G122" s="1185"/>
      <c r="H122" s="1185"/>
      <c r="I122" s="1185"/>
      <c r="J122" s="1185"/>
      <c r="K122" s="1185"/>
      <c r="L122" s="1185"/>
      <c r="M122" s="1185"/>
      <c r="N122" s="1185"/>
      <c r="O122" s="1185"/>
      <c r="P122" s="1185"/>
      <c r="Q122" s="1185"/>
      <c r="R122" s="1185"/>
      <c r="S122" s="1185"/>
      <c r="T122" s="1185"/>
      <c r="U122" s="1185"/>
      <c r="V122" s="1185"/>
      <c r="W122" s="1185"/>
      <c r="X122" s="1185"/>
      <c r="Y122" s="1185"/>
      <c r="Z122" s="1190"/>
      <c r="AA122" s="155"/>
      <c r="AB122" s="1007"/>
      <c r="AC122" s="1201">
        <f>COUNTA(AC98:AP121)</f>
        <v>0</v>
      </c>
      <c r="AD122" s="1008"/>
      <c r="AE122" s="1008"/>
      <c r="AF122" s="1008"/>
      <c r="AG122" s="1008"/>
      <c r="AH122" s="1008"/>
      <c r="AI122" s="1008"/>
      <c r="AJ122" s="1008"/>
      <c r="AK122" s="1008"/>
      <c r="AL122" s="1008"/>
      <c r="AM122" s="1008"/>
      <c r="AN122" s="1008"/>
      <c r="AO122" s="1008"/>
      <c r="AP122" s="1008"/>
      <c r="AQ122" s="1008"/>
      <c r="AR122" s="1008"/>
      <c r="AS122" s="1008"/>
      <c r="AT122" s="1009"/>
      <c r="AU122" s="1008"/>
      <c r="AV122" s="1008"/>
      <c r="AW122" s="1185"/>
      <c r="AX122" s="1185"/>
      <c r="AY122" s="1185"/>
      <c r="AZ122" s="1190"/>
      <c r="BB122" s="1189"/>
      <c r="BC122" s="1185"/>
      <c r="BD122" s="1185"/>
      <c r="BE122" s="1185"/>
      <c r="BF122" s="1185"/>
      <c r="BG122" s="1185"/>
      <c r="BH122" s="1185"/>
      <c r="BI122" s="1185"/>
      <c r="BJ122" s="1185"/>
      <c r="BK122" s="1185"/>
      <c r="BL122" s="1185"/>
      <c r="BM122" s="1185"/>
      <c r="BN122" s="1185"/>
      <c r="BO122" s="1185"/>
      <c r="BP122" s="1185"/>
      <c r="BQ122" s="1185"/>
      <c r="BR122" s="1185"/>
      <c r="BS122" s="1185"/>
      <c r="BT122" s="1185"/>
      <c r="BU122" s="2248"/>
      <c r="BV122" s="2248"/>
      <c r="BW122" s="2248"/>
      <c r="BX122" s="2248"/>
      <c r="BY122" s="2248"/>
      <c r="BZ122" s="1186"/>
      <c r="CA122" s="101"/>
      <c r="CC122" s="242"/>
      <c r="CD122" s="262"/>
      <c r="CK122" s="299"/>
      <c r="CN122" s="242"/>
      <c r="CO122" s="262"/>
      <c r="CP122" s="101"/>
      <c r="CQ122" s="101"/>
      <c r="CR122" s="262"/>
      <c r="CS122" s="101"/>
      <c r="CT122" s="101"/>
      <c r="CU122" s="262"/>
      <c r="CW122" s="299"/>
      <c r="DL122" s="1599"/>
      <c r="DP122" s="2466" t="str">
        <f>IF(BW45="ACTIVE",IFERROR(VLOOKUP(FF45,$EW$45:$FD$67,6,FALSE),FF45),"")</f>
        <v/>
      </c>
      <c r="DQ122" s="2467"/>
      <c r="DR122" s="2467"/>
      <c r="DS122" s="2468"/>
    </row>
    <row r="123" spans="2:137" ht="17.100000000000001" customHeight="1" thickTop="1" thickBot="1" x14ac:dyDescent="0.3">
      <c r="B123" s="1201">
        <f>COUNTA(B66,B68,B70,B72,B74,B76,B78,B80,B82,B84,B86,B88,B90,B92)</f>
        <v>0</v>
      </c>
      <c r="C123" s="1187"/>
      <c r="D123" s="1187"/>
      <c r="E123" s="1187"/>
      <c r="F123" s="1187"/>
      <c r="G123" s="1187"/>
      <c r="H123" s="1187"/>
      <c r="I123" s="1187"/>
      <c r="J123" s="1187"/>
      <c r="K123" s="1187"/>
      <c r="L123" s="1187"/>
      <c r="M123" s="1187"/>
      <c r="N123" s="1187"/>
      <c r="O123" s="1187"/>
      <c r="P123" s="1187"/>
      <c r="Q123" s="1187"/>
      <c r="R123" s="1187"/>
      <c r="S123" s="1187"/>
      <c r="T123" s="1187"/>
      <c r="U123" s="1187"/>
      <c r="V123" s="1187"/>
      <c r="W123" s="1187"/>
      <c r="X123" s="1187"/>
      <c r="Y123" s="1187"/>
      <c r="Z123" s="1188"/>
      <c r="AA123" s="155"/>
      <c r="AB123" s="1201">
        <f>COUNTA(AB66,AB68,AB70,AB72,AB74,AB76,AB78,AB80,AB82,AB84,AB86,AB88,AB90,AB92)</f>
        <v>0</v>
      </c>
      <c r="AC123" s="1187"/>
      <c r="AD123" s="1187"/>
      <c r="AE123" s="1187"/>
      <c r="AF123" s="1187"/>
      <c r="AG123" s="1187"/>
      <c r="AH123" s="1187"/>
      <c r="AI123" s="1187"/>
      <c r="AJ123" s="1187"/>
      <c r="AK123" s="1187"/>
      <c r="AL123" s="1187"/>
      <c r="AM123" s="1187"/>
      <c r="AN123" s="1187"/>
      <c r="AO123" s="1187"/>
      <c r="AP123" s="1187"/>
      <c r="AQ123" s="1187"/>
      <c r="AR123" s="1187"/>
      <c r="AS123" s="1187"/>
      <c r="AT123" s="1187"/>
      <c r="AU123" s="1187"/>
      <c r="AV123" s="1187"/>
      <c r="AW123" s="1187"/>
      <c r="AX123" s="1187"/>
      <c r="AY123" s="1187"/>
      <c r="AZ123" s="1188"/>
      <c r="BB123" s="1201">
        <f>COUNTA(BB66,BB68,BB70,BB72,BB74,BB76,BB78,BB80,BB82,BB84,BB86,BB88,BB90,BB92,BB94,BB96,BB98,BB100,BB102,BB104,BB106,BB108,BB110,BB112,BB114,BB116,BB118,BB120)</f>
        <v>0</v>
      </c>
      <c r="BC123" s="1187"/>
      <c r="BD123" s="1187"/>
      <c r="BE123" s="1187"/>
      <c r="BF123" s="1187"/>
      <c r="BG123" s="1187"/>
      <c r="BH123" s="1187"/>
      <c r="BI123" s="1187"/>
      <c r="BJ123" s="1187"/>
      <c r="BK123" s="1187"/>
      <c r="BL123" s="1187"/>
      <c r="BM123" s="1187"/>
      <c r="BN123" s="1187"/>
      <c r="BO123" s="1187"/>
      <c r="BP123" s="2623"/>
      <c r="BQ123" s="2623"/>
      <c r="BR123" s="2623"/>
      <c r="BS123" s="1187"/>
      <c r="BT123" s="1187"/>
      <c r="BU123" s="1187"/>
      <c r="BV123" s="1187"/>
      <c r="BW123" s="1187"/>
      <c r="BX123" s="1187"/>
      <c r="BY123" s="1187"/>
      <c r="BZ123" s="1188"/>
      <c r="CA123" s="101"/>
      <c r="CC123" s="242"/>
      <c r="CD123" s="509">
        <f>SUM(CD67:CD93)</f>
        <v>0</v>
      </c>
      <c r="CE123" s="1039" t="s">
        <v>439</v>
      </c>
      <c r="CK123" s="299"/>
      <c r="CN123" s="242"/>
      <c r="CO123" s="974">
        <f>SUM(CO67:CO121)</f>
        <v>0</v>
      </c>
      <c r="CP123" s="44" t="s">
        <v>439</v>
      </c>
      <c r="CR123" s="974">
        <f>SUM(CR67:CR121)</f>
        <v>0</v>
      </c>
      <c r="CS123" s="44" t="s">
        <v>439</v>
      </c>
      <c r="CU123" s="974">
        <f>SUM(CU67:CU121)</f>
        <v>0</v>
      </c>
      <c r="CV123" s="44" t="s">
        <v>439</v>
      </c>
      <c r="CW123" s="299"/>
      <c r="DL123" s="1599"/>
      <c r="DP123" s="2469" t="str">
        <f t="shared" ref="DP123:DP135" si="104">IF(BW46="ACTIVE",IFERROR(VLOOKUP(FF46,$EW$45:$FD$67,6,FALSE),FF46),"")</f>
        <v/>
      </c>
      <c r="DQ123" s="2470"/>
      <c r="DR123" s="2470"/>
      <c r="DS123" s="2471"/>
    </row>
    <row r="124" spans="2:137" ht="17.100000000000001" customHeight="1" thickTop="1" x14ac:dyDescent="0.25">
      <c r="CA124" s="101"/>
      <c r="CC124" s="251"/>
      <c r="CD124" s="252"/>
      <c r="CE124" s="252"/>
      <c r="CF124" s="252"/>
      <c r="CG124" s="252"/>
      <c r="CH124" s="252"/>
      <c r="CI124" s="252"/>
      <c r="CJ124" s="252"/>
      <c r="CK124" s="253"/>
      <c r="CN124" s="251"/>
      <c r="CO124" s="252"/>
      <c r="CP124" s="252"/>
      <c r="CQ124" s="252"/>
      <c r="CR124" s="252"/>
      <c r="CS124" s="252"/>
      <c r="CT124" s="252"/>
      <c r="CU124" s="252"/>
      <c r="CV124" s="252"/>
      <c r="CW124" s="253"/>
      <c r="DL124" s="1599"/>
      <c r="DP124" s="2469" t="str">
        <f t="shared" si="104"/>
        <v/>
      </c>
      <c r="DQ124" s="2470"/>
      <c r="DR124" s="2470"/>
      <c r="DS124" s="2471"/>
    </row>
    <row r="125" spans="2:137" ht="17.100000000000001" customHeight="1" x14ac:dyDescent="0.25">
      <c r="N125" s="34" t="s">
        <v>9</v>
      </c>
      <c r="AN125" s="34" t="s">
        <v>9</v>
      </c>
      <c r="BN125" s="34" t="s">
        <v>9</v>
      </c>
      <c r="CA125" s="101"/>
      <c r="DL125" s="1599"/>
      <c r="DP125" s="2469" t="str">
        <f t="shared" si="104"/>
        <v/>
      </c>
      <c r="DQ125" s="2470"/>
      <c r="DR125" s="2470"/>
      <c r="DS125" s="2471"/>
    </row>
    <row r="126" spans="2:137" ht="17.100000000000001" customHeight="1" thickBot="1" x14ac:dyDescent="0.3">
      <c r="N126" s="34" t="s">
        <v>9</v>
      </c>
      <c r="AN126" s="34" t="s">
        <v>9</v>
      </c>
      <c r="BN126" s="34" t="s">
        <v>9</v>
      </c>
      <c r="CA126" s="101"/>
      <c r="DL126" s="1599"/>
      <c r="DP126" s="2469" t="str">
        <f t="shared" si="104"/>
        <v/>
      </c>
      <c r="DQ126" s="2470"/>
      <c r="DR126" s="2470"/>
      <c r="DS126" s="2471"/>
    </row>
    <row r="127" spans="2:137" ht="17.100000000000001" customHeight="1" thickTop="1" x14ac:dyDescent="0.25">
      <c r="B127" s="4904" t="s">
        <v>1679</v>
      </c>
      <c r="C127" s="4905"/>
      <c r="D127" s="4905"/>
      <c r="E127" s="4905"/>
      <c r="F127" s="4905"/>
      <c r="G127" s="4905"/>
      <c r="H127" s="4905"/>
      <c r="I127" s="4905"/>
      <c r="J127" s="4905"/>
      <c r="K127" s="4905"/>
      <c r="L127" s="4905"/>
      <c r="M127" s="4905"/>
      <c r="N127" s="4905"/>
      <c r="O127" s="4905"/>
      <c r="P127" s="4905"/>
      <c r="Q127" s="4905"/>
      <c r="R127" s="4905"/>
      <c r="S127" s="4905"/>
      <c r="T127" s="4905"/>
      <c r="U127" s="4905"/>
      <c r="V127" s="4905"/>
      <c r="W127" s="4905"/>
      <c r="X127" s="4905"/>
      <c r="Y127" s="4905"/>
      <c r="Z127" s="4905"/>
      <c r="AA127" s="4905"/>
      <c r="AB127" s="4905"/>
      <c r="AC127" s="4905"/>
      <c r="AD127" s="4905"/>
      <c r="AE127" s="4905"/>
      <c r="AF127" s="4905"/>
      <c r="AG127" s="4905"/>
      <c r="AH127" s="4905"/>
      <c r="AI127" s="4905"/>
      <c r="AJ127" s="4905"/>
      <c r="AK127" s="4905"/>
      <c r="AL127" s="4905"/>
      <c r="AM127" s="4905"/>
      <c r="AN127" s="4905"/>
      <c r="AO127" s="4905"/>
      <c r="AP127" s="4905"/>
      <c r="AQ127" s="4905"/>
      <c r="AR127" s="4905"/>
      <c r="AS127" s="4905"/>
      <c r="AT127" s="4905"/>
      <c r="AU127" s="4905"/>
      <c r="AV127" s="4905"/>
      <c r="AW127" s="4905"/>
      <c r="AX127" s="4905"/>
      <c r="AY127" s="4905"/>
      <c r="AZ127" s="4905"/>
      <c r="BA127" s="4905"/>
      <c r="BB127" s="4905"/>
      <c r="BC127" s="4905"/>
      <c r="BD127" s="4905"/>
      <c r="BE127" s="4905"/>
      <c r="BF127" s="4905"/>
      <c r="BG127" s="4905"/>
      <c r="BH127" s="4905"/>
      <c r="BI127" s="4905"/>
      <c r="BJ127" s="4905"/>
      <c r="BK127" s="4905"/>
      <c r="BL127" s="4905"/>
      <c r="BM127" s="4905"/>
      <c r="BN127" s="4905"/>
      <c r="BO127" s="4905"/>
      <c r="BP127" s="4905"/>
      <c r="BQ127" s="4905"/>
      <c r="BR127" s="4905"/>
      <c r="BS127" s="4905"/>
      <c r="BT127" s="4905"/>
      <c r="BU127" s="4905"/>
      <c r="BV127" s="4905"/>
      <c r="BW127" s="4905"/>
      <c r="BX127" s="4905"/>
      <c r="BY127" s="4905"/>
      <c r="BZ127" s="4906"/>
      <c r="CA127" s="101"/>
      <c r="DL127" s="1599"/>
      <c r="DP127" s="2469" t="str">
        <f t="shared" si="104"/>
        <v/>
      </c>
      <c r="DQ127" s="2470"/>
      <c r="DR127" s="2470"/>
      <c r="DS127" s="2471"/>
    </row>
    <row r="128" spans="2:137" ht="17.100000000000001" customHeight="1" x14ac:dyDescent="0.25">
      <c r="B128" s="4907"/>
      <c r="C128" s="4908"/>
      <c r="D128" s="4908"/>
      <c r="E128" s="4908"/>
      <c r="F128" s="4908"/>
      <c r="G128" s="4908"/>
      <c r="H128" s="4908"/>
      <c r="I128" s="4908"/>
      <c r="J128" s="4908"/>
      <c r="K128" s="4908"/>
      <c r="L128" s="4908"/>
      <c r="M128" s="4908"/>
      <c r="N128" s="4908"/>
      <c r="O128" s="4908"/>
      <c r="P128" s="4908"/>
      <c r="Q128" s="4908"/>
      <c r="R128" s="4908"/>
      <c r="S128" s="4908"/>
      <c r="T128" s="4908"/>
      <c r="U128" s="4908"/>
      <c r="V128" s="4908"/>
      <c r="W128" s="4908"/>
      <c r="X128" s="4908"/>
      <c r="Y128" s="4908"/>
      <c r="Z128" s="4908"/>
      <c r="AA128" s="4908"/>
      <c r="AB128" s="4908"/>
      <c r="AC128" s="4908"/>
      <c r="AD128" s="4908"/>
      <c r="AE128" s="4908"/>
      <c r="AF128" s="4908"/>
      <c r="AG128" s="4908"/>
      <c r="AH128" s="4908"/>
      <c r="AI128" s="4908"/>
      <c r="AJ128" s="4908"/>
      <c r="AK128" s="4908"/>
      <c r="AL128" s="4908"/>
      <c r="AM128" s="4908"/>
      <c r="AN128" s="4908"/>
      <c r="AO128" s="4908"/>
      <c r="AP128" s="4908"/>
      <c r="AQ128" s="4908"/>
      <c r="AR128" s="4908"/>
      <c r="AS128" s="4908"/>
      <c r="AT128" s="4908"/>
      <c r="AU128" s="4908"/>
      <c r="AV128" s="4908"/>
      <c r="AW128" s="4908"/>
      <c r="AX128" s="4908"/>
      <c r="AY128" s="4908"/>
      <c r="AZ128" s="4908"/>
      <c r="BA128" s="4908"/>
      <c r="BB128" s="4908"/>
      <c r="BC128" s="4908"/>
      <c r="BD128" s="4908"/>
      <c r="BE128" s="4908"/>
      <c r="BF128" s="4908"/>
      <c r="BG128" s="4908"/>
      <c r="BH128" s="4908"/>
      <c r="BI128" s="4908"/>
      <c r="BJ128" s="4908"/>
      <c r="BK128" s="4908"/>
      <c r="BL128" s="4908"/>
      <c r="BM128" s="4908"/>
      <c r="BN128" s="4908"/>
      <c r="BO128" s="4908"/>
      <c r="BP128" s="4908"/>
      <c r="BQ128" s="4908"/>
      <c r="BR128" s="4908"/>
      <c r="BS128" s="4908"/>
      <c r="BT128" s="4908"/>
      <c r="BU128" s="4908"/>
      <c r="BV128" s="4908"/>
      <c r="BW128" s="4908"/>
      <c r="BX128" s="4908"/>
      <c r="BY128" s="4908"/>
      <c r="BZ128" s="4909"/>
      <c r="CA128" s="101"/>
      <c r="DL128" s="1599"/>
      <c r="DP128" s="2469" t="str">
        <f t="shared" si="104"/>
        <v/>
      </c>
      <c r="DQ128" s="2470"/>
      <c r="DR128" s="2470"/>
      <c r="DS128" s="2471"/>
    </row>
    <row r="129" spans="2:123" ht="17.100000000000001" customHeight="1" x14ac:dyDescent="0.25">
      <c r="B129" s="1015"/>
      <c r="C129" s="1016"/>
      <c r="D129" s="1016"/>
      <c r="E129" s="1016"/>
      <c r="F129" s="1016"/>
      <c r="G129" s="1016"/>
      <c r="H129" s="1016"/>
      <c r="I129" s="1016"/>
      <c r="J129" s="1016"/>
      <c r="K129" s="1016"/>
      <c r="L129" s="1016"/>
      <c r="M129" s="1016"/>
      <c r="N129" s="1016"/>
      <c r="O129" s="1016"/>
      <c r="P129" s="1016"/>
      <c r="Q129" s="1016"/>
      <c r="R129" s="1016"/>
      <c r="S129" s="1016"/>
      <c r="T129" s="1016"/>
      <c r="U129" s="1016"/>
      <c r="V129" s="1016"/>
      <c r="W129" s="1016"/>
      <c r="X129" s="1016"/>
      <c r="Y129" s="1016"/>
      <c r="Z129" s="1016"/>
      <c r="AA129" s="1016"/>
      <c r="AB129" s="1016"/>
      <c r="AC129" s="2608"/>
      <c r="AD129" s="1016"/>
      <c r="AE129" s="1016"/>
      <c r="AF129" s="1016"/>
      <c r="AG129" s="1016"/>
      <c r="AH129" s="1016"/>
      <c r="AI129" s="1016"/>
      <c r="AJ129" s="1016"/>
      <c r="AK129" s="1016"/>
      <c r="AL129" s="1016"/>
      <c r="AM129" s="1016"/>
      <c r="AN129" s="2610"/>
      <c r="AO129" s="1016"/>
      <c r="AP129" s="1016"/>
      <c r="AQ129" s="1016"/>
      <c r="AR129" s="1016"/>
      <c r="AS129" s="1016"/>
      <c r="AT129" s="1016"/>
      <c r="AU129" s="1016"/>
      <c r="AV129" s="1016"/>
      <c r="AW129" s="1016"/>
      <c r="AX129" s="1016"/>
      <c r="AY129" s="1016"/>
      <c r="AZ129" s="1016"/>
      <c r="BA129" s="1016"/>
      <c r="BB129" s="1016"/>
      <c r="BC129" s="1016"/>
      <c r="BD129" s="1016"/>
      <c r="BE129" s="1016"/>
      <c r="BF129" s="1016"/>
      <c r="BG129" s="1016"/>
      <c r="BH129" s="1016"/>
      <c r="BI129" s="1016"/>
      <c r="BJ129" s="1016"/>
      <c r="BK129" s="1016"/>
      <c r="BL129" s="1016"/>
      <c r="BM129" s="1016"/>
      <c r="BN129" s="1016"/>
      <c r="BO129" s="1016"/>
      <c r="BP129" s="1016"/>
      <c r="BQ129" s="1016"/>
      <c r="BR129" s="1016"/>
      <c r="BS129" s="1016"/>
      <c r="BT129" s="1016"/>
      <c r="BU129" s="1016"/>
      <c r="BV129" s="1016"/>
      <c r="BW129" s="1016"/>
      <c r="BX129" s="1016"/>
      <c r="BY129" s="1016"/>
      <c r="BZ129" s="1017"/>
      <c r="CA129" s="101"/>
      <c r="DL129" s="1599"/>
      <c r="DP129" s="2469" t="str">
        <f t="shared" si="104"/>
        <v/>
      </c>
      <c r="DQ129" s="2470"/>
      <c r="DR129" s="2470"/>
      <c r="DS129" s="2471"/>
    </row>
    <row r="130" spans="2:123" ht="17.100000000000001" customHeight="1" x14ac:dyDescent="0.25">
      <c r="B130" s="1015"/>
      <c r="C130" s="1016"/>
      <c r="D130" s="1016"/>
      <c r="E130" s="1016"/>
      <c r="F130" s="1016"/>
      <c r="G130" s="1016"/>
      <c r="H130" s="1016"/>
      <c r="I130" s="1016"/>
      <c r="J130" s="1016"/>
      <c r="K130" s="1016"/>
      <c r="L130" s="1016"/>
      <c r="M130" s="1016"/>
      <c r="N130" s="1016"/>
      <c r="O130" s="1016"/>
      <c r="P130" s="1016"/>
      <c r="Q130" s="1016"/>
      <c r="R130" s="1016"/>
      <c r="S130" s="1016"/>
      <c r="T130" s="1016"/>
      <c r="U130" s="1016"/>
      <c r="V130" s="1016"/>
      <c r="W130" s="1016"/>
      <c r="X130" s="1016"/>
      <c r="Y130" s="1016"/>
      <c r="Z130" s="1016"/>
      <c r="AA130" s="1016"/>
      <c r="AB130" s="1016"/>
      <c r="AC130" s="1016"/>
      <c r="AD130" s="1016"/>
      <c r="AE130" s="1016"/>
      <c r="AF130" s="1016"/>
      <c r="AG130" s="1016"/>
      <c r="AH130" s="1016"/>
      <c r="AI130" s="1016"/>
      <c r="AJ130" s="1016"/>
      <c r="AK130" s="1016"/>
      <c r="AL130" s="1016"/>
      <c r="AM130" s="1016"/>
      <c r="AN130" s="1016"/>
      <c r="AO130" s="1016"/>
      <c r="AP130" s="1016"/>
      <c r="AQ130" s="1016"/>
      <c r="AR130" s="1016"/>
      <c r="AS130" s="1016"/>
      <c r="AT130" s="1016"/>
      <c r="AU130" s="1016"/>
      <c r="AV130" s="1016"/>
      <c r="AW130" s="1016"/>
      <c r="AX130" s="1016"/>
      <c r="AY130" s="1016"/>
      <c r="AZ130" s="1016"/>
      <c r="BA130" s="1016"/>
      <c r="BB130" s="1016"/>
      <c r="BC130" s="1016"/>
      <c r="BD130" s="1016"/>
      <c r="BE130" s="1016"/>
      <c r="BF130" s="1016"/>
      <c r="BG130" s="1016"/>
      <c r="BH130" s="1016"/>
      <c r="BI130" s="1016"/>
      <c r="BJ130" s="1016"/>
      <c r="BK130" s="1016"/>
      <c r="BL130" s="1016"/>
      <c r="BM130" s="1016"/>
      <c r="BN130" s="1016"/>
      <c r="BO130" s="1016"/>
      <c r="BP130" s="1016"/>
      <c r="BQ130" s="1016"/>
      <c r="BR130" s="1016"/>
      <c r="BS130" s="1016"/>
      <c r="BT130" s="1016"/>
      <c r="BU130" s="1016"/>
      <c r="BV130" s="1016"/>
      <c r="BW130" s="1016"/>
      <c r="BX130" s="1016"/>
      <c r="BY130" s="1016"/>
      <c r="BZ130" s="1017"/>
      <c r="CA130" s="101"/>
      <c r="DL130" s="1599"/>
      <c r="DP130" s="2469" t="str">
        <f t="shared" si="104"/>
        <v/>
      </c>
      <c r="DQ130" s="2470"/>
      <c r="DR130" s="2470"/>
      <c r="DS130" s="2471"/>
    </row>
    <row r="131" spans="2:123" ht="17.100000000000001" customHeight="1" x14ac:dyDescent="0.25">
      <c r="B131" s="1015"/>
      <c r="C131" s="1016"/>
      <c r="D131" s="1016"/>
      <c r="E131" s="1016"/>
      <c r="F131" s="1016"/>
      <c r="G131" s="1016"/>
      <c r="H131" s="1016"/>
      <c r="I131" s="1016"/>
      <c r="J131" s="1016"/>
      <c r="K131" s="1016"/>
      <c r="L131" s="2609"/>
      <c r="M131" s="2612"/>
      <c r="N131" s="2613" t="s">
        <v>134</v>
      </c>
      <c r="O131" s="2612"/>
      <c r="P131" s="2612"/>
      <c r="Q131" s="2612"/>
      <c r="R131" s="2612"/>
      <c r="S131" s="2612"/>
      <c r="T131" s="2612"/>
      <c r="U131" s="2612"/>
      <c r="V131" s="2612"/>
      <c r="W131" s="2612"/>
      <c r="X131" s="2612"/>
      <c r="Y131" s="2612"/>
      <c r="Z131" s="2612"/>
      <c r="AA131" s="2613" t="s">
        <v>494</v>
      </c>
      <c r="AB131" s="2612"/>
      <c r="AC131" s="2612"/>
      <c r="AD131" s="2612"/>
      <c r="AE131" s="2612"/>
      <c r="AF131" s="2612"/>
      <c r="AG131" s="2612"/>
      <c r="AH131" s="2612"/>
      <c r="AI131" s="2612"/>
      <c r="AJ131" s="2612"/>
      <c r="AK131" s="2612"/>
      <c r="AL131" s="2612"/>
      <c r="AM131" s="2612"/>
      <c r="AN131" s="2613" t="s">
        <v>135</v>
      </c>
      <c r="AO131" s="2612"/>
      <c r="AP131" s="2612"/>
      <c r="AQ131" s="2612"/>
      <c r="AR131" s="2612"/>
      <c r="AS131" s="2612"/>
      <c r="AT131" s="2612"/>
      <c r="AU131" s="2612"/>
      <c r="AV131" s="2612"/>
      <c r="AW131" s="2612"/>
      <c r="AX131" s="2612"/>
      <c r="AY131" s="2612"/>
      <c r="AZ131" s="2612"/>
      <c r="BA131" s="2613" t="s">
        <v>1406</v>
      </c>
      <c r="BB131" s="2612"/>
      <c r="BC131" s="2612"/>
      <c r="BD131" s="2612"/>
      <c r="BE131" s="2612"/>
      <c r="BF131" s="2612"/>
      <c r="BG131" s="2612"/>
      <c r="BH131" s="2612"/>
      <c r="BI131" s="2612"/>
      <c r="BJ131" s="2612"/>
      <c r="BK131" s="2612"/>
      <c r="BL131" s="2612"/>
      <c r="BM131" s="2612"/>
      <c r="BN131" s="2613" t="s">
        <v>136</v>
      </c>
      <c r="BO131" s="2612"/>
      <c r="BP131" s="2609"/>
      <c r="BQ131" s="1016"/>
      <c r="BR131" s="1016"/>
      <c r="BS131" s="1016"/>
      <c r="BT131" s="1016"/>
      <c r="BU131" s="1016"/>
      <c r="BV131" s="1016"/>
      <c r="BW131" s="1016"/>
      <c r="BX131" s="1016"/>
      <c r="BY131" s="1016"/>
      <c r="BZ131" s="1017"/>
      <c r="CA131" s="101"/>
      <c r="CC131" s="441"/>
      <c r="DL131" s="1599"/>
      <c r="DP131" s="2469" t="str">
        <f t="shared" si="104"/>
        <v/>
      </c>
      <c r="DQ131" s="2470"/>
      <c r="DR131" s="2470"/>
      <c r="DS131" s="2471"/>
    </row>
    <row r="132" spans="2:123" ht="17.100000000000001" customHeight="1" x14ac:dyDescent="0.25">
      <c r="B132" s="1015"/>
      <c r="C132" s="1016"/>
      <c r="D132" s="1016"/>
      <c r="E132" s="1016"/>
      <c r="F132" s="1016"/>
      <c r="G132" s="1016"/>
      <c r="H132" s="1016"/>
      <c r="I132" s="1016"/>
      <c r="J132" s="1016"/>
      <c r="K132" s="1016"/>
      <c r="L132" s="1016"/>
      <c r="M132" s="4900">
        <v>20</v>
      </c>
      <c r="N132" s="4901"/>
      <c r="O132" s="4902"/>
      <c r="P132" s="2612"/>
      <c r="Q132" s="2612"/>
      <c r="R132" s="2612"/>
      <c r="S132" s="2612"/>
      <c r="T132" s="2612"/>
      <c r="U132" s="2612"/>
      <c r="V132" s="2612"/>
      <c r="W132" s="2612"/>
      <c r="X132" s="2612"/>
      <c r="Y132" s="2612"/>
      <c r="Z132" s="4900">
        <v>40</v>
      </c>
      <c r="AA132" s="4901"/>
      <c r="AB132" s="4902"/>
      <c r="AC132" s="2612"/>
      <c r="AD132" s="2612"/>
      <c r="AE132" s="2612"/>
      <c r="AF132" s="2612"/>
      <c r="AG132" s="2612"/>
      <c r="AH132" s="2612"/>
      <c r="AI132" s="2612"/>
      <c r="AJ132" s="2612"/>
      <c r="AK132" s="2612"/>
      <c r="AL132" s="2612"/>
      <c r="AM132" s="4900">
        <v>20</v>
      </c>
      <c r="AN132" s="4901"/>
      <c r="AO132" s="4902"/>
      <c r="AP132" s="2612"/>
      <c r="AQ132" s="2612"/>
      <c r="AR132" s="2612"/>
      <c r="AS132" s="2612"/>
      <c r="AT132" s="2612"/>
      <c r="AU132" s="2612"/>
      <c r="AV132" s="2612"/>
      <c r="AW132" s="2612"/>
      <c r="AX132" s="2612"/>
      <c r="AY132" s="2612"/>
      <c r="AZ132" s="4900">
        <v>0</v>
      </c>
      <c r="BA132" s="4901"/>
      <c r="BB132" s="4902"/>
      <c r="BC132" s="2612"/>
      <c r="BD132" s="2612"/>
      <c r="BE132" s="2612"/>
      <c r="BF132" s="2612"/>
      <c r="BG132" s="2612"/>
      <c r="BH132" s="2612"/>
      <c r="BI132" s="2612"/>
      <c r="BJ132" s="2612"/>
      <c r="BK132" s="2612"/>
      <c r="BL132" s="2612"/>
      <c r="BM132" s="4900">
        <v>10</v>
      </c>
      <c r="BN132" s="4901"/>
      <c r="BO132" s="4902"/>
      <c r="BP132" s="1016"/>
      <c r="BQ132" s="1016"/>
      <c r="BR132" s="1016"/>
      <c r="BS132" s="1016"/>
      <c r="BT132" s="1016"/>
      <c r="BU132" s="1016"/>
      <c r="BV132" s="1016"/>
      <c r="BW132" s="1016"/>
      <c r="BX132" s="1016"/>
      <c r="BY132" s="1016"/>
      <c r="BZ132" s="1017"/>
      <c r="CA132" s="101"/>
      <c r="CC132" s="441"/>
      <c r="DL132" s="1599"/>
      <c r="DP132" s="2469" t="str">
        <f t="shared" si="104"/>
        <v/>
      </c>
      <c r="DQ132" s="2470"/>
      <c r="DR132" s="2470"/>
      <c r="DS132" s="2471"/>
    </row>
    <row r="133" spans="2:123" ht="17.100000000000001" customHeight="1" x14ac:dyDescent="0.25">
      <c r="B133" s="1015"/>
      <c r="C133" s="1016"/>
      <c r="D133" s="1016"/>
      <c r="E133" s="1016"/>
      <c r="F133" s="1016"/>
      <c r="G133" s="1016"/>
      <c r="H133" s="1016"/>
      <c r="I133" s="1016"/>
      <c r="J133" s="1016"/>
      <c r="K133" s="1016"/>
      <c r="L133" s="1016"/>
      <c r="M133" s="1016"/>
      <c r="N133" s="2611" t="s">
        <v>512</v>
      </c>
      <c r="O133" s="1016"/>
      <c r="P133" s="1016"/>
      <c r="Q133" s="1016"/>
      <c r="R133" s="1016"/>
      <c r="S133" s="1016"/>
      <c r="T133" s="1016"/>
      <c r="U133" s="1016"/>
      <c r="V133" s="1016"/>
      <c r="W133" s="1016"/>
      <c r="X133" s="1016"/>
      <c r="Y133" s="1016"/>
      <c r="Z133" s="1016"/>
      <c r="AA133" s="2611" t="s">
        <v>512</v>
      </c>
      <c r="AB133" s="1016"/>
      <c r="AC133" s="1016"/>
      <c r="AD133" s="1016"/>
      <c r="AE133" s="1016"/>
      <c r="AF133" s="1016"/>
      <c r="AG133" s="1016"/>
      <c r="AH133" s="1016"/>
      <c r="AI133" s="1016"/>
      <c r="AJ133" s="1016"/>
      <c r="AK133" s="1016"/>
      <c r="AL133" s="1016"/>
      <c r="AM133" s="1016"/>
      <c r="AN133" s="2611" t="s">
        <v>512</v>
      </c>
      <c r="AO133" s="1016"/>
      <c r="AP133" s="1016"/>
      <c r="AQ133" s="1016"/>
      <c r="AR133" s="1016"/>
      <c r="AS133" s="1016"/>
      <c r="AT133" s="1016"/>
      <c r="AU133" s="1016"/>
      <c r="AV133" s="1016"/>
      <c r="AW133" s="1016"/>
      <c r="AX133" s="1016"/>
      <c r="AY133" s="1016"/>
      <c r="AZ133" s="1016"/>
      <c r="BA133" s="2611" t="s">
        <v>512</v>
      </c>
      <c r="BB133" s="1016"/>
      <c r="BC133" s="1016"/>
      <c r="BD133" s="1016"/>
      <c r="BE133" s="1016"/>
      <c r="BF133" s="1016"/>
      <c r="BG133" s="1016"/>
      <c r="BH133" s="1016"/>
      <c r="BI133" s="1016"/>
      <c r="BJ133" s="1016"/>
      <c r="BK133" s="1016"/>
      <c r="BL133" s="1016"/>
      <c r="BM133" s="1016"/>
      <c r="BN133" s="2611" t="s">
        <v>512</v>
      </c>
      <c r="BO133" s="1016"/>
      <c r="BP133" s="1016"/>
      <c r="BQ133" s="1016"/>
      <c r="BR133" s="1016"/>
      <c r="BS133" s="1016"/>
      <c r="BT133" s="1016"/>
      <c r="BU133" s="1016"/>
      <c r="BV133" s="1016"/>
      <c r="BW133" s="1016"/>
      <c r="BX133" s="1016"/>
      <c r="BY133" s="1016"/>
      <c r="BZ133" s="1017"/>
      <c r="CA133" s="101"/>
      <c r="CC133" s="441"/>
      <c r="DL133" s="1599"/>
      <c r="DP133" s="2469" t="str">
        <f t="shared" si="104"/>
        <v/>
      </c>
      <c r="DQ133" s="2470"/>
      <c r="DR133" s="2470"/>
      <c r="DS133" s="2471"/>
    </row>
    <row r="134" spans="2:123" ht="17.100000000000001" customHeight="1" x14ac:dyDescent="0.25">
      <c r="B134" s="1015"/>
      <c r="C134" s="1016"/>
      <c r="D134" s="1016"/>
      <c r="E134" s="1016"/>
      <c r="F134" s="1016"/>
      <c r="G134" s="1016"/>
      <c r="H134" s="1016"/>
      <c r="I134" s="1016"/>
      <c r="J134" s="1016"/>
      <c r="K134" s="1016"/>
      <c r="L134" s="1016"/>
      <c r="M134" s="1016"/>
      <c r="N134" s="4903" t="s">
        <v>76</v>
      </c>
      <c r="O134" s="2614"/>
      <c r="P134" s="2614"/>
      <c r="Q134" s="2614"/>
      <c r="R134" s="2614"/>
      <c r="S134" s="2614"/>
      <c r="T134" s="2614"/>
      <c r="U134" s="2614"/>
      <c r="V134" s="2614"/>
      <c r="W134" s="2614"/>
      <c r="X134" s="2614"/>
      <c r="Y134" s="2614"/>
      <c r="Z134" s="2614"/>
      <c r="AA134" s="4903" t="s">
        <v>76</v>
      </c>
      <c r="AB134" s="2614"/>
      <c r="AC134" s="2614"/>
      <c r="AD134" s="2614"/>
      <c r="AE134" s="2614"/>
      <c r="AF134" s="2614"/>
      <c r="AG134" s="2614"/>
      <c r="AH134" s="2614"/>
      <c r="AI134" s="2614"/>
      <c r="AJ134" s="2614"/>
      <c r="AK134" s="2614"/>
      <c r="AL134" s="2614"/>
      <c r="AM134" s="2614"/>
      <c r="AN134" s="4903" t="s">
        <v>76</v>
      </c>
      <c r="AO134" s="2614"/>
      <c r="AP134" s="2614"/>
      <c r="AQ134" s="2614"/>
      <c r="AR134" s="2614"/>
      <c r="AS134" s="2614"/>
      <c r="AT134" s="2614"/>
      <c r="AU134" s="2614"/>
      <c r="AV134" s="2614"/>
      <c r="AW134" s="2614"/>
      <c r="AX134" s="2614"/>
      <c r="AY134" s="2614"/>
      <c r="AZ134" s="2614"/>
      <c r="BA134" s="4903" t="s">
        <v>76</v>
      </c>
      <c r="BB134" s="2614"/>
      <c r="BC134" s="2614"/>
      <c r="BD134" s="2614"/>
      <c r="BE134" s="2614"/>
      <c r="BF134" s="2614"/>
      <c r="BG134" s="2614"/>
      <c r="BH134" s="2614"/>
      <c r="BI134" s="2614"/>
      <c r="BJ134" s="2614"/>
      <c r="BK134" s="2614"/>
      <c r="BL134" s="2614"/>
      <c r="BM134" s="2614"/>
      <c r="BN134" s="4903" t="s">
        <v>76</v>
      </c>
      <c r="BO134" s="2614"/>
      <c r="BP134" s="1016"/>
      <c r="BQ134" s="1016"/>
      <c r="BR134" s="1016"/>
      <c r="BS134" s="1016"/>
      <c r="BT134" s="1016"/>
      <c r="BU134" s="1016"/>
      <c r="BV134" s="1016"/>
      <c r="BW134" s="1016"/>
      <c r="BX134" s="1016"/>
      <c r="BY134" s="1016"/>
      <c r="BZ134" s="1017"/>
      <c r="CA134" s="101"/>
      <c r="CC134" s="441"/>
      <c r="DL134" s="1599"/>
      <c r="DP134" s="2469" t="str">
        <f t="shared" si="104"/>
        <v/>
      </c>
      <c r="DQ134" s="2470"/>
      <c r="DR134" s="2470"/>
      <c r="DS134" s="2471"/>
    </row>
    <row r="135" spans="2:123" ht="17.100000000000001" customHeight="1" x14ac:dyDescent="0.25">
      <c r="B135" s="1015"/>
      <c r="C135" s="1016"/>
      <c r="D135" s="1016"/>
      <c r="E135" s="1016"/>
      <c r="F135" s="1016"/>
      <c r="G135" s="1016"/>
      <c r="H135" s="1016"/>
      <c r="I135" s="1016"/>
      <c r="J135" s="1016"/>
      <c r="K135" s="1016"/>
      <c r="L135" s="1016"/>
      <c r="M135" s="1016"/>
      <c r="N135" s="4903"/>
      <c r="O135" s="2614"/>
      <c r="P135" s="2614"/>
      <c r="Q135" s="2614"/>
      <c r="R135" s="2614"/>
      <c r="S135" s="2614"/>
      <c r="T135" s="2614"/>
      <c r="U135" s="2614"/>
      <c r="V135" s="2614"/>
      <c r="W135" s="2614"/>
      <c r="X135" s="2614"/>
      <c r="Y135" s="2614"/>
      <c r="Z135" s="2614"/>
      <c r="AA135" s="4903"/>
      <c r="AB135" s="2614"/>
      <c r="AC135" s="2614"/>
      <c r="AD135" s="2614"/>
      <c r="AE135" s="2614"/>
      <c r="AF135" s="2614"/>
      <c r="AG135" s="2614"/>
      <c r="AH135" s="2614"/>
      <c r="AI135" s="2614"/>
      <c r="AJ135" s="2614"/>
      <c r="AK135" s="2614"/>
      <c r="AL135" s="2614"/>
      <c r="AM135" s="2614"/>
      <c r="AN135" s="4903"/>
      <c r="AO135" s="2614"/>
      <c r="AP135" s="2614"/>
      <c r="AQ135" s="2614"/>
      <c r="AR135" s="2614"/>
      <c r="AS135" s="2614"/>
      <c r="AT135" s="2614"/>
      <c r="AU135" s="2614"/>
      <c r="AV135" s="2614"/>
      <c r="AW135" s="2614"/>
      <c r="AX135" s="2614"/>
      <c r="AY135" s="2614"/>
      <c r="AZ135" s="2614"/>
      <c r="BA135" s="4903"/>
      <c r="BB135" s="2614"/>
      <c r="BC135" s="2614"/>
      <c r="BD135" s="2614"/>
      <c r="BE135" s="2614"/>
      <c r="BF135" s="2614"/>
      <c r="BG135" s="2614"/>
      <c r="BH135" s="2614"/>
      <c r="BI135" s="2614"/>
      <c r="BJ135" s="2614"/>
      <c r="BK135" s="2614"/>
      <c r="BL135" s="2614"/>
      <c r="BM135" s="2614"/>
      <c r="BN135" s="4903"/>
      <c r="BO135" s="2614"/>
      <c r="BP135" s="1016"/>
      <c r="BQ135" s="1016"/>
      <c r="BR135" s="1016"/>
      <c r="BS135" s="1016"/>
      <c r="BT135" s="1016"/>
      <c r="BU135" s="1016"/>
      <c r="BV135" s="1016"/>
      <c r="BW135" s="1016"/>
      <c r="BX135" s="1016"/>
      <c r="BY135" s="1016"/>
      <c r="BZ135" s="1017"/>
      <c r="CA135" s="101"/>
      <c r="CC135" s="441"/>
      <c r="DL135" s="1599"/>
      <c r="DP135" s="2474" t="str">
        <f t="shared" si="104"/>
        <v/>
      </c>
      <c r="DQ135" s="2475"/>
      <c r="DR135" s="2475"/>
      <c r="DS135" s="2476"/>
    </row>
    <row r="136" spans="2:123" ht="17.100000000000001" customHeight="1" thickBot="1" x14ac:dyDescent="0.3">
      <c r="B136" s="2620"/>
      <c r="C136" s="2615"/>
      <c r="D136" s="2615"/>
      <c r="E136" s="2615"/>
      <c r="F136" s="2615"/>
      <c r="G136" s="2615"/>
      <c r="H136" s="2615"/>
      <c r="I136" s="2615"/>
      <c r="J136" s="2615"/>
      <c r="K136" s="2615"/>
      <c r="L136" s="2615"/>
      <c r="M136" s="2622">
        <f>M132</f>
        <v>20</v>
      </c>
      <c r="N136" s="2618" t="str">
        <f>IF(M136=1," HOUR "&amp;N131," HOURS "&amp;N131)</f>
        <v xml:space="preserve"> HOURS GAMING</v>
      </c>
      <c r="O136" s="2619"/>
      <c r="P136" s="2619"/>
      <c r="Q136" s="2619"/>
      <c r="R136" s="2619"/>
      <c r="S136" s="2619"/>
      <c r="T136" s="2619"/>
      <c r="U136" s="2619"/>
      <c r="V136" s="2619"/>
      <c r="W136" s="2619"/>
      <c r="X136" s="2619"/>
      <c r="Y136" s="2619"/>
      <c r="Z136" s="2622">
        <f>Z132</f>
        <v>40</v>
      </c>
      <c r="AA136" s="2618" t="str">
        <f>IF(Z136=1," HOUR "&amp;AA131," HOURS "&amp;AA131)</f>
        <v xml:space="preserve"> HOURS OVERALL</v>
      </c>
      <c r="AB136" s="2619"/>
      <c r="AC136" s="2619"/>
      <c r="AD136" s="2619"/>
      <c r="AE136" s="2619"/>
      <c r="AF136" s="2619"/>
      <c r="AG136" s="2619"/>
      <c r="AH136" s="2619"/>
      <c r="AI136" s="2619"/>
      <c r="AJ136" s="2619"/>
      <c r="AK136" s="2619"/>
      <c r="AL136" s="2619"/>
      <c r="AM136" s="2622">
        <f>AM132</f>
        <v>20</v>
      </c>
      <c r="AN136" s="2618" t="str">
        <f>IF(AM136=1," HOUR "&amp;AN131," HOURS "&amp;AN131)</f>
        <v xml:space="preserve"> HOURS TV</v>
      </c>
      <c r="AO136" s="2619"/>
      <c r="AP136" s="2619"/>
      <c r="AQ136" s="2619"/>
      <c r="AR136" s="2619"/>
      <c r="AS136" s="2619"/>
      <c r="AT136" s="2619"/>
      <c r="AU136" s="2619"/>
      <c r="AV136" s="2619"/>
      <c r="AW136" s="2619"/>
      <c r="AX136" s="2619"/>
      <c r="AY136" s="2619"/>
      <c r="AZ136" s="2622">
        <f>AZ132</f>
        <v>0</v>
      </c>
      <c r="BA136" s="2618" t="str">
        <f>IF(AZ136=1," HOUR "&amp;BA131," HOURS "&amp;BA131)</f>
        <v xml:space="preserve"> HOURS WILD CARD</v>
      </c>
      <c r="BB136" s="2619"/>
      <c r="BC136" s="2619"/>
      <c r="BD136" s="2619"/>
      <c r="BE136" s="2619"/>
      <c r="BF136" s="2619"/>
      <c r="BG136" s="2619"/>
      <c r="BH136" s="2619"/>
      <c r="BI136" s="2619"/>
      <c r="BJ136" s="2619"/>
      <c r="BK136" s="2619"/>
      <c r="BL136" s="2619"/>
      <c r="BM136" s="2622">
        <f>BM132</f>
        <v>10</v>
      </c>
      <c r="BN136" s="2618" t="str">
        <f>IF(BM136=1," HOUR "&amp;BN131," HOURS "&amp;BN131)</f>
        <v xml:space="preserve"> HOURS FILM</v>
      </c>
      <c r="BO136" s="2619"/>
      <c r="BP136" s="2619"/>
      <c r="BQ136" s="2615"/>
      <c r="BR136" s="2615"/>
      <c r="BS136" s="2615"/>
      <c r="BT136" s="2615"/>
      <c r="BU136" s="2615"/>
      <c r="BV136" s="2615"/>
      <c r="BW136" s="2615"/>
      <c r="BX136" s="2615"/>
      <c r="BY136" s="2615"/>
      <c r="BZ136" s="2621"/>
      <c r="CA136" s="101"/>
      <c r="CC136" s="441"/>
      <c r="DL136" s="1599"/>
      <c r="DP136" s="2474" t="s">
        <v>1544</v>
      </c>
      <c r="DQ136" s="2475"/>
      <c r="DR136" s="2475"/>
      <c r="DS136" s="2476"/>
    </row>
    <row r="137" spans="2:123" ht="17.100000000000001" customHeight="1" thickTop="1" x14ac:dyDescent="0.25">
      <c r="CA137" s="101"/>
      <c r="CC137" s="441"/>
      <c r="DL137" s="1599"/>
      <c r="DP137" s="2474" t="s">
        <v>379</v>
      </c>
      <c r="DQ137" s="2475"/>
      <c r="DR137" s="2475"/>
      <c r="DS137" s="2476"/>
    </row>
    <row r="138" spans="2:123" ht="17.100000000000001" customHeight="1" x14ac:dyDescent="0.25">
      <c r="CA138" s="101"/>
      <c r="CC138" s="441"/>
      <c r="DL138" s="1599"/>
      <c r="DP138" s="2474" t="s">
        <v>380</v>
      </c>
      <c r="DQ138" s="2475"/>
      <c r="DR138" s="2475"/>
      <c r="DS138" s="2476"/>
    </row>
    <row r="139" spans="2:123" ht="17.100000000000001" customHeight="1" x14ac:dyDescent="0.25">
      <c r="CC139" s="441"/>
      <c r="DL139" s="2474"/>
      <c r="DM139" s="2475"/>
      <c r="DN139" s="2475"/>
      <c r="DO139" s="2476"/>
      <c r="DP139" s="2474" t="s">
        <v>381</v>
      </c>
      <c r="DQ139" s="2475"/>
      <c r="DR139" s="2475"/>
      <c r="DS139" s="2476"/>
    </row>
    <row r="140" spans="2:123" ht="17.100000000000001" customHeight="1" x14ac:dyDescent="0.15">
      <c r="AK140" s="28"/>
      <c r="AL140" s="28"/>
      <c r="AM140" s="28"/>
      <c r="AN140" s="28"/>
      <c r="AO140" s="28"/>
      <c r="AP140" s="28"/>
      <c r="AQ140" s="28"/>
      <c r="AR140" s="28"/>
      <c r="AS140" s="28"/>
      <c r="AT140" s="28"/>
      <c r="AU140" s="28"/>
      <c r="CC140" s="441"/>
    </row>
    <row r="141" spans="2:123" ht="17.100000000000001" customHeight="1" x14ac:dyDescent="0.15">
      <c r="AK141" s="28"/>
      <c r="AL141" s="28"/>
      <c r="AM141" s="28"/>
      <c r="AN141" s="28"/>
      <c r="AO141" s="28"/>
      <c r="AP141" s="28"/>
      <c r="AQ141" s="28"/>
      <c r="AR141" s="28"/>
      <c r="AS141" s="28"/>
      <c r="AT141" s="28"/>
      <c r="AU141" s="28"/>
      <c r="CC141" s="441"/>
    </row>
    <row r="142" spans="2:123" ht="17.100000000000001" customHeight="1" x14ac:dyDescent="0.15">
      <c r="AK142" s="28"/>
      <c r="AL142" s="28"/>
      <c r="AM142" s="28"/>
      <c r="AN142" s="28"/>
      <c r="AO142" s="28"/>
      <c r="AP142" s="28"/>
      <c r="AQ142" s="28"/>
      <c r="AR142" s="28"/>
      <c r="AS142" s="28"/>
      <c r="AT142" s="28"/>
      <c r="AU142" s="28"/>
      <c r="CC142" s="441"/>
    </row>
    <row r="143" spans="2:123" ht="17.100000000000001" customHeight="1" x14ac:dyDescent="0.15">
      <c r="AK143" s="28"/>
      <c r="AL143" s="28"/>
      <c r="AM143" s="28"/>
      <c r="AN143" s="28"/>
      <c r="AO143" s="28"/>
      <c r="AP143" s="28"/>
      <c r="AQ143" s="28"/>
      <c r="AR143" s="28"/>
      <c r="AS143" s="28"/>
      <c r="AT143" s="28"/>
      <c r="AU143" s="28"/>
      <c r="CC143" s="441"/>
    </row>
    <row r="144" spans="2:123" ht="17.100000000000001" customHeight="1" x14ac:dyDescent="0.15">
      <c r="AK144" s="28"/>
      <c r="AL144" s="28"/>
      <c r="AM144" s="28"/>
      <c r="AN144" s="28"/>
      <c r="AO144" s="28"/>
      <c r="AP144" s="28"/>
      <c r="AQ144" s="28"/>
      <c r="AR144" s="28"/>
      <c r="AS144" s="28"/>
      <c r="AT144" s="28"/>
      <c r="AU144" s="28"/>
      <c r="CC144" s="441"/>
    </row>
    <row r="145" spans="37:81" ht="17.100000000000001" customHeight="1" x14ac:dyDescent="0.15">
      <c r="AK145" s="28"/>
      <c r="AL145" s="28"/>
      <c r="AM145" s="28"/>
      <c r="AN145" s="28"/>
      <c r="AO145" s="28"/>
      <c r="AP145" s="28"/>
      <c r="AQ145" s="28"/>
      <c r="AR145" s="28"/>
      <c r="AS145" s="28"/>
      <c r="AT145" s="28"/>
      <c r="AU145" s="28"/>
      <c r="CC145" s="441"/>
    </row>
    <row r="146" spans="37:81" ht="17.100000000000001" customHeight="1" x14ac:dyDescent="0.15">
      <c r="AK146" s="28"/>
      <c r="AL146" s="28"/>
      <c r="AM146" s="28"/>
      <c r="AN146" s="28"/>
      <c r="AO146" s="28"/>
      <c r="AP146" s="28"/>
      <c r="AQ146" s="28"/>
      <c r="AR146" s="28"/>
      <c r="AS146" s="28"/>
      <c r="AT146" s="28"/>
      <c r="AU146" s="28"/>
      <c r="CC146" s="441"/>
    </row>
    <row r="147" spans="37:81" ht="17.100000000000001" customHeight="1" x14ac:dyDescent="0.15">
      <c r="AK147" s="28"/>
      <c r="AL147" s="28"/>
      <c r="AM147" s="28"/>
      <c r="AN147" s="28"/>
      <c r="AO147" s="28"/>
      <c r="AP147" s="28"/>
      <c r="AQ147" s="28"/>
      <c r="AR147" s="28"/>
      <c r="AS147" s="28"/>
      <c r="AT147" s="28"/>
      <c r="AU147" s="28"/>
    </row>
    <row r="148" spans="37:81" ht="17.100000000000001" customHeight="1" x14ac:dyDescent="0.15">
      <c r="AK148" s="28"/>
      <c r="AL148" s="28"/>
      <c r="AM148" s="28"/>
      <c r="AN148" s="28"/>
      <c r="AO148" s="28"/>
      <c r="AP148" s="28"/>
      <c r="AQ148" s="28"/>
      <c r="AR148" s="28"/>
      <c r="AS148" s="28"/>
      <c r="AT148" s="28"/>
      <c r="AU148" s="28"/>
    </row>
  </sheetData>
  <sheetProtection sheet="1" objects="1" scenarios="1"/>
  <sortState xmlns:xlrd2="http://schemas.microsoft.com/office/spreadsheetml/2017/richdata2" ref="EL76:EL101">
    <sortCondition ref="EL101"/>
  </sortState>
  <mergeCells count="1175">
    <mergeCell ref="B2:C3"/>
    <mergeCell ref="AL73:AM73"/>
    <mergeCell ref="B71:H71"/>
    <mergeCell ref="AL54:AL55"/>
    <mergeCell ref="V50:W51"/>
    <mergeCell ref="Z54:AB55"/>
    <mergeCell ref="AL50:AL51"/>
    <mergeCell ref="AM50:AM51"/>
    <mergeCell ref="AM54:AM55"/>
    <mergeCell ref="AI54:AI55"/>
    <mergeCell ref="AC54:AC55"/>
    <mergeCell ref="Z56:AA56"/>
    <mergeCell ref="X66:Y66"/>
    <mergeCell ref="AB67:AH67"/>
    <mergeCell ref="V57:W58"/>
    <mergeCell ref="X69:Y69"/>
    <mergeCell ref="AM68:AO68"/>
    <mergeCell ref="B68:L68"/>
    <mergeCell ref="AN54:AN55"/>
    <mergeCell ref="V67:W67"/>
    <mergeCell ref="X67:Y67"/>
    <mergeCell ref="AF54:AF55"/>
    <mergeCell ref="C51:P51"/>
    <mergeCell ref="AI10:AK10"/>
    <mergeCell ref="C50:P50"/>
    <mergeCell ref="C46:P46"/>
    <mergeCell ref="H32:K32"/>
    <mergeCell ref="C55:P55"/>
    <mergeCell ref="H34:K34"/>
    <mergeCell ref="R7:S7"/>
    <mergeCell ref="V2:X3"/>
    <mergeCell ref="AB13:AL13"/>
    <mergeCell ref="BY2:BZ3"/>
    <mergeCell ref="AY2:AZ3"/>
    <mergeCell ref="Y2:Z3"/>
    <mergeCell ref="Z50:AB51"/>
    <mergeCell ref="V69:W69"/>
    <mergeCell ref="AY50:AY51"/>
    <mergeCell ref="AG50:AG51"/>
    <mergeCell ref="AX50:AX51"/>
    <mergeCell ref="AC50:AC51"/>
    <mergeCell ref="BA46:BA47"/>
    <mergeCell ref="AJ50:AJ51"/>
    <mergeCell ref="AP54:AP55"/>
    <mergeCell ref="AV54:AV55"/>
    <mergeCell ref="AW54:AW55"/>
    <mergeCell ref="BL2:BP3"/>
    <mergeCell ref="AB8:AH8"/>
    <mergeCell ref="B41:S42"/>
    <mergeCell ref="Q48:R48"/>
    <mergeCell ref="H33:K33"/>
    <mergeCell ref="Q45:R45"/>
    <mergeCell ref="C45:P45"/>
    <mergeCell ref="V8:W8"/>
    <mergeCell ref="BN20:BO20"/>
    <mergeCell ref="BL20:BM20"/>
    <mergeCell ref="BM19:BO19"/>
    <mergeCell ref="BI20:BK20"/>
    <mergeCell ref="BP19:BR19"/>
    <mergeCell ref="BB20:BH20"/>
    <mergeCell ref="BB19:BL19"/>
    <mergeCell ref="AI20:AK20"/>
    <mergeCell ref="AL18:AM18"/>
    <mergeCell ref="Z59:AA59"/>
    <mergeCell ref="BI81:BK81"/>
    <mergeCell ref="Z52:AA52"/>
    <mergeCell ref="L71:M71"/>
    <mergeCell ref="P75:Q75"/>
    <mergeCell ref="R75:S75"/>
    <mergeCell ref="T75:U75"/>
    <mergeCell ref="B74:L74"/>
    <mergeCell ref="M74:O74"/>
    <mergeCell ref="R73:S73"/>
    <mergeCell ref="AM76:AO76"/>
    <mergeCell ref="AN79:AO79"/>
    <mergeCell ref="M70:O70"/>
    <mergeCell ref="P70:Q70"/>
    <mergeCell ref="N69:O69"/>
    <mergeCell ref="R67:S67"/>
    <mergeCell ref="T67:U67"/>
    <mergeCell ref="AI67:AK67"/>
    <mergeCell ref="AB68:AL68"/>
    <mergeCell ref="AN67:AO67"/>
    <mergeCell ref="T71:U71"/>
    <mergeCell ref="B72:L72"/>
    <mergeCell ref="Z58:AB58"/>
    <mergeCell ref="N79:O79"/>
    <mergeCell ref="V77:W77"/>
    <mergeCell ref="N75:O75"/>
    <mergeCell ref="M72:O72"/>
    <mergeCell ref="B73:H73"/>
    <mergeCell ref="I73:K73"/>
    <mergeCell ref="AM74:AO74"/>
    <mergeCell ref="L67:M67"/>
    <mergeCell ref="N67:O67"/>
    <mergeCell ref="AL67:AM67"/>
    <mergeCell ref="BI117:BK117"/>
    <mergeCell ref="BL117:BM117"/>
    <mergeCell ref="BN117:BO117"/>
    <mergeCell ref="BP80:BR80"/>
    <mergeCell ref="BA54:BA55"/>
    <mergeCell ref="BP67:BR67"/>
    <mergeCell ref="BE54:BE55"/>
    <mergeCell ref="BP102:BR102"/>
    <mergeCell ref="BP104:BR104"/>
    <mergeCell ref="BP89:BR89"/>
    <mergeCell ref="BB115:BH115"/>
    <mergeCell ref="BI115:BK115"/>
    <mergeCell ref="BN87:BO87"/>
    <mergeCell ref="BP107:BR107"/>
    <mergeCell ref="BM108:BO108"/>
    <mergeCell ref="BP95:BR95"/>
    <mergeCell ref="BP99:BR99"/>
    <mergeCell ref="BN77:BO77"/>
    <mergeCell ref="BP81:BR81"/>
    <mergeCell ref="BL79:BM79"/>
    <mergeCell ref="BP93:BR93"/>
    <mergeCell ref="BB114:BL114"/>
    <mergeCell ref="BM114:BO114"/>
    <mergeCell ref="BB109:BH109"/>
    <mergeCell ref="BI109:BK109"/>
    <mergeCell ref="BL83:BM83"/>
    <mergeCell ref="BB84:BL84"/>
    <mergeCell ref="BP87:BR87"/>
    <mergeCell ref="BB93:BH93"/>
    <mergeCell ref="BP105:BR105"/>
    <mergeCell ref="BP85:BR85"/>
    <mergeCell ref="BL67:BM67"/>
    <mergeCell ref="AD2:AF3"/>
    <mergeCell ref="AQ2:AR3"/>
    <mergeCell ref="T9:U9"/>
    <mergeCell ref="BB13:BL13"/>
    <mergeCell ref="AL2:AP3"/>
    <mergeCell ref="AJ2:AK3"/>
    <mergeCell ref="BB7:BL7"/>
    <mergeCell ref="I10:K10"/>
    <mergeCell ref="R9:S9"/>
    <mergeCell ref="R10:S10"/>
    <mergeCell ref="P7:Q7"/>
    <mergeCell ref="R8:S8"/>
    <mergeCell ref="AN8:AO8"/>
    <mergeCell ref="I12:K12"/>
    <mergeCell ref="P8:Q8"/>
    <mergeCell ref="AI14:AK14"/>
    <mergeCell ref="BB12:BH12"/>
    <mergeCell ref="BI14:BK14"/>
    <mergeCell ref="BB2:BC3"/>
    <mergeCell ref="AB2:AC3"/>
    <mergeCell ref="R12:S12"/>
    <mergeCell ref="T12:U12"/>
    <mergeCell ref="L12:M12"/>
    <mergeCell ref="X14:Y14"/>
    <mergeCell ref="P12:Q12"/>
    <mergeCell ref="N12:O12"/>
    <mergeCell ref="T8:U8"/>
    <mergeCell ref="AB7:AL7"/>
    <mergeCell ref="AM7:AO7"/>
    <mergeCell ref="T7:U7"/>
    <mergeCell ref="R14:S14"/>
    <mergeCell ref="AB11:AL11"/>
    <mergeCell ref="BM9:BO9"/>
    <mergeCell ref="X58:Y58"/>
    <mergeCell ref="P68:Q68"/>
    <mergeCell ref="AN18:AO18"/>
    <mergeCell ref="M19:O19"/>
    <mergeCell ref="AI16:AK16"/>
    <mergeCell ref="T16:U16"/>
    <mergeCell ref="BN12:BO12"/>
    <mergeCell ref="V11:W11"/>
    <mergeCell ref="X11:Y11"/>
    <mergeCell ref="V10:W10"/>
    <mergeCell ref="V66:W66"/>
    <mergeCell ref="AQ46:AQ47"/>
    <mergeCell ref="BB46:BB47"/>
    <mergeCell ref="BH33:BP33"/>
    <mergeCell ref="BF46:BF47"/>
    <mergeCell ref="AC35:AN35"/>
    <mergeCell ref="AY46:AY47"/>
    <mergeCell ref="AF46:AF47"/>
    <mergeCell ref="AG46:AG47"/>
    <mergeCell ref="AS46:AS47"/>
    <mergeCell ref="AU46:AU47"/>
    <mergeCell ref="AC28:AN28"/>
    <mergeCell ref="AB20:AH20"/>
    <mergeCell ref="Z48:AA48"/>
    <mergeCell ref="AK50:AK51"/>
    <mergeCell ref="AP46:AP47"/>
    <mergeCell ref="AV46:AV47"/>
    <mergeCell ref="BI18:BK18"/>
    <mergeCell ref="AQ54:AQ55"/>
    <mergeCell ref="AO33:AS33"/>
    <mergeCell ref="BM17:BO17"/>
    <mergeCell ref="B67:H67"/>
    <mergeCell ref="R66:S66"/>
    <mergeCell ref="T66:U66"/>
    <mergeCell ref="L10:M10"/>
    <mergeCell ref="N10:O10"/>
    <mergeCell ref="L77:M77"/>
    <mergeCell ref="B78:L78"/>
    <mergeCell ref="X76:Y76"/>
    <mergeCell ref="B76:L76"/>
    <mergeCell ref="V70:W70"/>
    <mergeCell ref="B77:H77"/>
    <mergeCell ref="I77:K77"/>
    <mergeCell ref="N71:O71"/>
    <mergeCell ref="M76:O76"/>
    <mergeCell ref="N77:O77"/>
    <mergeCell ref="T69:U69"/>
    <mergeCell ref="X54:Y55"/>
    <mergeCell ref="P69:Q69"/>
    <mergeCell ref="B70:L70"/>
    <mergeCell ref="B11:L11"/>
    <mergeCell ref="P10:Q10"/>
    <mergeCell ref="M15:O15"/>
    <mergeCell ref="Q51:R51"/>
    <mergeCell ref="X50:Y51"/>
    <mergeCell ref="V16:W16"/>
    <mergeCell ref="R11:S11"/>
    <mergeCell ref="T11:U11"/>
    <mergeCell ref="X18:Y18"/>
    <mergeCell ref="N18:O18"/>
    <mergeCell ref="Q52:R52"/>
    <mergeCell ref="T15:U15"/>
    <mergeCell ref="B13:L13"/>
    <mergeCell ref="BV12:BX12"/>
    <mergeCell ref="BL16:BM16"/>
    <mergeCell ref="AB14:AH14"/>
    <mergeCell ref="BB10:BH10"/>
    <mergeCell ref="BJ2:BK3"/>
    <mergeCell ref="AL14:AM14"/>
    <mergeCell ref="C107:O107"/>
    <mergeCell ref="H28:K28"/>
    <mergeCell ref="V46:W47"/>
    <mergeCell ref="Q46:R46"/>
    <mergeCell ref="C47:P47"/>
    <mergeCell ref="Q47:R47"/>
    <mergeCell ref="C48:P48"/>
    <mergeCell ref="X48:Y48"/>
    <mergeCell ref="X52:Y52"/>
    <mergeCell ref="V36:X37"/>
    <mergeCell ref="C56:P56"/>
    <mergeCell ref="Q56:R56"/>
    <mergeCell ref="C57:P57"/>
    <mergeCell ref="Q57:R57"/>
    <mergeCell ref="C58:P58"/>
    <mergeCell ref="Q58:R58"/>
    <mergeCell ref="BB8:BH8"/>
    <mergeCell ref="N91:O91"/>
    <mergeCell ref="P91:Q91"/>
    <mergeCell ref="C106:O106"/>
    <mergeCell ref="C99:O99"/>
    <mergeCell ref="C105:O105"/>
    <mergeCell ref="B82:L82"/>
    <mergeCell ref="C98:O98"/>
    <mergeCell ref="AN50:AN51"/>
    <mergeCell ref="AG54:AG55"/>
    <mergeCell ref="BV2:BX3"/>
    <mergeCell ref="BV8:BX8"/>
    <mergeCell ref="BV10:BX10"/>
    <mergeCell ref="BP14:BR14"/>
    <mergeCell ref="BP11:BR11"/>
    <mergeCell ref="BP7:BR7"/>
    <mergeCell ref="BP8:BR8"/>
    <mergeCell ref="BQ2:BR3"/>
    <mergeCell ref="BB9:BL9"/>
    <mergeCell ref="BI12:BK12"/>
    <mergeCell ref="BI16:BK16"/>
    <mergeCell ref="BI8:BK8"/>
    <mergeCell ref="BM15:BO15"/>
    <mergeCell ref="BB15:BL15"/>
    <mergeCell ref="BN8:BO8"/>
    <mergeCell ref="AB9:AL9"/>
    <mergeCell ref="BD2:BF3"/>
    <mergeCell ref="BN14:BO14"/>
    <mergeCell ref="AV2:AX3"/>
    <mergeCell ref="BP9:BR9"/>
    <mergeCell ref="BL8:BM8"/>
    <mergeCell ref="BP16:BR16"/>
    <mergeCell ref="BI10:BK10"/>
    <mergeCell ref="BN10:BO10"/>
    <mergeCell ref="BM7:BO7"/>
    <mergeCell ref="BV16:BX16"/>
    <mergeCell ref="BM11:BO11"/>
    <mergeCell ref="AB15:AL15"/>
    <mergeCell ref="AM13:AO13"/>
    <mergeCell ref="AL12:AM12"/>
    <mergeCell ref="BB14:BH14"/>
    <mergeCell ref="AN14:AO14"/>
    <mergeCell ref="BP10:BR10"/>
    <mergeCell ref="AN12:AO12"/>
    <mergeCell ref="BL10:BM10"/>
    <mergeCell ref="V12:W12"/>
    <mergeCell ref="BB18:BH18"/>
    <mergeCell ref="B8:H8"/>
    <mergeCell ref="N8:O8"/>
    <mergeCell ref="AI8:AK8"/>
    <mergeCell ref="BV18:BX18"/>
    <mergeCell ref="BB16:BH16"/>
    <mergeCell ref="BP13:BR13"/>
    <mergeCell ref="BN16:BO16"/>
    <mergeCell ref="BP12:BR12"/>
    <mergeCell ref="BV14:BX14"/>
    <mergeCell ref="AB17:AL17"/>
    <mergeCell ref="P11:Q11"/>
    <mergeCell ref="BL12:BM12"/>
    <mergeCell ref="BB11:BL11"/>
    <mergeCell ref="B10:H10"/>
    <mergeCell ref="AN10:AO10"/>
    <mergeCell ref="T10:U10"/>
    <mergeCell ref="V18:W18"/>
    <mergeCell ref="V9:W9"/>
    <mergeCell ref="AM11:AO11"/>
    <mergeCell ref="X12:Y12"/>
    <mergeCell ref="V13:W13"/>
    <mergeCell ref="I14:K14"/>
    <mergeCell ref="X10:Y10"/>
    <mergeCell ref="AL8:AM8"/>
    <mergeCell ref="X8:Y8"/>
    <mergeCell ref="X9:Y9"/>
    <mergeCell ref="AB10:AH10"/>
    <mergeCell ref="L8:M8"/>
    <mergeCell ref="V7:W7"/>
    <mergeCell ref="B9:L9"/>
    <mergeCell ref="Q2:R3"/>
    <mergeCell ref="M9:O9"/>
    <mergeCell ref="AM9:AO9"/>
    <mergeCell ref="AC30:AN30"/>
    <mergeCell ref="AO25:AS25"/>
    <mergeCell ref="AO28:AS28"/>
    <mergeCell ref="L34:T34"/>
    <mergeCell ref="R17:S17"/>
    <mergeCell ref="T17:U17"/>
    <mergeCell ref="J2:K3"/>
    <mergeCell ref="X7:Y7"/>
    <mergeCell ref="M7:O7"/>
    <mergeCell ref="P9:Q9"/>
    <mergeCell ref="B7:L7"/>
    <mergeCell ref="I8:K8"/>
    <mergeCell ref="D2:F3"/>
    <mergeCell ref="L2:P3"/>
    <mergeCell ref="N16:O16"/>
    <mergeCell ref="P16:Q16"/>
    <mergeCell ref="M11:O11"/>
    <mergeCell ref="AO29:AS29"/>
    <mergeCell ref="P20:Q20"/>
    <mergeCell ref="AC31:AN31"/>
    <mergeCell ref="B24:C25"/>
    <mergeCell ref="X19:Y19"/>
    <mergeCell ref="B12:H12"/>
    <mergeCell ref="AL10:AM10"/>
    <mergeCell ref="AB12:AH12"/>
    <mergeCell ref="AI12:AK12"/>
    <mergeCell ref="BM13:BO13"/>
    <mergeCell ref="BC46:BC47"/>
    <mergeCell ref="R18:S18"/>
    <mergeCell ref="B19:L19"/>
    <mergeCell ref="AW46:AW47"/>
    <mergeCell ref="BQ34:BT34"/>
    <mergeCell ref="BQ35:BT35"/>
    <mergeCell ref="BQ46:BS46"/>
    <mergeCell ref="L35:T35"/>
    <mergeCell ref="C44:P44"/>
    <mergeCell ref="AR46:AR47"/>
    <mergeCell ref="D24:F25"/>
    <mergeCell ref="P19:Q19"/>
    <mergeCell ref="L14:M14"/>
    <mergeCell ref="AC27:AN27"/>
    <mergeCell ref="BB17:BL17"/>
    <mergeCell ref="BL14:BM14"/>
    <mergeCell ref="BP15:BR15"/>
    <mergeCell ref="P13:Q13"/>
    <mergeCell ref="X13:Y13"/>
    <mergeCell ref="R13:S13"/>
    <mergeCell ref="X16:Y16"/>
    <mergeCell ref="T14:U14"/>
    <mergeCell ref="AC26:AN26"/>
    <mergeCell ref="B20:H20"/>
    <mergeCell ref="H30:K30"/>
    <mergeCell ref="H29:K29"/>
    <mergeCell ref="AN16:AO16"/>
    <mergeCell ref="L31:T31"/>
    <mergeCell ref="AC25:AN25"/>
    <mergeCell ref="BN18:BO18"/>
    <mergeCell ref="B15:L15"/>
    <mergeCell ref="CH22:CI22"/>
    <mergeCell ref="BT45:BV45"/>
    <mergeCell ref="BT44:BV44"/>
    <mergeCell ref="BT50:BV50"/>
    <mergeCell ref="AO50:AO51"/>
    <mergeCell ref="AP50:AP51"/>
    <mergeCell ref="BJ49:BP49"/>
    <mergeCell ref="AQ50:AQ51"/>
    <mergeCell ref="AR50:AR51"/>
    <mergeCell ref="AS50:AS51"/>
    <mergeCell ref="AT50:AT51"/>
    <mergeCell ref="AU50:AU51"/>
    <mergeCell ref="AV50:AV51"/>
    <mergeCell ref="BJ45:BP45"/>
    <mergeCell ref="AO46:AO47"/>
    <mergeCell ref="CC43:CE43"/>
    <mergeCell ref="AX46:AX47"/>
    <mergeCell ref="AO26:AS26"/>
    <mergeCell ref="AO27:AS27"/>
    <mergeCell ref="AW50:AW51"/>
    <mergeCell ref="AZ50:AZ51"/>
    <mergeCell ref="AO30:AS30"/>
    <mergeCell ref="BH34:BP34"/>
    <mergeCell ref="BH35:BP35"/>
    <mergeCell ref="BH36:BP36"/>
    <mergeCell ref="BV24:BX25"/>
    <mergeCell ref="BJ47:BP47"/>
    <mergeCell ref="BJ51:BP51"/>
    <mergeCell ref="BQ45:BS45"/>
    <mergeCell ref="BQ44:BS44"/>
    <mergeCell ref="BW49:BY49"/>
    <mergeCell ref="BY24:BZ25"/>
    <mergeCell ref="BW48:BY48"/>
    <mergeCell ref="BQ49:BS49"/>
    <mergeCell ref="BQ48:BS48"/>
    <mergeCell ref="BP18:BR18"/>
    <mergeCell ref="AB18:AH18"/>
    <mergeCell ref="AI18:AK18"/>
    <mergeCell ref="BL18:BM18"/>
    <mergeCell ref="BP17:BR17"/>
    <mergeCell ref="L16:M16"/>
    <mergeCell ref="R16:S16"/>
    <mergeCell ref="BV20:BX20"/>
    <mergeCell ref="AD46:AD47"/>
    <mergeCell ref="AE46:AE47"/>
    <mergeCell ref="I20:K20"/>
    <mergeCell ref="P17:Q17"/>
    <mergeCell ref="BG27:BU27"/>
    <mergeCell ref="BP20:BR20"/>
    <mergeCell ref="AL16:AM16"/>
    <mergeCell ref="AB16:AH16"/>
    <mergeCell ref="BW46:BY46"/>
    <mergeCell ref="BW47:BY47"/>
    <mergeCell ref="P15:Q15"/>
    <mergeCell ref="B14:H14"/>
    <mergeCell ref="I16:K16"/>
    <mergeCell ref="P14:Q14"/>
    <mergeCell ref="R15:S15"/>
    <mergeCell ref="AO32:AS32"/>
    <mergeCell ref="T13:U13"/>
    <mergeCell ref="M13:O13"/>
    <mergeCell ref="AM15:AO15"/>
    <mergeCell ref="R20:S20"/>
    <mergeCell ref="V19:W19"/>
    <mergeCell ref="AC33:AN33"/>
    <mergeCell ref="V20:W20"/>
    <mergeCell ref="V14:W14"/>
    <mergeCell ref="AM17:AO17"/>
    <mergeCell ref="N14:O14"/>
    <mergeCell ref="T20:U20"/>
    <mergeCell ref="P18:Q18"/>
    <mergeCell ref="X15:Y15"/>
    <mergeCell ref="L18:M18"/>
    <mergeCell ref="N20:O20"/>
    <mergeCell ref="M17:O17"/>
    <mergeCell ref="B18:H18"/>
    <mergeCell ref="B16:H16"/>
    <mergeCell ref="B66:L66"/>
    <mergeCell ref="Q53:R53"/>
    <mergeCell ref="C54:P54"/>
    <mergeCell ref="AZ46:AZ47"/>
    <mergeCell ref="BD46:BD47"/>
    <mergeCell ref="BA50:BA51"/>
    <mergeCell ref="AD50:AD51"/>
    <mergeCell ref="BJ44:BP44"/>
    <mergeCell ref="AL46:AL47"/>
    <mergeCell ref="AH50:AH51"/>
    <mergeCell ref="Q44:R44"/>
    <mergeCell ref="AT46:AT47"/>
    <mergeCell ref="BD50:BD51"/>
    <mergeCell ref="AZ54:AZ55"/>
    <mergeCell ref="L36:T36"/>
    <mergeCell ref="AN46:AN47"/>
    <mergeCell ref="T19:U19"/>
    <mergeCell ref="X20:Y20"/>
    <mergeCell ref="AC32:AN32"/>
    <mergeCell ref="AO31:AS31"/>
    <mergeCell ref="L30:T30"/>
    <mergeCell ref="L29:T29"/>
    <mergeCell ref="AK54:AK55"/>
    <mergeCell ref="AO54:AO55"/>
    <mergeCell ref="BM66:BO66"/>
    <mergeCell ref="BJ52:BP52"/>
    <mergeCell ref="BF50:BF51"/>
    <mergeCell ref="BI41:BZ42"/>
    <mergeCell ref="BT52:BV52"/>
    <mergeCell ref="BT53:BV53"/>
    <mergeCell ref="BW45:BY45"/>
    <mergeCell ref="BW44:BY44"/>
    <mergeCell ref="I71:K71"/>
    <mergeCell ref="P71:Q71"/>
    <mergeCell ref="R71:S71"/>
    <mergeCell ref="AE50:AE51"/>
    <mergeCell ref="R68:S68"/>
    <mergeCell ref="T68:U68"/>
    <mergeCell ref="V68:W68"/>
    <mergeCell ref="M68:O68"/>
    <mergeCell ref="I67:K67"/>
    <mergeCell ref="P67:Q67"/>
    <mergeCell ref="G27:U27"/>
    <mergeCell ref="H35:K35"/>
    <mergeCell ref="AC34:AN34"/>
    <mergeCell ref="X17:Y17"/>
    <mergeCell ref="Z46:AB47"/>
    <mergeCell ref="I18:K18"/>
    <mergeCell ref="AC36:AN36"/>
    <mergeCell ref="H31:K31"/>
    <mergeCell ref="R70:S70"/>
    <mergeCell ref="T70:U70"/>
    <mergeCell ref="R19:S19"/>
    <mergeCell ref="AM19:AO19"/>
    <mergeCell ref="AC29:AN29"/>
    <mergeCell ref="AN20:AO20"/>
    <mergeCell ref="AB19:AL19"/>
    <mergeCell ref="X46:Y47"/>
    <mergeCell ref="AO36:AS36"/>
    <mergeCell ref="AM46:AM47"/>
    <mergeCell ref="L28:T28"/>
    <mergeCell ref="AC46:AC47"/>
    <mergeCell ref="X56:Y56"/>
    <mergeCell ref="Q54:R54"/>
    <mergeCell ref="B75:H75"/>
    <mergeCell ref="L33:T33"/>
    <mergeCell ref="L32:T32"/>
    <mergeCell ref="V15:W15"/>
    <mergeCell ref="Q55:R55"/>
    <mergeCell ref="H36:K36"/>
    <mergeCell ref="V17:W17"/>
    <mergeCell ref="M66:O66"/>
    <mergeCell ref="V54:W55"/>
    <mergeCell ref="C53:P53"/>
    <mergeCell ref="C52:P52"/>
    <mergeCell ref="R69:S69"/>
    <mergeCell ref="X78:Y78"/>
    <mergeCell ref="X77:Y77"/>
    <mergeCell ref="L69:M69"/>
    <mergeCell ref="I69:K69"/>
    <mergeCell ref="B69:H69"/>
    <mergeCell ref="B17:L17"/>
    <mergeCell ref="X68:Y68"/>
    <mergeCell ref="X59:Y59"/>
    <mergeCell ref="P66:Q66"/>
    <mergeCell ref="T18:U18"/>
    <mergeCell ref="R76:S76"/>
    <mergeCell ref="T76:U76"/>
    <mergeCell ref="L20:M20"/>
    <mergeCell ref="U41:BG42"/>
    <mergeCell ref="BE46:BE47"/>
    <mergeCell ref="AL20:AM20"/>
    <mergeCell ref="AO34:AS34"/>
    <mergeCell ref="AR54:AR55"/>
    <mergeCell ref="Q50:R50"/>
    <mergeCell ref="AS54:AS55"/>
    <mergeCell ref="V80:W80"/>
    <mergeCell ref="R85:S85"/>
    <mergeCell ref="T85:U85"/>
    <mergeCell ref="V85:W85"/>
    <mergeCell ref="P85:Q85"/>
    <mergeCell ref="P78:Q78"/>
    <mergeCell ref="R78:S78"/>
    <mergeCell ref="X73:Y73"/>
    <mergeCell ref="L73:M73"/>
    <mergeCell ref="N73:O73"/>
    <mergeCell ref="M78:O78"/>
    <mergeCell ref="P76:Q76"/>
    <mergeCell ref="L79:M79"/>
    <mergeCell ref="V76:W76"/>
    <mergeCell ref="X80:Y80"/>
    <mergeCell ref="B80:L80"/>
    <mergeCell ref="B79:H79"/>
    <mergeCell ref="I79:K79"/>
    <mergeCell ref="L75:M75"/>
    <mergeCell ref="I75:K75"/>
    <mergeCell ref="P77:Q77"/>
    <mergeCell ref="R77:S77"/>
    <mergeCell ref="T78:U78"/>
    <mergeCell ref="M80:O80"/>
    <mergeCell ref="X79:Y79"/>
    <mergeCell ref="P74:Q74"/>
    <mergeCell ref="R74:S74"/>
    <mergeCell ref="T74:U74"/>
    <mergeCell ref="V78:W78"/>
    <mergeCell ref="P84:Q84"/>
    <mergeCell ref="L85:M85"/>
    <mergeCell ref="N85:O85"/>
    <mergeCell ref="I83:K83"/>
    <mergeCell ref="M84:O84"/>
    <mergeCell ref="B89:H89"/>
    <mergeCell ref="I89:K89"/>
    <mergeCell ref="P89:Q89"/>
    <mergeCell ref="T89:U89"/>
    <mergeCell ref="V89:W89"/>
    <mergeCell ref="X84:Y84"/>
    <mergeCell ref="X85:Y85"/>
    <mergeCell ref="I85:K85"/>
    <mergeCell ref="R84:S84"/>
    <mergeCell ref="L83:M83"/>
    <mergeCell ref="N83:O83"/>
    <mergeCell ref="P83:Q83"/>
    <mergeCell ref="R83:S83"/>
    <mergeCell ref="V83:W83"/>
    <mergeCell ref="T87:U87"/>
    <mergeCell ref="V87:W87"/>
    <mergeCell ref="X88:Y88"/>
    <mergeCell ref="B87:H87"/>
    <mergeCell ref="B84:L84"/>
    <mergeCell ref="T84:U84"/>
    <mergeCell ref="V84:W84"/>
    <mergeCell ref="P86:Q86"/>
    <mergeCell ref="R86:S86"/>
    <mergeCell ref="T86:U86"/>
    <mergeCell ref="N81:O81"/>
    <mergeCell ref="R90:S90"/>
    <mergeCell ref="T90:U90"/>
    <mergeCell ref="V90:W90"/>
    <mergeCell ref="X89:Y89"/>
    <mergeCell ref="B88:L88"/>
    <mergeCell ref="M88:O88"/>
    <mergeCell ref="P88:Q88"/>
    <mergeCell ref="B86:L86"/>
    <mergeCell ref="L87:M87"/>
    <mergeCell ref="N87:O87"/>
    <mergeCell ref="P87:Q87"/>
    <mergeCell ref="R87:S87"/>
    <mergeCell ref="T83:U83"/>
    <mergeCell ref="M82:O82"/>
    <mergeCell ref="P82:Q82"/>
    <mergeCell ref="R81:S81"/>
    <mergeCell ref="V81:W81"/>
    <mergeCell ref="X81:Y81"/>
    <mergeCell ref="R82:S82"/>
    <mergeCell ref="T82:U82"/>
    <mergeCell ref="V82:W82"/>
    <mergeCell ref="X82:Y82"/>
    <mergeCell ref="X90:Y90"/>
    <mergeCell ref="L89:M89"/>
    <mergeCell ref="X86:Y86"/>
    <mergeCell ref="M86:O86"/>
    <mergeCell ref="X83:Y83"/>
    <mergeCell ref="B81:H81"/>
    <mergeCell ref="I81:K81"/>
    <mergeCell ref="L81:M81"/>
    <mergeCell ref="B83:H83"/>
    <mergeCell ref="AC106:AP106"/>
    <mergeCell ref="AQ106:AW106"/>
    <mergeCell ref="BM90:BO90"/>
    <mergeCell ref="AC107:AP107"/>
    <mergeCell ref="BL105:BM105"/>
    <mergeCell ref="AQ112:AW112"/>
    <mergeCell ref="AC108:AP108"/>
    <mergeCell ref="C112:O112"/>
    <mergeCell ref="C102:O102"/>
    <mergeCell ref="C103:O103"/>
    <mergeCell ref="N89:O89"/>
    <mergeCell ref="R89:S89"/>
    <mergeCell ref="BN89:BO89"/>
    <mergeCell ref="X87:Y87"/>
    <mergeCell ref="C100:O100"/>
    <mergeCell ref="P92:Q92"/>
    <mergeCell ref="BB89:BH89"/>
    <mergeCell ref="BI89:BK89"/>
    <mergeCell ref="AB93:AH93"/>
    <mergeCell ref="AI93:AK93"/>
    <mergeCell ref="AL93:AM93"/>
    <mergeCell ref="AN93:AO93"/>
    <mergeCell ref="AC102:AP102"/>
    <mergeCell ref="R88:S88"/>
    <mergeCell ref="T88:U88"/>
    <mergeCell ref="V88:W88"/>
    <mergeCell ref="R91:S91"/>
    <mergeCell ref="BM92:BO92"/>
    <mergeCell ref="I87:K87"/>
    <mergeCell ref="BB105:BH105"/>
    <mergeCell ref="BI105:BK105"/>
    <mergeCell ref="AQ105:AW105"/>
    <mergeCell ref="AC113:AP113"/>
    <mergeCell ref="AQ113:AW113"/>
    <mergeCell ref="BL101:BM101"/>
    <mergeCell ref="BL99:BM99"/>
    <mergeCell ref="AC100:AP100"/>
    <mergeCell ref="AQ100:AW100"/>
    <mergeCell ref="BB100:BL100"/>
    <mergeCell ref="BB96:BL96"/>
    <mergeCell ref="BM96:BO96"/>
    <mergeCell ref="BN97:BO97"/>
    <mergeCell ref="AM92:AO92"/>
    <mergeCell ref="AL91:AM91"/>
    <mergeCell ref="AN91:AO91"/>
    <mergeCell ref="BB104:BL104"/>
    <mergeCell ref="BM94:BO94"/>
    <mergeCell ref="BL109:BM109"/>
    <mergeCell ref="BN109:BO109"/>
    <mergeCell ref="AC105:AP105"/>
    <mergeCell ref="AQ107:AW107"/>
    <mergeCell ref="BN95:BO95"/>
    <mergeCell ref="BM100:BO100"/>
    <mergeCell ref="BB98:BL98"/>
    <mergeCell ref="BB101:BH101"/>
    <mergeCell ref="BI93:BK93"/>
    <mergeCell ref="BL93:BM93"/>
    <mergeCell ref="BB95:BH95"/>
    <mergeCell ref="BI95:BK95"/>
    <mergeCell ref="BL95:BM95"/>
    <mergeCell ref="AC99:AP99"/>
    <mergeCell ref="BI101:BK101"/>
    <mergeCell ref="BB94:BL94"/>
    <mergeCell ref="AQ99:AW99"/>
    <mergeCell ref="AC114:AP114"/>
    <mergeCell ref="AQ108:AW108"/>
    <mergeCell ref="AC111:AP111"/>
    <mergeCell ref="AC98:AP98"/>
    <mergeCell ref="AQ98:AW98"/>
    <mergeCell ref="AL89:AM89"/>
    <mergeCell ref="AQ111:AW111"/>
    <mergeCell ref="AC112:AP112"/>
    <mergeCell ref="AQ114:AW114"/>
    <mergeCell ref="C113:O113"/>
    <mergeCell ref="C114:O114"/>
    <mergeCell ref="BB110:BL110"/>
    <mergeCell ref="T91:U91"/>
    <mergeCell ref="V91:W91"/>
    <mergeCell ref="X91:Y91"/>
    <mergeCell ref="X92:Y92"/>
    <mergeCell ref="B91:H91"/>
    <mergeCell ref="I91:K91"/>
    <mergeCell ref="L91:M91"/>
    <mergeCell ref="AQ110:AW110"/>
    <mergeCell ref="AC110:AP110"/>
    <mergeCell ref="AC109:AP109"/>
    <mergeCell ref="AQ109:AW109"/>
    <mergeCell ref="T92:U92"/>
    <mergeCell ref="V92:W92"/>
    <mergeCell ref="AB92:AL92"/>
    <mergeCell ref="C101:O101"/>
    <mergeCell ref="C104:O104"/>
    <mergeCell ref="AB91:AH91"/>
    <mergeCell ref="AI91:AK91"/>
    <mergeCell ref="BB102:BL102"/>
    <mergeCell ref="BB103:BH103"/>
    <mergeCell ref="V79:W79"/>
    <mergeCell ref="BN79:BO79"/>
    <mergeCell ref="BB79:BH79"/>
    <mergeCell ref="V86:W86"/>
    <mergeCell ref="B85:H85"/>
    <mergeCell ref="R93:S93"/>
    <mergeCell ref="T93:U93"/>
    <mergeCell ref="V93:W93"/>
    <mergeCell ref="X93:Y93"/>
    <mergeCell ref="B92:L92"/>
    <mergeCell ref="M92:O92"/>
    <mergeCell ref="B90:L90"/>
    <mergeCell ref="M90:O90"/>
    <mergeCell ref="P90:Q90"/>
    <mergeCell ref="B93:H93"/>
    <mergeCell ref="I93:K93"/>
    <mergeCell ref="BN93:BO93"/>
    <mergeCell ref="BM88:BO88"/>
    <mergeCell ref="BL89:BM89"/>
    <mergeCell ref="BB88:BL88"/>
    <mergeCell ref="BL87:BM87"/>
    <mergeCell ref="AN87:AO87"/>
    <mergeCell ref="BB90:BL90"/>
    <mergeCell ref="AB89:AH89"/>
    <mergeCell ref="BB92:BL92"/>
    <mergeCell ref="L93:M93"/>
    <mergeCell ref="N93:O93"/>
    <mergeCell ref="AL81:AM81"/>
    <mergeCell ref="P93:Q93"/>
    <mergeCell ref="P80:Q80"/>
    <mergeCell ref="R80:S80"/>
    <mergeCell ref="T80:U80"/>
    <mergeCell ref="AC101:AP101"/>
    <mergeCell ref="AQ101:AW101"/>
    <mergeCell ref="BI103:BK103"/>
    <mergeCell ref="BL103:BM103"/>
    <mergeCell ref="BN103:BO103"/>
    <mergeCell ref="BM102:BO102"/>
    <mergeCell ref="BB99:BH99"/>
    <mergeCell ref="BI99:BK99"/>
    <mergeCell ref="AN85:AO85"/>
    <mergeCell ref="R92:S92"/>
    <mergeCell ref="AM82:AO82"/>
    <mergeCell ref="AB82:AL82"/>
    <mergeCell ref="AB83:AH83"/>
    <mergeCell ref="AI83:AK83"/>
    <mergeCell ref="BI91:BK91"/>
    <mergeCell ref="BL91:BM91"/>
    <mergeCell ref="BB91:BH91"/>
    <mergeCell ref="BB85:BH85"/>
    <mergeCell ref="AL83:AM83"/>
    <mergeCell ref="AN83:AO83"/>
    <mergeCell ref="BI83:BK83"/>
    <mergeCell ref="AM84:AO84"/>
    <mergeCell ref="AL85:AM85"/>
    <mergeCell ref="BI85:BK85"/>
    <mergeCell ref="AB85:AH85"/>
    <mergeCell ref="AI85:AK85"/>
    <mergeCell ref="BN91:BO91"/>
    <mergeCell ref="BL85:BM85"/>
    <mergeCell ref="BN85:BO85"/>
    <mergeCell ref="AN89:AO89"/>
    <mergeCell ref="AB90:AL90"/>
    <mergeCell ref="AM90:AO90"/>
    <mergeCell ref="P72:Q72"/>
    <mergeCell ref="R72:S72"/>
    <mergeCell ref="P73:Q73"/>
    <mergeCell ref="BB74:BL74"/>
    <mergeCell ref="AM72:AO72"/>
    <mergeCell ref="V75:W75"/>
    <mergeCell ref="X75:Y75"/>
    <mergeCell ref="AB75:AH75"/>
    <mergeCell ref="T77:U77"/>
    <mergeCell ref="AB80:AL80"/>
    <mergeCell ref="AB81:AH81"/>
    <mergeCell ref="BM80:BO80"/>
    <mergeCell ref="AM80:AO80"/>
    <mergeCell ref="AI81:AK81"/>
    <mergeCell ref="AB79:AH79"/>
    <mergeCell ref="BI75:BK75"/>
    <mergeCell ref="BI79:BK79"/>
    <mergeCell ref="BI77:BK77"/>
    <mergeCell ref="X72:Y72"/>
    <mergeCell ref="P81:Q81"/>
    <mergeCell ref="T81:U81"/>
    <mergeCell ref="AN81:AO81"/>
    <mergeCell ref="BB81:BH81"/>
    <mergeCell ref="T72:U72"/>
    <mergeCell ref="AN77:AO77"/>
    <mergeCell ref="T73:U73"/>
    <mergeCell ref="V73:W73"/>
    <mergeCell ref="BN73:BO73"/>
    <mergeCell ref="V72:W72"/>
    <mergeCell ref="P79:Q79"/>
    <mergeCell ref="R79:S79"/>
    <mergeCell ref="T79:U79"/>
    <mergeCell ref="BJ53:BP53"/>
    <mergeCell ref="BJ54:BP54"/>
    <mergeCell ref="BT58:BV58"/>
    <mergeCell ref="BT47:BV47"/>
    <mergeCell ref="BW54:BY54"/>
    <mergeCell ref="BN71:BO71"/>
    <mergeCell ref="AN75:AO75"/>
    <mergeCell ref="AB76:AL76"/>
    <mergeCell ref="BT46:BV46"/>
    <mergeCell ref="BW52:BY52"/>
    <mergeCell ref="BW51:BY51"/>
    <mergeCell ref="BW50:BY50"/>
    <mergeCell ref="AL75:AM75"/>
    <mergeCell ref="AN73:AO73"/>
    <mergeCell ref="AB72:AL72"/>
    <mergeCell ref="AI50:AI51"/>
    <mergeCell ref="BT49:BV49"/>
    <mergeCell ref="BB50:BB51"/>
    <mergeCell ref="BC50:BC51"/>
    <mergeCell ref="BT48:BV48"/>
    <mergeCell ref="AK46:AK47"/>
    <mergeCell ref="AB71:AH71"/>
    <mergeCell ref="AI71:AK71"/>
    <mergeCell ref="BB75:BH75"/>
    <mergeCell ref="BJ50:BP50"/>
    <mergeCell ref="BW53:BY53"/>
    <mergeCell ref="BE50:BE51"/>
    <mergeCell ref="BJ48:BP48"/>
    <mergeCell ref="AI46:AI47"/>
    <mergeCell ref="AJ46:AJ47"/>
    <mergeCell ref="AH46:AH47"/>
    <mergeCell ref="AF50:AF51"/>
    <mergeCell ref="BL77:BM77"/>
    <mergeCell ref="BV67:BX67"/>
    <mergeCell ref="BV69:BX69"/>
    <mergeCell ref="BT57:BV57"/>
    <mergeCell ref="BJ58:BP58"/>
    <mergeCell ref="BB78:BL78"/>
    <mergeCell ref="BI71:BK71"/>
    <mergeCell ref="BP70:BR70"/>
    <mergeCell ref="BP68:BR68"/>
    <mergeCell ref="BP73:BR73"/>
    <mergeCell ref="BD54:BD55"/>
    <mergeCell ref="BI67:BK67"/>
    <mergeCell ref="BL73:BM73"/>
    <mergeCell ref="BP75:BR75"/>
    <mergeCell ref="BI73:BK73"/>
    <mergeCell ref="BB70:BL70"/>
    <mergeCell ref="BN69:BO69"/>
    <mergeCell ref="BP77:BR77"/>
    <mergeCell ref="BQ58:BS58"/>
    <mergeCell ref="BQ57:BS57"/>
    <mergeCell ref="BB66:BL66"/>
    <mergeCell ref="BM74:BO74"/>
    <mergeCell ref="BJ55:BP55"/>
    <mergeCell ref="BB73:BH73"/>
    <mergeCell ref="BW55:BY55"/>
    <mergeCell ref="BW58:BY58"/>
    <mergeCell ref="BW57:BY57"/>
    <mergeCell ref="BT55:BV55"/>
    <mergeCell ref="BJ57:BP57"/>
    <mergeCell ref="X70:Y70"/>
    <mergeCell ref="AB70:AL70"/>
    <mergeCell ref="V74:W74"/>
    <mergeCell ref="X74:Y74"/>
    <mergeCell ref="AM70:AO70"/>
    <mergeCell ref="BH32:BP32"/>
    <mergeCell ref="BQ28:BT28"/>
    <mergeCell ref="BQ32:BT32"/>
    <mergeCell ref="BQ33:BT33"/>
    <mergeCell ref="BD36:BF37"/>
    <mergeCell ref="BF54:BF55"/>
    <mergeCell ref="BQ47:BS47"/>
    <mergeCell ref="V71:W71"/>
    <mergeCell ref="X71:Y71"/>
    <mergeCell ref="BQ36:BT36"/>
    <mergeCell ref="BB36:BC37"/>
    <mergeCell ref="Y36:Z37"/>
    <mergeCell ref="BQ29:BT29"/>
    <mergeCell ref="BQ30:BT30"/>
    <mergeCell ref="BQ31:BT31"/>
    <mergeCell ref="BH28:BP28"/>
    <mergeCell ref="BH29:BP29"/>
    <mergeCell ref="BH30:BP30"/>
    <mergeCell ref="BH31:BP31"/>
    <mergeCell ref="BQ53:BS53"/>
    <mergeCell ref="BQ52:BS52"/>
    <mergeCell ref="BQ51:BS51"/>
    <mergeCell ref="AO35:AS35"/>
    <mergeCell ref="AY54:AY55"/>
    <mergeCell ref="AX54:AX55"/>
    <mergeCell ref="BQ50:BS50"/>
    <mergeCell ref="BJ46:BP46"/>
    <mergeCell ref="BP86:BR86"/>
    <mergeCell ref="BP88:BR88"/>
    <mergeCell ref="BP94:BR94"/>
    <mergeCell ref="AI89:AK89"/>
    <mergeCell ref="BM68:BO68"/>
    <mergeCell ref="BB67:BH67"/>
    <mergeCell ref="BP66:BR66"/>
    <mergeCell ref="BB80:BL80"/>
    <mergeCell ref="AN69:AO69"/>
    <mergeCell ref="BL71:BM71"/>
    <mergeCell ref="BP72:BR72"/>
    <mergeCell ref="AB66:AL66"/>
    <mergeCell ref="AT54:AT55"/>
    <mergeCell ref="AE54:AE55"/>
    <mergeCell ref="BB76:BL76"/>
    <mergeCell ref="BM76:BO76"/>
    <mergeCell ref="AL77:AM77"/>
    <mergeCell ref="AM88:AO88"/>
    <mergeCell ref="BB87:BH87"/>
    <mergeCell ref="BI87:BK87"/>
    <mergeCell ref="BB82:BL82"/>
    <mergeCell ref="BM70:BO70"/>
    <mergeCell ref="AN71:AO71"/>
    <mergeCell ref="AB73:AH73"/>
    <mergeCell ref="AB74:AL74"/>
    <mergeCell ref="AI75:AK75"/>
    <mergeCell ref="AL69:AM69"/>
    <mergeCell ref="AL71:AM71"/>
    <mergeCell ref="AI77:AK77"/>
    <mergeCell ref="BB77:BH77"/>
    <mergeCell ref="BB68:BL68"/>
    <mergeCell ref="BP78:BR78"/>
    <mergeCell ref="BP96:BR96"/>
    <mergeCell ref="BP90:BR90"/>
    <mergeCell ref="BP92:BR92"/>
    <mergeCell ref="BP83:BR83"/>
    <mergeCell ref="BB83:BH83"/>
    <mergeCell ref="BM82:BO82"/>
    <mergeCell ref="AB88:AL88"/>
    <mergeCell ref="BM84:BO84"/>
    <mergeCell ref="AJ54:AJ55"/>
    <mergeCell ref="AH54:AH55"/>
    <mergeCell ref="AD54:AD55"/>
    <mergeCell ref="AM66:AO66"/>
    <mergeCell ref="BP71:BR71"/>
    <mergeCell ref="AI79:AK79"/>
    <mergeCell ref="AL79:AM79"/>
    <mergeCell ref="AU54:AU55"/>
    <mergeCell ref="BJ56:BP56"/>
    <mergeCell ref="BB71:BH71"/>
    <mergeCell ref="BP74:BR74"/>
    <mergeCell ref="BP76:BR76"/>
    <mergeCell ref="AB86:AL86"/>
    <mergeCell ref="AM86:AO86"/>
    <mergeCell ref="AB84:AL84"/>
    <mergeCell ref="AB69:AH69"/>
    <mergeCell ref="BB86:BL86"/>
    <mergeCell ref="BM86:BO86"/>
    <mergeCell ref="AI69:AK69"/>
    <mergeCell ref="AI87:AK87"/>
    <mergeCell ref="AB77:AH77"/>
    <mergeCell ref="AB78:AL78"/>
    <mergeCell ref="AM78:AO78"/>
    <mergeCell ref="AI73:AK73"/>
    <mergeCell ref="AC104:AP104"/>
    <mergeCell ref="AQ104:AW104"/>
    <mergeCell ref="AQ102:AW102"/>
    <mergeCell ref="AC103:AP103"/>
    <mergeCell ref="BP97:BR97"/>
    <mergeCell ref="BP98:BR98"/>
    <mergeCell ref="BI97:BK97"/>
    <mergeCell ref="BL97:BM97"/>
    <mergeCell ref="BM104:BO104"/>
    <mergeCell ref="BM98:BO98"/>
    <mergeCell ref="BP91:BR91"/>
    <mergeCell ref="AM132:AO132"/>
    <mergeCell ref="AN134:AN135"/>
    <mergeCell ref="M132:O132"/>
    <mergeCell ref="BM132:BO132"/>
    <mergeCell ref="AZ132:BB132"/>
    <mergeCell ref="Z132:AB132"/>
    <mergeCell ref="AA134:AA135"/>
    <mergeCell ref="N134:N135"/>
    <mergeCell ref="BA134:BA135"/>
    <mergeCell ref="BN134:BN135"/>
    <mergeCell ref="B127:BZ128"/>
    <mergeCell ref="BV121:BX121"/>
    <mergeCell ref="BN115:BO115"/>
    <mergeCell ref="BP115:BR115"/>
    <mergeCell ref="BB116:BL116"/>
    <mergeCell ref="BM116:BO116"/>
    <mergeCell ref="BB118:BL118"/>
    <mergeCell ref="BM118:BO118"/>
    <mergeCell ref="AQ118:AW118"/>
    <mergeCell ref="BV115:BX115"/>
    <mergeCell ref="BV117:BX117"/>
    <mergeCell ref="C121:O121"/>
    <mergeCell ref="BP116:BR116"/>
    <mergeCell ref="C115:O115"/>
    <mergeCell ref="AC119:AP119"/>
    <mergeCell ref="AQ119:AW119"/>
    <mergeCell ref="AC116:AP116"/>
    <mergeCell ref="AQ116:AW116"/>
    <mergeCell ref="BL115:BM115"/>
    <mergeCell ref="BL121:BM121"/>
    <mergeCell ref="BN121:BO121"/>
    <mergeCell ref="BP121:BR121"/>
    <mergeCell ref="AC120:AP120"/>
    <mergeCell ref="AQ120:AW120"/>
    <mergeCell ref="AC121:AP121"/>
    <mergeCell ref="AQ121:AW121"/>
    <mergeCell ref="BB120:BL120"/>
    <mergeCell ref="BM120:BO120"/>
    <mergeCell ref="BB121:BH121"/>
    <mergeCell ref="BI121:BK121"/>
    <mergeCell ref="BB117:BH117"/>
    <mergeCell ref="BL119:BM119"/>
    <mergeCell ref="BN119:BO119"/>
    <mergeCell ref="BP119:BR119"/>
    <mergeCell ref="C116:O116"/>
    <mergeCell ref="C117:O117"/>
    <mergeCell ref="C118:O118"/>
    <mergeCell ref="C119:O119"/>
    <mergeCell ref="AC115:AP115"/>
    <mergeCell ref="AQ115:AW115"/>
    <mergeCell ref="BP118:BR118"/>
    <mergeCell ref="BP120:BR120"/>
    <mergeCell ref="AC117:AP117"/>
    <mergeCell ref="AQ117:AW117"/>
    <mergeCell ref="AC118:AP118"/>
    <mergeCell ref="CU49:CV49"/>
    <mergeCell ref="CH50:CI50"/>
    <mergeCell ref="CU50:CV50"/>
    <mergeCell ref="CH51:CI51"/>
    <mergeCell ref="CU51:CV51"/>
    <mergeCell ref="CH52:CI52"/>
    <mergeCell ref="CU52:CV52"/>
    <mergeCell ref="CH53:CI53"/>
    <mergeCell ref="CU53:CV53"/>
    <mergeCell ref="CM49:CN49"/>
    <mergeCell ref="CM50:CN50"/>
    <mergeCell ref="CM51:CN51"/>
    <mergeCell ref="CM52:CN52"/>
    <mergeCell ref="CM53:CN53"/>
    <mergeCell ref="CO49:CP49"/>
    <mergeCell ref="CO50:CP50"/>
    <mergeCell ref="CJ50:CK50"/>
    <mergeCell ref="BP110:BR110"/>
    <mergeCell ref="BP112:BR112"/>
    <mergeCell ref="BP101:BR101"/>
    <mergeCell ref="BP103:BR103"/>
    <mergeCell ref="BP113:BR113"/>
    <mergeCell ref="BB97:BH97"/>
    <mergeCell ref="BN101:BO101"/>
    <mergeCell ref="BI111:BK111"/>
    <mergeCell ref="BL111:BM111"/>
    <mergeCell ref="BP100:BR100"/>
    <mergeCell ref="BP106:BR106"/>
    <mergeCell ref="BN111:BO111"/>
    <mergeCell ref="BB112:BL112"/>
    <mergeCell ref="BB119:BH119"/>
    <mergeCell ref="BI119:BK119"/>
    <mergeCell ref="BP117:BR117"/>
    <mergeCell ref="C120:O120"/>
    <mergeCell ref="AL87:AM87"/>
    <mergeCell ref="AB87:AH87"/>
    <mergeCell ref="AQ103:AW103"/>
    <mergeCell ref="CJ49:CK49"/>
    <mergeCell ref="CH49:CI49"/>
    <mergeCell ref="CO51:CP51"/>
    <mergeCell ref="CO52:CP52"/>
    <mergeCell ref="CO53:CP53"/>
    <mergeCell ref="BV95:BX95"/>
    <mergeCell ref="CJ53:CK53"/>
    <mergeCell ref="CJ52:CK52"/>
    <mergeCell ref="CJ51:CK51"/>
    <mergeCell ref="BV97:BX97"/>
    <mergeCell ref="BV99:BX99"/>
    <mergeCell ref="BV101:BX101"/>
    <mergeCell ref="BV103:BX103"/>
    <mergeCell ref="BV105:BX105"/>
    <mergeCell ref="BV109:BX109"/>
    <mergeCell ref="BV111:BX111"/>
    <mergeCell ref="BV113:BX113"/>
    <mergeCell ref="BV87:BX87"/>
    <mergeCell ref="BV89:BX89"/>
    <mergeCell ref="BV91:BX91"/>
    <mergeCell ref="BV93:BX93"/>
    <mergeCell ref="BT51:BV51"/>
    <mergeCell ref="BV71:BX71"/>
    <mergeCell ref="BV81:BX81"/>
    <mergeCell ref="BV77:BX77"/>
    <mergeCell ref="BM112:BO112"/>
    <mergeCell ref="BB113:BH113"/>
    <mergeCell ref="BI113:BK113"/>
    <mergeCell ref="BL113:BM113"/>
    <mergeCell ref="BN113:BO113"/>
    <mergeCell ref="BB108:BL108"/>
    <mergeCell ref="BB106:BL106"/>
    <mergeCell ref="BM106:BO106"/>
    <mergeCell ref="BP108:BR108"/>
    <mergeCell ref="BL107:BM107"/>
    <mergeCell ref="BN107:BO107"/>
    <mergeCell ref="BB111:BH111"/>
    <mergeCell ref="BP109:BR109"/>
    <mergeCell ref="BM110:BO110"/>
    <mergeCell ref="BB107:BH107"/>
    <mergeCell ref="BP111:BR111"/>
    <mergeCell ref="BN99:BO99"/>
    <mergeCell ref="BI107:BK107"/>
    <mergeCell ref="BN105:BO105"/>
    <mergeCell ref="BV119:BX119"/>
    <mergeCell ref="BL69:BM69"/>
    <mergeCell ref="BB72:BL72"/>
    <mergeCell ref="BM72:BO72"/>
    <mergeCell ref="BV75:BX75"/>
    <mergeCell ref="BQ55:BS55"/>
    <mergeCell ref="BQ54:BS54"/>
    <mergeCell ref="BV83:BX83"/>
    <mergeCell ref="BV79:BX79"/>
    <mergeCell ref="BL75:BM75"/>
    <mergeCell ref="BN75:BO75"/>
    <mergeCell ref="BN83:BO83"/>
    <mergeCell ref="BL81:BM81"/>
    <mergeCell ref="BN81:BO81"/>
    <mergeCell ref="BP79:BR79"/>
    <mergeCell ref="BP82:BR82"/>
    <mergeCell ref="BP84:BR84"/>
    <mergeCell ref="BT56:BV56"/>
    <mergeCell ref="BB69:BH69"/>
    <mergeCell ref="BI69:BK69"/>
    <mergeCell ref="BV73:BX73"/>
    <mergeCell ref="BM78:BO78"/>
    <mergeCell ref="BW56:BY56"/>
    <mergeCell ref="BQ56:BS56"/>
    <mergeCell ref="BV107:BX107"/>
    <mergeCell ref="BP114:BR114"/>
    <mergeCell ref="BP69:BR69"/>
    <mergeCell ref="BN67:BO67"/>
    <mergeCell ref="BC54:BC55"/>
    <mergeCell ref="BB54:BB55"/>
    <mergeCell ref="BT54:BV54"/>
    <mergeCell ref="BV85:BX85"/>
  </mergeCells>
  <phoneticPr fontId="39" type="noConversion"/>
  <conditionalFormatting sqref="P7 P9 P11 P13 P15 P17 P19 R15 R17 R19 T13 T15 T17 T19 V13 V15 V17 V19 X13 X15 X17 X19 AP19:AY19 AP9:AY9 AP11:AY11 AP15:AY15 AP13:AY13 AP17:AY17 AP7:AY7 R7 T7 V7 X7 R9 T9 V9 X9 R11 T11 V11 X11 R13">
    <cfRule type="expression" dxfId="678" priority="3934">
      <formula>P8&gt;0</formula>
    </cfRule>
  </conditionalFormatting>
  <conditionalFormatting sqref="AC25:AC36">
    <cfRule type="expression" dxfId="677" priority="3349">
      <formula>AU25=0</formula>
    </cfRule>
  </conditionalFormatting>
  <conditionalFormatting sqref="AU25:AU36">
    <cfRule type="expression" dxfId="676" priority="67">
      <formula>AND($AT25&lt;&gt;"",OR($AT25=$Q$51,$AT25=$Q$52,$AT25=$Q$53,$AT25=$Q$54,$AT25=$Q$55,$AT25=$Q$56,$AT25=$Q$57,$AT25=$Q$58))</formula>
    </cfRule>
    <cfRule type="expression" dxfId="675" priority="3347">
      <formula>AC25=""</formula>
    </cfRule>
  </conditionalFormatting>
  <conditionalFormatting sqref="AU25:AU36">
    <cfRule type="cellIs" dxfId="674" priority="3344" operator="greaterThan">
      <formula>0</formula>
    </cfRule>
  </conditionalFormatting>
  <conditionalFormatting sqref="AO25:AO36">
    <cfRule type="expression" dxfId="673" priority="3350">
      <formula>AU25=0</formula>
    </cfRule>
  </conditionalFormatting>
  <conditionalFormatting sqref="AW25:AW35">
    <cfRule type="expression" dxfId="672" priority="3342">
      <formula>AW25&gt;0</formula>
    </cfRule>
  </conditionalFormatting>
  <conditionalFormatting sqref="AX25:AY34">
    <cfRule type="expression" dxfId="671" priority="2608">
      <formula>AX25&gt;0</formula>
    </cfRule>
  </conditionalFormatting>
  <conditionalFormatting sqref="AP72:AY72 AP74:AY74 AP70:AY70 AP68:AY68 AP66:AY66 AP76:AY76 AP78:AY78">
    <cfRule type="expression" dxfId="670" priority="2148">
      <formula>AP67&gt;0</formula>
    </cfRule>
  </conditionalFormatting>
  <conditionalFormatting sqref="Z8">
    <cfRule type="expression" dxfId="669" priority="2044">
      <formula>P8&gt;0</formula>
    </cfRule>
  </conditionalFormatting>
  <conditionalFormatting sqref="Z10 Z12 Z14 Z16 Z18 Z20">
    <cfRule type="expression" dxfId="668" priority="2042">
      <formula>P10&gt;0</formula>
    </cfRule>
  </conditionalFormatting>
  <conditionalFormatting sqref="P66 R66 T66 V66 X66 P68 P70 P72 P74 P76 P78 R68 R70 R72 R74 R76 R78 T68 T70 T72 T74 T76 T78 V68 V70 V72 V74 V76 V78 X68 X70 X72 X74 X76 X78">
    <cfRule type="expression" dxfId="667" priority="2041">
      <formula>P67&gt;0</formula>
    </cfRule>
  </conditionalFormatting>
  <conditionalFormatting sqref="AT25:AT36">
    <cfRule type="expression" dxfId="666" priority="1681">
      <formula>AU25=0</formula>
    </cfRule>
  </conditionalFormatting>
  <conditionalFormatting sqref="Z67">
    <cfRule type="expression" dxfId="665" priority="1609">
      <formula>P67&gt;0</formula>
    </cfRule>
  </conditionalFormatting>
  <conditionalFormatting sqref="AP80:AY80">
    <cfRule type="expression" dxfId="664" priority="1014">
      <formula>AP81&gt;0</formula>
    </cfRule>
  </conditionalFormatting>
  <conditionalFormatting sqref="P80 R80 T80 V80 X80">
    <cfRule type="expression" dxfId="663" priority="1003">
      <formula>P81&gt;0</formula>
    </cfRule>
  </conditionalFormatting>
  <conditionalFormatting sqref="P82 P84 P86 P88 P90 P92 R82 R84 R86 R88 R90 R92 T82 T84 T86 T88 T90 T92 V82 V84 V86 V88 V90 V92 X82 X84 X86 X88 X90 X92">
    <cfRule type="expression" dxfId="662" priority="956">
      <formula>P83&gt;0</formula>
    </cfRule>
  </conditionalFormatting>
  <conditionalFormatting sqref="Z93">
    <cfRule type="expression" dxfId="661" priority="935">
      <formula>P93&gt;0</formula>
    </cfRule>
  </conditionalFormatting>
  <conditionalFormatting sqref="AC98:AC109">
    <cfRule type="expression" dxfId="660" priority="629">
      <formula>AY98=0</formula>
    </cfRule>
  </conditionalFormatting>
  <conditionalFormatting sqref="AY98:AY109">
    <cfRule type="expression" dxfId="659" priority="41339">
      <formula>AC98=""</formula>
    </cfRule>
  </conditionalFormatting>
  <conditionalFormatting sqref="AY98:AY109">
    <cfRule type="cellIs" dxfId="658" priority="628" operator="greaterThan">
      <formula>0</formula>
    </cfRule>
  </conditionalFormatting>
  <conditionalFormatting sqref="AQ98:AQ109">
    <cfRule type="expression" dxfId="657" priority="630">
      <formula>AY98=0</formula>
    </cfRule>
  </conditionalFormatting>
  <conditionalFormatting sqref="AX98:AX109">
    <cfRule type="expression" dxfId="656" priority="626">
      <formula>AY98=0</formula>
    </cfRule>
  </conditionalFormatting>
  <conditionalFormatting sqref="AW96:AZ96 AC94:AY94 AD95:AY95">
    <cfRule type="expression" dxfId="655" priority="29608">
      <formula>#REF!&gt;0</formula>
    </cfRule>
  </conditionalFormatting>
  <conditionalFormatting sqref="AZ97:AZ109">
    <cfRule type="expression" dxfId="654" priority="624">
      <formula>#REF!&gt;0</formula>
    </cfRule>
  </conditionalFormatting>
  <conditionalFormatting sqref="AC110:AC121">
    <cfRule type="expression" dxfId="653" priority="589">
      <formula>AY110=0</formula>
    </cfRule>
  </conditionalFormatting>
  <conditionalFormatting sqref="AY110:AY121">
    <cfRule type="expression" dxfId="652" priority="588">
      <formula>AC110=""</formula>
    </cfRule>
  </conditionalFormatting>
  <conditionalFormatting sqref="AY110:AY121">
    <cfRule type="cellIs" dxfId="651" priority="587" operator="greaterThan">
      <formula>0</formula>
    </cfRule>
  </conditionalFormatting>
  <conditionalFormatting sqref="AQ110:AQ121">
    <cfRule type="expression" dxfId="650" priority="590">
      <formula>AY110=0</formula>
    </cfRule>
  </conditionalFormatting>
  <conditionalFormatting sqref="AX110:AX121">
    <cfRule type="expression" dxfId="649" priority="586">
      <formula>AY110=0</formula>
    </cfRule>
  </conditionalFormatting>
  <conditionalFormatting sqref="AZ110:AZ121">
    <cfRule type="expression" dxfId="648" priority="584">
      <formula>#REF!&gt;0</formula>
    </cfRule>
  </conditionalFormatting>
  <conditionalFormatting sqref="AP82:AY82">
    <cfRule type="expression" dxfId="647" priority="583">
      <formula>AP83&gt;0</formula>
    </cfRule>
  </conditionalFormatting>
  <conditionalFormatting sqref="AP84:AY84">
    <cfRule type="expression" dxfId="646" priority="565">
      <formula>AP85&gt;0</formula>
    </cfRule>
  </conditionalFormatting>
  <conditionalFormatting sqref="AP86:AY86">
    <cfRule type="expression" dxfId="645" priority="547">
      <formula>AP87&gt;0</formula>
    </cfRule>
  </conditionalFormatting>
  <conditionalFormatting sqref="AP88:AY88">
    <cfRule type="expression" dxfId="644" priority="529">
      <formula>AP89&gt;0</formula>
    </cfRule>
  </conditionalFormatting>
  <conditionalFormatting sqref="AP90:AY90">
    <cfRule type="expression" dxfId="643" priority="511">
      <formula>AP91&gt;0</formula>
    </cfRule>
  </conditionalFormatting>
  <conditionalFormatting sqref="AP92:AY92">
    <cfRule type="expression" dxfId="642" priority="493">
      <formula>AP93&gt;0</formula>
    </cfRule>
  </conditionalFormatting>
  <conditionalFormatting sqref="Z69 Z71 Z73 Z75 Z77 Z79 Z81 Z83 Z85 Z87 Z89 Z91">
    <cfRule type="expression" dxfId="641" priority="452">
      <formula>P69&gt;0</formula>
    </cfRule>
  </conditionalFormatting>
  <conditionalFormatting sqref="Z46:AB47">
    <cfRule type="expression" dxfId="640" priority="181">
      <formula>X46&gt;0</formula>
    </cfRule>
  </conditionalFormatting>
  <conditionalFormatting sqref="Z50:AB51">
    <cfRule type="expression" dxfId="639" priority="168">
      <formula>X50&gt;0</formula>
    </cfRule>
  </conditionalFormatting>
  <conditionalFormatting sqref="Z54:AB55">
    <cfRule type="expression" dxfId="638" priority="155">
      <formula>X54&gt;0</formula>
    </cfRule>
  </conditionalFormatting>
  <conditionalFormatting sqref="L2 AL2 BL2">
    <cfRule type="expression" dxfId="637" priority="134">
      <formula>N1=1</formula>
    </cfRule>
  </conditionalFormatting>
  <conditionalFormatting sqref="B7 B9 B13 B15 B17 B19 B66 B68 B70 B72 B74 B76 B78 B80 B82 B84 B86 B88 B90 B92 AB7 AB11 AB13 AB15 AB17 AB19 AB66 AB68 AB70 AB72 AB74 AB76 AB78 AB80 AB82 AB84 AB86 AB88 AB90 AB92 BB7 BB9 BB11 BB13 BB15 BB17 BB19 BB66 BB68 BB70 BB72 BB74 BB76 BB78 BB80 BB82 BB84 BB86 BB88 BB90 BB92 BB94 BB96 BB98 BB100 BB102 BB104 BB106 BB108 BB110 BB112 BB114 BB116 BB118 BB120 B11 AB9">
    <cfRule type="expression" dxfId="636" priority="66">
      <formula>A7=1</formula>
    </cfRule>
    <cfRule type="expression" dxfId="635" priority="2050">
      <formula>P8=0</formula>
    </cfRule>
  </conditionalFormatting>
  <conditionalFormatting sqref="AY98:AY121">
    <cfRule type="expression" dxfId="634" priority="627">
      <formula>AND(AX98&lt;&gt;"",OR(AX98=$Q$51,AX98=$Q$52,AX98=$Q$53,AX98=$Q$54,AX98=$Q$55,AX98=$Q$56,AX98=$Q$57,AX98=$Q$58))</formula>
    </cfRule>
  </conditionalFormatting>
  <conditionalFormatting sqref="P67:Y67 P69:Y69 P71:Y71 P73:Y73 P75:Y75 P77:Y77 P79:Y79 P81:Y81 P83:Y83 P85:Y85 P87:Y87 P89:Y89 P91:Y91 P93:Y93 P8 R8 T8 V8 X8 P10:Y10 P12:Y12 P14:Y14 P16:Y16 P18:Y18 P20:Y20">
    <cfRule type="expression" dxfId="633" priority="41341">
      <formula>AND(P8&gt;0,$Z8&lt;&gt;"")</formula>
    </cfRule>
    <cfRule type="expression" dxfId="632" priority="41342">
      <formula>AND(P8&gt;0,$N8&lt;&gt;"",OR($N8=$Q$51,$N8=$Q$52,$N8=$Q$53,$N8=$Q$54,$N8=$Q$55,$N8=$Q$56,$N8=$Q$57,$N8=$Q$58))</formula>
    </cfRule>
    <cfRule type="expression" dxfId="631" priority="41343">
      <formula>P8&gt;0</formula>
    </cfRule>
    <cfRule type="expression" dxfId="630" priority="41344">
      <formula>P7=""</formula>
    </cfRule>
  </conditionalFormatting>
  <conditionalFormatting sqref="AP67:AY67 AP69:AY69 AP71:AY71 AP73:AY73 AP75:AY75 AP77:AY77 AP79:AY79 AP81:AY81 AP83:AY83 AP85:AY85 AP87:AY87 AP89:AY89 AP91:AY91 AP93:AY93 AP8:AY8 AP10:AY10 AP12:AY12 AP14:AY14 AP16:AY16 AP18:AY18 AP20:AY20">
    <cfRule type="expression" dxfId="629" priority="41441">
      <formula>AND($AN8&lt;&gt;"",OR($AN8=$Q$51,$AN8=$Q$52,$AN8=$Q$53,$AN8=$Q$54,$AN8=$Q$55,$AN8=$Q$56,$AN8=$Q$57,$AN8=$Q$58))</formula>
    </cfRule>
    <cfRule type="expression" dxfId="628" priority="41442">
      <formula>AP8&gt;0</formula>
    </cfRule>
    <cfRule type="expression" dxfId="627" priority="41443">
      <formula>AP7=""</formula>
    </cfRule>
  </conditionalFormatting>
  <conditionalFormatting sqref="BP67 BP69 BP71 BP73 BP75 BP77 BP79 BP83 BP85 BP87 BP89 BP91 BP93 BP95 BP97 BP99 BP101 BP103 BP105 BP107 BP109 BP111 BP113 BP115 BP117 BP119 BP121 BP81 BP10 BP12 BP14 BP16 BP18 BP20 BP8:BR8">
    <cfRule type="expression" dxfId="626" priority="41504">
      <formula>AND($BN8&lt;&gt;"",OR($BN8=$Q$51,$BN8=$Q$52,$BN8=$Q$53,$BN8=$Q$54,$BN8=$Q$55,$BN8=$Q$56,$BN8=$Q$57,$BN8=$Q$58))</formula>
    </cfRule>
    <cfRule type="expression" dxfId="625" priority="41505">
      <formula>BP8&gt;0</formula>
    </cfRule>
    <cfRule type="expression" dxfId="624" priority="41506">
      <formula>BB7=""</formula>
    </cfRule>
  </conditionalFormatting>
  <conditionalFormatting sqref="C45:P48 C51:P58">
    <cfRule type="expression" dxfId="623" priority="121">
      <formula>C45=""</formula>
    </cfRule>
  </conditionalFormatting>
  <conditionalFormatting sqref="Q45:R48 Q51:R58">
    <cfRule type="expression" dxfId="622" priority="120">
      <formula>C45=""</formula>
    </cfRule>
  </conditionalFormatting>
  <conditionalFormatting sqref="H28:K36">
    <cfRule type="expression" dxfId="621" priority="41560">
      <formula>L28=""</formula>
    </cfRule>
  </conditionalFormatting>
  <conditionalFormatting sqref="H29:K36">
    <cfRule type="expression" dxfId="620" priority="41559">
      <formula>H28=H29</formula>
    </cfRule>
  </conditionalFormatting>
  <conditionalFormatting sqref="AC46:BF47 AC50:BF51 AC54:BF55">
    <cfRule type="expression" dxfId="619" priority="41772">
      <formula>AC$57&lt;=$X46</formula>
    </cfRule>
  </conditionalFormatting>
  <conditionalFormatting sqref="BV8:BX8">
    <cfRule type="expression" dxfId="618" priority="110">
      <formula>AND(BB7&lt;&gt;"",BP8&lt;1,BV8="")</formula>
    </cfRule>
  </conditionalFormatting>
  <conditionalFormatting sqref="C99:O107">
    <cfRule type="expression" dxfId="617" priority="105">
      <formula>C98=""</formula>
    </cfRule>
  </conditionalFormatting>
  <conditionalFormatting sqref="BV10:BX10">
    <cfRule type="expression" dxfId="616" priority="101">
      <formula>AND(BB9&lt;&gt;"",BP10&lt;1,BV10="")</formula>
    </cfRule>
  </conditionalFormatting>
  <conditionalFormatting sqref="BV12:BX12">
    <cfRule type="expression" dxfId="615" priority="100">
      <formula>AND(BB11&lt;&gt;"",BP12&lt;1,BV12="")</formula>
    </cfRule>
  </conditionalFormatting>
  <conditionalFormatting sqref="BV14:BX14">
    <cfRule type="expression" dxfId="614" priority="99">
      <formula>AND(BB13&lt;&gt;"",BP14&lt;1,BV14="")</formula>
    </cfRule>
  </conditionalFormatting>
  <conditionalFormatting sqref="BV16:BX16">
    <cfRule type="expression" dxfId="613" priority="98">
      <formula>AND(BB15&lt;&gt;"",BP16&lt;1,BV16="")</formula>
    </cfRule>
  </conditionalFormatting>
  <conditionalFormatting sqref="BV18:BX18">
    <cfRule type="expression" dxfId="612" priority="97">
      <formula>AND(BB17&lt;&gt;"",BP18&lt;1,BV18="")</formula>
    </cfRule>
  </conditionalFormatting>
  <conditionalFormatting sqref="BV20:BX20">
    <cfRule type="expression" dxfId="611" priority="96">
      <formula>AND(BB19&lt;&gt;"",BP20&lt;1,BV20="")</formula>
    </cfRule>
  </conditionalFormatting>
  <conditionalFormatting sqref="BV67:BX67">
    <cfRule type="expression" dxfId="610" priority="95">
      <formula>AND(BB66&lt;&gt;"",BP67&lt;1,BV67="")</formula>
    </cfRule>
  </conditionalFormatting>
  <conditionalFormatting sqref="BV69:BX69">
    <cfRule type="expression" dxfId="609" priority="94">
      <formula>AND(BB68&lt;&gt;"",BP69&lt;1,BV69="")</formula>
    </cfRule>
  </conditionalFormatting>
  <conditionalFormatting sqref="BV71:BX71">
    <cfRule type="expression" dxfId="608" priority="93">
      <formula>AND(BB70&lt;&gt;"",BP71&lt;1,BV71="")</formula>
    </cfRule>
  </conditionalFormatting>
  <conditionalFormatting sqref="BV73:BX73">
    <cfRule type="expression" dxfId="607" priority="92">
      <formula>AND(BB72&lt;&gt;"",BP73&lt;1,BV73="")</formula>
    </cfRule>
  </conditionalFormatting>
  <conditionalFormatting sqref="BV75:BX75">
    <cfRule type="expression" dxfId="606" priority="91">
      <formula>AND(BB74&lt;&gt;"",BP75&lt;1,BV75="")</formula>
    </cfRule>
  </conditionalFormatting>
  <conditionalFormatting sqref="BV77:BX77">
    <cfRule type="expression" dxfId="605" priority="90">
      <formula>AND(BB76&lt;&gt;"",BP77&lt;1,BV77="")</formula>
    </cfRule>
  </conditionalFormatting>
  <conditionalFormatting sqref="BV79:BX79">
    <cfRule type="expression" dxfId="604" priority="89">
      <formula>AND(BB78&lt;&gt;"",BP79&lt;1,BV79="")</formula>
    </cfRule>
  </conditionalFormatting>
  <conditionalFormatting sqref="BV81:BX81">
    <cfRule type="expression" dxfId="603" priority="88">
      <formula>AND(BB80&lt;&gt;"",BP81&lt;1,BV81="")</formula>
    </cfRule>
  </conditionalFormatting>
  <conditionalFormatting sqref="BV83:BX83">
    <cfRule type="expression" dxfId="602" priority="87">
      <formula>AND(BB82&lt;&gt;"",BP83&lt;1,BV83="")</formula>
    </cfRule>
  </conditionalFormatting>
  <conditionalFormatting sqref="BV85:BX85">
    <cfRule type="expression" dxfId="601" priority="86">
      <formula>AND(BB84&lt;&gt;"",BP85&lt;1,BV85="")</formula>
    </cfRule>
  </conditionalFormatting>
  <conditionalFormatting sqref="BV87:BX87">
    <cfRule type="expression" dxfId="600" priority="85">
      <formula>AND(BB86&lt;&gt;"",BP87&lt;1,BV87="")</formula>
    </cfRule>
  </conditionalFormatting>
  <conditionalFormatting sqref="BV89:BX89">
    <cfRule type="expression" dxfId="599" priority="84">
      <formula>AND(BB88&lt;&gt;"",BP89&lt;1,BV89="")</formula>
    </cfRule>
  </conditionalFormatting>
  <conditionalFormatting sqref="BV91:BX91">
    <cfRule type="expression" dxfId="598" priority="83">
      <formula>AND(BB90&lt;&gt;"",BP91&lt;1,BV91="")</formula>
    </cfRule>
  </conditionalFormatting>
  <conditionalFormatting sqref="BV93:BX93">
    <cfRule type="expression" dxfId="597" priority="82">
      <formula>AND(BB92&lt;&gt;"",BP93&lt;1,BV93="")</formula>
    </cfRule>
  </conditionalFormatting>
  <conditionalFormatting sqref="BV95:BX95">
    <cfRule type="expression" dxfId="596" priority="81">
      <formula>AND(BB94&lt;&gt;"",BP95&lt;1,BV95="")</formula>
    </cfRule>
  </conditionalFormatting>
  <conditionalFormatting sqref="BV97:BX97">
    <cfRule type="expression" dxfId="595" priority="80">
      <formula>AND(BB96&lt;&gt;"",BP97&lt;1,BV97="")</formula>
    </cfRule>
  </conditionalFormatting>
  <conditionalFormatting sqref="BV99:BX99">
    <cfRule type="expression" dxfId="594" priority="79">
      <formula>AND(BB98&lt;&gt;"",BP99&lt;1,BV99="")</formula>
    </cfRule>
  </conditionalFormatting>
  <conditionalFormatting sqref="BV101:BX101">
    <cfRule type="expression" dxfId="593" priority="78">
      <formula>AND(BB100&lt;&gt;"",BP101&lt;1,BV101="")</formula>
    </cfRule>
  </conditionalFormatting>
  <conditionalFormatting sqref="BV103:BX103">
    <cfRule type="expression" dxfId="592" priority="77">
      <formula>AND(BB102&lt;&gt;"",BP103&lt;1,BV103="")</formula>
    </cfRule>
  </conditionalFormatting>
  <conditionalFormatting sqref="BV105:BX105">
    <cfRule type="expression" dxfId="591" priority="76">
      <formula>AND(BB104&lt;&gt;"",BP105&lt;1,BV105="")</formula>
    </cfRule>
  </conditionalFormatting>
  <conditionalFormatting sqref="BV107:BX107">
    <cfRule type="expression" dxfId="590" priority="75">
      <formula>AND(BB106&lt;&gt;"",BP107&lt;1,BV107="")</formula>
    </cfRule>
  </conditionalFormatting>
  <conditionalFormatting sqref="BV109:BX109">
    <cfRule type="expression" dxfId="589" priority="74">
      <formula>AND(BB108&lt;&gt;"",BP109&lt;1,BV109="")</formula>
    </cfRule>
  </conditionalFormatting>
  <conditionalFormatting sqref="BV111:BX111">
    <cfRule type="expression" dxfId="588" priority="73">
      <formula>AND(BB110&lt;&gt;"",BP111&lt;1,BV111="")</formula>
    </cfRule>
  </conditionalFormatting>
  <conditionalFormatting sqref="BV113:BX113">
    <cfRule type="expression" dxfId="587" priority="72">
      <formula>AND(BB112&lt;&gt;"",BP113&lt;1,BV113="")</formula>
    </cfRule>
  </conditionalFormatting>
  <conditionalFormatting sqref="BV115:BX115">
    <cfRule type="expression" dxfId="586" priority="71">
      <formula>AND(BB114&lt;&gt;"",BP115&lt;1,BV115="")</formula>
    </cfRule>
  </conditionalFormatting>
  <conditionalFormatting sqref="BV117:BX117">
    <cfRule type="expression" dxfId="585" priority="70">
      <formula>AND(BB116&lt;&gt;"",BP117&lt;1,BV117="")</formula>
    </cfRule>
  </conditionalFormatting>
  <conditionalFormatting sqref="BV119:BX119">
    <cfRule type="expression" dxfId="584" priority="69">
      <formula>AND(BB118&lt;&gt;"",BP119&lt;1,BV119="")</formula>
    </cfRule>
  </conditionalFormatting>
  <conditionalFormatting sqref="BV121:BX121">
    <cfRule type="expression" dxfId="583" priority="68">
      <formula>AND(BB120&lt;&gt;"",BP121&lt;1,BV121="")</formula>
    </cfRule>
  </conditionalFormatting>
  <conditionalFormatting sqref="BV45:BV58">
    <cfRule type="expression" dxfId="582" priority="42704">
      <formula>#REF!="ACTIVE"</formula>
    </cfRule>
    <cfRule type="expression" dxfId="581" priority="42705">
      <formula>BL45=""</formula>
    </cfRule>
  </conditionalFormatting>
  <conditionalFormatting sqref="BO45:BP58">
    <cfRule type="expression" dxfId="580" priority="42761">
      <formula>BQ45="ACTIVE"</formula>
    </cfRule>
    <cfRule type="expression" dxfId="579" priority="42762">
      <formula>BO45=""</formula>
    </cfRule>
  </conditionalFormatting>
  <conditionalFormatting sqref="BL45:BN58">
    <cfRule type="expression" dxfId="578" priority="42923">
      <formula>BT45="ACTIVE"</formula>
    </cfRule>
    <cfRule type="expression" dxfId="577" priority="42924">
      <formula>BL45=""</formula>
    </cfRule>
  </conditionalFormatting>
  <conditionalFormatting sqref="BJ45:BK58">
    <cfRule type="expression" dxfId="576" priority="43029">
      <formula>BW45="ACTIVE"</formula>
    </cfRule>
    <cfRule type="expression" dxfId="575" priority="43030">
      <formula>BJ45=""</formula>
    </cfRule>
  </conditionalFormatting>
  <conditionalFormatting sqref="BQ45:BQ58">
    <cfRule type="expression" dxfId="574" priority="43031">
      <formula>BW45="ACTIVE"</formula>
    </cfRule>
    <cfRule type="expression" dxfId="573" priority="43032">
      <formula>BJ45=""</formula>
    </cfRule>
  </conditionalFormatting>
  <conditionalFormatting sqref="BT45:BU58">
    <cfRule type="expression" dxfId="572" priority="43035">
      <formula>BW45="ACTIVE"</formula>
    </cfRule>
    <cfRule type="expression" dxfId="571" priority="43036">
      <formula>BJ45=""</formula>
    </cfRule>
  </conditionalFormatting>
  <conditionalFormatting sqref="BW45:BW58">
    <cfRule type="expression" dxfId="570" priority="43141">
      <formula>BW45="ACTIVE"</formula>
    </cfRule>
    <cfRule type="expression" dxfId="569" priority="43142">
      <formula>BJ45=""</formula>
    </cfRule>
  </conditionalFormatting>
  <conditionalFormatting sqref="C113:O121">
    <cfRule type="expression" dxfId="568" priority="65">
      <formula>C112=""</formula>
    </cfRule>
  </conditionalFormatting>
  <conditionalFormatting sqref="AC99:AP121">
    <cfRule type="expression" dxfId="567" priority="53">
      <formula>AND(AC98="",AC99="")</formula>
    </cfRule>
  </conditionalFormatting>
  <conditionalFormatting sqref="AQ99:AW121">
    <cfRule type="expression" dxfId="566" priority="52">
      <formula>AND(AC98="",AC99="")</formula>
    </cfRule>
  </conditionalFormatting>
  <conditionalFormatting sqref="AX99:AX121">
    <cfRule type="expression" dxfId="565" priority="51">
      <formula>AND(AC98="",AC99="")</formula>
    </cfRule>
  </conditionalFormatting>
  <conditionalFormatting sqref="M7 M9 M11 M13 M15 M17 M19 M66 M68 M70 M72 M74 M76 M78 M80 M82 M84 M86 M88 M90 M92 AM7 AM9 AM11 AM13 AM15 AM17 AM19 AM66 AM68 AM70 AM72 AM74 AM76 AM78 AM80 AM82 AM84 AM86 AM88 AM90 AM92 BM7 BM9 BM11 BM13 BM15 BM17 BM19 BM66 BM68 BM70 BM72 BM74 BM76 BM78 BM80 BM82 BM84 BM86 BM88 BM90 BM92 BM94 BM96 BM98 BM100 BM102 BM104 BM106 BM108 BM110 BM112 BM114 BM116 BM118 BM120">
    <cfRule type="expression" dxfId="564" priority="130">
      <formula>A7=1</formula>
    </cfRule>
    <cfRule type="expression" dxfId="563" priority="2052">
      <formula>P8=0</formula>
    </cfRule>
  </conditionalFormatting>
  <conditionalFormatting sqref="B8 B10 B12 B14 B16 B18 B20 B67 B69 B71 B73 B75 B77 B79 B81 B83 B85 B87 B89 B91 B93 AB8 AB10 AB12 AB14 AB16 AB18 AB20 AB67 AB69 AB71 AB73 AB75 AB77 AB79 AB81 AB83 AB85 AB87 AB89 AB91 AB93 BB8 BB10 BB12 BB14 BB16 BB18 BB20 BB67 BB69 BB71 BB73 BB75 BB77 BB79 BB81 BB83 BB85 BB87 BB89 BB91 BB93 BB95 BB97 BB99 BB101 BB103 BB105 BB107 BB109 BB111 BB113 BB115 BB117 BB119 BB121">
    <cfRule type="expression" dxfId="562" priority="132">
      <formula>A7=1</formula>
    </cfRule>
    <cfRule type="expression" dxfId="561" priority="2054">
      <formula>P8=0</formula>
    </cfRule>
  </conditionalFormatting>
  <conditionalFormatting sqref="I8 I10 I12 I14 I16 I18 I20 I67 I69 I71 I73 I75 I77 I79 I81 I83 I85 I87 I89 I91 I93 AI8 AI10 AI12 AI14 AI16 AI18 AI20 AI67 AI69 AI71 AI73 AI75 AI77 AI79 AI81 AI83 AI85 AI87 AI89 AI91 AI93 BI8 BI10 BI12 BI14 BI16 BI18 BI20 BI67 BI69 BI71 BI73 BI75 BI77 BI79 BI81 BI83 BI85 BI87 BI89 BI91 BI93 BI95 BI97 BI99 BI101 BI103 BI105 BI107 BI109 BI111 BI113 BI115 BI117 BI119 BI121">
    <cfRule type="expression" dxfId="560" priority="131">
      <formula>A7=1</formula>
    </cfRule>
    <cfRule type="expression" dxfId="559" priority="2053">
      <formula>P8=0</formula>
    </cfRule>
  </conditionalFormatting>
  <conditionalFormatting sqref="L8 L10 L12 L14 L16 L18 L20 L67 L69 L71 L73 L75 L77 L79 L81 L83 L85 L87 L89 L91 L93 AL8 AL10 AL12 AL14 AL16 AL18 AL20 AL67 AL69 AL71 AL73 AL75 AL77 AL79 AL81 AL83 AL85 AL87 AL89 AL91 AL93 BL8 BL10 BL12 BL14 BL16 BL18 BL20 BL67 BL69 BL71 BL73 BL75 BL77 BL79 BL81 BL83 BL85 BL87 BL89 BL91 BL93 BL95 BL97 BL99 BL101 BL103 BL105 BL107 BL109 BL111 BL113 BL115 BL117 BL119 BL121">
    <cfRule type="expression" dxfId="558" priority="129">
      <formula>A7=1</formula>
    </cfRule>
    <cfRule type="expression" dxfId="557" priority="2051">
      <formula>P8=0</formula>
    </cfRule>
  </conditionalFormatting>
  <conditionalFormatting sqref="N8 N10 N12 N14 N16 N18 N20 N67 N69 N71 N73 N75 N77 N79 N81 N83 N85 N87 N89 N91 N93 AN8 AN10 AN12 AN14 AN16 AN18 AN20 AN67 AN69 AN71 AN73 AN75 AN77 AN79 AN81 AN83 AN85 AN87 AN89 AN91 AN93 BN8 BN10 BN12 BN14 BN16 BN18 BN20 BN67 BN69 BN71 BN73 BN75 BN77 BN79 BN81 BN83 BN85 BN87 BN89 BN91 BN93 BN95 BN97 BN99 BN101 BN103 BN105 BN107 BN109 BN111 BN113 BN115 BN117 BN119 BN121">
    <cfRule type="expression" dxfId="556" priority="128">
      <formula>A7=1</formula>
    </cfRule>
    <cfRule type="expression" dxfId="555" priority="2055">
      <formula>P8=0</formula>
    </cfRule>
  </conditionalFormatting>
  <conditionalFormatting sqref="B9 B13 B15 B17 B19 AB11 AB13 AB15 AB17 AB19 AB68 AB70 AB72 AB74 AB76 AB78 AB80 AB82 AB84 AB86 AB88 AB90 AB92 B68 B70 B72 B74 B76 B78 B80 B82 B84 B86 B88 B90 B92 B11 AB9">
    <cfRule type="expression" dxfId="554" priority="41">
      <formula>Z7=Z$5</formula>
    </cfRule>
  </conditionalFormatting>
  <conditionalFormatting sqref="M9 M11 M13 M15 M17 M19 AM9 AM11 AM13 AM15 AM17 AM19 AM68 AM70 AM72 AM74 AM76 AM78 AM80 AM82 AM84 AM86 AM88 AM90 AM92 M68 M70 M72 M74 M76 M78 M80 M82 M84 M86 M88 M90 M92">
    <cfRule type="expression" dxfId="553" priority="40">
      <formula>Z7=Z$5</formula>
    </cfRule>
  </conditionalFormatting>
  <conditionalFormatting sqref="B10 B12 B14 B16 B18 B20 AB10 AB12 AB14 AB16 AB18 AB20 AB69 AB71 AB73 AB75 AB77 AB79 AB81 AB83 AB85 AB87 AB89 AB91 AB93 B69 B71 B73 B75 B77 B79 B81 B83 B85 B87 B89 B91 B93">
    <cfRule type="expression" dxfId="552" priority="39">
      <formula>Z7=Z$5</formula>
    </cfRule>
  </conditionalFormatting>
  <conditionalFormatting sqref="I10 I12 I14 I16 I18 I20 AI10 AI12 AI14 AI16 AI18 AI20 AI69 AI71 AI73 AI75 AI77 AI79 AI81 AI83 AI85 AI87 AI89 AI91 AI93 I69 I71 I73 I75 I77 I79 I81 I83 I85 I87 I89 I91 I93">
    <cfRule type="expression" dxfId="551" priority="38">
      <formula>Z7=Z$5</formula>
    </cfRule>
  </conditionalFormatting>
  <conditionalFormatting sqref="L10 L12 L14 L16 L18 L20 AL10 AL12 AL14 AL16 AL18 AL20 AL69 AL71 AL73 AL75 AL77 AL79 AL81 AL83 AL85 AL87 AL89 AL91 AL93 L69 L71 L73 L75 L77 L79 L81 L83 L85 L87 L89 L91 L93">
    <cfRule type="expression" dxfId="550" priority="37">
      <formula>Z7=Z$5</formula>
    </cfRule>
  </conditionalFormatting>
  <conditionalFormatting sqref="N10 N12 N14 N16 N18 N20 AN10 AN12 AN14 AN16 AN18 AN20 AN69 AN71 AN73 AN75 AN77 AN79 AN81 AN83 AN85 AN87 AN89 AN91 AN93 N69 N71 N73 N75 N77 N79 N81 N83 N85 N87 N89 N91 N93">
    <cfRule type="expression" dxfId="549" priority="36">
      <formula>Z7=Z$5</formula>
    </cfRule>
  </conditionalFormatting>
  <conditionalFormatting sqref="BB68 BB70 BB72 BB74 BB76 BB78 BB80 BB82 BB84 BB86 BB88 BB90 BB92 BB94 BB96 BB98 BB100 BB102 BB104 BB106 BB108 BB110 BB112 BB114 BB116 BB118 BB120">
    <cfRule type="expression" dxfId="548" priority="35">
      <formula>AND(BB66="",BB68="")</formula>
    </cfRule>
  </conditionalFormatting>
  <conditionalFormatting sqref="BM68 BM70 BM72 BM74 BM76 BM78 BM80 BM82 BM84 BM86 BM88 BM90 BM92 BM94 BM96 BM98 BM100 BM102 BM104 BM106 BM108 BM110 BM112 BM114 BM116 BM118 BM120">
    <cfRule type="expression" dxfId="547" priority="34">
      <formula>AND(BB66="",BB68="")</formula>
    </cfRule>
  </conditionalFormatting>
  <conditionalFormatting sqref="BB69 BB71 BB73 BB75 BB77 BB79 BB81 BB83 BB85 BB87 BB89 BB91 BB93 BB95 BB97 BB99 BB101 BB103 BB105 BB107 BB109 BB111 BB113 BB115 BB117 BB119 BB121">
    <cfRule type="expression" dxfId="546" priority="33">
      <formula>AND(BB66="",BB68="")</formula>
    </cfRule>
  </conditionalFormatting>
  <conditionalFormatting sqref="BI69 BI71 BI73 BI75 BI77 BI79 BI81 BI83 BI85 BI87 BI89 BI91 BI93 BI95 BI97 BI99 BI101 BI103 BI105 BI107 BI109 BI111 BI113 BI115 BI117 BI119 BI121">
    <cfRule type="expression" dxfId="545" priority="32">
      <formula>AND(BB66="",BB68="")</formula>
    </cfRule>
  </conditionalFormatting>
  <conditionalFormatting sqref="BL69 BL71 BL73 BL75 BL77 BL79 BL81 BL83 BL85 BL87 BL89 BL91 BL93 BL95 BL97 BL99 BL101 BL103 BL105 BL107 BL109 BL111 BL113 BL115 BL117 BL119 BL121">
    <cfRule type="expression" dxfId="544" priority="31">
      <formula>AND(BB66="",BB68="")</formula>
    </cfRule>
  </conditionalFormatting>
  <conditionalFormatting sqref="BN69 BN71 BN73 BN75 BN77 BN79 BN81 BN83 BN85 BN87 BN89 BN91 BN93 BN95 BN97 BN99 BN101 BN103 BN105 BN107 BN109 BN111 BN113 BN115 BN117 BN119 BN121">
    <cfRule type="expression" dxfId="543" priority="30">
      <formula>AND(BB66="",BB68="")</formula>
    </cfRule>
  </conditionalFormatting>
  <conditionalFormatting sqref="B70 B72 B74 B76 B78 B80 B82 B84 B86 B88 B90 B92 AB70 AB72 AB74 AB76 AB78 AB80 AB82 AB84 AB86 AB88 AB90 AB92">
    <cfRule type="expression" dxfId="542" priority="29">
      <formula>AND(B68="",B70="",Z66="")</formula>
    </cfRule>
  </conditionalFormatting>
  <conditionalFormatting sqref="M70 M72 M74 M76 M78 M80 M82 M84 M86 M88 M90 M92 AM70 AM72 AM74 AM76 AM78 AM80 AM82 AM84 AM86 AM88 AM90 AM92">
    <cfRule type="expression" dxfId="541" priority="28">
      <formula>AND(B68="",B70="",Z66="")</formula>
    </cfRule>
  </conditionalFormatting>
  <conditionalFormatting sqref="B71 B73 B75 B77 B79 B81 B83 B85 B87 B89 B91 B93 AB71 AB73 AB75 AB77 AB79 AB81 AB83 AB85 AB87 AB89 AB91 AB93">
    <cfRule type="expression" dxfId="540" priority="27">
      <formula>AND(B68="",B70="",Z66="")</formula>
    </cfRule>
  </conditionalFormatting>
  <conditionalFormatting sqref="I71 I73 I75 I77 I79 I81 I83 I85 I87 I89 I91 I93 AI71 AI73 AI75 AI77 AI79 AI81 AI83 AI85 AI87 AI89 AI91 AI93">
    <cfRule type="expression" dxfId="539" priority="26">
      <formula>AND(B68="",B70="",Z66="")</formula>
    </cfRule>
  </conditionalFormatting>
  <conditionalFormatting sqref="L71 L73 L75 L77 L79 L81 L83 L85 L87 L89 L91 L93 AL71 AL73 AL75 AL77 AL79 AL81 AL83 AL85 AL87 AL89 AL91 AL93">
    <cfRule type="expression" dxfId="538" priority="25">
      <formula>AND(B68="",B70="",Z66="")</formula>
    </cfRule>
  </conditionalFormatting>
  <conditionalFormatting sqref="N71 N73 N75 N77 N79 N81 N83 N85 N87 N89 N91 N93 AN71 AN73 AN75 AN77 AN79 AN81 AN83 AN85 AN87 AN89 AN91 AN93">
    <cfRule type="expression" dxfId="537" priority="24">
      <formula>AND(B68="",B70="",Z66="")</formula>
    </cfRule>
  </conditionalFormatting>
  <conditionalFormatting sqref="B68 AB68">
    <cfRule type="expression" dxfId="536" priority="23">
      <formula>AND(B66="",B68="")</formula>
    </cfRule>
  </conditionalFormatting>
  <conditionalFormatting sqref="M68 AM68">
    <cfRule type="expression" dxfId="535" priority="22">
      <formula>AND(B66="",B68="")</formula>
    </cfRule>
  </conditionalFormatting>
  <conditionalFormatting sqref="B69 AB69">
    <cfRule type="expression" dxfId="534" priority="21">
      <formula>AND(B66="",B68="")</formula>
    </cfRule>
  </conditionalFormatting>
  <conditionalFormatting sqref="I69 AI69">
    <cfRule type="expression" dxfId="533" priority="20">
      <formula>AND(B66="",B68="")</formula>
    </cfRule>
  </conditionalFormatting>
  <conditionalFormatting sqref="L69 AL69">
    <cfRule type="expression" dxfId="532" priority="19">
      <formula>AND(B66="",B68="")</formula>
    </cfRule>
  </conditionalFormatting>
  <conditionalFormatting sqref="N69 AN69">
    <cfRule type="expression" dxfId="531" priority="18">
      <formula>AND(B66="",B68="")</formula>
    </cfRule>
  </conditionalFormatting>
  <conditionalFormatting sqref="B2 Y2">
    <cfRule type="expression" dxfId="530" priority="35246">
      <formula>$CY$49=1</formula>
    </cfRule>
  </conditionalFormatting>
  <conditionalFormatting sqref="AB2 AY2">
    <cfRule type="expression" dxfId="529" priority="35248">
      <formula>$CY$50=1</formula>
    </cfRule>
  </conditionalFormatting>
  <conditionalFormatting sqref="BB2 BY2">
    <cfRule type="expression" dxfId="528" priority="35250">
      <formula>$CY$51=1</formula>
    </cfRule>
  </conditionalFormatting>
  <conditionalFormatting sqref="BY24 B24">
    <cfRule type="expression" dxfId="527" priority="35252">
      <formula>$CY$52=1</formula>
    </cfRule>
  </conditionalFormatting>
  <conditionalFormatting sqref="BB36 Y36">
    <cfRule type="expression" dxfId="526" priority="35253">
      <formula>$CY$53=1</formula>
    </cfRule>
  </conditionalFormatting>
  <conditionalFormatting sqref="BP7 BP9 BP11 BP13 BP15 BP17 BP19 BP66 BP68 BP70 BP72 BP74 BP76 BP78 BP80 BP82 BP84 BP86 BP88 BP90 BP92 BP94 BP96 BP98 BP100 BP102 BP104 BP106 BP108 BP110 BP112 BP114 BP116 BP118 BP120">
    <cfRule type="expression" dxfId="525" priority="12">
      <formula>BP8&gt;0</formula>
    </cfRule>
  </conditionalFormatting>
  <conditionalFormatting sqref="BH28:BP36">
    <cfRule type="expression" dxfId="524" priority="3">
      <formula>BH28=0</formula>
    </cfRule>
    <cfRule type="expression" dxfId="523" priority="8">
      <formula>GP45=0</formula>
    </cfRule>
    <cfRule type="expression" dxfId="522" priority="11">
      <formula>BQ28="ongoing"</formula>
    </cfRule>
  </conditionalFormatting>
  <conditionalFormatting sqref="BQ28:BT36">
    <cfRule type="expression" dxfId="521" priority="2">
      <formula>BQ28=0</formula>
    </cfRule>
    <cfRule type="expression" dxfId="520" priority="4">
      <formula>GP45=0</formula>
    </cfRule>
    <cfRule type="expression" dxfId="519" priority="7">
      <formula>BQ28="ongoing"</formula>
    </cfRule>
    <cfRule type="expression" dxfId="518" priority="9">
      <formula>AND(GP45&lt;&gt;0,GP45&lt;=7)</formula>
    </cfRule>
    <cfRule type="expression" dxfId="517" priority="10">
      <formula>GP45&gt;31</formula>
    </cfRule>
  </conditionalFormatting>
  <conditionalFormatting sqref="L28:T36">
    <cfRule type="expression" dxfId="516" priority="6">
      <formula>OR(L28="GAMING",L28="TV",L28="FILM",L28="Film of the Week")</formula>
    </cfRule>
  </conditionalFormatting>
  <conditionalFormatting sqref="BH28:BP28">
    <cfRule type="expression" dxfId="515" priority="1">
      <formula>$BH$28="None Currently"</formula>
    </cfRule>
  </conditionalFormatting>
  <dataValidations xWindow="291" yWindow="913" count="79">
    <dataValidation type="list" allowBlank="1" showInputMessage="1" showErrorMessage="1" sqref="Z7 Z9 Z11 Z13 Z15 Z17 AZ72 AZ74 AZ17 AZ15 AZ13 AZ11 AZ9 AZ7 Z66 AZ70 AZ76 AZ66 AZ68 Z68 Z70 Z72 Z74 Z76 Z78 Z80 Z82 Z84 Z86 Z88 Z90 AZ78 AZ80 AZ82 AZ84 AZ86 AZ88 AZ90" xr:uid="{D830BA6A-012F-4C2C-A4F6-7F2C6C5D670F}">
      <formula1>$Z$5</formula1>
    </dataValidation>
    <dataValidation allowBlank="1" showInputMessage="1" showErrorMessage="1" promptTitle="Second Language/s" prompt="The any second language/s to be learnt or trained." sqref="C50:P50" xr:uid="{77A4D58B-826E-4953-A9FF-BB6D424054D4}"/>
    <dataValidation type="whole" allowBlank="1" showInputMessage="1" showErrorMessage="1" sqref="P8:Y8 P10:Y10 P12:Y12 P14:Y14 P16:Y16 P18:Y18 P20:Y20 P67:Y67 P69:Y69 P71:Y71 P73:Y73 P75:Y75 P77:Y77 BP67:BR67 BP69:BR69 BP71:BR71 BP73:BR73 BP75:BR75 BP77:BR77 BP79:BR79 P79:Y79 BP20:BR20 BP18:BR18 BP16:BR16 BP14:BR14 BP12:BR12 BP10:BR10 BP8:BR8 AW25:AY34 AW35 BP81:BR81 P81:Y81 BP83:BR83 BP85:BR85 BP87:BR87 BP89:BR89 BP91:BR91 BP93:BR93 BP95:BR95 P83:Y83 P85:Y85 P87:Y87 P89:Y89 P91:Y91 P93:Y93 BP121:BR121 BP97:BR97 BP99:BR99 BP101:BR101 BP103:BR103 BP105:BR105 BP107:BR107 BP109:BR109 BP111:BR111 BP113:BR113 BP115:BR115 BP117:BR117 BP119:BR119" xr:uid="{03C47630-BA41-472A-9E27-272DCA5589E9}">
      <formula1>1</formula1>
      <formula2>400</formula2>
    </dataValidation>
    <dataValidation type="whole" allowBlank="1" showInputMessage="1" showErrorMessage="1" sqref="AP8:AY8 AP10:AY10 AP12:AY12 AP14:AY14 AP16:AY16 AP18:AY18 AP20:AY20 AP79:AY79 AP67:AY67 AP69:AY69 AP71:AY71 AP73:AY73 AP75:AY75 AP77:AY77 AU25:AU36 AP81:AY81 AY98:AY121 AP83:AY83 AP85:AY85 AP87:AY87 AP89:AY89 AP91:AY91 AP93:AY93" xr:uid="{7705FC24-E3A1-4EB4-87E9-732B0AFF0C80}">
      <formula1>1</formula1>
      <formula2>200</formula2>
    </dataValidation>
    <dataValidation type="list" allowBlank="1" showInputMessage="1" showErrorMessage="1" sqref="BV8:BX8 BV10:BX10 BV12:BX12 BV14:BX14 BV16:BX16 BV18:BX18 BV20:BX20 BV67:BX67 BV69:BX69 BV71:BX71 BV73:BX73 BV75:BX75 BV77:BX77 BV79:BX79 BV81:BX81 BV83:BX83 BV85:BX85 BV87:BX87 BV89:BX89 BV91:BX91 BV93:BX93 BV95:BX95 BV97:BX97 BV99:BX99 BV101:BX101 BV103:BX103 BV105:BX105 BV107:BX107 BV109:BX109 BV111:BX111 BV113:BX113 BV115:BX115 BV117:BX117 BV119:BX119 BV121:BX121" xr:uid="{1A77D8FE-05D1-4689-A0AB-98F85B6A6DDB}">
      <formula1>$DH$14:$DH$20</formula1>
    </dataValidation>
    <dataValidation allowBlank="1" showInputMessage="1" showErrorMessage="1" promptTitle="Language Selection" prompt="Choose up to four first languages as already known. _x000a__x000a_Choose up to eight second languages for learning and training._x000a__x000a_Any gaming, TV or film time spent in these second languages will not count towards potential booby traps." sqref="B41:S42" xr:uid="{E4E01D22-4347-4DDF-916A-CCE19C903232}"/>
    <dataValidation type="list" showInputMessage="1" showErrorMessage="1" sqref="H28:H36" xr:uid="{B4C152EA-64F3-4708-960D-511C4B6BB029}">
      <formula1>$DH$6:$DH$12</formula1>
    </dataValidation>
    <dataValidation allowBlank="1" showInputMessage="1" showErrorMessage="1" promptTitle="Current Viewing Schedule" prompt="Plan gaming, TV or film for each day of the week. _x000a__x000a_Organise viewing days as desired, then select the chosen media for those days._x000a__x000a_Any media chosen for the current day will be highlighted." sqref="G27:U27" xr:uid="{26293CAA-873B-4D1E-8E13-B368C5DB77B0}"/>
    <dataValidation allowBlank="1" showInputMessage="1" showErrorMessage="1" promptTitle="Active Streaming Services" prompt="List of streaming services currently subscribed to or available." sqref="BG27:BU27" xr:uid="{4A0B069A-9B60-407B-B76B-CACEB5B91197}"/>
    <dataValidation allowBlank="1" showInputMessage="1" showErrorMessage="1" promptTitle="Streaming Selection" prompt="Enter details of streaming services. " sqref="BI41:BZ42" xr:uid="{CAB6407C-91CA-4665-8A30-53B2DD70FB51}"/>
    <dataValidation allowBlank="1" showInputMessage="1" showErrorMessage="1" promptTitle="TV" prompt="Enter details of TV series seen or to see next. " sqref="AG2:AU3" xr:uid="{CF786066-4B39-4210-90C0-687941BB9279}"/>
    <dataValidation allowBlank="1" showInputMessage="1" showErrorMessage="1" promptTitle="Gaming" prompt="Enter details of games played or to play next. " sqref="G2:U3" xr:uid="{F0692845-0A97-4B40-A1AF-3217A170CFCC}"/>
    <dataValidation allowBlank="1" showInputMessage="1" showErrorMessage="1" promptTitle="Film" prompt="Enter details of films watched or to watch next. " sqref="BG2:BU3" xr:uid="{882DFD15-99EF-49AE-80E2-34A2CDDF0A69}"/>
    <dataValidation allowBlank="1" showInputMessage="1" showErrorMessage="1" promptTitle="Gaming Booby Trap!" prompt="Possibility to strike when gaming limit is exceeded." sqref="B2 Y2" xr:uid="{FCA4E5C0-7AAA-4B41-8C62-ABF272C87F88}"/>
    <dataValidation allowBlank="1" showInputMessage="1" showErrorMessage="1" promptTitle="TV Booby Trap!" prompt="Possibility to strike when TV limit is exceeded." sqref="AB2 AY2" xr:uid="{68701598-A437-4AEE-A244-96276DD0C24A}"/>
    <dataValidation allowBlank="1" showInputMessage="1" showErrorMessage="1" promptTitle="Film Booby Trap!" prompt="Possibility to strike when film limit is exceeded." sqref="BB2 BY2" xr:uid="{66C952EA-9107-4942-85B0-7A0353392E23}"/>
    <dataValidation allowBlank="1" showInputMessage="1" showErrorMessage="1" promptTitle="Overall Booby Trap!" prompt="Possibility to strike when overall media limit is exceeded._x000a_" sqref="B24 BY24" xr:uid="{956FC961-C14F-4219-874F-119B6F283898}"/>
    <dataValidation allowBlank="1" showInputMessage="1" showErrorMessage="1" promptTitle="Wild Card Booby Trap!" prompt="Possibility to strike when wild card media limit is exceeded." sqref="Y36 BB36" xr:uid="{FB63761D-7B01-4072-8986-A176098F3BCD}"/>
    <dataValidation type="list" allowBlank="1" showInputMessage="1" sqref="BQ45:BS58" xr:uid="{C81A2272-2B1C-4059-B82A-4C58359E7EEB}">
      <formula1>$EG$45:$EG$70</formula1>
    </dataValidation>
    <dataValidation type="list" allowBlank="1" showInputMessage="1" sqref="BJ45:BP58" xr:uid="{1682DED4-5987-44BF-8BD6-FF953AC4FC50}">
      <formula1>$EL$44:$EL$67</formula1>
    </dataValidation>
    <dataValidation type="list" allowBlank="1" showInputMessage="1" sqref="C98:O107" xr:uid="{BF150144-392A-4CE4-9B1D-47644D0F4650}">
      <formula1>$DV$97:$DV$118</formula1>
    </dataValidation>
    <dataValidation type="textLength" allowBlank="1" showInputMessage="1" showErrorMessage="1" sqref="AP7:AY7 AP9:AY9 AP11:AY11 AP13:AY13 AP15:AY15 AP17:AY17 AP19:AY19 AP66:AY66 AP68:AY68 AP70:AY70 AP72:AY72 AP74:AY74 AP76:AY76 AP78:AY78 AP80:AY80 AP82:AY82 AP84:AY84 AP86:AY86 AP88:AY88 AP90:AY90 AP92:AY92" xr:uid="{16E36112-E029-4B0D-BAE4-3B210552862C}">
      <formula1>1</formula1>
      <formula2>5</formula2>
    </dataValidation>
    <dataValidation type="list" allowBlank="1" showInputMessage="1" sqref="BT45:BV58" xr:uid="{58D5DFF1-5421-40DC-BA20-228740DE95A2}">
      <formula1>$EI$45:$EI$46</formula1>
    </dataValidation>
    <dataValidation type="textLength" allowBlank="1" showInputMessage="1" showErrorMessage="1" sqref="P92:Y92 P68:Y68 P70:Y70 P72:Y72 P74:Y74 P76:Y76 P78:Y78 P80:Y80 P82:Y82 P84:Y84 P86:Y86 P88:Y88 P90:Y90 P66:Y66 P7:Y7 P9:Y9 P11:Y11 P15:Y15 P17:Y17 P19:Y19 P13:Y13" xr:uid="{FCD9C463-8172-44C4-A259-F5405996F2FE}">
      <formula1>1</formula1>
      <formula2>3</formula2>
    </dataValidation>
    <dataValidation type="list" allowBlank="1" showInputMessage="1" sqref="AO25:AS36 AQ98:AW121" xr:uid="{89FF4B9C-A341-4226-9851-D5633E5D2928}">
      <formula1>$DL$111:$DL$139</formula1>
    </dataValidation>
    <dataValidation type="list" allowBlank="1" showInputMessage="1" sqref="BM7:BO7 BM9:BO9 BM11:BO11 BM13:BO13 BM15:BO15 BM17:BO17 BM19:BO19 BM66:BO66 BM68:BO68 BM70:BO70 BM72:BO72 BM74:BO74 BM76:BO76 BM78:BO78 BM80:BO80 BM82:BO82 BM84:BO84 BM86:BO86 BM88:BO88 BM90:BO90 BM92:BO92 BM94:BO94 BM96:BO96 BM98:BO98 BM100:BO100 BM102:BO102 BM104:BO104 BM106:BO106 BM108:BO108 BM110:BO110 BM112:BO112 BM114:BO114 BM116:BO116 BM118:BO118 BM120:BO120" xr:uid="{EEEC758B-E351-4549-9B1E-1E4293D85900}">
      <formula1>$DJ$45:$DJ$64</formula1>
    </dataValidation>
    <dataValidation type="list" allowBlank="1" showInputMessage="1" sqref="AM92:AO92 AM90:AO90 AM88:AO88 AM86:AO86 AM84:AO84 AM82:AO82 AM80:AO80 AM78:AO78 AM76:AO76 AM74:AO74 AM72:AO72 AM70:AO70 AM68:AO68 AM66:AO66 AM19:AO19 AM17:AO17 AM15:AO15 AM13:AO13 AM11:AO11 AM7:AO7 AM9:AO9" xr:uid="{F54C7CA6-997E-4A6D-B896-0E76D92393B6}">
      <formula1>$DF$45:$DF$63</formula1>
    </dataValidation>
    <dataValidation type="list" allowBlank="1" showInputMessage="1" sqref="M92:O92 M90:O90 M88:O88 M86:O86 M84:O84 M82:O82 M80:O80 M78:O78 M76:O76 M74:O74 M72:O72 M70:O70 M68:O68 M66:O66 M19:O19 M17:O17 M15:O15 M13:O13 M11:O11 M9:O9 M7:O7" xr:uid="{A55328F0-C019-4A91-9223-A8F7B35B79E9}">
      <formula1>$DP$97:$DP$107</formula1>
    </dataValidation>
    <dataValidation type="list" allowBlank="1" showInputMessage="1" sqref="I8:K8 I18:K18 I16:K16 I14:K14 I12:K12 I10:K10 I67:K67 I69:K69 I71:K71 I73:K73 I75:K75 I77:K77 I79:K79 I81:K81 I83:K83 I85:K85 I87:K87 I89:K89 I91:K91 I93:K93 I20:K20" xr:uid="{DDD5B023-9BF9-413A-9DEC-49197E6503C0}">
      <formula1>$EL$76:$EL$100</formula1>
    </dataValidation>
    <dataValidation type="list" allowBlank="1" showInputMessage="1" sqref="BI8:BK8 BI18:BK18 BI16:BK16 BI14:BK14 BI12:BK12 BI10:BK10 BI67:BK67 BI69:BK69 BI71:BK71 BI73:BK73 BI75:BK75 BI77:BK77 BI79:BK79 BI81:BK81 BI83:BK83 BI85:BK85 BI87:BK87 BI89:BK89 BI91:BK91 BI93:BK93 BI95:BK95 BI97:BK97 BI99:BK99 BI101:BK101 BI103:BK103 BI105:BK105 BI107:BK107 BI109:BK109 BI111:BK111 BI113:BK113 BI115:BK115 BI117:BK117 BI119:BK119 BI121:BK121 BI20:BK20" xr:uid="{7A6CD712-7779-4A3B-9642-8417996D97F0}">
      <formula1>$EV$76:$EV$96</formula1>
    </dataValidation>
    <dataValidation type="list" allowBlank="1" showInputMessage="1" sqref="AI8:AK8 AI10:AK10 AI12:AK12 AI14:AK14 AI16:AK16 AI18:AK18 AI20:AK20 AI67:AK67 AI69:AK69 AI71:AK71 AI73:AK73 AI75:AK75 AI77:AK77 AI79:AK79 AI81:AK81 AI83:AK83 AI85:AK85 AI87:AK87 AI89:AK89 AI91:AK91 AI93:AK93" xr:uid="{69A5A367-1118-441B-ACEF-DEBB6C22FF10}">
      <formula1>$EQ$76:$EQ$96</formula1>
    </dataValidation>
    <dataValidation allowBlank="1" showInputMessage="1" showErrorMessage="1" promptTitle="Media Limits" prompt="When each media total goes above the limit selected below there is the possibility to hit a booby trap and lose life hearts." sqref="B127:BZ128" xr:uid="{CA4FF30C-52A5-4D91-A6F5-125AFDDC249A}"/>
    <dataValidation type="whole" allowBlank="1" showInputMessage="1" showErrorMessage="1" promptTitle="Film Limit" prompt="Number of hours selected for film before being at risk of hitting a booby trap._x000a__x000a_Default = 10" sqref="BM132:BO132" xr:uid="{B01DA1F3-3169-414D-AC7C-E26B30627C9C}">
      <formula1>0</formula1>
      <formula2>100</formula2>
    </dataValidation>
    <dataValidation allowBlank="1" showInputMessage="1" showErrorMessage="1" promptTitle="Gaming Limit" prompt="Number of hours selected for gaming before being at risk of hitting a booby trap._x000a__x000a_Default = 20" sqref="M131:O131 M133:O135" xr:uid="{03F5DC32-21BD-4C86-ABB1-7B9013C57D2A}"/>
    <dataValidation allowBlank="1" showInputMessage="1" showErrorMessage="1" promptTitle="Wild Card Limit" prompt="Number of hours selected for all media before being at risk of hitting a booby trap._x000a__x000a_Default = 0" sqref="AZ131:BB131 AZ133:BB135" xr:uid="{18DE30FC-B291-4048-AD57-E31FE44F4995}"/>
    <dataValidation allowBlank="1" showInputMessage="1" showErrorMessage="1" promptTitle="TV Limit" prompt="Number of hours selected for TV before being at risk of hitting a booby trap._x000a__x000a_Default = 20" sqref="AM131:AO131 AM133:AO135" xr:uid="{598A729E-646B-489F-BEAC-E058C5B188FA}"/>
    <dataValidation type="whole" allowBlank="1" showInputMessage="1" showErrorMessage="1" promptTitle="Gaming Limit" prompt="Number of hours selected for gaming before being at risk of hitting a booby trap._x000a__x000a_Default = 20" sqref="M132:O132" xr:uid="{56370D54-2EA2-45D2-AFD5-660BEBC879D6}">
      <formula1>0</formula1>
      <formula2>100</formula2>
    </dataValidation>
    <dataValidation type="whole" allowBlank="1" showInputMessage="1" showErrorMessage="1" promptTitle="Overall Limit" prompt="Number of hours selected for all media before being at risk of hitting a booby trap._x000a__x000a_Default = 30" sqref="Z132:AB132" xr:uid="{F8F6E363-9633-4F89-99C2-8061A8D7BBEA}">
      <formula1>0</formula1>
      <formula2>100</formula2>
    </dataValidation>
    <dataValidation type="whole" allowBlank="1" showInputMessage="1" showErrorMessage="1" promptTitle="TV Limit" prompt="Number of hours selected for TV before being at risk of hitting a booby trap._x000a__x000a_Default = 20" sqref="AM132:AO132" xr:uid="{F39B5373-E55B-473E-B303-B2AE92F1A865}">
      <formula1>0</formula1>
      <formula2>100</formula2>
    </dataValidation>
    <dataValidation type="whole" allowBlank="1" showInputMessage="1" showErrorMessage="1" promptTitle="Wild Card Limit" prompt="Number of hours selected for all media before being at risk of hitting a booby trap._x000a__x000a_Default = 0" sqref="AZ132:BB132" xr:uid="{D88BBF52-2B69-432E-9BAC-438E579CEA0A}">
      <formula1>0</formula1>
      <formula2>100</formula2>
    </dataValidation>
    <dataValidation allowBlank="1" showInputMessage="1" showErrorMessage="1" promptTitle="Overall Limit" prompt="Number of hours selected for all media before being at risk of hitting a booby trap._x000a__x000a_Default = 30" sqref="Z133:AB135 Z131:AB131" xr:uid="{2D629193-A0C1-4611-A26D-DCCA7B153445}"/>
    <dataValidation allowBlank="1" showInputMessage="1" showErrorMessage="1" promptTitle="Film Limit" prompt="Number of hours selected for film before being at risk of hitting a booby trap._x000a__x000a_Default = 10" sqref="BM131:BO131 BM133:BO135" xr:uid="{D258F02E-47EC-416D-BABD-E40DB9F18C73}"/>
    <dataValidation type="list" allowBlank="1" showInputMessage="1" showErrorMessage="1" sqref="BP120:BR120 BP118:BR118 BP116:BR116 BP114:BR114 BP112:BR112 BP110:BR110 BP108:BR108 BP106:BR106 BP104:BR104 BP102:BR102 BP100:BR100 BP98:BR98 BP96:BR96 BP94:BR94 BP92:BR92 BP90:BR90 BP88:BR88 BP86:BR86 BP84:BR84 BP82:BR82 BP80:BR80 BP78:BR78 BP76:BR76 BP74:BR74 BP72:BR72 BP70:BR70 BP68:BR68 BP66:BR66 BP19:BR19 BP17:BR17 BP15:BR15 BP13:BR13 BP11:BR11 BP9:BR9 BP7:BR7" xr:uid="{29FC7391-7AEF-4244-8C32-BE4A0BED2A23}">
      <formula1>$DH$27:$DH$33</formula1>
    </dataValidation>
    <dataValidation allowBlank="1" showInputMessage="1" showErrorMessage="1" promptTitle="First Language/s" prompt="The first language/s learnt below." sqref="C44:P44" xr:uid="{FA8D3C08-4B12-4AF8-B569-2C02517ACAD4}"/>
    <dataValidation allowBlank="1" showInputMessage="1" showErrorMessage="1" promptTitle="Code" prompt="Enter the two character language code/s._x000a_" sqref="Q50:R50 Q44:R44" xr:uid="{55A16DCC-5EE5-468F-8AF6-9F98464DC402}"/>
    <dataValidation type="list" allowBlank="1" showInputMessage="1" sqref="N20:O20 N18:O18 N16:O16 N14:O14 N12:O12 N10:O10 N8:O8 AN20:AO20 AN18:AO18 AN16:AO16 AN14:AO14 AN12:AO12 AN10:AO10 AN8:AO8 BN20:BO20 BN18:BO18 BN16:BO16 BN14:BO14 BN12:BO12 BN10:BO10 BN8:BO8 AT25:AT36 N67:O67 N69:O69 N71:O71 N73:O73 N75:O75 N77:O77 N79:O79 N81:O81 N83:O83 N85:O85 N87:O87 N89:O89 N91:O91 N93:O93 AN67:AO67 AN69:AO69 AN71:AO71 AN73:AO73 AN75:AO75 AN77:AO77 AN79:AO79 AN81:AO81 AN83:AO83 AN85:AO85 AN87:AO87 AN89:AO89 AN91:AO91 AN93:AO93 AX98:AX121 BN121:BO121 BN119:BO119 BN117:BO117 BN115:BO115 BN113:BO113 BN111:BO111 BN109:BO109 BN107:BO107 BN105:BO105 BN103:BO103 BN101:BO101 BN99:BO99 BN97:BO97 BN95:BO95 BN93:BO93 BN91:BO91 BN89:BO89 BN87:BO87 BN85:BO85 BN83:BO83 BN81:BO81 BN79:BO79 BN77:BO77 BN75:BO75 BN73:BO73 BN71:BO71 BN69:BO69 BN67:BO67" xr:uid="{0912B0BA-EBC4-4834-9360-AFE4164261AE}">
      <formula1>$DA$7:$DA$19</formula1>
    </dataValidation>
    <dataValidation allowBlank="1" showInputMessage="1" showErrorMessage="1" promptTitle="Totals" prompt="All media totals for the month, up to the the first 30 hours in each._x000a__x000a_Any language training hours are marked with a symbol." sqref="U41:BG42" xr:uid="{48F3423C-979F-4688-A8A4-EE5734DEFDA8}"/>
    <dataValidation allowBlank="1" showInputMessage="1" showErrorMessage="1" promptTitle="Platform" prompt="Enter the streamining platform or select from the list." sqref="BJ44:BP44" xr:uid="{F0F09B73-8893-4C60-94A0-054055160F05}"/>
    <dataValidation allowBlank="1" showInputMessage="1" showErrorMessage="1" promptTitle="Cost" prompt="Enter the cost or mode in which available." sqref="BQ44:BS44" xr:uid="{578A060F-FBCE-452C-A165-912FCB0951DB}"/>
    <dataValidation allowBlank="1" showInputMessage="1" showErrorMessage="1" promptTitle="End Date" prompt="Enter the end date as dd-Mth-yy._x000a__x000a_For no specific end date choose 'ongoing' from the list." sqref="BT44:BV44" xr:uid="{93CAD02C-1F77-49F3-9866-ABFA0B2AD27D}"/>
    <dataValidation allowBlank="1" showInputMessage="1" showErrorMessage="1" promptTitle="Status" prompt="The status of the platform will be shown here. " sqref="BW44:BY44" xr:uid="{3D54BC50-BFCE-456A-B937-34A90E1C4A51}"/>
    <dataValidation allowBlank="1" showInputMessage="1" showErrorMessage="1" promptTitle="Miscellaneous" prompt="Enter details of random or unspecified viewing minutes by day. " sqref="AW23:AY23" xr:uid="{C16DF9F8-6B2C-4314-970F-92279F21981F}"/>
    <dataValidation allowBlank="1" showInputMessage="1" showErrorMessage="1" promptTitle="Film of the Week" prompt="Plan films to watch by the weeks of the month. _x000a__x000a_When 'Film of the Week' is selected in the viewing schedule the film chosen for the current week will be highlighted." sqref="BV5:BY6 BV64:BY65" xr:uid="{756C1263-22DC-4A63-AB62-273FD7FA68CD}"/>
    <dataValidation allowBlank="1" showInputMessage="1" showErrorMessage="1" promptTitle="Details &amp; Minutes" prompt="Enter the film runtime. _x000a__x000a_Alternatively, select details from the list and enter the minutes watched if left unfinished or not watching all in one sitting. " sqref="BP5:BR6 BP64:BR65" xr:uid="{6F416FB1-0E53-40E9-BB9C-385D059E8A8F}"/>
    <dataValidation allowBlank="1" showInputMessage="1" showErrorMessage="1" promptTitle="Continuing" prompt="For additional space for one title and continue the game into the next row select '&gt;' to the right of the session numbers." sqref="W64:Z64 W5:Z5" xr:uid="{5F47DB23-4013-4CAC-8F5C-EF536CA3BCDC}"/>
    <dataValidation allowBlank="1" showInputMessage="1" showErrorMessage="1" promptTitle="Continuing" prompt="For additional space for one title and continue the series into the next row select '&gt;' to the right of the episode numbers." sqref="AW64:AZ64 AW5:AZ5" xr:uid="{C7F870AA-9B63-4861-B82F-C1BA3BAF2105}"/>
    <dataValidation allowBlank="1" showInputMessage="1" showErrorMessage="1" promptTitle="Sessions &amp; Minutes" prompt="Enter a the session number then enter the number of minutes played." sqref="P5:R6 P64:R65" xr:uid="{F7B57E41-3756-4A08-BA2C-A65690D0E2F6}"/>
    <dataValidation allowBlank="1" showInputMessage="1" showErrorMessage="1" promptTitle="Episodes &amp; Minutes" prompt="Enter the episode number then the number of minutes per episode._x000a__x000a_Input episode numbers as 1, 2, 3, etc._x000a__x000a_Alternatively, to indicate the season number, input as 1-1, 1-2, 2-1, -2-2, etc._x000a_" sqref="AP64:AR65 AP5:AR6" xr:uid="{F9E5ADA6-AE5C-436D-942B-E42C5BA862A8}"/>
    <dataValidation allowBlank="1" showInputMessage="1" showErrorMessage="1" promptTitle="Favourite Channels" prompt="Enter details of favourite or frequently watched channels within platforms such as YouTube and Twitch." sqref="C110:O110" xr:uid="{C1D47FFB-4D6E-4AC2-8C36-B9CF8E4EAA9B}"/>
    <dataValidation allowBlank="1" showInputMessage="1" showErrorMessage="1" promptTitle="Other TV / Videos" prompt="Enter details of individual TV series episodes or videos on channels such as YouTube or Twitch. " sqref="AC23:AT23 AC96:AX96" xr:uid="{12527E5B-01E9-4411-85B4-F2E733B91486}"/>
    <dataValidation allowBlank="1" showInputMessage="1" showErrorMessage="1" promptTitle=" RESPITE" prompt="This is for tracking entertainment._x000a__x000a_Here you can:_x000a_• input media info and minutes spent_x000a_• set viewing schedule and streaming services_x000a_• monitor overall hours and set limits_x000a_ _x000a_Select individual cells for specific information and instructions." sqref="CA1" xr:uid="{BE4DDA04-4D9C-4EED-8E70-FB7B371E1EEC}"/>
    <dataValidation allowBlank="1" showInputMessage="1" showErrorMessage="1" promptTitle=" HUD = Overview" prompt=" LOGS = Journal           PLANS = Calendar_x000a_ NOTES = Ideas            TIMINGS = Schedule_x000a__x000a_ MISSIONS = Tasks_x000a_ ACTIONS = Input_x000a_ PROGRESS = Output_x000a_ JOURNEY = Status_x000a__x000a_ BOUNTY = Rewards   MONEY = Finance_x000a_ VICTORY = Success   [RESPITE = Media]_x000a_ GUIDE = History" sqref="A1" xr:uid="{32AED345-3EFF-4F80-8808-5A4286F9B95C}"/>
    <dataValidation allowBlank="1" showInputMessage="1" showErrorMessage="1" promptTitle="Total" prompt="Gaming" sqref="Z46:AB47" xr:uid="{E246541B-31DA-40E1-8C48-0451E4124E4E}"/>
    <dataValidation allowBlank="1" showInputMessage="1" showErrorMessage="1" promptTitle="Total" prompt="TV" sqref="Z50:AB51" xr:uid="{91C6B77A-F36F-49D9-B820-393CCEA2C08B}"/>
    <dataValidation allowBlank="1" showInputMessage="1" showErrorMessage="1" promptTitle="Total" prompt="Film" sqref="Z54:AB55" xr:uid="{15309FFF-72F2-4E4F-968E-3896CD2B05C3}"/>
    <dataValidation allowBlank="1" showInputMessage="1" showErrorMessage="1" promptTitle="Total Hours" prompt="◈ = language training hours" sqref="AC50:BF51 AC54:BF55" xr:uid="{E7561B33-B212-4EF6-9037-667BC8AF088D}"/>
    <dataValidation allowBlank="1" showInputMessage="1" showErrorMessage="1" promptTitle="Total Minutes" prompt="Film" sqref="V54:Y55" xr:uid="{15060F07-3B04-4BE6-8422-11209C1E32FD}"/>
    <dataValidation allowBlank="1" showInputMessage="1" showErrorMessage="1" promptTitle="Total Minutes" prompt="TV" sqref="V50:Y51" xr:uid="{CAFBA450-E4C1-4BCE-AAD9-75F68B4ACB12}"/>
    <dataValidation allowBlank="1" showInputMessage="1" showErrorMessage="1" promptTitle="Total Minutes" prompt="Gaming" sqref="V46:Y47" xr:uid="{C73C2E50-E33E-42D4-B0E5-9B2DFDB41DA2}"/>
    <dataValidation allowBlank="1" showInputMessage="1" showErrorMessage="1" promptTitle="Total Minutes" prompt="All media" sqref="V57:Y58" xr:uid="{00A54B5E-9FC3-4E1A-A08A-077D11FF7402}"/>
    <dataValidation allowBlank="1" showInputMessage="1" showErrorMessage="1" prompt="Streaming services currently subscribed to or available." sqref="BH28:BP36" xr:uid="{41064CB3-0446-429C-96CC-60B930FAAF38}"/>
    <dataValidation allowBlank="1" showInputMessage="1" showErrorMessage="1" prompt="Remaining days available." sqref="BQ28:BT36" xr:uid="{7213A667-A9B8-44BF-957A-BA4B36ADFD45}"/>
    <dataValidation allowBlank="1" showInputMessage="1" showErrorMessage="1" promptTitle="Overall Booby Trap!" prompt="The randomised number that was hit._x000a_" sqref="BV24:BX25 D24:F25" xr:uid="{4CDBC389-E7AD-4E7A-A5A7-2F9838744BE8}"/>
    <dataValidation allowBlank="1" showInputMessage="1" showErrorMessage="1" promptTitle="Wild Card Booby Trap!" prompt="The randomised number that was hit._x000a_" sqref="BD36:BF37 V36:X37" xr:uid="{4D276AD3-349C-4357-823A-F20799A2241D}"/>
    <dataValidation allowBlank="1" showInputMessage="1" showErrorMessage="1" promptTitle="Film Booby Trap!" prompt="The randomised number that was hit._x000a_" sqref="BD2:BF3 BV2:BX3" xr:uid="{18704E3C-493D-40B6-BA89-E70F9230E8C9}"/>
    <dataValidation allowBlank="1" showInputMessage="1" showErrorMessage="1" promptTitle="TV Booby Trap!" prompt="The randomised number that was hit._x000a_" sqref="AV2:AX3 AD2:AF3" xr:uid="{6E7A38B5-DBC3-41A9-A27C-09D27A7F03EE}"/>
    <dataValidation allowBlank="1" showInputMessage="1" showErrorMessage="1" promptTitle="Gaming Booby Trap!" prompt="The randomised number that was hit._x000a_" sqref="D2:F3 V2:X3" xr:uid="{D1D59645-E7B1-4CB0-96D9-F7FA3EFD1D7A}"/>
    <dataValidation type="list" allowBlank="1" showInputMessage="1" sqref="L28:T36" xr:uid="{01B87F0E-09CE-42B6-8053-348125521D78}">
      <formula1>$DX$6:$DX$90</formula1>
    </dataValidation>
    <dataValidation allowBlank="1" showInputMessage="1" showErrorMessage="1" promptTitle="Total Hours" prompt="◈ = language training hours or Tobotico gaming hours" sqref="AC46:BF47" xr:uid="{77EFFCCA-2EE6-4EE2-98B1-EDBC6A666FE4}"/>
  </dataValidations>
  <printOptions horizontalCentered="1" verticalCentered="1" gridLines="1"/>
  <pageMargins left="0.39370078740157483" right="0.39370078740157483" top="0.39370078740157483" bottom="0.39370078740157483" header="0" footer="0"/>
  <pageSetup paperSize="9" scale="50" fitToWidth="0" fitToHeight="0" orientation="landscape" r:id="rId1"/>
  <headerFooter>
    <oddHeader>&amp;C&amp;"Lucida Console,Bold"GAMEPLAN</oddHeader>
  </headerFooter>
  <extLst>
    <ext xmlns:x14="http://schemas.microsoft.com/office/spreadsheetml/2009/9/main" uri="{78C0D931-6437-407d-A8EE-F0AAD7539E65}">
      <x14:conditionalFormattings>
        <x14:conditionalFormatting xmlns:xm="http://schemas.microsoft.com/office/excel/2006/main">
          <x14:cfRule type="expression" priority="278" id="{436AF237-6CE3-4449-9107-12370D964703}">
            <xm:f>PLANS!$F$3="JUNE"</xm:f>
            <x14:dxf>
              <font>
                <color rgb="FFFFC000"/>
              </font>
            </x14:dxf>
          </x14:cfRule>
          <x14:cfRule type="expression" priority="279" id="{B3EF176F-0B16-437C-BE10-284C5C152566}">
            <xm:f>PLANS!$F$3="MAY"</xm:f>
            <x14:dxf>
              <font>
                <color rgb="FFEBE600"/>
              </font>
            </x14:dxf>
          </x14:cfRule>
          <x14:cfRule type="expression" priority="280" id="{875B8350-B482-441A-8D96-549E0047018E}">
            <xm:f>PLANS!$F$3="APRIL"</xm:f>
            <x14:dxf>
              <font>
                <color rgb="FF92D050"/>
              </font>
            </x14:dxf>
          </x14:cfRule>
          <x14:cfRule type="expression" priority="281" id="{F533A5E5-C673-4490-9A50-5DF9C539AA08}">
            <xm:f>PLANS!$F$3="MARCH"</xm:f>
            <x14:dxf>
              <font>
                <color rgb="FF00B050"/>
              </font>
            </x14:dxf>
          </x14:cfRule>
          <x14:cfRule type="expression" priority="282" id="{C8B9A848-AA08-4982-B7D9-59CDD30E55A6}">
            <xm:f>PLANS!$F$3="FEBRUARY"</xm:f>
            <x14:dxf>
              <font>
                <color rgb="FF00B0F0"/>
              </font>
            </x14:dxf>
          </x14:cfRule>
          <x14:cfRule type="expression" priority="283" id="{05AEAC75-63F3-4DCD-A23E-C0B2A6F6C2DC}">
            <xm:f>PLANS!$F$3="JANUARY"</xm:f>
            <x14:dxf>
              <font>
                <color rgb="FF0070C0"/>
              </font>
            </x14:dxf>
          </x14:cfRule>
          <x14:cfRule type="expression" priority="284" id="{A0F71828-976F-473E-B9DD-D5FEC8E5D400}">
            <xm:f>PLANS!$F$3="DECEMBER"</xm:f>
            <x14:dxf>
              <font>
                <color rgb="FF6600CC"/>
              </font>
            </x14:dxf>
          </x14:cfRule>
          <x14:cfRule type="expression" priority="285" id="{28074602-908E-4DE2-8140-D12FA9CD65C9}">
            <xm:f>PLANS!$F$3="NOVEMBER"</xm:f>
            <x14:dxf>
              <font>
                <color rgb="FF9900CC"/>
              </font>
            </x14:dxf>
          </x14:cfRule>
          <x14:cfRule type="expression" priority="286" id="{0382C2F4-8D5E-47CA-86CA-1B01919A9478}">
            <xm:f>PLANS!$F$3="OCTOBER"</xm:f>
            <x14:dxf>
              <font>
                <color rgb="FFFF00FF"/>
              </font>
            </x14:dxf>
          </x14:cfRule>
          <x14:cfRule type="expression" priority="287" id="{62601244-7BC3-4230-8885-ADFB2B571168}">
            <xm:f>PLANS!$F$3="SEPTEMBER"</xm:f>
            <x14:dxf>
              <font>
                <color rgb="FFFF0000"/>
              </font>
            </x14:dxf>
          </x14:cfRule>
          <x14:cfRule type="expression" priority="288" id="{81DE62B9-7B92-4A27-AE35-FC0C8D3DDDA8}">
            <xm:f>PLANS!$F$3="AUGUST"</xm:f>
            <x14:dxf>
              <font>
                <color rgb="FFC00000"/>
              </font>
            </x14:dxf>
          </x14:cfRule>
          <x14:cfRule type="expression" priority="289" id="{9292EF67-6B19-444F-9C44-D64B6F070F96}">
            <xm:f>PLANS!$F$3="JULY"</xm:f>
            <x14:dxf>
              <font>
                <color rgb="FFFF6600"/>
              </font>
            </x14:dxf>
          </x14:cfRule>
          <xm:sqref>J2</xm:sqref>
        </x14:conditionalFormatting>
        <x14:conditionalFormatting xmlns:xm="http://schemas.microsoft.com/office/excel/2006/main">
          <x14:cfRule type="expression" priority="266" id="{74E93D53-4134-4CD2-936E-1906A2CF5075}">
            <xm:f>PLANS!$F$3="JUNE"</xm:f>
            <x14:dxf>
              <font>
                <color rgb="FFFFC000"/>
              </font>
            </x14:dxf>
          </x14:cfRule>
          <x14:cfRule type="expression" priority="267" id="{3089526E-11E0-4B70-B5C7-FFE85E34AC53}">
            <xm:f>PLANS!$F$3="MAY"</xm:f>
            <x14:dxf>
              <font>
                <color rgb="FFEBE600"/>
              </font>
            </x14:dxf>
          </x14:cfRule>
          <x14:cfRule type="expression" priority="268" id="{35FA2D6E-F28F-49AB-8C94-B79323DDDD4D}">
            <xm:f>PLANS!$F$3="APRIL"</xm:f>
            <x14:dxf>
              <font>
                <color rgb="FF92D050"/>
              </font>
            </x14:dxf>
          </x14:cfRule>
          <x14:cfRule type="expression" priority="269" id="{6055AD20-8B20-4510-83B9-7FD6F62AEB4D}">
            <xm:f>PLANS!$F$3="MARCH"</xm:f>
            <x14:dxf>
              <font>
                <color rgb="FF00B050"/>
              </font>
            </x14:dxf>
          </x14:cfRule>
          <x14:cfRule type="expression" priority="270" id="{7A8127D9-BF02-484D-94EC-DF3AD7987F0F}">
            <xm:f>PLANS!$F$3="FEBRUARY"</xm:f>
            <x14:dxf>
              <font>
                <color rgb="FF00B0F0"/>
              </font>
            </x14:dxf>
          </x14:cfRule>
          <x14:cfRule type="expression" priority="271" id="{82C2B3E3-EA12-432A-9FFC-5525FE14A0C0}">
            <xm:f>PLANS!$F$3="JANUARY"</xm:f>
            <x14:dxf>
              <font>
                <color rgb="FF0070C0"/>
              </font>
            </x14:dxf>
          </x14:cfRule>
          <x14:cfRule type="expression" priority="272" id="{73B68A11-CB29-4A8A-A69A-51811BF81A85}">
            <xm:f>PLANS!$F$3="DECEMBER"</xm:f>
            <x14:dxf>
              <font>
                <color rgb="FF6600CC"/>
              </font>
            </x14:dxf>
          </x14:cfRule>
          <x14:cfRule type="expression" priority="273" id="{5D6EE801-489D-4F78-A40C-4EF7E12F2080}">
            <xm:f>PLANS!$F$3="NOVEMBER"</xm:f>
            <x14:dxf>
              <font>
                <color rgb="FF9900CC"/>
              </font>
            </x14:dxf>
          </x14:cfRule>
          <x14:cfRule type="expression" priority="274" id="{5E37F314-C13E-44BA-8340-21FAA9C1A075}">
            <xm:f>PLANS!$F$3="OCTOBER"</xm:f>
            <x14:dxf>
              <font>
                <color rgb="FFFF00FF"/>
              </font>
            </x14:dxf>
          </x14:cfRule>
          <x14:cfRule type="expression" priority="275" id="{DF830C33-A50C-4AB1-8FC2-AB8003D8669C}">
            <xm:f>PLANS!$F$3="SEPTEMBER"</xm:f>
            <x14:dxf>
              <font>
                <color rgb="FFFF0000"/>
              </font>
            </x14:dxf>
          </x14:cfRule>
          <x14:cfRule type="expression" priority="276" id="{E992C944-FD9A-4086-957D-2BBDD8D34661}">
            <xm:f>PLANS!$F$3="AUGUST"</xm:f>
            <x14:dxf>
              <font>
                <color rgb="FFC00000"/>
              </font>
            </x14:dxf>
          </x14:cfRule>
          <x14:cfRule type="expression" priority="277" id="{D384550F-EC05-40CA-A4E5-E636F2B95CB0}">
            <xm:f>PLANS!$F$3="JULY"</xm:f>
            <x14:dxf>
              <font>
                <color rgb="FFFF6600"/>
              </font>
            </x14:dxf>
          </x14:cfRule>
          <xm:sqref>Q2</xm:sqref>
        </x14:conditionalFormatting>
        <x14:conditionalFormatting xmlns:xm="http://schemas.microsoft.com/office/excel/2006/main">
          <x14:cfRule type="expression" priority="254" id="{60FB242E-B784-4CCC-97D2-2011F4329097}">
            <xm:f>PLANS!$F$3="JUNE"</xm:f>
            <x14:dxf>
              <font>
                <color rgb="FFFFC000"/>
              </font>
            </x14:dxf>
          </x14:cfRule>
          <x14:cfRule type="expression" priority="255" id="{F27D80F3-A515-4ED6-A0E7-A30E0FBBA9FF}">
            <xm:f>PLANS!$F$3="MAY"</xm:f>
            <x14:dxf>
              <font>
                <color rgb="FFEBE600"/>
              </font>
            </x14:dxf>
          </x14:cfRule>
          <x14:cfRule type="expression" priority="256" id="{81A300BC-DA6E-43B0-803B-A61A5CBEF239}">
            <xm:f>PLANS!$F$3="APRIL"</xm:f>
            <x14:dxf>
              <font>
                <color rgb="FF92D050"/>
              </font>
            </x14:dxf>
          </x14:cfRule>
          <x14:cfRule type="expression" priority="257" id="{B38D4530-974D-4D81-842E-E95840A6A310}">
            <xm:f>PLANS!$F$3="MARCH"</xm:f>
            <x14:dxf>
              <font>
                <color rgb="FF00B050"/>
              </font>
            </x14:dxf>
          </x14:cfRule>
          <x14:cfRule type="expression" priority="258" id="{7399CEC5-8F55-4AA5-820A-90EC69BEA5B5}">
            <xm:f>PLANS!$F$3="FEBRUARY"</xm:f>
            <x14:dxf>
              <font>
                <color rgb="FF00B0F0"/>
              </font>
            </x14:dxf>
          </x14:cfRule>
          <x14:cfRule type="expression" priority="259" id="{A9EA877A-6A14-46F4-BAE0-1F0E5EDF27B5}">
            <xm:f>PLANS!$F$3="JANUARY"</xm:f>
            <x14:dxf>
              <font>
                <color rgb="FF0070C0"/>
              </font>
            </x14:dxf>
          </x14:cfRule>
          <x14:cfRule type="expression" priority="260" id="{A1BB11E5-E0B3-44B4-ADFE-3953C5ED6958}">
            <xm:f>PLANS!$F$3="DECEMBER"</xm:f>
            <x14:dxf>
              <font>
                <color rgb="FF6600CC"/>
              </font>
            </x14:dxf>
          </x14:cfRule>
          <x14:cfRule type="expression" priority="261" id="{E5D3D30A-2496-4091-A0FD-1DAC2954E640}">
            <xm:f>PLANS!$F$3="NOVEMBER"</xm:f>
            <x14:dxf>
              <font>
                <color rgb="FF9900CC"/>
              </font>
            </x14:dxf>
          </x14:cfRule>
          <x14:cfRule type="expression" priority="262" id="{6758CCF3-EA62-44C3-BCB4-CB59E6BF0C3E}">
            <xm:f>PLANS!$F$3="OCTOBER"</xm:f>
            <x14:dxf>
              <font>
                <color rgb="FFFF00FF"/>
              </font>
            </x14:dxf>
          </x14:cfRule>
          <x14:cfRule type="expression" priority="263" id="{077FE9A7-6FBB-43E5-B68A-3A7312D91AAC}">
            <xm:f>PLANS!$F$3="SEPTEMBER"</xm:f>
            <x14:dxf>
              <font>
                <color rgb="FFFF0000"/>
              </font>
            </x14:dxf>
          </x14:cfRule>
          <x14:cfRule type="expression" priority="264" id="{8A4BF024-93F5-4C87-9529-AA71122311A5}">
            <xm:f>PLANS!$F$3="AUGUST"</xm:f>
            <x14:dxf>
              <font>
                <color rgb="FFC00000"/>
              </font>
            </x14:dxf>
          </x14:cfRule>
          <x14:cfRule type="expression" priority="265" id="{86E51977-58D8-42C8-940D-BAD3BEB26C4E}">
            <xm:f>PLANS!$F$3="JULY"</xm:f>
            <x14:dxf>
              <font>
                <color rgb="FFFF6600"/>
              </font>
            </x14:dxf>
          </x14:cfRule>
          <xm:sqref>AJ2</xm:sqref>
        </x14:conditionalFormatting>
        <x14:conditionalFormatting xmlns:xm="http://schemas.microsoft.com/office/excel/2006/main">
          <x14:cfRule type="expression" priority="242" id="{95E32B8A-6785-4CF4-A2DF-0EACFA4D6E2C}">
            <xm:f>PLANS!$F$3="JUNE"</xm:f>
            <x14:dxf>
              <font>
                <color rgb="FFFFC000"/>
              </font>
            </x14:dxf>
          </x14:cfRule>
          <x14:cfRule type="expression" priority="243" id="{793EEE52-2537-4689-B711-846510857299}">
            <xm:f>PLANS!$F$3="MAY"</xm:f>
            <x14:dxf>
              <font>
                <color rgb="FFEBE600"/>
              </font>
            </x14:dxf>
          </x14:cfRule>
          <x14:cfRule type="expression" priority="244" id="{8A5F21D6-570E-4296-8777-BF1FAF526C46}">
            <xm:f>PLANS!$F$3="APRIL"</xm:f>
            <x14:dxf>
              <font>
                <color rgb="FF92D050"/>
              </font>
            </x14:dxf>
          </x14:cfRule>
          <x14:cfRule type="expression" priority="245" id="{AAA67F51-B49D-42B2-8EAF-1AFFC039F666}">
            <xm:f>PLANS!$F$3="MARCH"</xm:f>
            <x14:dxf>
              <font>
                <color rgb="FF00B050"/>
              </font>
            </x14:dxf>
          </x14:cfRule>
          <x14:cfRule type="expression" priority="246" id="{5A795F26-B08E-4F9A-96FC-BEDD5579CBA7}">
            <xm:f>PLANS!$F$3="FEBRUARY"</xm:f>
            <x14:dxf>
              <font>
                <color rgb="FF00B0F0"/>
              </font>
            </x14:dxf>
          </x14:cfRule>
          <x14:cfRule type="expression" priority="247" id="{EB3EB546-B28A-40C2-9DE3-3A5D7F247C7A}">
            <xm:f>PLANS!$F$3="JANUARY"</xm:f>
            <x14:dxf>
              <font>
                <color rgb="FF0070C0"/>
              </font>
            </x14:dxf>
          </x14:cfRule>
          <x14:cfRule type="expression" priority="248" id="{7EC50FE9-F1A3-430F-8D6A-FCC165A8109D}">
            <xm:f>PLANS!$F$3="DECEMBER"</xm:f>
            <x14:dxf>
              <font>
                <color rgb="FF6600CC"/>
              </font>
            </x14:dxf>
          </x14:cfRule>
          <x14:cfRule type="expression" priority="249" id="{6A62D1B5-6634-40F1-947A-4AC1163F3906}">
            <xm:f>PLANS!$F$3="NOVEMBER"</xm:f>
            <x14:dxf>
              <font>
                <color rgb="FF9900CC"/>
              </font>
            </x14:dxf>
          </x14:cfRule>
          <x14:cfRule type="expression" priority="250" id="{F505DD80-E009-4889-8604-2F0BCF75F752}">
            <xm:f>PLANS!$F$3="OCTOBER"</xm:f>
            <x14:dxf>
              <font>
                <color rgb="FFFF00FF"/>
              </font>
            </x14:dxf>
          </x14:cfRule>
          <x14:cfRule type="expression" priority="251" id="{18033D29-CCC5-4612-9C0C-8DA97E9C5C93}">
            <xm:f>PLANS!$F$3="SEPTEMBER"</xm:f>
            <x14:dxf>
              <font>
                <color rgb="FFFF0000"/>
              </font>
            </x14:dxf>
          </x14:cfRule>
          <x14:cfRule type="expression" priority="252" id="{B39D9F45-268D-425F-885E-428143C55947}">
            <xm:f>PLANS!$F$3="AUGUST"</xm:f>
            <x14:dxf>
              <font>
                <color rgb="FFC00000"/>
              </font>
            </x14:dxf>
          </x14:cfRule>
          <x14:cfRule type="expression" priority="253" id="{5F3FE37E-A0D7-4A72-9A26-AFDC7C946055}">
            <xm:f>PLANS!$F$3="JULY"</xm:f>
            <x14:dxf>
              <font>
                <color rgb="FFFF6600"/>
              </font>
            </x14:dxf>
          </x14:cfRule>
          <xm:sqref>AQ2</xm:sqref>
        </x14:conditionalFormatting>
        <x14:conditionalFormatting xmlns:xm="http://schemas.microsoft.com/office/excel/2006/main">
          <x14:cfRule type="expression" priority="230" id="{6F99B676-E6FE-4FE9-9630-C10BAC505E02}">
            <xm:f>PLANS!$F$3="JUNE"</xm:f>
            <x14:dxf>
              <font>
                <color rgb="FFFFC000"/>
              </font>
            </x14:dxf>
          </x14:cfRule>
          <x14:cfRule type="expression" priority="231" id="{202CC819-CC87-4DFA-8919-83B89FE4B501}">
            <xm:f>PLANS!$F$3="MAY"</xm:f>
            <x14:dxf>
              <font>
                <color rgb="FFEBE600"/>
              </font>
            </x14:dxf>
          </x14:cfRule>
          <x14:cfRule type="expression" priority="232" id="{574A4A35-988E-4BD5-8480-CB4D708836BE}">
            <xm:f>PLANS!$F$3="APRIL"</xm:f>
            <x14:dxf>
              <font>
                <color rgb="FF92D050"/>
              </font>
            </x14:dxf>
          </x14:cfRule>
          <x14:cfRule type="expression" priority="233" id="{0AC9A263-6207-4CF9-92F7-127AA77AFA66}">
            <xm:f>PLANS!$F$3="MARCH"</xm:f>
            <x14:dxf>
              <font>
                <color rgb="FF00B050"/>
              </font>
            </x14:dxf>
          </x14:cfRule>
          <x14:cfRule type="expression" priority="234" id="{BF3CF11B-A03A-499C-872A-9CF992BE9ACC}">
            <xm:f>PLANS!$F$3="FEBRUARY"</xm:f>
            <x14:dxf>
              <font>
                <color rgb="FF00B0F0"/>
              </font>
            </x14:dxf>
          </x14:cfRule>
          <x14:cfRule type="expression" priority="235" id="{2544671F-A8D0-4C78-AB1D-98E8434F5B61}">
            <xm:f>PLANS!$F$3="JANUARY"</xm:f>
            <x14:dxf>
              <font>
                <color rgb="FF0070C0"/>
              </font>
            </x14:dxf>
          </x14:cfRule>
          <x14:cfRule type="expression" priority="236" id="{CEF18C14-2647-48FD-97D0-4553A10435CE}">
            <xm:f>PLANS!$F$3="DECEMBER"</xm:f>
            <x14:dxf>
              <font>
                <color rgb="FF6600CC"/>
              </font>
            </x14:dxf>
          </x14:cfRule>
          <x14:cfRule type="expression" priority="237" id="{FCF4021C-7272-4CFC-B945-1BFB16FFA6BF}">
            <xm:f>PLANS!$F$3="NOVEMBER"</xm:f>
            <x14:dxf>
              <font>
                <color rgb="FF9900CC"/>
              </font>
            </x14:dxf>
          </x14:cfRule>
          <x14:cfRule type="expression" priority="238" id="{C2920F19-0EE6-455E-B2A8-AAAB9CD51C9D}">
            <xm:f>PLANS!$F$3="OCTOBER"</xm:f>
            <x14:dxf>
              <font>
                <color rgb="FFFF00FF"/>
              </font>
            </x14:dxf>
          </x14:cfRule>
          <x14:cfRule type="expression" priority="239" id="{8A9C5F2F-94FA-442E-89A2-C9613FB12DF9}">
            <xm:f>PLANS!$F$3="SEPTEMBER"</xm:f>
            <x14:dxf>
              <font>
                <color rgb="FFFF0000"/>
              </font>
            </x14:dxf>
          </x14:cfRule>
          <x14:cfRule type="expression" priority="240" id="{9EB10907-EEFF-48E1-A6CF-4D2A90798658}">
            <xm:f>PLANS!$F$3="AUGUST"</xm:f>
            <x14:dxf>
              <font>
                <color rgb="FFC00000"/>
              </font>
            </x14:dxf>
          </x14:cfRule>
          <x14:cfRule type="expression" priority="241" id="{FCABA1F5-DE06-46BF-AEE6-692B202D9FC9}">
            <xm:f>PLANS!$F$3="JULY"</xm:f>
            <x14:dxf>
              <font>
                <color rgb="FFFF6600"/>
              </font>
            </x14:dxf>
          </x14:cfRule>
          <xm:sqref>BJ2</xm:sqref>
        </x14:conditionalFormatting>
        <x14:conditionalFormatting xmlns:xm="http://schemas.microsoft.com/office/excel/2006/main">
          <x14:cfRule type="expression" priority="218" id="{A8B73003-9F0F-4E69-913E-152F1C5D6AE1}">
            <xm:f>PLANS!$F$3="JUNE"</xm:f>
            <x14:dxf>
              <font>
                <color rgb="FFFFC000"/>
              </font>
            </x14:dxf>
          </x14:cfRule>
          <x14:cfRule type="expression" priority="219" id="{D34D72B5-86A0-485A-837E-0E9989524FE2}">
            <xm:f>PLANS!$F$3="MAY"</xm:f>
            <x14:dxf>
              <font>
                <color rgb="FFEBE600"/>
              </font>
            </x14:dxf>
          </x14:cfRule>
          <x14:cfRule type="expression" priority="220" id="{E3379007-8E0F-482E-B9B9-BA882A0A19C1}">
            <xm:f>PLANS!$F$3="APRIL"</xm:f>
            <x14:dxf>
              <font>
                <color rgb="FF92D050"/>
              </font>
            </x14:dxf>
          </x14:cfRule>
          <x14:cfRule type="expression" priority="221" id="{3A66704D-7B1D-43C2-9A1E-C1CC0B8C2793}">
            <xm:f>PLANS!$F$3="MARCH"</xm:f>
            <x14:dxf>
              <font>
                <color rgb="FF00B050"/>
              </font>
            </x14:dxf>
          </x14:cfRule>
          <x14:cfRule type="expression" priority="222" id="{F78EA7B6-9D80-4356-838B-EF1F4BC5AF3F}">
            <xm:f>PLANS!$F$3="FEBRUARY"</xm:f>
            <x14:dxf>
              <font>
                <color rgb="FF00B0F0"/>
              </font>
            </x14:dxf>
          </x14:cfRule>
          <x14:cfRule type="expression" priority="223" id="{61E5A9F7-B09C-4CFC-AE76-F9467AD696FD}">
            <xm:f>PLANS!$F$3="JANUARY"</xm:f>
            <x14:dxf>
              <font>
                <color rgb="FF0070C0"/>
              </font>
            </x14:dxf>
          </x14:cfRule>
          <x14:cfRule type="expression" priority="224" id="{EDF77E69-4B8A-4D97-B983-96A14B04F67E}">
            <xm:f>PLANS!$F$3="DECEMBER"</xm:f>
            <x14:dxf>
              <font>
                <color rgb="FF6600CC"/>
              </font>
            </x14:dxf>
          </x14:cfRule>
          <x14:cfRule type="expression" priority="225" id="{0E514B2D-E23C-4AD2-B3AA-D63EBE1D308D}">
            <xm:f>PLANS!$F$3="NOVEMBER"</xm:f>
            <x14:dxf>
              <font>
                <color rgb="FF9900CC"/>
              </font>
            </x14:dxf>
          </x14:cfRule>
          <x14:cfRule type="expression" priority="226" id="{DD6B283E-0C65-43E5-A1DB-572F670901AD}">
            <xm:f>PLANS!$F$3="OCTOBER"</xm:f>
            <x14:dxf>
              <font>
                <color rgb="FFFF00FF"/>
              </font>
            </x14:dxf>
          </x14:cfRule>
          <x14:cfRule type="expression" priority="227" id="{03546FB9-49A6-4D19-97B4-C4B2C9D120D6}">
            <xm:f>PLANS!$F$3="SEPTEMBER"</xm:f>
            <x14:dxf>
              <font>
                <color rgb="FFFF0000"/>
              </font>
            </x14:dxf>
          </x14:cfRule>
          <x14:cfRule type="expression" priority="228" id="{8D35C227-35D4-4BD5-8B30-277D09299165}">
            <xm:f>PLANS!$F$3="AUGUST"</xm:f>
            <x14:dxf>
              <font>
                <color rgb="FFC00000"/>
              </font>
            </x14:dxf>
          </x14:cfRule>
          <x14:cfRule type="expression" priority="229" id="{4F467594-D2FE-4126-8F97-A28B83F03EFA}">
            <xm:f>PLANS!$F$3="JULY"</xm:f>
            <x14:dxf>
              <font>
                <color rgb="FFFF6600"/>
              </font>
            </x14:dxf>
          </x14:cfRule>
          <xm:sqref>BQ2</xm:sqref>
        </x14:conditionalFormatting>
        <x14:conditionalFormatting xmlns:xm="http://schemas.microsoft.com/office/excel/2006/main">
          <x14:cfRule type="expression" priority="206" id="{F4B536BE-4561-4F9E-A7CA-18A9ECC4FA77}">
            <xm:f>PLANS!$F$3="JUNE"</xm:f>
            <x14:dxf>
              <font>
                <color rgb="FFFFC000"/>
              </font>
            </x14:dxf>
          </x14:cfRule>
          <x14:cfRule type="expression" priority="207" id="{61739284-6054-4380-8D79-60ABD5A7F451}">
            <xm:f>PLANS!$F$3="MAY"</xm:f>
            <x14:dxf>
              <font>
                <color rgb="FFEBE600"/>
              </font>
            </x14:dxf>
          </x14:cfRule>
          <x14:cfRule type="expression" priority="208" id="{D0DBC046-CE2C-4153-B589-BF31341C08D3}">
            <xm:f>PLANS!$F$3="APRIL"</xm:f>
            <x14:dxf>
              <font>
                <color rgb="FF92D050"/>
              </font>
            </x14:dxf>
          </x14:cfRule>
          <x14:cfRule type="expression" priority="209" id="{FC4D46CA-0FA2-4058-B7C3-4FF7E74064FE}">
            <xm:f>PLANS!$F$3="MARCH"</xm:f>
            <x14:dxf>
              <font>
                <color rgb="FF00B050"/>
              </font>
            </x14:dxf>
          </x14:cfRule>
          <x14:cfRule type="expression" priority="210" id="{4E781F78-E046-42A7-A7E3-9F90CC5ED604}">
            <xm:f>PLANS!$F$3="FEBRUARY"</xm:f>
            <x14:dxf>
              <font>
                <color rgb="FF00B0F0"/>
              </font>
            </x14:dxf>
          </x14:cfRule>
          <x14:cfRule type="expression" priority="211" id="{93A37C11-BDED-4282-87B9-D1745BC69E55}">
            <xm:f>PLANS!$F$3="JANUARY"</xm:f>
            <x14:dxf>
              <font>
                <color rgb="FF0070C0"/>
              </font>
            </x14:dxf>
          </x14:cfRule>
          <x14:cfRule type="expression" priority="212" id="{41980427-C0EB-45A8-90D2-3902ED54C2D8}">
            <xm:f>PLANS!$F$3="DECEMBER"</xm:f>
            <x14:dxf>
              <font>
                <color rgb="FF6600CC"/>
              </font>
            </x14:dxf>
          </x14:cfRule>
          <x14:cfRule type="expression" priority="213" id="{39093DA7-5569-4CC4-A8B9-AFD10D5E6289}">
            <xm:f>PLANS!$F$3="NOVEMBER"</xm:f>
            <x14:dxf>
              <font>
                <color rgb="FF9900CC"/>
              </font>
            </x14:dxf>
          </x14:cfRule>
          <x14:cfRule type="expression" priority="214" id="{13AF47F0-6DA5-4C04-9045-31DDF77E42CE}">
            <xm:f>PLANS!$F$3="OCTOBER"</xm:f>
            <x14:dxf>
              <font>
                <color rgb="FFFF00FF"/>
              </font>
            </x14:dxf>
          </x14:cfRule>
          <x14:cfRule type="expression" priority="215" id="{0EC2F411-4D2F-4F8A-A222-71C7CDDFDCCA}">
            <xm:f>PLANS!$F$3="SEPTEMBER"</xm:f>
            <x14:dxf>
              <font>
                <color rgb="FFFF0000"/>
              </font>
            </x14:dxf>
          </x14:cfRule>
          <x14:cfRule type="expression" priority="216" id="{AA740EDA-CBB3-4567-8179-9F6C01B48944}">
            <xm:f>PLANS!$F$3="AUGUST"</xm:f>
            <x14:dxf>
              <font>
                <color rgb="FFC00000"/>
              </font>
            </x14:dxf>
          </x14:cfRule>
          <x14:cfRule type="expression" priority="217" id="{31898B69-AF98-4FEC-8591-4CD9A8237846}">
            <xm:f>PLANS!$F$3="JULY"</xm:f>
            <x14:dxf>
              <font>
                <color rgb="FFFF6600"/>
              </font>
            </x14:dxf>
          </x14:cfRule>
          <xm:sqref>Z46</xm:sqref>
        </x14:conditionalFormatting>
        <x14:conditionalFormatting xmlns:xm="http://schemas.microsoft.com/office/excel/2006/main">
          <x14:cfRule type="expression" priority="169" id="{896CFC46-A3F4-4A81-9982-2153DDDFC20F}">
            <xm:f>PLANS!$F$3="JUNE"</xm:f>
            <x14:dxf>
              <font>
                <color rgb="FFFFC000"/>
              </font>
            </x14:dxf>
          </x14:cfRule>
          <x14:cfRule type="expression" priority="170" id="{EC6014B2-BE01-4BDA-913A-3A1D31ABD504}">
            <xm:f>PLANS!$F$3="MAY"</xm:f>
            <x14:dxf>
              <font>
                <color rgb="FFEBE600"/>
              </font>
            </x14:dxf>
          </x14:cfRule>
          <x14:cfRule type="expression" priority="171" id="{98D8863E-89F5-482B-9DC4-3B2ACD62B5EE}">
            <xm:f>PLANS!$F$3="APRIL"</xm:f>
            <x14:dxf>
              <font>
                <color rgb="FF92D050"/>
              </font>
            </x14:dxf>
          </x14:cfRule>
          <x14:cfRule type="expression" priority="172" id="{B4712F03-F35F-4B4C-A6C0-B4E49D20AB7B}">
            <xm:f>PLANS!$F$3="MARCH"</xm:f>
            <x14:dxf>
              <font>
                <color rgb="FF00B050"/>
              </font>
            </x14:dxf>
          </x14:cfRule>
          <x14:cfRule type="expression" priority="173" id="{FB48E229-D3C6-4697-919B-5C5BB61F34EE}">
            <xm:f>PLANS!$F$3="FEBRUARY"</xm:f>
            <x14:dxf>
              <font>
                <color rgb="FF00B0F0"/>
              </font>
            </x14:dxf>
          </x14:cfRule>
          <x14:cfRule type="expression" priority="174" id="{5C6119E1-AA8B-41B2-ADF6-C58AB79A8C82}">
            <xm:f>PLANS!$F$3="JANUARY"</xm:f>
            <x14:dxf>
              <font>
                <color rgb="FF0070C0"/>
              </font>
            </x14:dxf>
          </x14:cfRule>
          <x14:cfRule type="expression" priority="175" id="{A2D9164F-93F3-4AF5-B6F4-C62620E8FCAF}">
            <xm:f>PLANS!$F$3="DECEMBER"</xm:f>
            <x14:dxf>
              <font>
                <color rgb="FF6600CC"/>
              </font>
            </x14:dxf>
          </x14:cfRule>
          <x14:cfRule type="expression" priority="176" id="{3FCAED18-BF74-42AA-ACFF-40DD422047CB}">
            <xm:f>PLANS!$F$3="NOVEMBER"</xm:f>
            <x14:dxf>
              <font>
                <color rgb="FF9900CC"/>
              </font>
            </x14:dxf>
          </x14:cfRule>
          <x14:cfRule type="expression" priority="177" id="{FD9C1C89-9015-41F4-8624-3C2ADD499A59}">
            <xm:f>PLANS!$F$3="OCTOBER"</xm:f>
            <x14:dxf>
              <font>
                <color rgb="FFFF00FF"/>
              </font>
            </x14:dxf>
          </x14:cfRule>
          <x14:cfRule type="expression" priority="178" id="{AA7B69EC-F6B7-49B0-86C2-FC9B85A245D1}">
            <xm:f>PLANS!$F$3="SEPTEMBER"</xm:f>
            <x14:dxf>
              <font>
                <color rgb="FFFF0000"/>
              </font>
            </x14:dxf>
          </x14:cfRule>
          <x14:cfRule type="expression" priority="179" id="{7FBDA4E6-17F5-47D1-B371-7C5C55E43810}">
            <xm:f>PLANS!$F$3="AUGUST"</xm:f>
            <x14:dxf>
              <font>
                <color rgb="FFC00000"/>
              </font>
            </x14:dxf>
          </x14:cfRule>
          <x14:cfRule type="expression" priority="180" id="{AEBC0E5A-D5D5-42B1-9D18-982CC45013D8}">
            <xm:f>PLANS!$F$3="JULY"</xm:f>
            <x14:dxf>
              <font>
                <color rgb="FFFF6600"/>
              </font>
            </x14:dxf>
          </x14:cfRule>
          <xm:sqref>Z50</xm:sqref>
        </x14:conditionalFormatting>
        <x14:conditionalFormatting xmlns:xm="http://schemas.microsoft.com/office/excel/2006/main">
          <x14:cfRule type="expression" priority="156" id="{911E88A5-F25E-43F7-A8A7-ACADBA3B48FC}">
            <xm:f>PLANS!$F$3="JUNE"</xm:f>
            <x14:dxf>
              <font>
                <color rgb="FFFFC000"/>
              </font>
            </x14:dxf>
          </x14:cfRule>
          <x14:cfRule type="expression" priority="157" id="{583163C6-DF26-4A0F-9678-C1B7B2B9D50E}">
            <xm:f>PLANS!$F$3="MAY"</xm:f>
            <x14:dxf>
              <font>
                <color rgb="FFEBE600"/>
              </font>
            </x14:dxf>
          </x14:cfRule>
          <x14:cfRule type="expression" priority="158" id="{2E797A5E-5F87-485B-B4BA-A894E15B9245}">
            <xm:f>PLANS!$F$3="APRIL"</xm:f>
            <x14:dxf>
              <font>
                <color rgb="FF92D050"/>
              </font>
            </x14:dxf>
          </x14:cfRule>
          <x14:cfRule type="expression" priority="159" id="{D6EF2EAD-B7A9-47DF-8603-DE8A6BDDD43E}">
            <xm:f>PLANS!$F$3="MARCH"</xm:f>
            <x14:dxf>
              <font>
                <color rgb="FF00B050"/>
              </font>
            </x14:dxf>
          </x14:cfRule>
          <x14:cfRule type="expression" priority="160" id="{70B80C2F-BC5A-4ABB-8249-05A443DD764A}">
            <xm:f>PLANS!$F$3="FEBRUARY"</xm:f>
            <x14:dxf>
              <font>
                <color rgb="FF00B0F0"/>
              </font>
            </x14:dxf>
          </x14:cfRule>
          <x14:cfRule type="expression" priority="161" id="{39E677B1-2E2D-43D8-9975-6F837FA91C6E}">
            <xm:f>PLANS!$F$3="JANUARY"</xm:f>
            <x14:dxf>
              <font>
                <color rgb="FF0070C0"/>
              </font>
            </x14:dxf>
          </x14:cfRule>
          <x14:cfRule type="expression" priority="162" id="{6E9AECFE-B7CE-4135-BC06-2CB54A957D46}">
            <xm:f>PLANS!$F$3="DECEMBER"</xm:f>
            <x14:dxf>
              <font>
                <color rgb="FF6600CC"/>
              </font>
            </x14:dxf>
          </x14:cfRule>
          <x14:cfRule type="expression" priority="163" id="{A87E70F6-C184-4ACE-8236-049AB125D8E6}">
            <xm:f>PLANS!$F$3="NOVEMBER"</xm:f>
            <x14:dxf>
              <font>
                <color rgb="FF9900CC"/>
              </font>
            </x14:dxf>
          </x14:cfRule>
          <x14:cfRule type="expression" priority="164" id="{9D2A9143-BCDB-44F1-B829-888FED1880B5}">
            <xm:f>PLANS!$F$3="OCTOBER"</xm:f>
            <x14:dxf>
              <font>
                <color rgb="FFFF00FF"/>
              </font>
            </x14:dxf>
          </x14:cfRule>
          <x14:cfRule type="expression" priority="165" id="{51A0AA8F-49F6-46FF-BF23-EBA862F01CBD}">
            <xm:f>PLANS!$F$3="SEPTEMBER"</xm:f>
            <x14:dxf>
              <font>
                <color rgb="FFFF0000"/>
              </font>
            </x14:dxf>
          </x14:cfRule>
          <x14:cfRule type="expression" priority="166" id="{0AEB1320-F5A5-4754-BD4D-8FF470C1E221}">
            <xm:f>PLANS!$F$3="AUGUST"</xm:f>
            <x14:dxf>
              <font>
                <color rgb="FFC00000"/>
              </font>
            </x14:dxf>
          </x14:cfRule>
          <x14:cfRule type="expression" priority="167" id="{FAAA6E9A-7F2D-4CB7-97D2-9F8B40C6092A}">
            <xm:f>PLANS!$F$3="JULY"</xm:f>
            <x14:dxf>
              <font>
                <color rgb="FFFF6600"/>
              </font>
            </x14:dxf>
          </x14:cfRule>
          <xm:sqref>Z54</xm:sqref>
        </x14:conditionalFormatting>
        <x14:conditionalFormatting xmlns:xm="http://schemas.microsoft.com/office/excel/2006/main">
          <x14:cfRule type="expression" priority="51939" id="{BB3EE7C8-8916-4D5E-9FE6-FA34AF8EDFBB}">
            <xm:f>PLANS!$B$1&gt;=CC25</xm:f>
            <x14:dxf>
              <fill>
                <patternFill>
                  <bgColor theme="0" tint="-0.24994659260841701"/>
                </patternFill>
              </fill>
            </x14:dxf>
          </x14:cfRule>
          <xm:sqref>AW25:AW35 AX25:AY34</xm:sqref>
        </x14:conditionalFormatting>
        <x14:conditionalFormatting xmlns:xm="http://schemas.microsoft.com/office/excel/2006/main">
          <x14:cfRule type="expression" priority="58188" id="{3B31D2E7-61DF-4F33-81E8-4C36768CB44A}">
            <xm:f>BOUNTY!$AB$19="£"</xm:f>
            <x14:dxf>
              <numFmt numFmtId="170" formatCode="&quot;£&quot;#,##0.00"/>
            </x14:dxf>
          </x14:cfRule>
          <x14:cfRule type="expression" priority="58189" id="{D603B4B2-5B9F-4837-A33D-0489F01D2598}">
            <xm:f>BOUNTY!$AB$19="$"</xm:f>
            <x14:dxf>
              <numFmt numFmtId="189" formatCode="[$$-409]#,##0.00"/>
            </x14:dxf>
          </x14:cfRule>
          <x14:cfRule type="expression" priority="58190" id="{43B95B34-26C6-4ED9-AEBC-184044C4ADB2}">
            <xm:f>BOUNTY!$AB$19="€"</xm:f>
            <x14:dxf>
              <numFmt numFmtId="188" formatCode="[$€-2]\ #,##0.00"/>
            </x14:dxf>
          </x14:cfRule>
          <x14:cfRule type="expression" priority="58191" id="{D1B9269D-3512-4FAF-B32B-B102DD167753}">
            <xm:f>BOUNTY!$AB$19="¥"</xm:f>
            <x14:dxf>
              <numFmt numFmtId="187" formatCode="[$¥-804]#,##0.00"/>
            </x14:dxf>
          </x14:cfRule>
          <x14:cfRule type="expression" priority="58192" id="{FE3AA323-92B5-4801-98A0-2524815E355E}">
            <xm:f>BOUNTY!$AB$19="₹"</xm:f>
            <x14:dxf>
              <numFmt numFmtId="186" formatCode="[$₹-4009]\ #,##0.00"/>
            </x14:dxf>
          </x14:cfRule>
          <xm:sqref>BQ45:BS58</xm:sqref>
        </x14:conditionalFormatting>
      </x14:conditionalFormattings>
    </ext>
    <ext xmlns:x14="http://schemas.microsoft.com/office/spreadsheetml/2009/9/main" uri="{CCE6A557-97BC-4b89-ADB6-D9C93CAAB3DF}">
      <x14:dataValidations xmlns:xm="http://schemas.microsoft.com/office/excel/2006/main" xWindow="291" yWindow="913" count="1">
        <x14:dataValidation type="whole" allowBlank="1" showInputMessage="1" showErrorMessage="1" error="Enter the year as yyyy" xr:uid="{707FC785-A128-465F-8D12-234FCEC58BF2}">
          <x14:formula1>
            <xm:f>1900</xm:f>
          </x14:formula1>
          <x14:formula2>
            <xm:f>'^'!$BK$55</xm:f>
          </x14:formula2>
          <xm:sqref>L8:M8 L10:M10 L12:M12 L14:M14 L16:M16 L18:M18 L20:M20 AL8:AM8 AL12:AM12 AL14:AM14 AL16:AM16 AL18:AM18 BL20:BM20 BL8:BM8 BL10:BM10 BL12:BM12 BL14:BM14 BL16:BM16 BL18:BM18 L67:M67 L69:M69 L71:M71 L73:M73 L75:M75 L77:M77 L79:M79 L81:M81 L83:M83 L85:M85 L87:M87 L89:M89 L91:M91 L93:M93 AL67:AM67 AL69:AM69 AL71:AM71 AL73:AM73 AL75:AM75 AL77:AM77 AL79:AM79 AL81:AM81 AL83:AM83 AL85:AM85 AL87:AM87 AL89:AM89 AL91:AM91 AL20:AM20 BL67:BM67 BL69:BM69 BL71:BM71 BL73:BM73 BL75:BM75 BL77:BM77 BL79:BM79 BL81:BM81 BL83:BM83 BL85:BM85 BL87:BM87 BL89:BM89 BL91:BM91 BL93:BM93 BL95:BM95 BL97:BM97 BL99:BM99 BL101:BM101 BL103:BM103 BL105:BM105 BL107:BM107 BL109:BM109 BL111:BM111 BL113:BM113 BL115:BM115 BL117:BM117 BL119:BM119 BL121:BM121 AL93:AM93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32362-1DD6-4A3A-8DA8-950FE2BC98D7}">
  <sheetPr codeName="Sheet15"/>
  <dimension ref="A1:FL304"/>
  <sheetViews>
    <sheetView showGridLines="0" showRowColHeaders="0" zoomScaleNormal="100" workbookViewId="0"/>
  </sheetViews>
  <sheetFormatPr defaultColWidth="3.42578125" defaultRowHeight="17.100000000000001" customHeight="1" x14ac:dyDescent="0.15"/>
  <cols>
    <col min="1" max="36" width="3.42578125" style="1"/>
    <col min="37" max="37" width="3.42578125" style="1" customWidth="1"/>
    <col min="38" max="79" width="3.42578125" style="1"/>
    <col min="80" max="89" width="3.42578125" style="1" hidden="1" customWidth="1"/>
    <col min="90" max="167" width="0" style="1" hidden="1" customWidth="1"/>
    <col min="168" max="16384" width="3.42578125" style="1"/>
  </cols>
  <sheetData>
    <row r="1" spans="1:166" ht="17.100000000000001" customHeight="1" x14ac:dyDescent="0.25">
      <c r="A1" s="2694" t="s">
        <v>1706</v>
      </c>
      <c r="B1" s="3"/>
      <c r="C1" s="3"/>
      <c r="D1" s="3"/>
      <c r="E1" s="3"/>
      <c r="F1" s="3"/>
      <c r="G1" s="3"/>
      <c r="H1" s="3"/>
      <c r="I1" s="3"/>
      <c r="J1" s="3"/>
      <c r="K1" s="3"/>
      <c r="L1" s="3"/>
      <c r="M1" s="3"/>
      <c r="N1" s="3"/>
      <c r="O1" s="3"/>
      <c r="P1" s="3"/>
      <c r="Q1" s="3"/>
      <c r="R1" s="3"/>
      <c r="S1" s="3"/>
      <c r="T1" s="3"/>
      <c r="U1" s="3"/>
      <c r="V1" s="3059"/>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16" t="s">
        <v>782</v>
      </c>
      <c r="CK1" s="1513"/>
      <c r="CL1" s="1513"/>
      <c r="CM1" s="1513"/>
      <c r="CN1" s="1513"/>
      <c r="CO1" s="1513"/>
      <c r="CP1" s="1513"/>
      <c r="CQ1" s="1513"/>
      <c r="CR1" s="1513"/>
      <c r="CS1" s="1513"/>
      <c r="CT1" s="1513"/>
      <c r="CU1" s="1513"/>
      <c r="CV1" s="1513"/>
      <c r="CW1" s="1513"/>
      <c r="CX1" s="1513"/>
      <c r="CY1" s="1513"/>
      <c r="CZ1" s="1513"/>
      <c r="DA1" s="1513"/>
      <c r="DB1" s="1513"/>
      <c r="DC1" s="1513"/>
      <c r="DD1" s="1513"/>
      <c r="DE1" s="1513"/>
      <c r="DF1" s="1513"/>
      <c r="DG1" s="1513"/>
      <c r="DH1" s="1513"/>
      <c r="DI1" s="1513"/>
      <c r="DJ1" s="1513"/>
      <c r="DK1" s="1513"/>
      <c r="DL1" s="1513"/>
      <c r="DM1" s="1513"/>
      <c r="DN1" s="1513"/>
      <c r="DO1" s="1513"/>
      <c r="DP1" s="1513"/>
      <c r="DQ1" s="1513"/>
      <c r="DR1" s="1513"/>
      <c r="DS1" s="1513"/>
      <c r="DT1" s="1513"/>
      <c r="DU1" s="1513"/>
      <c r="DV1" s="1513"/>
      <c r="DW1" s="1513"/>
      <c r="DX1" s="1513"/>
      <c r="DY1" s="1513"/>
      <c r="DZ1" s="1513"/>
      <c r="EA1" s="1513"/>
      <c r="EB1" s="1513"/>
      <c r="EC1" s="1513"/>
      <c r="ED1" s="1513"/>
      <c r="EE1" s="1513"/>
      <c r="EF1" s="1513"/>
      <c r="EG1" s="1513"/>
      <c r="EH1" s="1513"/>
      <c r="EI1" s="1513"/>
      <c r="EJ1" s="1513"/>
      <c r="EK1" s="1513"/>
      <c r="EL1" s="1513"/>
      <c r="EM1" s="1513"/>
      <c r="EN1" s="1513"/>
      <c r="EO1" s="1513"/>
      <c r="EP1" s="1513"/>
      <c r="EQ1" s="1513"/>
      <c r="ER1" s="1513"/>
      <c r="ES1" s="1513"/>
      <c r="ET1" s="1513"/>
      <c r="EU1" s="1513"/>
      <c r="EV1" s="1513"/>
      <c r="EW1" s="1513"/>
      <c r="EX1" s="1513"/>
      <c r="EY1" s="1513"/>
      <c r="EZ1" s="1513"/>
      <c r="FA1" s="1513"/>
      <c r="FB1" s="1513"/>
      <c r="FC1" s="1513"/>
      <c r="FD1" s="1513"/>
      <c r="FE1" s="1513"/>
      <c r="FF1" s="1513"/>
      <c r="FG1" s="1513"/>
      <c r="FH1" s="1513"/>
      <c r="FI1" s="1513"/>
      <c r="FJ1" s="1513"/>
    </row>
    <row r="2" spans="1:166" ht="17.100000000000001" customHeight="1" x14ac:dyDescent="0.15">
      <c r="A2" s="3"/>
      <c r="B2" s="23"/>
      <c r="C2" s="23"/>
      <c r="D2" s="23"/>
      <c r="E2" s="23"/>
      <c r="F2" s="23"/>
      <c r="G2" s="23"/>
      <c r="H2" s="23"/>
      <c r="I2" s="23"/>
      <c r="J2" s="23"/>
      <c r="K2" s="23"/>
      <c r="L2" s="23"/>
      <c r="M2" s="23"/>
      <c r="N2" s="23"/>
      <c r="O2" s="23"/>
      <c r="P2" s="23"/>
      <c r="Q2" s="23"/>
      <c r="R2" s="23"/>
      <c r="S2" s="3064"/>
      <c r="T2" s="2871"/>
      <c r="U2" s="2871"/>
      <c r="V2" s="2871"/>
      <c r="W2" s="2871"/>
      <c r="X2" s="2871"/>
      <c r="Y2" s="2871"/>
      <c r="Z2" s="2871"/>
      <c r="AA2" s="2871"/>
      <c r="AB2" s="2871"/>
      <c r="AC2" s="2871"/>
      <c r="AD2" s="2871"/>
      <c r="AE2" s="2871"/>
      <c r="AF2" s="2871"/>
      <c r="AG2" s="2871"/>
      <c r="AH2" s="2871"/>
      <c r="AI2" s="2871"/>
      <c r="AJ2" s="2871"/>
      <c r="AK2" s="2871"/>
      <c r="AL2" s="2871"/>
      <c r="AM2" s="2871"/>
      <c r="AN2" s="2871"/>
      <c r="AO2" s="2871"/>
      <c r="AP2" s="2871"/>
      <c r="AQ2" s="2871"/>
      <c r="AR2" s="2871"/>
      <c r="AS2" s="2871"/>
      <c r="AT2" s="2871"/>
      <c r="AU2" s="2871"/>
      <c r="AV2" s="2871"/>
      <c r="AW2" s="2871"/>
      <c r="AX2" s="2871"/>
      <c r="AY2" s="2871"/>
      <c r="AZ2" s="2871"/>
      <c r="BA2" s="2871"/>
      <c r="BB2" s="2871"/>
      <c r="BC2" s="2871"/>
      <c r="BD2" s="2871"/>
      <c r="BE2" s="2871"/>
      <c r="BF2" s="2871"/>
      <c r="BG2" s="2871"/>
      <c r="BH2" s="2871"/>
      <c r="BI2" s="2871"/>
      <c r="BJ2" s="2871"/>
      <c r="BK2" s="2871"/>
      <c r="BL2" s="2871"/>
      <c r="BM2" s="2871"/>
      <c r="BN2" s="2871"/>
      <c r="BO2" s="2871"/>
      <c r="BP2" s="2871"/>
      <c r="BQ2" s="2871"/>
      <c r="BR2" s="2871"/>
      <c r="BS2" s="2871"/>
      <c r="BT2" s="2871"/>
      <c r="BU2" s="1757"/>
      <c r="BV2" s="1757"/>
      <c r="BW2" s="1757"/>
      <c r="BX2" s="1757"/>
      <c r="BY2" s="1757"/>
      <c r="BZ2" s="1757"/>
      <c r="CA2" s="2693"/>
      <c r="CK2" s="1513"/>
      <c r="CL2" s="1513"/>
      <c r="CM2" s="1513"/>
      <c r="CN2" s="1513"/>
      <c r="CO2" s="1513"/>
      <c r="CP2" s="1513"/>
      <c r="CQ2" s="1513"/>
      <c r="CR2" s="1513"/>
      <c r="CS2" s="1513"/>
      <c r="CT2" s="1513"/>
      <c r="CU2" s="1513"/>
      <c r="CV2" s="1513"/>
      <c r="CW2" s="1513"/>
      <c r="CX2" s="1513"/>
      <c r="CY2" s="1513"/>
      <c r="CZ2" s="1513"/>
      <c r="DA2" s="1513"/>
      <c r="DB2" s="1513"/>
      <c r="DC2" s="1513"/>
      <c r="DD2" s="1513"/>
      <c r="DE2" s="1513"/>
      <c r="DF2" s="1513"/>
      <c r="DG2" s="1513"/>
      <c r="DH2" s="1513"/>
      <c r="DI2" s="1513"/>
      <c r="DJ2" s="1513"/>
      <c r="DK2" s="1513"/>
      <c r="DL2" s="1513"/>
      <c r="DM2" s="1513"/>
      <c r="DN2" s="1513"/>
      <c r="DO2" s="1513"/>
      <c r="DP2" s="1513"/>
      <c r="DQ2" s="1513"/>
      <c r="DR2" s="1513"/>
      <c r="DS2" s="1513"/>
      <c r="DT2" s="1513"/>
      <c r="DU2" s="1513"/>
      <c r="DV2" s="1513"/>
      <c r="DW2" s="1513"/>
      <c r="DX2" s="1513"/>
      <c r="DY2" s="1513"/>
      <c r="DZ2" s="1513"/>
      <c r="EA2" s="1513"/>
      <c r="EB2" s="1513"/>
      <c r="EC2" s="1513"/>
      <c r="ED2" s="1513"/>
      <c r="EE2" s="1513"/>
      <c r="EF2" s="1513"/>
      <c r="EG2" s="1513"/>
      <c r="EH2" s="1513"/>
      <c r="EI2" s="1513"/>
      <c r="EJ2" s="1513"/>
      <c r="EK2" s="1513"/>
      <c r="EL2" s="1513"/>
      <c r="EM2" s="1513"/>
      <c r="EN2" s="1513"/>
      <c r="EO2" s="1513"/>
      <c r="EP2" s="1513"/>
      <c r="EQ2" s="1513"/>
      <c r="ER2" s="1513"/>
      <c r="ES2" s="1513"/>
      <c r="ET2" s="1513"/>
      <c r="EU2" s="1513"/>
      <c r="EV2" s="1513"/>
      <c r="EW2" s="1513"/>
      <c r="EX2" s="1513"/>
      <c r="EY2" s="1513"/>
      <c r="EZ2" s="1513"/>
      <c r="FA2" s="1513"/>
      <c r="FB2" s="1513"/>
      <c r="FC2" s="1513"/>
      <c r="FD2" s="1513"/>
      <c r="FE2" s="1513"/>
      <c r="FF2" s="1513"/>
      <c r="FG2" s="1513"/>
      <c r="FH2" s="1513"/>
      <c r="FI2" s="1513"/>
      <c r="FJ2" s="1513"/>
    </row>
    <row r="3" spans="1:166" ht="17.100000000000001" customHeight="1" x14ac:dyDescent="0.15">
      <c r="A3" s="3"/>
      <c r="B3" s="678"/>
      <c r="C3" s="23"/>
      <c r="D3" s="23"/>
      <c r="E3" s="23"/>
      <c r="F3" s="23"/>
      <c r="G3" s="23"/>
      <c r="H3" s="23"/>
      <c r="I3" s="23"/>
      <c r="J3" s="23"/>
      <c r="K3" s="23"/>
      <c r="L3" s="24"/>
      <c r="M3" s="23"/>
      <c r="N3" s="678"/>
      <c r="O3" s="23"/>
      <c r="P3" s="23"/>
      <c r="Q3" s="23"/>
      <c r="R3" s="23"/>
      <c r="S3" s="3064"/>
      <c r="T3" s="2871"/>
      <c r="U3" s="2871"/>
      <c r="V3" s="2871"/>
      <c r="W3" s="2871"/>
      <c r="X3" s="2984"/>
      <c r="Y3" s="2871"/>
      <c r="Z3" s="2871"/>
      <c r="AA3" s="2871"/>
      <c r="AB3" s="2871"/>
      <c r="AC3" s="2871"/>
      <c r="AD3" s="2871"/>
      <c r="AE3" s="2871"/>
      <c r="AF3" s="2871"/>
      <c r="AG3" s="2871"/>
      <c r="AH3" s="2871"/>
      <c r="AI3" s="2871"/>
      <c r="AJ3" s="2987"/>
      <c r="AK3" s="2871"/>
      <c r="AL3" s="2871"/>
      <c r="AM3" s="2871"/>
      <c r="AN3" s="2871"/>
      <c r="AO3" s="2871"/>
      <c r="AP3" s="2871"/>
      <c r="AQ3" s="2871"/>
      <c r="AR3" s="2871"/>
      <c r="AS3" s="2871"/>
      <c r="AT3" s="2871"/>
      <c r="AU3" s="2871"/>
      <c r="AV3" s="2871"/>
      <c r="AW3" s="2871"/>
      <c r="AX3" s="2871"/>
      <c r="AY3" s="2871"/>
      <c r="AZ3" s="2871"/>
      <c r="BA3" s="2871"/>
      <c r="BB3" s="2871"/>
      <c r="BC3" s="2871"/>
      <c r="BD3" s="2871"/>
      <c r="BE3" s="2871"/>
      <c r="BF3" s="2871"/>
      <c r="BG3" s="2871"/>
      <c r="BH3" s="2871"/>
      <c r="BI3" s="2871"/>
      <c r="BJ3" s="2871"/>
      <c r="BK3" s="2871"/>
      <c r="BL3" s="2871"/>
      <c r="BM3" s="2871"/>
      <c r="BN3" s="2871"/>
      <c r="BO3" s="2871"/>
      <c r="BP3" s="2984"/>
      <c r="BQ3" s="2871"/>
      <c r="BR3" s="2871"/>
      <c r="BS3" s="2871"/>
      <c r="BT3" s="2871"/>
      <c r="BU3" s="1757"/>
      <c r="BV3" s="1757"/>
      <c r="BW3" s="1757"/>
      <c r="BX3" s="1757"/>
      <c r="BY3" s="1757"/>
      <c r="BZ3" s="1757"/>
      <c r="CA3" s="2693"/>
      <c r="CK3" s="1513"/>
      <c r="CL3" s="1513"/>
      <c r="CM3" s="1513"/>
      <c r="CN3" s="1513"/>
      <c r="CO3" s="1513"/>
      <c r="CP3" s="1513"/>
      <c r="CQ3" s="1513"/>
      <c r="CR3" s="1513"/>
      <c r="CS3" s="1513"/>
      <c r="CT3" s="1513"/>
      <c r="CU3" s="1513"/>
      <c r="CV3" s="1513"/>
      <c r="CW3" s="1513"/>
      <c r="CX3" s="1513"/>
      <c r="CY3" s="1513"/>
      <c r="CZ3" s="1513"/>
      <c r="DA3" s="1513"/>
      <c r="DB3" s="1513"/>
      <c r="DC3" s="1513"/>
      <c r="DD3" s="1513"/>
      <c r="DE3" s="1513"/>
      <c r="DF3" s="1513"/>
      <c r="DG3" s="1513"/>
      <c r="DH3" s="1513"/>
      <c r="DI3" s="1513"/>
      <c r="DJ3" s="1513"/>
      <c r="DK3" s="1513"/>
      <c r="DL3" s="1513"/>
      <c r="DM3" s="1513"/>
      <c r="DN3" s="1513"/>
      <c r="DO3" s="1513"/>
      <c r="DP3" s="1513"/>
      <c r="DQ3" s="1513"/>
      <c r="DR3" s="1513"/>
      <c r="DS3" s="1513"/>
      <c r="DT3" s="1513"/>
      <c r="DU3" s="1513"/>
      <c r="DV3" s="1513"/>
      <c r="DW3" s="1513"/>
      <c r="DX3" s="1513"/>
      <c r="DY3" s="1513"/>
      <c r="DZ3" s="1513"/>
      <c r="EA3" s="1513"/>
      <c r="EB3" s="1513"/>
      <c r="EC3" s="1513"/>
      <c r="ED3" s="1513"/>
      <c r="EE3" s="1513"/>
      <c r="EF3" s="1513"/>
      <c r="EG3" s="1513"/>
      <c r="EH3" s="1513"/>
      <c r="EI3" s="1513"/>
      <c r="EJ3" s="1513"/>
      <c r="EK3" s="1513"/>
      <c r="EL3" s="1513"/>
      <c r="EM3" s="1513"/>
      <c r="EN3" s="1513"/>
      <c r="EO3" s="1513"/>
      <c r="EP3" s="1513"/>
      <c r="EQ3" s="1513"/>
      <c r="ER3" s="1513"/>
      <c r="ES3" s="1513"/>
      <c r="ET3" s="1513"/>
      <c r="EU3" s="1513"/>
      <c r="EV3" s="1513"/>
      <c r="EW3" s="1513"/>
      <c r="EX3" s="1513"/>
      <c r="EY3" s="1513"/>
      <c r="EZ3" s="1513"/>
      <c r="FA3" s="1513"/>
      <c r="FB3" s="1513"/>
      <c r="FC3" s="1513"/>
      <c r="FD3" s="1513"/>
      <c r="FE3" s="1513"/>
      <c r="FF3" s="1513"/>
      <c r="FG3" s="1513"/>
      <c r="FH3" s="1513"/>
      <c r="FI3" s="1513"/>
      <c r="FJ3" s="1513"/>
    </row>
    <row r="4" spans="1:166" ht="17.100000000000001" customHeight="1" x14ac:dyDescent="0.15">
      <c r="A4" s="3"/>
      <c r="B4" s="678"/>
      <c r="C4" s="3492" t="s">
        <v>1073</v>
      </c>
      <c r="D4" s="3492"/>
      <c r="E4" s="3492"/>
      <c r="F4" s="3492"/>
      <c r="G4" s="3492"/>
      <c r="H4" s="3492"/>
      <c r="I4" s="3492"/>
      <c r="J4" s="3492"/>
      <c r="K4" s="3492"/>
      <c r="L4" s="3492"/>
      <c r="M4" s="3492"/>
      <c r="N4" s="3492"/>
      <c r="O4" s="3492"/>
      <c r="P4" s="3492"/>
      <c r="Q4" s="3492"/>
      <c r="R4" s="3492"/>
      <c r="S4" s="3064"/>
      <c r="T4" s="3161"/>
      <c r="U4" s="2871"/>
      <c r="V4" s="2871"/>
      <c r="W4" s="2871"/>
      <c r="X4" s="2984"/>
      <c r="Y4" s="2871"/>
      <c r="Z4" s="2871"/>
      <c r="AA4" s="2871"/>
      <c r="AB4" s="2871"/>
      <c r="AC4" s="2871"/>
      <c r="AD4" s="2871"/>
      <c r="AE4" s="2871"/>
      <c r="AF4" s="2871"/>
      <c r="AG4" s="2871"/>
      <c r="AH4" s="2871"/>
      <c r="AI4" s="2871"/>
      <c r="AJ4" s="2871"/>
      <c r="AK4" s="2871"/>
      <c r="AL4" s="2871"/>
      <c r="AM4" s="2871"/>
      <c r="AN4" s="2871"/>
      <c r="AO4" s="2871"/>
      <c r="AP4" s="2871"/>
      <c r="AQ4" s="2871"/>
      <c r="AR4" s="2871"/>
      <c r="AS4" s="2871"/>
      <c r="AT4" s="2871"/>
      <c r="AU4" s="2871"/>
      <c r="AV4" s="2871"/>
      <c r="AW4" s="2871"/>
      <c r="AX4" s="2871"/>
      <c r="AY4" s="2871"/>
      <c r="AZ4" s="2871"/>
      <c r="BA4" s="2871"/>
      <c r="BB4" s="2871"/>
      <c r="BC4" s="2871"/>
      <c r="BD4" s="2871"/>
      <c r="BE4" s="2871"/>
      <c r="BF4" s="2871"/>
      <c r="BG4" s="2871"/>
      <c r="BH4" s="2871"/>
      <c r="BI4" s="2871"/>
      <c r="BJ4" s="2871"/>
      <c r="BK4" s="2871"/>
      <c r="BL4" s="2871"/>
      <c r="BM4" s="2871"/>
      <c r="BN4" s="2871"/>
      <c r="BO4" s="2871"/>
      <c r="BP4" s="2984"/>
      <c r="BQ4" s="2871"/>
      <c r="BR4" s="2871"/>
      <c r="BS4" s="2871"/>
      <c r="BT4" s="2871"/>
      <c r="BU4" s="1757"/>
      <c r="BV4" s="1757"/>
      <c r="BW4" s="1757"/>
      <c r="BX4" s="1757"/>
      <c r="BY4" s="1757"/>
      <c r="BZ4" s="1757"/>
      <c r="CA4" s="3"/>
      <c r="CK4" s="1513"/>
      <c r="CL4" s="1513"/>
      <c r="CM4" s="1513"/>
      <c r="CN4" s="1513"/>
      <c r="CO4" s="1513"/>
      <c r="CP4" s="1513"/>
      <c r="CQ4" s="1513"/>
      <c r="CR4" s="1513"/>
      <c r="CS4" s="1513"/>
      <c r="CT4" s="1513"/>
      <c r="CU4" s="1513"/>
      <c r="CV4" s="1513"/>
      <c r="CW4" s="1513"/>
      <c r="CX4" s="1513"/>
      <c r="CY4" s="1513"/>
      <c r="CZ4" s="1513"/>
      <c r="DA4" s="1513"/>
      <c r="DB4" s="1513"/>
      <c r="DC4" s="1513"/>
      <c r="DD4" s="1513"/>
      <c r="DE4" s="1513"/>
      <c r="DF4" s="1513"/>
      <c r="DG4" s="1513"/>
      <c r="DH4" s="1513"/>
      <c r="DI4" s="1513"/>
      <c r="DJ4" s="1513"/>
      <c r="DK4" s="1513"/>
      <c r="DL4" s="1513"/>
      <c r="DM4" s="1513"/>
      <c r="DN4" s="1513"/>
      <c r="DO4" s="1513"/>
      <c r="DP4" s="1513"/>
      <c r="DQ4" s="1513"/>
      <c r="DR4" s="1513"/>
      <c r="DS4" s="1513"/>
      <c r="DT4" s="1513"/>
      <c r="DU4" s="1513"/>
      <c r="DV4" s="1513"/>
      <c r="DW4" s="1513"/>
      <c r="DX4" s="1513"/>
      <c r="DY4" s="1513"/>
      <c r="DZ4" s="1513"/>
      <c r="EA4" s="1513"/>
      <c r="EB4" s="1513"/>
      <c r="EC4" s="1513"/>
      <c r="ED4" s="1513"/>
      <c r="EE4" s="1513"/>
      <c r="EF4" s="1513"/>
      <c r="EG4" s="1513"/>
      <c r="EH4" s="1513"/>
      <c r="EI4" s="1513"/>
      <c r="EJ4" s="1513"/>
      <c r="EK4" s="1513"/>
      <c r="EL4" s="1513"/>
      <c r="EM4" s="1513"/>
      <c r="EN4" s="1513"/>
      <c r="EO4" s="1513"/>
      <c r="EP4" s="1513"/>
      <c r="EQ4" s="1513"/>
      <c r="ER4" s="1513"/>
      <c r="ES4" s="1513"/>
      <c r="ET4" s="1513"/>
      <c r="EU4" s="1513"/>
      <c r="EV4" s="1513"/>
      <c r="EW4" s="1513"/>
      <c r="EX4" s="1513"/>
      <c r="EY4" s="1513"/>
      <c r="EZ4" s="1513"/>
      <c r="FA4" s="1513"/>
      <c r="FB4" s="1513"/>
      <c r="FC4" s="1513"/>
      <c r="FD4" s="1513"/>
      <c r="FE4" s="1513"/>
      <c r="FF4" s="1513"/>
      <c r="FG4" s="1513"/>
      <c r="FH4" s="1513"/>
      <c r="FI4" s="1513"/>
      <c r="FJ4" s="1513"/>
    </row>
    <row r="5" spans="1:166" ht="17.100000000000001" customHeight="1" x14ac:dyDescent="0.15">
      <c r="A5" s="3"/>
      <c r="B5" s="678"/>
      <c r="C5" s="3492"/>
      <c r="D5" s="3492"/>
      <c r="E5" s="3492"/>
      <c r="F5" s="3492"/>
      <c r="G5" s="3492"/>
      <c r="H5" s="3492"/>
      <c r="I5" s="3492"/>
      <c r="J5" s="3492"/>
      <c r="K5" s="3492"/>
      <c r="L5" s="3492"/>
      <c r="M5" s="3492"/>
      <c r="N5" s="3492"/>
      <c r="O5" s="3492"/>
      <c r="P5" s="3492"/>
      <c r="Q5" s="3492"/>
      <c r="R5" s="3492"/>
      <c r="S5" s="3065"/>
      <c r="T5" s="3161"/>
      <c r="U5" s="2871"/>
      <c r="V5" s="2871"/>
      <c r="W5" s="2871"/>
      <c r="X5" s="2984"/>
      <c r="Y5" s="2871"/>
      <c r="Z5" s="2871"/>
      <c r="AA5" s="2871"/>
      <c r="AB5" s="2871"/>
      <c r="AC5" s="2871"/>
      <c r="AD5" s="2871"/>
      <c r="AE5" s="2871"/>
      <c r="AF5" s="2871"/>
      <c r="AG5" s="2871"/>
      <c r="AH5" s="2871"/>
      <c r="AI5" s="2871"/>
      <c r="AJ5" s="2871"/>
      <c r="AK5" s="2871"/>
      <c r="AL5" s="2871"/>
      <c r="AM5" s="2871"/>
      <c r="AN5" s="2871"/>
      <c r="AO5" s="2871"/>
      <c r="AP5" s="2871"/>
      <c r="AQ5" s="2871"/>
      <c r="AR5" s="2871"/>
      <c r="AS5" s="2871"/>
      <c r="AT5" s="2871"/>
      <c r="AU5" s="2871"/>
      <c r="AV5" s="2986"/>
      <c r="AW5" s="2871"/>
      <c r="AX5" s="2871"/>
      <c r="AY5" s="2871"/>
      <c r="AZ5" s="2871"/>
      <c r="BA5" s="2871"/>
      <c r="BB5" s="2871"/>
      <c r="BC5" s="2871"/>
      <c r="BD5" s="2871"/>
      <c r="BE5" s="2871"/>
      <c r="BF5" s="2871"/>
      <c r="BG5" s="2871"/>
      <c r="BH5" s="2871"/>
      <c r="BI5" s="2871"/>
      <c r="BJ5" s="2871"/>
      <c r="BK5" s="2871"/>
      <c r="BL5" s="2871"/>
      <c r="BM5" s="2871"/>
      <c r="BN5" s="2871"/>
      <c r="BO5" s="2871"/>
      <c r="BP5" s="2984"/>
      <c r="BQ5" s="2871"/>
      <c r="BR5" s="2871"/>
      <c r="BS5" s="2871"/>
      <c r="BT5" s="2871"/>
      <c r="BU5" s="1757"/>
      <c r="BV5" s="1757"/>
      <c r="BW5" s="1757"/>
      <c r="BX5" s="1757"/>
      <c r="BY5" s="1757"/>
      <c r="BZ5" s="1757"/>
      <c r="CA5" s="3"/>
      <c r="CK5" s="1513"/>
      <c r="CL5" s="1513"/>
      <c r="CM5" s="1513"/>
      <c r="CN5" s="1513"/>
      <c r="CO5" s="1513"/>
      <c r="CP5" s="1513"/>
      <c r="CQ5" s="1513"/>
      <c r="CR5" s="1513"/>
      <c r="CS5" s="1513"/>
      <c r="CT5" s="1513"/>
      <c r="CU5" s="1513"/>
      <c r="CV5" s="1513"/>
      <c r="CW5" s="1513"/>
      <c r="CX5" s="1513"/>
      <c r="CY5" s="1513"/>
      <c r="CZ5" s="1513"/>
      <c r="DA5" s="1513"/>
      <c r="DB5" s="1513"/>
      <c r="DC5" s="1513"/>
      <c r="DD5" s="1513"/>
      <c r="DE5" s="1513"/>
      <c r="DF5" s="1513"/>
      <c r="DG5" s="1513"/>
      <c r="DH5" s="1513"/>
      <c r="DI5" s="1513"/>
      <c r="DJ5" s="1513"/>
      <c r="DK5" s="1513"/>
      <c r="DL5" s="1513"/>
      <c r="DM5" s="1513"/>
      <c r="DN5" s="1513"/>
      <c r="DO5" s="1513"/>
      <c r="DP5" s="1513"/>
      <c r="DQ5" s="1513"/>
      <c r="DR5" s="1513"/>
      <c r="DS5" s="1513"/>
      <c r="DT5" s="1513"/>
      <c r="DU5" s="1513"/>
      <c r="DV5" s="1513"/>
      <c r="DW5" s="1513"/>
      <c r="DX5" s="1513"/>
      <c r="DY5" s="1513"/>
      <c r="DZ5" s="1513"/>
      <c r="EA5" s="1513"/>
      <c r="EB5" s="1513"/>
      <c r="EC5" s="1513"/>
      <c r="ED5" s="1513"/>
      <c r="EE5" s="1513"/>
      <c r="EF5" s="1513"/>
      <c r="EG5" s="1513"/>
      <c r="EH5" s="1513"/>
      <c r="EI5" s="1513"/>
      <c r="EJ5" s="1513"/>
      <c r="EK5" s="1513"/>
      <c r="EL5" s="1513"/>
      <c r="EM5" s="1513"/>
      <c r="EN5" s="1513"/>
      <c r="EO5" s="1513"/>
      <c r="EP5" s="1513"/>
      <c r="EQ5" s="1513"/>
      <c r="ER5" s="1513"/>
      <c r="ES5" s="1513"/>
      <c r="ET5" s="1513"/>
      <c r="EU5" s="1513"/>
      <c r="EV5" s="1513"/>
      <c r="EW5" s="1513"/>
      <c r="EX5" s="1513"/>
      <c r="EY5" s="1513"/>
      <c r="EZ5" s="1513"/>
      <c r="FA5" s="1513"/>
      <c r="FB5" s="1513"/>
      <c r="FC5" s="1513"/>
      <c r="FD5" s="1513"/>
      <c r="FE5" s="1513"/>
      <c r="FF5" s="1513"/>
      <c r="FG5" s="1513"/>
      <c r="FH5" s="1513"/>
      <c r="FI5" s="1513"/>
      <c r="FJ5" s="1513"/>
    </row>
    <row r="6" spans="1:166" ht="17.100000000000001" customHeight="1" x14ac:dyDescent="0.15">
      <c r="A6" s="3"/>
      <c r="B6" s="678"/>
      <c r="C6" s="19"/>
      <c r="D6" s="19"/>
      <c r="E6" s="19"/>
      <c r="F6" s="19"/>
      <c r="G6" s="19"/>
      <c r="H6" s="19"/>
      <c r="I6" s="19"/>
      <c r="J6" s="19"/>
      <c r="K6" s="19"/>
      <c r="L6" s="19"/>
      <c r="M6" s="19"/>
      <c r="N6" s="19"/>
      <c r="O6" s="19"/>
      <c r="P6" s="19"/>
      <c r="Q6" s="19"/>
      <c r="R6" s="19"/>
      <c r="S6" s="3065"/>
      <c r="T6" s="3161"/>
      <c r="U6" s="2871"/>
      <c r="V6" s="2871"/>
      <c r="W6" s="2871"/>
      <c r="X6" s="2984"/>
      <c r="Y6" s="2871"/>
      <c r="Z6" s="2871"/>
      <c r="AA6" s="2871"/>
      <c r="AB6" s="2871"/>
      <c r="AC6" s="2871"/>
      <c r="AD6" s="2871"/>
      <c r="AE6" s="2871"/>
      <c r="AF6" s="2871"/>
      <c r="AG6" s="2871"/>
      <c r="AH6" s="2871"/>
      <c r="AI6" s="2871"/>
      <c r="AJ6" s="2871"/>
      <c r="AK6" s="2871"/>
      <c r="AL6" s="2871"/>
      <c r="AM6" s="2871"/>
      <c r="AN6" s="2871"/>
      <c r="AO6" s="2871"/>
      <c r="AP6" s="2871"/>
      <c r="AQ6" s="2871"/>
      <c r="AR6" s="2871"/>
      <c r="AS6" s="2871"/>
      <c r="AT6" s="2871"/>
      <c r="AU6" s="2871"/>
      <c r="AV6" s="2871"/>
      <c r="AW6" s="2871"/>
      <c r="AX6" s="2871"/>
      <c r="AY6" s="2871"/>
      <c r="AZ6" s="2871"/>
      <c r="BA6" s="2871"/>
      <c r="BB6" s="2871"/>
      <c r="BC6" s="2871"/>
      <c r="BD6" s="2871"/>
      <c r="BE6" s="2871"/>
      <c r="BF6" s="2871"/>
      <c r="BG6" s="2871"/>
      <c r="BH6" s="2871"/>
      <c r="BI6" s="2871"/>
      <c r="BJ6" s="2871"/>
      <c r="BK6" s="2871"/>
      <c r="BL6" s="2871"/>
      <c r="BM6" s="2871"/>
      <c r="BN6" s="2871"/>
      <c r="BO6" s="2871"/>
      <c r="BP6" s="2984"/>
      <c r="BQ6" s="2871"/>
      <c r="BR6" s="2871"/>
      <c r="BS6" s="2871"/>
      <c r="BT6" s="2871"/>
      <c r="BU6" s="1757"/>
      <c r="BV6" s="1757"/>
      <c r="BW6" s="1757"/>
      <c r="BX6" s="1757"/>
      <c r="BY6" s="1757"/>
      <c r="BZ6" s="1757"/>
      <c r="CA6" s="3"/>
      <c r="CK6" s="1513"/>
      <c r="CL6" s="1513"/>
      <c r="CM6" s="1513"/>
      <c r="CN6" s="1513"/>
      <c r="CO6" s="1513"/>
      <c r="CP6" s="1513"/>
      <c r="CQ6" s="1513"/>
      <c r="CR6" s="1513"/>
      <c r="CS6" s="1513"/>
      <c r="CT6" s="1513"/>
      <c r="CU6" s="1513"/>
      <c r="CV6" s="1513"/>
      <c r="CW6" s="1513"/>
      <c r="CX6" s="1513"/>
      <c r="CY6" s="1513"/>
      <c r="CZ6" s="1513"/>
      <c r="DA6" s="1513"/>
      <c r="DB6" s="1513"/>
      <c r="DC6" s="1513"/>
      <c r="DD6" s="1513"/>
      <c r="DE6" s="1513"/>
      <c r="DF6" s="1513"/>
      <c r="DG6" s="1513"/>
      <c r="DH6" s="1513"/>
      <c r="DI6" s="1513"/>
      <c r="DJ6" s="1513"/>
      <c r="DK6" s="1513"/>
      <c r="DL6" s="1513"/>
      <c r="DM6" s="1513"/>
      <c r="DN6" s="1513"/>
      <c r="DO6" s="1513"/>
      <c r="DP6" s="1513"/>
      <c r="DQ6" s="1513"/>
      <c r="DR6" s="1513"/>
      <c r="DS6" s="1513"/>
      <c r="DT6" s="1513"/>
      <c r="DU6" s="1513"/>
      <c r="DV6" s="1513"/>
      <c r="DW6" s="1513"/>
      <c r="DX6" s="1513"/>
      <c r="DY6" s="1513"/>
      <c r="DZ6" s="1513"/>
      <c r="EA6" s="1513"/>
      <c r="EB6" s="1513"/>
      <c r="EC6" s="1513"/>
      <c r="ED6" s="1513"/>
      <c r="EE6" s="1513"/>
      <c r="EF6" s="1513"/>
      <c r="EG6" s="1513"/>
      <c r="EH6" s="1513"/>
      <c r="EI6" s="1513"/>
      <c r="EJ6" s="1513"/>
      <c r="EK6" s="1513"/>
      <c r="EL6" s="1513"/>
      <c r="EM6" s="1513"/>
      <c r="EN6" s="1513"/>
      <c r="EO6" s="1513"/>
      <c r="EP6" s="1513"/>
      <c r="EQ6" s="1513"/>
      <c r="ER6" s="1513"/>
      <c r="ES6" s="1513"/>
      <c r="ET6" s="1513"/>
      <c r="EU6" s="1513"/>
      <c r="EV6" s="1513"/>
      <c r="EW6" s="1513"/>
      <c r="EX6" s="1513"/>
      <c r="EY6" s="1513"/>
      <c r="EZ6" s="1513"/>
      <c r="FA6" s="1513"/>
      <c r="FB6" s="1513"/>
      <c r="FC6" s="1513"/>
      <c r="FD6" s="1513"/>
      <c r="FE6" s="1513"/>
      <c r="FF6" s="1513"/>
      <c r="FG6" s="1513"/>
      <c r="FH6" s="1513"/>
      <c r="FI6" s="1513"/>
      <c r="FJ6" s="1513"/>
    </row>
    <row r="7" spans="1:166" ht="17.100000000000001" customHeight="1" x14ac:dyDescent="0.15">
      <c r="A7" s="3"/>
      <c r="B7" s="19"/>
      <c r="C7" s="19"/>
      <c r="D7" s="19"/>
      <c r="E7" s="19"/>
      <c r="F7" s="19"/>
      <c r="G7" s="19"/>
      <c r="H7" s="19"/>
      <c r="I7" s="19"/>
      <c r="J7" s="19"/>
      <c r="K7" s="19"/>
      <c r="L7" s="19"/>
      <c r="M7" s="19"/>
      <c r="N7" s="19"/>
      <c r="O7" s="19"/>
      <c r="P7" s="19"/>
      <c r="Q7" s="19"/>
      <c r="R7" s="19"/>
      <c r="S7" s="19"/>
      <c r="T7" s="19"/>
      <c r="U7" s="2871"/>
      <c r="V7" s="2871"/>
      <c r="W7" s="2871"/>
      <c r="X7" s="2984"/>
      <c r="Y7" s="2871"/>
      <c r="Z7" s="2871"/>
      <c r="AA7" s="2871"/>
      <c r="AB7" s="2871"/>
      <c r="AC7" s="2871"/>
      <c r="AD7" s="2871"/>
      <c r="AE7" s="2871"/>
      <c r="AF7" s="2871"/>
      <c r="AG7" s="2871"/>
      <c r="AH7" s="2871"/>
      <c r="AI7" s="2871"/>
      <c r="AJ7" s="2871"/>
      <c r="AK7" s="2871"/>
      <c r="AL7" s="2871"/>
      <c r="AM7" s="2871"/>
      <c r="AN7" s="2871"/>
      <c r="AO7" s="2871"/>
      <c r="AP7" s="2871"/>
      <c r="AQ7" s="2871"/>
      <c r="AR7" s="2871"/>
      <c r="AS7" s="2871"/>
      <c r="AT7" s="2871"/>
      <c r="AU7" s="2871"/>
      <c r="AV7" s="2871"/>
      <c r="AW7" s="2871"/>
      <c r="AX7" s="2871"/>
      <c r="AY7" s="2871"/>
      <c r="AZ7" s="2871"/>
      <c r="BA7" s="2871"/>
      <c r="BB7" s="2871"/>
      <c r="BC7" s="2871"/>
      <c r="BD7" s="2871"/>
      <c r="BE7" s="2871"/>
      <c r="BF7" s="2871"/>
      <c r="BG7" s="2871"/>
      <c r="BH7" s="2871"/>
      <c r="BI7" s="2871"/>
      <c r="BJ7" s="2871"/>
      <c r="BK7" s="2871"/>
      <c r="BL7" s="2871"/>
      <c r="BM7" s="2871"/>
      <c r="BN7" s="2871"/>
      <c r="BO7" s="2871"/>
      <c r="BP7" s="2984"/>
      <c r="BQ7" s="2871"/>
      <c r="BR7" s="2871"/>
      <c r="BS7" s="2871"/>
      <c r="BT7" s="2871"/>
      <c r="BU7" s="1757"/>
      <c r="BV7" s="1757"/>
      <c r="BW7" s="1757"/>
      <c r="BX7" s="1757"/>
      <c r="BY7" s="1757"/>
      <c r="BZ7" s="1757"/>
      <c r="CA7" s="3"/>
      <c r="CK7" s="1513"/>
      <c r="CL7" s="1513"/>
      <c r="CM7" s="1513"/>
      <c r="CN7" s="1513"/>
      <c r="CO7" s="1513"/>
      <c r="CP7" s="1513"/>
      <c r="CQ7" s="1513"/>
      <c r="CR7" s="1513"/>
      <c r="CS7" s="1513"/>
      <c r="CT7" s="1513"/>
      <c r="CU7" s="1513"/>
      <c r="CV7" s="1513"/>
      <c r="CW7" s="1513"/>
      <c r="CX7" s="1513"/>
      <c r="CY7" s="1513"/>
      <c r="CZ7" s="1513"/>
      <c r="DA7" s="1513"/>
      <c r="DB7" s="1513"/>
      <c r="DC7" s="1513"/>
      <c r="DD7" s="1513"/>
      <c r="DE7" s="1513"/>
      <c r="DF7" s="1513"/>
      <c r="DG7" s="1513"/>
      <c r="DH7" s="1513"/>
      <c r="DI7" s="1513"/>
      <c r="DJ7" s="1513"/>
      <c r="DK7" s="1513"/>
      <c r="DL7" s="1513"/>
      <c r="DM7" s="1513"/>
      <c r="DN7" s="1513"/>
      <c r="DO7" s="1513"/>
      <c r="DP7" s="1513"/>
      <c r="DQ7" s="1513"/>
      <c r="DR7" s="1513"/>
      <c r="DS7" s="1513"/>
      <c r="DT7" s="1513"/>
      <c r="DU7" s="1513"/>
      <c r="DV7" s="1513"/>
      <c r="DW7" s="1513"/>
      <c r="DX7" s="1513"/>
      <c r="DY7" s="1513"/>
      <c r="DZ7" s="1513"/>
      <c r="EA7" s="1513"/>
      <c r="EB7" s="1513"/>
      <c r="EC7" s="1513"/>
      <c r="ED7" s="1513"/>
      <c r="EE7" s="1513"/>
      <c r="EF7" s="1513"/>
      <c r="EG7" s="1513"/>
      <c r="EH7" s="1513"/>
      <c r="EI7" s="1513"/>
      <c r="EJ7" s="1513"/>
      <c r="EK7" s="1513"/>
      <c r="EL7" s="1513"/>
      <c r="EM7" s="1513"/>
      <c r="EN7" s="1513"/>
      <c r="EO7" s="1513"/>
      <c r="EP7" s="1513"/>
      <c r="EQ7" s="1513"/>
      <c r="ER7" s="1513"/>
      <c r="ES7" s="1513"/>
      <c r="ET7" s="1513"/>
      <c r="EU7" s="1513"/>
      <c r="EV7" s="1513"/>
      <c r="EW7" s="1513"/>
      <c r="EX7" s="1513"/>
      <c r="EY7" s="1513"/>
      <c r="EZ7" s="1513"/>
      <c r="FA7" s="1513"/>
      <c r="FB7" s="1513"/>
      <c r="FC7" s="1513"/>
      <c r="FD7" s="1513"/>
      <c r="FE7" s="1513"/>
      <c r="FF7" s="1513"/>
      <c r="FG7" s="1513"/>
      <c r="FH7" s="1513"/>
      <c r="FI7" s="1513"/>
      <c r="FJ7" s="1513"/>
    </row>
    <row r="8" spans="1:166" ht="17.100000000000001" customHeight="1" x14ac:dyDescent="0.25">
      <c r="A8" s="3"/>
      <c r="B8" s="19"/>
      <c r="C8" s="5053" t="s">
        <v>1907</v>
      </c>
      <c r="D8" s="5053"/>
      <c r="E8" s="5053"/>
      <c r="F8" s="5053"/>
      <c r="G8" s="5053"/>
      <c r="H8" s="5053"/>
      <c r="I8" s="5053"/>
      <c r="J8" s="5053"/>
      <c r="K8" s="5053"/>
      <c r="L8" s="3058"/>
      <c r="M8" s="3058"/>
      <c r="N8" s="3058"/>
      <c r="O8" s="5054" t="str" cm="1">
        <f t="array" ref="O8">IFERROR(IF(OR('^'!$BS$58="",'^'!$BS$58='^'!$DD$54),"",
_xlfn.IFS(
S8&gt;=402,ROUNDDOWN(S8/365,1)&amp;" years",
AND(S8&gt;=365,S8&lt;402),ROUNDDOWN(S8/365,1)&amp;" year",
AND(S8&gt;=34,S8&lt;365),ROUNDDOWN(S8/(365/12),1)&amp;" months",
AND(S8&gt;=31,S8&lt;34),ROUNDDOWN(S8/(365/12),1)&amp;" month",
AND(S8&gt;=4,S8&lt;31),ROUNDDOWN(S8/(365/12),1)&amp;" months",
TRUE,S8*24&amp;" hours")
),"")</f>
        <v/>
      </c>
      <c r="P8" s="5054"/>
      <c r="Q8" s="5054"/>
      <c r="R8" s="5054"/>
      <c r="S8" s="3060">
        <f>IF(C9="",0,_xlfn.DAYS(H9,C9))</f>
        <v>0</v>
      </c>
      <c r="T8" s="19"/>
      <c r="U8" s="3117"/>
      <c r="V8" s="2871"/>
      <c r="W8" s="2871"/>
      <c r="X8" s="2984"/>
      <c r="Y8" s="2871"/>
      <c r="Z8" s="2871"/>
      <c r="AA8" s="2871"/>
      <c r="AB8" s="2871"/>
      <c r="AC8" s="2871"/>
      <c r="AD8" s="2871"/>
      <c r="AE8" s="2871"/>
      <c r="AF8" s="2871"/>
      <c r="AG8" s="2871"/>
      <c r="AH8" s="2871"/>
      <c r="AI8" s="2871"/>
      <c r="AJ8" s="2871"/>
      <c r="AK8" s="2871"/>
      <c r="AL8" s="2871"/>
      <c r="AM8" s="2871"/>
      <c r="AN8" s="2871"/>
      <c r="AO8" s="2871"/>
      <c r="AP8" s="2871"/>
      <c r="AQ8" s="2871"/>
      <c r="AR8" s="2871"/>
      <c r="AS8" s="2871"/>
      <c r="AT8" s="2871"/>
      <c r="AU8" s="2871"/>
      <c r="AV8" s="2871"/>
      <c r="AW8" s="2871"/>
      <c r="AX8" s="2871"/>
      <c r="AY8" s="2871"/>
      <c r="AZ8" s="2871"/>
      <c r="BA8" s="2871"/>
      <c r="BB8" s="2871"/>
      <c r="BC8" s="2871"/>
      <c r="BD8" s="2871"/>
      <c r="BE8" s="2871"/>
      <c r="BF8" s="2871"/>
      <c r="BG8" s="2871"/>
      <c r="BH8" s="2871"/>
      <c r="BI8" s="2871"/>
      <c r="BJ8" s="2871"/>
      <c r="BK8" s="2871"/>
      <c r="BL8" s="2871"/>
      <c r="BM8" s="2871"/>
      <c r="BN8" s="2871"/>
      <c r="BO8" s="2871"/>
      <c r="BP8" s="2984"/>
      <c r="BQ8" s="2871"/>
      <c r="BR8" s="2871"/>
      <c r="BS8" s="2871"/>
      <c r="BT8" s="2871"/>
      <c r="BU8" s="1757"/>
      <c r="BV8" s="1757"/>
      <c r="BW8" s="1757"/>
      <c r="BX8" s="1757"/>
      <c r="BY8" s="1757"/>
      <c r="BZ8" s="1757"/>
      <c r="CA8" s="3"/>
      <c r="CK8" s="1513"/>
      <c r="CL8" s="1513"/>
      <c r="CM8" s="1513"/>
      <c r="CN8" s="1513"/>
      <c r="CO8" s="1513"/>
      <c r="CP8" s="1513"/>
      <c r="CQ8" s="1513"/>
      <c r="CR8" s="1513"/>
      <c r="CS8" s="1513"/>
      <c r="CT8" s="1513"/>
      <c r="CU8" s="1513"/>
      <c r="CV8" s="1513"/>
      <c r="CW8" s="1513"/>
      <c r="CX8" s="1513"/>
      <c r="CY8" s="1513"/>
      <c r="CZ8" s="1513"/>
      <c r="DA8" s="1513"/>
      <c r="DB8" s="1513"/>
      <c r="DC8" s="1513"/>
      <c r="DD8" s="1513"/>
      <c r="DE8" s="1513"/>
      <c r="DF8" s="1513"/>
      <c r="DG8" s="1513"/>
      <c r="DH8" s="1513"/>
      <c r="DI8" s="1513"/>
      <c r="DJ8" s="1513"/>
      <c r="DK8" s="1513"/>
      <c r="DL8" s="1513"/>
      <c r="DM8" s="1513"/>
      <c r="DN8" s="1513"/>
      <c r="DO8" s="1513"/>
      <c r="DP8" s="1513"/>
      <c r="DQ8" s="1513"/>
      <c r="DR8" s="1513"/>
      <c r="DS8" s="1513"/>
      <c r="DT8" s="1513"/>
      <c r="DU8" s="1513"/>
      <c r="DV8" s="1513"/>
      <c r="DW8" s="1513"/>
      <c r="DX8" s="1513"/>
      <c r="DY8" s="1513"/>
      <c r="DZ8" s="1513"/>
      <c r="EA8" s="1513"/>
      <c r="EB8" s="1513"/>
      <c r="EC8" s="1513"/>
      <c r="ED8" s="1513"/>
      <c r="EE8" s="1513"/>
      <c r="EF8" s="1513"/>
      <c r="EG8" s="1513"/>
      <c r="EH8" s="1513"/>
      <c r="EI8" s="1513"/>
      <c r="EJ8" s="1513"/>
      <c r="EK8" s="1513"/>
      <c r="EL8" s="1513"/>
      <c r="EM8" s="1513"/>
      <c r="EN8" s="1513"/>
      <c r="EO8" s="1513"/>
      <c r="EP8" s="1513"/>
      <c r="EQ8" s="1513"/>
      <c r="ER8" s="1513"/>
      <c r="ES8" s="1513"/>
      <c r="ET8" s="1513"/>
      <c r="EU8" s="1513"/>
      <c r="EV8" s="1513"/>
      <c r="EW8" s="1513"/>
      <c r="EX8" s="1513"/>
      <c r="EY8" s="1513"/>
      <c r="EZ8" s="1513"/>
      <c r="FA8" s="1513"/>
      <c r="FB8" s="1513"/>
      <c r="FC8" s="1513"/>
      <c r="FD8" s="1513"/>
      <c r="FE8" s="1513"/>
      <c r="FF8" s="1513"/>
      <c r="FG8" s="1513"/>
      <c r="FH8" s="1513"/>
      <c r="FI8" s="1513"/>
      <c r="FJ8" s="1513"/>
    </row>
    <row r="9" spans="1:166" ht="17.100000000000001" customHeight="1" x14ac:dyDescent="0.2">
      <c r="A9" s="3"/>
      <c r="B9" s="19"/>
      <c r="C9" s="5055" t="str">
        <f>IF(OR('^'!$BS$58="",'^'!$BS$58='^'!$DD$54),"",'^'!$BS$58)</f>
        <v/>
      </c>
      <c r="D9" s="5055"/>
      <c r="E9" s="5055"/>
      <c r="F9" s="5064" t="str">
        <f>IF(OR('^'!$BS$58="",'^'!$BS$58='^'!$DD$54),"","  D.O.B.")</f>
        <v/>
      </c>
      <c r="G9" s="5064"/>
      <c r="H9" s="3066" t="str">
        <f ca="1">IF(C9="","",IF('^'!$BK$45="A C T I V E",TODAY(),'^'!$CC$58))</f>
        <v/>
      </c>
      <c r="I9" s="3068"/>
      <c r="J9" s="3068"/>
      <c r="K9" s="3068"/>
      <c r="L9" s="3067"/>
      <c r="M9" s="3067"/>
      <c r="N9" s="3067"/>
      <c r="O9" s="5056" t="str">
        <f>IFERROR(IF(OR('^'!$BS$58="",'^'!$BS$58='^'!$DD$54),"",
TEXT(S8,"#,##0")&amp;IF(S8=1," day"," days")
),"")</f>
        <v/>
      </c>
      <c r="P9" s="5056"/>
      <c r="Q9" s="5056"/>
      <c r="R9" s="5056"/>
      <c r="S9" s="3061"/>
      <c r="T9" s="19"/>
      <c r="U9" s="3117"/>
      <c r="V9" s="2871"/>
      <c r="W9" s="2871"/>
      <c r="X9" s="2984"/>
      <c r="Y9" s="2871"/>
      <c r="Z9" s="2871"/>
      <c r="AA9" s="2871"/>
      <c r="AB9" s="2871"/>
      <c r="AC9" s="2871"/>
      <c r="AD9" s="2871"/>
      <c r="AE9" s="2871"/>
      <c r="AF9" s="2871"/>
      <c r="AG9" s="2871"/>
      <c r="AH9" s="2871"/>
      <c r="AI9" s="2871"/>
      <c r="AJ9" s="2871"/>
      <c r="AK9" s="2871"/>
      <c r="AL9" s="2871"/>
      <c r="AM9" s="2871"/>
      <c r="AN9" s="2871"/>
      <c r="AO9" s="2871"/>
      <c r="AP9" s="2871"/>
      <c r="AQ9" s="2871"/>
      <c r="AR9" s="2871"/>
      <c r="AS9" s="2871"/>
      <c r="AT9" s="2871"/>
      <c r="AU9" s="2871"/>
      <c r="AV9" s="2871"/>
      <c r="AW9" s="2871"/>
      <c r="AX9" s="2871"/>
      <c r="AY9" s="2871"/>
      <c r="AZ9" s="2871"/>
      <c r="BA9" s="2871"/>
      <c r="BB9" s="2871"/>
      <c r="BC9" s="2871"/>
      <c r="BD9" s="2871"/>
      <c r="BE9" s="2871"/>
      <c r="BF9" s="2871"/>
      <c r="BG9" s="2871"/>
      <c r="BH9" s="2871"/>
      <c r="BI9" s="2871"/>
      <c r="BJ9" s="2871"/>
      <c r="BK9" s="2871"/>
      <c r="BL9" s="2871"/>
      <c r="BM9" s="2871"/>
      <c r="BN9" s="2871"/>
      <c r="BO9" s="2871"/>
      <c r="BP9" s="2984"/>
      <c r="BQ9" s="2871"/>
      <c r="BR9" s="2871"/>
      <c r="BS9" s="2871"/>
      <c r="BT9" s="2871"/>
      <c r="BU9" s="1757"/>
      <c r="BV9" s="1757"/>
      <c r="BW9" s="1757"/>
      <c r="BX9" s="1757"/>
      <c r="BY9" s="1757"/>
      <c r="BZ9" s="1757"/>
      <c r="CA9" s="3"/>
      <c r="CK9" s="1513"/>
      <c r="CL9" s="1513"/>
      <c r="CM9" s="1513"/>
      <c r="CN9" s="1513"/>
      <c r="CO9" s="1513"/>
      <c r="CP9" s="1513"/>
      <c r="CQ9" s="1513"/>
      <c r="CR9" s="1513"/>
      <c r="CS9" s="1513"/>
      <c r="CT9" s="1513"/>
      <c r="CU9" s="1513"/>
      <c r="CV9" s="1513"/>
      <c r="CW9" s="1513"/>
      <c r="CX9" s="1513"/>
      <c r="CY9" s="1513"/>
      <c r="CZ9" s="1513"/>
      <c r="DA9" s="1513"/>
      <c r="DB9" s="1513"/>
      <c r="DC9" s="1513"/>
      <c r="DD9" s="1513"/>
      <c r="DE9" s="1513"/>
      <c r="DF9" s="1513"/>
      <c r="DG9" s="1513"/>
      <c r="DH9" s="1513"/>
      <c r="DI9" s="1513"/>
      <c r="DJ9" s="1513"/>
      <c r="DK9" s="1513"/>
      <c r="DL9" s="1513"/>
      <c r="DM9" s="1513"/>
      <c r="DN9" s="1513"/>
      <c r="DO9" s="1513"/>
      <c r="DP9" s="1513"/>
      <c r="DQ9" s="1513"/>
      <c r="DR9" s="1513"/>
      <c r="DS9" s="1513"/>
      <c r="DT9" s="1513"/>
      <c r="DU9" s="1513"/>
      <c r="DV9" s="1513"/>
      <c r="DW9" s="1513"/>
      <c r="DX9" s="1513"/>
      <c r="DY9" s="1513"/>
      <c r="DZ9" s="1513"/>
      <c r="EA9" s="1513"/>
      <c r="EB9" s="1513"/>
      <c r="EC9" s="1513"/>
      <c r="ED9" s="1513"/>
      <c r="EE9" s="1513"/>
      <c r="EF9" s="1513"/>
      <c r="EG9" s="1513"/>
      <c r="EH9" s="1513"/>
      <c r="EI9" s="1513"/>
      <c r="EJ9" s="1513"/>
      <c r="EK9" s="1513"/>
      <c r="EL9" s="1513"/>
      <c r="EM9" s="1513"/>
      <c r="EN9" s="1513"/>
      <c r="EO9" s="1513"/>
      <c r="EP9" s="1513"/>
      <c r="EQ9" s="1513"/>
      <c r="ER9" s="1513"/>
      <c r="ES9" s="1513"/>
      <c r="ET9" s="1513"/>
      <c r="EU9" s="1513"/>
      <c r="EV9" s="1513"/>
      <c r="EW9" s="1513"/>
      <c r="EX9" s="1513"/>
      <c r="EY9" s="1513"/>
      <c r="EZ9" s="1513"/>
      <c r="FA9" s="1513"/>
      <c r="FB9" s="1513"/>
      <c r="FC9" s="1513"/>
      <c r="FD9" s="1513"/>
      <c r="FE9" s="1513"/>
      <c r="FF9" s="1513"/>
      <c r="FG9" s="1513"/>
      <c r="FH9" s="1513"/>
      <c r="FI9" s="1513"/>
      <c r="FJ9" s="1513"/>
    </row>
    <row r="10" spans="1:166" ht="17.100000000000001" customHeight="1" x14ac:dyDescent="0.2">
      <c r="A10" s="3"/>
      <c r="B10" s="7"/>
      <c r="C10" s="1513"/>
      <c r="D10" s="1513"/>
      <c r="E10" s="1513"/>
      <c r="T10" s="19"/>
      <c r="U10" s="1759"/>
      <c r="V10" s="3117"/>
      <c r="W10" s="2871"/>
      <c r="X10" s="2984"/>
      <c r="Y10" s="2871"/>
      <c r="Z10" s="2871"/>
      <c r="AA10" s="2871"/>
      <c r="AB10" s="2871"/>
      <c r="AC10" s="2871"/>
      <c r="AD10" s="2871"/>
      <c r="AE10" s="2871"/>
      <c r="AF10" s="2871"/>
      <c r="AG10" s="2871"/>
      <c r="AH10" s="2871"/>
      <c r="AI10" s="2871"/>
      <c r="AJ10" s="2871"/>
      <c r="AK10" s="2871"/>
      <c r="AL10" s="2871"/>
      <c r="AM10" s="2871"/>
      <c r="AN10" s="2871"/>
      <c r="AO10" s="2871"/>
      <c r="AP10" s="2871"/>
      <c r="AQ10" s="2871"/>
      <c r="AR10" s="2871"/>
      <c r="AS10" s="2871"/>
      <c r="AT10" s="2871"/>
      <c r="AU10" s="2871"/>
      <c r="AV10" s="2871"/>
      <c r="AW10" s="2871"/>
      <c r="AX10" s="2871"/>
      <c r="AY10" s="2871"/>
      <c r="AZ10" s="2871"/>
      <c r="BA10" s="2871"/>
      <c r="BB10" s="2871"/>
      <c r="BC10" s="2871"/>
      <c r="BD10" s="2871"/>
      <c r="BE10" s="2871"/>
      <c r="BF10" s="2871"/>
      <c r="BG10" s="2871"/>
      <c r="BH10" s="2871"/>
      <c r="BI10" s="2871"/>
      <c r="BJ10" s="2871"/>
      <c r="BK10" s="2871"/>
      <c r="BL10" s="2871"/>
      <c r="BM10" s="2871"/>
      <c r="BN10" s="2871"/>
      <c r="BO10" s="2871"/>
      <c r="BP10" s="2984"/>
      <c r="BQ10" s="2871"/>
      <c r="BR10" s="2871"/>
      <c r="BS10" s="2871"/>
      <c r="BT10" s="2871"/>
      <c r="BU10" s="1757"/>
      <c r="BV10" s="1757"/>
      <c r="BW10" s="1757"/>
      <c r="BX10" s="1757"/>
      <c r="BY10" s="1757"/>
      <c r="BZ10" s="1757"/>
      <c r="CA10" s="3"/>
      <c r="CK10" s="1513"/>
      <c r="CL10" s="1513"/>
      <c r="CM10" s="1513"/>
      <c r="CN10" s="1513"/>
      <c r="CO10" s="1513"/>
      <c r="CP10" s="1513"/>
      <c r="CQ10" s="1513"/>
      <c r="CR10" s="1513"/>
      <c r="CS10" s="1513"/>
      <c r="CT10" s="1513"/>
      <c r="CU10" s="1513"/>
      <c r="CV10" s="1513"/>
      <c r="CW10" s="1513"/>
      <c r="CX10" s="1513"/>
      <c r="CY10" s="1513"/>
      <c r="CZ10" s="1513"/>
      <c r="DA10" s="1513"/>
      <c r="DB10" s="1513"/>
      <c r="DC10" s="1513"/>
      <c r="DD10" s="1513"/>
      <c r="DE10" s="1513"/>
      <c r="DF10" s="1513"/>
      <c r="DG10" s="1513"/>
      <c r="DH10" s="1513"/>
      <c r="DI10" s="1513"/>
      <c r="DJ10" s="1513"/>
      <c r="DK10" s="1513"/>
      <c r="DL10" s="1513"/>
      <c r="DM10" s="1513"/>
      <c r="DN10" s="1513"/>
      <c r="DO10" s="1513"/>
      <c r="DP10" s="1513"/>
      <c r="DQ10" s="1513"/>
      <c r="DR10" s="1513"/>
      <c r="DS10" s="1513"/>
      <c r="DT10" s="1513"/>
      <c r="DU10" s="1513"/>
      <c r="DV10" s="1513"/>
      <c r="DW10" s="1513"/>
      <c r="DX10" s="1513"/>
      <c r="DY10" s="1513"/>
      <c r="DZ10" s="1513"/>
      <c r="EA10" s="1513"/>
      <c r="EB10" s="1513"/>
      <c r="EC10" s="1513"/>
      <c r="ED10" s="1513"/>
      <c r="EE10" s="1513"/>
      <c r="EF10" s="1513"/>
      <c r="EG10" s="1513"/>
      <c r="EH10" s="1513"/>
      <c r="EI10" s="1513"/>
      <c r="EJ10" s="1513"/>
      <c r="EK10" s="1513"/>
      <c r="EL10" s="1513"/>
      <c r="EM10" s="1513"/>
      <c r="EN10" s="1513"/>
      <c r="EO10" s="1513"/>
      <c r="EP10" s="1513"/>
      <c r="EQ10" s="1513"/>
      <c r="ER10" s="1513"/>
      <c r="ES10" s="1513"/>
      <c r="ET10" s="1513"/>
      <c r="EU10" s="1513"/>
      <c r="EV10" s="1513"/>
      <c r="EW10" s="1513"/>
      <c r="EX10" s="1513"/>
      <c r="EY10" s="1513"/>
      <c r="EZ10" s="1513"/>
      <c r="FA10" s="1513"/>
      <c r="FB10" s="1513"/>
      <c r="FC10" s="1513"/>
      <c r="FD10" s="1513"/>
      <c r="FE10" s="1513"/>
      <c r="FF10" s="1513"/>
      <c r="FG10" s="1513"/>
      <c r="FH10" s="1513"/>
      <c r="FI10" s="1513"/>
      <c r="FJ10" s="1513"/>
    </row>
    <row r="11" spans="1:166" ht="17.100000000000001" customHeight="1" x14ac:dyDescent="0.25">
      <c r="A11" s="3"/>
      <c r="B11" s="7"/>
      <c r="C11" s="5065"/>
      <c r="D11" s="5065"/>
      <c r="E11" s="5065"/>
      <c r="F11" s="5065"/>
      <c r="G11" s="5065"/>
      <c r="H11" s="5065"/>
      <c r="I11" s="5065"/>
      <c r="J11" s="5065"/>
      <c r="K11" s="3113" t="s">
        <v>44</v>
      </c>
      <c r="L11" s="5057">
        <f>IFERROR(IF(OR(C12="",G12=""),0,S12/S11),"?")</f>
        <v>0</v>
      </c>
      <c r="M11" s="5057"/>
      <c r="N11" s="3056" t="str">
        <f>IF(J12&gt;=1,"of","")</f>
        <v/>
      </c>
      <c r="O11" s="5058" t="str" cm="1">
        <f t="array" ref="O11">_xlfn.IFS(
OR(K11=$U$28,K11=""),
_xlfn.IFS(
S11&gt;=402,ROUNDDOWN(S11/365,1)&amp;" years",
AND(S11&gt;=365,S11&lt;402),ROUNDDOWN(S11/365,1)&amp;" year",
AND(S11&gt;=34,S11&lt;365),ROUNDDOWN(S11/(365/12),1)&amp;" mths",
AND(S11&gt;=31,S11&lt;34),ROUNDDOWN(S11/(365/12),1)&amp;" month",
AND(S11&gt;=4,S11&lt;31),ROUNDDOWN(S11/(365/12),1)&amp;" mths",
TRUE,S11*24&amp;" hours"),
K11=$U$29,
_xlfn.IFS(
S11&gt;=58,ROUNDDOWN(S11/52,1)&amp;" years",
AND(S11&gt;=52,S11&lt;58),ROUNDDOWN(S11/52,1)&amp;" year",
AND(S11&gt;=5,S11&lt;52),ROUNDDOWN(S11/(53/12),1)&amp;" mths",
AND(S11&gt;=2,S11&lt;5),S11&amp;" weeks",
S11=1,S11&amp;" week",
TRUE,S11&amp;" weeks"),
K11=$U$30,
_xlfn.IFS(
OR(S11=12,S11=13),ROUNDDOWN(S11/12,1)&amp;" year",
TRUE,ROUNDDOWN(S11/12,1)&amp;" years"),
TRUE,""
)</f>
        <v>0 hours</v>
      </c>
      <c r="P11" s="5058"/>
      <c r="Q11" s="5058"/>
      <c r="R11" s="5058"/>
      <c r="S11" s="3060" cm="1">
        <f t="array" ref="S11">IF(OR(C12="",G12=""),0,
IF(G12=$U$25,
_xlfn.IFS(
OR(K11=$U$28,K11=""),_xlfn.DAYS($U$26,C12),
K11=$U$29,ROUNDDOWN(_xlfn.DAYS($U$26,C12)/7,0),
K11=$U$30,ROUNDDOWN(_xlfn.DAYS($U$26,C12)/31,0),
TRUE,""),
_xlfn.IFS(
OR(K11=$U$28,K11=""),_xlfn.DAYS(G12,C12),
K11=$U$29,ROUNDDOWN(_xlfn.DAYS(G12,C12)/7,0),
K11=$U$30,ROUNDDOWN(_xlfn.DAYS(G12,C12)/31,0),
TRUE,"")
)
)</f>
        <v>0</v>
      </c>
      <c r="T11" s="3153"/>
      <c r="U11" s="1759"/>
      <c r="V11" s="2871"/>
      <c r="W11" s="2871"/>
      <c r="X11" s="2984"/>
      <c r="Y11" s="2871"/>
      <c r="Z11" s="2871"/>
      <c r="AA11" s="2871"/>
      <c r="AB11" s="2871"/>
      <c r="AC11" s="2871"/>
      <c r="AD11" s="2871"/>
      <c r="AE11" s="2871"/>
      <c r="AF11" s="2871"/>
      <c r="AG11" s="2871"/>
      <c r="AH11" s="2871"/>
      <c r="AI11" s="2871"/>
      <c r="AJ11" s="2871"/>
      <c r="AK11" s="2871"/>
      <c r="AL11" s="2871"/>
      <c r="AM11" s="2871"/>
      <c r="AN11" s="2871"/>
      <c r="AO11" s="2871"/>
      <c r="AP11" s="2871"/>
      <c r="AQ11" s="2871"/>
      <c r="AR11" s="2871"/>
      <c r="AS11" s="2871"/>
      <c r="AT11" s="2871"/>
      <c r="AU11" s="2871"/>
      <c r="AV11" s="2871"/>
      <c r="AW11" s="2871"/>
      <c r="AX11" s="2871"/>
      <c r="AY11" s="2871"/>
      <c r="AZ11" s="2871"/>
      <c r="BA11" s="2871"/>
      <c r="BB11" s="2871"/>
      <c r="BC11" s="2871"/>
      <c r="BD11" s="2871"/>
      <c r="BE11" s="2871"/>
      <c r="BF11" s="2871"/>
      <c r="BG11" s="2871"/>
      <c r="BH11" s="2871"/>
      <c r="BI11" s="2871"/>
      <c r="BJ11" s="2871"/>
      <c r="BK11" s="2871"/>
      <c r="BL11" s="2871"/>
      <c r="BM11" s="2871"/>
      <c r="BN11" s="2871"/>
      <c r="BO11" s="2871"/>
      <c r="BP11" s="2984"/>
      <c r="BQ11" s="2871"/>
      <c r="BR11" s="2871"/>
      <c r="BS11" s="2871"/>
      <c r="BT11" s="2871"/>
      <c r="BU11" s="1757"/>
      <c r="BV11" s="1757"/>
      <c r="BW11" s="1757"/>
      <c r="BX11" s="1757"/>
      <c r="BY11" s="1757"/>
      <c r="BZ11" s="1757"/>
      <c r="CA11" s="3"/>
      <c r="CK11" s="1513"/>
      <c r="CL11" s="1513"/>
      <c r="CM11" s="1513"/>
      <c r="CN11" s="1513"/>
      <c r="CO11" s="1513"/>
      <c r="CP11" s="1513"/>
      <c r="CQ11" s="1513"/>
      <c r="CR11" s="1513"/>
      <c r="CS11" s="1513"/>
      <c r="CT11" s="1513"/>
      <c r="CU11" s="1513"/>
      <c r="CV11" s="1513"/>
      <c r="CW11" s="1513"/>
      <c r="CX11" s="1513"/>
      <c r="CY11" s="1513"/>
      <c r="CZ11" s="1513"/>
      <c r="DA11" s="1513"/>
      <c r="DB11" s="1513"/>
      <c r="DC11" s="1513"/>
      <c r="DD11" s="1513"/>
      <c r="DE11" s="1513"/>
      <c r="DF11" s="1513"/>
      <c r="DG11" s="1513"/>
      <c r="DH11" s="1513"/>
      <c r="DI11" s="1513"/>
      <c r="DJ11" s="1513"/>
      <c r="DK11" s="1513"/>
      <c r="DL11" s="1513"/>
      <c r="DM11" s="1513"/>
      <c r="DN11" s="1513"/>
      <c r="DO11" s="1513"/>
      <c r="DP11" s="1513"/>
      <c r="DQ11" s="1513"/>
      <c r="DR11" s="1513"/>
      <c r="DS11" s="1513"/>
      <c r="DT11" s="1513"/>
      <c r="DU11" s="1513"/>
      <c r="DV11" s="1513"/>
      <c r="DW11" s="1513"/>
      <c r="DX11" s="1513"/>
      <c r="DY11" s="1513"/>
      <c r="DZ11" s="1513"/>
      <c r="EA11" s="1513"/>
      <c r="EB11" s="1513"/>
      <c r="EC11" s="1513"/>
      <c r="ED11" s="1513"/>
      <c r="EE11" s="1513"/>
      <c r="EF11" s="1513"/>
      <c r="EG11" s="1513"/>
      <c r="EH11" s="1513"/>
      <c r="EI11" s="1513"/>
      <c r="EJ11" s="1513"/>
      <c r="EK11" s="1513"/>
      <c r="EL11" s="1513"/>
      <c r="EM11" s="1513"/>
      <c r="EN11" s="1513"/>
      <c r="EO11" s="1513"/>
      <c r="EP11" s="1513"/>
      <c r="EQ11" s="1513"/>
      <c r="ER11" s="1513"/>
      <c r="ES11" s="1513"/>
      <c r="ET11" s="1513"/>
      <c r="EU11" s="1513"/>
      <c r="EV11" s="1513"/>
      <c r="EW11" s="1513"/>
      <c r="EX11" s="1513"/>
      <c r="EY11" s="1513"/>
      <c r="EZ11" s="1513"/>
      <c r="FA11" s="1513"/>
      <c r="FB11" s="1513"/>
      <c r="FC11" s="1513"/>
      <c r="FD11" s="1513"/>
      <c r="FE11" s="1513"/>
      <c r="FF11" s="1513"/>
      <c r="FG11" s="1513"/>
      <c r="FH11" s="1513"/>
      <c r="FI11" s="1513"/>
      <c r="FJ11" s="1513"/>
    </row>
    <row r="12" spans="1:166" ht="17.100000000000001" customHeight="1" x14ac:dyDescent="0.2">
      <c r="A12" s="3"/>
      <c r="B12" s="7"/>
      <c r="C12" s="5059"/>
      <c r="D12" s="5059"/>
      <c r="E12" s="5059"/>
      <c r="F12" s="3057" t="str">
        <f>IF(C12="","","to")</f>
        <v/>
      </c>
      <c r="G12" s="5059"/>
      <c r="H12" s="5059"/>
      <c r="I12" s="5059"/>
      <c r="J12" s="5060">
        <v>0</v>
      </c>
      <c r="K12" s="5061"/>
      <c r="L12" s="5062" t="str" cm="1">
        <f t="array" ref="L12">IF(J12=1,
_xlfn.IFS(
K11=$U$28,"day missed in",
K11=$U$29,"week missed in",
K11=$U$30,"month missed in",
TRUE,""
),
_xlfn.IFS(
K11=$U$28,"days missed in",
K11=$U$29,"weeks missed in",
K11=$U$30,"months missed in",
TRUE,""
)
)</f>
        <v>days missed in</v>
      </c>
      <c r="M12" s="5062"/>
      <c r="N12" s="5062"/>
      <c r="O12" s="5062"/>
      <c r="P12" s="5063" t="str" cm="1">
        <f t="array" ref="P12">_xlfn.IFS(
K11=$U$28,TEXT(S11,"#,##0")&amp;IF(S11=1," day"," days"),
K11=$U$29,TEXT(S11,"#,##0")&amp;IF(S11=1," week"," weeks"),
K11=$U$30,TEXT(S11,"#,##0")&amp;IF(S11=1," month"," months"),
TRUE,""
)</f>
        <v>0 days</v>
      </c>
      <c r="Q12" s="5063"/>
      <c r="R12" s="5063"/>
      <c r="S12" s="3061" cm="1">
        <f t="array" ref="S12">IF(G12=$U$25,
_xlfn.IFS(
OR(C12="",G12=""),0,
K11=$U$28,_xlfn.DAYS($U$26-J12,C12),
K11=$U$29,ROUNDDOWN((_xlfn.DAYS($U$26,C12)/7)-J12,0),
K11=$U$30,ROUNDDOWN((_xlfn.DAYS($U$26,C12)/31)-J12,0),
TRUE,""),
_xlfn.IFS(
OR(C12="",G12=""),0,
K11=$U$28,_xlfn.DAYS(G12-J12,C12),
K11=$U$29,ROUNDDOWN((_xlfn.DAYS(G12,C12)/7)-J12,0),
K11=$U$30,ROUNDDOWN((_xlfn.DAYS(G12,C12)/31)-J12,0),
TRUE,"")
)</f>
        <v>0</v>
      </c>
      <c r="T12" s="3154"/>
      <c r="U12" s="1759"/>
      <c r="V12" s="2871"/>
      <c r="W12" s="2871"/>
      <c r="X12" s="2984"/>
      <c r="Y12" s="2871"/>
      <c r="Z12" s="2871"/>
      <c r="AA12" s="2871"/>
      <c r="AB12" s="2871"/>
      <c r="AC12" s="2871"/>
      <c r="AD12" s="2871"/>
      <c r="AE12" s="2871"/>
      <c r="AF12" s="2871"/>
      <c r="AG12" s="2871"/>
      <c r="AH12" s="2871"/>
      <c r="AI12" s="2871"/>
      <c r="AJ12" s="2871"/>
      <c r="AK12" s="2871"/>
      <c r="AL12" s="2871"/>
      <c r="AM12" s="2871"/>
      <c r="AN12" s="2871"/>
      <c r="AO12" s="2871"/>
      <c r="AP12" s="2871"/>
      <c r="AQ12" s="2871"/>
      <c r="AR12" s="2871"/>
      <c r="AS12" s="2871"/>
      <c r="AT12" s="2871"/>
      <c r="AU12" s="2871"/>
      <c r="AV12" s="2871"/>
      <c r="AW12" s="2871"/>
      <c r="AX12" s="2871"/>
      <c r="AY12" s="2871"/>
      <c r="AZ12" s="2871"/>
      <c r="BA12" s="2871"/>
      <c r="BB12" s="2871"/>
      <c r="BC12" s="2871"/>
      <c r="BD12" s="2871"/>
      <c r="BE12" s="2871"/>
      <c r="BF12" s="2871"/>
      <c r="BG12" s="2871"/>
      <c r="BH12" s="2871"/>
      <c r="BI12" s="2871"/>
      <c r="BJ12" s="2871"/>
      <c r="BK12" s="2871"/>
      <c r="BL12" s="2871"/>
      <c r="BM12" s="2871"/>
      <c r="BN12" s="2871"/>
      <c r="BO12" s="2871"/>
      <c r="BP12" s="2984"/>
      <c r="BQ12" s="2871"/>
      <c r="BR12" s="2871"/>
      <c r="BS12" s="2871"/>
      <c r="BT12" s="2871"/>
      <c r="BU12" s="1757"/>
      <c r="BV12" s="1757"/>
      <c r="BW12" s="1757"/>
      <c r="BX12" s="1757"/>
      <c r="BY12" s="1757"/>
      <c r="BZ12" s="1757"/>
      <c r="CA12" s="3"/>
      <c r="CK12" s="1513"/>
      <c r="CL12" s="1513"/>
      <c r="CM12" s="1513"/>
      <c r="CN12" s="1513"/>
      <c r="CO12" s="1513"/>
      <c r="CP12" s="1513"/>
      <c r="CQ12" s="1513"/>
      <c r="CR12" s="1513"/>
      <c r="CS12" s="1513"/>
      <c r="CT12" s="1513"/>
      <c r="CU12" s="1513"/>
      <c r="CV12" s="1513"/>
      <c r="CW12" s="1513"/>
      <c r="CX12" s="1513"/>
      <c r="CY12" s="1513"/>
      <c r="CZ12" s="1513"/>
      <c r="DA12" s="1513"/>
      <c r="DB12" s="1513"/>
      <c r="DC12" s="1513"/>
      <c r="DD12" s="1513"/>
      <c r="DE12" s="1513"/>
      <c r="DF12" s="1513"/>
      <c r="DG12" s="1513"/>
      <c r="DH12" s="1513"/>
      <c r="DI12" s="1513"/>
      <c r="DJ12" s="1513"/>
      <c r="DK12" s="1513"/>
      <c r="DL12" s="1513"/>
      <c r="DM12" s="1513"/>
      <c r="DN12" s="1513"/>
      <c r="DO12" s="1513"/>
      <c r="DP12" s="1513"/>
      <c r="DQ12" s="1513"/>
      <c r="DR12" s="1513"/>
      <c r="DS12" s="1513"/>
      <c r="DT12" s="1513"/>
      <c r="DU12" s="1513"/>
      <c r="DV12" s="1513"/>
      <c r="DW12" s="1513"/>
      <c r="DX12" s="1513"/>
      <c r="DY12" s="1513"/>
      <c r="DZ12" s="1513"/>
      <c r="EA12" s="1513"/>
      <c r="EB12" s="1513"/>
      <c r="EC12" s="1513"/>
      <c r="ED12" s="1513"/>
      <c r="EE12" s="1513"/>
      <c r="EF12" s="1513"/>
      <c r="EG12" s="1513"/>
      <c r="EH12" s="1513"/>
      <c r="EI12" s="1513"/>
      <c r="EJ12" s="1513"/>
      <c r="EK12" s="1513"/>
      <c r="EL12" s="1513"/>
      <c r="EM12" s="1513"/>
      <c r="EN12" s="1513"/>
      <c r="EO12" s="1513"/>
      <c r="EP12" s="1513"/>
      <c r="EQ12" s="1513"/>
      <c r="ER12" s="1513"/>
      <c r="ES12" s="1513"/>
      <c r="ET12" s="1513"/>
      <c r="EU12" s="1513"/>
      <c r="EV12" s="1513"/>
      <c r="EW12" s="1513"/>
      <c r="EX12" s="1513"/>
      <c r="EY12" s="1513"/>
      <c r="EZ12" s="1513"/>
      <c r="FA12" s="1513"/>
      <c r="FB12" s="1513"/>
      <c r="FC12" s="1513"/>
      <c r="FD12" s="1513"/>
      <c r="FE12" s="1513"/>
      <c r="FF12" s="1513"/>
      <c r="FG12" s="1513"/>
      <c r="FH12" s="1513"/>
      <c r="FI12" s="1513"/>
      <c r="FJ12" s="1513"/>
    </row>
    <row r="13" spans="1:166" ht="17.100000000000001" customHeight="1" x14ac:dyDescent="0.25">
      <c r="A13" s="3"/>
      <c r="B13" s="7"/>
      <c r="C13" s="5065"/>
      <c r="D13" s="5065"/>
      <c r="E13" s="5065"/>
      <c r="F13" s="5065"/>
      <c r="G13" s="5065"/>
      <c r="H13" s="5065"/>
      <c r="I13" s="5065"/>
      <c r="J13" s="5065"/>
      <c r="K13" s="3113" t="s">
        <v>44</v>
      </c>
      <c r="L13" s="5057">
        <f t="shared" ref="L13" si="0">IFERROR(IF(OR(C14="",G14=""),0,S14/S13),"?")</f>
        <v>0</v>
      </c>
      <c r="M13" s="5057"/>
      <c r="N13" s="3056" t="str">
        <f t="shared" ref="N13" si="1">IF(J14&gt;=1,"of","")</f>
        <v/>
      </c>
      <c r="O13" s="5058" t="str" cm="1">
        <f t="array" ref="O13">_xlfn.IFS(
OR(K13=$U$28,K13=""),
_xlfn.IFS(
S13&gt;=402,ROUNDDOWN(S13/365,1)&amp;" years",
AND(S13&gt;=365,S13&lt;402),ROUNDDOWN(S13/365,1)&amp;" year",
AND(S13&gt;=34,S13&lt;365),ROUNDDOWN(S13/(365/12),1)&amp;" mths",
AND(S13&gt;=31,S13&lt;34),ROUNDDOWN(S13/(365/12),1)&amp;" month",
AND(S13&gt;=4,S13&lt;31),ROUNDDOWN(S13/(365/12),1)&amp;" mths",
TRUE,S13*24&amp;" hours"),
K13=$U$29,
_xlfn.IFS(
S13&gt;=58,ROUNDDOWN(S13/52,1)&amp;" years",
AND(S13&gt;=52,S13&lt;58),ROUNDDOWN(S13/52,1)&amp;" year",
AND(S13&gt;=5,S13&lt;52),ROUNDDOWN(S13/(53/12),1)&amp;" mths",
AND(S13&gt;=2,S13&lt;5),S13&amp;" weeks",
S13=1,S13&amp;" week",
TRUE,S13&amp;" weeks"),
K13=$U$30,
_xlfn.IFS(
OR(S13=12,S13=13),ROUNDDOWN(S13/12,1)&amp;" year",
TRUE,ROUNDDOWN(S13/12,1)&amp;" years"),
TRUE,""
)</f>
        <v>0 hours</v>
      </c>
      <c r="P13" s="5058"/>
      <c r="Q13" s="5058"/>
      <c r="R13" s="5058"/>
      <c r="S13" s="3060" cm="1">
        <f t="array" ref="S13">IF(OR(C14="",G14=""),0,
IF(G14=$U$25,
_xlfn.IFS(
OR(K13=$U$28,K13=""),_xlfn.DAYS($U$26,C14),
K13=$U$29,ROUNDDOWN(_xlfn.DAYS($U$26,C14)/7,0),
K13=$U$30,ROUNDDOWN(_xlfn.DAYS($U$26,C14)/31,0),
TRUE,""),
_xlfn.IFS(
OR(K13=$U$28,K13=""),_xlfn.DAYS(G14,C14),
K13=$U$29,ROUNDDOWN(_xlfn.DAYS(G14,C14)/7,0),
K13=$U$30,ROUNDDOWN(_xlfn.DAYS(G14,C14)/31,0),
TRUE,"")
)
)</f>
        <v>0</v>
      </c>
      <c r="T13" s="3154"/>
      <c r="U13" s="1759"/>
      <c r="V13" s="2871"/>
      <c r="W13" s="2871"/>
      <c r="X13" s="2984"/>
      <c r="Y13" s="2871"/>
      <c r="Z13" s="2871"/>
      <c r="AA13" s="2871"/>
      <c r="AB13" s="2871"/>
      <c r="AC13" s="2871"/>
      <c r="AD13" s="2871"/>
      <c r="AE13" s="2871"/>
      <c r="AF13" s="2871"/>
      <c r="AG13" s="2871"/>
      <c r="AH13" s="2871"/>
      <c r="AI13" s="2871"/>
      <c r="AJ13" s="2871"/>
      <c r="AK13" s="2871"/>
      <c r="AL13" s="2871"/>
      <c r="AM13" s="2871"/>
      <c r="AN13" s="2871"/>
      <c r="AO13" s="2871"/>
      <c r="AP13" s="2871"/>
      <c r="AQ13" s="2871"/>
      <c r="AR13" s="2871"/>
      <c r="AS13" s="2871"/>
      <c r="AT13" s="2871"/>
      <c r="AU13" s="2871"/>
      <c r="AV13" s="2871"/>
      <c r="AW13" s="2871"/>
      <c r="AX13" s="2871"/>
      <c r="AY13" s="2871"/>
      <c r="AZ13" s="2871"/>
      <c r="BA13" s="2871"/>
      <c r="BB13" s="2871"/>
      <c r="BC13" s="2871"/>
      <c r="BD13" s="2871"/>
      <c r="BE13" s="2871"/>
      <c r="BF13" s="2871"/>
      <c r="BG13" s="2871"/>
      <c r="BH13" s="2871"/>
      <c r="BI13" s="2871"/>
      <c r="BJ13" s="2871"/>
      <c r="BK13" s="2871"/>
      <c r="BL13" s="2871"/>
      <c r="BM13" s="2871"/>
      <c r="BN13" s="2871"/>
      <c r="BO13" s="2871"/>
      <c r="BP13" s="2984"/>
      <c r="BQ13" s="2871"/>
      <c r="BR13" s="2871"/>
      <c r="BS13" s="2871"/>
      <c r="BT13" s="2871"/>
      <c r="BU13" s="1757"/>
      <c r="BV13" s="1757"/>
      <c r="BW13" s="1757"/>
      <c r="BX13" s="1757"/>
      <c r="BY13" s="1757"/>
      <c r="BZ13" s="1757"/>
      <c r="CA13" s="3"/>
      <c r="CK13" s="1513"/>
      <c r="CL13" s="1513"/>
      <c r="CM13" s="1513"/>
      <c r="CN13" s="1513"/>
      <c r="CO13" s="1513"/>
      <c r="CP13" s="1513"/>
      <c r="CQ13" s="1513"/>
      <c r="CR13" s="1513"/>
      <c r="CS13" s="1513"/>
      <c r="CT13" s="1513"/>
      <c r="CU13" s="1513"/>
      <c r="CV13" s="1513"/>
      <c r="CW13" s="1513"/>
      <c r="CX13" s="1513"/>
      <c r="CY13" s="1513"/>
      <c r="CZ13" s="1513"/>
      <c r="DA13" s="1513"/>
      <c r="DB13" s="1513"/>
      <c r="DC13" s="1513"/>
      <c r="DD13" s="1513"/>
      <c r="DE13" s="1513"/>
      <c r="DF13" s="1513"/>
      <c r="DG13" s="1513"/>
      <c r="DH13" s="1513"/>
      <c r="DI13" s="1513"/>
      <c r="DJ13" s="1513"/>
      <c r="DK13" s="1513"/>
      <c r="DL13" s="1513"/>
      <c r="DM13" s="1513"/>
      <c r="DN13" s="1513"/>
      <c r="DO13" s="1513"/>
      <c r="DP13" s="1513"/>
      <c r="DQ13" s="1513"/>
      <c r="DR13" s="1513"/>
      <c r="DS13" s="1513"/>
      <c r="DT13" s="1513"/>
      <c r="DU13" s="1513"/>
      <c r="DV13" s="1513"/>
      <c r="DW13" s="1513"/>
      <c r="DX13" s="1513"/>
      <c r="DY13" s="1513"/>
      <c r="DZ13" s="1513"/>
      <c r="EA13" s="1513"/>
      <c r="EB13" s="1513"/>
      <c r="EC13" s="1513"/>
      <c r="ED13" s="1513"/>
      <c r="EE13" s="1513"/>
      <c r="EF13" s="1513"/>
      <c r="EG13" s="1513"/>
      <c r="EH13" s="1513"/>
      <c r="EI13" s="1513"/>
      <c r="EJ13" s="1513"/>
      <c r="EK13" s="1513"/>
      <c r="EL13" s="1513"/>
      <c r="EM13" s="1513"/>
      <c r="EN13" s="1513"/>
      <c r="EO13" s="1513"/>
      <c r="EP13" s="1513"/>
      <c r="EQ13" s="1513"/>
      <c r="ER13" s="1513"/>
      <c r="ES13" s="1513"/>
      <c r="ET13" s="1513"/>
      <c r="EU13" s="1513"/>
      <c r="EV13" s="1513"/>
      <c r="EW13" s="1513"/>
      <c r="EX13" s="1513"/>
      <c r="EY13" s="1513"/>
      <c r="EZ13" s="1513"/>
      <c r="FA13" s="1513"/>
      <c r="FB13" s="1513"/>
      <c r="FC13" s="1513"/>
      <c r="FD13" s="1513"/>
      <c r="FE13" s="1513"/>
      <c r="FF13" s="1513"/>
      <c r="FG13" s="1513"/>
      <c r="FH13" s="1513"/>
      <c r="FI13" s="1513"/>
      <c r="FJ13" s="1513"/>
    </row>
    <row r="14" spans="1:166" ht="17.100000000000001" customHeight="1" x14ac:dyDescent="0.2">
      <c r="A14" s="3"/>
      <c r="B14" s="7"/>
      <c r="C14" s="5059"/>
      <c r="D14" s="5059"/>
      <c r="E14" s="5059"/>
      <c r="F14" s="3057" t="str">
        <f t="shared" ref="F14" si="2">IF(C14="","","to")</f>
        <v/>
      </c>
      <c r="G14" s="5059"/>
      <c r="H14" s="5059"/>
      <c r="I14" s="5059"/>
      <c r="J14" s="5060">
        <v>0</v>
      </c>
      <c r="K14" s="5061"/>
      <c r="L14" s="5062" t="str" cm="1">
        <f t="array" ref="L14">IF(J14=1,
_xlfn.IFS(
K13=$U$28,"day missed in",
K13=$U$29,"week missed in",
K13=$U$30,"month missed in",
TRUE,""
),
_xlfn.IFS(
K13=$U$28,"days missed in",
K13=$U$29,"weeks missed in",
K13=$U$30,"months missed in",
TRUE,""
)
)</f>
        <v>days missed in</v>
      </c>
      <c r="M14" s="5062"/>
      <c r="N14" s="5062"/>
      <c r="O14" s="5062"/>
      <c r="P14" s="5063" t="str" cm="1">
        <f t="array" ref="P14">_xlfn.IFS(
K13=$U$28,TEXT(S13,"#,##0")&amp;IF(S13=1," day"," days"),
K13=$U$29,TEXT(S13,"#,##0")&amp;IF(S13=1," week"," weeks"),
K13=$U$30,TEXT(S13,"#,##0")&amp;IF(S13=1," month"," months"),
TRUE,""
)</f>
        <v>0 days</v>
      </c>
      <c r="Q14" s="5063"/>
      <c r="R14" s="5063"/>
      <c r="S14" s="3061" cm="1">
        <f t="array" ref="S14">IF(G14=$U$25,
_xlfn.IFS(
OR(C14="",G14=""),0,
K13=$U$28,_xlfn.DAYS($U$26-J14,C14),
K13=$U$29,ROUNDDOWN((_xlfn.DAYS($U$26,C14)/7)-J14,0),
K13=$U$30,ROUNDDOWN((_xlfn.DAYS($U$26,C14)/31)-J14,0),
TRUE,""),
_xlfn.IFS(
OR(C14="",G14=""),0,
K13=$U$28,_xlfn.DAYS(G14-J14,C14),
K13=$U$29,ROUNDDOWN((_xlfn.DAYS(G14,C14)/7)-J14,0),
K13=$U$30,ROUNDDOWN((_xlfn.DAYS(G14,C14)/31)-J14,0),
TRUE,"")
)</f>
        <v>0</v>
      </c>
      <c r="T14" s="3155"/>
      <c r="U14" s="3159"/>
      <c r="V14" s="3064"/>
      <c r="W14" s="3064"/>
      <c r="X14" s="2984"/>
      <c r="Y14" s="2871"/>
      <c r="Z14" s="2871"/>
      <c r="AA14" s="2871"/>
      <c r="AB14" s="2871"/>
      <c r="AC14" s="2871"/>
      <c r="AD14" s="2871"/>
      <c r="AE14" s="2871"/>
      <c r="AF14" s="2871"/>
      <c r="AG14" s="2871"/>
      <c r="AH14" s="2871"/>
      <c r="AI14" s="2871"/>
      <c r="AJ14" s="2871"/>
      <c r="AK14" s="2871"/>
      <c r="AL14" s="2871"/>
      <c r="AM14" s="2871"/>
      <c r="AN14" s="2871"/>
      <c r="AO14" s="2871"/>
      <c r="AP14" s="2871"/>
      <c r="AQ14" s="2871"/>
      <c r="AR14" s="2871"/>
      <c r="AS14" s="2871"/>
      <c r="AT14" s="2871"/>
      <c r="AU14" s="2871"/>
      <c r="AV14" s="2871"/>
      <c r="AW14" s="2871"/>
      <c r="AX14" s="2871"/>
      <c r="AY14" s="2871"/>
      <c r="AZ14" s="2871"/>
      <c r="BA14" s="2871"/>
      <c r="BB14" s="2871"/>
      <c r="BC14" s="2871"/>
      <c r="BD14" s="2871"/>
      <c r="BE14" s="2871"/>
      <c r="BF14" s="2871"/>
      <c r="BG14" s="2871"/>
      <c r="BH14" s="2871"/>
      <c r="BI14" s="2871"/>
      <c r="BJ14" s="2871"/>
      <c r="BK14" s="2871"/>
      <c r="BL14" s="2871"/>
      <c r="BM14" s="2871"/>
      <c r="BN14" s="2871"/>
      <c r="BO14" s="2871"/>
      <c r="BP14" s="2984"/>
      <c r="BQ14" s="2871"/>
      <c r="BR14" s="2871"/>
      <c r="BS14" s="2871"/>
      <c r="BT14" s="2871"/>
      <c r="BU14" s="1757"/>
      <c r="BV14" s="1757"/>
      <c r="BW14" s="1757"/>
      <c r="BX14" s="1757"/>
      <c r="BY14" s="1757"/>
      <c r="BZ14" s="1757"/>
      <c r="CA14" s="3"/>
      <c r="CK14" s="1513"/>
      <c r="CL14" s="1513"/>
      <c r="CM14" s="1513"/>
      <c r="CN14" s="1513"/>
      <c r="CO14" s="1513"/>
      <c r="CP14" s="1513"/>
      <c r="CQ14" s="1513"/>
      <c r="CR14" s="1513"/>
      <c r="CS14" s="1513"/>
      <c r="CT14" s="1513"/>
      <c r="CU14" s="1513"/>
      <c r="CV14" s="1513"/>
      <c r="CW14" s="1513"/>
      <c r="CX14" s="1513"/>
      <c r="CY14" s="1513"/>
      <c r="CZ14" s="1513"/>
      <c r="DA14" s="1513"/>
      <c r="DB14" s="1513"/>
      <c r="DC14" s="1513"/>
      <c r="DD14" s="1513"/>
      <c r="DE14" s="1513"/>
      <c r="DF14" s="1513"/>
      <c r="DG14" s="1513"/>
      <c r="DH14" s="1513"/>
      <c r="DI14" s="1513"/>
      <c r="DJ14" s="1513"/>
      <c r="DK14" s="1513"/>
      <c r="DL14" s="1513"/>
      <c r="DM14" s="1513"/>
      <c r="DN14" s="1513"/>
      <c r="DO14" s="1513"/>
      <c r="DP14" s="1513"/>
      <c r="DQ14" s="1513"/>
      <c r="DR14" s="1513"/>
      <c r="DS14" s="1513"/>
      <c r="DT14" s="1513"/>
      <c r="DU14" s="1513"/>
      <c r="DV14" s="1513"/>
      <c r="DW14" s="1513"/>
      <c r="DX14" s="1513"/>
      <c r="DY14" s="1513"/>
      <c r="DZ14" s="1513"/>
      <c r="EA14" s="1513"/>
      <c r="EB14" s="1513"/>
      <c r="EC14" s="1513"/>
      <c r="ED14" s="1513"/>
      <c r="EE14" s="1513"/>
      <c r="EF14" s="1513"/>
      <c r="EG14" s="1513"/>
      <c r="EH14" s="1513"/>
      <c r="EI14" s="1513"/>
      <c r="EJ14" s="1513"/>
      <c r="EK14" s="1513"/>
      <c r="EL14" s="1513"/>
      <c r="EM14" s="1513"/>
      <c r="EN14" s="1513"/>
      <c r="EO14" s="1513"/>
      <c r="EP14" s="1513"/>
      <c r="EQ14" s="1513"/>
      <c r="ER14" s="1513"/>
      <c r="ES14" s="1513"/>
      <c r="ET14" s="1513"/>
      <c r="EU14" s="1513"/>
      <c r="EV14" s="1513"/>
      <c r="EW14" s="1513"/>
      <c r="EX14" s="1513"/>
      <c r="EY14" s="1513"/>
      <c r="EZ14" s="1513"/>
      <c r="FA14" s="1513"/>
      <c r="FB14" s="1513"/>
      <c r="FC14" s="1513"/>
      <c r="FD14" s="1513"/>
      <c r="FE14" s="1513"/>
      <c r="FF14" s="1513"/>
      <c r="FG14" s="1513"/>
      <c r="FH14" s="1513"/>
      <c r="FI14" s="1513"/>
      <c r="FJ14" s="1513"/>
    </row>
    <row r="15" spans="1:166" ht="17.100000000000001" customHeight="1" x14ac:dyDescent="0.25">
      <c r="A15" s="3"/>
      <c r="B15" s="7"/>
      <c r="C15" s="5065"/>
      <c r="D15" s="5065"/>
      <c r="E15" s="5065"/>
      <c r="F15" s="5065"/>
      <c r="G15" s="5065"/>
      <c r="H15" s="5065"/>
      <c r="I15" s="5065"/>
      <c r="J15" s="5065"/>
      <c r="K15" s="3113" t="s">
        <v>44</v>
      </c>
      <c r="L15" s="5057">
        <f t="shared" ref="L15" si="3">IFERROR(IF(OR(C16="",G16=""),0,S16/S15),"?")</f>
        <v>0</v>
      </c>
      <c r="M15" s="5057"/>
      <c r="N15" s="3056" t="str">
        <f t="shared" ref="N15" si="4">IF(J16&gt;=1,"of","")</f>
        <v/>
      </c>
      <c r="O15" s="5058" t="str" cm="1">
        <f t="array" ref="O15">_xlfn.IFS(
OR(K15=$U$28,K15=""),
_xlfn.IFS(
S15&gt;=402,ROUNDDOWN(S15/365,1)&amp;" years",
AND(S15&gt;=365,S15&lt;402),ROUNDDOWN(S15/365,1)&amp;" year",
AND(S15&gt;=34,S15&lt;365),ROUNDDOWN(S15/(365/12),1)&amp;" mths",
AND(S15&gt;=31,S15&lt;34),ROUNDDOWN(S15/(365/12),1)&amp;" month",
AND(S15&gt;=4,S15&lt;31),ROUNDDOWN(S15/(365/12),1)&amp;" mths",
TRUE,S15*24&amp;" hours"),
K15=$U$29,
_xlfn.IFS(
S15&gt;=58,ROUNDDOWN(S15/52,1)&amp;" years",
AND(S15&gt;=52,S15&lt;58),ROUNDDOWN(S15/52,1)&amp;" year",
AND(S15&gt;=5,S15&lt;52),ROUNDDOWN(S15/(53/12),1)&amp;" mths",
AND(S15&gt;=2,S15&lt;5),S15&amp;" weeks",
S15=1,S15&amp;" week",
TRUE,S15&amp;" weeks"),
K15=$U$30,
_xlfn.IFS(
OR(S15=12,S15=13),ROUNDDOWN(S15/12,1)&amp;" year",
TRUE,ROUNDDOWN(S15/12,1)&amp;" years"),
TRUE,""
)</f>
        <v>0 hours</v>
      </c>
      <c r="P15" s="5058"/>
      <c r="Q15" s="5058"/>
      <c r="R15" s="5058"/>
      <c r="S15" s="3060" cm="1">
        <f t="array" ref="S15">IF(OR(C16="",G16=""),0,
IF(G16=$U$25,
_xlfn.IFS(
OR(K15=$U$28,K15=""),_xlfn.DAYS($U$26,C16),
K15=$U$29,ROUNDDOWN(_xlfn.DAYS($U$26,C16)/7,0),
K15=$U$30,ROUNDDOWN(_xlfn.DAYS($U$26,C16)/31,0),
TRUE,""),
_xlfn.IFS(
OR(K15=$U$28,K15=""),_xlfn.DAYS(G16,C16),
K15=$U$29,ROUNDDOWN(_xlfn.DAYS(G16,C16)/7,0),
K15=$U$30,ROUNDDOWN(_xlfn.DAYS(G16,C16)/31,0),
TRUE,"")
)
)</f>
        <v>0</v>
      </c>
      <c r="T15" s="3155"/>
      <c r="U15" s="3159"/>
      <c r="V15" s="3064"/>
      <c r="W15" s="3064"/>
      <c r="X15" s="2984"/>
      <c r="Y15" s="2871"/>
      <c r="Z15" s="2871"/>
      <c r="AA15" s="2871"/>
      <c r="AB15" s="2871"/>
      <c r="AC15" s="2871"/>
      <c r="AD15" s="2871"/>
      <c r="AE15" s="2871"/>
      <c r="AF15" s="2871"/>
      <c r="AG15" s="2871"/>
      <c r="AH15" s="2871"/>
      <c r="AI15" s="2871"/>
      <c r="AJ15" s="2871"/>
      <c r="AK15" s="2871"/>
      <c r="AL15" s="2871"/>
      <c r="AM15" s="2871"/>
      <c r="AN15" s="2871"/>
      <c r="AO15" s="2871"/>
      <c r="AP15" s="2871"/>
      <c r="AQ15" s="2871"/>
      <c r="AR15" s="2871"/>
      <c r="AS15" s="2871"/>
      <c r="AT15" s="2871"/>
      <c r="AU15" s="2871"/>
      <c r="AV15" s="2871"/>
      <c r="AW15" s="2871"/>
      <c r="AX15" s="2871"/>
      <c r="AY15" s="2871"/>
      <c r="AZ15" s="2871"/>
      <c r="BA15" s="2871"/>
      <c r="BB15" s="2871"/>
      <c r="BC15" s="2871"/>
      <c r="BD15" s="2871"/>
      <c r="BE15" s="2871"/>
      <c r="BF15" s="2871"/>
      <c r="BG15" s="2871"/>
      <c r="BH15" s="2871"/>
      <c r="BI15" s="2871"/>
      <c r="BJ15" s="2871"/>
      <c r="BK15" s="2871"/>
      <c r="BL15" s="2871"/>
      <c r="BM15" s="2871"/>
      <c r="BN15" s="2871"/>
      <c r="BO15" s="2871"/>
      <c r="BP15" s="2984"/>
      <c r="BQ15" s="2871"/>
      <c r="BR15" s="2871"/>
      <c r="BS15" s="2871"/>
      <c r="BT15" s="2871"/>
      <c r="BU15" s="1757"/>
      <c r="BV15" s="1757"/>
      <c r="BW15" s="1757"/>
      <c r="BX15" s="1757"/>
      <c r="BY15" s="1757"/>
      <c r="BZ15" s="1757"/>
      <c r="CA15" s="3"/>
      <c r="CK15" s="1513"/>
      <c r="CL15" s="1513"/>
      <c r="CM15" s="1513"/>
      <c r="CN15" s="1513"/>
      <c r="CO15" s="1513"/>
      <c r="CP15" s="1513"/>
      <c r="CQ15" s="1513"/>
      <c r="CR15" s="1513"/>
      <c r="CS15" s="1513"/>
      <c r="CT15" s="1513"/>
      <c r="CU15" s="1513"/>
      <c r="CV15" s="1513"/>
      <c r="CW15" s="1513"/>
      <c r="CX15" s="1513"/>
      <c r="CY15" s="1513"/>
      <c r="CZ15" s="1513"/>
      <c r="DA15" s="1513"/>
      <c r="DB15" s="1513"/>
      <c r="DC15" s="1513"/>
      <c r="DD15" s="1513"/>
      <c r="DE15" s="1513"/>
      <c r="DF15" s="1513"/>
      <c r="DG15" s="1513"/>
      <c r="DH15" s="1513"/>
      <c r="DI15" s="1513"/>
      <c r="DJ15" s="1513"/>
      <c r="DK15" s="1513"/>
      <c r="DL15" s="1513"/>
      <c r="DM15" s="1513"/>
      <c r="DN15" s="1513"/>
      <c r="DO15" s="1513"/>
      <c r="DP15" s="1513"/>
      <c r="DQ15" s="1513"/>
      <c r="DR15" s="1513"/>
      <c r="DS15" s="1513"/>
      <c r="DT15" s="1513"/>
      <c r="DU15" s="1513"/>
      <c r="DV15" s="1513"/>
      <c r="DW15" s="1513"/>
      <c r="DX15" s="1513"/>
      <c r="DY15" s="1513"/>
      <c r="DZ15" s="1513"/>
      <c r="EA15" s="1513"/>
      <c r="EB15" s="1513"/>
      <c r="EC15" s="1513"/>
      <c r="ED15" s="1513"/>
      <c r="EE15" s="1513"/>
      <c r="EF15" s="1513"/>
      <c r="EG15" s="1513"/>
      <c r="EH15" s="1513"/>
      <c r="EI15" s="1513"/>
      <c r="EJ15" s="1513"/>
      <c r="EK15" s="1513"/>
      <c r="EL15" s="1513"/>
      <c r="EM15" s="1513"/>
      <c r="EN15" s="1513"/>
      <c r="EO15" s="1513"/>
      <c r="EP15" s="1513"/>
      <c r="EQ15" s="1513"/>
      <c r="ER15" s="1513"/>
      <c r="ES15" s="1513"/>
      <c r="ET15" s="1513"/>
      <c r="EU15" s="1513"/>
      <c r="EV15" s="1513"/>
      <c r="EW15" s="1513"/>
      <c r="EX15" s="1513"/>
      <c r="EY15" s="1513"/>
      <c r="EZ15" s="1513"/>
      <c r="FA15" s="1513"/>
      <c r="FB15" s="1513"/>
      <c r="FC15" s="1513"/>
      <c r="FD15" s="1513"/>
      <c r="FE15" s="1513"/>
      <c r="FF15" s="1513"/>
      <c r="FG15" s="1513"/>
      <c r="FH15" s="1513"/>
      <c r="FI15" s="1513"/>
      <c r="FJ15" s="1513"/>
    </row>
    <row r="16" spans="1:166" ht="17.100000000000001" customHeight="1" x14ac:dyDescent="0.2">
      <c r="A16" s="3"/>
      <c r="B16" s="7"/>
      <c r="C16" s="5059"/>
      <c r="D16" s="5059"/>
      <c r="E16" s="5059"/>
      <c r="F16" s="3057" t="str">
        <f t="shared" ref="F16" si="5">IF(C16="","","to")</f>
        <v/>
      </c>
      <c r="G16" s="5059"/>
      <c r="H16" s="5059"/>
      <c r="I16" s="5059"/>
      <c r="J16" s="5060"/>
      <c r="K16" s="5061"/>
      <c r="L16" s="5062" t="str" cm="1">
        <f t="array" ref="L16">IF(J16=1,
_xlfn.IFS(
K15=$U$28,"day missed in",
K15=$U$29,"week missed in",
K15=$U$30,"month missed in",
TRUE,""
),
_xlfn.IFS(
K15=$U$28,"days missed in",
K15=$U$29,"weeks missed in",
K15=$U$30,"months missed in",
TRUE,""
)
)</f>
        <v>days missed in</v>
      </c>
      <c r="M16" s="5062"/>
      <c r="N16" s="5062"/>
      <c r="O16" s="5062"/>
      <c r="P16" s="5063" t="str" cm="1">
        <f t="array" ref="P16">_xlfn.IFS(
K15=$U$28,TEXT(S15,"#,##0")&amp;IF(S15=1," day"," days"),
K15=$U$29,TEXT(S15,"#,##0")&amp;IF(S15=1," week"," weeks"),
K15=$U$30,TEXT(S15,"#,##0")&amp;IF(S15=1," month"," months"),
TRUE,""
)</f>
        <v>0 days</v>
      </c>
      <c r="Q16" s="5063"/>
      <c r="R16" s="5063"/>
      <c r="S16" s="3061" cm="1">
        <f t="array" ref="S16">IF(G16=$U$25,
_xlfn.IFS(
OR(C16="",G16=""),0,
K15=$U$28,_xlfn.DAYS($U$26-J16,C16),
K15=$U$29,ROUNDDOWN((_xlfn.DAYS($U$26,C16)/7)-J16,0),
K15=$U$30,ROUNDDOWN((_xlfn.DAYS($U$26,C16)/31)-J16,0),
TRUE,""),
_xlfn.IFS(
OR(C16="",G16=""),0,
K15=$U$28,_xlfn.DAYS(G16-J16,C16),
K15=$U$29,ROUNDDOWN((_xlfn.DAYS(G16,C16)/7)-J16,0),
K15=$U$30,ROUNDDOWN((_xlfn.DAYS(G16,C16)/31)-J16,0),
TRUE,"")
)</f>
        <v>0</v>
      </c>
      <c r="T16" s="3155"/>
      <c r="U16" s="3159"/>
      <c r="V16" s="3064"/>
      <c r="W16" s="3064"/>
      <c r="X16" s="2984"/>
      <c r="Y16" s="2871"/>
      <c r="Z16" s="2871"/>
      <c r="AA16" s="2871"/>
      <c r="AB16" s="2871"/>
      <c r="AC16" s="2871"/>
      <c r="AD16" s="2871"/>
      <c r="AE16" s="2871"/>
      <c r="AF16" s="2871"/>
      <c r="AG16" s="2871"/>
      <c r="AH16" s="2871"/>
      <c r="AI16" s="2871"/>
      <c r="AJ16" s="2871"/>
      <c r="AK16" s="2871"/>
      <c r="AL16" s="2871"/>
      <c r="AM16" s="2871"/>
      <c r="AN16" s="2871"/>
      <c r="AO16" s="2871"/>
      <c r="AP16" s="2871"/>
      <c r="AQ16" s="2871"/>
      <c r="AR16" s="2871"/>
      <c r="AS16" s="2871"/>
      <c r="AT16" s="2871"/>
      <c r="AU16" s="2871"/>
      <c r="AV16" s="2871"/>
      <c r="AW16" s="2871"/>
      <c r="AX16" s="2871"/>
      <c r="AY16" s="2871"/>
      <c r="AZ16" s="2871"/>
      <c r="BA16" s="2871"/>
      <c r="BB16" s="2871"/>
      <c r="BC16" s="2871"/>
      <c r="BD16" s="2871"/>
      <c r="BE16" s="2871"/>
      <c r="BF16" s="2871"/>
      <c r="BG16" s="2871"/>
      <c r="BH16" s="2871"/>
      <c r="BI16" s="2871"/>
      <c r="BJ16" s="2871"/>
      <c r="BK16" s="2871"/>
      <c r="BL16" s="2871"/>
      <c r="BM16" s="2871"/>
      <c r="BN16" s="2871"/>
      <c r="BO16" s="2871"/>
      <c r="BP16" s="2984"/>
      <c r="BQ16" s="2871"/>
      <c r="BR16" s="2871"/>
      <c r="BS16" s="2871"/>
      <c r="BT16" s="2871"/>
      <c r="BU16" s="1757"/>
      <c r="BV16" s="1757"/>
      <c r="BW16" s="1757"/>
      <c r="BX16" s="1757"/>
      <c r="BY16" s="1757"/>
      <c r="BZ16" s="1757"/>
      <c r="CA16" s="3"/>
      <c r="CK16" s="1513"/>
      <c r="CL16" s="1513"/>
      <c r="CM16" s="1513"/>
      <c r="CN16" s="1513"/>
      <c r="CO16" s="1513"/>
      <c r="CP16" s="1513"/>
      <c r="CQ16" s="1513"/>
      <c r="CR16" s="1513"/>
      <c r="CS16" s="1513"/>
      <c r="CT16" s="1513"/>
      <c r="CU16" s="1513"/>
      <c r="CV16" s="1513"/>
      <c r="CW16" s="1513"/>
      <c r="CX16" s="1513"/>
      <c r="CY16" s="1513"/>
      <c r="CZ16" s="1513"/>
      <c r="DA16" s="1513"/>
      <c r="DB16" s="1513"/>
      <c r="DC16" s="1513"/>
      <c r="DD16" s="1513"/>
      <c r="DE16" s="1513"/>
      <c r="DF16" s="1513"/>
      <c r="DG16" s="1513"/>
      <c r="DH16" s="1513"/>
      <c r="DI16" s="1513"/>
      <c r="DJ16" s="1513"/>
      <c r="DK16" s="1513"/>
      <c r="DL16" s="1513"/>
      <c r="DM16" s="1513"/>
      <c r="DN16" s="1513"/>
      <c r="DO16" s="1513"/>
      <c r="DP16" s="1513"/>
      <c r="DQ16" s="1513"/>
      <c r="DR16" s="1513"/>
      <c r="DS16" s="1513"/>
      <c r="DT16" s="1513"/>
      <c r="DU16" s="1513"/>
      <c r="DV16" s="1513"/>
      <c r="DW16" s="1513"/>
      <c r="DX16" s="1513"/>
      <c r="DY16" s="1513"/>
      <c r="DZ16" s="1513"/>
      <c r="EA16" s="1513"/>
      <c r="EB16" s="1513"/>
      <c r="EC16" s="1513"/>
      <c r="ED16" s="1513"/>
      <c r="EE16" s="1513"/>
      <c r="EF16" s="1513"/>
      <c r="EG16" s="1513"/>
      <c r="EH16" s="1513"/>
      <c r="EI16" s="1513"/>
      <c r="EJ16" s="1513"/>
      <c r="EK16" s="1513"/>
      <c r="EL16" s="1513"/>
      <c r="EM16" s="1513"/>
      <c r="EN16" s="1513"/>
      <c r="EO16" s="1513"/>
      <c r="EP16" s="1513"/>
      <c r="EQ16" s="1513"/>
      <c r="ER16" s="1513"/>
      <c r="ES16" s="1513"/>
      <c r="ET16" s="1513"/>
      <c r="EU16" s="1513"/>
      <c r="EV16" s="1513"/>
      <c r="EW16" s="1513"/>
      <c r="EX16" s="1513"/>
      <c r="EY16" s="1513"/>
      <c r="EZ16" s="1513"/>
      <c r="FA16" s="1513"/>
      <c r="FB16" s="1513"/>
      <c r="FC16" s="1513"/>
      <c r="FD16" s="1513"/>
      <c r="FE16" s="1513"/>
      <c r="FF16" s="1513"/>
      <c r="FG16" s="1513"/>
      <c r="FH16" s="1513"/>
      <c r="FI16" s="1513"/>
      <c r="FJ16" s="1513"/>
    </row>
    <row r="17" spans="1:166" ht="17.100000000000001" customHeight="1" x14ac:dyDescent="0.25">
      <c r="A17" s="3"/>
      <c r="B17" s="7"/>
      <c r="C17" s="5065"/>
      <c r="D17" s="5065"/>
      <c r="E17" s="5065"/>
      <c r="F17" s="5065"/>
      <c r="G17" s="5065"/>
      <c r="H17" s="5065"/>
      <c r="I17" s="5065"/>
      <c r="J17" s="5065"/>
      <c r="K17" s="3113" t="s">
        <v>44</v>
      </c>
      <c r="L17" s="5057">
        <f t="shared" ref="L17" si="6">IFERROR(IF(OR(C18="",G18=""),0,S18/S17),"?")</f>
        <v>0</v>
      </c>
      <c r="M17" s="5057"/>
      <c r="N17" s="3056" t="str">
        <f t="shared" ref="N17" si="7">IF(J18&gt;=1,"of","")</f>
        <v/>
      </c>
      <c r="O17" s="5058" t="str" cm="1">
        <f t="array" ref="O17">_xlfn.IFS(
OR(K17=$U$28,K17=""),
_xlfn.IFS(
S17&gt;=402,ROUNDDOWN(S17/365,1)&amp;" years",
AND(S17&gt;=365,S17&lt;402),ROUNDDOWN(S17/365,1)&amp;" year",
AND(S17&gt;=34,S17&lt;365),ROUNDDOWN(S17/(365/12),1)&amp;" mths",
AND(S17&gt;=31,S17&lt;34),ROUNDDOWN(S17/(365/12),1)&amp;" month",
AND(S17&gt;=4,S17&lt;31),ROUNDDOWN(S17/(365/12),1)&amp;" mths",
TRUE,S17*24&amp;" hours"),
K17=$U$29,
_xlfn.IFS(
S17&gt;=58,ROUNDDOWN(S17/52,1)&amp;" years",
AND(S17&gt;=52,S17&lt;58),ROUNDDOWN(S17/52,1)&amp;" year",
AND(S17&gt;=5,S17&lt;52),ROUNDDOWN(S17/(53/12),1)&amp;" mths",
AND(S17&gt;=2,S17&lt;5),S17&amp;" weeks",
S17=1,S17&amp;" week",
TRUE,S17&amp;" weeks"),
K17=$U$30,
_xlfn.IFS(
OR(S17=12,S17=13),ROUNDDOWN(S17/12,1)&amp;" year",
TRUE,ROUNDDOWN(S17/12,1)&amp;" years"),
TRUE,""
)</f>
        <v>0 hours</v>
      </c>
      <c r="P17" s="5058"/>
      <c r="Q17" s="5058"/>
      <c r="R17" s="5058"/>
      <c r="S17" s="3060" cm="1">
        <f t="array" ref="S17">IF(OR(C18="",G18=""),0,
IF(G18=$U$25,
_xlfn.IFS(
OR(K17=$U$28,K17=""),_xlfn.DAYS($U$26,C18),
K17=$U$29,ROUNDDOWN(_xlfn.DAYS($U$26,C18)/7,0),
K17=$U$30,ROUNDDOWN(_xlfn.DAYS($U$26,C18)/31,0),
TRUE,""),
_xlfn.IFS(
OR(K17=$U$28,K17=""),_xlfn.DAYS(G18,C18),
K17=$U$29,ROUNDDOWN(_xlfn.DAYS(G18,C18)/7,0),
K17=$U$30,ROUNDDOWN(_xlfn.DAYS(G18,C18)/31,0),
TRUE,"")
)
)</f>
        <v>0</v>
      </c>
      <c r="T17" s="3155"/>
      <c r="U17" s="3159"/>
      <c r="V17" s="3064"/>
      <c r="W17" s="3064"/>
      <c r="X17" s="2984"/>
      <c r="Y17" s="2871"/>
      <c r="Z17" s="2871"/>
      <c r="AA17" s="2871"/>
      <c r="AB17" s="2871"/>
      <c r="AC17" s="2871"/>
      <c r="AD17" s="2871"/>
      <c r="AE17" s="2871"/>
      <c r="AF17" s="2871"/>
      <c r="AG17" s="2871"/>
      <c r="AH17" s="2871"/>
      <c r="AI17" s="2871"/>
      <c r="AJ17" s="2871"/>
      <c r="AK17" s="2871"/>
      <c r="AL17" s="2871"/>
      <c r="AM17" s="2871"/>
      <c r="AN17" s="2871"/>
      <c r="AO17" s="2871"/>
      <c r="AP17" s="2871"/>
      <c r="AQ17" s="2871"/>
      <c r="AR17" s="2871"/>
      <c r="AS17" s="2871"/>
      <c r="AT17" s="2871"/>
      <c r="AU17" s="2871"/>
      <c r="AV17" s="2871"/>
      <c r="AW17" s="2871"/>
      <c r="AX17" s="2871"/>
      <c r="AY17" s="2871"/>
      <c r="AZ17" s="2871"/>
      <c r="BA17" s="2871"/>
      <c r="BB17" s="2871"/>
      <c r="BC17" s="2871"/>
      <c r="BD17" s="2871"/>
      <c r="BE17" s="2871"/>
      <c r="BF17" s="2871"/>
      <c r="BG17" s="2871"/>
      <c r="BH17" s="2871"/>
      <c r="BI17" s="2871"/>
      <c r="BJ17" s="2871"/>
      <c r="BK17" s="2871"/>
      <c r="BL17" s="2871"/>
      <c r="BM17" s="2871"/>
      <c r="BN17" s="2871"/>
      <c r="BO17" s="2871"/>
      <c r="BP17" s="2984"/>
      <c r="BQ17" s="2871"/>
      <c r="BR17" s="2871"/>
      <c r="BS17" s="2871"/>
      <c r="BT17" s="2871"/>
      <c r="BU17" s="1757"/>
      <c r="BV17" s="1757"/>
      <c r="BW17" s="1757"/>
      <c r="BX17" s="1757"/>
      <c r="BY17" s="1757"/>
      <c r="BZ17" s="1757"/>
      <c r="CA17" s="3"/>
      <c r="CK17" s="1513"/>
      <c r="CL17" s="1513"/>
      <c r="CM17" s="1513"/>
      <c r="CN17" s="1513"/>
      <c r="CO17" s="1513"/>
      <c r="CP17" s="1513"/>
      <c r="CQ17" s="1513"/>
      <c r="CR17" s="1513"/>
      <c r="CS17" s="1513"/>
      <c r="CT17" s="1513"/>
      <c r="CU17" s="1513"/>
      <c r="CV17" s="1513"/>
      <c r="CW17" s="1513"/>
      <c r="CX17" s="1513"/>
      <c r="CY17" s="1513"/>
      <c r="CZ17" s="1513"/>
      <c r="DA17" s="1513"/>
      <c r="DB17" s="1513"/>
      <c r="DC17" s="1513"/>
      <c r="DD17" s="1513"/>
      <c r="DE17" s="1513"/>
      <c r="DF17" s="1513"/>
      <c r="DG17" s="1513"/>
      <c r="DH17" s="1513"/>
      <c r="DI17" s="1513"/>
      <c r="DJ17" s="1513"/>
      <c r="DK17" s="1513"/>
      <c r="DL17" s="1513"/>
      <c r="DM17" s="1513"/>
      <c r="DN17" s="1513"/>
      <c r="DO17" s="1513"/>
      <c r="DP17" s="1513"/>
      <c r="DQ17" s="1513"/>
      <c r="DR17" s="1513"/>
      <c r="DS17" s="1513"/>
      <c r="DT17" s="1513"/>
      <c r="DU17" s="1513"/>
      <c r="DV17" s="1513"/>
      <c r="DW17" s="1513"/>
      <c r="DX17" s="1513"/>
      <c r="DY17" s="1513"/>
      <c r="DZ17" s="1513"/>
      <c r="EA17" s="1513"/>
      <c r="EB17" s="1513"/>
      <c r="EC17" s="1513"/>
      <c r="ED17" s="1513"/>
      <c r="EE17" s="1513"/>
      <c r="EF17" s="1513"/>
      <c r="EG17" s="1513"/>
      <c r="EH17" s="1513"/>
      <c r="EI17" s="1513"/>
      <c r="EJ17" s="1513"/>
      <c r="EK17" s="1513"/>
      <c r="EL17" s="1513"/>
      <c r="EM17" s="1513"/>
      <c r="EN17" s="1513"/>
      <c r="EO17" s="1513"/>
      <c r="EP17" s="1513"/>
      <c r="EQ17" s="1513"/>
      <c r="ER17" s="1513"/>
      <c r="ES17" s="1513"/>
      <c r="ET17" s="1513"/>
      <c r="EU17" s="1513"/>
      <c r="EV17" s="1513"/>
      <c r="EW17" s="1513"/>
      <c r="EX17" s="1513"/>
      <c r="EY17" s="1513"/>
      <c r="EZ17" s="1513"/>
      <c r="FA17" s="1513"/>
      <c r="FB17" s="1513"/>
      <c r="FC17" s="1513"/>
      <c r="FD17" s="1513"/>
      <c r="FE17" s="1513"/>
      <c r="FF17" s="1513"/>
      <c r="FG17" s="1513"/>
      <c r="FH17" s="1513"/>
      <c r="FI17" s="1513"/>
      <c r="FJ17" s="1513"/>
    </row>
    <row r="18" spans="1:166" ht="17.100000000000001" customHeight="1" x14ac:dyDescent="0.2">
      <c r="A18" s="3"/>
      <c r="B18" s="7"/>
      <c r="C18" s="5059"/>
      <c r="D18" s="5059"/>
      <c r="E18" s="5059"/>
      <c r="F18" s="3057" t="str">
        <f t="shared" ref="F18" si="8">IF(C18="","","to")</f>
        <v/>
      </c>
      <c r="G18" s="5059"/>
      <c r="H18" s="5059"/>
      <c r="I18" s="5059"/>
      <c r="J18" s="5060"/>
      <c r="K18" s="5061"/>
      <c r="L18" s="5062" t="str" cm="1">
        <f t="array" ref="L18">IF(J18=1,
_xlfn.IFS(
K17=$U$28,"day missed in",
K17=$U$29,"week missed in",
K17=$U$30,"month missed in",
TRUE,""
),
_xlfn.IFS(
K17=$U$28,"days missed in",
K17=$U$29,"weeks missed in",
K17=$U$30,"months missed in",
TRUE,""
)
)</f>
        <v>days missed in</v>
      </c>
      <c r="M18" s="5062"/>
      <c r="N18" s="5062"/>
      <c r="O18" s="5062"/>
      <c r="P18" s="5063" t="str" cm="1">
        <f t="array" ref="P18">_xlfn.IFS(
K17=$U$28,TEXT(S17,"#,##0")&amp;IF(S17=1," day"," days"),
K17=$U$29,TEXT(S17,"#,##0")&amp;IF(S17=1," week"," weeks"),
K17=$U$30,TEXT(S17,"#,##0")&amp;IF(S17=1," month"," months"),
TRUE,""
)</f>
        <v>0 days</v>
      </c>
      <c r="Q18" s="5063"/>
      <c r="R18" s="5063"/>
      <c r="S18" s="3061" cm="1">
        <f t="array" ref="S18">IF(G18=$U$25,
_xlfn.IFS(
OR(C18="",G18=""),0,
K17=$U$28,_xlfn.DAYS($U$26-J18,C18),
K17=$U$29,ROUNDDOWN((_xlfn.DAYS($U$26,C18)/7)-J18,0),
K17=$U$30,ROUNDDOWN((_xlfn.DAYS($U$26,C18)/31)-J18,0),
TRUE,""),
_xlfn.IFS(
OR(C18="",G18=""),0,
K17=$U$28,_xlfn.DAYS(G18-J18,C18),
K17=$U$29,ROUNDDOWN((_xlfn.DAYS(G18,C18)/7)-J18,0),
K17=$U$30,ROUNDDOWN((_xlfn.DAYS(G18,C18)/31)-J18,0),
TRUE,"")
)</f>
        <v>0</v>
      </c>
      <c r="T18" s="3155"/>
      <c r="U18" s="3159"/>
      <c r="V18" s="3064"/>
      <c r="W18" s="3064"/>
      <c r="X18" s="2984"/>
      <c r="Y18" s="2871"/>
      <c r="Z18" s="2871"/>
      <c r="AA18" s="2871"/>
      <c r="AB18" s="2871"/>
      <c r="AC18" s="2871"/>
      <c r="AD18" s="2871"/>
      <c r="AE18" s="2871"/>
      <c r="AF18" s="2871"/>
      <c r="AG18" s="2871"/>
      <c r="AH18" s="2871"/>
      <c r="AI18" s="2871"/>
      <c r="AJ18" s="2871"/>
      <c r="AK18" s="2871"/>
      <c r="AL18" s="2871"/>
      <c r="AM18" s="2871"/>
      <c r="AN18" s="2871"/>
      <c r="AO18" s="2871"/>
      <c r="AP18" s="2871"/>
      <c r="AQ18" s="2871"/>
      <c r="AR18" s="2871"/>
      <c r="AS18" s="2871"/>
      <c r="AT18" s="2871"/>
      <c r="AU18" s="2871"/>
      <c r="AV18" s="2871"/>
      <c r="AW18" s="2871"/>
      <c r="AX18" s="2871"/>
      <c r="AY18" s="2871"/>
      <c r="AZ18" s="2871"/>
      <c r="BA18" s="2871"/>
      <c r="BB18" s="2871"/>
      <c r="BC18" s="2871"/>
      <c r="BD18" s="2871"/>
      <c r="BE18" s="2871"/>
      <c r="BF18" s="2871"/>
      <c r="BG18" s="2871"/>
      <c r="BH18" s="2871"/>
      <c r="BI18" s="2871"/>
      <c r="BJ18" s="2871"/>
      <c r="BK18" s="2871"/>
      <c r="BL18" s="2871"/>
      <c r="BM18" s="2871"/>
      <c r="BN18" s="2871"/>
      <c r="BO18" s="2871"/>
      <c r="BP18" s="2984"/>
      <c r="BQ18" s="2871"/>
      <c r="BR18" s="2871"/>
      <c r="BS18" s="2871"/>
      <c r="BT18" s="2871"/>
      <c r="BU18" s="1757"/>
      <c r="BV18" s="1757"/>
      <c r="BW18" s="1757"/>
      <c r="BX18" s="1757"/>
      <c r="BY18" s="1757"/>
      <c r="BZ18" s="1757"/>
      <c r="CA18" s="3"/>
      <c r="CK18" s="1513"/>
      <c r="CL18" s="1513"/>
      <c r="CM18" s="1513"/>
      <c r="CN18" s="1513"/>
      <c r="CO18" s="1513"/>
      <c r="CP18" s="1513"/>
      <c r="CQ18" s="1513"/>
      <c r="CR18" s="1513"/>
      <c r="CS18" s="1513"/>
      <c r="CT18" s="1513"/>
      <c r="CU18" s="1513"/>
      <c r="CV18" s="1513"/>
      <c r="CW18" s="1513"/>
      <c r="CX18" s="1513"/>
      <c r="CY18" s="1513"/>
      <c r="CZ18" s="1513"/>
      <c r="DA18" s="1513"/>
      <c r="DB18" s="1513"/>
      <c r="DC18" s="1513"/>
      <c r="DD18" s="1513"/>
      <c r="DE18" s="1513"/>
      <c r="DF18" s="1513"/>
      <c r="DG18" s="1513"/>
      <c r="DH18" s="1513"/>
      <c r="DI18" s="1513"/>
      <c r="DJ18" s="1513"/>
      <c r="DK18" s="1513"/>
      <c r="DL18" s="1513"/>
      <c r="DM18" s="1513"/>
      <c r="DN18" s="1513"/>
      <c r="DO18" s="1513"/>
      <c r="DP18" s="1513"/>
      <c r="DQ18" s="1513"/>
      <c r="DR18" s="1513"/>
      <c r="DS18" s="1513"/>
      <c r="DT18" s="1513"/>
      <c r="DU18" s="1513"/>
      <c r="DV18" s="1513"/>
      <c r="DW18" s="1513"/>
      <c r="DX18" s="1513"/>
      <c r="DY18" s="1513"/>
      <c r="DZ18" s="1513"/>
      <c r="EA18" s="1513"/>
      <c r="EB18" s="1513"/>
      <c r="EC18" s="1513"/>
      <c r="ED18" s="1513"/>
      <c r="EE18" s="1513"/>
      <c r="EF18" s="1513"/>
      <c r="EG18" s="1513"/>
      <c r="EH18" s="1513"/>
      <c r="EI18" s="1513"/>
      <c r="EJ18" s="1513"/>
      <c r="EK18" s="1513"/>
      <c r="EL18" s="1513"/>
      <c r="EM18" s="1513"/>
      <c r="EN18" s="1513"/>
      <c r="EO18" s="1513"/>
      <c r="EP18" s="1513"/>
      <c r="EQ18" s="1513"/>
      <c r="ER18" s="1513"/>
      <c r="ES18" s="1513"/>
      <c r="ET18" s="1513"/>
      <c r="EU18" s="1513"/>
      <c r="EV18" s="1513"/>
      <c r="EW18" s="1513"/>
      <c r="EX18" s="1513"/>
      <c r="EY18" s="1513"/>
      <c r="EZ18" s="1513"/>
      <c r="FA18" s="1513"/>
      <c r="FB18" s="1513"/>
      <c r="FC18" s="1513"/>
      <c r="FD18" s="1513"/>
      <c r="FE18" s="1513"/>
      <c r="FF18" s="1513"/>
      <c r="FG18" s="1513"/>
      <c r="FH18" s="1513"/>
      <c r="FI18" s="1513"/>
      <c r="FJ18" s="1513"/>
    </row>
    <row r="19" spans="1:166" ht="17.100000000000001" customHeight="1" x14ac:dyDescent="0.25">
      <c r="A19" s="3"/>
      <c r="B19" s="7"/>
      <c r="C19" s="5065"/>
      <c r="D19" s="5065"/>
      <c r="E19" s="5065"/>
      <c r="F19" s="5065"/>
      <c r="G19" s="5065"/>
      <c r="H19" s="5065"/>
      <c r="I19" s="5065"/>
      <c r="J19" s="5065"/>
      <c r="K19" s="3113" t="s">
        <v>44</v>
      </c>
      <c r="L19" s="5057">
        <f t="shared" ref="L19" si="9">IFERROR(IF(OR(C20="",G20=""),0,S20/S19),"?")</f>
        <v>0</v>
      </c>
      <c r="M19" s="5057"/>
      <c r="N19" s="3056" t="str">
        <f t="shared" ref="N19" si="10">IF(J20&gt;=1,"of","")</f>
        <v/>
      </c>
      <c r="O19" s="5058" t="str" cm="1">
        <f t="array" ref="O19">_xlfn.IFS(
OR(K19=$U$28,K19=""),
_xlfn.IFS(
S19&gt;=402,ROUNDDOWN(S19/365,1)&amp;" years",
AND(S19&gt;=365,S19&lt;402),ROUNDDOWN(S19/365,1)&amp;" year",
AND(S19&gt;=34,S19&lt;365),ROUNDDOWN(S19/(365/12),1)&amp;" mths",
AND(S19&gt;=31,S19&lt;34),ROUNDDOWN(S19/(365/12),1)&amp;" month",
AND(S19&gt;=4,S19&lt;31),ROUNDDOWN(S19/(365/12),1)&amp;" mths",
TRUE,S19*24&amp;" hours"),
K19=$U$29,
_xlfn.IFS(
S19&gt;=58,ROUNDDOWN(S19/52,1)&amp;" years",
AND(S19&gt;=52,S19&lt;58),ROUNDDOWN(S19/52,1)&amp;" year",
AND(S19&gt;=5,S19&lt;52),ROUNDDOWN(S19/(53/12),1)&amp;" mths",
AND(S19&gt;=2,S19&lt;5),S19&amp;" weeks",
S19=1,S19&amp;" week",
TRUE,S19&amp;" weeks"),
K19=$U$30,
_xlfn.IFS(
OR(S19=12,S19=13),ROUNDDOWN(S19/12,1)&amp;" year",
TRUE,ROUNDDOWN(S19/12,1)&amp;" years"),
TRUE,""
)</f>
        <v>0 hours</v>
      </c>
      <c r="P19" s="5058"/>
      <c r="Q19" s="5058"/>
      <c r="R19" s="5058"/>
      <c r="S19" s="3060" cm="1">
        <f t="array" ref="S19">IF(OR(C20="",G20=""),0,
IF(G20=$U$25,
_xlfn.IFS(
OR(K19=$U$28,K19=""),_xlfn.DAYS($U$26,C20),
K19=$U$29,ROUNDDOWN(_xlfn.DAYS($U$26,C20)/7,0),
K19=$U$30,ROUNDDOWN(_xlfn.DAYS($U$26,C20)/31,0),
TRUE,""),
_xlfn.IFS(
OR(K19=$U$28,K19=""),_xlfn.DAYS(G20,C20),
K19=$U$29,ROUNDDOWN(_xlfn.DAYS(G20,C20)/7,0),
K19=$U$30,ROUNDDOWN(_xlfn.DAYS(G20,C20)/31,0),
TRUE,"")
)
)</f>
        <v>0</v>
      </c>
      <c r="T19" s="3155"/>
      <c r="U19" s="3159"/>
      <c r="V19" s="3064"/>
      <c r="W19" s="3064"/>
      <c r="X19" s="2871"/>
      <c r="Y19" s="2871"/>
      <c r="Z19" s="2871"/>
      <c r="AA19" s="2871"/>
      <c r="AB19" s="2871"/>
      <c r="AC19" s="2871"/>
      <c r="AD19" s="2871"/>
      <c r="AE19" s="2871"/>
      <c r="AF19" s="2871"/>
      <c r="AG19" s="2871"/>
      <c r="AH19" s="2871"/>
      <c r="AI19" s="2871"/>
      <c r="AJ19" s="2871"/>
      <c r="AK19" s="2871"/>
      <c r="AL19" s="2871"/>
      <c r="AM19" s="2871"/>
      <c r="AN19" s="2871"/>
      <c r="AO19" s="2871"/>
      <c r="AP19" s="2871"/>
      <c r="AQ19" s="2871"/>
      <c r="AR19" s="2871"/>
      <c r="AS19" s="2871"/>
      <c r="AT19" s="2871"/>
      <c r="AU19" s="2871"/>
      <c r="AV19" s="2871"/>
      <c r="AW19" s="2871"/>
      <c r="AX19" s="2871"/>
      <c r="AY19" s="2871"/>
      <c r="AZ19" s="2871"/>
      <c r="BA19" s="2871"/>
      <c r="BB19" s="2871"/>
      <c r="BC19" s="2871"/>
      <c r="BD19" s="2871"/>
      <c r="BE19" s="2871"/>
      <c r="BF19" s="2871"/>
      <c r="BG19" s="2871"/>
      <c r="BH19" s="2871"/>
      <c r="BI19" s="2871"/>
      <c r="BJ19" s="2871"/>
      <c r="BK19" s="2871"/>
      <c r="BL19" s="2871"/>
      <c r="BM19" s="2871"/>
      <c r="BN19" s="2871"/>
      <c r="BO19" s="2871"/>
      <c r="BP19" s="2984"/>
      <c r="BQ19" s="2871"/>
      <c r="BR19" s="2871"/>
      <c r="BS19" s="2871"/>
      <c r="BT19" s="2871"/>
      <c r="BU19" s="1757"/>
      <c r="BV19" s="1757"/>
      <c r="BW19" s="1757"/>
      <c r="BX19" s="1757"/>
      <c r="BY19" s="1757"/>
      <c r="BZ19" s="1757"/>
      <c r="CA19" s="3"/>
      <c r="CK19" s="1513"/>
      <c r="CL19" s="1513"/>
      <c r="CM19" s="1513"/>
      <c r="CN19" s="1513"/>
      <c r="CO19" s="1513"/>
      <c r="CP19" s="1513"/>
      <c r="CQ19" s="1513"/>
      <c r="CR19" s="1513"/>
      <c r="CS19" s="1513"/>
      <c r="CT19" s="1513"/>
      <c r="CU19" s="1513"/>
      <c r="CV19" s="1513"/>
      <c r="CW19" s="1513"/>
      <c r="CX19" s="1513"/>
      <c r="CY19" s="1513"/>
      <c r="CZ19" s="1513"/>
      <c r="DA19" s="1513"/>
      <c r="DB19" s="1513"/>
      <c r="DC19" s="1513"/>
      <c r="DD19" s="1513"/>
      <c r="DE19" s="1513"/>
      <c r="DF19" s="1513"/>
      <c r="DG19" s="1513"/>
      <c r="DH19" s="1513"/>
      <c r="DI19" s="1513"/>
      <c r="DJ19" s="1513"/>
      <c r="DK19" s="1513"/>
      <c r="DL19" s="1513"/>
      <c r="DM19" s="1513"/>
      <c r="DN19" s="1513"/>
      <c r="DO19" s="1513"/>
      <c r="DP19" s="1513"/>
      <c r="DQ19" s="1513"/>
      <c r="DR19" s="1513"/>
      <c r="DS19" s="1513"/>
      <c r="DT19" s="1513"/>
      <c r="DU19" s="1513"/>
      <c r="DV19" s="1513"/>
      <c r="DW19" s="1513"/>
      <c r="DX19" s="1513"/>
      <c r="DY19" s="1513"/>
      <c r="DZ19" s="1513"/>
      <c r="EA19" s="1513"/>
      <c r="EB19" s="1513"/>
      <c r="EC19" s="1513"/>
      <c r="ED19" s="1513"/>
      <c r="EE19" s="1513"/>
      <c r="EF19" s="1513"/>
      <c r="EG19" s="1513"/>
      <c r="EH19" s="1513"/>
      <c r="EI19" s="1513"/>
      <c r="EJ19" s="1513"/>
      <c r="EK19" s="1513"/>
      <c r="EL19" s="1513"/>
      <c r="EM19" s="1513"/>
      <c r="EN19" s="1513"/>
      <c r="EO19" s="1513"/>
      <c r="EP19" s="1513"/>
      <c r="EQ19" s="1513"/>
      <c r="ER19" s="1513"/>
      <c r="ES19" s="1513"/>
      <c r="ET19" s="1513"/>
      <c r="EU19" s="1513"/>
      <c r="EV19" s="1513"/>
      <c r="EW19" s="1513"/>
      <c r="EX19" s="1513"/>
      <c r="EY19" s="1513"/>
      <c r="EZ19" s="1513"/>
      <c r="FA19" s="1513"/>
      <c r="FB19" s="1513"/>
      <c r="FC19" s="1513"/>
      <c r="FD19" s="1513"/>
      <c r="FE19" s="1513"/>
      <c r="FF19" s="1513"/>
      <c r="FG19" s="1513"/>
      <c r="FH19" s="1513"/>
      <c r="FI19" s="1513"/>
      <c r="FJ19" s="1513"/>
    </row>
    <row r="20" spans="1:166" ht="17.100000000000001" customHeight="1" x14ac:dyDescent="0.2">
      <c r="A20" s="3"/>
      <c r="B20" s="7"/>
      <c r="C20" s="5059"/>
      <c r="D20" s="5059"/>
      <c r="E20" s="5059"/>
      <c r="F20" s="3057" t="str">
        <f t="shared" ref="F20" si="11">IF(C20="","","to")</f>
        <v/>
      </c>
      <c r="G20" s="5059"/>
      <c r="H20" s="5059"/>
      <c r="I20" s="5059"/>
      <c r="J20" s="5060"/>
      <c r="K20" s="5061"/>
      <c r="L20" s="5062" t="str" cm="1">
        <f t="array" ref="L20">IF(J20=1,
_xlfn.IFS(
K19=$U$28,"day missed in",
K19=$U$29,"week missed in",
K19=$U$30,"month missed in",
TRUE,""
),
_xlfn.IFS(
K19=$U$28,"days missed in",
K19=$U$29,"weeks missed in",
K19=$U$30,"months missed in",
TRUE,""
)
)</f>
        <v>days missed in</v>
      </c>
      <c r="M20" s="5062"/>
      <c r="N20" s="5062"/>
      <c r="O20" s="5062"/>
      <c r="P20" s="5063" t="str" cm="1">
        <f t="array" ref="P20">_xlfn.IFS(
K19=$U$28,TEXT(S19,"#,##0")&amp;IF(S19=1," day"," days"),
K19=$U$29,TEXT(S19,"#,##0")&amp;IF(S19=1," week"," weeks"),
K19=$U$30,TEXT(S19,"#,##0")&amp;IF(S19=1," month"," months"),
TRUE,""
)</f>
        <v>0 days</v>
      </c>
      <c r="Q20" s="5063"/>
      <c r="R20" s="5063"/>
      <c r="S20" s="3061" cm="1">
        <f t="array" ref="S20">IF(G20=$U$25,
_xlfn.IFS(
OR(C20="",G20=""),0,
K19=$U$28,_xlfn.DAYS($U$26-J20,C20),
K19=$U$29,ROUNDDOWN((_xlfn.DAYS($U$26,C20)/7)-J20,0),
K19=$U$30,ROUNDDOWN((_xlfn.DAYS($U$26,C20)/31)-J20,0),
TRUE,""),
_xlfn.IFS(
OR(C20="",G20=""),0,
K19=$U$28,_xlfn.DAYS(G20-J20,C20),
K19=$U$29,ROUNDDOWN((_xlfn.DAYS(G20,C20)/7)-J20,0),
K19=$U$30,ROUNDDOWN((_xlfn.DAYS(G20,C20)/31)-J20,0),
TRUE,"")
)</f>
        <v>0</v>
      </c>
      <c r="T20" s="3155"/>
      <c r="U20" s="3159"/>
      <c r="V20" s="3064"/>
      <c r="W20" s="3064"/>
      <c r="X20" s="2871"/>
      <c r="Y20" s="2871"/>
      <c r="Z20" s="2871"/>
      <c r="AA20" s="2871"/>
      <c r="AB20" s="2871"/>
      <c r="AC20" s="2871"/>
      <c r="AD20" s="2871"/>
      <c r="AE20" s="2871"/>
      <c r="AF20" s="2871"/>
      <c r="AG20" s="2871"/>
      <c r="AH20" s="2871"/>
      <c r="AI20" s="2871"/>
      <c r="AJ20" s="2871"/>
      <c r="AK20" s="2871"/>
      <c r="AL20" s="2871"/>
      <c r="AM20" s="2871"/>
      <c r="AN20" s="2871"/>
      <c r="AO20" s="2871"/>
      <c r="AP20" s="2871"/>
      <c r="AQ20" s="2871"/>
      <c r="AR20" s="2871"/>
      <c r="AS20" s="2871"/>
      <c r="AT20" s="2871"/>
      <c r="AU20" s="2871"/>
      <c r="AV20" s="2871"/>
      <c r="AW20" s="2871"/>
      <c r="AX20" s="2871"/>
      <c r="AY20" s="2871"/>
      <c r="AZ20" s="2871"/>
      <c r="BA20" s="2871"/>
      <c r="BB20" s="2871"/>
      <c r="BC20" s="2871"/>
      <c r="BD20" s="2871"/>
      <c r="BE20" s="2871"/>
      <c r="BF20" s="2871"/>
      <c r="BG20" s="2871"/>
      <c r="BH20" s="2871"/>
      <c r="BI20" s="2871"/>
      <c r="BJ20" s="2871"/>
      <c r="BK20" s="2871"/>
      <c r="BL20" s="2871"/>
      <c r="BM20" s="2871"/>
      <c r="BN20" s="2871"/>
      <c r="BO20" s="2871"/>
      <c r="BP20" s="2984"/>
      <c r="BQ20" s="2871"/>
      <c r="BR20" s="2871"/>
      <c r="BS20" s="2871"/>
      <c r="BT20" s="2871"/>
      <c r="BU20" s="1757"/>
      <c r="BV20" s="1757"/>
      <c r="BW20" s="1757"/>
      <c r="BX20" s="1757"/>
      <c r="BY20" s="1757"/>
      <c r="BZ20" s="1757"/>
      <c r="CA20" s="3"/>
      <c r="CK20" s="1513"/>
      <c r="CL20" s="1513"/>
      <c r="CM20" s="1513"/>
      <c r="CN20" s="1513"/>
      <c r="CO20" s="1513"/>
      <c r="CP20" s="1513"/>
      <c r="CQ20" s="1513"/>
      <c r="CR20" s="1513"/>
      <c r="CS20" s="1513"/>
      <c r="CT20" s="1513"/>
      <c r="CU20" s="1513"/>
      <c r="CV20" s="1513"/>
      <c r="CW20" s="1513"/>
      <c r="CX20" s="1513"/>
      <c r="CY20" s="1513"/>
      <c r="CZ20" s="1513"/>
      <c r="DA20" s="1513"/>
      <c r="DB20" s="1513"/>
      <c r="DC20" s="1513"/>
      <c r="DD20" s="1513"/>
      <c r="DE20" s="1513"/>
      <c r="DF20" s="1513"/>
      <c r="DG20" s="1513"/>
      <c r="DH20" s="1513"/>
      <c r="DI20" s="1513"/>
      <c r="DJ20" s="1513"/>
      <c r="DK20" s="1513"/>
      <c r="DL20" s="1513"/>
      <c r="DM20" s="1513"/>
      <c r="DN20" s="1513"/>
      <c r="DO20" s="1513"/>
      <c r="DP20" s="1513"/>
      <c r="DQ20" s="1513"/>
      <c r="DR20" s="1513"/>
      <c r="DS20" s="1513"/>
      <c r="DT20" s="1513"/>
      <c r="DU20" s="1513"/>
      <c r="DV20" s="1513"/>
      <c r="DW20" s="1513"/>
      <c r="DX20" s="1513"/>
      <c r="DY20" s="1513"/>
      <c r="DZ20" s="1513"/>
      <c r="EA20" s="1513"/>
      <c r="EB20" s="1513"/>
      <c r="EC20" s="1513"/>
      <c r="ED20" s="1513"/>
      <c r="EE20" s="1513"/>
      <c r="EF20" s="1513"/>
      <c r="EG20" s="1513"/>
      <c r="EH20" s="1513"/>
      <c r="EI20" s="1513"/>
      <c r="EJ20" s="1513"/>
      <c r="EK20" s="1513"/>
      <c r="EL20" s="1513"/>
      <c r="EM20" s="1513"/>
      <c r="EN20" s="1513"/>
      <c r="EO20" s="1513"/>
      <c r="EP20" s="1513"/>
      <c r="EQ20" s="1513"/>
      <c r="ER20" s="1513"/>
      <c r="ES20" s="1513"/>
      <c r="ET20" s="1513"/>
      <c r="EU20" s="1513"/>
      <c r="EV20" s="1513"/>
      <c r="EW20" s="1513"/>
      <c r="EX20" s="1513"/>
      <c r="EY20" s="1513"/>
      <c r="EZ20" s="1513"/>
      <c r="FA20" s="1513"/>
      <c r="FB20" s="1513"/>
      <c r="FC20" s="1513"/>
      <c r="FD20" s="1513"/>
      <c r="FE20" s="1513"/>
      <c r="FF20" s="1513"/>
      <c r="FG20" s="1513"/>
      <c r="FH20" s="1513"/>
      <c r="FI20" s="1513"/>
      <c r="FJ20" s="1513"/>
    </row>
    <row r="21" spans="1:166" ht="17.100000000000001" customHeight="1" x14ac:dyDescent="0.25">
      <c r="A21" s="3"/>
      <c r="B21" s="7"/>
      <c r="C21" s="5065"/>
      <c r="D21" s="5065"/>
      <c r="E21" s="5065"/>
      <c r="F21" s="5065"/>
      <c r="G21" s="5065"/>
      <c r="H21" s="5065"/>
      <c r="I21" s="5065"/>
      <c r="J21" s="5065"/>
      <c r="K21" s="3113" t="s">
        <v>44</v>
      </c>
      <c r="L21" s="5057">
        <f t="shared" ref="L21" si="12">IFERROR(IF(OR(C22="",G22=""),0,S22/S21),"?")</f>
        <v>0</v>
      </c>
      <c r="M21" s="5057"/>
      <c r="N21" s="3056" t="str">
        <f t="shared" ref="N21" si="13">IF(J22&gt;=1,"of","")</f>
        <v/>
      </c>
      <c r="O21" s="5058" t="str" cm="1">
        <f t="array" ref="O21">_xlfn.IFS(
OR(K21=$U$28,K21=""),
_xlfn.IFS(
S21&gt;=402,ROUNDDOWN(S21/365,1)&amp;" years",
AND(S21&gt;=365,S21&lt;402),ROUNDDOWN(S21/365,1)&amp;" year",
AND(S21&gt;=34,S21&lt;365),ROUNDDOWN(S21/(365/12),1)&amp;" mths",
AND(S21&gt;=31,S21&lt;34),ROUNDDOWN(S21/(365/12),1)&amp;" month",
AND(S21&gt;=4,S21&lt;31),ROUNDDOWN(S21/(365/12),1)&amp;" mths",
TRUE,S21*24&amp;" hours"),
K21=$U$29,
_xlfn.IFS(
S21&gt;=58,ROUNDDOWN(S21/52,1)&amp;" years",
AND(S21&gt;=52,S21&lt;58),ROUNDDOWN(S21/52,1)&amp;" year",
AND(S21&gt;=5,S21&lt;52),ROUNDDOWN(S21/(53/12),1)&amp;" mths",
AND(S21&gt;=2,S21&lt;5),S21&amp;" weeks",
S21=1,S21&amp;" week",
TRUE,S21&amp;" weeks"),
K21=$U$30,
_xlfn.IFS(
OR(S21=12,S21=13),ROUNDDOWN(S21/12,1)&amp;" year",
TRUE,ROUNDDOWN(S21/12,1)&amp;" years"),
TRUE,""
)</f>
        <v>0 hours</v>
      </c>
      <c r="P21" s="5058"/>
      <c r="Q21" s="5058"/>
      <c r="R21" s="5058"/>
      <c r="S21" s="3060" cm="1">
        <f t="array" ref="S21">IF(OR(C22="",G22=""),0,
IF(G22=$U$25,
_xlfn.IFS(
OR(K21=$U$28,K21=""),_xlfn.DAYS($U$26,C22),
K21=$U$29,ROUNDDOWN(_xlfn.DAYS($U$26,C22)/7,0),
K21=$U$30,ROUNDDOWN(_xlfn.DAYS($U$26,C22)/31,0),
TRUE,""),
_xlfn.IFS(
OR(K21=$U$28,K21=""),_xlfn.DAYS(G22,C22),
K21=$U$29,ROUNDDOWN(_xlfn.DAYS(G22,C22)/7,0),
K21=$U$30,ROUNDDOWN(_xlfn.DAYS(G22,C22)/31,0),
TRUE,"")
)
)</f>
        <v>0</v>
      </c>
      <c r="T21" s="3155"/>
      <c r="U21" s="1759"/>
      <c r="V21" s="3064"/>
      <c r="W21" s="3064"/>
      <c r="X21" s="2871"/>
      <c r="Y21" s="2871"/>
      <c r="Z21" s="2871"/>
      <c r="AA21" s="2871"/>
      <c r="AB21" s="2871"/>
      <c r="AC21" s="2871"/>
      <c r="AD21" s="2871"/>
      <c r="AE21" s="2871"/>
      <c r="AF21" s="2871"/>
      <c r="AG21" s="2871"/>
      <c r="AH21" s="2871"/>
      <c r="AI21" s="2871"/>
      <c r="AJ21" s="2871"/>
      <c r="AK21" s="2871"/>
      <c r="AL21" s="2871"/>
      <c r="AM21" s="2871"/>
      <c r="AN21" s="2871"/>
      <c r="AO21" s="2871"/>
      <c r="AP21" s="2871"/>
      <c r="AQ21" s="2871"/>
      <c r="AR21" s="2871"/>
      <c r="AS21" s="2871"/>
      <c r="AT21" s="2871"/>
      <c r="AU21" s="2871"/>
      <c r="AV21" s="2871"/>
      <c r="AW21" s="2871"/>
      <c r="AX21" s="2871"/>
      <c r="AY21" s="2871"/>
      <c r="AZ21" s="2871"/>
      <c r="BA21" s="2871"/>
      <c r="BB21" s="2871"/>
      <c r="BC21" s="2871"/>
      <c r="BD21" s="2871"/>
      <c r="BE21" s="2871"/>
      <c r="BF21" s="2871"/>
      <c r="BG21" s="2871"/>
      <c r="BH21" s="2871"/>
      <c r="BI21" s="2871"/>
      <c r="BJ21" s="2871"/>
      <c r="BK21" s="2871"/>
      <c r="BL21" s="2871"/>
      <c r="BM21" s="2871"/>
      <c r="BN21" s="2871"/>
      <c r="BO21" s="2871"/>
      <c r="BP21" s="2984"/>
      <c r="BQ21" s="2871"/>
      <c r="BR21" s="2871"/>
      <c r="BS21" s="2871"/>
      <c r="BT21" s="2871"/>
      <c r="BU21" s="1757"/>
      <c r="BV21" s="1757"/>
      <c r="BW21" s="1757"/>
      <c r="BX21" s="1757"/>
      <c r="BY21" s="1757"/>
      <c r="BZ21" s="1757"/>
      <c r="CA21" s="3"/>
      <c r="CK21" s="1513"/>
      <c r="CL21" s="1513"/>
      <c r="CM21" s="1513"/>
      <c r="CN21" s="1513"/>
      <c r="CO21" s="1513"/>
      <c r="CP21" s="1513"/>
      <c r="CQ21" s="1513"/>
      <c r="CR21" s="1513"/>
      <c r="CS21" s="1513"/>
      <c r="CT21" s="1513"/>
      <c r="CU21" s="1513"/>
      <c r="CV21" s="1513"/>
      <c r="CW21" s="1513"/>
      <c r="CX21" s="1513"/>
      <c r="CY21" s="1513"/>
      <c r="CZ21" s="1513"/>
      <c r="DA21" s="1513"/>
      <c r="DB21" s="1513"/>
      <c r="DC21" s="1513"/>
      <c r="DD21" s="1513"/>
      <c r="DE21" s="1513"/>
      <c r="DF21" s="1513"/>
      <c r="DG21" s="1513"/>
      <c r="DH21" s="1513"/>
      <c r="DI21" s="1513"/>
      <c r="DJ21" s="1513"/>
      <c r="DK21" s="1513"/>
      <c r="DL21" s="1513"/>
      <c r="DM21" s="1513"/>
      <c r="DN21" s="1513"/>
      <c r="DO21" s="1513"/>
      <c r="DP21" s="1513"/>
      <c r="DQ21" s="1513"/>
      <c r="DR21" s="1513"/>
      <c r="DS21" s="1513"/>
      <c r="DT21" s="1513"/>
      <c r="DU21" s="1513"/>
      <c r="DV21" s="1513"/>
      <c r="DW21" s="1513"/>
      <c r="DX21" s="1513"/>
      <c r="DY21" s="1513"/>
      <c r="DZ21" s="1513"/>
      <c r="EA21" s="1513"/>
      <c r="EB21" s="1513"/>
      <c r="EC21" s="1513"/>
      <c r="ED21" s="1513"/>
      <c r="EE21" s="1513"/>
      <c r="EF21" s="1513"/>
      <c r="EG21" s="1513"/>
      <c r="EH21" s="1513"/>
      <c r="EI21" s="1513"/>
      <c r="EJ21" s="1513"/>
      <c r="EK21" s="1513"/>
      <c r="EL21" s="1513"/>
      <c r="EM21" s="1513"/>
      <c r="EN21" s="1513"/>
      <c r="EO21" s="1513"/>
      <c r="EP21" s="1513"/>
      <c r="EQ21" s="1513"/>
      <c r="ER21" s="1513"/>
      <c r="ES21" s="1513"/>
      <c r="ET21" s="1513"/>
      <c r="EU21" s="1513"/>
      <c r="EV21" s="1513"/>
      <c r="EW21" s="1513"/>
      <c r="EX21" s="1513"/>
      <c r="EY21" s="1513"/>
      <c r="EZ21" s="1513"/>
      <c r="FA21" s="1513"/>
      <c r="FB21" s="1513"/>
      <c r="FC21" s="1513"/>
      <c r="FD21" s="1513"/>
      <c r="FE21" s="1513"/>
      <c r="FF21" s="1513"/>
      <c r="FG21" s="1513"/>
      <c r="FH21" s="1513"/>
      <c r="FI21" s="1513"/>
      <c r="FJ21" s="1513"/>
    </row>
    <row r="22" spans="1:166" ht="17.100000000000001" customHeight="1" x14ac:dyDescent="0.2">
      <c r="A22" s="3"/>
      <c r="B22" s="7"/>
      <c r="C22" s="5059"/>
      <c r="D22" s="5059"/>
      <c r="E22" s="5059"/>
      <c r="F22" s="3057" t="str">
        <f t="shared" ref="F22" si="14">IF(C22="","","to")</f>
        <v/>
      </c>
      <c r="G22" s="5059" t="s">
        <v>1906</v>
      </c>
      <c r="H22" s="5059"/>
      <c r="I22" s="5059"/>
      <c r="J22" s="5060"/>
      <c r="K22" s="5061"/>
      <c r="L22" s="5062" t="str" cm="1">
        <f t="array" ref="L22">IF(J22=1,
_xlfn.IFS(
K21=$U$28,"day missed in",
K21=$U$29,"week missed in",
K21=$U$30,"month missed in",
TRUE,""
),
_xlfn.IFS(
K21=$U$28,"days missed in",
K21=$U$29,"weeks missed in",
K21=$U$30,"months missed in",
TRUE,""
)
)</f>
        <v>days missed in</v>
      </c>
      <c r="M22" s="5062"/>
      <c r="N22" s="5062"/>
      <c r="O22" s="5062"/>
      <c r="P22" s="5063" t="str" cm="1">
        <f t="array" ref="P22">_xlfn.IFS(
K21=$U$28,TEXT(S21,"#,##0")&amp;IF(S21=1," day"," days"),
K21=$U$29,TEXT(S21,"#,##0")&amp;IF(S21=1," week"," weeks"),
K21=$U$30,TEXT(S21,"#,##0")&amp;IF(S21=1," month"," months"),
TRUE,""
)</f>
        <v>0 days</v>
      </c>
      <c r="Q22" s="5063"/>
      <c r="R22" s="5063"/>
      <c r="S22" s="3061" cm="1">
        <f t="array" aca="1" ref="S22" ca="1">IF(G22=$U$25,
_xlfn.IFS(
OR(C22="",G22=""),0,
K21=$U$28,_xlfn.DAYS($U$26-J22,C22),
K21=$U$29,ROUNDDOWN((_xlfn.DAYS($U$26,C22)/7)-J22,0),
K21=$U$30,ROUNDDOWN((_xlfn.DAYS($U$26,C22)/31)-J22,0),
TRUE,""),
_xlfn.IFS(
OR(C22="",G22=""),0,
K21=$U$28,_xlfn.DAYS(G22-J22,C22),
K21=$U$29,ROUNDDOWN((_xlfn.DAYS(G22,C22)/7)-J22,0),
K21=$U$30,ROUNDDOWN((_xlfn.DAYS(G22,C22)/31)-J22,0),
TRUE,"")
)</f>
        <v>0</v>
      </c>
      <c r="T22" s="3155"/>
      <c r="U22" s="1759"/>
      <c r="V22" s="3064"/>
      <c r="W22" s="3064"/>
      <c r="X22" s="2871"/>
      <c r="Y22" s="2871"/>
      <c r="Z22" s="2871"/>
      <c r="AA22" s="2871"/>
      <c r="AB22" s="2871"/>
      <c r="AC22" s="2871"/>
      <c r="AD22" s="2871"/>
      <c r="AE22" s="2871"/>
      <c r="AF22" s="2871"/>
      <c r="AG22" s="2871"/>
      <c r="AH22" s="2871"/>
      <c r="AI22" s="2871"/>
      <c r="AJ22" s="2871"/>
      <c r="AK22" s="2871"/>
      <c r="AL22" s="2871"/>
      <c r="AM22" s="2871"/>
      <c r="AN22" s="2871"/>
      <c r="AO22" s="2871"/>
      <c r="AP22" s="2871"/>
      <c r="AQ22" s="2871"/>
      <c r="AR22" s="2871"/>
      <c r="AS22" s="2871"/>
      <c r="AT22" s="2871"/>
      <c r="AU22" s="2871"/>
      <c r="AV22" s="2871"/>
      <c r="AW22" s="2871"/>
      <c r="AX22" s="2871"/>
      <c r="AY22" s="2871"/>
      <c r="AZ22" s="2871"/>
      <c r="BA22" s="2871"/>
      <c r="BB22" s="2871"/>
      <c r="BC22" s="2871"/>
      <c r="BD22" s="2871"/>
      <c r="BE22" s="2871"/>
      <c r="BF22" s="2871"/>
      <c r="BG22" s="2871"/>
      <c r="BH22" s="2871"/>
      <c r="BI22" s="2871"/>
      <c r="BJ22" s="2871"/>
      <c r="BK22" s="2871"/>
      <c r="BL22" s="2871"/>
      <c r="BM22" s="2871"/>
      <c r="BN22" s="2871"/>
      <c r="BO22" s="2871"/>
      <c r="BP22" s="2984"/>
      <c r="BQ22" s="2871"/>
      <c r="BR22" s="2871"/>
      <c r="BS22" s="2871"/>
      <c r="BT22" s="2871"/>
      <c r="BU22" s="1757"/>
      <c r="BV22" s="1757"/>
      <c r="BW22" s="1757"/>
      <c r="BX22" s="1757"/>
      <c r="BY22" s="1757"/>
      <c r="BZ22" s="1757"/>
      <c r="CA22" s="3"/>
      <c r="CK22" s="1513"/>
      <c r="CL22" s="1513"/>
      <c r="CM22" s="1513"/>
      <c r="CN22" s="1513"/>
      <c r="CO22" s="1513"/>
      <c r="CP22" s="1513"/>
      <c r="CQ22" s="1513"/>
      <c r="CR22" s="1513"/>
      <c r="CS22" s="1513"/>
      <c r="CT22" s="1513"/>
      <c r="CU22" s="1513"/>
      <c r="CV22" s="1513"/>
      <c r="CW22" s="1513"/>
      <c r="CX22" s="1513"/>
      <c r="CY22" s="1513"/>
      <c r="CZ22" s="1513"/>
      <c r="DA22" s="1513"/>
      <c r="DB22" s="1513"/>
      <c r="DC22" s="1513"/>
      <c r="DD22" s="1513"/>
      <c r="DE22" s="1513"/>
      <c r="DF22" s="1513"/>
      <c r="DG22" s="1513"/>
      <c r="DH22" s="1513"/>
      <c r="DI22" s="1513"/>
      <c r="DJ22" s="1513"/>
      <c r="DK22" s="1513"/>
      <c r="DL22" s="1513"/>
      <c r="DM22" s="1513"/>
      <c r="DN22" s="1513"/>
      <c r="DO22" s="1513"/>
      <c r="DP22" s="1513"/>
      <c r="DQ22" s="1513"/>
      <c r="DR22" s="1513"/>
      <c r="DS22" s="1513"/>
      <c r="DT22" s="1513"/>
      <c r="DU22" s="1513"/>
      <c r="DV22" s="1513"/>
      <c r="DW22" s="1513"/>
      <c r="DX22" s="1513"/>
      <c r="DY22" s="1513"/>
      <c r="DZ22" s="1513"/>
      <c r="EA22" s="1513"/>
      <c r="EB22" s="1513"/>
      <c r="EC22" s="1513"/>
      <c r="ED22" s="1513"/>
      <c r="EE22" s="1513"/>
      <c r="EF22" s="1513"/>
      <c r="EG22" s="1513"/>
      <c r="EH22" s="1513"/>
      <c r="EI22" s="1513"/>
      <c r="EJ22" s="1513"/>
      <c r="EK22" s="1513"/>
      <c r="EL22" s="1513"/>
      <c r="EM22" s="1513"/>
      <c r="EN22" s="1513"/>
      <c r="EO22" s="1513"/>
      <c r="EP22" s="1513"/>
      <c r="EQ22" s="1513"/>
      <c r="ER22" s="1513"/>
      <c r="ES22" s="1513"/>
      <c r="ET22" s="1513"/>
      <c r="EU22" s="1513"/>
      <c r="EV22" s="1513"/>
      <c r="EW22" s="1513"/>
      <c r="EX22" s="1513"/>
      <c r="EY22" s="1513"/>
      <c r="EZ22" s="1513"/>
      <c r="FA22" s="1513"/>
      <c r="FB22" s="1513"/>
      <c r="FC22" s="1513"/>
      <c r="FD22" s="1513"/>
      <c r="FE22" s="1513"/>
      <c r="FF22" s="1513"/>
      <c r="FG22" s="1513"/>
      <c r="FH22" s="1513"/>
      <c r="FI22" s="1513"/>
      <c r="FJ22" s="1513"/>
    </row>
    <row r="23" spans="1:166" ht="17.100000000000001" customHeight="1" x14ac:dyDescent="0.25">
      <c r="A23" s="3"/>
      <c r="B23" s="7"/>
      <c r="C23" s="5065"/>
      <c r="D23" s="5065"/>
      <c r="E23" s="5065"/>
      <c r="F23" s="5065"/>
      <c r="G23" s="5065"/>
      <c r="H23" s="5065"/>
      <c r="I23" s="5065"/>
      <c r="J23" s="5065"/>
      <c r="K23" s="3113" t="s">
        <v>45</v>
      </c>
      <c r="L23" s="5057">
        <f t="shared" ref="L23" si="15">IFERROR(IF(OR(C24="",G24=""),0,S24/S23),"?")</f>
        <v>0</v>
      </c>
      <c r="M23" s="5057"/>
      <c r="N23" s="3056" t="str">
        <f t="shared" ref="N23" si="16">IF(J24&gt;=1,"of","")</f>
        <v/>
      </c>
      <c r="O23" s="5058" t="str" cm="1">
        <f t="array" ref="O23">_xlfn.IFS(
OR(K23=$U$28,K23=""),
_xlfn.IFS(
S23&gt;=402,ROUNDDOWN(S23/365,1)&amp;" years",
AND(S23&gt;=365,S23&lt;402),ROUNDDOWN(S23/365,1)&amp;" year",
AND(S23&gt;=34,S23&lt;365),ROUNDDOWN(S23/(365/12),1)&amp;" mths",
AND(S23&gt;=31,S23&lt;34),ROUNDDOWN(S23/(365/12),1)&amp;" month",
AND(S23&gt;=4,S23&lt;31),ROUNDDOWN(S23/(365/12),1)&amp;" mths",
TRUE,S23*24&amp;" hours"),
K23=$U$29,
_xlfn.IFS(
S23&gt;=58,ROUNDDOWN(S23/52,1)&amp;" years",
AND(S23&gt;=52,S23&lt;58),ROUNDDOWN(S23/52,1)&amp;" year",
AND(S23&gt;=5,S23&lt;52),ROUNDDOWN(S23/(53/12),1)&amp;" mths",
AND(S23&gt;=2,S23&lt;5),S23&amp;" weeks",
S23=1,S23&amp;" week",
TRUE,S23&amp;" weeks"),
K23=$U$30,
_xlfn.IFS(
OR(S23=12,S23=13),ROUNDDOWN(S23/12,1)&amp;" year",
TRUE,ROUNDDOWN(S23/12,1)&amp;" years"),
TRUE,""
)</f>
        <v>0 weeks</v>
      </c>
      <c r="P23" s="5058"/>
      <c r="Q23" s="5058"/>
      <c r="R23" s="5058"/>
      <c r="S23" s="3060" cm="1">
        <f t="array" ref="S23">IF(OR(C24="",G24=""),0,
IF(G24=$U$25,
_xlfn.IFS(
OR(K23=$U$28,K23=""),_xlfn.DAYS($U$26,C24),
K23=$U$29,ROUNDDOWN(_xlfn.DAYS($U$26,C24)/7,0),
K23=$U$30,ROUNDDOWN(_xlfn.DAYS($U$26,C24)/31,0),
TRUE,""),
_xlfn.IFS(
OR(K23=$U$28,K23=""),_xlfn.DAYS(G24,C24),
K23=$U$29,ROUNDDOWN(_xlfn.DAYS(G24,C24)/7,0),
K23=$U$30,ROUNDDOWN(_xlfn.DAYS(G24,C24)/31,0),
TRUE,"")
)
)</f>
        <v>0</v>
      </c>
      <c r="T23" s="3155"/>
      <c r="U23" s="1759"/>
      <c r="V23" s="3064"/>
      <c r="W23" s="3064"/>
      <c r="X23" s="2871"/>
      <c r="Y23" s="2871"/>
      <c r="Z23" s="2871"/>
      <c r="AA23" s="2871"/>
      <c r="AB23" s="2871"/>
      <c r="AC23" s="2871"/>
      <c r="AD23" s="2871"/>
      <c r="AE23" s="2871"/>
      <c r="AF23" s="2871"/>
      <c r="AG23" s="2871"/>
      <c r="AH23" s="2871"/>
      <c r="AI23" s="2871"/>
      <c r="AJ23" s="2871"/>
      <c r="AK23" s="2871"/>
      <c r="AL23" s="2871"/>
      <c r="AM23" s="2871"/>
      <c r="AN23" s="2871"/>
      <c r="AO23" s="2871"/>
      <c r="AP23" s="2871"/>
      <c r="AQ23" s="2871"/>
      <c r="AR23" s="2871"/>
      <c r="AS23" s="2871"/>
      <c r="AT23" s="2871"/>
      <c r="AU23" s="2871"/>
      <c r="AV23" s="2871"/>
      <c r="AW23" s="2871"/>
      <c r="AX23" s="2871"/>
      <c r="AY23" s="2871"/>
      <c r="AZ23" s="2871"/>
      <c r="BA23" s="2871"/>
      <c r="BB23" s="2871"/>
      <c r="BC23" s="2871"/>
      <c r="BD23" s="2871"/>
      <c r="BE23" s="2871"/>
      <c r="BF23" s="2871"/>
      <c r="BG23" s="2871"/>
      <c r="BH23" s="2871"/>
      <c r="BI23" s="2871"/>
      <c r="BJ23" s="2871"/>
      <c r="BK23" s="2871"/>
      <c r="BL23" s="2871"/>
      <c r="BM23" s="2871"/>
      <c r="BN23" s="2871"/>
      <c r="BO23" s="2871"/>
      <c r="BP23" s="2984"/>
      <c r="BQ23" s="2871"/>
      <c r="BR23" s="2871"/>
      <c r="BS23" s="2871"/>
      <c r="BT23" s="2871"/>
      <c r="BU23" s="1757"/>
      <c r="BV23" s="1757"/>
      <c r="BW23" s="1757"/>
      <c r="BX23" s="1757"/>
      <c r="BY23" s="1757"/>
      <c r="BZ23" s="1757"/>
      <c r="CA23" s="3"/>
      <c r="CK23" s="1513"/>
      <c r="CL23" s="1513"/>
      <c r="CM23" s="1513"/>
      <c r="CN23" s="1513"/>
      <c r="CO23" s="1513"/>
      <c r="CP23" s="1513"/>
      <c r="CQ23" s="1513"/>
      <c r="CR23" s="1513"/>
      <c r="CS23" s="1513"/>
      <c r="CT23" s="1513"/>
      <c r="CU23" s="1513"/>
      <c r="CV23" s="1513"/>
      <c r="CW23" s="1513"/>
      <c r="CX23" s="1513"/>
      <c r="CY23" s="1513"/>
      <c r="CZ23" s="1513"/>
      <c r="DA23" s="1513"/>
      <c r="DB23" s="1513"/>
      <c r="DC23" s="1513"/>
      <c r="DD23" s="1513"/>
      <c r="DE23" s="1513"/>
      <c r="DF23" s="1513"/>
      <c r="DG23" s="1513"/>
      <c r="DH23" s="1513"/>
      <c r="DI23" s="1513"/>
      <c r="DJ23" s="1513"/>
      <c r="DK23" s="1513"/>
      <c r="DL23" s="1513"/>
      <c r="DM23" s="1513"/>
      <c r="DN23" s="1513"/>
      <c r="DO23" s="1513"/>
      <c r="DP23" s="1513"/>
      <c r="DQ23" s="1513"/>
      <c r="DR23" s="1513"/>
      <c r="DS23" s="1513"/>
      <c r="DT23" s="1513"/>
      <c r="DU23" s="1513"/>
      <c r="DV23" s="1513"/>
      <c r="DW23" s="1513"/>
      <c r="DX23" s="1513"/>
      <c r="DY23" s="1513"/>
      <c r="DZ23" s="1513"/>
      <c r="EA23" s="1513"/>
      <c r="EB23" s="1513"/>
      <c r="EC23" s="1513"/>
      <c r="ED23" s="1513"/>
      <c r="EE23" s="1513"/>
      <c r="EF23" s="1513"/>
      <c r="EG23" s="1513"/>
      <c r="EH23" s="1513"/>
      <c r="EI23" s="1513"/>
      <c r="EJ23" s="1513"/>
      <c r="EK23" s="1513"/>
      <c r="EL23" s="1513"/>
      <c r="EM23" s="1513"/>
      <c r="EN23" s="1513"/>
      <c r="EO23" s="1513"/>
      <c r="EP23" s="1513"/>
      <c r="EQ23" s="1513"/>
      <c r="ER23" s="1513"/>
      <c r="ES23" s="1513"/>
      <c r="ET23" s="1513"/>
      <c r="EU23" s="1513"/>
      <c r="EV23" s="1513"/>
      <c r="EW23" s="1513"/>
      <c r="EX23" s="1513"/>
      <c r="EY23" s="1513"/>
      <c r="EZ23" s="1513"/>
      <c r="FA23" s="1513"/>
      <c r="FB23" s="1513"/>
      <c r="FC23" s="1513"/>
      <c r="FD23" s="1513"/>
      <c r="FE23" s="1513"/>
      <c r="FF23" s="1513"/>
      <c r="FG23" s="1513"/>
      <c r="FH23" s="1513"/>
      <c r="FI23" s="1513"/>
      <c r="FJ23" s="1513"/>
    </row>
    <row r="24" spans="1:166" ht="17.100000000000001" customHeight="1" x14ac:dyDescent="0.15">
      <c r="A24" s="3"/>
      <c r="B24" s="7"/>
      <c r="C24" s="5059"/>
      <c r="D24" s="5059"/>
      <c r="E24" s="5059"/>
      <c r="F24" s="3057" t="str">
        <f t="shared" ref="F24" si="17">IF(C24="","","to")</f>
        <v/>
      </c>
      <c r="G24" s="5059"/>
      <c r="H24" s="5059"/>
      <c r="I24" s="5059"/>
      <c r="J24" s="5060"/>
      <c r="K24" s="5061"/>
      <c r="L24" s="5062" t="str" cm="1">
        <f t="array" ref="L24">IF(J24=1,
_xlfn.IFS(
K23=$U$28,"day missed in",
K23=$U$29,"week missed in",
K23=$U$30,"month missed in",
TRUE,""
),
_xlfn.IFS(
K23=$U$28,"days missed in",
K23=$U$29,"weeks missed in",
K23=$U$30,"months missed in",
TRUE,""
)
)</f>
        <v>weeks missed in</v>
      </c>
      <c r="M24" s="5062"/>
      <c r="N24" s="5062"/>
      <c r="O24" s="5062"/>
      <c r="P24" s="5063" t="str" cm="1">
        <f t="array" ref="P24">_xlfn.IFS(
K23=$U$28,TEXT(S23,"#,##0")&amp;IF(S23=1," day"," days"),
K23=$U$29,TEXT(S23,"#,##0")&amp;IF(S23=1," week"," weeks"),
K23=$U$30,TEXT(S23,"#,##0")&amp;IF(S23=1," month"," months"),
TRUE,""
)</f>
        <v>0 weeks</v>
      </c>
      <c r="Q24" s="5063"/>
      <c r="R24" s="5063"/>
      <c r="S24" s="3061" cm="1">
        <f t="array" ref="S24">IF(G24=$U$25,
_xlfn.IFS(
OR(C24="",G24=""),0,
K23=$U$28,_xlfn.DAYS($U$26-J24,C24),
K23=$U$29,ROUNDDOWN((_xlfn.DAYS($U$26,C24)/7)-J24,0),
K23=$U$30,ROUNDDOWN((_xlfn.DAYS($U$26,C24)/31)-J24,0),
TRUE,""),
_xlfn.IFS(
OR(C24="",G24=""),0,
K23=$U$28,_xlfn.DAYS(G24-J24,C24),
K23=$U$29,ROUNDDOWN((_xlfn.DAYS(G24,C24)/7)-J24,0),
K23=$U$30,ROUNDDOWN((_xlfn.DAYS(G24,C24)/31)-J24,0),
TRUE,"")
)</f>
        <v>0</v>
      </c>
      <c r="T24" s="3163"/>
      <c r="U24" s="3156">
        <v>62</v>
      </c>
      <c r="V24" s="3160"/>
      <c r="W24" s="3064"/>
      <c r="X24" s="2871"/>
      <c r="Y24" s="2871"/>
      <c r="Z24" s="2871"/>
      <c r="AA24" s="2871"/>
      <c r="AB24" s="2871"/>
      <c r="AC24" s="2871"/>
      <c r="AD24" s="2871"/>
      <c r="AE24" s="2871"/>
      <c r="AF24" s="2871"/>
      <c r="AG24" s="2871"/>
      <c r="AH24" s="2871"/>
      <c r="AI24" s="2871"/>
      <c r="AJ24" s="2871"/>
      <c r="AK24" s="2871"/>
      <c r="AL24" s="2871"/>
      <c r="AM24" s="2871"/>
      <c r="AN24" s="2871"/>
      <c r="AO24" s="2871"/>
      <c r="AP24" s="2871"/>
      <c r="AQ24" s="2871"/>
      <c r="AR24" s="2871"/>
      <c r="AS24" s="2871"/>
      <c r="AT24" s="2871"/>
      <c r="AU24" s="2871"/>
      <c r="AV24" s="2871"/>
      <c r="AW24" s="2871"/>
      <c r="AX24" s="2871"/>
      <c r="AY24" s="2871"/>
      <c r="AZ24" s="2871"/>
      <c r="BA24" s="2871"/>
      <c r="BB24" s="2871"/>
      <c r="BC24" s="2871"/>
      <c r="BD24" s="2871"/>
      <c r="BE24" s="2871"/>
      <c r="BF24" s="2871"/>
      <c r="BG24" s="2871"/>
      <c r="BH24" s="2871"/>
      <c r="BI24" s="2871"/>
      <c r="BJ24" s="2871"/>
      <c r="BK24" s="2871"/>
      <c r="BL24" s="2871"/>
      <c r="BM24" s="2871"/>
      <c r="BN24" s="2871"/>
      <c r="BO24" s="2871"/>
      <c r="BP24" s="2984"/>
      <c r="BQ24" s="2871"/>
      <c r="BR24" s="2871"/>
      <c r="BS24" s="2871"/>
      <c r="BT24" s="2871"/>
      <c r="BU24" s="1757"/>
      <c r="BV24" s="1757"/>
      <c r="BW24" s="1757"/>
      <c r="BX24" s="1757"/>
      <c r="BY24" s="1757"/>
      <c r="BZ24" s="1757"/>
      <c r="CA24" s="3"/>
      <c r="CK24" s="1513"/>
      <c r="CL24" s="1513"/>
      <c r="CM24" s="1513"/>
      <c r="CN24" s="1513"/>
      <c r="CO24" s="1513"/>
      <c r="CP24" s="1513"/>
      <c r="CQ24" s="1513"/>
      <c r="CR24" s="1513"/>
      <c r="CS24" s="1513"/>
      <c r="CT24" s="1513"/>
      <c r="CU24" s="1513"/>
      <c r="CV24" s="1513"/>
      <c r="CW24" s="1513"/>
      <c r="CX24" s="1513"/>
      <c r="CY24" s="1513"/>
      <c r="CZ24" s="1513"/>
      <c r="DA24" s="1513"/>
      <c r="DB24" s="1513"/>
      <c r="DC24" s="1513"/>
      <c r="DD24" s="1513"/>
      <c r="DE24" s="1513"/>
      <c r="DF24" s="1513"/>
      <c r="DG24" s="1513"/>
      <c r="DH24" s="1513"/>
      <c r="DI24" s="1513"/>
      <c r="DJ24" s="1513"/>
      <c r="DK24" s="1513"/>
      <c r="DL24" s="1513"/>
      <c r="DM24" s="1513"/>
      <c r="DN24" s="1513"/>
      <c r="DO24" s="1513"/>
      <c r="DP24" s="1513"/>
      <c r="DQ24" s="1513"/>
      <c r="DR24" s="1513"/>
      <c r="DS24" s="1513"/>
      <c r="DT24" s="1513"/>
      <c r="DU24" s="1513"/>
      <c r="DV24" s="1513"/>
      <c r="DW24" s="1513"/>
      <c r="DX24" s="1513"/>
      <c r="DY24" s="1513"/>
      <c r="DZ24" s="1513"/>
      <c r="EA24" s="1513"/>
      <c r="EB24" s="1513"/>
      <c r="EC24" s="1513"/>
      <c r="ED24" s="1513"/>
      <c r="EE24" s="1513"/>
      <c r="EF24" s="1513"/>
      <c r="EG24" s="1513"/>
      <c r="EH24" s="1513"/>
      <c r="EI24" s="1513"/>
      <c r="EJ24" s="1513"/>
      <c r="EK24" s="1513"/>
      <c r="EL24" s="1513"/>
      <c r="EM24" s="1513"/>
      <c r="EN24" s="1513"/>
      <c r="EO24" s="1513"/>
      <c r="EP24" s="1513"/>
      <c r="EQ24" s="1513"/>
      <c r="ER24" s="1513"/>
      <c r="ES24" s="1513"/>
      <c r="ET24" s="1513"/>
      <c r="EU24" s="1513"/>
      <c r="EV24" s="1513"/>
      <c r="EW24" s="1513"/>
      <c r="EX24" s="1513"/>
      <c r="EY24" s="1513"/>
      <c r="EZ24" s="1513"/>
      <c r="FA24" s="1513"/>
      <c r="FB24" s="1513"/>
      <c r="FC24" s="1513"/>
      <c r="FD24" s="1513"/>
      <c r="FE24" s="1513"/>
      <c r="FF24" s="1513"/>
      <c r="FG24" s="1513"/>
      <c r="FH24" s="1513"/>
      <c r="FI24" s="1513"/>
      <c r="FJ24" s="1513"/>
    </row>
    <row r="25" spans="1:166" ht="17.100000000000001" customHeight="1" x14ac:dyDescent="0.25">
      <c r="A25" s="3"/>
      <c r="B25" s="7"/>
      <c r="C25" s="5065"/>
      <c r="D25" s="5065"/>
      <c r="E25" s="5065"/>
      <c r="F25" s="5065"/>
      <c r="G25" s="5065"/>
      <c r="H25" s="5065"/>
      <c r="I25" s="5065"/>
      <c r="J25" s="5065"/>
      <c r="K25" s="3113" t="s">
        <v>45</v>
      </c>
      <c r="L25" s="5057">
        <f t="shared" ref="L25" si="18">IFERROR(IF(OR(C26="",G26=""),0,S26/S25),"?")</f>
        <v>0</v>
      </c>
      <c r="M25" s="5057"/>
      <c r="N25" s="3056" t="str">
        <f t="shared" ref="N25" si="19">IF(J26&gt;=1,"of","")</f>
        <v/>
      </c>
      <c r="O25" s="5058" t="str" cm="1">
        <f t="array" ref="O25">_xlfn.IFS(
OR(K25=$U$28,K25=""),
_xlfn.IFS(
S25&gt;=402,ROUNDDOWN(S25/365,1)&amp;" years",
AND(S25&gt;=365,S25&lt;402),ROUNDDOWN(S25/365,1)&amp;" year",
AND(S25&gt;=34,S25&lt;365),ROUNDDOWN(S25/(365/12),1)&amp;" mths",
AND(S25&gt;=31,S25&lt;34),ROUNDDOWN(S25/(365/12),1)&amp;" month",
AND(S25&gt;=4,S25&lt;31),ROUNDDOWN(S25/(365/12),1)&amp;" mths",
TRUE,S25*24&amp;" hours"),
K25=$U$29,
_xlfn.IFS(
S25&gt;=58,ROUNDDOWN(S25/52,1)&amp;" years",
AND(S25&gt;=52,S25&lt;58),ROUNDDOWN(S25/52,1)&amp;" year",
AND(S25&gt;=5,S25&lt;52),ROUNDDOWN(S25/(53/12),1)&amp;" mths",
AND(S25&gt;=2,S25&lt;5),S25&amp;" weeks",
S25=1,S25&amp;" week",
TRUE,S25&amp;" weeks"),
K25=$U$30,
_xlfn.IFS(
OR(S25=12,S25=13),ROUNDDOWN(S25/12,1)&amp;" year",
TRUE,ROUNDDOWN(S25/12,1)&amp;" years"),
TRUE,""
)</f>
        <v>0 weeks</v>
      </c>
      <c r="P25" s="5058"/>
      <c r="Q25" s="5058"/>
      <c r="R25" s="5058"/>
      <c r="S25" s="3060" cm="1">
        <f t="array" ref="S25">IF(OR(C26="",G26=""),0,
IF(G26=$U$25,
_xlfn.IFS(
OR(K25=$U$28,K25=""),_xlfn.DAYS($U$26,C26),
K25=$U$29,ROUNDDOWN(_xlfn.DAYS($U$26,C26)/7,0),
K25=$U$30,ROUNDDOWN(_xlfn.DAYS($U$26,C26)/31,0),
TRUE,""),
_xlfn.IFS(
OR(K25=$U$28,K25=""),_xlfn.DAYS(G26,C26),
K25=$U$29,ROUNDDOWN(_xlfn.DAYS(G26,C26)/7,0),
K25=$U$30,ROUNDDOWN(_xlfn.DAYS(G26,C26)/31,0),
TRUE,"")
)
)</f>
        <v>0</v>
      </c>
      <c r="T25" s="3163"/>
      <c r="U25" s="3162" t="s">
        <v>1906</v>
      </c>
      <c r="V25" s="3160"/>
      <c r="W25" s="3064"/>
      <c r="X25" s="2871"/>
      <c r="Y25" s="2871"/>
      <c r="Z25" s="2871"/>
      <c r="AA25" s="2871"/>
      <c r="AB25" s="2871"/>
      <c r="AC25" s="2871"/>
      <c r="AD25" s="2871"/>
      <c r="AE25" s="2871"/>
      <c r="AF25" s="2871"/>
      <c r="AG25" s="2871"/>
      <c r="AH25" s="2871"/>
      <c r="AI25" s="2871"/>
      <c r="AJ25" s="2871"/>
      <c r="AK25" s="2871"/>
      <c r="AL25" s="2871"/>
      <c r="AM25" s="2871"/>
      <c r="AN25" s="2871"/>
      <c r="AO25" s="2871"/>
      <c r="AP25" s="2871"/>
      <c r="AQ25" s="2871"/>
      <c r="AR25" s="2871"/>
      <c r="AS25" s="2871"/>
      <c r="AT25" s="2871"/>
      <c r="AU25" s="2871"/>
      <c r="AV25" s="2871"/>
      <c r="AW25" s="2871"/>
      <c r="AX25" s="2871"/>
      <c r="AY25" s="2871"/>
      <c r="AZ25" s="2871"/>
      <c r="BA25" s="2871"/>
      <c r="BB25" s="2871"/>
      <c r="BC25" s="2871"/>
      <c r="BD25" s="2871"/>
      <c r="BE25" s="2871"/>
      <c r="BF25" s="2871"/>
      <c r="BG25" s="2871"/>
      <c r="BH25" s="2871"/>
      <c r="BI25" s="2871"/>
      <c r="BJ25" s="2871"/>
      <c r="BK25" s="2871"/>
      <c r="BL25" s="2871"/>
      <c r="BM25" s="2871"/>
      <c r="BN25" s="2871"/>
      <c r="BO25" s="2871"/>
      <c r="BP25" s="2984"/>
      <c r="BQ25" s="2871"/>
      <c r="BR25" s="2871"/>
      <c r="BS25" s="2871"/>
      <c r="BT25" s="2871"/>
      <c r="BU25" s="1757"/>
      <c r="BV25" s="1757"/>
      <c r="BW25" s="1757"/>
      <c r="BX25" s="1757"/>
      <c r="BY25" s="1757"/>
      <c r="BZ25" s="1757"/>
      <c r="CA25" s="3"/>
      <c r="CK25" s="1513"/>
      <c r="CL25" s="1513"/>
      <c r="CM25" s="1513"/>
      <c r="CN25" s="1513"/>
      <c r="CO25" s="1513"/>
      <c r="CP25" s="1513"/>
      <c r="CQ25" s="1513"/>
      <c r="CR25" s="1513"/>
      <c r="CS25" s="1513"/>
      <c r="CT25" s="1513"/>
      <c r="CU25" s="1513"/>
      <c r="CV25" s="1513"/>
      <c r="CW25" s="1513"/>
      <c r="CX25" s="1513"/>
      <c r="CY25" s="1513"/>
      <c r="CZ25" s="1513"/>
      <c r="DA25" s="1513"/>
      <c r="DB25" s="1513"/>
      <c r="DC25" s="1513"/>
      <c r="DD25" s="1513"/>
      <c r="DE25" s="1513"/>
      <c r="DF25" s="1513"/>
      <c r="DG25" s="1513"/>
      <c r="DH25" s="1513"/>
      <c r="DI25" s="1513"/>
      <c r="DJ25" s="1513"/>
      <c r="DK25" s="1513"/>
      <c r="DL25" s="1513"/>
      <c r="DM25" s="1513"/>
      <c r="DN25" s="1513"/>
      <c r="DO25" s="1513"/>
      <c r="DP25" s="1513"/>
      <c r="DQ25" s="1513"/>
      <c r="DR25" s="1513"/>
      <c r="DS25" s="1513"/>
      <c r="DT25" s="1513"/>
      <c r="DU25" s="1513"/>
      <c r="DV25" s="1513"/>
      <c r="DW25" s="1513"/>
      <c r="DX25" s="1513"/>
      <c r="DY25" s="1513"/>
      <c r="DZ25" s="1513"/>
      <c r="EA25" s="1513"/>
      <c r="EB25" s="1513"/>
      <c r="EC25" s="1513"/>
      <c r="ED25" s="1513"/>
      <c r="EE25" s="1513"/>
      <c r="EF25" s="1513"/>
      <c r="EG25" s="1513"/>
      <c r="EH25" s="1513"/>
      <c r="EI25" s="1513"/>
      <c r="EJ25" s="1513"/>
      <c r="EK25" s="1513"/>
      <c r="EL25" s="1513"/>
      <c r="EM25" s="1513"/>
      <c r="EN25" s="1513"/>
      <c r="EO25" s="1513"/>
      <c r="EP25" s="1513"/>
      <c r="EQ25" s="1513"/>
      <c r="ER25" s="1513"/>
      <c r="ES25" s="1513"/>
      <c r="ET25" s="1513"/>
      <c r="EU25" s="1513"/>
      <c r="EV25" s="1513"/>
      <c r="EW25" s="1513"/>
      <c r="EX25" s="1513"/>
      <c r="EY25" s="1513"/>
      <c r="EZ25" s="1513"/>
      <c r="FA25" s="1513"/>
      <c r="FB25" s="1513"/>
      <c r="FC25" s="1513"/>
      <c r="FD25" s="1513"/>
      <c r="FE25" s="1513"/>
      <c r="FF25" s="1513"/>
      <c r="FG25" s="1513"/>
      <c r="FH25" s="1513"/>
      <c r="FI25" s="1513"/>
      <c r="FJ25" s="1513"/>
    </row>
    <row r="26" spans="1:166" ht="17.100000000000001" customHeight="1" x14ac:dyDescent="0.2">
      <c r="A26" s="3"/>
      <c r="B26" s="10"/>
      <c r="C26" s="5059"/>
      <c r="D26" s="5059"/>
      <c r="E26" s="5059"/>
      <c r="F26" s="3057" t="str">
        <f t="shared" ref="F26" si="20">IF(C26="","","to")</f>
        <v/>
      </c>
      <c r="G26" s="5059"/>
      <c r="H26" s="5059"/>
      <c r="I26" s="5059"/>
      <c r="J26" s="5060"/>
      <c r="K26" s="5061"/>
      <c r="L26" s="5062" t="str" cm="1">
        <f t="array" ref="L26">IF(J26=1,
_xlfn.IFS(
K25=$U$28,"day missed in",
K25=$U$29,"week missed in",
K25=$U$30,"month missed in",
TRUE,""
),
_xlfn.IFS(
K25=$U$28,"days missed in",
K25=$U$29,"weeks missed in",
K25=$U$30,"months missed in",
TRUE,""
)
)</f>
        <v>weeks missed in</v>
      </c>
      <c r="M26" s="5062"/>
      <c r="N26" s="5062"/>
      <c r="O26" s="5062"/>
      <c r="P26" s="5063" t="str" cm="1">
        <f t="array" ref="P26">_xlfn.IFS(
K25=$U$28,TEXT(S25,"#,##0")&amp;IF(S25=1," day"," days"),
K25=$U$29,TEXT(S25,"#,##0")&amp;IF(S25=1," week"," weeks"),
K25=$U$30,TEXT(S25,"#,##0")&amp;IF(S25=1," month"," months"),
TRUE,""
)</f>
        <v>0 weeks</v>
      </c>
      <c r="Q26" s="5063"/>
      <c r="R26" s="5063"/>
      <c r="S26" s="3061" cm="1">
        <f t="array" ref="S26">IF(G26=$U$25,
_xlfn.IFS(
OR(C26="",G26=""),0,
K25=$U$28,_xlfn.DAYS($U$26-J26,C26),
K25=$U$29,ROUNDDOWN((_xlfn.DAYS($U$26,C26)/7)-J26,0),
K25=$U$30,ROUNDDOWN((_xlfn.DAYS($U$26,C26)/31)-J26,0),
TRUE,""),
_xlfn.IFS(
OR(C26="",G26=""),0,
K25=$U$28,_xlfn.DAYS(G26-J26,C26),
K25=$U$29,ROUNDDOWN((_xlfn.DAYS(G26,C26)/7)-J26,0),
K25=$U$30,ROUNDDOWN((_xlfn.DAYS(G26,C26)/31)-J26,0),
TRUE,"")
)</f>
        <v>0</v>
      </c>
      <c r="T26" s="3163"/>
      <c r="U26" s="3157" t="e">
        <f ca="1">IF('^'!$BK$45="A C T I V E",TODAY(),'^'!$CC$58)</f>
        <v>#VALUE!</v>
      </c>
      <c r="V26" s="3160"/>
      <c r="W26" s="3064"/>
      <c r="X26" s="2871"/>
      <c r="Y26" s="2871"/>
      <c r="Z26" s="2871"/>
      <c r="AA26" s="2871"/>
      <c r="AB26" s="2871"/>
      <c r="AC26" s="2871"/>
      <c r="AD26" s="2871"/>
      <c r="AE26" s="2871"/>
      <c r="AF26" s="2871"/>
      <c r="AG26" s="2871"/>
      <c r="AH26" s="2871"/>
      <c r="AI26" s="2871"/>
      <c r="AJ26" s="2871"/>
      <c r="AK26" s="2871"/>
      <c r="AL26" s="2871"/>
      <c r="AM26" s="2871"/>
      <c r="AN26" s="2871"/>
      <c r="AO26" s="2871"/>
      <c r="AP26" s="2871"/>
      <c r="AQ26" s="2871"/>
      <c r="AR26" s="2871"/>
      <c r="AS26" s="2871"/>
      <c r="AT26" s="2871"/>
      <c r="AU26" s="2871"/>
      <c r="AV26" s="2871"/>
      <c r="AW26" s="2871"/>
      <c r="AX26" s="2871"/>
      <c r="AY26" s="2871"/>
      <c r="AZ26" s="2871"/>
      <c r="BA26" s="2871"/>
      <c r="BB26" s="2871"/>
      <c r="BC26" s="2871"/>
      <c r="BD26" s="2871"/>
      <c r="BE26" s="2871"/>
      <c r="BF26" s="2871"/>
      <c r="BG26" s="2871"/>
      <c r="BH26" s="2871"/>
      <c r="BI26" s="2871"/>
      <c r="BJ26" s="2871"/>
      <c r="BK26" s="2871"/>
      <c r="BL26" s="2871"/>
      <c r="BM26" s="2871"/>
      <c r="BN26" s="2871"/>
      <c r="BO26" s="2871"/>
      <c r="BP26" s="2984"/>
      <c r="BQ26" s="2871"/>
      <c r="BR26" s="2871"/>
      <c r="BS26" s="2871"/>
      <c r="BT26" s="2871"/>
      <c r="BU26" s="1757"/>
      <c r="BV26" s="1757"/>
      <c r="BW26" s="1757"/>
      <c r="BX26" s="1757"/>
      <c r="BY26" s="1757"/>
      <c r="BZ26" s="1757"/>
      <c r="CA26" s="3"/>
      <c r="CK26" s="1513"/>
      <c r="CL26" s="1513"/>
      <c r="CM26" s="1513"/>
      <c r="CN26" s="1513"/>
      <c r="CO26" s="1513"/>
      <c r="CP26" s="1513"/>
      <c r="CQ26" s="1513"/>
      <c r="CR26" s="1513"/>
      <c r="CS26" s="1513"/>
      <c r="CT26" s="1513"/>
      <c r="CU26" s="1513"/>
      <c r="CV26" s="1513"/>
      <c r="CW26" s="1513"/>
      <c r="CX26" s="1513"/>
      <c r="CY26" s="1513"/>
      <c r="CZ26" s="1513"/>
      <c r="DA26" s="1513"/>
      <c r="DB26" s="1513"/>
      <c r="DC26" s="1513"/>
      <c r="DD26" s="1513"/>
      <c r="DE26" s="1513"/>
      <c r="DF26" s="1513"/>
      <c r="DG26" s="1513"/>
      <c r="DH26" s="1513"/>
      <c r="DI26" s="1513"/>
      <c r="DJ26" s="1513"/>
      <c r="DK26" s="1513"/>
      <c r="DL26" s="1513"/>
      <c r="DM26" s="1513"/>
      <c r="DN26" s="1513"/>
      <c r="DO26" s="1513"/>
      <c r="DP26" s="1513"/>
      <c r="DQ26" s="1513"/>
      <c r="DR26" s="1513"/>
      <c r="DS26" s="1513"/>
      <c r="DT26" s="1513"/>
      <c r="DU26" s="1513"/>
      <c r="DV26" s="1513"/>
      <c r="DW26" s="1513"/>
      <c r="DX26" s="1513"/>
      <c r="DY26" s="1513"/>
      <c r="DZ26" s="1513"/>
      <c r="EA26" s="1513"/>
      <c r="EB26" s="1513"/>
      <c r="EC26" s="1513"/>
      <c r="ED26" s="1513"/>
      <c r="EE26" s="1513"/>
      <c r="EF26" s="1513"/>
      <c r="EG26" s="1513"/>
      <c r="EH26" s="1513"/>
      <c r="EI26" s="1513"/>
      <c r="EJ26" s="1513"/>
      <c r="EK26" s="1513"/>
      <c r="EL26" s="1513"/>
      <c r="EM26" s="1513"/>
      <c r="EN26" s="1513"/>
      <c r="EO26" s="1513"/>
      <c r="EP26" s="1513"/>
      <c r="EQ26" s="1513"/>
      <c r="ER26" s="1513"/>
      <c r="ES26" s="1513"/>
      <c r="ET26" s="1513"/>
      <c r="EU26" s="1513"/>
      <c r="EV26" s="1513"/>
      <c r="EW26" s="1513"/>
      <c r="EX26" s="1513"/>
      <c r="EY26" s="1513"/>
      <c r="EZ26" s="1513"/>
      <c r="FA26" s="1513"/>
      <c r="FB26" s="1513"/>
      <c r="FC26" s="1513"/>
      <c r="FD26" s="1513"/>
      <c r="FE26" s="1513"/>
      <c r="FF26" s="1513"/>
      <c r="FG26" s="1513"/>
      <c r="FH26" s="1513"/>
      <c r="FI26" s="1513"/>
      <c r="FJ26" s="1513"/>
    </row>
    <row r="27" spans="1:166" ht="17.100000000000001" customHeight="1" x14ac:dyDescent="0.25">
      <c r="A27" s="3"/>
      <c r="B27" s="10"/>
      <c r="C27" s="5065"/>
      <c r="D27" s="5065"/>
      <c r="E27" s="5065"/>
      <c r="F27" s="5065"/>
      <c r="G27" s="5065"/>
      <c r="H27" s="5065"/>
      <c r="I27" s="5065"/>
      <c r="J27" s="5065"/>
      <c r="K27" s="3113" t="s">
        <v>44</v>
      </c>
      <c r="L27" s="5057">
        <f t="shared" ref="L27" si="21">IFERROR(IF(OR(C28="",G28=""),0,S28/S27),"?")</f>
        <v>0</v>
      </c>
      <c r="M27" s="5057"/>
      <c r="N27" s="3056" t="str">
        <f t="shared" ref="N27" si="22">IF(J28&gt;=1,"of","")</f>
        <v/>
      </c>
      <c r="O27" s="5058" t="str" cm="1">
        <f t="array" ref="O27">_xlfn.IFS(
OR(K27=$U$28,K27=""),
_xlfn.IFS(
S27&gt;=402,ROUNDDOWN(S27/365,1)&amp;" years",
AND(S27&gt;=365,S27&lt;402),ROUNDDOWN(S27/365,1)&amp;" year",
AND(S27&gt;=34,S27&lt;365),ROUNDDOWN(S27/(365/12),1)&amp;" mths",
AND(S27&gt;=31,S27&lt;34),ROUNDDOWN(S27/(365/12),1)&amp;" month",
AND(S27&gt;=4,S27&lt;31),ROUNDDOWN(S27/(365/12),1)&amp;" mths",
TRUE,S27*24&amp;" hours"),
K27=$U$29,
_xlfn.IFS(
S27&gt;=58,ROUNDDOWN(S27/52,1)&amp;" years",
AND(S27&gt;=52,S27&lt;58),ROUNDDOWN(S27/52,1)&amp;" year",
AND(S27&gt;=5,S27&lt;52),ROUNDDOWN(S27/(53/12),1)&amp;" mths",
AND(S27&gt;=2,S27&lt;5),S27&amp;" weeks",
S27=1,S27&amp;" week",
TRUE,S27&amp;" weeks"),
K27=$U$30,
_xlfn.IFS(
OR(S27=12,S27=13),ROUNDDOWN(S27/12,1)&amp;" year",
TRUE,ROUNDDOWN(S27/12,1)&amp;" years"),
TRUE,""
)</f>
        <v>0 hours</v>
      </c>
      <c r="P27" s="5058"/>
      <c r="Q27" s="5058"/>
      <c r="R27" s="5058"/>
      <c r="S27" s="3060" cm="1">
        <f t="array" ref="S27">IF(OR(C28="",G28=""),0,
IF(G28=$U$25,
_xlfn.IFS(
OR(K27=$U$28,K27=""),_xlfn.DAYS($U$26,C28),
K27=$U$29,ROUNDDOWN(_xlfn.DAYS($U$26,C28)/7,0),
K27=$U$30,ROUNDDOWN(_xlfn.DAYS($U$26,C28)/31,0),
TRUE,""),
_xlfn.IFS(
OR(K27=$U$28,K27=""),_xlfn.DAYS(G28,C28),
K27=$U$29,ROUNDDOWN(_xlfn.DAYS(G28,C28)/7,0),
K27=$U$30,ROUNDDOWN(_xlfn.DAYS(G28,C28)/31,0),
TRUE,"")
)
)</f>
        <v>0</v>
      </c>
      <c r="T27" s="3163"/>
      <c r="U27" s="3063"/>
      <c r="V27" s="3160"/>
      <c r="W27" s="3064"/>
      <c r="X27" s="2871"/>
      <c r="Y27" s="2871"/>
      <c r="Z27" s="2871"/>
      <c r="AA27" s="2871"/>
      <c r="AB27" s="2871"/>
      <c r="AC27" s="2871"/>
      <c r="AD27" s="2871"/>
      <c r="AE27" s="2871"/>
      <c r="AF27" s="2871"/>
      <c r="AG27" s="2871"/>
      <c r="AH27" s="2871"/>
      <c r="AI27" s="2871"/>
      <c r="AJ27" s="2871"/>
      <c r="AK27" s="2871"/>
      <c r="AL27" s="2871"/>
      <c r="AM27" s="2871"/>
      <c r="AN27" s="2871"/>
      <c r="AO27" s="2871"/>
      <c r="AP27" s="2871"/>
      <c r="AQ27" s="2871"/>
      <c r="AR27" s="2871"/>
      <c r="AS27" s="2871"/>
      <c r="AT27" s="2871"/>
      <c r="AU27" s="2871"/>
      <c r="AV27" s="2871"/>
      <c r="AW27" s="2871"/>
      <c r="AX27" s="2871"/>
      <c r="AY27" s="2871"/>
      <c r="AZ27" s="2871"/>
      <c r="BA27" s="2871"/>
      <c r="BB27" s="2871"/>
      <c r="BC27" s="2871"/>
      <c r="BD27" s="2871"/>
      <c r="BE27" s="2871"/>
      <c r="BF27" s="2871"/>
      <c r="BG27" s="2871"/>
      <c r="BH27" s="2871"/>
      <c r="BI27" s="2871"/>
      <c r="BJ27" s="2871"/>
      <c r="BK27" s="2871"/>
      <c r="BL27" s="2871"/>
      <c r="BM27" s="2871"/>
      <c r="BN27" s="2871"/>
      <c r="BO27" s="2871"/>
      <c r="BP27" s="2984"/>
      <c r="BQ27" s="2871"/>
      <c r="BR27" s="2871"/>
      <c r="BS27" s="2871"/>
      <c r="BT27" s="2871"/>
      <c r="BU27" s="1757"/>
      <c r="BV27" s="1757"/>
      <c r="BW27" s="1757"/>
      <c r="BX27" s="1757"/>
      <c r="BY27" s="1757"/>
      <c r="BZ27" s="1757"/>
      <c r="CA27" s="3"/>
      <c r="CK27" s="1513"/>
      <c r="CL27" s="1513"/>
      <c r="CM27" s="1513"/>
      <c r="CN27" s="1513"/>
      <c r="CO27" s="1513"/>
      <c r="CP27" s="1513"/>
      <c r="CQ27" s="1513"/>
      <c r="CR27" s="1513"/>
      <c r="CS27" s="1513"/>
      <c r="CT27" s="1513"/>
      <c r="CU27" s="1513"/>
      <c r="CV27" s="1513"/>
      <c r="CW27" s="1513"/>
      <c r="CX27" s="1513"/>
      <c r="CY27" s="1513"/>
      <c r="CZ27" s="1513"/>
      <c r="DA27" s="1513"/>
      <c r="DB27" s="1513"/>
      <c r="DC27" s="1513"/>
      <c r="DD27" s="1513"/>
      <c r="DE27" s="1513"/>
      <c r="DF27" s="1513"/>
      <c r="DG27" s="1513"/>
      <c r="DH27" s="1513"/>
      <c r="DI27" s="1513"/>
      <c r="DJ27" s="1513"/>
      <c r="DK27" s="1513"/>
      <c r="DL27" s="1513"/>
      <c r="DM27" s="1513"/>
      <c r="DN27" s="1513"/>
      <c r="DO27" s="1513"/>
      <c r="DP27" s="1513"/>
      <c r="DQ27" s="1513"/>
      <c r="DR27" s="1513"/>
      <c r="DS27" s="1513"/>
      <c r="DT27" s="1513"/>
      <c r="DU27" s="1513"/>
      <c r="DV27" s="1513"/>
      <c r="DW27" s="1513"/>
      <c r="DX27" s="1513"/>
      <c r="DY27" s="1513"/>
      <c r="DZ27" s="1513"/>
      <c r="EA27" s="1513"/>
      <c r="EB27" s="1513"/>
      <c r="EC27" s="1513"/>
      <c r="ED27" s="1513"/>
      <c r="EE27" s="1513"/>
      <c r="EF27" s="1513"/>
      <c r="EG27" s="1513"/>
      <c r="EH27" s="1513"/>
      <c r="EI27" s="1513"/>
      <c r="EJ27" s="1513"/>
      <c r="EK27" s="1513"/>
      <c r="EL27" s="1513"/>
      <c r="EM27" s="1513"/>
      <c r="EN27" s="1513"/>
      <c r="EO27" s="1513"/>
      <c r="EP27" s="1513"/>
      <c r="EQ27" s="1513"/>
      <c r="ER27" s="1513"/>
      <c r="ES27" s="1513"/>
      <c r="ET27" s="1513"/>
      <c r="EU27" s="1513"/>
      <c r="EV27" s="1513"/>
      <c r="EW27" s="1513"/>
      <c r="EX27" s="1513"/>
      <c r="EY27" s="1513"/>
      <c r="EZ27" s="1513"/>
      <c r="FA27" s="1513"/>
      <c r="FB27" s="1513"/>
      <c r="FC27" s="1513"/>
      <c r="FD27" s="1513"/>
      <c r="FE27" s="1513"/>
      <c r="FF27" s="1513"/>
      <c r="FG27" s="1513"/>
      <c r="FH27" s="1513"/>
      <c r="FI27" s="1513"/>
      <c r="FJ27" s="1513"/>
    </row>
    <row r="28" spans="1:166" ht="17.100000000000001" customHeight="1" x14ac:dyDescent="0.2">
      <c r="A28" s="3"/>
      <c r="B28" s="10"/>
      <c r="C28" s="5059"/>
      <c r="D28" s="5059"/>
      <c r="E28" s="5059"/>
      <c r="F28" s="3057" t="str">
        <f t="shared" ref="F28" si="23">IF(C28="","","to")</f>
        <v/>
      </c>
      <c r="G28" s="5059"/>
      <c r="H28" s="5059"/>
      <c r="I28" s="5059"/>
      <c r="J28" s="5060"/>
      <c r="K28" s="5061"/>
      <c r="L28" s="5062" t="str" cm="1">
        <f t="array" ref="L28">IF(J28=1,
_xlfn.IFS(
K27=$U$28,"day missed in",
K27=$U$29,"week missed in",
K27=$U$30,"month missed in",
TRUE,""
),
_xlfn.IFS(
K27=$U$28,"days missed in",
K27=$U$29,"weeks missed in",
K27=$U$30,"months missed in",
TRUE,""
)
)</f>
        <v>days missed in</v>
      </c>
      <c r="M28" s="5062"/>
      <c r="N28" s="5062"/>
      <c r="O28" s="5062"/>
      <c r="P28" s="5063" t="str" cm="1">
        <f t="array" ref="P28">_xlfn.IFS(
K27=$U$28,TEXT(S27,"#,##0")&amp;IF(S27=1," day"," days"),
K27=$U$29,TEXT(S27,"#,##0")&amp;IF(S27=1," week"," weeks"),
K27=$U$30,TEXT(S27,"#,##0")&amp;IF(S27=1," month"," months"),
TRUE,""
)</f>
        <v>0 days</v>
      </c>
      <c r="Q28" s="5063"/>
      <c r="R28" s="5063"/>
      <c r="S28" s="3061" cm="1">
        <f t="array" ref="S28">IF(G28=$U$25,
_xlfn.IFS(
OR(C28="",G28=""),0,
K27=$U$28,_xlfn.DAYS($U$26-J28,C28),
K27=$U$29,ROUNDDOWN((_xlfn.DAYS($U$26,C28)/7)-J28,0),
K27=$U$30,ROUNDDOWN((_xlfn.DAYS($U$26,C28)/31)-J28,0),
TRUE,""),
_xlfn.IFS(
OR(C28="",G28=""),0,
K27=$U$28,_xlfn.DAYS(G28-J28,C28),
K27=$U$29,ROUNDDOWN((_xlfn.DAYS(G28,C28)/7)-J28,0),
K27=$U$30,ROUNDDOWN((_xlfn.DAYS(G28,C28)/31)-J28,0),
TRUE,"")
)</f>
        <v>0</v>
      </c>
      <c r="T28" s="3163"/>
      <c r="U28" s="3063" t="s">
        <v>44</v>
      </c>
      <c r="V28" s="3160"/>
      <c r="W28" s="3064"/>
      <c r="X28" s="2871"/>
      <c r="Y28" s="2871"/>
      <c r="Z28" s="2871"/>
      <c r="AA28" s="2871"/>
      <c r="AB28" s="2871"/>
      <c r="AC28" s="2871"/>
      <c r="AD28" s="2871"/>
      <c r="AE28" s="2871"/>
      <c r="AF28" s="2871"/>
      <c r="AG28" s="2871"/>
      <c r="AH28" s="2871"/>
      <c r="AI28" s="2871"/>
      <c r="AJ28" s="2871"/>
      <c r="AK28" s="2871"/>
      <c r="AL28" s="2871"/>
      <c r="AM28" s="2871"/>
      <c r="AN28" s="2871"/>
      <c r="AO28" s="2871"/>
      <c r="AP28" s="2871"/>
      <c r="AQ28" s="2871"/>
      <c r="AR28" s="2871"/>
      <c r="AS28" s="2871"/>
      <c r="AT28" s="2871"/>
      <c r="AU28" s="2871"/>
      <c r="AV28" s="2871"/>
      <c r="AW28" s="2871"/>
      <c r="AX28" s="2871"/>
      <c r="AY28" s="2871"/>
      <c r="AZ28" s="2871"/>
      <c r="BA28" s="2871"/>
      <c r="BB28" s="2871"/>
      <c r="BC28" s="2871"/>
      <c r="BD28" s="2871"/>
      <c r="BE28" s="2871"/>
      <c r="BF28" s="2871"/>
      <c r="BG28" s="2871"/>
      <c r="BH28" s="2871"/>
      <c r="BI28" s="2871"/>
      <c r="BJ28" s="2871"/>
      <c r="BK28" s="2871"/>
      <c r="BL28" s="2871"/>
      <c r="BM28" s="2871"/>
      <c r="BN28" s="2871"/>
      <c r="BO28" s="2871"/>
      <c r="BP28" s="2984"/>
      <c r="BQ28" s="2871"/>
      <c r="BR28" s="2871"/>
      <c r="BS28" s="2871"/>
      <c r="BT28" s="2871"/>
      <c r="BU28" s="1757"/>
      <c r="BV28" s="1757"/>
      <c r="BW28" s="1757"/>
      <c r="BX28" s="1757"/>
      <c r="BY28" s="1757"/>
      <c r="BZ28" s="1757"/>
      <c r="CA28" s="3"/>
      <c r="CK28" s="1513"/>
      <c r="CL28" s="1513"/>
      <c r="CM28" s="1513"/>
      <c r="CN28" s="1513"/>
      <c r="CO28" s="1513"/>
      <c r="CP28" s="1513"/>
      <c r="CQ28" s="1513"/>
      <c r="CR28" s="1513"/>
      <c r="CS28" s="1513"/>
      <c r="CT28" s="1513"/>
      <c r="CU28" s="1513"/>
      <c r="CV28" s="1513"/>
      <c r="CW28" s="1513"/>
      <c r="CX28" s="1513"/>
      <c r="CY28" s="1513"/>
      <c r="CZ28" s="1513"/>
      <c r="DA28" s="1513"/>
      <c r="DB28" s="1513"/>
      <c r="DC28" s="1513"/>
      <c r="DD28" s="1513"/>
      <c r="DE28" s="1513"/>
      <c r="DF28" s="1513"/>
      <c r="DG28" s="1513"/>
      <c r="DH28" s="1513"/>
      <c r="DI28" s="1513"/>
      <c r="DJ28" s="1513"/>
      <c r="DK28" s="1513"/>
      <c r="DL28" s="1513"/>
      <c r="DM28" s="1513"/>
      <c r="DN28" s="1513"/>
      <c r="DO28" s="1513"/>
      <c r="DP28" s="1513"/>
      <c r="DQ28" s="1513"/>
      <c r="DR28" s="1513"/>
      <c r="DS28" s="1513"/>
      <c r="DT28" s="1513"/>
      <c r="DU28" s="1513"/>
      <c r="DV28" s="1513"/>
      <c r="DW28" s="1513"/>
      <c r="DX28" s="1513"/>
      <c r="DY28" s="1513"/>
      <c r="DZ28" s="1513"/>
      <c r="EA28" s="1513"/>
      <c r="EB28" s="1513"/>
      <c r="EC28" s="1513"/>
      <c r="ED28" s="1513"/>
      <c r="EE28" s="1513"/>
      <c r="EF28" s="1513"/>
      <c r="EG28" s="1513"/>
      <c r="EH28" s="1513"/>
      <c r="EI28" s="1513"/>
      <c r="EJ28" s="1513"/>
      <c r="EK28" s="1513"/>
      <c r="EL28" s="1513"/>
      <c r="EM28" s="1513"/>
      <c r="EN28" s="1513"/>
      <c r="EO28" s="1513"/>
      <c r="EP28" s="1513"/>
      <c r="EQ28" s="1513"/>
      <c r="ER28" s="1513"/>
      <c r="ES28" s="1513"/>
      <c r="ET28" s="1513"/>
      <c r="EU28" s="1513"/>
      <c r="EV28" s="1513"/>
      <c r="EW28" s="1513"/>
      <c r="EX28" s="1513"/>
      <c r="EY28" s="1513"/>
      <c r="EZ28" s="1513"/>
      <c r="FA28" s="1513"/>
      <c r="FB28" s="1513"/>
      <c r="FC28" s="1513"/>
      <c r="FD28" s="1513"/>
      <c r="FE28" s="1513"/>
      <c r="FF28" s="1513"/>
      <c r="FG28" s="1513"/>
      <c r="FH28" s="1513"/>
      <c r="FI28" s="1513"/>
      <c r="FJ28" s="1513"/>
    </row>
    <row r="29" spans="1:166" ht="17.100000000000001" customHeight="1" x14ac:dyDescent="0.25">
      <c r="A29" s="3"/>
      <c r="B29" s="10"/>
      <c r="C29" s="5065"/>
      <c r="D29" s="5065"/>
      <c r="E29" s="5065"/>
      <c r="F29" s="5065"/>
      <c r="G29" s="5065"/>
      <c r="H29" s="5065"/>
      <c r="I29" s="5065"/>
      <c r="J29" s="5065"/>
      <c r="K29" s="3113" t="s">
        <v>44</v>
      </c>
      <c r="L29" s="5057">
        <f t="shared" ref="L29" si="24">IFERROR(IF(OR(C30="",G30=""),0,S30/S29),"?")</f>
        <v>0</v>
      </c>
      <c r="M29" s="5057"/>
      <c r="N29" s="3056" t="str">
        <f t="shared" ref="N29" si="25">IF(J30&gt;=1,"of","")</f>
        <v/>
      </c>
      <c r="O29" s="5058" t="str" cm="1">
        <f t="array" ref="O29">_xlfn.IFS(
OR(K29=$U$28,K29=""),
_xlfn.IFS(
S29&gt;=402,ROUNDDOWN(S29/365,1)&amp;" years",
AND(S29&gt;=365,S29&lt;402),ROUNDDOWN(S29/365,1)&amp;" year",
AND(S29&gt;=34,S29&lt;365),ROUNDDOWN(S29/(365/12),1)&amp;" mths",
AND(S29&gt;=31,S29&lt;34),ROUNDDOWN(S29/(365/12),1)&amp;" month",
AND(S29&gt;=4,S29&lt;31),ROUNDDOWN(S29/(365/12),1)&amp;" mths",
TRUE,S29*24&amp;" hours"),
K29=$U$29,
_xlfn.IFS(
S29&gt;=58,ROUNDDOWN(S29/52,1)&amp;" years",
AND(S29&gt;=52,S29&lt;58),ROUNDDOWN(S29/52,1)&amp;" year",
AND(S29&gt;=5,S29&lt;52),ROUNDDOWN(S29/(53/12),1)&amp;" mths",
AND(S29&gt;=2,S29&lt;5),S29&amp;" weeks",
S29=1,S29&amp;" week",
TRUE,S29&amp;" weeks"),
K29=$U$30,
_xlfn.IFS(
OR(S29=12,S29=13),ROUNDDOWN(S29/12,1)&amp;" year",
TRUE,ROUNDDOWN(S29/12,1)&amp;" years"),
TRUE,""
)</f>
        <v>0 hours</v>
      </c>
      <c r="P29" s="5058"/>
      <c r="Q29" s="5058"/>
      <c r="R29" s="5058"/>
      <c r="S29" s="3060" cm="1">
        <f t="array" ref="S29">IF(OR(C30="",G30=""),0,
IF(G30=$U$25,
_xlfn.IFS(
OR(K29=$U$28,K29=""),_xlfn.DAYS($U$26,C30),
K29=$U$29,ROUNDDOWN(_xlfn.DAYS($U$26,C30)/7,0),
K29=$U$30,ROUNDDOWN(_xlfn.DAYS($U$26,C30)/31,0),
TRUE,""),
_xlfn.IFS(
OR(K29=$U$28,K29=""),_xlfn.DAYS(G30,C30),
K29=$U$29,ROUNDDOWN(_xlfn.DAYS(G30,C30)/7,0),
K29=$U$30,ROUNDDOWN(_xlfn.DAYS(G30,C30)/31,0),
TRUE,"")
)
)</f>
        <v>0</v>
      </c>
      <c r="T29" s="3163"/>
      <c r="U29" s="3063" t="s">
        <v>45</v>
      </c>
      <c r="V29" s="3160"/>
      <c r="W29" s="3064"/>
      <c r="X29" s="2984"/>
      <c r="Y29" s="2871"/>
      <c r="Z29" s="2871"/>
      <c r="AA29" s="2871"/>
      <c r="AB29" s="2871"/>
      <c r="AC29" s="2871"/>
      <c r="AD29" s="2871"/>
      <c r="AE29" s="2871"/>
      <c r="AF29" s="2871"/>
      <c r="AG29" s="2871"/>
      <c r="AH29" s="2871"/>
      <c r="AI29" s="2871"/>
      <c r="AJ29" s="2871"/>
      <c r="AK29" s="2871"/>
      <c r="AL29" s="2871"/>
      <c r="AM29" s="2871"/>
      <c r="AN29" s="2871"/>
      <c r="AO29" s="2871"/>
      <c r="AP29" s="2871"/>
      <c r="AQ29" s="2871"/>
      <c r="AR29" s="2871"/>
      <c r="AS29" s="2871"/>
      <c r="AT29" s="2871"/>
      <c r="AU29" s="2871"/>
      <c r="AV29" s="2871"/>
      <c r="AW29" s="2871"/>
      <c r="AX29" s="2871"/>
      <c r="AY29" s="2871"/>
      <c r="AZ29" s="2871"/>
      <c r="BA29" s="2871"/>
      <c r="BB29" s="2871"/>
      <c r="BC29" s="2871"/>
      <c r="BD29" s="2871"/>
      <c r="BE29" s="2871"/>
      <c r="BF29" s="2871"/>
      <c r="BG29" s="2871"/>
      <c r="BH29" s="2871"/>
      <c r="BI29" s="2871"/>
      <c r="BJ29" s="2871"/>
      <c r="BK29" s="2871"/>
      <c r="BL29" s="2871"/>
      <c r="BM29" s="2871"/>
      <c r="BN29" s="2871"/>
      <c r="BO29" s="2871"/>
      <c r="BP29" s="2984"/>
      <c r="BQ29" s="2871"/>
      <c r="BR29" s="2871"/>
      <c r="BS29" s="2871"/>
      <c r="BT29" s="2871"/>
      <c r="BU29" s="1757"/>
      <c r="BV29" s="1757"/>
      <c r="BW29" s="1757"/>
      <c r="BX29" s="1757"/>
      <c r="BY29" s="1757"/>
      <c r="BZ29" s="1757"/>
      <c r="CA29" s="3"/>
      <c r="CK29" s="1513"/>
      <c r="CL29" s="1513"/>
      <c r="CM29" s="1513"/>
      <c r="CN29" s="1513"/>
      <c r="CO29" s="1513"/>
      <c r="CP29" s="1513"/>
      <c r="CQ29" s="1513"/>
      <c r="CR29" s="1513"/>
      <c r="CS29" s="1513"/>
      <c r="CT29" s="1513"/>
      <c r="CU29" s="1513"/>
      <c r="CV29" s="1513"/>
      <c r="CW29" s="1513"/>
      <c r="CX29" s="1513"/>
      <c r="CY29" s="1513"/>
      <c r="CZ29" s="1513"/>
      <c r="DA29" s="1513"/>
      <c r="DB29" s="1513"/>
      <c r="DC29" s="1513"/>
      <c r="DD29" s="1513"/>
      <c r="DE29" s="1513"/>
      <c r="DF29" s="1513"/>
      <c r="DG29" s="1513"/>
      <c r="DH29" s="1513"/>
      <c r="DI29" s="1513"/>
      <c r="DJ29" s="1513"/>
      <c r="DK29" s="1513"/>
      <c r="DL29" s="1513"/>
      <c r="DM29" s="1513"/>
      <c r="DN29" s="1513"/>
      <c r="DO29" s="1513"/>
      <c r="DP29" s="1513"/>
      <c r="DQ29" s="1513"/>
      <c r="DR29" s="1513"/>
      <c r="DS29" s="1513"/>
      <c r="DT29" s="1513"/>
      <c r="DU29" s="1513"/>
      <c r="DV29" s="1513"/>
      <c r="DW29" s="1513"/>
      <c r="DX29" s="1513"/>
      <c r="DY29" s="1513"/>
      <c r="DZ29" s="1513"/>
      <c r="EA29" s="1513"/>
      <c r="EB29" s="1513"/>
      <c r="EC29" s="1513"/>
      <c r="ED29" s="1513"/>
      <c r="EE29" s="1513"/>
      <c r="EF29" s="1513"/>
      <c r="EG29" s="1513"/>
      <c r="EH29" s="1513"/>
      <c r="EI29" s="1513"/>
      <c r="EJ29" s="1513"/>
      <c r="EK29" s="1513"/>
      <c r="EL29" s="1513"/>
      <c r="EM29" s="1513"/>
      <c r="EN29" s="1513"/>
      <c r="EO29" s="1513"/>
      <c r="EP29" s="1513"/>
      <c r="EQ29" s="1513"/>
      <c r="ER29" s="1513"/>
      <c r="ES29" s="1513"/>
      <c r="ET29" s="1513"/>
      <c r="EU29" s="1513"/>
      <c r="EV29" s="1513"/>
      <c r="EW29" s="1513"/>
      <c r="EX29" s="1513"/>
      <c r="EY29" s="1513"/>
      <c r="EZ29" s="1513"/>
      <c r="FA29" s="1513"/>
      <c r="FB29" s="1513"/>
      <c r="FC29" s="1513"/>
      <c r="FD29" s="1513"/>
      <c r="FE29" s="1513"/>
      <c r="FF29" s="1513"/>
      <c r="FG29" s="1513"/>
      <c r="FH29" s="1513"/>
      <c r="FI29" s="1513"/>
      <c r="FJ29" s="1513"/>
    </row>
    <row r="30" spans="1:166" ht="17.100000000000001" customHeight="1" x14ac:dyDescent="0.2">
      <c r="A30" s="3"/>
      <c r="B30" s="10"/>
      <c r="C30" s="5059"/>
      <c r="D30" s="5059"/>
      <c r="E30" s="5059"/>
      <c r="F30" s="3057" t="str">
        <f t="shared" ref="F30" si="26">IF(C30="","","to")</f>
        <v/>
      </c>
      <c r="G30" s="5059"/>
      <c r="H30" s="5059"/>
      <c r="I30" s="5059"/>
      <c r="J30" s="5060">
        <v>0</v>
      </c>
      <c r="K30" s="5061"/>
      <c r="L30" s="5062" t="str" cm="1">
        <f t="array" ref="L30">IF(J30=1,
_xlfn.IFS(
K29=$U$28,"day missed in",
K29=$U$29,"week missed in",
K29=$U$30,"month missed in",
TRUE,""
),
_xlfn.IFS(
K29=$U$28,"days missed in",
K29=$U$29,"weeks missed in",
K29=$U$30,"months missed in",
TRUE,""
)
)</f>
        <v>days missed in</v>
      </c>
      <c r="M30" s="5062"/>
      <c r="N30" s="5062"/>
      <c r="O30" s="5062"/>
      <c r="P30" s="5063" t="str" cm="1">
        <f t="array" ref="P30">_xlfn.IFS(
K29=$U$28,TEXT(S29,"#,##0")&amp;IF(S29=1," day"," days"),
K29=$U$29,TEXT(S29,"#,##0")&amp;IF(S29=1," week"," weeks"),
K29=$U$30,TEXT(S29,"#,##0")&amp;IF(S29=1," month"," months"),
TRUE,""
)</f>
        <v>0 days</v>
      </c>
      <c r="Q30" s="5063"/>
      <c r="R30" s="5063"/>
      <c r="S30" s="3061" cm="1">
        <f t="array" ref="S30">IF(G30=$U$25,
_xlfn.IFS(
OR(C30="",G30=""),0,
K29=$U$28,_xlfn.DAYS($U$26-J30,C30),
K29=$U$29,ROUNDDOWN((_xlfn.DAYS($U$26,C30)/7)-J30,0),
K29=$U$30,ROUNDDOWN((_xlfn.DAYS($U$26,C30)/31)-J30,0),
TRUE,""),
_xlfn.IFS(
OR(C30="",G30=""),0,
K29=$U$28,_xlfn.DAYS(G30-J30,C30),
K29=$U$29,ROUNDDOWN((_xlfn.DAYS(G30,C30)/7)-J30,0),
K29=$U$30,ROUNDDOWN((_xlfn.DAYS(G30,C30)/31)-J30,0),
TRUE,"")
)</f>
        <v>0</v>
      </c>
      <c r="T30" s="3163"/>
      <c r="U30" s="3063" t="s">
        <v>46</v>
      </c>
      <c r="V30" s="3160"/>
      <c r="W30" s="3160"/>
      <c r="X30" s="3158"/>
      <c r="Y30" s="1757"/>
      <c r="Z30" s="1757"/>
      <c r="AA30" s="1757"/>
      <c r="AB30" s="2871"/>
      <c r="AC30" s="2871"/>
      <c r="AD30" s="2871"/>
      <c r="AE30" s="2871"/>
      <c r="AF30" s="2871"/>
      <c r="AG30" s="2871"/>
      <c r="AH30" s="2871"/>
      <c r="AI30" s="2871"/>
      <c r="AJ30" s="2871"/>
      <c r="AK30" s="2871"/>
      <c r="AL30" s="2871"/>
      <c r="AM30" s="2871"/>
      <c r="AN30" s="2871"/>
      <c r="AO30" s="2871"/>
      <c r="AP30" s="2871"/>
      <c r="AQ30" s="2871"/>
      <c r="AR30" s="2871"/>
      <c r="AS30" s="2871"/>
      <c r="AT30" s="2871"/>
      <c r="AU30" s="2871"/>
      <c r="AV30" s="2871"/>
      <c r="AW30" s="2871"/>
      <c r="AX30" s="2871"/>
      <c r="AY30" s="2871"/>
      <c r="AZ30" s="2871"/>
      <c r="BA30" s="2871"/>
      <c r="BB30" s="2871"/>
      <c r="BC30" s="2871"/>
      <c r="BD30" s="2871"/>
      <c r="BE30" s="2871"/>
      <c r="BF30" s="2871"/>
      <c r="BG30" s="2871"/>
      <c r="BH30" s="2871"/>
      <c r="BI30" s="2871"/>
      <c r="BJ30" s="2871"/>
      <c r="BK30" s="2871"/>
      <c r="BL30" s="2871"/>
      <c r="BM30" s="2871"/>
      <c r="BN30" s="2871"/>
      <c r="BO30" s="2871"/>
      <c r="BP30" s="2984"/>
      <c r="BQ30" s="2871"/>
      <c r="BR30" s="2871"/>
      <c r="BS30" s="2871"/>
      <c r="BT30" s="2871"/>
      <c r="BU30" s="1757"/>
      <c r="BV30" s="1757"/>
      <c r="BW30" s="1757"/>
      <c r="BX30" s="1757"/>
      <c r="BY30" s="1757"/>
      <c r="BZ30" s="1757"/>
      <c r="CA30" s="3"/>
      <c r="CK30" s="1513"/>
      <c r="CL30" s="1513"/>
      <c r="CM30" s="1513"/>
      <c r="CN30" s="1513"/>
      <c r="CO30" s="1513"/>
      <c r="CP30" s="1513"/>
      <c r="CQ30" s="1513"/>
      <c r="CR30" s="1513"/>
      <c r="CS30" s="1513"/>
      <c r="CT30" s="1513"/>
      <c r="CU30" s="1513"/>
      <c r="CV30" s="1513"/>
      <c r="CW30" s="1513"/>
      <c r="CX30" s="1513"/>
      <c r="CY30" s="1513"/>
      <c r="CZ30" s="1513"/>
      <c r="DA30" s="1513"/>
      <c r="DB30" s="1513"/>
      <c r="DC30" s="1513"/>
      <c r="DD30" s="1513"/>
      <c r="DE30" s="1513"/>
      <c r="DF30" s="1513"/>
      <c r="DG30" s="1513"/>
      <c r="DH30" s="1513"/>
      <c r="DI30" s="1513"/>
      <c r="DJ30" s="1513"/>
      <c r="DK30" s="1513"/>
      <c r="DL30" s="1513"/>
      <c r="DM30" s="1513"/>
      <c r="DN30" s="1513"/>
      <c r="DO30" s="1513"/>
      <c r="DP30" s="1513"/>
      <c r="DQ30" s="1513"/>
      <c r="DR30" s="1513"/>
      <c r="DS30" s="1513"/>
      <c r="DT30" s="1513"/>
      <c r="DU30" s="1513"/>
      <c r="DV30" s="1513"/>
      <c r="DW30" s="1513"/>
      <c r="DX30" s="1513"/>
      <c r="DY30" s="1513"/>
      <c r="DZ30" s="1513"/>
      <c r="EA30" s="1513"/>
      <c r="EB30" s="1513"/>
      <c r="EC30" s="1513"/>
      <c r="ED30" s="1513"/>
      <c r="EE30" s="1513"/>
      <c r="EF30" s="1513"/>
      <c r="EG30" s="1513"/>
      <c r="EH30" s="1513"/>
      <c r="EI30" s="1513"/>
      <c r="EJ30" s="1513"/>
      <c r="EK30" s="1513"/>
      <c r="EL30" s="1513"/>
      <c r="EM30" s="1513"/>
      <c r="EN30" s="1513"/>
      <c r="EO30" s="1513"/>
      <c r="EP30" s="1513"/>
      <c r="EQ30" s="1513"/>
      <c r="ER30" s="1513"/>
      <c r="ES30" s="1513"/>
      <c r="ET30" s="1513"/>
      <c r="EU30" s="1513"/>
      <c r="EV30" s="1513"/>
      <c r="EW30" s="1513"/>
      <c r="EX30" s="1513"/>
      <c r="EY30" s="1513"/>
      <c r="EZ30" s="1513"/>
      <c r="FA30" s="1513"/>
      <c r="FB30" s="1513"/>
      <c r="FC30" s="1513"/>
      <c r="FD30" s="1513"/>
      <c r="FE30" s="1513"/>
      <c r="FF30" s="1513"/>
      <c r="FG30" s="1513"/>
      <c r="FH30" s="1513"/>
      <c r="FI30" s="1513"/>
      <c r="FJ30" s="1513"/>
    </row>
    <row r="31" spans="1:166" ht="17.100000000000001" customHeight="1" x14ac:dyDescent="0.25">
      <c r="A31" s="3"/>
      <c r="C31" s="5065"/>
      <c r="D31" s="5065"/>
      <c r="E31" s="5065"/>
      <c r="F31" s="5065"/>
      <c r="G31" s="5065"/>
      <c r="H31" s="5065"/>
      <c r="I31" s="5065"/>
      <c r="J31" s="5065"/>
      <c r="K31" s="3113" t="s">
        <v>45</v>
      </c>
      <c r="L31" s="5057">
        <f t="shared" ref="L31" si="27">IFERROR(IF(OR(C32="",G32=""),0,S32/S31),"?")</f>
        <v>0</v>
      </c>
      <c r="M31" s="5057"/>
      <c r="N31" s="3056" t="str">
        <f t="shared" ref="N31" si="28">IF(J32&gt;=1,"of","")</f>
        <v/>
      </c>
      <c r="O31" s="5058" t="str" cm="1">
        <f t="array" ref="O31">_xlfn.IFS(
OR(K31=$U$28,K31=""),
_xlfn.IFS(
S31&gt;=402,ROUNDDOWN(S31/365,1)&amp;" years",
AND(S31&gt;=365,S31&lt;402),ROUNDDOWN(S31/365,1)&amp;" year",
AND(S31&gt;=34,S31&lt;365),ROUNDDOWN(S31/(365/12),1)&amp;" mths",
AND(S31&gt;=31,S31&lt;34),ROUNDDOWN(S31/(365/12),1)&amp;" month",
AND(S31&gt;=4,S31&lt;31),ROUNDDOWN(S31/(365/12),1)&amp;" mths",
TRUE,S31*24&amp;" hours"),
K31=$U$29,
_xlfn.IFS(
S31&gt;=58,ROUNDDOWN(S31/52,1)&amp;" years",
AND(S31&gt;=52,S31&lt;58),ROUNDDOWN(S31/52,1)&amp;" year",
AND(S31&gt;=5,S31&lt;52),ROUNDDOWN(S31/(53/12),1)&amp;" mths",
AND(S31&gt;=2,S31&lt;5),S31&amp;" weeks",
S31=1,S31&amp;" week",
TRUE,S31&amp;" weeks"),
K31=$U$30,
_xlfn.IFS(
OR(S31=12,S31=13),ROUNDDOWN(S31/12,1)&amp;" year",
TRUE,ROUNDDOWN(S31/12,1)&amp;" years"),
TRUE,""
)</f>
        <v>0 weeks</v>
      </c>
      <c r="P31" s="5058"/>
      <c r="Q31" s="5058"/>
      <c r="R31" s="5058"/>
      <c r="S31" s="3060" cm="1">
        <f t="array" ref="S31">IF(OR(C32="",G32=""),0,
IF(G32=$U$25,
_xlfn.IFS(
OR(K31=$U$28,K31=""),_xlfn.DAYS($U$26,C32),
K31=$U$29,ROUNDDOWN(_xlfn.DAYS($U$26,C32)/7,0),
K31=$U$30,ROUNDDOWN(_xlfn.DAYS($U$26,C32)/31,0),
TRUE,""),
_xlfn.IFS(
OR(K31=$U$28,K31=""),_xlfn.DAYS(G32,C32),
K31=$U$29,ROUNDDOWN(_xlfn.DAYS(G32,C32)/7,0),
K31=$U$30,ROUNDDOWN(_xlfn.DAYS(G32,C32)/31,0),
TRUE,"")
)
)</f>
        <v>0</v>
      </c>
      <c r="T31" s="3163"/>
      <c r="U31" s="155"/>
      <c r="V31" s="3115"/>
      <c r="W31" s="155"/>
      <c r="X31" s="3062"/>
      <c r="Y31" s="3062"/>
      <c r="Z31" s="3062"/>
      <c r="AA31" s="3062"/>
      <c r="AB31" s="3161"/>
      <c r="AC31" s="2871"/>
      <c r="AD31" s="2871"/>
      <c r="AE31" s="2871"/>
      <c r="AF31" s="2871"/>
      <c r="AG31" s="2871"/>
      <c r="AH31" s="2871"/>
      <c r="AI31" s="2871"/>
      <c r="AJ31" s="2871"/>
      <c r="AK31" s="2871"/>
      <c r="AL31" s="2871"/>
      <c r="AM31" s="2871"/>
      <c r="AN31" s="2871"/>
      <c r="AO31" s="2871"/>
      <c r="AP31" s="2871"/>
      <c r="AQ31" s="2871"/>
      <c r="AR31" s="2871"/>
      <c r="AS31" s="2871"/>
      <c r="AT31" s="2871"/>
      <c r="AU31" s="2871"/>
      <c r="AV31" s="2871"/>
      <c r="AW31" s="2871"/>
      <c r="AX31" s="2871"/>
      <c r="AY31" s="2871"/>
      <c r="AZ31" s="2871"/>
      <c r="BA31" s="2871"/>
      <c r="BB31" s="2871"/>
      <c r="BC31" s="2871"/>
      <c r="BD31" s="2871"/>
      <c r="BE31" s="2871"/>
      <c r="BF31" s="2871"/>
      <c r="BG31" s="2871"/>
      <c r="BH31" s="2871"/>
      <c r="BI31" s="2871"/>
      <c r="BJ31" s="2871"/>
      <c r="BK31" s="2871"/>
      <c r="BL31" s="2871"/>
      <c r="BM31" s="2871"/>
      <c r="BN31" s="2871"/>
      <c r="BO31" s="2871"/>
      <c r="BP31" s="2984"/>
      <c r="BQ31" s="2871"/>
      <c r="BR31" s="2871"/>
      <c r="BS31" s="2871"/>
      <c r="BT31" s="2871"/>
      <c r="BU31" s="1757"/>
      <c r="BV31" s="1757"/>
      <c r="BW31" s="1757"/>
      <c r="BX31" s="1757"/>
      <c r="BY31" s="1757"/>
      <c r="BZ31" s="1757"/>
      <c r="CA31" s="3"/>
      <c r="CK31" s="1513"/>
      <c r="CL31" s="1513"/>
      <c r="CM31" s="1513"/>
      <c r="CN31" s="1513"/>
      <c r="CO31" s="1513"/>
      <c r="CP31" s="1513"/>
      <c r="CQ31" s="1513"/>
      <c r="CR31" s="1513"/>
      <c r="CS31" s="1513"/>
      <c r="CT31" s="1513"/>
      <c r="CU31" s="1513"/>
      <c r="CV31" s="1513"/>
      <c r="CW31" s="1513"/>
      <c r="CX31" s="1513"/>
      <c r="CY31" s="1513"/>
      <c r="CZ31" s="1513"/>
      <c r="DA31" s="1513"/>
      <c r="DB31" s="1513"/>
      <c r="DC31" s="1513"/>
      <c r="DD31" s="1513"/>
      <c r="DE31" s="1513"/>
      <c r="DF31" s="1513"/>
      <c r="DG31" s="1513"/>
      <c r="DH31" s="1513"/>
      <c r="DI31" s="1513"/>
      <c r="DJ31" s="1513"/>
      <c r="DK31" s="1513"/>
      <c r="DL31" s="1513"/>
      <c r="DM31" s="1513"/>
      <c r="DN31" s="1513"/>
      <c r="DO31" s="1513"/>
      <c r="DP31" s="1513"/>
      <c r="DQ31" s="1513"/>
      <c r="DR31" s="1513"/>
      <c r="DS31" s="1513"/>
      <c r="DT31" s="1513"/>
      <c r="DU31" s="1513"/>
      <c r="DV31" s="1513"/>
      <c r="DW31" s="1513"/>
      <c r="DX31" s="1513"/>
      <c r="DY31" s="1513"/>
      <c r="DZ31" s="1513"/>
      <c r="EA31" s="1513"/>
      <c r="EB31" s="1513"/>
      <c r="EC31" s="1513"/>
      <c r="ED31" s="1513"/>
      <c r="EE31" s="1513"/>
      <c r="EF31" s="1513"/>
      <c r="EG31" s="1513"/>
      <c r="EH31" s="1513"/>
      <c r="EI31" s="1513"/>
      <c r="EJ31" s="1513"/>
      <c r="EK31" s="1513"/>
      <c r="EL31" s="1513"/>
      <c r="EM31" s="1513"/>
      <c r="EN31" s="1513"/>
      <c r="EO31" s="1513"/>
      <c r="EP31" s="1513"/>
      <c r="EQ31" s="1513"/>
      <c r="ER31" s="1513"/>
      <c r="ES31" s="1513"/>
      <c r="ET31" s="1513"/>
      <c r="EU31" s="1513"/>
      <c r="EV31" s="1513"/>
      <c r="EW31" s="1513"/>
      <c r="EX31" s="1513"/>
      <c r="EY31" s="1513"/>
      <c r="EZ31" s="1513"/>
      <c r="FA31" s="1513"/>
      <c r="FB31" s="1513"/>
      <c r="FC31" s="1513"/>
      <c r="FD31" s="1513"/>
      <c r="FE31" s="1513"/>
      <c r="FF31" s="1513"/>
      <c r="FG31" s="1513"/>
      <c r="FH31" s="1513"/>
      <c r="FI31" s="1513"/>
      <c r="FJ31" s="1513"/>
    </row>
    <row r="32" spans="1:166" ht="17.100000000000001" customHeight="1" x14ac:dyDescent="0.2">
      <c r="A32" s="3"/>
      <c r="B32" s="10"/>
      <c r="C32" s="5059"/>
      <c r="D32" s="5059"/>
      <c r="E32" s="5059"/>
      <c r="F32" s="3057" t="str">
        <f t="shared" ref="F32" si="29">IF(C32="","","to")</f>
        <v/>
      </c>
      <c r="G32" s="5059"/>
      <c r="H32" s="5059"/>
      <c r="I32" s="5059"/>
      <c r="J32" s="5060">
        <v>0</v>
      </c>
      <c r="K32" s="5061"/>
      <c r="L32" s="5062" t="str" cm="1">
        <f t="array" ref="L32">IF(J32=1,
_xlfn.IFS(
K31=$U$28,"day missed in",
K31=$U$29,"week missed in",
K31=$U$30,"month missed in",
TRUE,""
),
_xlfn.IFS(
K31=$U$28,"days missed in",
K31=$U$29,"weeks missed in",
K31=$U$30,"months missed in",
TRUE,""
)
)</f>
        <v>weeks missed in</v>
      </c>
      <c r="M32" s="5062"/>
      <c r="N32" s="5062"/>
      <c r="O32" s="5062"/>
      <c r="P32" s="5063" t="str" cm="1">
        <f t="array" ref="P32">_xlfn.IFS(
K31=$U$28,TEXT(S31,"#,##0")&amp;IF(S31=1," day"," days"),
K31=$U$29,TEXT(S31,"#,##0")&amp;IF(S31=1," week"," weeks"),
K31=$U$30,TEXT(S31,"#,##0")&amp;IF(S31=1," month"," months"),
TRUE,""
)</f>
        <v>0 weeks</v>
      </c>
      <c r="Q32" s="5063"/>
      <c r="R32" s="5063"/>
      <c r="S32" s="3061" cm="1">
        <f t="array" ref="S32">IF(G32=$U$25,
_xlfn.IFS(
OR(C32="",G32=""),0,
K31=$U$28,_xlfn.DAYS($U$26-J32,C32),
K31=$U$29,ROUNDDOWN((_xlfn.DAYS($U$26,C32)/7)-J32,0),
K31=$U$30,ROUNDDOWN((_xlfn.DAYS($U$26,C32)/31)-J32,0),
TRUE,""),
_xlfn.IFS(
OR(C32="",G32=""),0,
K31=$U$28,_xlfn.DAYS(G32-J32,C32),
K31=$U$29,ROUNDDOWN((_xlfn.DAYS(G32,C32)/7)-J32,0),
K31=$U$30,ROUNDDOWN((_xlfn.DAYS(G32,C32)/31)-J32,0),
TRUE,"")
)</f>
        <v>0</v>
      </c>
      <c r="T32" s="3163"/>
      <c r="U32" s="2564" t="s">
        <v>2098</v>
      </c>
      <c r="V32" s="155"/>
      <c r="W32" s="19"/>
      <c r="X32" s="3062"/>
      <c r="Y32" s="3062"/>
      <c r="Z32" s="3062"/>
      <c r="AA32" s="3062"/>
      <c r="AB32" s="3161"/>
      <c r="AC32" s="2871"/>
      <c r="AD32" s="2871"/>
      <c r="AE32" s="2871"/>
      <c r="AF32" s="2871"/>
      <c r="AG32" s="2871"/>
      <c r="AH32" s="2871"/>
      <c r="AI32" s="2871"/>
      <c r="AJ32" s="2871"/>
      <c r="AK32" s="2871"/>
      <c r="AL32" s="2871"/>
      <c r="AM32" s="2871"/>
      <c r="AN32" s="2871"/>
      <c r="AO32" s="2871"/>
      <c r="AP32" s="2871"/>
      <c r="AQ32" s="2871"/>
      <c r="AR32" s="2871"/>
      <c r="AS32" s="2871"/>
      <c r="AT32" s="2871"/>
      <c r="AU32" s="2871"/>
      <c r="AV32" s="2871"/>
      <c r="AW32" s="2871"/>
      <c r="AX32" s="2871"/>
      <c r="AY32" s="2871"/>
      <c r="AZ32" s="2871"/>
      <c r="BA32" s="2871"/>
      <c r="BB32" s="2871"/>
      <c r="BC32" s="2871"/>
      <c r="BD32" s="2871"/>
      <c r="BE32" s="2871"/>
      <c r="BF32" s="2871"/>
      <c r="BG32" s="2871"/>
      <c r="BH32" s="2871"/>
      <c r="BI32" s="2871"/>
      <c r="BJ32" s="2871"/>
      <c r="BK32" s="2871"/>
      <c r="BL32" s="2871"/>
      <c r="BM32" s="2871"/>
      <c r="BN32" s="2871"/>
      <c r="BO32" s="2871"/>
      <c r="BP32" s="2984"/>
      <c r="BQ32" s="2871"/>
      <c r="BR32" s="2871"/>
      <c r="BS32" s="2871"/>
      <c r="BT32" s="2871"/>
      <c r="BU32" s="1757"/>
      <c r="BV32" s="1757"/>
      <c r="BW32" s="1757"/>
      <c r="BX32" s="1757"/>
      <c r="BY32" s="1757"/>
      <c r="BZ32" s="1757"/>
      <c r="CA32" s="3"/>
      <c r="CK32" s="1513"/>
      <c r="CL32" s="1513"/>
      <c r="CM32" s="1513"/>
      <c r="CN32" s="1513"/>
      <c r="CO32" s="1513"/>
      <c r="CP32" s="1513"/>
      <c r="CQ32" s="1513"/>
      <c r="CR32" s="1513"/>
      <c r="CS32" s="1513"/>
      <c r="CT32" s="1513"/>
      <c r="CU32" s="1513"/>
      <c r="CV32" s="1513"/>
      <c r="CW32" s="1513"/>
      <c r="CX32" s="1513"/>
      <c r="CY32" s="1513"/>
      <c r="CZ32" s="1513"/>
      <c r="DA32" s="1513"/>
      <c r="DB32" s="1513"/>
      <c r="DC32" s="1513"/>
      <c r="DD32" s="1513"/>
      <c r="DE32" s="1513"/>
      <c r="DF32" s="1513"/>
      <c r="DG32" s="1513"/>
      <c r="DH32" s="1513"/>
      <c r="DI32" s="1513"/>
      <c r="DJ32" s="1513"/>
      <c r="DK32" s="1513"/>
      <c r="DL32" s="1513"/>
      <c r="DM32" s="1513"/>
      <c r="DN32" s="1513"/>
      <c r="DO32" s="1513"/>
      <c r="DP32" s="1513"/>
      <c r="DQ32" s="1513"/>
      <c r="DR32" s="1513"/>
      <c r="DS32" s="1513"/>
      <c r="DT32" s="1513"/>
      <c r="DU32" s="1513"/>
      <c r="DV32" s="1513"/>
      <c r="DW32" s="1513"/>
      <c r="DX32" s="1513"/>
      <c r="DY32" s="1513"/>
      <c r="DZ32" s="1513"/>
      <c r="EA32" s="1513"/>
      <c r="EB32" s="1513"/>
      <c r="EC32" s="1513"/>
      <c r="ED32" s="1513"/>
      <c r="EE32" s="1513"/>
      <c r="EF32" s="1513"/>
      <c r="EG32" s="1513"/>
      <c r="EH32" s="1513"/>
      <c r="EI32" s="1513"/>
      <c r="EJ32" s="1513"/>
      <c r="EK32" s="1513"/>
      <c r="EL32" s="1513"/>
      <c r="EM32" s="1513"/>
      <c r="EN32" s="1513"/>
      <c r="EO32" s="1513"/>
      <c r="EP32" s="1513"/>
      <c r="EQ32" s="1513"/>
      <c r="ER32" s="1513"/>
      <c r="ES32" s="1513"/>
      <c r="ET32" s="1513"/>
      <c r="EU32" s="1513"/>
      <c r="EV32" s="1513"/>
      <c r="EW32" s="1513"/>
      <c r="EX32" s="1513"/>
      <c r="EY32" s="1513"/>
      <c r="EZ32" s="1513"/>
      <c r="FA32" s="1513"/>
      <c r="FB32" s="1513"/>
      <c r="FC32" s="1513"/>
      <c r="FD32" s="1513"/>
      <c r="FE32" s="1513"/>
      <c r="FF32" s="1513"/>
      <c r="FG32" s="1513"/>
      <c r="FH32" s="1513"/>
      <c r="FI32" s="1513"/>
      <c r="FJ32" s="1513"/>
    </row>
    <row r="33" spans="1:168" ht="17.100000000000001" customHeight="1" x14ac:dyDescent="0.25">
      <c r="A33" s="3"/>
      <c r="C33" s="5065"/>
      <c r="D33" s="5065"/>
      <c r="E33" s="5065"/>
      <c r="F33" s="5065"/>
      <c r="G33" s="5065"/>
      <c r="H33" s="5065"/>
      <c r="I33" s="5065"/>
      <c r="J33" s="5065"/>
      <c r="K33" s="3113" t="s">
        <v>45</v>
      </c>
      <c r="L33" s="5057">
        <f t="shared" ref="L33" si="30">IFERROR(IF(OR(C34="",G34=""),0,S34/S33),"?")</f>
        <v>0</v>
      </c>
      <c r="M33" s="5057"/>
      <c r="N33" s="3056" t="str">
        <f t="shared" ref="N33" si="31">IF(J34&gt;=1,"of","")</f>
        <v/>
      </c>
      <c r="O33" s="5058" t="str" cm="1">
        <f t="array" ref="O33">_xlfn.IFS(
OR(K33=$U$28,K33=""),
_xlfn.IFS(
S33&gt;=402,ROUNDDOWN(S33/365,1)&amp;" years",
AND(S33&gt;=365,S33&lt;402),ROUNDDOWN(S33/365,1)&amp;" year",
AND(S33&gt;=34,S33&lt;365),ROUNDDOWN(S33/(365/12),1)&amp;" mths",
AND(S33&gt;=31,S33&lt;34),ROUNDDOWN(S33/(365/12),1)&amp;" month",
AND(S33&gt;=4,S33&lt;31),ROUNDDOWN(S33/(365/12),1)&amp;" mths",
TRUE,S33*24&amp;" hours"),
K33=$U$29,
_xlfn.IFS(
S33&gt;=58,ROUNDDOWN(S33/52,1)&amp;" years",
AND(S33&gt;=52,S33&lt;58),ROUNDDOWN(S33/52,1)&amp;" year",
AND(S33&gt;=5,S33&lt;52),ROUNDDOWN(S33/(53/12),1)&amp;" mths",
AND(S33&gt;=2,S33&lt;5),S33&amp;" weeks",
S33=1,S33&amp;" week",
TRUE,S33&amp;" weeks"),
K33=$U$30,
_xlfn.IFS(
OR(S33=12,S33=13),ROUNDDOWN(S33/12,1)&amp;" year",
TRUE,ROUNDDOWN(S33/12,1)&amp;" years"),
TRUE,""
)</f>
        <v>0 weeks</v>
      </c>
      <c r="P33" s="5058"/>
      <c r="Q33" s="5058"/>
      <c r="R33" s="5058"/>
      <c r="S33" s="3060" cm="1">
        <f t="array" ref="S33">IF(OR(C34="",G34=""),0,
IF(G34=$U$25,
_xlfn.IFS(
OR(K33=$U$28,K33=""),_xlfn.DAYS($U$26,C34),
K33=$U$29,ROUNDDOWN(_xlfn.DAYS($U$26,C34)/7,0),
K33=$U$30,ROUNDDOWN(_xlfn.DAYS($U$26,C34)/31,0),
TRUE,""),
_xlfn.IFS(
OR(K33=$U$28,K33=""),_xlfn.DAYS(G34,C34),
K33=$U$29,ROUNDDOWN(_xlfn.DAYS(G34,C34)/7,0),
K33=$U$30,ROUNDDOWN(_xlfn.DAYS(G34,C34)/31,0),
TRUE,"")
)
)</f>
        <v>0</v>
      </c>
      <c r="T33" s="3163"/>
      <c r="U33" s="2564" t="s">
        <v>2097</v>
      </c>
      <c r="V33" s="19"/>
      <c r="W33" s="19"/>
      <c r="X33" s="3062"/>
      <c r="Y33" s="19"/>
      <c r="Z33" s="3062"/>
      <c r="AA33" s="3062"/>
      <c r="AB33" s="3161"/>
      <c r="AC33" s="2871"/>
      <c r="AD33" s="2871"/>
      <c r="AE33" s="2871"/>
      <c r="AF33" s="2871"/>
      <c r="AG33" s="2871"/>
      <c r="AH33" s="2871"/>
      <c r="AI33" s="2871"/>
      <c r="AJ33" s="2871"/>
      <c r="AK33" s="2871"/>
      <c r="AL33" s="2871"/>
      <c r="AM33" s="2871"/>
      <c r="AN33" s="2871"/>
      <c r="AO33" s="2871"/>
      <c r="AP33" s="2871"/>
      <c r="AQ33" s="2871"/>
      <c r="AR33" s="2871"/>
      <c r="AS33" s="2871"/>
      <c r="AT33" s="2871"/>
      <c r="AU33" s="2871"/>
      <c r="AV33" s="2871"/>
      <c r="AW33" s="2871"/>
      <c r="AX33" s="2871"/>
      <c r="AY33" s="2871"/>
      <c r="AZ33" s="2871"/>
      <c r="BA33" s="2871"/>
      <c r="BB33" s="2871"/>
      <c r="BC33" s="2871"/>
      <c r="BD33" s="2871"/>
      <c r="BE33" s="2871"/>
      <c r="BF33" s="2871"/>
      <c r="BG33" s="2871"/>
      <c r="BH33" s="2871"/>
      <c r="BI33" s="2871"/>
      <c r="BJ33" s="2871"/>
      <c r="BK33" s="2871"/>
      <c r="BL33" s="2871"/>
      <c r="BM33" s="2871"/>
      <c r="BN33" s="2871"/>
      <c r="BO33" s="2871"/>
      <c r="BP33" s="2984"/>
      <c r="BQ33" s="2871"/>
      <c r="BR33" s="2871"/>
      <c r="BS33" s="2871"/>
      <c r="BT33" s="2871"/>
      <c r="BU33" s="1757"/>
      <c r="BV33" s="1757"/>
      <c r="BW33" s="1757"/>
      <c r="BX33" s="1757"/>
      <c r="BY33" s="1757"/>
      <c r="BZ33" s="1757"/>
      <c r="CA33" s="3"/>
      <c r="CK33" s="1513"/>
      <c r="CL33" s="1513"/>
      <c r="CM33" s="1513"/>
      <c r="CN33" s="1513"/>
      <c r="CO33" s="1513"/>
      <c r="CP33" s="1513"/>
      <c r="CQ33" s="1513"/>
      <c r="CR33" s="1513"/>
      <c r="CS33" s="1513"/>
      <c r="CT33" s="1513"/>
      <c r="CU33" s="1513"/>
      <c r="CV33" s="1513"/>
      <c r="CW33" s="1513"/>
      <c r="CX33" s="1513"/>
      <c r="CY33" s="1513"/>
      <c r="CZ33" s="1513"/>
      <c r="DA33" s="1513"/>
      <c r="DB33" s="1513"/>
      <c r="DC33" s="1513"/>
      <c r="DD33" s="1513"/>
      <c r="DE33" s="1513"/>
      <c r="DF33" s="1513"/>
      <c r="DG33" s="1513"/>
      <c r="DH33" s="1513"/>
      <c r="DI33" s="1513"/>
      <c r="DJ33" s="1513"/>
      <c r="DK33" s="1513"/>
      <c r="DL33" s="1513"/>
      <c r="DM33" s="1513"/>
      <c r="DN33" s="1513"/>
      <c r="DO33" s="1513"/>
      <c r="DP33" s="1513"/>
      <c r="DQ33" s="1513"/>
      <c r="DR33" s="1513"/>
      <c r="DS33" s="1513"/>
      <c r="DT33" s="1513"/>
      <c r="DU33" s="1513"/>
      <c r="DV33" s="1513"/>
      <c r="DW33" s="1513"/>
      <c r="DX33" s="1513"/>
      <c r="DY33" s="1513"/>
      <c r="DZ33" s="1513"/>
      <c r="EA33" s="1513"/>
      <c r="EB33" s="1513"/>
      <c r="EC33" s="1513"/>
      <c r="ED33" s="1513"/>
      <c r="EE33" s="1513"/>
      <c r="EF33" s="1513"/>
      <c r="EG33" s="1513"/>
      <c r="EH33" s="1513"/>
      <c r="EI33" s="1513"/>
      <c r="EJ33" s="1513"/>
      <c r="EK33" s="1513"/>
      <c r="EL33" s="1513"/>
      <c r="EM33" s="1513"/>
      <c r="EN33" s="1513"/>
      <c r="EO33" s="1513"/>
      <c r="EP33" s="1513"/>
      <c r="EQ33" s="1513"/>
      <c r="ER33" s="1513"/>
      <c r="ES33" s="1513"/>
      <c r="ET33" s="1513"/>
      <c r="EU33" s="1513"/>
      <c r="EV33" s="1513"/>
      <c r="EW33" s="1513"/>
      <c r="EX33" s="1513"/>
      <c r="EY33" s="1513"/>
      <c r="EZ33" s="1513"/>
      <c r="FA33" s="1513"/>
      <c r="FB33" s="1513"/>
      <c r="FC33" s="1513"/>
      <c r="FD33" s="1513"/>
      <c r="FE33" s="1513"/>
      <c r="FF33" s="1513"/>
      <c r="FG33" s="1513"/>
      <c r="FH33" s="1513"/>
      <c r="FI33" s="1513"/>
      <c r="FJ33" s="1513"/>
    </row>
    <row r="34" spans="1:168" ht="17.100000000000001" customHeight="1" x14ac:dyDescent="0.2">
      <c r="A34" s="3"/>
      <c r="B34" s="10"/>
      <c r="C34" s="5059"/>
      <c r="D34" s="5059"/>
      <c r="E34" s="5059"/>
      <c r="F34" s="3057" t="str">
        <f t="shared" ref="F34" si="32">IF(C34="","","to")</f>
        <v/>
      </c>
      <c r="G34" s="5059"/>
      <c r="H34" s="5059"/>
      <c r="I34" s="5059"/>
      <c r="J34" s="5060">
        <v>0</v>
      </c>
      <c r="K34" s="5061"/>
      <c r="L34" s="5062" t="str" cm="1">
        <f t="array" ref="L34">IF(J34=1,
_xlfn.IFS(
K33=$U$28,"day missed in",
K33=$U$29,"week missed in",
K33=$U$30,"month missed in",
TRUE,""
),
_xlfn.IFS(
K33=$U$28,"days missed in",
K33=$U$29,"weeks missed in",
K33=$U$30,"months missed in",
TRUE,""
)
)</f>
        <v>weeks missed in</v>
      </c>
      <c r="M34" s="5062"/>
      <c r="N34" s="5062"/>
      <c r="O34" s="5062"/>
      <c r="P34" s="5063" t="str" cm="1">
        <f t="array" ref="P34">_xlfn.IFS(
K33=$U$28,TEXT(S33,"#,##0")&amp;IF(S33=1," day"," days"),
K33=$U$29,TEXT(S33,"#,##0")&amp;IF(S33=1," week"," weeks"),
K33=$U$30,TEXT(S33,"#,##0")&amp;IF(S33=1," month"," months"),
TRUE,""
)</f>
        <v>0 weeks</v>
      </c>
      <c r="Q34" s="5063"/>
      <c r="R34" s="5063"/>
      <c r="S34" s="3061" cm="1">
        <f t="array" ref="S34">IF(G34=$U$25,
_xlfn.IFS(
OR(C34="",G34=""),0,
K33=$U$28,_xlfn.DAYS($U$26-J34,C34),
K33=$U$29,ROUNDDOWN((_xlfn.DAYS($U$26,C34)/7)-J34,0),
K33=$U$30,ROUNDDOWN((_xlfn.DAYS($U$26,C34)/31)-J34,0),
TRUE,""),
_xlfn.IFS(
OR(C34="",G34=""),0,
K33=$U$28,_xlfn.DAYS(G34-J34,C34),
K33=$U$29,ROUNDDOWN((_xlfn.DAYS(G34,C34)/7)-J34,0),
K33=$U$30,ROUNDDOWN((_xlfn.DAYS(G34,C34)/31)-J34,0),
TRUE,"")
)</f>
        <v>0</v>
      </c>
      <c r="T34" s="3163"/>
      <c r="U34" s="2565" t="s">
        <v>2099</v>
      </c>
      <c r="V34" s="19"/>
      <c r="W34" s="19"/>
      <c r="X34" s="3062"/>
      <c r="Y34" s="19"/>
      <c r="Z34" s="3062"/>
      <c r="AA34" s="3062"/>
      <c r="AB34" s="3161"/>
      <c r="AC34" s="2871"/>
      <c r="AD34" s="2871"/>
      <c r="AE34" s="2871"/>
      <c r="AF34" s="2871"/>
      <c r="AG34" s="2871"/>
      <c r="AH34" s="2871"/>
      <c r="AI34" s="2871"/>
      <c r="AJ34" s="2871"/>
      <c r="AK34" s="2871"/>
      <c r="AL34" s="2871"/>
      <c r="AM34" s="2871"/>
      <c r="AN34" s="2871"/>
      <c r="AO34" s="2871"/>
      <c r="AP34" s="2871"/>
      <c r="AQ34" s="2871"/>
      <c r="AR34" s="2871"/>
      <c r="AS34" s="2871"/>
      <c r="AT34" s="2871"/>
      <c r="AU34" s="2871"/>
      <c r="AV34" s="2871"/>
      <c r="AW34" s="2871"/>
      <c r="AX34" s="2871"/>
      <c r="AY34" s="2871"/>
      <c r="AZ34" s="2871"/>
      <c r="BA34" s="2871"/>
      <c r="BB34" s="2871"/>
      <c r="BC34" s="2871"/>
      <c r="BD34" s="2871"/>
      <c r="BE34" s="2871"/>
      <c r="BF34" s="2871"/>
      <c r="BG34" s="2871"/>
      <c r="BH34" s="2871"/>
      <c r="BI34" s="2871"/>
      <c r="BJ34" s="2871"/>
      <c r="BK34" s="2871"/>
      <c r="BL34" s="2871"/>
      <c r="BM34" s="2871"/>
      <c r="BN34" s="2871"/>
      <c r="BO34" s="2871"/>
      <c r="BP34" s="2871"/>
      <c r="BQ34" s="2985"/>
      <c r="BR34" s="2986"/>
      <c r="BS34" s="2986"/>
      <c r="BT34" s="2985"/>
      <c r="BU34" s="3116"/>
      <c r="BV34" s="3116"/>
      <c r="BW34" s="3116"/>
      <c r="BX34" s="3116"/>
      <c r="BY34" s="3116"/>
      <c r="BZ34" s="1757"/>
      <c r="CA34" s="3"/>
      <c r="CK34" s="1513"/>
      <c r="CL34" s="1513"/>
      <c r="CM34" s="1513"/>
      <c r="CN34" s="1513"/>
      <c r="CO34" s="1513"/>
      <c r="CP34" s="1513"/>
      <c r="CQ34" s="1513"/>
      <c r="CR34" s="1513"/>
      <c r="CS34" s="1513"/>
      <c r="CT34" s="1513"/>
      <c r="CU34" s="1513"/>
      <c r="CV34" s="1513"/>
      <c r="CW34" s="1513"/>
      <c r="CX34" s="1513"/>
      <c r="CY34" s="1513"/>
      <c r="CZ34" s="1513"/>
      <c r="DA34" s="1513"/>
      <c r="DB34" s="1513"/>
      <c r="DC34" s="1513"/>
      <c r="DD34" s="1513"/>
      <c r="DE34" s="1513"/>
      <c r="DF34" s="1513"/>
      <c r="DG34" s="1513"/>
      <c r="DH34" s="1513"/>
      <c r="DI34" s="1513"/>
      <c r="DJ34" s="1513"/>
      <c r="DK34" s="1513"/>
      <c r="DL34" s="1513"/>
      <c r="DM34" s="1513"/>
      <c r="DN34" s="1513"/>
      <c r="DO34" s="1513"/>
      <c r="DP34" s="1513"/>
      <c r="DQ34" s="1513"/>
      <c r="DR34" s="1513"/>
      <c r="DS34" s="1513"/>
      <c r="DT34" s="1513"/>
      <c r="DU34" s="1513"/>
      <c r="DV34" s="1513"/>
      <c r="DW34" s="1513"/>
      <c r="DX34" s="1513"/>
      <c r="DY34" s="1513"/>
      <c r="DZ34" s="1513"/>
      <c r="EA34" s="1513"/>
      <c r="EB34" s="1513"/>
      <c r="EC34" s="1513"/>
      <c r="ED34" s="1513"/>
      <c r="EE34" s="1513"/>
      <c r="EF34" s="1513"/>
      <c r="EG34" s="1513"/>
      <c r="EH34" s="1513"/>
      <c r="EI34" s="1513"/>
      <c r="EJ34" s="1513"/>
      <c r="EK34" s="1513"/>
      <c r="EL34" s="1513"/>
      <c r="EM34" s="1513"/>
      <c r="EN34" s="1513"/>
      <c r="EO34" s="1513"/>
      <c r="EP34" s="1513"/>
      <c r="EQ34" s="1513"/>
      <c r="ER34" s="1513"/>
      <c r="ES34" s="1513"/>
      <c r="ET34" s="1513"/>
      <c r="EU34" s="1513"/>
      <c r="EV34" s="1513"/>
      <c r="EW34" s="1513"/>
      <c r="EX34" s="1513"/>
      <c r="EY34" s="1513"/>
      <c r="EZ34" s="1513"/>
      <c r="FA34" s="1513"/>
      <c r="FB34" s="1513"/>
      <c r="FC34" s="1513"/>
      <c r="FD34" s="1513"/>
      <c r="FE34" s="1513"/>
      <c r="FF34" s="1513"/>
      <c r="FG34" s="1513"/>
      <c r="FH34" s="1513"/>
      <c r="FI34" s="1513"/>
      <c r="FJ34" s="1513"/>
    </row>
    <row r="35" spans="1:168" ht="17.100000000000001" customHeight="1" x14ac:dyDescent="0.25">
      <c r="A35" s="3"/>
      <c r="C35" s="5065"/>
      <c r="D35" s="5065"/>
      <c r="E35" s="5065"/>
      <c r="F35" s="5065"/>
      <c r="G35" s="5065"/>
      <c r="H35" s="5065"/>
      <c r="I35" s="5065"/>
      <c r="J35" s="5065"/>
      <c r="K35" s="3113" t="s">
        <v>44</v>
      </c>
      <c r="L35" s="5057">
        <f t="shared" ref="L35" si="33">IFERROR(IF(OR(C36="",G36=""),0,S36/S35),"?")</f>
        <v>0</v>
      </c>
      <c r="M35" s="5057"/>
      <c r="N35" s="3056" t="str">
        <f t="shared" ref="N35" si="34">IF(J36&gt;=1,"of","")</f>
        <v/>
      </c>
      <c r="O35" s="5058" t="str" cm="1">
        <f t="array" ref="O35">_xlfn.IFS(
OR(K35=$U$28,K35=""),
_xlfn.IFS(
S35&gt;=402,ROUNDDOWN(S35/365,1)&amp;" years",
AND(S35&gt;=365,S35&lt;402),ROUNDDOWN(S35/365,1)&amp;" year",
AND(S35&gt;=34,S35&lt;365),ROUNDDOWN(S35/(365/12),1)&amp;" mths",
AND(S35&gt;=31,S35&lt;34),ROUNDDOWN(S35/(365/12),1)&amp;" month",
AND(S35&gt;=4,S35&lt;31),ROUNDDOWN(S35/(365/12),1)&amp;" mths",
TRUE,S35*24&amp;" hours"),
K35=$U$29,
_xlfn.IFS(
S35&gt;=58,ROUNDDOWN(S35/52,1)&amp;" years",
AND(S35&gt;=52,S35&lt;58),ROUNDDOWN(S35/52,1)&amp;" year",
AND(S35&gt;=5,S35&lt;52),ROUNDDOWN(S35/(53/12),1)&amp;" mths",
AND(S35&gt;=2,S35&lt;5),S35&amp;" weeks",
S35=1,S35&amp;" week",
TRUE,S35&amp;" weeks"),
K35=$U$30,
_xlfn.IFS(
OR(S35=12,S35=13),ROUNDDOWN(S35/12,1)&amp;" year",
TRUE,ROUNDDOWN(S35/12,1)&amp;" years"),
TRUE,""
)</f>
        <v>0 hours</v>
      </c>
      <c r="P35" s="5058"/>
      <c r="Q35" s="5058"/>
      <c r="R35" s="5058"/>
      <c r="S35" s="3060" cm="1">
        <f t="array" ref="S35">IF(OR(C36="",G36=""),0,
IF(G36=$U$25,
_xlfn.IFS(
OR(K35=$U$28,K35=""),_xlfn.DAYS($U$26,C36),
K35=$U$29,ROUNDDOWN(_xlfn.DAYS($U$26,C36)/7,0),
K35=$U$30,ROUNDDOWN(_xlfn.DAYS($U$26,C36)/31,0),
TRUE,""),
_xlfn.IFS(
OR(K35=$U$28,K35=""),_xlfn.DAYS(G36,C36),
K35=$U$29,ROUNDDOWN(_xlfn.DAYS(G36,C36)/7,0),
K35=$U$30,ROUNDDOWN(_xlfn.DAYS(G36,C36)/31,0),
TRUE,"")
)
)</f>
        <v>0</v>
      </c>
      <c r="T35" s="3163"/>
      <c r="U35" s="309" t="s">
        <v>2100</v>
      </c>
      <c r="V35" s="19"/>
      <c r="W35" s="19"/>
      <c r="X35" s="3062"/>
      <c r="Y35" s="19"/>
      <c r="Z35" s="3062"/>
      <c r="AA35" s="3062"/>
      <c r="AB35" s="3161"/>
      <c r="AC35" s="2871"/>
      <c r="AD35" s="2871"/>
      <c r="AE35" s="2871"/>
      <c r="AF35" s="2871"/>
      <c r="AG35" s="2871"/>
      <c r="AH35" s="2871"/>
      <c r="AI35" s="2871"/>
      <c r="AJ35" s="2871"/>
      <c r="AK35" s="2871"/>
      <c r="AL35" s="2871"/>
      <c r="AM35" s="2871"/>
      <c r="AN35" s="2871"/>
      <c r="AO35" s="2871"/>
      <c r="AP35" s="2871"/>
      <c r="AQ35" s="2871"/>
      <c r="AR35" s="2871"/>
      <c r="AS35" s="2871"/>
      <c r="AT35" s="2871"/>
      <c r="AU35" s="2871"/>
      <c r="AV35" s="2871"/>
      <c r="AW35" s="2871"/>
      <c r="AX35" s="2871"/>
      <c r="AY35" s="2871"/>
      <c r="AZ35" s="2871"/>
      <c r="BA35" s="2871"/>
      <c r="BB35" s="2871"/>
      <c r="BC35" s="2871"/>
      <c r="BD35" s="2871"/>
      <c r="BE35" s="2871"/>
      <c r="BF35" s="2871"/>
      <c r="BG35" s="2871"/>
      <c r="BH35" s="2871"/>
      <c r="BI35" s="2871"/>
      <c r="BJ35" s="2871"/>
      <c r="BK35" s="2871"/>
      <c r="BL35" s="2871"/>
      <c r="BM35" s="2871"/>
      <c r="BN35" s="2871"/>
      <c r="BO35" s="2871"/>
      <c r="BP35" s="2871"/>
      <c r="BQ35" s="2985"/>
      <c r="BR35" s="2986"/>
      <c r="BS35" s="2986"/>
      <c r="BT35" s="2985"/>
      <c r="BU35" s="3116"/>
      <c r="BV35" s="3116"/>
      <c r="BW35" s="3116"/>
      <c r="BX35" s="3116"/>
      <c r="BY35" s="3116"/>
      <c r="BZ35" s="1757"/>
      <c r="CA35" s="3"/>
      <c r="CK35" s="1513"/>
      <c r="CL35" s="1513"/>
      <c r="CM35" s="1513"/>
      <c r="CN35" s="1513"/>
      <c r="CO35" s="1513"/>
      <c r="CP35" s="1513"/>
      <c r="CQ35" s="1513"/>
      <c r="CR35" s="1513"/>
      <c r="CS35" s="1513"/>
      <c r="CT35" s="1513"/>
      <c r="CU35" s="1513"/>
      <c r="CV35" s="1513"/>
      <c r="CW35" s="1513"/>
      <c r="CX35" s="1513"/>
      <c r="CY35" s="1513"/>
      <c r="CZ35" s="1513"/>
      <c r="DA35" s="1513"/>
      <c r="DB35" s="1513"/>
      <c r="DC35" s="1513"/>
      <c r="DD35" s="1513"/>
      <c r="DE35" s="1513"/>
      <c r="DF35" s="1513"/>
      <c r="DG35" s="1513"/>
      <c r="DH35" s="1513"/>
      <c r="DI35" s="1513"/>
      <c r="DJ35" s="1513"/>
      <c r="DK35" s="1513"/>
      <c r="DL35" s="1513"/>
      <c r="DM35" s="1513"/>
      <c r="DN35" s="1513"/>
      <c r="DO35" s="1513"/>
      <c r="DP35" s="1513"/>
      <c r="DQ35" s="1513"/>
      <c r="DR35" s="1513"/>
      <c r="DS35" s="1513"/>
      <c r="DT35" s="1513"/>
      <c r="DU35" s="1513"/>
      <c r="DV35" s="1513"/>
      <c r="DW35" s="1513"/>
      <c r="DX35" s="1513"/>
      <c r="DY35" s="1513"/>
      <c r="DZ35" s="1513"/>
      <c r="EA35" s="1513"/>
      <c r="EB35" s="1513"/>
      <c r="EC35" s="1513"/>
      <c r="ED35" s="1513"/>
      <c r="EE35" s="1513"/>
      <c r="EF35" s="1513"/>
      <c r="EG35" s="1513"/>
      <c r="EH35" s="1513"/>
      <c r="EI35" s="1513"/>
      <c r="EJ35" s="1513"/>
      <c r="EK35" s="1513"/>
      <c r="EL35" s="1513"/>
      <c r="EM35" s="1513"/>
      <c r="EN35" s="1513"/>
      <c r="EO35" s="1513"/>
      <c r="EP35" s="1513"/>
      <c r="EQ35" s="1513"/>
      <c r="ER35" s="1513"/>
      <c r="ES35" s="1513"/>
      <c r="ET35" s="1513"/>
      <c r="EU35" s="1513"/>
      <c r="EV35" s="1513"/>
      <c r="EW35" s="1513"/>
      <c r="EX35" s="1513"/>
      <c r="EY35" s="1513"/>
      <c r="EZ35" s="1513"/>
      <c r="FA35" s="1513"/>
      <c r="FB35" s="1513"/>
      <c r="FC35" s="1513"/>
      <c r="FD35" s="1513"/>
      <c r="FE35" s="1513"/>
      <c r="FF35" s="1513"/>
      <c r="FG35" s="1513"/>
      <c r="FH35" s="1513"/>
      <c r="FI35" s="1513"/>
      <c r="FJ35" s="1513"/>
    </row>
    <row r="36" spans="1:168" ht="17.100000000000001" customHeight="1" x14ac:dyDescent="0.15">
      <c r="A36" s="3"/>
      <c r="C36" s="5059"/>
      <c r="D36" s="5059"/>
      <c r="E36" s="5059"/>
      <c r="F36" s="3057" t="str">
        <f t="shared" ref="F36" si="35">IF(C36="","","to")</f>
        <v/>
      </c>
      <c r="G36" s="5059"/>
      <c r="H36" s="5059"/>
      <c r="I36" s="5059"/>
      <c r="J36" s="5060">
        <v>0</v>
      </c>
      <c r="K36" s="5061"/>
      <c r="L36" s="5062" t="str" cm="1">
        <f t="array" ref="L36">IF(J36=1,
_xlfn.IFS(
K35=$U$28,"day missed in",
K35=$U$29,"week missed in",
K35=$U$30,"month missed in",
TRUE,""
),
_xlfn.IFS(
K35=$U$28,"days missed in",
K35=$U$29,"weeks missed in",
K35=$U$30,"months missed in",
TRUE,""
)
)</f>
        <v>days missed in</v>
      </c>
      <c r="M36" s="5062"/>
      <c r="N36" s="5062"/>
      <c r="O36" s="5062"/>
      <c r="P36" s="5063" t="str" cm="1">
        <f t="array" ref="P36">_xlfn.IFS(
K35=$U$28,TEXT(S35,"#,##0")&amp;IF(S35=1," day"," days"),
K35=$U$29,TEXT(S35,"#,##0")&amp;IF(S35=1," week"," weeks"),
K35=$U$30,TEXT(S35,"#,##0")&amp;IF(S35=1," month"," months"),
TRUE,""
)</f>
        <v>0 days</v>
      </c>
      <c r="Q36" s="5063"/>
      <c r="R36" s="5063"/>
      <c r="S36" s="3061" cm="1">
        <f t="array" ref="S36">IF(G36=$U$25,
_xlfn.IFS(
OR(C36="",G36=""),0,
K35=$U$28,_xlfn.DAYS($U$26-J36,C36),
K35=$U$29,ROUNDDOWN((_xlfn.DAYS($U$26,C36)/7)-J36,0),
K35=$U$30,ROUNDDOWN((_xlfn.DAYS($U$26,C36)/31)-J36,0),
TRUE,""),
_xlfn.IFS(
OR(C36="",G36=""),0,
K35=$U$28,_xlfn.DAYS(G36-J36,C36),
K35=$U$29,ROUNDDOWN((_xlfn.DAYS(G36,C36)/7)-J36,0),
K35=$U$30,ROUNDDOWN((_xlfn.DAYS(G36,C36)/31)-J36,0),
TRUE,"")
)</f>
        <v>0</v>
      </c>
      <c r="T36" s="3163"/>
      <c r="U36" s="19"/>
      <c r="V36" s="19"/>
      <c r="W36" s="3062"/>
      <c r="X36" s="3062"/>
      <c r="Y36" s="3062"/>
      <c r="Z36" s="3062"/>
      <c r="AA36" s="3062"/>
      <c r="AB36" s="3161"/>
      <c r="AC36" s="2871"/>
      <c r="AD36" s="2871"/>
      <c r="AE36" s="2871"/>
      <c r="AF36" s="2871"/>
      <c r="AG36" s="2871"/>
      <c r="AH36" s="2871"/>
      <c r="AI36" s="2871"/>
      <c r="AJ36" s="2871"/>
      <c r="AK36" s="2871"/>
      <c r="AL36" s="2871"/>
      <c r="AM36" s="2871"/>
      <c r="AN36" s="2871"/>
      <c r="AO36" s="2871"/>
      <c r="AP36" s="2871"/>
      <c r="AQ36" s="2871"/>
      <c r="AR36" s="2871"/>
      <c r="AS36" s="2871"/>
      <c r="AT36" s="2871"/>
      <c r="AU36" s="2871"/>
      <c r="AV36" s="2871"/>
      <c r="AW36" s="2871"/>
      <c r="AX36" s="2871"/>
      <c r="AY36" s="2871"/>
      <c r="AZ36" s="2871"/>
      <c r="BA36" s="2871"/>
      <c r="BB36" s="2871"/>
      <c r="BC36" s="2871"/>
      <c r="BD36" s="2871"/>
      <c r="BE36" s="2871"/>
      <c r="BF36" s="2871"/>
      <c r="BG36" s="2871"/>
      <c r="BH36" s="2871"/>
      <c r="BI36" s="2871"/>
      <c r="BJ36" s="2871"/>
      <c r="BK36" s="2871"/>
      <c r="BL36" s="2871"/>
      <c r="BM36" s="2871"/>
      <c r="BN36" s="2871"/>
      <c r="BO36" s="2871"/>
      <c r="BP36" s="2871"/>
      <c r="BQ36" s="2985"/>
      <c r="BR36" s="2986"/>
      <c r="BS36" s="2986"/>
      <c r="BT36" s="2985"/>
      <c r="BU36" s="3116"/>
      <c r="BV36" s="3116"/>
      <c r="BW36" s="3116"/>
      <c r="BX36" s="3116"/>
      <c r="BY36" s="3116"/>
      <c r="BZ36" s="1757"/>
      <c r="CA36" s="3"/>
      <c r="CK36" s="1513"/>
      <c r="CL36" s="1513"/>
      <c r="CM36" s="1513"/>
      <c r="CN36" s="1513"/>
      <c r="CO36" s="1513"/>
      <c r="CP36" s="1513"/>
      <c r="CQ36" s="1513"/>
      <c r="CR36" s="1513"/>
      <c r="CS36" s="1513"/>
      <c r="CT36" s="1513"/>
      <c r="CU36" s="1513"/>
      <c r="CV36" s="1513"/>
      <c r="CW36" s="1513"/>
      <c r="CX36" s="1513"/>
      <c r="CY36" s="1513"/>
      <c r="CZ36" s="1513"/>
      <c r="DA36" s="1513"/>
      <c r="DB36" s="1513"/>
      <c r="DC36" s="1513"/>
      <c r="DD36" s="1513"/>
      <c r="DE36" s="1513"/>
      <c r="DF36" s="1513"/>
      <c r="DG36" s="1513"/>
      <c r="DH36" s="1513"/>
      <c r="DI36" s="1513"/>
      <c r="DJ36" s="1513"/>
      <c r="DK36" s="1513"/>
      <c r="DL36" s="1513"/>
      <c r="DM36" s="1513"/>
      <c r="DN36" s="1513"/>
      <c r="DO36" s="1513"/>
      <c r="DP36" s="1513"/>
      <c r="DQ36" s="1513"/>
      <c r="DR36" s="1513"/>
      <c r="DS36" s="1513"/>
      <c r="DT36" s="1513"/>
      <c r="DU36" s="1513"/>
      <c r="DV36" s="1513"/>
      <c r="DW36" s="1513"/>
      <c r="DX36" s="1513"/>
      <c r="DY36" s="1513"/>
      <c r="DZ36" s="1513"/>
      <c r="EA36" s="1513"/>
      <c r="EB36" s="1513"/>
      <c r="EC36" s="1513"/>
      <c r="ED36" s="1513"/>
      <c r="EE36" s="1513"/>
      <c r="EF36" s="1513"/>
      <c r="EG36" s="1513"/>
      <c r="EH36" s="1513"/>
      <c r="EI36" s="1513"/>
      <c r="EJ36" s="1513"/>
      <c r="EK36" s="1513"/>
      <c r="EL36" s="1513"/>
      <c r="EM36" s="1513"/>
      <c r="EN36" s="1513"/>
      <c r="EO36" s="1513"/>
      <c r="EP36" s="1513"/>
      <c r="EQ36" s="1513"/>
      <c r="ER36" s="1513"/>
      <c r="ES36" s="1513"/>
      <c r="ET36" s="1513"/>
      <c r="EU36" s="1513"/>
      <c r="EV36" s="1513"/>
      <c r="EW36" s="1513"/>
      <c r="EX36" s="1513"/>
      <c r="EY36" s="1513"/>
      <c r="EZ36" s="1513"/>
      <c r="FA36" s="1513"/>
      <c r="FB36" s="1513"/>
      <c r="FC36" s="1513"/>
      <c r="FD36" s="1513"/>
      <c r="FE36" s="1513"/>
      <c r="FF36" s="1513"/>
      <c r="FG36" s="1513"/>
      <c r="FH36" s="1513"/>
      <c r="FI36" s="1513"/>
      <c r="FJ36" s="1513"/>
    </row>
    <row r="37" spans="1:168" ht="17.100000000000001" customHeight="1" x14ac:dyDescent="0.15">
      <c r="A37" s="3"/>
      <c r="T37" s="3164"/>
      <c r="U37" s="1757"/>
      <c r="V37" s="1757"/>
      <c r="W37" s="1757"/>
      <c r="X37" s="1757"/>
      <c r="Y37" s="1757"/>
      <c r="Z37" s="1757"/>
      <c r="AA37" s="1757"/>
      <c r="AB37" s="2871"/>
      <c r="AC37" s="2871"/>
      <c r="AD37" s="2871"/>
      <c r="AE37" s="2871"/>
      <c r="AF37" s="2871"/>
      <c r="AG37" s="2871"/>
      <c r="AH37" s="2871"/>
      <c r="AI37" s="2871"/>
      <c r="AJ37" s="2871"/>
      <c r="AK37" s="2871"/>
      <c r="AL37" s="2871"/>
      <c r="AM37" s="2871"/>
      <c r="AN37" s="2871"/>
      <c r="AO37" s="2871"/>
      <c r="AP37" s="2871"/>
      <c r="AQ37" s="2871"/>
      <c r="AR37" s="2871"/>
      <c r="AS37" s="2871"/>
      <c r="AT37" s="2871"/>
      <c r="AU37" s="2871"/>
      <c r="AV37" s="2871"/>
      <c r="AW37" s="2871"/>
      <c r="AX37" s="2871"/>
      <c r="AY37" s="2871"/>
      <c r="AZ37" s="2871"/>
      <c r="BA37" s="2871"/>
      <c r="BB37" s="2871"/>
      <c r="BC37" s="2871"/>
      <c r="BD37" s="2871"/>
      <c r="BE37" s="2871"/>
      <c r="BF37" s="2871"/>
      <c r="BG37" s="2871"/>
      <c r="BH37" s="2871"/>
      <c r="BI37" s="2871"/>
      <c r="BJ37" s="2871"/>
      <c r="BK37" s="2871"/>
      <c r="BL37" s="2871"/>
      <c r="BM37" s="2871"/>
      <c r="BN37" s="2871"/>
      <c r="BO37" s="2871"/>
      <c r="BP37" s="2871"/>
      <c r="BQ37" s="2871"/>
      <c r="BR37" s="2871"/>
      <c r="BS37" s="2871"/>
      <c r="BT37" s="2871"/>
      <c r="BU37" s="1757"/>
      <c r="BV37" s="1757"/>
      <c r="BW37" s="1757"/>
      <c r="BX37" s="1757"/>
      <c r="BY37" s="1757"/>
      <c r="BZ37" s="1757"/>
      <c r="CA37" s="3"/>
      <c r="CK37" s="1513"/>
      <c r="CL37" s="1513"/>
      <c r="CM37" s="1513"/>
      <c r="CN37" s="1513"/>
      <c r="CO37" s="1513"/>
      <c r="CP37" s="1513"/>
      <c r="CQ37" s="1513"/>
      <c r="CR37" s="1513"/>
      <c r="CS37" s="1513"/>
      <c r="CT37" s="1513"/>
      <c r="CU37" s="1513"/>
      <c r="CV37" s="1513"/>
      <c r="CW37" s="1513"/>
      <c r="CX37" s="1513"/>
      <c r="CY37" s="1513"/>
      <c r="CZ37" s="1513"/>
      <c r="DA37" s="1513"/>
      <c r="DB37" s="1513"/>
      <c r="DC37" s="1513"/>
      <c r="DD37" s="1513"/>
      <c r="DE37" s="1513"/>
      <c r="DF37" s="1513"/>
      <c r="DG37" s="1513"/>
      <c r="DH37" s="1513"/>
      <c r="DI37" s="1513"/>
      <c r="DJ37" s="1513"/>
      <c r="DK37" s="1513"/>
      <c r="DL37" s="1513"/>
      <c r="DM37" s="1513"/>
      <c r="DN37" s="1513"/>
      <c r="DO37" s="1513"/>
      <c r="DP37" s="1513"/>
      <c r="DQ37" s="1513"/>
      <c r="DR37" s="1513"/>
      <c r="DS37" s="1513"/>
      <c r="DT37" s="1513"/>
      <c r="DU37" s="1513"/>
      <c r="DV37" s="1513"/>
      <c r="DW37" s="1513"/>
      <c r="DX37" s="1513"/>
      <c r="DY37" s="1513"/>
      <c r="DZ37" s="1513"/>
      <c r="EA37" s="1513"/>
      <c r="EB37" s="1513"/>
      <c r="EC37" s="1513"/>
      <c r="ED37" s="1513"/>
      <c r="EE37" s="1513"/>
      <c r="EF37" s="1513"/>
      <c r="EG37" s="1513"/>
      <c r="EH37" s="1513"/>
      <c r="EI37" s="1513"/>
      <c r="EJ37" s="1513"/>
      <c r="EK37" s="1513"/>
      <c r="EL37" s="1513"/>
      <c r="EM37" s="1513"/>
      <c r="EN37" s="1513"/>
      <c r="EO37" s="1513"/>
      <c r="EP37" s="1513"/>
      <c r="EQ37" s="1513"/>
      <c r="ER37" s="1513"/>
      <c r="ES37" s="1513"/>
      <c r="ET37" s="1513"/>
      <c r="EU37" s="1513"/>
      <c r="EV37" s="1513"/>
      <c r="EW37" s="1513"/>
      <c r="EX37" s="1513"/>
      <c r="EY37" s="1513"/>
      <c r="EZ37" s="1513"/>
      <c r="FA37" s="1513"/>
      <c r="FB37" s="1513"/>
      <c r="FC37" s="1513"/>
      <c r="FD37" s="1513"/>
      <c r="FE37" s="1513"/>
      <c r="FF37" s="1513"/>
      <c r="FG37" s="1513"/>
      <c r="FH37" s="1513"/>
      <c r="FI37" s="1513"/>
      <c r="FJ37" s="1513"/>
    </row>
    <row r="38" spans="1:168" ht="17.100000000000001" customHeight="1" x14ac:dyDescent="0.15">
      <c r="A38" s="3"/>
      <c r="B38" s="3"/>
      <c r="C38" s="3"/>
      <c r="D38" s="3"/>
      <c r="E38" s="3"/>
      <c r="F38" s="3"/>
      <c r="G38" s="3"/>
      <c r="H38" s="3"/>
      <c r="I38" s="3"/>
      <c r="J38" s="3"/>
      <c r="K38" s="3"/>
      <c r="L38" s="3"/>
      <c r="M38" s="3"/>
      <c r="N38" s="3"/>
      <c r="O38" s="3"/>
      <c r="P38" s="3"/>
      <c r="Q38" s="3"/>
      <c r="R38" s="3"/>
      <c r="S38" s="3"/>
      <c r="T38" s="5033" t="s">
        <v>1</v>
      </c>
      <c r="U38" s="5033"/>
      <c r="V38" s="3"/>
      <c r="W38" s="3"/>
      <c r="X38" s="3"/>
      <c r="Y38" s="3"/>
      <c r="Z38" s="3"/>
      <c r="AA38" s="3"/>
      <c r="AB38" s="3"/>
      <c r="AC38" s="3"/>
      <c r="AD38" s="3"/>
      <c r="AE38" s="3"/>
      <c r="AF38" s="3"/>
      <c r="AG38" s="3"/>
      <c r="AH38" s="3"/>
      <c r="AI38" s="3"/>
      <c r="AJ38" s="3"/>
      <c r="AK38" s="3"/>
      <c r="AL38" s="3"/>
      <c r="AM38" s="3"/>
      <c r="AN38" s="4"/>
      <c r="AO38" s="3"/>
      <c r="AP38" s="3"/>
      <c r="AQ38" s="3"/>
      <c r="AR38" s="3"/>
      <c r="AS38" s="3"/>
      <c r="AT38" s="3"/>
      <c r="AU38" s="3"/>
      <c r="AV38" s="3"/>
      <c r="AW38" s="3"/>
      <c r="AX38" s="3"/>
      <c r="AY38" s="3"/>
      <c r="AZ38" s="3"/>
      <c r="BA38" s="3"/>
      <c r="BB38" s="3"/>
      <c r="BC38" s="3"/>
      <c r="BD38" s="3"/>
      <c r="BE38" s="3"/>
      <c r="BF38" s="3"/>
      <c r="BG38" s="5033" t="s">
        <v>1</v>
      </c>
      <c r="BH38" s="5033"/>
      <c r="BI38" s="3"/>
      <c r="BJ38" s="3"/>
      <c r="BK38" s="3"/>
      <c r="BL38" s="3"/>
      <c r="BM38" s="3"/>
      <c r="BN38" s="3"/>
      <c r="BO38" s="3"/>
      <c r="BP38" s="3"/>
      <c r="BQ38" s="3"/>
      <c r="BR38" s="3"/>
      <c r="BS38" s="3"/>
      <c r="BT38" s="3"/>
      <c r="BU38" s="3"/>
      <c r="BV38" s="3"/>
      <c r="BW38" s="3"/>
      <c r="BX38" s="3"/>
      <c r="BY38" s="3"/>
      <c r="BZ38" s="3"/>
      <c r="CA38" s="3"/>
      <c r="CK38" s="1513"/>
      <c r="CL38" s="1513"/>
      <c r="CM38" s="1513"/>
      <c r="CN38" s="1513"/>
      <c r="CO38" s="1513"/>
      <c r="CP38" s="1513"/>
      <c r="CQ38" s="1513"/>
      <c r="CR38" s="1513"/>
      <c r="CS38" s="1513"/>
      <c r="CT38" s="1513"/>
      <c r="CU38" s="1513"/>
      <c r="CV38" s="1513"/>
      <c r="CW38" s="1513"/>
      <c r="CX38" s="1513"/>
      <c r="CY38" s="1513"/>
      <c r="CZ38" s="1513"/>
      <c r="DA38" s="1513"/>
      <c r="DB38" s="1513"/>
      <c r="DC38" s="1513"/>
      <c r="DD38" s="1513"/>
      <c r="DE38" s="1513"/>
      <c r="DF38" s="1513"/>
      <c r="DG38" s="1513"/>
      <c r="DH38" s="1513"/>
      <c r="DI38" s="1513"/>
      <c r="DJ38" s="1513"/>
      <c r="DK38" s="1513"/>
      <c r="DL38" s="1513"/>
      <c r="DM38" s="1513"/>
      <c r="DN38" s="1513"/>
      <c r="DO38" s="1513"/>
      <c r="DP38" s="1513"/>
      <c r="DQ38" s="1513"/>
      <c r="DR38" s="1513"/>
      <c r="DS38" s="1513"/>
      <c r="DT38" s="1513"/>
      <c r="DU38" s="1513"/>
      <c r="DV38" s="1513"/>
      <c r="DW38" s="1513"/>
      <c r="DX38" s="1513"/>
      <c r="DY38" s="1513"/>
      <c r="DZ38" s="1513"/>
      <c r="EA38" s="1513"/>
      <c r="EB38" s="1513"/>
      <c r="EC38" s="1513"/>
      <c r="ED38" s="1513"/>
      <c r="EE38" s="1513"/>
      <c r="EF38" s="1513"/>
      <c r="EG38" s="1513"/>
      <c r="EH38" s="1513"/>
      <c r="EI38" s="1513"/>
      <c r="EJ38" s="1513"/>
      <c r="EK38" s="1513"/>
      <c r="EL38" s="1513"/>
      <c r="EM38" s="1513"/>
      <c r="EN38" s="1513"/>
      <c r="EO38" s="1513"/>
      <c r="EP38" s="1513"/>
      <c r="EQ38" s="1513"/>
      <c r="ER38" s="1513"/>
      <c r="ES38" s="1513"/>
      <c r="ET38" s="1513"/>
      <c r="EU38" s="1513"/>
      <c r="EV38" s="1513"/>
      <c r="EW38" s="1513"/>
      <c r="EX38" s="1513"/>
      <c r="EY38" s="1513"/>
      <c r="EZ38" s="1513"/>
      <c r="FA38" s="1513"/>
      <c r="FB38" s="1513"/>
      <c r="FC38" s="1513"/>
      <c r="FD38" s="1513"/>
      <c r="FE38" s="1513"/>
      <c r="FF38" s="1513"/>
      <c r="FG38" s="1513"/>
      <c r="FH38" s="1513"/>
      <c r="FI38" s="1513"/>
      <c r="FJ38" s="1513"/>
    </row>
    <row r="39" spans="1:168" ht="17.100000000000001" customHeight="1" x14ac:dyDescent="0.15">
      <c r="A39" s="1513"/>
      <c r="B39" s="1513"/>
      <c r="C39" s="1513"/>
      <c r="D39" s="1513"/>
      <c r="E39" s="1513"/>
      <c r="F39" s="1513"/>
      <c r="G39" s="1513"/>
      <c r="H39" s="1513"/>
      <c r="I39" s="1513"/>
      <c r="J39" s="1513"/>
      <c r="K39" s="1513"/>
      <c r="L39" s="1513"/>
      <c r="M39" s="1513"/>
      <c r="N39" s="1513"/>
      <c r="O39" s="1513"/>
      <c r="P39" s="1513"/>
      <c r="Q39" s="1513"/>
      <c r="R39" s="1513"/>
      <c r="S39" s="1513"/>
      <c r="T39" s="5032" t="s">
        <v>1</v>
      </c>
      <c r="U39" s="5032"/>
      <c r="V39" s="1513"/>
      <c r="W39" s="1513"/>
      <c r="X39" s="1513"/>
      <c r="Y39" s="1513"/>
      <c r="Z39" s="1513"/>
      <c r="AA39" s="1513"/>
      <c r="AB39" s="1513"/>
      <c r="AC39" s="1513"/>
      <c r="AD39" s="1513"/>
      <c r="AE39" s="1513"/>
      <c r="AF39" s="1513"/>
      <c r="AG39" s="1513"/>
      <c r="AH39" s="1513"/>
      <c r="AI39" s="1513"/>
      <c r="AJ39" s="1513"/>
      <c r="AK39" s="1513"/>
      <c r="AL39" s="1513"/>
      <c r="AM39" s="1513"/>
      <c r="AN39" s="1515"/>
      <c r="AO39" s="1513"/>
      <c r="AP39" s="1513"/>
      <c r="AQ39" s="1513"/>
      <c r="AR39" s="1513"/>
      <c r="AS39" s="1513"/>
      <c r="AT39" s="1513"/>
      <c r="AU39" s="1513"/>
      <c r="AV39" s="1513"/>
      <c r="AW39" s="1513"/>
      <c r="AX39" s="1513"/>
      <c r="AY39" s="1513"/>
      <c r="AZ39" s="1513"/>
      <c r="BA39" s="1513"/>
      <c r="BB39" s="1513"/>
      <c r="BC39" s="1513"/>
      <c r="BD39" s="1513"/>
      <c r="BE39" s="1513"/>
      <c r="BF39" s="1513"/>
      <c r="BG39" s="5032" t="s">
        <v>1</v>
      </c>
      <c r="BH39" s="5032"/>
      <c r="BI39" s="1513"/>
      <c r="BJ39" s="1513"/>
      <c r="BK39" s="1513"/>
      <c r="BL39" s="1513"/>
      <c r="BM39" s="1513"/>
      <c r="BN39" s="1513"/>
      <c r="BO39" s="1513"/>
      <c r="BP39" s="1513"/>
      <c r="BQ39" s="1513"/>
      <c r="BR39" s="1513"/>
      <c r="BS39" s="1513"/>
      <c r="BT39" s="1513"/>
      <c r="BU39" s="1513"/>
      <c r="BV39" s="1513"/>
      <c r="BW39" s="1513"/>
      <c r="BX39" s="1513"/>
      <c r="BY39" s="1513"/>
      <c r="BZ39" s="1513"/>
      <c r="CA39" s="1513"/>
      <c r="CK39" s="1513"/>
      <c r="CL39" s="1513"/>
      <c r="CM39" s="1513"/>
      <c r="CN39" s="1513"/>
      <c r="CO39" s="1513"/>
      <c r="CP39" s="1513"/>
      <c r="CQ39" s="1513"/>
      <c r="CR39" s="1513"/>
      <c r="CS39" s="1513"/>
      <c r="CT39" s="1513"/>
      <c r="CU39" s="1513"/>
      <c r="CV39" s="1513"/>
      <c r="CW39" s="1513"/>
      <c r="CX39" s="1513"/>
      <c r="CY39" s="1513"/>
      <c r="CZ39" s="1513"/>
      <c r="DA39" s="1513"/>
      <c r="DB39" s="1513"/>
      <c r="DC39" s="1513"/>
      <c r="DD39" s="1513"/>
      <c r="DE39" s="1513"/>
      <c r="DF39" s="1513"/>
      <c r="DG39" s="1513"/>
      <c r="DH39" s="1513"/>
      <c r="DI39" s="1513"/>
      <c r="DJ39" s="1513"/>
      <c r="DK39" s="1513"/>
      <c r="DL39" s="1513"/>
      <c r="DM39" s="1513"/>
      <c r="DN39" s="1513"/>
      <c r="DO39" s="1513"/>
      <c r="DP39" s="1513"/>
      <c r="DQ39" s="1513"/>
      <c r="DR39" s="1513"/>
      <c r="DS39" s="1513"/>
      <c r="DT39" s="1513"/>
      <c r="DU39" s="1513"/>
      <c r="DV39" s="1513"/>
      <c r="DW39" s="1513"/>
      <c r="DX39" s="1513"/>
      <c r="DY39" s="1513"/>
      <c r="DZ39" s="1513"/>
      <c r="EA39" s="1513"/>
      <c r="EB39" s="1513"/>
      <c r="EC39" s="1513"/>
      <c r="ED39" s="1513"/>
      <c r="EE39" s="1513"/>
      <c r="EF39" s="1513"/>
      <c r="EG39" s="1513"/>
      <c r="EH39" s="1513"/>
      <c r="EI39" s="1513"/>
      <c r="EJ39" s="1513"/>
      <c r="EK39" s="1513"/>
      <c r="EL39" s="1513"/>
      <c r="EM39" s="1513"/>
      <c r="EN39" s="1513"/>
      <c r="EO39" s="1513"/>
      <c r="EP39" s="1513"/>
      <c r="EQ39" s="1513"/>
      <c r="ER39" s="1513"/>
      <c r="ES39" s="1513"/>
      <c r="ET39" s="1513"/>
      <c r="EU39" s="1513"/>
      <c r="EV39" s="1513"/>
      <c r="EW39" s="1513"/>
      <c r="EX39" s="1513"/>
      <c r="EY39" s="1513"/>
      <c r="EZ39" s="1513"/>
      <c r="FA39" s="1513"/>
      <c r="FB39" s="1513"/>
      <c r="FC39" s="1513"/>
      <c r="FD39" s="1513"/>
      <c r="FE39" s="1513"/>
      <c r="FF39" s="1513"/>
      <c r="FG39" s="1513"/>
      <c r="FH39" s="1513"/>
      <c r="FI39" s="1513"/>
      <c r="FJ39" s="1513"/>
    </row>
    <row r="40" spans="1:168" ht="17.100000000000001" customHeight="1" x14ac:dyDescent="0.15">
      <c r="A40" s="1513"/>
      <c r="B40" s="1513"/>
      <c r="C40" s="1513"/>
      <c r="D40" s="1513"/>
      <c r="E40" s="1513"/>
      <c r="F40" s="1513"/>
      <c r="G40" s="1513"/>
      <c r="H40" s="1513"/>
      <c r="I40" s="1513"/>
      <c r="J40" s="1513"/>
      <c r="K40" s="1513"/>
      <c r="L40" s="1513"/>
      <c r="M40" s="1513"/>
      <c r="N40" s="1513"/>
      <c r="O40" s="1513"/>
      <c r="P40" s="1513"/>
      <c r="Q40" s="1513"/>
      <c r="R40" s="1513"/>
      <c r="S40" s="1513"/>
      <c r="T40" s="5032" t="s">
        <v>1</v>
      </c>
      <c r="U40" s="5032"/>
      <c r="V40" s="1513"/>
      <c r="W40" s="1513"/>
      <c r="X40" s="1513"/>
      <c r="Y40" s="1513"/>
      <c r="Z40" s="1513"/>
      <c r="AA40" s="1513"/>
      <c r="AB40" s="1513"/>
      <c r="AC40" s="1513"/>
      <c r="AD40" s="1513"/>
      <c r="AE40" s="1513"/>
      <c r="AF40" s="1513"/>
      <c r="AG40" s="1513"/>
      <c r="AH40" s="1513"/>
      <c r="AI40" s="1513"/>
      <c r="AJ40" s="1513"/>
      <c r="AK40" s="1513"/>
      <c r="AL40" s="1513"/>
      <c r="AM40" s="1513"/>
      <c r="AN40" s="1515"/>
      <c r="AO40" s="1513"/>
      <c r="AP40" s="1513"/>
      <c r="AQ40" s="1513"/>
      <c r="AR40" s="1513"/>
      <c r="AS40" s="1513"/>
      <c r="AT40" s="1513"/>
      <c r="AU40" s="1513"/>
      <c r="AV40" s="1513"/>
      <c r="AW40" s="1513"/>
      <c r="AX40" s="1513"/>
      <c r="AY40" s="1513"/>
      <c r="AZ40" s="1513"/>
      <c r="BA40" s="1513"/>
      <c r="BB40" s="1513"/>
      <c r="BC40" s="1513"/>
      <c r="BD40" s="1513"/>
      <c r="BE40" s="1513"/>
      <c r="BF40" s="1513"/>
      <c r="BG40" s="5032" t="s">
        <v>1</v>
      </c>
      <c r="BH40" s="5032"/>
      <c r="BI40" s="1513"/>
      <c r="BJ40" s="1513"/>
      <c r="BK40" s="1513"/>
      <c r="BL40" s="1513"/>
      <c r="BM40" s="1513"/>
      <c r="BN40" s="1513"/>
      <c r="BO40" s="1513"/>
      <c r="BP40" s="1513"/>
      <c r="BQ40" s="1513"/>
      <c r="BR40" s="1513"/>
      <c r="BS40" s="1513"/>
      <c r="BT40" s="1513"/>
      <c r="BU40" s="1513"/>
      <c r="BV40" s="1513"/>
      <c r="BW40" s="1513"/>
      <c r="BX40" s="1513"/>
      <c r="BY40" s="1513"/>
      <c r="BZ40" s="1513"/>
      <c r="CA40" s="1513"/>
      <c r="CK40" s="1513"/>
      <c r="CL40" s="1513"/>
      <c r="CM40" s="1513"/>
      <c r="CN40" s="1513"/>
      <c r="CO40" s="1513"/>
      <c r="CP40" s="1513"/>
      <c r="CQ40" s="1513"/>
      <c r="CR40" s="1513"/>
      <c r="CS40" s="1513"/>
      <c r="CT40" s="1513"/>
      <c r="CU40" s="1513"/>
      <c r="CV40" s="1513"/>
      <c r="CW40" s="1513"/>
      <c r="CX40" s="1513"/>
      <c r="CY40" s="1513"/>
      <c r="CZ40" s="1513"/>
      <c r="DA40" s="1513"/>
      <c r="DB40" s="1513"/>
      <c r="DC40" s="1513"/>
      <c r="DD40" s="1513"/>
      <c r="DE40" s="1513"/>
      <c r="DF40" s="1513"/>
      <c r="DG40" s="1513"/>
      <c r="DH40" s="1513"/>
      <c r="DI40" s="1513"/>
      <c r="DJ40" s="1513"/>
      <c r="DK40" s="1513"/>
      <c r="DL40" s="1513"/>
      <c r="DM40" s="1513"/>
      <c r="DN40" s="1513"/>
      <c r="DO40" s="1513"/>
      <c r="DP40" s="1513"/>
      <c r="DQ40" s="1513"/>
      <c r="DR40" s="1513"/>
      <c r="DS40" s="1513"/>
      <c r="DT40" s="1513"/>
      <c r="DU40" s="1513"/>
      <c r="DV40" s="1513"/>
      <c r="DW40" s="1513"/>
      <c r="DX40" s="1513"/>
      <c r="DY40" s="1513"/>
      <c r="DZ40" s="1513"/>
      <c r="EA40" s="1513"/>
      <c r="EB40" s="1513"/>
      <c r="EC40" s="1513"/>
      <c r="ED40" s="1513"/>
      <c r="EE40" s="1513"/>
      <c r="EF40" s="1513"/>
      <c r="EG40" s="1513"/>
      <c r="EH40" s="1513"/>
      <c r="EI40" s="1513"/>
      <c r="EJ40" s="1513"/>
      <c r="EK40" s="1513"/>
      <c r="EL40" s="1513"/>
      <c r="EM40" s="1513"/>
      <c r="EN40" s="1513"/>
      <c r="EO40" s="1513"/>
      <c r="EP40" s="1513"/>
      <c r="EQ40" s="1513"/>
      <c r="ER40" s="1513"/>
      <c r="ES40" s="1513"/>
      <c r="ET40" s="1513"/>
      <c r="EU40" s="1513"/>
      <c r="EV40" s="1513"/>
      <c r="EW40" s="1513"/>
      <c r="EX40" s="1513"/>
      <c r="EY40" s="1513"/>
      <c r="EZ40" s="1513"/>
      <c r="FA40" s="1513"/>
      <c r="FB40" s="1513"/>
      <c r="FC40" s="1513"/>
      <c r="FD40" s="1513"/>
      <c r="FE40" s="1513"/>
      <c r="FF40" s="1513"/>
      <c r="FG40" s="1513"/>
      <c r="FH40" s="1513"/>
      <c r="FI40" s="1513"/>
      <c r="FJ40" s="1513"/>
    </row>
    <row r="41" spans="1:168" ht="17.100000000000001" customHeight="1" x14ac:dyDescent="0.15">
      <c r="A41" s="1513"/>
      <c r="B41" s="5052" t="s">
        <v>843</v>
      </c>
      <c r="C41" s="5027"/>
      <c r="D41" s="5027"/>
      <c r="E41" s="5027"/>
      <c r="F41" s="5027"/>
      <c r="G41" s="5027"/>
      <c r="H41" s="5027"/>
      <c r="I41" s="5027"/>
      <c r="J41" s="5027"/>
      <c r="K41" s="5027"/>
      <c r="L41" s="5027"/>
      <c r="M41" s="5027"/>
      <c r="N41" s="5027"/>
      <c r="O41" s="5027"/>
      <c r="P41" s="5027" t="s">
        <v>178</v>
      </c>
      <c r="Q41" s="5027"/>
      <c r="R41" s="5027"/>
      <c r="S41" s="5027"/>
      <c r="T41" s="5027"/>
      <c r="U41" s="5028" t="s">
        <v>844</v>
      </c>
      <c r="V41" s="5028"/>
      <c r="W41" s="5028"/>
      <c r="X41" s="5028"/>
      <c r="Y41" s="5027" t="s">
        <v>845</v>
      </c>
      <c r="Z41" s="5027"/>
      <c r="AA41" s="5027"/>
      <c r="AB41" s="5027"/>
      <c r="AC41" s="5028" t="s">
        <v>412</v>
      </c>
      <c r="AD41" s="5028"/>
      <c r="AE41" s="5028"/>
      <c r="AF41" s="5028" t="s">
        <v>1084</v>
      </c>
      <c r="AG41" s="5028"/>
      <c r="AH41" s="5028"/>
      <c r="AI41" s="5027" t="s">
        <v>1085</v>
      </c>
      <c r="AJ41" s="5027"/>
      <c r="AK41" s="5027"/>
      <c r="AL41" s="5027"/>
      <c r="AM41" s="5029"/>
      <c r="AN41" s="1513"/>
      <c r="AO41" s="5037" t="s">
        <v>846</v>
      </c>
      <c r="AP41" s="5038"/>
      <c r="AQ41" s="5038"/>
      <c r="AR41" s="5038"/>
      <c r="AS41" s="5038"/>
      <c r="AT41" s="5038"/>
      <c r="AU41" s="5038"/>
      <c r="AV41" s="5038"/>
      <c r="AW41" s="5038"/>
      <c r="AX41" s="5038"/>
      <c r="AY41" s="5038"/>
      <c r="AZ41" s="5038"/>
      <c r="BA41" s="5038"/>
      <c r="BB41" s="5038"/>
      <c r="BC41" s="5038"/>
      <c r="BD41" s="5038"/>
      <c r="BE41" s="5038"/>
      <c r="BF41" s="5038"/>
      <c r="BG41" s="5038"/>
      <c r="BH41" s="5038"/>
      <c r="BI41" s="5038"/>
      <c r="BJ41" s="5038"/>
      <c r="BK41" s="5038"/>
      <c r="BL41" s="5038"/>
      <c r="BM41" s="5038"/>
      <c r="BN41" s="5038"/>
      <c r="BO41" s="5038"/>
      <c r="BP41" s="5038"/>
      <c r="BQ41" s="5038"/>
      <c r="BR41" s="5038"/>
      <c r="BS41" s="5038"/>
      <c r="BT41" s="5038"/>
      <c r="BU41" s="5038"/>
      <c r="BV41" s="5038"/>
      <c r="BW41" s="5038"/>
      <c r="BX41" s="5038"/>
      <c r="BY41" s="5038"/>
      <c r="BZ41" s="5039"/>
      <c r="CA41" s="1513"/>
      <c r="CK41" s="1513"/>
      <c r="CL41" s="1513"/>
      <c r="CM41" s="1513"/>
      <c r="CN41" s="1513"/>
      <c r="CO41" s="1513"/>
      <c r="CP41" s="1513"/>
      <c r="CQ41" s="1513"/>
      <c r="CR41" s="1513"/>
      <c r="CS41" s="1513"/>
      <c r="CT41" s="1513"/>
      <c r="CU41" s="1513"/>
      <c r="CV41" s="1513"/>
      <c r="CW41" s="1513"/>
      <c r="CX41" s="1513"/>
      <c r="CY41" s="1513"/>
      <c r="CZ41" s="1513"/>
      <c r="DA41" s="1513"/>
      <c r="DB41" s="1513"/>
      <c r="DC41" s="1513"/>
      <c r="DD41" s="1513"/>
      <c r="DE41" s="1513"/>
      <c r="DF41" s="1513"/>
      <c r="DG41" s="1513"/>
      <c r="DH41" s="1513"/>
      <c r="DI41" s="1513"/>
      <c r="DJ41" s="1513"/>
      <c r="DK41" s="1513"/>
      <c r="DL41" s="1513"/>
      <c r="DM41" s="1513"/>
      <c r="DN41" s="1513"/>
      <c r="DO41" s="1513"/>
      <c r="DP41" s="1513"/>
      <c r="DQ41" s="1513"/>
      <c r="DR41" s="1513"/>
      <c r="DS41" s="1513"/>
      <c r="DT41" s="1513"/>
      <c r="DU41" s="1513"/>
      <c r="DV41" s="1513"/>
      <c r="DW41" s="1513"/>
      <c r="DX41" s="1513"/>
      <c r="DY41" s="1513"/>
      <c r="DZ41" s="1513"/>
      <c r="EA41" s="1513"/>
      <c r="EB41" s="1513"/>
      <c r="EC41" s="1513"/>
      <c r="ED41" s="1513"/>
      <c r="EE41" s="1513"/>
      <c r="EF41" s="1513"/>
      <c r="EG41" s="1513"/>
      <c r="EH41" s="1513"/>
      <c r="EI41" s="1513"/>
      <c r="EJ41" s="1513"/>
      <c r="EK41" s="1513"/>
      <c r="EL41" s="1513"/>
      <c r="EM41" s="1513"/>
      <c r="EN41" s="1513"/>
      <c r="EO41" s="1513"/>
      <c r="EP41" s="1513"/>
      <c r="EQ41" s="1513"/>
      <c r="ER41" s="1513"/>
      <c r="ES41" s="1513"/>
      <c r="ET41" s="1513"/>
      <c r="EU41" s="1513"/>
      <c r="EV41" s="1513"/>
      <c r="EW41" s="1513"/>
      <c r="EX41" s="1513"/>
      <c r="EY41" s="1513"/>
      <c r="EZ41" s="1513"/>
      <c r="FA41" s="1513"/>
      <c r="FB41" s="1513"/>
      <c r="FC41" s="1513"/>
      <c r="FD41" s="1513"/>
      <c r="FE41" s="1513"/>
      <c r="FF41" s="1513"/>
      <c r="FG41" s="1513"/>
      <c r="FH41" s="1513"/>
      <c r="FI41" s="1513"/>
      <c r="FJ41" s="1513"/>
      <c r="FL41" s="1513"/>
    </row>
    <row r="42" spans="1:168" ht="17.100000000000001" customHeight="1" x14ac:dyDescent="0.15">
      <c r="A42" s="1513"/>
      <c r="B42" s="5052"/>
      <c r="C42" s="5027"/>
      <c r="D42" s="5027"/>
      <c r="E42" s="5027"/>
      <c r="F42" s="5027"/>
      <c r="G42" s="5027"/>
      <c r="H42" s="5027"/>
      <c r="I42" s="5027"/>
      <c r="J42" s="5027"/>
      <c r="K42" s="5027"/>
      <c r="L42" s="5027"/>
      <c r="M42" s="5027"/>
      <c r="N42" s="5027"/>
      <c r="O42" s="5027"/>
      <c r="P42" s="5027"/>
      <c r="Q42" s="5027"/>
      <c r="R42" s="5027"/>
      <c r="S42" s="5027"/>
      <c r="T42" s="5027"/>
      <c r="U42" s="5028"/>
      <c r="V42" s="5028"/>
      <c r="W42" s="5028"/>
      <c r="X42" s="5028"/>
      <c r="Y42" s="5027"/>
      <c r="Z42" s="5027"/>
      <c r="AA42" s="5027"/>
      <c r="AB42" s="5027"/>
      <c r="AC42" s="5028"/>
      <c r="AD42" s="5028"/>
      <c r="AE42" s="5028"/>
      <c r="AF42" s="5028"/>
      <c r="AG42" s="5028"/>
      <c r="AH42" s="5028"/>
      <c r="AI42" s="5027"/>
      <c r="AJ42" s="5027"/>
      <c r="AK42" s="5027"/>
      <c r="AL42" s="5027"/>
      <c r="AM42" s="5029"/>
      <c r="AN42" s="1513"/>
      <c r="AO42" s="5040"/>
      <c r="AP42" s="5041"/>
      <c r="AQ42" s="5041"/>
      <c r="AR42" s="5041"/>
      <c r="AS42" s="5041"/>
      <c r="AT42" s="5041"/>
      <c r="AU42" s="5041"/>
      <c r="AV42" s="5041"/>
      <c r="AW42" s="5041"/>
      <c r="AX42" s="5041"/>
      <c r="AY42" s="5041"/>
      <c r="AZ42" s="5041"/>
      <c r="BA42" s="5041"/>
      <c r="BB42" s="5041"/>
      <c r="BC42" s="5041"/>
      <c r="BD42" s="5041"/>
      <c r="BE42" s="5041"/>
      <c r="BF42" s="5041"/>
      <c r="BG42" s="5041"/>
      <c r="BH42" s="5041"/>
      <c r="BI42" s="5041"/>
      <c r="BJ42" s="5041"/>
      <c r="BK42" s="5041"/>
      <c r="BL42" s="5041"/>
      <c r="BM42" s="5041"/>
      <c r="BN42" s="5041"/>
      <c r="BO42" s="5041"/>
      <c r="BP42" s="5041"/>
      <c r="BQ42" s="5041"/>
      <c r="BR42" s="5041"/>
      <c r="BS42" s="5041"/>
      <c r="BT42" s="5041"/>
      <c r="BU42" s="5041"/>
      <c r="BV42" s="5041"/>
      <c r="BW42" s="5041"/>
      <c r="BX42" s="5041"/>
      <c r="BY42" s="5041"/>
      <c r="BZ42" s="5042"/>
      <c r="CA42" s="1513"/>
      <c r="CC42" s="5034" t="e">
        <f ca="1">IF('^'!$BK$45="A C T I V E",TODAY(),'^'!$CC$58)</f>
        <v>#VALUE!</v>
      </c>
      <c r="CD42" s="5035"/>
      <c r="CE42" s="5036"/>
      <c r="CF42" s="1523" t="s">
        <v>1079</v>
      </c>
      <c r="CK42" s="1513"/>
      <c r="CL42" s="1513"/>
      <c r="CM42" s="1513"/>
      <c r="CN42" s="1513"/>
      <c r="CO42" s="1513"/>
      <c r="CP42" s="1513"/>
      <c r="CQ42" s="1513"/>
      <c r="CR42" s="1513"/>
      <c r="CS42" s="1513"/>
      <c r="CT42" s="1513"/>
      <c r="CU42" s="1513"/>
      <c r="CV42" s="1513"/>
      <c r="CW42" s="1513"/>
      <c r="CX42" s="1513"/>
      <c r="CY42" s="1513"/>
      <c r="CZ42" s="1513"/>
      <c r="DA42" s="1513"/>
      <c r="DB42" s="1513"/>
      <c r="DC42" s="1513"/>
      <c r="DD42" s="1513"/>
      <c r="DE42" s="1513"/>
      <c r="DF42" s="1513"/>
      <c r="DG42" s="1513"/>
      <c r="DH42" s="1513"/>
      <c r="DI42" s="1513"/>
      <c r="DJ42" s="1513"/>
      <c r="DK42" s="1513"/>
      <c r="DL42" s="1513"/>
      <c r="DM42" s="1513"/>
      <c r="DN42" s="1513"/>
      <c r="DO42" s="1513"/>
      <c r="DP42" s="1513"/>
      <c r="DQ42" s="1513"/>
      <c r="DR42" s="1513"/>
      <c r="DS42" s="1513"/>
      <c r="DT42" s="1513"/>
      <c r="DU42" s="1513"/>
      <c r="DV42" s="1513"/>
      <c r="DW42" s="1513"/>
      <c r="DX42" s="1513"/>
      <c r="DY42" s="1513"/>
      <c r="DZ42" s="1513"/>
      <c r="EA42" s="1513"/>
      <c r="EB42" s="1513"/>
      <c r="EC42" s="1513"/>
      <c r="ED42" s="1513"/>
      <c r="EE42" s="1513"/>
      <c r="EF42" s="1513"/>
      <c r="EG42" s="1513"/>
      <c r="EH42" s="1513"/>
      <c r="EI42" s="1513"/>
      <c r="EJ42" s="1513"/>
      <c r="EK42" s="1513"/>
      <c r="EL42" s="1513"/>
      <c r="EM42" s="1513"/>
      <c r="EN42" s="1513"/>
      <c r="EO42" s="1513"/>
      <c r="EP42" s="1513"/>
      <c r="EQ42" s="1513"/>
      <c r="ER42" s="1513"/>
      <c r="ES42" s="1513"/>
      <c r="ET42" s="1513"/>
      <c r="EU42" s="1513"/>
      <c r="EV42" s="1513"/>
      <c r="EW42" s="1513"/>
      <c r="EX42" s="1513"/>
      <c r="EY42" s="1513"/>
      <c r="EZ42" s="1513"/>
      <c r="FA42" s="1513"/>
      <c r="FB42" s="1513"/>
      <c r="FC42" s="1513"/>
      <c r="FD42" s="1513"/>
      <c r="FE42" s="1513"/>
      <c r="FF42" s="1513"/>
      <c r="FG42" s="1513"/>
      <c r="FH42" s="1513"/>
      <c r="FI42" s="1513"/>
      <c r="FJ42" s="1513"/>
      <c r="FL42" s="1513"/>
    </row>
    <row r="43" spans="1:168" ht="17.100000000000001" customHeight="1" x14ac:dyDescent="0.2">
      <c r="A43" s="1513"/>
      <c r="B43" s="5018"/>
      <c r="C43" s="5018"/>
      <c r="D43" s="5018"/>
      <c r="E43" s="5018"/>
      <c r="F43" s="5018"/>
      <c r="G43" s="5018"/>
      <c r="H43" s="5018"/>
      <c r="I43" s="5018"/>
      <c r="J43" s="5018"/>
      <c r="K43" s="5018"/>
      <c r="L43" s="5018"/>
      <c r="M43" s="5018"/>
      <c r="N43" s="5018"/>
      <c r="O43" s="5018"/>
      <c r="P43" s="5018"/>
      <c r="Q43" s="5018"/>
      <c r="R43" s="5018"/>
      <c r="S43" s="5018"/>
      <c r="T43" s="5018"/>
      <c r="U43" s="5019"/>
      <c r="V43" s="5019"/>
      <c r="W43" s="5019"/>
      <c r="X43" s="5019"/>
      <c r="Y43" s="5010" t="str" cm="1">
        <f t="array" ref="Y43">IF(AND(B43&lt;&gt;"",U43&lt;&gt;""),_xlfn.IFS(AND(U44&lt;&gt;"",U44&lt;$CC$42),U44,AND(U44&lt;&gt;"",U44&gt;=$CC$42),$CC$42,AND(U44="",U43&lt;$CC$42),$CC$42,TRUE,""),"")</f>
        <v/>
      </c>
      <c r="Z43" s="5010"/>
      <c r="AA43" s="5010"/>
      <c r="AB43" s="5010"/>
      <c r="AC43" s="5005">
        <f t="shared" ref="AC43:AC68" si="36">IF(Y43&lt;&gt;"",_xlfn.DAYS(Y43,U43),0)</f>
        <v>0</v>
      </c>
      <c r="AD43" s="5005"/>
      <c r="AE43" s="5005"/>
      <c r="AF43" s="5030">
        <f t="shared" ref="AF43:AF68" si="37">AC43/365</f>
        <v>0</v>
      </c>
      <c r="AG43" s="5030"/>
      <c r="AH43" s="5030"/>
      <c r="AI43" s="5031" t="str" cm="1">
        <f t="array" aca="1" ref="AI43" ca="1">IFERROR(_xlfn.IFS(
AND(B43&lt;&gt;"",U43&lt;&gt;"",Y43&gt;$CC$42),$CF$44,
Y43=$CC$42,$CF$45,
AC43=$CC$46,$CF$46,
AC43=$CC$47,$CF$47,
AC43=$CC$48,$CF$48,
AC43=$CC$49,$CF$49,
AC43=$CC$50,$CF$50,
AC43=$CC$51,$CF$51,
AC43=$CC$52,$CF$52,
AC43=$CC$53,$CF$53,
AC43=$CC$54,$CF$54,
AC43=$CC$55,$CF$55,
TRUE,""),"")</f>
        <v/>
      </c>
      <c r="AJ43" s="5031"/>
      <c r="AK43" s="5031"/>
      <c r="AL43" s="5031"/>
      <c r="AM43" s="5031"/>
      <c r="AN43" s="1513"/>
      <c r="AO43" s="2959"/>
      <c r="AP43" s="2959"/>
      <c r="AQ43" s="2959"/>
      <c r="AR43" s="2959"/>
      <c r="AS43" s="2959"/>
      <c r="AT43" s="2959"/>
      <c r="AU43" s="2959"/>
      <c r="AV43" s="2959"/>
      <c r="AW43" s="2959"/>
      <c r="AX43" s="2959"/>
      <c r="AY43" s="2959"/>
      <c r="AZ43" s="2959"/>
      <c r="BA43" s="2959"/>
      <c r="BB43" s="2959"/>
      <c r="BC43" s="2959"/>
      <c r="BD43" s="2959"/>
      <c r="BE43" s="2959"/>
      <c r="BF43" s="2959"/>
      <c r="BG43" s="2959"/>
      <c r="BH43" s="2960"/>
      <c r="BI43" s="2960"/>
      <c r="BJ43" s="2960"/>
      <c r="BK43" s="2960"/>
      <c r="BL43" s="2960"/>
      <c r="BM43" s="2960"/>
      <c r="BN43" s="2960"/>
      <c r="BO43" s="2960"/>
      <c r="BP43" s="2960"/>
      <c r="BQ43" s="2960"/>
      <c r="BR43" s="2960"/>
      <c r="BS43" s="2960"/>
      <c r="BT43" s="2960"/>
      <c r="BU43" s="2960"/>
      <c r="BV43" s="2960"/>
      <c r="BW43" s="2960"/>
      <c r="BX43" s="2960"/>
      <c r="BY43" s="2960"/>
      <c r="BZ43" s="2959"/>
      <c r="CA43" s="1513"/>
      <c r="CL43" s="1513"/>
      <c r="CM43" s="1513"/>
      <c r="CN43" s="1513"/>
      <c r="CO43" s="1513"/>
      <c r="CP43" s="1513"/>
      <c r="CQ43" s="1513"/>
      <c r="CR43" s="1513"/>
      <c r="CS43" s="1513"/>
      <c r="CT43" s="1513"/>
      <c r="CU43" s="1513"/>
      <c r="CV43" s="1513"/>
      <c r="CW43" s="1513"/>
      <c r="CX43" s="1513"/>
      <c r="CY43" s="1513"/>
      <c r="CZ43" s="1513"/>
      <c r="DA43" s="1513"/>
      <c r="DB43" s="1513"/>
      <c r="DC43" s="1513"/>
      <c r="DD43" s="1513"/>
      <c r="DE43" s="1513"/>
      <c r="DF43" s="1513"/>
      <c r="DG43" s="1513"/>
      <c r="DH43" s="1513"/>
      <c r="DI43" s="1513"/>
      <c r="DJ43" s="1513"/>
      <c r="DK43" s="1513"/>
      <c r="DL43" s="1513"/>
      <c r="DM43" s="1513"/>
      <c r="DN43" s="1513"/>
      <c r="DO43" s="1513"/>
      <c r="DP43" s="1513"/>
      <c r="DQ43" s="1513"/>
      <c r="DR43" s="1513"/>
      <c r="DS43" s="1513"/>
      <c r="DT43" s="1513"/>
      <c r="DU43" s="1513"/>
      <c r="DV43" s="1513"/>
      <c r="DW43" s="1513"/>
      <c r="DX43" s="1513"/>
      <c r="DY43" s="1513"/>
      <c r="DZ43" s="1513"/>
      <c r="EA43" s="1513"/>
      <c r="EB43" s="1513"/>
      <c r="EC43" s="1513"/>
      <c r="ED43" s="1513"/>
      <c r="EE43" s="1513"/>
      <c r="EF43" s="1513"/>
      <c r="EG43" s="1513"/>
      <c r="EH43" s="1513"/>
      <c r="EI43" s="1513"/>
      <c r="EJ43" s="1513"/>
      <c r="EK43" s="1513"/>
      <c r="EL43" s="1513"/>
      <c r="EM43" s="1513"/>
      <c r="EN43" s="1513"/>
      <c r="EO43" s="1513"/>
      <c r="EP43" s="1513"/>
      <c r="EQ43" s="1513"/>
      <c r="ER43" s="1513"/>
      <c r="ES43" s="1513"/>
      <c r="ET43" s="1513"/>
      <c r="EU43" s="1513"/>
      <c r="EV43" s="1513"/>
      <c r="EW43" s="1513"/>
      <c r="EX43" s="1513"/>
      <c r="EY43" s="1513"/>
      <c r="EZ43" s="1513"/>
      <c r="FA43" s="1513"/>
      <c r="FB43" s="1513"/>
      <c r="FC43" s="1513"/>
      <c r="FD43" s="1513"/>
      <c r="FE43" s="1513"/>
      <c r="FF43" s="1513"/>
      <c r="FG43" s="1513"/>
      <c r="FH43" s="1513"/>
      <c r="FI43" s="1513"/>
      <c r="FJ43" s="1513"/>
      <c r="FL43" s="1513"/>
    </row>
    <row r="44" spans="1:168" ht="17.100000000000001" customHeight="1" x14ac:dyDescent="0.2">
      <c r="A44" s="1513"/>
      <c r="B44" s="5018"/>
      <c r="C44" s="5018"/>
      <c r="D44" s="5018"/>
      <c r="E44" s="5018"/>
      <c r="F44" s="5018"/>
      <c r="G44" s="5018"/>
      <c r="H44" s="5018"/>
      <c r="I44" s="5018"/>
      <c r="J44" s="5018"/>
      <c r="K44" s="5018"/>
      <c r="L44" s="5018"/>
      <c r="M44" s="5018"/>
      <c r="N44" s="5018"/>
      <c r="O44" s="5018"/>
      <c r="P44" s="5018"/>
      <c r="Q44" s="5018"/>
      <c r="R44" s="5018"/>
      <c r="S44" s="5018"/>
      <c r="T44" s="5018"/>
      <c r="U44" s="5019"/>
      <c r="V44" s="5019"/>
      <c r="W44" s="5019"/>
      <c r="X44" s="5019"/>
      <c r="Y44" s="5010" t="str" cm="1">
        <f t="array" ref="Y44">IF(AND(B44&lt;&gt;"",U44&lt;&gt;""),_xlfn.IFS(AND(U45&lt;&gt;"",U45&lt;$CC$42),U45,AND(U45&lt;&gt;"",U45&gt;=$CC$42),$CC$42,AND(U45="",U44&lt;$CC$42),$CC$42,TRUE,""),"")</f>
        <v/>
      </c>
      <c r="Z44" s="5010"/>
      <c r="AA44" s="5010"/>
      <c r="AB44" s="5010"/>
      <c r="AC44" s="5005">
        <f t="shared" si="36"/>
        <v>0</v>
      </c>
      <c r="AD44" s="5005"/>
      <c r="AE44" s="5005"/>
      <c r="AF44" s="5002">
        <f t="shared" si="37"/>
        <v>0</v>
      </c>
      <c r="AG44" s="5003"/>
      <c r="AH44" s="5004"/>
      <c r="AI44" s="4996" t="str" cm="1">
        <f t="array" aca="1" ref="AI44" ca="1">IFERROR(_xlfn.IFS(
AND(B44&lt;&gt;"",U44&lt;&gt;"",Y44&gt;$CC$42),$CF$44,
Y44=$CC$42,$CF$45,
AC44=$CC$46,$CF$46,
AC44=$CC$47,$CF$47,
AC44=$CC$48,$CF$48,
AC44=$CC$49,$CF$49,
AC44=$CC$50,$CF$50,
AC44=$CC$51,$CF$51,
AC44=$CC$52,$CF$52,
AC44=$CC$53,$CF$53,
AC44=$CC$54,$CF$54,
AC44=$CC$55,$CF$55,
TRUE,""),"")</f>
        <v/>
      </c>
      <c r="AJ44" s="4997"/>
      <c r="AK44" s="4997"/>
      <c r="AL44" s="4997"/>
      <c r="AM44" s="4998"/>
      <c r="AN44" s="1513"/>
      <c r="AO44" s="2959"/>
      <c r="AP44" s="2964"/>
      <c r="AQ44" s="2964"/>
      <c r="AR44" s="2964"/>
      <c r="AS44" s="2964"/>
      <c r="AT44" s="2964"/>
      <c r="AU44" s="2964"/>
      <c r="AV44" s="2964"/>
      <c r="AW44" s="2959"/>
      <c r="AX44" s="2959"/>
      <c r="AY44" s="2959"/>
      <c r="AZ44" s="2959"/>
      <c r="BA44" s="2959"/>
      <c r="BB44" s="2959"/>
      <c r="BC44" s="2959"/>
      <c r="BD44" s="2959"/>
      <c r="BE44" s="2959"/>
      <c r="BF44" s="2959"/>
      <c r="BG44" s="2961"/>
      <c r="BH44" s="2960"/>
      <c r="BI44" s="2960"/>
      <c r="BJ44" s="2960"/>
      <c r="BK44" s="2960"/>
      <c r="BL44" s="2960"/>
      <c r="BM44" s="2960"/>
      <c r="BN44" s="2960"/>
      <c r="BO44" s="2960"/>
      <c r="BP44" s="2960"/>
      <c r="BQ44" s="2960"/>
      <c r="BR44" s="2960"/>
      <c r="BS44" s="2960"/>
      <c r="BT44" s="2960"/>
      <c r="BU44" s="2960"/>
      <c r="BV44" s="2960"/>
      <c r="BW44" s="2960"/>
      <c r="BX44" s="2960"/>
      <c r="BY44" s="2960"/>
      <c r="BZ44" s="2959"/>
      <c r="CA44" s="1513"/>
      <c r="CF44" s="6" t="s">
        <v>1082</v>
      </c>
      <c r="CL44" s="1513"/>
      <c r="CM44" s="1513"/>
      <c r="CN44" s="1513"/>
      <c r="CO44" s="1513"/>
      <c r="CP44" s="1513"/>
      <c r="CQ44" s="1513"/>
      <c r="CR44" s="1513"/>
      <c r="CS44" s="1513"/>
      <c r="CT44" s="1513"/>
      <c r="CU44" s="1513"/>
      <c r="CV44" s="1513"/>
      <c r="CW44" s="1513"/>
      <c r="CX44" s="1513"/>
      <c r="CY44" s="1513"/>
      <c r="CZ44" s="1513"/>
      <c r="DA44" s="1513"/>
      <c r="DB44" s="1513"/>
      <c r="DC44" s="1513"/>
      <c r="DD44" s="1513"/>
      <c r="DE44" s="1513"/>
      <c r="DF44" s="1513"/>
      <c r="DG44" s="1513"/>
      <c r="DH44" s="1513"/>
      <c r="DI44" s="1513"/>
      <c r="DJ44" s="1513"/>
      <c r="DK44" s="1513"/>
      <c r="DL44" s="1513"/>
      <c r="DM44" s="1513"/>
      <c r="DN44" s="1513"/>
      <c r="DO44" s="1513"/>
      <c r="DP44" s="1513"/>
      <c r="DQ44" s="1513"/>
      <c r="DR44" s="1513"/>
      <c r="DS44" s="1513"/>
      <c r="DT44" s="1513"/>
      <c r="DU44" s="1513"/>
      <c r="DV44" s="1513"/>
      <c r="DW44" s="1513"/>
      <c r="DX44" s="1513"/>
      <c r="DY44" s="1513"/>
      <c r="DZ44" s="1513"/>
      <c r="EA44" s="1513"/>
      <c r="EB44" s="1513"/>
      <c r="EC44" s="1513"/>
      <c r="ED44" s="1513"/>
      <c r="EE44" s="1513"/>
      <c r="EF44" s="1513"/>
      <c r="EG44" s="1513"/>
      <c r="EH44" s="1513"/>
      <c r="EI44" s="1513"/>
      <c r="EJ44" s="1513"/>
      <c r="EK44" s="1513"/>
      <c r="EL44" s="1513"/>
      <c r="EM44" s="1513"/>
      <c r="EN44" s="1513"/>
      <c r="EO44" s="1513"/>
      <c r="EP44" s="1513"/>
      <c r="EQ44" s="1513"/>
      <c r="ER44" s="1513"/>
      <c r="ES44" s="1513"/>
      <c r="ET44" s="1513"/>
      <c r="EU44" s="1513"/>
      <c r="EV44" s="1513"/>
      <c r="EW44" s="1513"/>
      <c r="EX44" s="1513"/>
      <c r="EY44" s="1513"/>
      <c r="EZ44" s="1513"/>
      <c r="FA44" s="1513"/>
      <c r="FB44" s="1513"/>
      <c r="FC44" s="1513"/>
      <c r="FD44" s="1513"/>
      <c r="FE44" s="1513"/>
      <c r="FF44" s="1513"/>
      <c r="FG44" s="1513"/>
      <c r="FH44" s="1513"/>
      <c r="FI44" s="1513"/>
      <c r="FJ44" s="1513"/>
      <c r="FL44" s="1513"/>
    </row>
    <row r="45" spans="1:168" ht="17.100000000000001" customHeight="1" x14ac:dyDescent="0.2">
      <c r="A45" s="1513"/>
      <c r="B45" s="5018"/>
      <c r="C45" s="5018"/>
      <c r="D45" s="5018"/>
      <c r="E45" s="5018"/>
      <c r="F45" s="5018"/>
      <c r="G45" s="5018"/>
      <c r="H45" s="5018"/>
      <c r="I45" s="5018"/>
      <c r="J45" s="5018"/>
      <c r="K45" s="5018"/>
      <c r="L45" s="5018"/>
      <c r="M45" s="5018"/>
      <c r="N45" s="5018"/>
      <c r="O45" s="5018"/>
      <c r="P45" s="5018"/>
      <c r="Q45" s="5018"/>
      <c r="R45" s="5018"/>
      <c r="S45" s="5018"/>
      <c r="T45" s="5018"/>
      <c r="U45" s="5019"/>
      <c r="V45" s="5019"/>
      <c r="W45" s="5019"/>
      <c r="X45" s="5019"/>
      <c r="Y45" s="5010" t="str" cm="1">
        <f t="array" ref="Y45">IF(AND(B45&lt;&gt;"",U45&lt;&gt;""),_xlfn.IFS(AND(U46&lt;&gt;"",U46&lt;$CC$42),U46,AND(U46&lt;&gt;"",U46&gt;=$CC$42),$CC$42,AND(U46="",U45&lt;$CC$42),$CC$42,TRUE,""),"")</f>
        <v/>
      </c>
      <c r="Z45" s="5010"/>
      <c r="AA45" s="5010"/>
      <c r="AB45" s="5010"/>
      <c r="AC45" s="5005">
        <f t="shared" si="36"/>
        <v>0</v>
      </c>
      <c r="AD45" s="5005"/>
      <c r="AE45" s="5005"/>
      <c r="AF45" s="5002">
        <f t="shared" si="37"/>
        <v>0</v>
      </c>
      <c r="AG45" s="5003"/>
      <c r="AH45" s="5004"/>
      <c r="AI45" s="4996" t="str" cm="1">
        <f t="array" aca="1" ref="AI45" ca="1">IFERROR(_xlfn.IFS(
AND(B45&lt;&gt;"",U45&lt;&gt;"",Y45&gt;$CC$42),$CF$44,
Y45=$CC$42,$CF$45,
AC45=$CC$46,$CF$46,
AC45=$CC$47,$CF$47,
AC45=$CC$48,$CF$48,
AC45=$CC$49,$CF$49,
AC45=$CC$50,$CF$50,
AC45=$CC$51,$CF$51,
AC45=$CC$52,$CF$52,
AC45=$CC$53,$CF$53,
AC45=$CC$54,$CF$54,
AC45=$CC$55,$CF$55,
TRUE,""),"")</f>
        <v/>
      </c>
      <c r="AJ45" s="4997"/>
      <c r="AK45" s="4997"/>
      <c r="AL45" s="4997"/>
      <c r="AM45" s="4998"/>
      <c r="AN45" s="1513"/>
      <c r="AO45" s="2959"/>
      <c r="AP45" s="2959"/>
      <c r="AQ45" s="2959"/>
      <c r="AR45" s="2959"/>
      <c r="AS45" s="2959"/>
      <c r="AT45" s="2959"/>
      <c r="AU45" s="2959"/>
      <c r="AV45" s="2959"/>
      <c r="AW45" s="2959"/>
      <c r="AX45" s="2959"/>
      <c r="AY45" s="2959"/>
      <c r="AZ45" s="2959"/>
      <c r="BA45" s="2959"/>
      <c r="BB45" s="2959"/>
      <c r="BC45" s="2959"/>
      <c r="BD45" s="2959"/>
      <c r="BE45" s="2959"/>
      <c r="BF45" s="2959"/>
      <c r="BG45" s="2961"/>
      <c r="BH45" s="2960"/>
      <c r="BI45" s="2960"/>
      <c r="BJ45" s="2960"/>
      <c r="BK45" s="2960"/>
      <c r="BL45" s="2960"/>
      <c r="BM45" s="2960"/>
      <c r="BN45" s="2960"/>
      <c r="BO45" s="2960"/>
      <c r="BP45" s="2960"/>
      <c r="BQ45" s="2960"/>
      <c r="BR45" s="2960"/>
      <c r="BS45" s="2960"/>
      <c r="BT45" s="2960"/>
      <c r="BU45" s="2960"/>
      <c r="BV45" s="2960"/>
      <c r="BW45" s="2960"/>
      <c r="BX45" s="2960"/>
      <c r="BY45" s="2960"/>
      <c r="BZ45" s="2962"/>
      <c r="CA45" s="1513"/>
      <c r="CF45" s="6" t="s">
        <v>1083</v>
      </c>
      <c r="CL45" s="1513"/>
      <c r="CM45" s="1513"/>
      <c r="CN45" s="1513"/>
      <c r="CO45" s="1513"/>
      <c r="CP45" s="1513"/>
      <c r="CQ45" s="1513"/>
      <c r="CR45" s="1513"/>
      <c r="CS45" s="1513"/>
      <c r="CT45" s="1513"/>
      <c r="CU45" s="1513"/>
      <c r="CV45" s="1513"/>
      <c r="CW45" s="1513"/>
      <c r="CX45" s="1513"/>
      <c r="CY45" s="1513"/>
      <c r="CZ45" s="1513"/>
      <c r="DA45" s="1513"/>
      <c r="DB45" s="1513"/>
      <c r="DC45" s="1513"/>
      <c r="DD45" s="1513"/>
      <c r="DE45" s="1513"/>
      <c r="DF45" s="1513"/>
      <c r="DG45" s="1513"/>
      <c r="DH45" s="1513"/>
      <c r="DI45" s="1513"/>
      <c r="DJ45" s="1513"/>
      <c r="DK45" s="1513"/>
      <c r="DL45" s="1513"/>
      <c r="DM45" s="1513"/>
      <c r="DN45" s="1513"/>
      <c r="DO45" s="1513"/>
      <c r="DP45" s="1513"/>
      <c r="DQ45" s="1513"/>
      <c r="DR45" s="1513"/>
      <c r="DS45" s="1513"/>
      <c r="DT45" s="1513"/>
      <c r="DU45" s="1513"/>
      <c r="DV45" s="1513"/>
      <c r="DW45" s="1513"/>
      <c r="DX45" s="1513"/>
      <c r="DY45" s="1513"/>
      <c r="DZ45" s="1513"/>
      <c r="EA45" s="1513"/>
      <c r="EB45" s="1513"/>
      <c r="EC45" s="1513"/>
      <c r="ED45" s="1513"/>
      <c r="EE45" s="1513"/>
      <c r="EF45" s="1513"/>
      <c r="EG45" s="1513"/>
      <c r="EH45" s="1513"/>
      <c r="EI45" s="1513"/>
      <c r="EJ45" s="1513"/>
      <c r="EK45" s="1513"/>
      <c r="EL45" s="1513"/>
      <c r="EM45" s="1513"/>
      <c r="EN45" s="1513"/>
      <c r="EO45" s="1513"/>
      <c r="EP45" s="1513"/>
      <c r="EQ45" s="1513"/>
      <c r="ER45" s="1513"/>
      <c r="ES45" s="1513"/>
      <c r="ET45" s="1513"/>
      <c r="EU45" s="1513"/>
      <c r="EV45" s="1513"/>
      <c r="EW45" s="1513"/>
      <c r="EX45" s="1513"/>
      <c r="EY45" s="1513"/>
      <c r="EZ45" s="1513"/>
      <c r="FA45" s="1513"/>
      <c r="FB45" s="1513"/>
      <c r="FC45" s="1513"/>
      <c r="FD45" s="1513"/>
      <c r="FE45" s="1513"/>
      <c r="FF45" s="1513"/>
      <c r="FG45" s="1513"/>
      <c r="FH45" s="1513"/>
      <c r="FI45" s="1513"/>
      <c r="FJ45" s="1513"/>
      <c r="FL45" s="1513"/>
    </row>
    <row r="46" spans="1:168" ht="17.100000000000001" customHeight="1" x14ac:dyDescent="0.2">
      <c r="A46" s="1513"/>
      <c r="B46" s="5018"/>
      <c r="C46" s="5018"/>
      <c r="D46" s="5018"/>
      <c r="E46" s="5018"/>
      <c r="F46" s="5018"/>
      <c r="G46" s="5018"/>
      <c r="H46" s="5018"/>
      <c r="I46" s="5018"/>
      <c r="J46" s="5018"/>
      <c r="K46" s="5018"/>
      <c r="L46" s="5018"/>
      <c r="M46" s="5018"/>
      <c r="N46" s="5018"/>
      <c r="O46" s="5018"/>
      <c r="P46" s="5018"/>
      <c r="Q46" s="5018"/>
      <c r="R46" s="5018"/>
      <c r="S46" s="5018"/>
      <c r="T46" s="5018"/>
      <c r="U46" s="5019"/>
      <c r="V46" s="5019"/>
      <c r="W46" s="5019"/>
      <c r="X46" s="5019"/>
      <c r="Y46" s="5010" t="str" cm="1">
        <f t="array" ref="Y46">IF(AND(B46&lt;&gt;"",U46&lt;&gt;""),_xlfn.IFS(AND(U47&lt;&gt;"",U47&lt;$CC$42),U47,AND(U47&lt;&gt;"",U47&gt;=$CC$42),$CC$42,AND(U47="",U46&lt;$CC$42),$CC$42,TRUE,""),"")</f>
        <v/>
      </c>
      <c r="Z46" s="5010"/>
      <c r="AA46" s="5010"/>
      <c r="AB46" s="5010"/>
      <c r="AC46" s="5005">
        <f t="shared" si="36"/>
        <v>0</v>
      </c>
      <c r="AD46" s="5005"/>
      <c r="AE46" s="5005"/>
      <c r="AF46" s="5002">
        <f t="shared" si="37"/>
        <v>0</v>
      </c>
      <c r="AG46" s="5003"/>
      <c r="AH46" s="5004"/>
      <c r="AI46" s="4996" t="str" cm="1">
        <f t="array" aca="1" ref="AI46" ca="1">IFERROR(_xlfn.IFS(
AND(B46&lt;&gt;"",U46&lt;&gt;"",Y46&gt;$CC$42),$CF$44,
Y46=$CC$42,$CF$45,
AC46=$CC$46,$CF$46,
AC46=$CC$47,$CF$47,
AC46=$CC$48,$CF$48,
AC46=$CC$49,$CF$49,
AC46=$CC$50,$CF$50,
AC46=$CC$51,$CF$51,
AC46=$CC$52,$CF$52,
AC46=$CC$53,$CF$53,
AC46=$CC$54,$CF$54,
AC46=$CC$55,$CF$55,
TRUE,""),"")</f>
        <v/>
      </c>
      <c r="AJ46" s="4997"/>
      <c r="AK46" s="4997"/>
      <c r="AL46" s="4997"/>
      <c r="AM46" s="4998"/>
      <c r="AN46" s="1513"/>
      <c r="AO46" s="2959"/>
      <c r="AP46" s="2959"/>
      <c r="AQ46" s="2959"/>
      <c r="AR46" s="2959"/>
      <c r="AS46" s="2959"/>
      <c r="AT46" s="2959"/>
      <c r="AU46" s="2959"/>
      <c r="AV46" s="2959"/>
      <c r="AW46" s="2959"/>
      <c r="AX46" s="2959"/>
      <c r="AY46" s="2959"/>
      <c r="AZ46" s="2959"/>
      <c r="BA46" s="2959"/>
      <c r="BB46" s="2959"/>
      <c r="BC46" s="2959"/>
      <c r="BD46" s="2959"/>
      <c r="BE46" s="2959"/>
      <c r="BF46" s="2959"/>
      <c r="BG46" s="2961"/>
      <c r="BH46" s="2960"/>
      <c r="BI46" s="2960"/>
      <c r="BJ46" s="2960"/>
      <c r="BK46" s="2960"/>
      <c r="BL46" s="2960"/>
      <c r="BM46" s="2960"/>
      <c r="BN46" s="2960"/>
      <c r="BO46" s="2960"/>
      <c r="BP46" s="2960"/>
      <c r="BQ46" s="2960"/>
      <c r="BR46" s="2960"/>
      <c r="BS46" s="2960"/>
      <c r="BT46" s="2960"/>
      <c r="BU46" s="2960"/>
      <c r="BV46" s="2960"/>
      <c r="BW46" s="2960"/>
      <c r="BX46" s="2960"/>
      <c r="BY46" s="2960"/>
      <c r="BZ46" s="2960"/>
      <c r="CA46" s="1513"/>
      <c r="CB46" s="1522">
        <v>1</v>
      </c>
      <c r="CC46" s="4999">
        <f t="shared" ref="CC46:CC55" si="38">LARGE($AC$43:$AE$74,CB46)</f>
        <v>0</v>
      </c>
      <c r="CD46" s="5000"/>
      <c r="CE46" s="5001"/>
      <c r="CF46" s="6" t="s">
        <v>1086</v>
      </c>
      <c r="CL46" s="1513"/>
      <c r="CM46" s="1513"/>
      <c r="CN46" s="1513"/>
      <c r="CO46" s="1513"/>
      <c r="CP46" s="1513"/>
      <c r="CQ46" s="1513"/>
      <c r="CR46" s="1513"/>
      <c r="CS46" s="1513"/>
      <c r="CT46" s="1513"/>
      <c r="CU46" s="1513"/>
      <c r="CV46" s="1513"/>
      <c r="CW46" s="1513"/>
      <c r="CX46" s="1513"/>
      <c r="CY46" s="1513"/>
      <c r="CZ46" s="1513"/>
      <c r="DA46" s="1513"/>
      <c r="DB46" s="1513"/>
      <c r="DC46" s="1513"/>
      <c r="DD46" s="1513"/>
      <c r="DE46" s="1513"/>
      <c r="DF46" s="1513"/>
      <c r="DG46" s="1513"/>
      <c r="DH46" s="1513"/>
      <c r="DI46" s="1513"/>
      <c r="DJ46" s="1513"/>
      <c r="DK46" s="1513"/>
      <c r="DL46" s="1513"/>
      <c r="DM46" s="1513"/>
      <c r="DN46" s="1513"/>
      <c r="DO46" s="1513"/>
      <c r="DP46" s="1513"/>
      <c r="DQ46" s="1513"/>
      <c r="DR46" s="1513"/>
      <c r="DS46" s="1513"/>
      <c r="DT46" s="1513"/>
      <c r="DU46" s="1513"/>
      <c r="DV46" s="1513"/>
      <c r="DW46" s="1513"/>
      <c r="DX46" s="1513"/>
      <c r="DY46" s="1513"/>
      <c r="DZ46" s="1513"/>
      <c r="EA46" s="1513"/>
      <c r="EB46" s="1513"/>
      <c r="EC46" s="1513"/>
      <c r="ED46" s="1513"/>
      <c r="EE46" s="1513"/>
      <c r="EF46" s="1513"/>
      <c r="EG46" s="1513"/>
      <c r="EH46" s="1513"/>
      <c r="EI46" s="1513"/>
      <c r="EJ46" s="1513"/>
      <c r="EK46" s="1513"/>
      <c r="EL46" s="1513"/>
      <c r="EM46" s="1513"/>
      <c r="EN46" s="1513"/>
      <c r="EO46" s="1513"/>
      <c r="EP46" s="1513"/>
      <c r="EQ46" s="1513"/>
      <c r="ER46" s="1513"/>
      <c r="ES46" s="1513"/>
      <c r="ET46" s="1513"/>
      <c r="EU46" s="1513"/>
      <c r="EV46" s="1513"/>
      <c r="EW46" s="1513"/>
      <c r="EX46" s="1513"/>
      <c r="EY46" s="1513"/>
      <c r="EZ46" s="1513"/>
      <c r="FA46" s="1513"/>
      <c r="FB46" s="1513"/>
      <c r="FC46" s="1513"/>
      <c r="FD46" s="1513"/>
      <c r="FE46" s="1513"/>
      <c r="FF46" s="1513"/>
      <c r="FG46" s="1513"/>
      <c r="FH46" s="1513"/>
      <c r="FI46" s="1513"/>
      <c r="FJ46" s="1513"/>
      <c r="FL46" s="1513"/>
    </row>
    <row r="47" spans="1:168" ht="17.100000000000001" customHeight="1" x14ac:dyDescent="0.2">
      <c r="A47" s="1513"/>
      <c r="B47" s="5018"/>
      <c r="C47" s="5018"/>
      <c r="D47" s="5018"/>
      <c r="E47" s="5018"/>
      <c r="F47" s="5018"/>
      <c r="G47" s="5018"/>
      <c r="H47" s="5018"/>
      <c r="I47" s="5018"/>
      <c r="J47" s="5018"/>
      <c r="K47" s="5018"/>
      <c r="L47" s="5018"/>
      <c r="M47" s="5018"/>
      <c r="N47" s="5018"/>
      <c r="O47" s="5018"/>
      <c r="P47" s="5018"/>
      <c r="Q47" s="5018"/>
      <c r="R47" s="5018"/>
      <c r="S47" s="5018"/>
      <c r="T47" s="5018"/>
      <c r="U47" s="5019"/>
      <c r="V47" s="5019"/>
      <c r="W47" s="5019"/>
      <c r="X47" s="5019"/>
      <c r="Y47" s="5010" t="str" cm="1">
        <f t="array" ref="Y47">IF(AND(B47&lt;&gt;"",U47&lt;&gt;""),_xlfn.IFS(AND(U48&lt;&gt;"",U48&lt;$CC$42),U48,AND(U48&lt;&gt;"",U48&gt;=$CC$42),$CC$42,AND(U48="",U47&lt;$CC$42),$CC$42,TRUE,""),"")</f>
        <v/>
      </c>
      <c r="Z47" s="5010"/>
      <c r="AA47" s="5010"/>
      <c r="AB47" s="5010"/>
      <c r="AC47" s="5005">
        <f t="shared" si="36"/>
        <v>0</v>
      </c>
      <c r="AD47" s="5005"/>
      <c r="AE47" s="5005"/>
      <c r="AF47" s="5002">
        <f t="shared" si="37"/>
        <v>0</v>
      </c>
      <c r="AG47" s="5003"/>
      <c r="AH47" s="5004"/>
      <c r="AI47" s="4996" t="str" cm="1">
        <f t="array" aca="1" ref="AI47" ca="1">IFERROR(_xlfn.IFS(
AND(B47&lt;&gt;"",U47&lt;&gt;"",Y47&gt;$CC$42),$CF$44,
Y47=$CC$42,$CF$45,
AC47=$CC$46,$CF$46,
AC47=$CC$47,$CF$47,
AC47=$CC$48,$CF$48,
AC47=$CC$49,$CF$49,
AC47=$CC$50,$CF$50,
AC47=$CC$51,$CF$51,
AC47=$CC$52,$CF$52,
AC47=$CC$53,$CF$53,
AC47=$CC$54,$CF$54,
AC47=$CC$55,$CF$55,
TRUE,""),"")</f>
        <v/>
      </c>
      <c r="AJ47" s="4997"/>
      <c r="AK47" s="4997"/>
      <c r="AL47" s="4997"/>
      <c r="AM47" s="4998"/>
      <c r="AN47" s="1513"/>
      <c r="AO47" s="2959"/>
      <c r="AP47" s="2959"/>
      <c r="AQ47" s="2959"/>
      <c r="AR47" s="2959"/>
      <c r="AS47" s="2959"/>
      <c r="AT47" s="2959"/>
      <c r="AU47" s="2959"/>
      <c r="AV47" s="2959"/>
      <c r="AW47" s="2959"/>
      <c r="AX47" s="2959"/>
      <c r="AY47" s="2959"/>
      <c r="AZ47" s="2959"/>
      <c r="BA47" s="2959"/>
      <c r="BB47" s="2959"/>
      <c r="BC47" s="2959"/>
      <c r="BD47" s="2959"/>
      <c r="BE47" s="2959"/>
      <c r="BF47" s="2959"/>
      <c r="BG47" s="2961"/>
      <c r="BH47" s="2960"/>
      <c r="BI47" s="2960"/>
      <c r="BJ47" s="2960"/>
      <c r="BK47" s="2960"/>
      <c r="BL47" s="2960"/>
      <c r="BM47" s="2960"/>
      <c r="BN47" s="2960"/>
      <c r="BO47" s="2960"/>
      <c r="BP47" s="2960"/>
      <c r="BQ47" s="2960"/>
      <c r="BR47" s="2960"/>
      <c r="BS47" s="2960"/>
      <c r="BT47" s="2960"/>
      <c r="BU47" s="2960"/>
      <c r="BV47" s="2960"/>
      <c r="BW47" s="2960"/>
      <c r="BX47" s="2960"/>
      <c r="BY47" s="2960"/>
      <c r="BZ47" s="2962"/>
      <c r="CA47" s="1513"/>
      <c r="CB47" s="1522">
        <v>2</v>
      </c>
      <c r="CC47" s="4999">
        <f t="shared" si="38"/>
        <v>0</v>
      </c>
      <c r="CD47" s="5000"/>
      <c r="CE47" s="5001"/>
      <c r="CF47" s="6" t="s">
        <v>1080</v>
      </c>
      <c r="CL47" s="1513"/>
      <c r="CM47" s="1513"/>
      <c r="CN47" s="1513"/>
      <c r="CO47" s="1513"/>
      <c r="CP47" s="1513"/>
      <c r="CQ47" s="1513"/>
      <c r="CR47" s="1513"/>
      <c r="CS47" s="1513"/>
      <c r="CT47" s="1513"/>
      <c r="CU47" s="1513"/>
      <c r="CV47" s="1513"/>
      <c r="CW47" s="1513"/>
      <c r="CX47" s="1513"/>
      <c r="CY47" s="1513"/>
      <c r="CZ47" s="1513"/>
      <c r="DA47" s="1513"/>
      <c r="DB47" s="1513"/>
      <c r="DC47" s="1513"/>
      <c r="DD47" s="1513"/>
      <c r="DE47" s="1513"/>
      <c r="DF47" s="1513"/>
      <c r="DG47" s="1513"/>
      <c r="DH47" s="1513"/>
      <c r="DI47" s="1513"/>
      <c r="DJ47" s="1513"/>
      <c r="DK47" s="1513"/>
      <c r="DL47" s="1513"/>
      <c r="DM47" s="1513"/>
      <c r="DN47" s="1513"/>
      <c r="DO47" s="1513"/>
      <c r="DP47" s="1513"/>
      <c r="DQ47" s="1513"/>
      <c r="DR47" s="1513"/>
      <c r="DS47" s="1513"/>
      <c r="DT47" s="1513"/>
      <c r="DU47" s="1513"/>
      <c r="DV47" s="1513"/>
      <c r="DW47" s="1513"/>
      <c r="DX47" s="1513"/>
      <c r="DY47" s="1513"/>
      <c r="DZ47" s="1513"/>
      <c r="EA47" s="1513"/>
      <c r="EB47" s="1513"/>
      <c r="EC47" s="1513"/>
      <c r="ED47" s="1513"/>
      <c r="EE47" s="1513"/>
      <c r="EF47" s="1513"/>
      <c r="EG47" s="1513"/>
      <c r="EH47" s="1513"/>
      <c r="EI47" s="1513"/>
      <c r="EJ47" s="1513"/>
      <c r="EK47" s="1513"/>
      <c r="EL47" s="1513"/>
      <c r="EM47" s="1513"/>
      <c r="EN47" s="1513"/>
      <c r="EO47" s="1513"/>
      <c r="EP47" s="1513"/>
      <c r="EQ47" s="1513"/>
      <c r="ER47" s="1513"/>
      <c r="ES47" s="1513"/>
      <c r="ET47" s="1513"/>
      <c r="EU47" s="1513"/>
      <c r="EV47" s="1513"/>
      <c r="EW47" s="1513"/>
      <c r="EX47" s="1513"/>
      <c r="EY47" s="1513"/>
      <c r="EZ47" s="1513"/>
      <c r="FA47" s="1513"/>
      <c r="FB47" s="1513"/>
      <c r="FC47" s="1513"/>
      <c r="FD47" s="1513"/>
      <c r="FE47" s="1513"/>
      <c r="FF47" s="1513"/>
      <c r="FG47" s="1513"/>
      <c r="FH47" s="1513"/>
      <c r="FI47" s="1513"/>
      <c r="FJ47" s="1513"/>
      <c r="FL47" s="1513"/>
    </row>
    <row r="48" spans="1:168" ht="17.100000000000001" customHeight="1" x14ac:dyDescent="0.2">
      <c r="A48" s="1513"/>
      <c r="B48" s="5018"/>
      <c r="C48" s="5018"/>
      <c r="D48" s="5018"/>
      <c r="E48" s="5018"/>
      <c r="F48" s="5018"/>
      <c r="G48" s="5018"/>
      <c r="H48" s="5018"/>
      <c r="I48" s="5018"/>
      <c r="J48" s="5018"/>
      <c r="K48" s="5018"/>
      <c r="L48" s="5018"/>
      <c r="M48" s="5018"/>
      <c r="N48" s="5018"/>
      <c r="O48" s="5018"/>
      <c r="P48" s="5018"/>
      <c r="Q48" s="5018"/>
      <c r="R48" s="5018"/>
      <c r="S48" s="5018"/>
      <c r="T48" s="5018"/>
      <c r="U48" s="5019"/>
      <c r="V48" s="5019"/>
      <c r="W48" s="5019"/>
      <c r="X48" s="5019"/>
      <c r="Y48" s="5010" t="str" cm="1">
        <f t="array" ref="Y48">IF(AND(B48&lt;&gt;"",U48&lt;&gt;""),_xlfn.IFS(AND(U49&lt;&gt;"",U49&lt;$CC$42),U49,AND(U49&lt;&gt;"",U49&gt;=$CC$42),$CC$42,AND(U49="",U48&lt;$CC$42),$CC$42,TRUE,""),"")</f>
        <v/>
      </c>
      <c r="Z48" s="5010"/>
      <c r="AA48" s="5010"/>
      <c r="AB48" s="5010"/>
      <c r="AC48" s="5005">
        <f t="shared" si="36"/>
        <v>0</v>
      </c>
      <c r="AD48" s="5005"/>
      <c r="AE48" s="5005"/>
      <c r="AF48" s="5002">
        <f t="shared" si="37"/>
        <v>0</v>
      </c>
      <c r="AG48" s="5003"/>
      <c r="AH48" s="5004"/>
      <c r="AI48" s="4996" t="str" cm="1">
        <f t="array" aca="1" ref="AI48" ca="1">IFERROR(_xlfn.IFS(
AND(B48&lt;&gt;"",U48&lt;&gt;"",Y48&gt;$CC$42),$CF$44,
Y48=$CC$42,$CF$45,
AC48=$CC$46,$CF$46,
AC48=$CC$47,$CF$47,
AC48=$CC$48,$CF$48,
AC48=$CC$49,$CF$49,
AC48=$CC$50,$CF$50,
AC48=$CC$51,$CF$51,
AC48=$CC$52,$CF$52,
AC48=$CC$53,$CF$53,
AC48=$CC$54,$CF$54,
AC48=$CC$55,$CF$55,
TRUE,""),"")</f>
        <v/>
      </c>
      <c r="AJ48" s="4997"/>
      <c r="AK48" s="4997"/>
      <c r="AL48" s="4997"/>
      <c r="AM48" s="4998"/>
      <c r="AN48" s="1513"/>
      <c r="AO48" s="2959"/>
      <c r="AP48" s="2959"/>
      <c r="AQ48" s="2959"/>
      <c r="AR48" s="2959"/>
      <c r="AS48" s="2959"/>
      <c r="AT48" s="2959"/>
      <c r="AU48" s="2959"/>
      <c r="AV48" s="2959"/>
      <c r="AW48" s="2959"/>
      <c r="AX48" s="2959"/>
      <c r="AY48" s="2959"/>
      <c r="AZ48" s="2959"/>
      <c r="BA48" s="2959"/>
      <c r="BB48" s="2959"/>
      <c r="BC48" s="2959"/>
      <c r="BD48" s="2959"/>
      <c r="BE48" s="2959"/>
      <c r="BF48" s="2959"/>
      <c r="BG48" s="2961"/>
      <c r="BH48" s="2960"/>
      <c r="BI48" s="2960"/>
      <c r="BJ48" s="2960"/>
      <c r="BK48" s="2960"/>
      <c r="BL48" s="2960"/>
      <c r="BM48" s="2960"/>
      <c r="BN48" s="2960"/>
      <c r="BO48" s="2960"/>
      <c r="BP48" s="2960"/>
      <c r="BQ48" s="2960"/>
      <c r="BR48" s="2960"/>
      <c r="BS48" s="2960"/>
      <c r="BT48" s="2960"/>
      <c r="BU48" s="2960"/>
      <c r="BV48" s="2960"/>
      <c r="BW48" s="2960"/>
      <c r="BX48" s="2960"/>
      <c r="BY48" s="2960"/>
      <c r="BZ48" s="2962"/>
      <c r="CA48" s="1513"/>
      <c r="CB48" s="1522">
        <v>3</v>
      </c>
      <c r="CC48" s="4999">
        <f t="shared" si="38"/>
        <v>0</v>
      </c>
      <c r="CD48" s="5000"/>
      <c r="CE48" s="5001"/>
      <c r="CF48" s="6" t="s">
        <v>1081</v>
      </c>
      <c r="CL48" s="1513"/>
      <c r="CM48" s="1513"/>
      <c r="CN48" s="1513"/>
      <c r="CO48" s="1513"/>
      <c r="CP48" s="1513"/>
      <c r="CQ48" s="1513"/>
      <c r="CR48" s="1513"/>
      <c r="CS48" s="1513"/>
      <c r="CT48" s="1513"/>
      <c r="CU48" s="1513"/>
      <c r="CV48" s="1513"/>
      <c r="CW48" s="1513"/>
      <c r="CX48" s="1513"/>
      <c r="CY48" s="1513"/>
      <c r="CZ48" s="1513"/>
      <c r="DA48" s="1513"/>
      <c r="DB48" s="1513"/>
      <c r="DC48" s="1513"/>
      <c r="DD48" s="1513"/>
      <c r="DE48" s="1513"/>
      <c r="DF48" s="1513"/>
      <c r="DG48" s="1513"/>
      <c r="DH48" s="1513"/>
      <c r="DI48" s="1513"/>
      <c r="DJ48" s="1513"/>
      <c r="DK48" s="1513"/>
      <c r="DL48" s="1513"/>
      <c r="DM48" s="1513"/>
      <c r="DN48" s="1513"/>
      <c r="DO48" s="1513"/>
      <c r="DP48" s="1513"/>
      <c r="DQ48" s="1513"/>
      <c r="DR48" s="1513"/>
      <c r="DS48" s="1513"/>
      <c r="DT48" s="1513"/>
      <c r="DU48" s="1513"/>
      <c r="DV48" s="1513"/>
      <c r="DW48" s="1513"/>
      <c r="DX48" s="1513"/>
      <c r="DY48" s="1513"/>
      <c r="DZ48" s="1513"/>
      <c r="EA48" s="1513"/>
      <c r="EB48" s="1513"/>
      <c r="EC48" s="1513"/>
      <c r="ED48" s="1513"/>
      <c r="EE48" s="1513"/>
      <c r="EF48" s="1513"/>
      <c r="EG48" s="1513"/>
      <c r="EH48" s="1513"/>
      <c r="EI48" s="1513"/>
      <c r="EJ48" s="1513"/>
      <c r="EK48" s="1513"/>
      <c r="EL48" s="1513"/>
      <c r="EM48" s="1513"/>
      <c r="EN48" s="1513"/>
      <c r="EO48" s="1513"/>
      <c r="EP48" s="1513"/>
      <c r="EQ48" s="1513"/>
      <c r="ER48" s="1513"/>
      <c r="ES48" s="1513"/>
      <c r="ET48" s="1513"/>
      <c r="EU48" s="1513"/>
      <c r="EV48" s="1513"/>
      <c r="EW48" s="1513"/>
      <c r="EX48" s="1513"/>
      <c r="EY48" s="1513"/>
      <c r="EZ48" s="1513"/>
      <c r="FA48" s="1513"/>
      <c r="FB48" s="1513"/>
      <c r="FC48" s="1513"/>
      <c r="FD48" s="1513"/>
      <c r="FE48" s="1513"/>
      <c r="FF48" s="1513"/>
      <c r="FG48" s="1513"/>
      <c r="FH48" s="1513"/>
      <c r="FI48" s="1513"/>
      <c r="FJ48" s="1513"/>
      <c r="FL48" s="1513"/>
    </row>
    <row r="49" spans="1:168" ht="17.100000000000001" customHeight="1" x14ac:dyDescent="0.2">
      <c r="A49" s="1513"/>
      <c r="B49" s="5018"/>
      <c r="C49" s="5018"/>
      <c r="D49" s="5018"/>
      <c r="E49" s="5018"/>
      <c r="F49" s="5018"/>
      <c r="G49" s="5018"/>
      <c r="H49" s="5018"/>
      <c r="I49" s="5018"/>
      <c r="J49" s="5018"/>
      <c r="K49" s="5018"/>
      <c r="L49" s="5018"/>
      <c r="M49" s="5018"/>
      <c r="N49" s="5018"/>
      <c r="O49" s="5018"/>
      <c r="P49" s="5018"/>
      <c r="Q49" s="5018"/>
      <c r="R49" s="5018"/>
      <c r="S49" s="5018"/>
      <c r="T49" s="5018"/>
      <c r="U49" s="5019"/>
      <c r="V49" s="5019"/>
      <c r="W49" s="5019"/>
      <c r="X49" s="5019"/>
      <c r="Y49" s="5010" t="str" cm="1">
        <f t="array" ref="Y49">IF(AND(B49&lt;&gt;"",U49&lt;&gt;""),_xlfn.IFS(AND(U50&lt;&gt;"",U50&lt;$CC$42),U50,AND(U50&lt;&gt;"",U50&gt;=$CC$42),$CC$42,AND(U50="",U49&lt;$CC$42),$CC$42,TRUE,""),"")</f>
        <v/>
      </c>
      <c r="Z49" s="5010"/>
      <c r="AA49" s="5010"/>
      <c r="AB49" s="5010"/>
      <c r="AC49" s="5005">
        <f t="shared" si="36"/>
        <v>0</v>
      </c>
      <c r="AD49" s="5005"/>
      <c r="AE49" s="5005"/>
      <c r="AF49" s="5002">
        <f t="shared" si="37"/>
        <v>0</v>
      </c>
      <c r="AG49" s="5003"/>
      <c r="AH49" s="5004"/>
      <c r="AI49" s="4996" t="str" cm="1">
        <f t="array" aca="1" ref="AI49" ca="1">IFERROR(_xlfn.IFS(
AND(B49&lt;&gt;"",U49&lt;&gt;"",Y49&gt;$CC$42),$CF$44,
Y49=$CC$42,$CF$45,
AC49=$CC$46,$CF$46,
AC49=$CC$47,$CF$47,
AC49=$CC$48,$CF$48,
AC49=$CC$49,$CF$49,
AC49=$CC$50,$CF$50,
AC49=$CC$51,$CF$51,
AC49=$CC$52,$CF$52,
AC49=$CC$53,$CF$53,
AC49=$CC$54,$CF$54,
AC49=$CC$55,$CF$55,
TRUE,""),"")</f>
        <v/>
      </c>
      <c r="AJ49" s="4997"/>
      <c r="AK49" s="4997"/>
      <c r="AL49" s="4997"/>
      <c r="AM49" s="4998"/>
      <c r="AN49" s="1513"/>
      <c r="AO49" s="2959"/>
      <c r="AP49" s="2959"/>
      <c r="AQ49" s="2959"/>
      <c r="AR49" s="2959"/>
      <c r="AS49" s="2959"/>
      <c r="AT49" s="2959"/>
      <c r="AU49" s="2959"/>
      <c r="AV49" s="2959"/>
      <c r="AW49" s="2959"/>
      <c r="AX49" s="2959"/>
      <c r="AY49" s="2959"/>
      <c r="AZ49" s="2959"/>
      <c r="BA49" s="2959"/>
      <c r="BB49" s="2959"/>
      <c r="BC49" s="2959"/>
      <c r="BD49" s="2959"/>
      <c r="BE49" s="2959"/>
      <c r="BF49" s="2959"/>
      <c r="BG49" s="2961"/>
      <c r="BH49" s="2960"/>
      <c r="BI49" s="2960"/>
      <c r="BJ49" s="2960"/>
      <c r="BK49" s="2960"/>
      <c r="BL49" s="2960"/>
      <c r="BM49" s="2960"/>
      <c r="BN49" s="2960"/>
      <c r="BO49" s="2960"/>
      <c r="BP49" s="2960"/>
      <c r="BQ49" s="2960"/>
      <c r="BR49" s="2960"/>
      <c r="BS49" s="2960"/>
      <c r="BT49" s="2960"/>
      <c r="BU49" s="2960"/>
      <c r="BV49" s="2960"/>
      <c r="BW49" s="2960"/>
      <c r="BX49" s="2960"/>
      <c r="BY49" s="2960"/>
      <c r="BZ49" s="2962"/>
      <c r="CA49" s="1513"/>
      <c r="CB49" s="1522">
        <v>4</v>
      </c>
      <c r="CC49" s="4999">
        <f t="shared" si="38"/>
        <v>0</v>
      </c>
      <c r="CD49" s="5000"/>
      <c r="CE49" s="5001"/>
      <c r="CF49" s="6" t="s">
        <v>817</v>
      </c>
      <c r="CL49" s="1513"/>
      <c r="CM49" s="1513"/>
      <c r="CN49" s="1513"/>
      <c r="CO49" s="1513"/>
      <c r="CP49" s="1513"/>
      <c r="CQ49" s="1513"/>
      <c r="CR49" s="1513"/>
      <c r="CS49" s="1513"/>
      <c r="CT49" s="1513"/>
      <c r="CU49" s="1513"/>
      <c r="CV49" s="1513"/>
      <c r="CW49" s="1513"/>
      <c r="CX49" s="1513"/>
      <c r="CY49" s="1513"/>
      <c r="CZ49" s="1513"/>
      <c r="DA49" s="1513"/>
      <c r="DB49" s="1513"/>
      <c r="DC49" s="1513"/>
      <c r="DD49" s="1513"/>
      <c r="DE49" s="1513"/>
      <c r="DF49" s="1513"/>
      <c r="DG49" s="1513"/>
      <c r="DH49" s="1513"/>
      <c r="DI49" s="1513"/>
      <c r="DJ49" s="1513"/>
      <c r="DK49" s="1513"/>
      <c r="DL49" s="1513"/>
      <c r="DM49" s="1513"/>
      <c r="DN49" s="1513"/>
      <c r="DO49" s="1513"/>
      <c r="DP49" s="1513"/>
      <c r="DQ49" s="1513"/>
      <c r="DR49" s="1513"/>
      <c r="DS49" s="1513"/>
      <c r="DT49" s="1513"/>
      <c r="DU49" s="1513"/>
      <c r="DV49" s="1513"/>
      <c r="DW49" s="1513"/>
      <c r="DX49" s="1513"/>
      <c r="DY49" s="1513"/>
      <c r="DZ49" s="1513"/>
      <c r="EA49" s="1513"/>
      <c r="EB49" s="1513"/>
      <c r="EC49" s="1513"/>
      <c r="ED49" s="1513"/>
      <c r="EE49" s="1513"/>
      <c r="EF49" s="1513"/>
      <c r="EG49" s="1513"/>
      <c r="EH49" s="1513"/>
      <c r="EI49" s="1513"/>
      <c r="EJ49" s="1513"/>
      <c r="EK49" s="1513"/>
      <c r="EL49" s="1513"/>
      <c r="EM49" s="1513"/>
      <c r="EN49" s="1513"/>
      <c r="EO49" s="1513"/>
      <c r="EP49" s="1513"/>
      <c r="EQ49" s="1513"/>
      <c r="ER49" s="1513"/>
      <c r="ES49" s="1513"/>
      <c r="ET49" s="1513"/>
      <c r="EU49" s="1513"/>
      <c r="EV49" s="1513"/>
      <c r="EW49" s="1513"/>
      <c r="EX49" s="1513"/>
      <c r="EY49" s="1513"/>
      <c r="EZ49" s="1513"/>
      <c r="FA49" s="1513"/>
      <c r="FB49" s="1513"/>
      <c r="FC49" s="1513"/>
      <c r="FD49" s="1513"/>
      <c r="FE49" s="1513"/>
      <c r="FF49" s="1513"/>
      <c r="FG49" s="1513"/>
      <c r="FH49" s="1513"/>
      <c r="FI49" s="1513"/>
      <c r="FJ49" s="1513"/>
      <c r="FL49" s="1513"/>
    </row>
    <row r="50" spans="1:168" ht="17.100000000000001" customHeight="1" x14ac:dyDescent="0.2">
      <c r="A50" s="1513"/>
      <c r="B50" s="5018"/>
      <c r="C50" s="5018"/>
      <c r="D50" s="5018"/>
      <c r="E50" s="5018"/>
      <c r="F50" s="5018"/>
      <c r="G50" s="5018"/>
      <c r="H50" s="5018"/>
      <c r="I50" s="5018"/>
      <c r="J50" s="5018"/>
      <c r="K50" s="5018"/>
      <c r="L50" s="5018"/>
      <c r="M50" s="5018"/>
      <c r="N50" s="5018"/>
      <c r="O50" s="5018"/>
      <c r="P50" s="5018"/>
      <c r="Q50" s="5018"/>
      <c r="R50" s="5018"/>
      <c r="S50" s="5018"/>
      <c r="T50" s="5018"/>
      <c r="U50" s="5019"/>
      <c r="V50" s="5019"/>
      <c r="W50" s="5019"/>
      <c r="X50" s="5019"/>
      <c r="Y50" s="5010" t="str" cm="1">
        <f t="array" ref="Y50">IF(AND(B50&lt;&gt;"",U50&lt;&gt;""),_xlfn.IFS(AND(U51&lt;&gt;"",U51&lt;$CC$42),U51,AND(U51&lt;&gt;"",U51&gt;=$CC$42),$CC$42,AND(U51="",U50&lt;$CC$42),$CC$42,TRUE,""),"")</f>
        <v/>
      </c>
      <c r="Z50" s="5010"/>
      <c r="AA50" s="5010"/>
      <c r="AB50" s="5010"/>
      <c r="AC50" s="5005">
        <f t="shared" si="36"/>
        <v>0</v>
      </c>
      <c r="AD50" s="5005"/>
      <c r="AE50" s="5005"/>
      <c r="AF50" s="5002">
        <f t="shared" si="37"/>
        <v>0</v>
      </c>
      <c r="AG50" s="5003"/>
      <c r="AH50" s="5004"/>
      <c r="AI50" s="4996" t="str" cm="1">
        <f t="array" aca="1" ref="AI50" ca="1">IFERROR(_xlfn.IFS(
AND(B50&lt;&gt;"",U50&lt;&gt;"",Y50&gt;$CC$42),$CF$44,
Y50=$CC$42,$CF$45,
AC50=$CC$46,$CF$46,
AC50=$CC$47,$CF$47,
AC50=$CC$48,$CF$48,
AC50=$CC$49,$CF$49,
AC50=$CC$50,$CF$50,
AC50=$CC$51,$CF$51,
AC50=$CC$52,$CF$52,
AC50=$CC$53,$CF$53,
AC50=$CC$54,$CF$54,
AC50=$CC$55,$CF$55,
TRUE,""),"")</f>
        <v/>
      </c>
      <c r="AJ50" s="4997"/>
      <c r="AK50" s="4997"/>
      <c r="AL50" s="4997"/>
      <c r="AM50" s="4998"/>
      <c r="AN50" s="1513"/>
      <c r="AO50" s="2959"/>
      <c r="AP50" s="2959"/>
      <c r="AQ50" s="2959"/>
      <c r="AR50" s="2959"/>
      <c r="AS50" s="2959"/>
      <c r="AT50" s="2959"/>
      <c r="AU50" s="2959"/>
      <c r="AV50" s="2959"/>
      <c r="AW50" s="2959"/>
      <c r="AX50" s="2959"/>
      <c r="AY50" s="2959"/>
      <c r="AZ50" s="2959"/>
      <c r="BA50" s="2959"/>
      <c r="BB50" s="2959"/>
      <c r="BC50" s="2959"/>
      <c r="BD50" s="2959"/>
      <c r="BE50" s="2959"/>
      <c r="BF50" s="2959"/>
      <c r="BG50" s="2961"/>
      <c r="BH50" s="2960"/>
      <c r="BI50" s="2960"/>
      <c r="BJ50" s="2960"/>
      <c r="BK50" s="2960"/>
      <c r="BL50" s="2960"/>
      <c r="BM50" s="2960"/>
      <c r="BN50" s="2960"/>
      <c r="BO50" s="2960"/>
      <c r="BP50" s="2960"/>
      <c r="BQ50" s="2960"/>
      <c r="BR50" s="2960"/>
      <c r="BS50" s="2960"/>
      <c r="BT50" s="2960"/>
      <c r="BU50" s="2960"/>
      <c r="BV50" s="2960"/>
      <c r="BW50" s="2960"/>
      <c r="BX50" s="2960"/>
      <c r="BY50" s="2960"/>
      <c r="BZ50" s="2962"/>
      <c r="CA50" s="1513"/>
      <c r="CB50" s="1522">
        <v>5</v>
      </c>
      <c r="CC50" s="4999">
        <f t="shared" si="38"/>
        <v>0</v>
      </c>
      <c r="CD50" s="5000"/>
      <c r="CE50" s="5001"/>
      <c r="CF50" s="6" t="s">
        <v>818</v>
      </c>
      <c r="CL50" s="1513"/>
      <c r="CM50" s="1513"/>
      <c r="CN50" s="1513"/>
      <c r="CO50" s="1513"/>
      <c r="CP50" s="1513"/>
      <c r="CQ50" s="1513"/>
      <c r="CR50" s="1513"/>
      <c r="CS50" s="1513"/>
      <c r="CT50" s="1513"/>
      <c r="CU50" s="1513"/>
      <c r="CV50" s="1513"/>
      <c r="CW50" s="1513"/>
      <c r="CX50" s="1513"/>
      <c r="CY50" s="1513"/>
      <c r="CZ50" s="1513"/>
      <c r="DA50" s="1513"/>
      <c r="DB50" s="1513"/>
      <c r="DC50" s="1513"/>
      <c r="DD50" s="1513"/>
      <c r="DE50" s="1513"/>
      <c r="DF50" s="1513"/>
      <c r="DG50" s="1513"/>
      <c r="DH50" s="1513"/>
      <c r="DI50" s="1513"/>
      <c r="DJ50" s="1513"/>
      <c r="DK50" s="1513"/>
      <c r="DL50" s="1513"/>
      <c r="DM50" s="1513"/>
      <c r="DN50" s="1513"/>
      <c r="DO50" s="1513"/>
      <c r="DP50" s="1513"/>
      <c r="DQ50" s="1513"/>
      <c r="DR50" s="1513"/>
      <c r="DS50" s="1513"/>
      <c r="DT50" s="1513"/>
      <c r="DU50" s="1513"/>
      <c r="DV50" s="1513"/>
      <c r="DW50" s="1513"/>
      <c r="DX50" s="1513"/>
      <c r="DY50" s="1513"/>
      <c r="DZ50" s="1513"/>
      <c r="EA50" s="1513"/>
      <c r="EB50" s="1513"/>
      <c r="EC50" s="1513"/>
      <c r="ED50" s="1513"/>
      <c r="EE50" s="1513"/>
      <c r="EF50" s="1513"/>
      <c r="EG50" s="1513"/>
      <c r="EH50" s="1513"/>
      <c r="EI50" s="1513"/>
      <c r="EJ50" s="1513"/>
      <c r="EK50" s="1513"/>
      <c r="EL50" s="1513"/>
      <c r="EM50" s="1513"/>
      <c r="EN50" s="1513"/>
      <c r="EO50" s="1513"/>
      <c r="EP50" s="1513"/>
      <c r="EQ50" s="1513"/>
      <c r="ER50" s="1513"/>
      <c r="ES50" s="1513"/>
      <c r="ET50" s="1513"/>
      <c r="EU50" s="1513"/>
      <c r="EV50" s="1513"/>
      <c r="EW50" s="1513"/>
      <c r="EX50" s="1513"/>
      <c r="EY50" s="1513"/>
      <c r="EZ50" s="1513"/>
      <c r="FA50" s="1513"/>
      <c r="FB50" s="1513"/>
      <c r="FC50" s="1513"/>
      <c r="FD50" s="1513"/>
      <c r="FE50" s="1513"/>
      <c r="FF50" s="1513"/>
      <c r="FG50" s="1513"/>
      <c r="FH50" s="1513"/>
      <c r="FI50" s="1513"/>
      <c r="FJ50" s="1513"/>
      <c r="FL50" s="1513"/>
    </row>
    <row r="51" spans="1:168" ht="17.100000000000001" customHeight="1" x14ac:dyDescent="0.2">
      <c r="A51" s="1513"/>
      <c r="B51" s="5018"/>
      <c r="C51" s="5018"/>
      <c r="D51" s="5018"/>
      <c r="E51" s="5018"/>
      <c r="F51" s="5018"/>
      <c r="G51" s="5018"/>
      <c r="H51" s="5018"/>
      <c r="I51" s="5018"/>
      <c r="J51" s="5018"/>
      <c r="K51" s="5018"/>
      <c r="L51" s="5018"/>
      <c r="M51" s="5018"/>
      <c r="N51" s="5018"/>
      <c r="O51" s="5018"/>
      <c r="P51" s="5018"/>
      <c r="Q51" s="5018"/>
      <c r="R51" s="5018"/>
      <c r="S51" s="5018"/>
      <c r="T51" s="5018"/>
      <c r="U51" s="5019"/>
      <c r="V51" s="5019"/>
      <c r="W51" s="5019"/>
      <c r="X51" s="5019"/>
      <c r="Y51" s="5010" t="str" cm="1">
        <f t="array" ref="Y51">IF(AND(B51&lt;&gt;"",U51&lt;&gt;""),_xlfn.IFS(AND(U52&lt;&gt;"",U52&lt;$CC$42),U52,AND(U52&lt;&gt;"",U52&gt;=$CC$42),$CC$42,AND(U52="",U51&lt;$CC$42),$CC$42,TRUE,""),"")</f>
        <v/>
      </c>
      <c r="Z51" s="5010"/>
      <c r="AA51" s="5010"/>
      <c r="AB51" s="5010"/>
      <c r="AC51" s="5005">
        <f t="shared" si="36"/>
        <v>0</v>
      </c>
      <c r="AD51" s="5005"/>
      <c r="AE51" s="5005"/>
      <c r="AF51" s="5002">
        <f t="shared" si="37"/>
        <v>0</v>
      </c>
      <c r="AG51" s="5003"/>
      <c r="AH51" s="5004"/>
      <c r="AI51" s="4996" t="str" cm="1">
        <f t="array" aca="1" ref="AI51" ca="1">IFERROR(_xlfn.IFS(
AND(B51&lt;&gt;"",U51&lt;&gt;"",Y51&gt;$CC$42),$CF$44,
Y51=$CC$42,$CF$45,
AC51=$CC$46,$CF$46,
AC51=$CC$47,$CF$47,
AC51=$CC$48,$CF$48,
AC51=$CC$49,$CF$49,
AC51=$CC$50,$CF$50,
AC51=$CC$51,$CF$51,
AC51=$CC$52,$CF$52,
AC51=$CC$53,$CF$53,
AC51=$CC$54,$CF$54,
AC51=$CC$55,$CF$55,
TRUE,""),"")</f>
        <v/>
      </c>
      <c r="AJ51" s="4997"/>
      <c r="AK51" s="4997"/>
      <c r="AL51" s="4997"/>
      <c r="AM51" s="4998"/>
      <c r="AN51" s="1513"/>
      <c r="AO51" s="2959"/>
      <c r="AP51" s="2959"/>
      <c r="AQ51" s="2959"/>
      <c r="AR51" s="2959"/>
      <c r="AS51" s="2959"/>
      <c r="AT51" s="2959"/>
      <c r="AU51" s="2959"/>
      <c r="AV51" s="2959"/>
      <c r="AW51" s="2959"/>
      <c r="AX51" s="2959"/>
      <c r="AY51" s="2959"/>
      <c r="AZ51" s="2959"/>
      <c r="BA51" s="2959"/>
      <c r="BB51" s="2959"/>
      <c r="BC51" s="2959"/>
      <c r="BD51" s="2959"/>
      <c r="BE51" s="2959"/>
      <c r="BF51" s="2959"/>
      <c r="BG51" s="2961"/>
      <c r="BH51" s="2960"/>
      <c r="BI51" s="2960"/>
      <c r="BJ51" s="2960"/>
      <c r="BK51" s="2960"/>
      <c r="BL51" s="2960"/>
      <c r="BM51" s="2960"/>
      <c r="BN51" s="2960"/>
      <c r="BO51" s="2960"/>
      <c r="BP51" s="2960"/>
      <c r="BQ51" s="2960"/>
      <c r="BR51" s="2960"/>
      <c r="BS51" s="2960"/>
      <c r="BT51" s="2960"/>
      <c r="BU51" s="2960"/>
      <c r="BV51" s="2960"/>
      <c r="BW51" s="2960"/>
      <c r="BX51" s="2960"/>
      <c r="BY51" s="2960"/>
      <c r="BZ51" s="2962"/>
      <c r="CA51" s="1513"/>
      <c r="CB51" s="1522">
        <v>6</v>
      </c>
      <c r="CC51" s="4999">
        <f t="shared" si="38"/>
        <v>0</v>
      </c>
      <c r="CD51" s="5000"/>
      <c r="CE51" s="5001"/>
      <c r="CF51" s="6" t="s">
        <v>819</v>
      </c>
      <c r="CL51" s="1513"/>
      <c r="CM51" s="1513"/>
      <c r="CN51" s="1513"/>
      <c r="CO51" s="1513"/>
      <c r="CP51" s="1513"/>
      <c r="CQ51" s="1513"/>
      <c r="CR51" s="1513"/>
      <c r="CS51" s="1513"/>
      <c r="CT51" s="1513"/>
      <c r="CU51" s="1513"/>
      <c r="CV51" s="1513"/>
      <c r="CW51" s="1513"/>
      <c r="CX51" s="1513"/>
      <c r="CY51" s="1513"/>
      <c r="CZ51" s="1513"/>
      <c r="DA51" s="1513"/>
      <c r="DB51" s="1513"/>
      <c r="DC51" s="1513"/>
      <c r="DD51" s="1513"/>
      <c r="DE51" s="1513"/>
      <c r="DF51" s="1513"/>
      <c r="DG51" s="1513"/>
      <c r="DH51" s="1513"/>
      <c r="DI51" s="1513"/>
      <c r="DJ51" s="1513"/>
      <c r="DK51" s="1513"/>
      <c r="DL51" s="1513"/>
      <c r="DM51" s="1513"/>
      <c r="DN51" s="1513"/>
      <c r="DO51" s="1513"/>
      <c r="DP51" s="1513"/>
      <c r="DQ51" s="1513"/>
      <c r="DR51" s="1513"/>
      <c r="DS51" s="1513"/>
      <c r="DT51" s="1513"/>
      <c r="DU51" s="1513"/>
      <c r="DV51" s="1513"/>
      <c r="DW51" s="1513"/>
      <c r="DX51" s="1513"/>
      <c r="DY51" s="1513"/>
      <c r="DZ51" s="1513"/>
      <c r="EA51" s="1513"/>
      <c r="EB51" s="1513"/>
      <c r="EC51" s="1513"/>
      <c r="ED51" s="1513"/>
      <c r="EE51" s="1513"/>
      <c r="EF51" s="1513"/>
      <c r="EG51" s="1513"/>
      <c r="EH51" s="1513"/>
      <c r="EI51" s="1513"/>
      <c r="EJ51" s="1513"/>
      <c r="EK51" s="1513"/>
      <c r="EL51" s="1513"/>
      <c r="EM51" s="1513"/>
      <c r="EN51" s="1513"/>
      <c r="EO51" s="1513"/>
      <c r="EP51" s="1513"/>
      <c r="EQ51" s="1513"/>
      <c r="ER51" s="1513"/>
      <c r="ES51" s="1513"/>
      <c r="ET51" s="1513"/>
      <c r="EU51" s="1513"/>
      <c r="EV51" s="1513"/>
      <c r="EW51" s="1513"/>
      <c r="EX51" s="1513"/>
      <c r="EY51" s="1513"/>
      <c r="EZ51" s="1513"/>
      <c r="FA51" s="1513"/>
      <c r="FB51" s="1513"/>
      <c r="FC51" s="1513"/>
      <c r="FD51" s="1513"/>
      <c r="FE51" s="1513"/>
      <c r="FF51" s="1513"/>
      <c r="FG51" s="1513"/>
      <c r="FH51" s="1513"/>
      <c r="FI51" s="1513"/>
      <c r="FJ51" s="1513"/>
      <c r="FL51" s="1513"/>
    </row>
    <row r="52" spans="1:168" ht="17.100000000000001" customHeight="1" x14ac:dyDescent="0.2">
      <c r="A52" s="1513"/>
      <c r="B52" s="5018"/>
      <c r="C52" s="5018"/>
      <c r="D52" s="5018"/>
      <c r="E52" s="5018"/>
      <c r="F52" s="5018"/>
      <c r="G52" s="5018"/>
      <c r="H52" s="5018"/>
      <c r="I52" s="5018"/>
      <c r="J52" s="5018"/>
      <c r="K52" s="5018"/>
      <c r="L52" s="5018"/>
      <c r="M52" s="5018"/>
      <c r="N52" s="5018"/>
      <c r="O52" s="5018"/>
      <c r="P52" s="5018"/>
      <c r="Q52" s="5018"/>
      <c r="R52" s="5018"/>
      <c r="S52" s="5018"/>
      <c r="T52" s="5018"/>
      <c r="U52" s="5019"/>
      <c r="V52" s="5019"/>
      <c r="W52" s="5019"/>
      <c r="X52" s="5019"/>
      <c r="Y52" s="5010" t="str" cm="1">
        <f t="array" ref="Y52">IF(AND(B52&lt;&gt;"",U52&lt;&gt;""),_xlfn.IFS(AND(U53&lt;&gt;"",U53&lt;$CC$42),U53,AND(U53&lt;&gt;"",U53&gt;=$CC$42),$CC$42,AND(U53="",U52&lt;$CC$42),$CC$42,TRUE,""),"")</f>
        <v/>
      </c>
      <c r="Z52" s="5010"/>
      <c r="AA52" s="5010"/>
      <c r="AB52" s="5010"/>
      <c r="AC52" s="5005">
        <f t="shared" si="36"/>
        <v>0</v>
      </c>
      <c r="AD52" s="5005"/>
      <c r="AE52" s="5005"/>
      <c r="AF52" s="5002">
        <f t="shared" si="37"/>
        <v>0</v>
      </c>
      <c r="AG52" s="5003"/>
      <c r="AH52" s="5004"/>
      <c r="AI52" s="4996" t="str" cm="1">
        <f t="array" aca="1" ref="AI52" ca="1">IFERROR(_xlfn.IFS(
AND(B52&lt;&gt;"",U52&lt;&gt;"",Y52&gt;$CC$42),$CF$44,
Y52=$CC$42,$CF$45,
AC52=$CC$46,$CF$46,
AC52=$CC$47,$CF$47,
AC52=$CC$48,$CF$48,
AC52=$CC$49,$CF$49,
AC52=$CC$50,$CF$50,
AC52=$CC$51,$CF$51,
AC52=$CC$52,$CF$52,
AC52=$CC$53,$CF$53,
AC52=$CC$54,$CF$54,
AC52=$CC$55,$CF$55,
TRUE,""),"")</f>
        <v/>
      </c>
      <c r="AJ52" s="4997"/>
      <c r="AK52" s="4997"/>
      <c r="AL52" s="4997"/>
      <c r="AM52" s="4998"/>
      <c r="AN52" s="1513"/>
      <c r="AO52" s="2959"/>
      <c r="AP52" s="2959"/>
      <c r="AQ52" s="2959"/>
      <c r="AR52" s="2959"/>
      <c r="AS52" s="2959"/>
      <c r="AT52" s="2959"/>
      <c r="AU52" s="2959"/>
      <c r="AV52" s="2959"/>
      <c r="AW52" s="2959"/>
      <c r="AX52" s="2959"/>
      <c r="AY52" s="2959"/>
      <c r="AZ52" s="2959"/>
      <c r="BA52" s="2959"/>
      <c r="BB52" s="2959"/>
      <c r="BC52" s="2959"/>
      <c r="BD52" s="2959"/>
      <c r="BE52" s="2959"/>
      <c r="BF52" s="2959"/>
      <c r="BG52" s="2961"/>
      <c r="BH52" s="2960"/>
      <c r="BI52" s="2960"/>
      <c r="BJ52" s="2960"/>
      <c r="BK52" s="2960"/>
      <c r="BL52" s="2960"/>
      <c r="BM52" s="2960"/>
      <c r="BN52" s="2960"/>
      <c r="BO52" s="2960"/>
      <c r="BP52" s="2960"/>
      <c r="BQ52" s="2960"/>
      <c r="BR52" s="2960"/>
      <c r="BS52" s="2960"/>
      <c r="BT52" s="2960"/>
      <c r="BU52" s="2960"/>
      <c r="BV52" s="2960"/>
      <c r="BW52" s="2960"/>
      <c r="BX52" s="2960"/>
      <c r="BY52" s="2960"/>
      <c r="BZ52" s="2962"/>
      <c r="CA52" s="1513"/>
      <c r="CB52" s="1522">
        <v>7</v>
      </c>
      <c r="CC52" s="4999">
        <f t="shared" si="38"/>
        <v>0</v>
      </c>
      <c r="CD52" s="5000"/>
      <c r="CE52" s="5001"/>
      <c r="CF52" s="6" t="s">
        <v>820</v>
      </c>
      <c r="CL52" s="1513"/>
      <c r="CM52" s="1513"/>
      <c r="CN52" s="1513"/>
      <c r="CO52" s="1513"/>
      <c r="CP52" s="1513"/>
      <c r="CQ52" s="1513"/>
      <c r="CR52" s="1513"/>
      <c r="CS52" s="1513"/>
      <c r="CT52" s="1513"/>
      <c r="CU52" s="1513"/>
      <c r="CV52" s="1513"/>
      <c r="CW52" s="1513"/>
      <c r="CX52" s="1513"/>
      <c r="CY52" s="1513"/>
      <c r="CZ52" s="1513"/>
      <c r="DA52" s="1513"/>
      <c r="DB52" s="1513"/>
      <c r="DC52" s="1513"/>
      <c r="DD52" s="1513"/>
      <c r="DE52" s="1513"/>
      <c r="DF52" s="1513"/>
      <c r="DG52" s="1513"/>
      <c r="DH52" s="1513"/>
      <c r="DI52" s="1513"/>
      <c r="DJ52" s="1513"/>
      <c r="DK52" s="1513"/>
      <c r="DL52" s="1513"/>
      <c r="DM52" s="1513"/>
      <c r="DN52" s="1513"/>
      <c r="DO52" s="1513"/>
      <c r="DP52" s="1513"/>
      <c r="DQ52" s="1513"/>
      <c r="DR52" s="1513"/>
      <c r="DS52" s="1513"/>
      <c r="DT52" s="1513"/>
      <c r="DU52" s="1513"/>
      <c r="DV52" s="1513"/>
      <c r="DW52" s="1513"/>
      <c r="DX52" s="1513"/>
      <c r="DY52" s="1513"/>
      <c r="DZ52" s="1513"/>
      <c r="EA52" s="1513"/>
      <c r="EB52" s="1513"/>
      <c r="EC52" s="1513"/>
      <c r="ED52" s="1513"/>
      <c r="EE52" s="1513"/>
      <c r="EF52" s="1513"/>
      <c r="EG52" s="1513"/>
      <c r="EH52" s="1513"/>
      <c r="EI52" s="1513"/>
      <c r="EJ52" s="1513"/>
      <c r="EK52" s="1513"/>
      <c r="EL52" s="1513"/>
      <c r="EM52" s="1513"/>
      <c r="EN52" s="1513"/>
      <c r="EO52" s="1513"/>
      <c r="EP52" s="1513"/>
      <c r="EQ52" s="1513"/>
      <c r="ER52" s="1513"/>
      <c r="ES52" s="1513"/>
      <c r="ET52" s="1513"/>
      <c r="EU52" s="1513"/>
      <c r="EV52" s="1513"/>
      <c r="EW52" s="1513"/>
      <c r="EX52" s="1513"/>
      <c r="EY52" s="1513"/>
      <c r="EZ52" s="1513"/>
      <c r="FA52" s="1513"/>
      <c r="FB52" s="1513"/>
      <c r="FC52" s="1513"/>
      <c r="FD52" s="1513"/>
      <c r="FE52" s="1513"/>
      <c r="FF52" s="1513"/>
      <c r="FG52" s="1513"/>
      <c r="FH52" s="1513"/>
      <c r="FI52" s="1513"/>
      <c r="FJ52" s="1513"/>
      <c r="FL52" s="1513"/>
    </row>
    <row r="53" spans="1:168" ht="17.100000000000001" customHeight="1" x14ac:dyDescent="0.2">
      <c r="A53" s="1513"/>
      <c r="B53" s="5018"/>
      <c r="C53" s="5018"/>
      <c r="D53" s="5018"/>
      <c r="E53" s="5018"/>
      <c r="F53" s="5018"/>
      <c r="G53" s="5018"/>
      <c r="H53" s="5018"/>
      <c r="I53" s="5018"/>
      <c r="J53" s="5018"/>
      <c r="K53" s="5018"/>
      <c r="L53" s="5018"/>
      <c r="M53" s="5018"/>
      <c r="N53" s="5018"/>
      <c r="O53" s="5018"/>
      <c r="P53" s="5018"/>
      <c r="Q53" s="5018"/>
      <c r="R53" s="5018"/>
      <c r="S53" s="5018"/>
      <c r="T53" s="5018"/>
      <c r="U53" s="5019"/>
      <c r="V53" s="5019"/>
      <c r="W53" s="5019"/>
      <c r="X53" s="5019"/>
      <c r="Y53" s="5010" t="str" cm="1">
        <f t="array" ref="Y53">IF(AND(B53&lt;&gt;"",U53&lt;&gt;""),_xlfn.IFS(AND(U54&lt;&gt;"",U54&lt;$CC$42),U54,AND(U54&lt;&gt;"",U54&gt;=$CC$42),$CC$42,AND(U54="",U53&lt;$CC$42),$CC$42,TRUE,""),"")</f>
        <v/>
      </c>
      <c r="Z53" s="5010"/>
      <c r="AA53" s="5010"/>
      <c r="AB53" s="5010"/>
      <c r="AC53" s="5005">
        <f t="shared" si="36"/>
        <v>0</v>
      </c>
      <c r="AD53" s="5005"/>
      <c r="AE53" s="5005"/>
      <c r="AF53" s="5002">
        <f t="shared" si="37"/>
        <v>0</v>
      </c>
      <c r="AG53" s="5003"/>
      <c r="AH53" s="5004"/>
      <c r="AI53" s="4996" t="str" cm="1">
        <f t="array" aca="1" ref="AI53" ca="1">IFERROR(_xlfn.IFS(
AND(B53&lt;&gt;"",U53&lt;&gt;"",Y53&gt;$CC$42),$CF$44,
Y53=$CC$42,$CF$45,
AC53=$CC$46,$CF$46,
AC53=$CC$47,$CF$47,
AC53=$CC$48,$CF$48,
AC53=$CC$49,$CF$49,
AC53=$CC$50,$CF$50,
AC53=$CC$51,$CF$51,
AC53=$CC$52,$CF$52,
AC53=$CC$53,$CF$53,
AC53=$CC$54,$CF$54,
AC53=$CC$55,$CF$55,
TRUE,""),"")</f>
        <v/>
      </c>
      <c r="AJ53" s="4997"/>
      <c r="AK53" s="4997"/>
      <c r="AL53" s="4997"/>
      <c r="AM53" s="4998"/>
      <c r="AN53" s="1513"/>
      <c r="AO53" s="2959"/>
      <c r="AP53" s="2959"/>
      <c r="AQ53" s="2959"/>
      <c r="AR53" s="2959"/>
      <c r="AS53" s="2959"/>
      <c r="AT53" s="2959"/>
      <c r="AU53" s="2959"/>
      <c r="AV53" s="2959"/>
      <c r="AW53" s="2959"/>
      <c r="AX53" s="2959"/>
      <c r="AY53" s="2959"/>
      <c r="AZ53" s="2959"/>
      <c r="BA53" s="2959"/>
      <c r="BB53" s="2959"/>
      <c r="BC53" s="2959"/>
      <c r="BD53" s="2959"/>
      <c r="BE53" s="2959"/>
      <c r="BF53" s="2959"/>
      <c r="BG53" s="2961"/>
      <c r="BH53" s="2960"/>
      <c r="BI53" s="2960"/>
      <c r="BJ53" s="2960"/>
      <c r="BK53" s="2960"/>
      <c r="BL53" s="2960"/>
      <c r="BM53" s="2960"/>
      <c r="BN53" s="2960"/>
      <c r="BO53" s="2960"/>
      <c r="BP53" s="2960"/>
      <c r="BQ53" s="2960"/>
      <c r="BR53" s="2960"/>
      <c r="BS53" s="2960"/>
      <c r="BT53" s="2960"/>
      <c r="BU53" s="2960"/>
      <c r="BV53" s="2960"/>
      <c r="BW53" s="2960"/>
      <c r="BX53" s="2960"/>
      <c r="BY53" s="2960"/>
      <c r="BZ53" s="2962"/>
      <c r="CA53" s="1513"/>
      <c r="CB53" s="1522">
        <v>8</v>
      </c>
      <c r="CC53" s="4999">
        <f t="shared" si="38"/>
        <v>0</v>
      </c>
      <c r="CD53" s="5000"/>
      <c r="CE53" s="5001"/>
      <c r="CF53" s="6" t="s">
        <v>821</v>
      </c>
      <c r="CL53" s="1513"/>
      <c r="CM53" s="1513"/>
      <c r="CN53" s="1513"/>
      <c r="CO53" s="1513"/>
      <c r="CP53" s="1513"/>
      <c r="CQ53" s="1513"/>
      <c r="CR53" s="1513"/>
      <c r="CS53" s="1513"/>
      <c r="CT53" s="1513"/>
      <c r="CU53" s="1513"/>
      <c r="CV53" s="1513"/>
      <c r="CW53" s="1513"/>
      <c r="CX53" s="1513"/>
      <c r="CY53" s="1513"/>
      <c r="CZ53" s="1513"/>
      <c r="DA53" s="1513"/>
      <c r="DB53" s="1513"/>
      <c r="DC53" s="1513"/>
      <c r="DD53" s="1513"/>
      <c r="DE53" s="1513"/>
      <c r="DF53" s="1513"/>
      <c r="DG53" s="1513"/>
      <c r="DH53" s="1513"/>
      <c r="DI53" s="1513"/>
      <c r="DJ53" s="1513"/>
      <c r="DK53" s="1513"/>
      <c r="DL53" s="1513"/>
      <c r="DM53" s="1513"/>
      <c r="DN53" s="1513"/>
      <c r="DO53" s="1513"/>
      <c r="DP53" s="1513"/>
      <c r="DQ53" s="1513"/>
      <c r="DR53" s="1513"/>
      <c r="DS53" s="1513"/>
      <c r="DT53" s="1513"/>
      <c r="DU53" s="1513"/>
      <c r="DV53" s="1513"/>
      <c r="DW53" s="1513"/>
      <c r="DX53" s="1513"/>
      <c r="DY53" s="1513"/>
      <c r="DZ53" s="1513"/>
      <c r="EA53" s="1513"/>
      <c r="EB53" s="1513"/>
      <c r="EC53" s="1513"/>
      <c r="ED53" s="1513"/>
      <c r="EE53" s="1513"/>
      <c r="EF53" s="1513"/>
      <c r="EG53" s="1513"/>
      <c r="EH53" s="1513"/>
      <c r="EI53" s="1513"/>
      <c r="EJ53" s="1513"/>
      <c r="EK53" s="1513"/>
      <c r="EL53" s="1513"/>
      <c r="EM53" s="1513"/>
      <c r="EN53" s="1513"/>
      <c r="EO53" s="1513"/>
      <c r="EP53" s="1513"/>
      <c r="EQ53" s="1513"/>
      <c r="ER53" s="1513"/>
      <c r="ES53" s="1513"/>
      <c r="ET53" s="1513"/>
      <c r="EU53" s="1513"/>
      <c r="EV53" s="1513"/>
      <c r="EW53" s="1513"/>
      <c r="EX53" s="1513"/>
      <c r="EY53" s="1513"/>
      <c r="EZ53" s="1513"/>
      <c r="FA53" s="1513"/>
      <c r="FB53" s="1513"/>
      <c r="FC53" s="1513"/>
      <c r="FD53" s="1513"/>
      <c r="FE53" s="1513"/>
      <c r="FF53" s="1513"/>
      <c r="FG53" s="1513"/>
      <c r="FH53" s="1513"/>
      <c r="FI53" s="1513"/>
      <c r="FJ53" s="1513"/>
      <c r="FL53" s="1513"/>
    </row>
    <row r="54" spans="1:168" ht="17.100000000000001" customHeight="1" x14ac:dyDescent="0.2">
      <c r="A54" s="1513"/>
      <c r="B54" s="5018"/>
      <c r="C54" s="5018"/>
      <c r="D54" s="5018"/>
      <c r="E54" s="5018"/>
      <c r="F54" s="5018"/>
      <c r="G54" s="5018"/>
      <c r="H54" s="5018"/>
      <c r="I54" s="5018"/>
      <c r="J54" s="5018"/>
      <c r="K54" s="5018"/>
      <c r="L54" s="5018"/>
      <c r="M54" s="5018"/>
      <c r="N54" s="5018"/>
      <c r="O54" s="5018"/>
      <c r="P54" s="5018"/>
      <c r="Q54" s="5018"/>
      <c r="R54" s="5018"/>
      <c r="S54" s="5018"/>
      <c r="T54" s="5018"/>
      <c r="U54" s="5019"/>
      <c r="V54" s="5019"/>
      <c r="W54" s="5019"/>
      <c r="X54" s="5019"/>
      <c r="Y54" s="5010" t="str" cm="1">
        <f t="array" ref="Y54">IF(AND(B54&lt;&gt;"",U54&lt;&gt;""),_xlfn.IFS(AND(U55&lt;&gt;"",U55&lt;$CC$42),U55,AND(U55&lt;&gt;"",U55&gt;=$CC$42),$CC$42,AND(U55="",U54&lt;$CC$42),$CC$42,TRUE,""),"")</f>
        <v/>
      </c>
      <c r="Z54" s="5010"/>
      <c r="AA54" s="5010"/>
      <c r="AB54" s="5010"/>
      <c r="AC54" s="5005">
        <f t="shared" si="36"/>
        <v>0</v>
      </c>
      <c r="AD54" s="5005"/>
      <c r="AE54" s="5005"/>
      <c r="AF54" s="5002">
        <f t="shared" si="37"/>
        <v>0</v>
      </c>
      <c r="AG54" s="5003"/>
      <c r="AH54" s="5004"/>
      <c r="AI54" s="4996" t="str" cm="1">
        <f t="array" aca="1" ref="AI54" ca="1">IFERROR(_xlfn.IFS(
AND(B54&lt;&gt;"",U54&lt;&gt;"",Y54&gt;$CC$42),$CF$44,
Y54=$CC$42,$CF$45,
AC54=$CC$46,$CF$46,
AC54=$CC$47,$CF$47,
AC54=$CC$48,$CF$48,
AC54=$CC$49,$CF$49,
AC54=$CC$50,$CF$50,
AC54=$CC$51,$CF$51,
AC54=$CC$52,$CF$52,
AC54=$CC$53,$CF$53,
AC54=$CC$54,$CF$54,
AC54=$CC$55,$CF$55,
TRUE,""),"")</f>
        <v/>
      </c>
      <c r="AJ54" s="4997"/>
      <c r="AK54" s="4997"/>
      <c r="AL54" s="4997"/>
      <c r="AM54" s="4998"/>
      <c r="AN54" s="1513"/>
      <c r="AO54" s="2959"/>
      <c r="AP54" s="2959"/>
      <c r="AQ54" s="2959"/>
      <c r="AR54" s="2959"/>
      <c r="AS54" s="2959"/>
      <c r="AT54" s="2959"/>
      <c r="AU54" s="2959"/>
      <c r="AV54" s="2959"/>
      <c r="AW54" s="2959"/>
      <c r="AX54" s="2959"/>
      <c r="AY54" s="2959"/>
      <c r="AZ54" s="2959"/>
      <c r="BA54" s="2959"/>
      <c r="BB54" s="2959"/>
      <c r="BC54" s="2959"/>
      <c r="BD54" s="2959"/>
      <c r="BE54" s="2959"/>
      <c r="BF54" s="2959"/>
      <c r="BG54" s="2961"/>
      <c r="BH54" s="2960"/>
      <c r="BI54" s="2960"/>
      <c r="BJ54" s="2960"/>
      <c r="BK54" s="2960"/>
      <c r="BL54" s="2960"/>
      <c r="BM54" s="2960"/>
      <c r="BN54" s="2960"/>
      <c r="BO54" s="2960"/>
      <c r="BP54" s="2960"/>
      <c r="BQ54" s="2960"/>
      <c r="BR54" s="2960"/>
      <c r="BS54" s="2960"/>
      <c r="BT54" s="2960"/>
      <c r="BU54" s="2960"/>
      <c r="BV54" s="2960"/>
      <c r="BW54" s="2960"/>
      <c r="BX54" s="2960"/>
      <c r="BY54" s="2960"/>
      <c r="BZ54" s="2962"/>
      <c r="CA54" s="1513"/>
      <c r="CB54" s="1522">
        <v>9</v>
      </c>
      <c r="CC54" s="4999">
        <f t="shared" si="38"/>
        <v>0</v>
      </c>
      <c r="CD54" s="5000"/>
      <c r="CE54" s="5001"/>
      <c r="CF54" s="6" t="s">
        <v>822</v>
      </c>
      <c r="CL54" s="1513"/>
      <c r="CM54" s="1513"/>
      <c r="CN54" s="1513"/>
      <c r="CO54" s="1513"/>
      <c r="CP54" s="1513"/>
      <c r="CQ54" s="1513"/>
      <c r="CR54" s="1513"/>
      <c r="CS54" s="1513"/>
      <c r="CT54" s="1513"/>
      <c r="CU54" s="1513"/>
      <c r="CV54" s="1513"/>
      <c r="CW54" s="1513"/>
      <c r="CX54" s="1513"/>
      <c r="CY54" s="1513"/>
      <c r="CZ54" s="1513"/>
      <c r="DA54" s="1513"/>
      <c r="DB54" s="1513"/>
      <c r="DC54" s="1513"/>
      <c r="DD54" s="1513"/>
      <c r="DE54" s="1513"/>
      <c r="DF54" s="1513"/>
      <c r="DG54" s="1513"/>
      <c r="DH54" s="1513"/>
      <c r="DI54" s="1513"/>
      <c r="DJ54" s="1513"/>
      <c r="DK54" s="1513"/>
      <c r="DL54" s="1513"/>
      <c r="DM54" s="1513"/>
      <c r="DN54" s="1513"/>
      <c r="DO54" s="1513"/>
      <c r="DP54" s="1513"/>
      <c r="DQ54" s="1513"/>
      <c r="DR54" s="1513"/>
      <c r="DS54" s="1513"/>
      <c r="DT54" s="1513"/>
      <c r="DU54" s="1513"/>
      <c r="DV54" s="1513"/>
      <c r="DW54" s="1513"/>
      <c r="DX54" s="1513"/>
      <c r="DY54" s="1513"/>
      <c r="DZ54" s="1513"/>
      <c r="EA54" s="1513"/>
      <c r="EB54" s="1513"/>
      <c r="EC54" s="1513"/>
      <c r="ED54" s="1513"/>
      <c r="EE54" s="1513"/>
      <c r="EF54" s="1513"/>
      <c r="EG54" s="1513"/>
      <c r="EH54" s="1513"/>
      <c r="EI54" s="1513"/>
      <c r="EJ54" s="1513"/>
      <c r="EK54" s="1513"/>
      <c r="EL54" s="1513"/>
      <c r="EM54" s="1513"/>
      <c r="EN54" s="1513"/>
      <c r="EO54" s="1513"/>
      <c r="EP54" s="1513"/>
      <c r="EQ54" s="1513"/>
      <c r="ER54" s="1513"/>
      <c r="ES54" s="1513"/>
      <c r="ET54" s="1513"/>
      <c r="EU54" s="1513"/>
      <c r="EV54" s="1513"/>
      <c r="EW54" s="1513"/>
      <c r="EX54" s="1513"/>
      <c r="EY54" s="1513"/>
      <c r="EZ54" s="1513"/>
      <c r="FA54" s="1513"/>
      <c r="FB54" s="1513"/>
      <c r="FC54" s="1513"/>
      <c r="FD54" s="1513"/>
      <c r="FE54" s="1513"/>
      <c r="FF54" s="1513"/>
      <c r="FG54" s="1513"/>
      <c r="FH54" s="1513"/>
      <c r="FI54" s="1513"/>
      <c r="FJ54" s="1513"/>
      <c r="FL54" s="1513"/>
    </row>
    <row r="55" spans="1:168" ht="17.100000000000001" customHeight="1" x14ac:dyDescent="0.2">
      <c r="A55" s="1513"/>
      <c r="B55" s="5018"/>
      <c r="C55" s="5018"/>
      <c r="D55" s="5018"/>
      <c r="E55" s="5018"/>
      <c r="F55" s="5018"/>
      <c r="G55" s="5018"/>
      <c r="H55" s="5018"/>
      <c r="I55" s="5018"/>
      <c r="J55" s="5018"/>
      <c r="K55" s="5018"/>
      <c r="L55" s="5018"/>
      <c r="M55" s="5018"/>
      <c r="N55" s="5018"/>
      <c r="O55" s="5018"/>
      <c r="P55" s="5024"/>
      <c r="Q55" s="5025"/>
      <c r="R55" s="5025"/>
      <c r="S55" s="5025"/>
      <c r="T55" s="5026"/>
      <c r="U55" s="5019"/>
      <c r="V55" s="5019"/>
      <c r="W55" s="5019"/>
      <c r="X55" s="5019"/>
      <c r="Y55" s="5010" t="str" cm="1">
        <f t="array" ref="Y55">IF(AND(B55&lt;&gt;"",U55&lt;&gt;""),_xlfn.IFS(AND(U56&lt;&gt;"",U56&lt;$CC$42),U56,AND(U56&lt;&gt;"",U56&gt;=$CC$42),$CC$42,AND(U56="",U55&lt;$CC$42),$CC$42,TRUE,""),"")</f>
        <v/>
      </c>
      <c r="Z55" s="5010"/>
      <c r="AA55" s="5010"/>
      <c r="AB55" s="5010"/>
      <c r="AC55" s="5005">
        <f t="shared" si="36"/>
        <v>0</v>
      </c>
      <c r="AD55" s="5005"/>
      <c r="AE55" s="5005"/>
      <c r="AF55" s="5002">
        <f t="shared" si="37"/>
        <v>0</v>
      </c>
      <c r="AG55" s="5003"/>
      <c r="AH55" s="5004"/>
      <c r="AI55" s="4996" t="str" cm="1">
        <f t="array" aca="1" ref="AI55" ca="1">IFERROR(_xlfn.IFS(
AND(B55&lt;&gt;"",U55&lt;&gt;"",Y55&gt;$CC$42),$CF$44,
Y55=$CC$42,$CF$45,
AC55=$CC$46,$CF$46,
AC55=$CC$47,$CF$47,
AC55=$CC$48,$CF$48,
AC55=$CC$49,$CF$49,
AC55=$CC$50,$CF$50,
AC55=$CC$51,$CF$51,
AC55=$CC$52,$CF$52,
AC55=$CC$53,$CF$53,
AC55=$CC$54,$CF$54,
AC55=$CC$55,$CF$55,
TRUE,""),"")</f>
        <v/>
      </c>
      <c r="AJ55" s="4997"/>
      <c r="AK55" s="4997"/>
      <c r="AL55" s="4997"/>
      <c r="AM55" s="4998"/>
      <c r="AN55" s="1513"/>
      <c r="AO55" s="2959"/>
      <c r="AP55" s="2959"/>
      <c r="AQ55" s="2959"/>
      <c r="AR55" s="2959"/>
      <c r="AS55" s="2959"/>
      <c r="AT55" s="2959"/>
      <c r="AU55" s="2959"/>
      <c r="AV55" s="2959"/>
      <c r="AW55" s="2959"/>
      <c r="AX55" s="2959"/>
      <c r="AY55" s="2959"/>
      <c r="AZ55" s="2959"/>
      <c r="BA55" s="2959"/>
      <c r="BB55" s="2959"/>
      <c r="BC55" s="2959"/>
      <c r="BD55" s="2959"/>
      <c r="BE55" s="2959"/>
      <c r="BF55" s="2959"/>
      <c r="BG55" s="2961"/>
      <c r="BH55" s="2960"/>
      <c r="BI55" s="2960"/>
      <c r="BJ55" s="2960"/>
      <c r="BK55" s="2960"/>
      <c r="BL55" s="2960"/>
      <c r="BM55" s="2960"/>
      <c r="BN55" s="2960"/>
      <c r="BO55" s="2960"/>
      <c r="BP55" s="2960"/>
      <c r="BQ55" s="2960"/>
      <c r="BR55" s="2960"/>
      <c r="BS55" s="2960"/>
      <c r="BT55" s="2960"/>
      <c r="BU55" s="2960"/>
      <c r="BV55" s="2960"/>
      <c r="BW55" s="2960"/>
      <c r="BX55" s="2960"/>
      <c r="BY55" s="2960"/>
      <c r="BZ55" s="2962"/>
      <c r="CA55" s="1513"/>
      <c r="CB55" s="1522">
        <v>10</v>
      </c>
      <c r="CC55" s="4999">
        <f t="shared" si="38"/>
        <v>0</v>
      </c>
      <c r="CD55" s="5000"/>
      <c r="CE55" s="5001"/>
      <c r="CF55" s="6" t="s">
        <v>776</v>
      </c>
      <c r="CL55" s="1513"/>
      <c r="CM55" s="1513"/>
      <c r="CN55" s="1513"/>
      <c r="CO55" s="1513"/>
      <c r="CP55" s="1513"/>
      <c r="CQ55" s="1513"/>
      <c r="CR55" s="1513"/>
      <c r="CS55" s="1513"/>
      <c r="CT55" s="1513"/>
      <c r="CU55" s="1513"/>
      <c r="CV55" s="1513"/>
      <c r="CW55" s="1513"/>
      <c r="CX55" s="1513"/>
      <c r="CY55" s="1513"/>
      <c r="CZ55" s="1513"/>
      <c r="DA55" s="1513"/>
      <c r="DB55" s="1513"/>
      <c r="DC55" s="1513"/>
      <c r="DD55" s="1513"/>
      <c r="DE55" s="1513"/>
      <c r="DF55" s="1513"/>
      <c r="DG55" s="1513"/>
      <c r="DH55" s="1513"/>
      <c r="DI55" s="1513"/>
      <c r="DJ55" s="1513"/>
      <c r="DK55" s="1513"/>
      <c r="DL55" s="1513"/>
      <c r="DM55" s="1513"/>
      <c r="DN55" s="1513"/>
      <c r="DO55" s="1513"/>
      <c r="DP55" s="1513"/>
      <c r="DQ55" s="1513"/>
      <c r="DR55" s="1513"/>
      <c r="DS55" s="1513"/>
      <c r="DT55" s="1513"/>
      <c r="DU55" s="1513"/>
      <c r="DV55" s="1513"/>
      <c r="DW55" s="1513"/>
      <c r="DX55" s="1513"/>
      <c r="DY55" s="1513"/>
      <c r="DZ55" s="1513"/>
      <c r="EA55" s="1513"/>
      <c r="EB55" s="1513"/>
      <c r="EC55" s="1513"/>
      <c r="ED55" s="1513"/>
      <c r="EE55" s="1513"/>
      <c r="EF55" s="1513"/>
      <c r="EG55" s="1513"/>
      <c r="EH55" s="1513"/>
      <c r="EI55" s="1513"/>
      <c r="EJ55" s="1513"/>
      <c r="EK55" s="1513"/>
      <c r="EL55" s="1513"/>
      <c r="EM55" s="1513"/>
      <c r="EN55" s="1513"/>
      <c r="EO55" s="1513"/>
      <c r="EP55" s="1513"/>
      <c r="EQ55" s="1513"/>
      <c r="ER55" s="1513"/>
      <c r="ES55" s="1513"/>
      <c r="ET55" s="1513"/>
      <c r="EU55" s="1513"/>
      <c r="EV55" s="1513"/>
      <c r="EW55" s="1513"/>
      <c r="EX55" s="1513"/>
      <c r="EY55" s="1513"/>
      <c r="EZ55" s="1513"/>
      <c r="FA55" s="1513"/>
      <c r="FB55" s="1513"/>
      <c r="FC55" s="1513"/>
      <c r="FD55" s="1513"/>
      <c r="FE55" s="1513"/>
      <c r="FF55" s="1513"/>
      <c r="FG55" s="1513"/>
      <c r="FH55" s="1513"/>
      <c r="FI55" s="1513"/>
      <c r="FJ55" s="1513"/>
      <c r="FL55" s="1513"/>
    </row>
    <row r="56" spans="1:168" ht="17.100000000000001" customHeight="1" x14ac:dyDescent="0.2">
      <c r="A56" s="1513"/>
      <c r="B56" s="5018"/>
      <c r="C56" s="5018"/>
      <c r="D56" s="5018"/>
      <c r="E56" s="5018"/>
      <c r="F56" s="5018"/>
      <c r="G56" s="5018"/>
      <c r="H56" s="5018"/>
      <c r="I56" s="5018"/>
      <c r="J56" s="5018"/>
      <c r="K56" s="5018"/>
      <c r="L56" s="5018"/>
      <c r="M56" s="5018"/>
      <c r="N56" s="5018"/>
      <c r="O56" s="5018"/>
      <c r="P56" s="5024"/>
      <c r="Q56" s="5025"/>
      <c r="R56" s="5025"/>
      <c r="S56" s="5025"/>
      <c r="T56" s="5026"/>
      <c r="U56" s="5019"/>
      <c r="V56" s="5019"/>
      <c r="W56" s="5019"/>
      <c r="X56" s="5019"/>
      <c r="Y56" s="5010" t="str" cm="1">
        <f t="array" ref="Y56">IF(AND(B56&lt;&gt;"",U56&lt;&gt;""),_xlfn.IFS(AND(U57&lt;&gt;"",U57&lt;$CC$42),U57,AND(U57&lt;&gt;"",U57&gt;=$CC$42),$CC$42,AND(U57="",U56&lt;$CC$42),$CC$42,TRUE,""),"")</f>
        <v/>
      </c>
      <c r="Z56" s="5010"/>
      <c r="AA56" s="5010"/>
      <c r="AB56" s="5010"/>
      <c r="AC56" s="5005">
        <f t="shared" si="36"/>
        <v>0</v>
      </c>
      <c r="AD56" s="5005"/>
      <c r="AE56" s="5005"/>
      <c r="AF56" s="5002">
        <f t="shared" si="37"/>
        <v>0</v>
      </c>
      <c r="AG56" s="5003"/>
      <c r="AH56" s="5004"/>
      <c r="AI56" s="4996" t="str" cm="1">
        <f t="array" aca="1" ref="AI56" ca="1">IFERROR(_xlfn.IFS(
AND(B56&lt;&gt;"",U56&lt;&gt;"",Y56&gt;$CC$42),$CF$44,
Y56=$CC$42,$CF$45,
AC56=$CC$46,$CF$46,
AC56=$CC$47,$CF$47,
AC56=$CC$48,$CF$48,
AC56=$CC$49,$CF$49,
AC56=$CC$50,$CF$50,
AC56=$CC$51,$CF$51,
AC56=$CC$52,$CF$52,
AC56=$CC$53,$CF$53,
AC56=$CC$54,$CF$54,
AC56=$CC$55,$CF$55,
TRUE,""),"")</f>
        <v/>
      </c>
      <c r="AJ56" s="4997"/>
      <c r="AK56" s="4997"/>
      <c r="AL56" s="4997"/>
      <c r="AM56" s="4998"/>
      <c r="AN56" s="1513"/>
      <c r="AO56" s="2959"/>
      <c r="AP56" s="2959"/>
      <c r="AQ56" s="2959"/>
      <c r="AR56" s="2959"/>
      <c r="AS56" s="2959"/>
      <c r="AT56" s="2959"/>
      <c r="AU56" s="2959"/>
      <c r="AV56" s="2959"/>
      <c r="AW56" s="2959"/>
      <c r="AX56" s="2959"/>
      <c r="AY56" s="2959"/>
      <c r="AZ56" s="2959"/>
      <c r="BA56" s="2959"/>
      <c r="BB56" s="2959"/>
      <c r="BC56" s="2959"/>
      <c r="BD56" s="2959"/>
      <c r="BE56" s="2959"/>
      <c r="BF56" s="2959"/>
      <c r="BG56" s="2961"/>
      <c r="BH56" s="2960"/>
      <c r="BI56" s="2960"/>
      <c r="BJ56" s="2960"/>
      <c r="BK56" s="2960"/>
      <c r="BL56" s="2960"/>
      <c r="BM56" s="2960"/>
      <c r="BN56" s="2960"/>
      <c r="BO56" s="2960"/>
      <c r="BP56" s="2960"/>
      <c r="BQ56" s="2960"/>
      <c r="BR56" s="2960"/>
      <c r="BS56" s="2960"/>
      <c r="BT56" s="2960"/>
      <c r="BU56" s="2960"/>
      <c r="BV56" s="2960"/>
      <c r="BW56" s="2960"/>
      <c r="BX56" s="2960"/>
      <c r="BY56" s="2960"/>
      <c r="BZ56" s="2962"/>
      <c r="CA56" s="1513"/>
      <c r="CC56" s="2"/>
      <c r="CD56" s="2"/>
      <c r="CE56" s="2"/>
      <c r="CF56" s="2"/>
      <c r="CL56" s="1513"/>
      <c r="CM56" s="1513"/>
      <c r="CN56" s="1513"/>
      <c r="CO56" s="1513"/>
      <c r="CP56" s="1513"/>
      <c r="CQ56" s="1513"/>
      <c r="CR56" s="1513"/>
      <c r="CS56" s="1513"/>
      <c r="CT56" s="1513"/>
      <c r="CU56" s="1513"/>
      <c r="CV56" s="1513"/>
      <c r="CW56" s="1513"/>
      <c r="CX56" s="1513"/>
      <c r="CY56" s="1513"/>
      <c r="CZ56" s="1513"/>
      <c r="DA56" s="1513"/>
      <c r="DB56" s="1513"/>
      <c r="DC56" s="1513"/>
      <c r="DD56" s="1513"/>
      <c r="DE56" s="1513"/>
      <c r="DF56" s="1513"/>
      <c r="DG56" s="1513"/>
      <c r="DH56" s="1513"/>
      <c r="DI56" s="1513"/>
      <c r="DJ56" s="1513"/>
      <c r="DK56" s="1513"/>
      <c r="DL56" s="1513"/>
      <c r="DM56" s="1513"/>
      <c r="DN56" s="1513"/>
      <c r="DO56" s="1513"/>
      <c r="DP56" s="1513"/>
      <c r="DQ56" s="1513"/>
      <c r="DR56" s="1513"/>
      <c r="DS56" s="1513"/>
      <c r="DT56" s="1513"/>
      <c r="DU56" s="1513"/>
      <c r="DV56" s="1513"/>
      <c r="DW56" s="1513"/>
      <c r="DX56" s="1513"/>
      <c r="DY56" s="1513"/>
      <c r="DZ56" s="1513"/>
      <c r="EA56" s="1513"/>
      <c r="EB56" s="1513"/>
      <c r="EC56" s="1513"/>
      <c r="ED56" s="1513"/>
      <c r="EE56" s="1513"/>
      <c r="EF56" s="1513"/>
      <c r="EG56" s="1513"/>
      <c r="EH56" s="1513"/>
      <c r="EI56" s="1513"/>
      <c r="EJ56" s="1513"/>
      <c r="EK56" s="1513"/>
      <c r="EL56" s="1513"/>
      <c r="EM56" s="1513"/>
      <c r="EN56" s="1513"/>
      <c r="EO56" s="1513"/>
      <c r="EP56" s="1513"/>
      <c r="EQ56" s="1513"/>
      <c r="ER56" s="1513"/>
      <c r="ES56" s="1513"/>
      <c r="ET56" s="1513"/>
      <c r="EU56" s="1513"/>
      <c r="EV56" s="1513"/>
      <c r="EW56" s="1513"/>
      <c r="EX56" s="1513"/>
      <c r="EY56" s="1513"/>
      <c r="EZ56" s="1513"/>
      <c r="FA56" s="1513"/>
      <c r="FB56" s="1513"/>
      <c r="FC56" s="1513"/>
      <c r="FD56" s="1513"/>
      <c r="FE56" s="1513"/>
      <c r="FF56" s="1513"/>
      <c r="FG56" s="1513"/>
      <c r="FH56" s="1513"/>
      <c r="FI56" s="1513"/>
      <c r="FJ56" s="1513"/>
      <c r="FL56" s="1513"/>
    </row>
    <row r="57" spans="1:168" ht="17.100000000000001" customHeight="1" x14ac:dyDescent="0.2">
      <c r="A57" s="1513"/>
      <c r="B57" s="5018"/>
      <c r="C57" s="5018"/>
      <c r="D57" s="5018"/>
      <c r="E57" s="5018"/>
      <c r="F57" s="5018"/>
      <c r="G57" s="5018"/>
      <c r="H57" s="5018"/>
      <c r="I57" s="5018"/>
      <c r="J57" s="5018"/>
      <c r="K57" s="5018"/>
      <c r="L57" s="5018"/>
      <c r="M57" s="5018"/>
      <c r="N57" s="5018"/>
      <c r="O57" s="5018"/>
      <c r="P57" s="5024"/>
      <c r="Q57" s="5025"/>
      <c r="R57" s="5025"/>
      <c r="S57" s="5025"/>
      <c r="T57" s="5026"/>
      <c r="U57" s="5019"/>
      <c r="V57" s="5019"/>
      <c r="W57" s="5019"/>
      <c r="X57" s="5019"/>
      <c r="Y57" s="5010" t="str" cm="1">
        <f t="array" ref="Y57">IF(AND(B57&lt;&gt;"",U57&lt;&gt;""),_xlfn.IFS(AND(U58&lt;&gt;"",U58&lt;$CC$42),U58,AND(U58&lt;&gt;"",U58&gt;=$CC$42),$CC$42,AND(U58="",U57&lt;$CC$42),$CC$42,TRUE,""),"")</f>
        <v/>
      </c>
      <c r="Z57" s="5010"/>
      <c r="AA57" s="5010"/>
      <c r="AB57" s="5010"/>
      <c r="AC57" s="5005">
        <f t="shared" si="36"/>
        <v>0</v>
      </c>
      <c r="AD57" s="5005"/>
      <c r="AE57" s="5005"/>
      <c r="AF57" s="5002">
        <f t="shared" si="37"/>
        <v>0</v>
      </c>
      <c r="AG57" s="5003"/>
      <c r="AH57" s="5004"/>
      <c r="AI57" s="4996" t="str" cm="1">
        <f t="array" aca="1" ref="AI57" ca="1">IFERROR(_xlfn.IFS(
AND(B57&lt;&gt;"",U57&lt;&gt;"",Y57&gt;$CC$42),$CF$44,
Y57=$CC$42,$CF$45,
AC57=$CC$46,$CF$46,
AC57=$CC$47,$CF$47,
AC57=$CC$48,$CF$48,
AC57=$CC$49,$CF$49,
AC57=$CC$50,$CF$50,
AC57=$CC$51,$CF$51,
AC57=$CC$52,$CF$52,
AC57=$CC$53,$CF$53,
AC57=$CC$54,$CF$54,
AC57=$CC$55,$CF$55,
TRUE,""),"")</f>
        <v/>
      </c>
      <c r="AJ57" s="4997"/>
      <c r="AK57" s="4997"/>
      <c r="AL57" s="4997"/>
      <c r="AM57" s="4998"/>
      <c r="AN57" s="1513"/>
      <c r="AO57" s="2959"/>
      <c r="AP57" s="2959"/>
      <c r="AQ57" s="2959"/>
      <c r="AR57" s="2959"/>
      <c r="AS57" s="2959"/>
      <c r="AT57" s="2959"/>
      <c r="AU57" s="2959"/>
      <c r="AV57" s="2959"/>
      <c r="AW57" s="2959"/>
      <c r="AX57" s="2959"/>
      <c r="AY57" s="2959"/>
      <c r="AZ57" s="2959"/>
      <c r="BA57" s="2959"/>
      <c r="BB57" s="2959"/>
      <c r="BC57" s="2959"/>
      <c r="BD57" s="2959"/>
      <c r="BE57" s="2959"/>
      <c r="BF57" s="2959"/>
      <c r="BG57" s="2961"/>
      <c r="BH57" s="2960"/>
      <c r="BI57" s="2960"/>
      <c r="BJ57" s="2960"/>
      <c r="BK57" s="2960"/>
      <c r="BL57" s="2960"/>
      <c r="BM57" s="2960"/>
      <c r="BN57" s="2960"/>
      <c r="BO57" s="2960"/>
      <c r="BP57" s="2960"/>
      <c r="BQ57" s="2960"/>
      <c r="BR57" s="2960"/>
      <c r="BS57" s="2960"/>
      <c r="BT57" s="2960"/>
      <c r="BU57" s="2960"/>
      <c r="BV57" s="2960"/>
      <c r="BW57" s="2960"/>
      <c r="BX57" s="2960"/>
      <c r="BY57" s="2960"/>
      <c r="BZ57" s="2962"/>
      <c r="CA57" s="1513"/>
      <c r="CL57" s="1513"/>
      <c r="CM57" s="1513"/>
      <c r="CN57" s="1513"/>
      <c r="CO57" s="1513"/>
      <c r="CP57" s="1513"/>
      <c r="CQ57" s="1513"/>
      <c r="CR57" s="1513"/>
      <c r="CS57" s="1513"/>
      <c r="CT57" s="1513"/>
      <c r="CU57" s="1513"/>
      <c r="CV57" s="1513"/>
      <c r="CW57" s="1513"/>
      <c r="CX57" s="1513"/>
      <c r="CY57" s="1513"/>
      <c r="CZ57" s="1513"/>
      <c r="DA57" s="1513"/>
      <c r="DB57" s="1513"/>
      <c r="DC57" s="1513"/>
      <c r="DD57" s="1513"/>
      <c r="DE57" s="1513"/>
      <c r="DF57" s="1513"/>
      <c r="DG57" s="1513"/>
      <c r="DH57" s="1513"/>
      <c r="DI57" s="1513"/>
      <c r="DJ57" s="1513"/>
      <c r="DK57" s="1513"/>
      <c r="DL57" s="1513"/>
      <c r="DM57" s="1513"/>
      <c r="DN57" s="1513"/>
      <c r="DO57" s="1513"/>
      <c r="DP57" s="1513"/>
      <c r="DQ57" s="1513"/>
      <c r="DR57" s="1513"/>
      <c r="DS57" s="1513"/>
      <c r="DT57" s="1513"/>
      <c r="DU57" s="1513"/>
      <c r="DV57" s="1513"/>
      <c r="DW57" s="1513"/>
      <c r="DX57" s="1513"/>
      <c r="DY57" s="1513"/>
      <c r="DZ57" s="1513"/>
      <c r="EA57" s="1513"/>
      <c r="EB57" s="1513"/>
      <c r="EC57" s="1513"/>
      <c r="ED57" s="1513"/>
      <c r="EE57" s="1513"/>
      <c r="EF57" s="1513"/>
      <c r="EG57" s="1513"/>
      <c r="EH57" s="1513"/>
      <c r="EI57" s="1513"/>
      <c r="EJ57" s="1513"/>
      <c r="EK57" s="1513"/>
      <c r="EL57" s="1513"/>
      <c r="EM57" s="1513"/>
      <c r="EN57" s="1513"/>
      <c r="EO57" s="1513"/>
      <c r="EP57" s="1513"/>
      <c r="EQ57" s="1513"/>
      <c r="ER57" s="1513"/>
      <c r="ES57" s="1513"/>
      <c r="ET57" s="1513"/>
      <c r="EU57" s="1513"/>
      <c r="EV57" s="1513"/>
      <c r="EW57" s="1513"/>
      <c r="EX57" s="1513"/>
      <c r="EY57" s="1513"/>
      <c r="EZ57" s="1513"/>
      <c r="FA57" s="1513"/>
      <c r="FB57" s="1513"/>
      <c r="FC57" s="1513"/>
      <c r="FD57" s="1513"/>
      <c r="FE57" s="1513"/>
      <c r="FF57" s="1513"/>
      <c r="FG57" s="1513"/>
      <c r="FH57" s="1513"/>
      <c r="FI57" s="1513"/>
      <c r="FJ57" s="1513"/>
      <c r="FL57" s="1513"/>
    </row>
    <row r="58" spans="1:168" ht="17.100000000000001" customHeight="1" x14ac:dyDescent="0.2">
      <c r="A58" s="1513"/>
      <c r="B58" s="5018"/>
      <c r="C58" s="5018"/>
      <c r="D58" s="5018"/>
      <c r="E58" s="5018"/>
      <c r="F58" s="5018"/>
      <c r="G58" s="5018"/>
      <c r="H58" s="5018"/>
      <c r="I58" s="5018"/>
      <c r="J58" s="5018"/>
      <c r="K58" s="5018"/>
      <c r="L58" s="5018"/>
      <c r="M58" s="5018"/>
      <c r="N58" s="5018"/>
      <c r="O58" s="5018"/>
      <c r="P58" s="5018"/>
      <c r="Q58" s="5018"/>
      <c r="R58" s="5018"/>
      <c r="S58" s="5018"/>
      <c r="T58" s="5018"/>
      <c r="U58" s="5019"/>
      <c r="V58" s="5019"/>
      <c r="W58" s="5019"/>
      <c r="X58" s="5019"/>
      <c r="Y58" s="5010" t="str" cm="1">
        <f t="array" ref="Y58">IF(AND(B58&lt;&gt;"",U58&lt;&gt;""),_xlfn.IFS(AND(U59&lt;&gt;"",U59&lt;$CC$42),U59,AND(U59&lt;&gt;"",U59&gt;=$CC$42),$CC$42,AND(U59="",U58&lt;$CC$42),$CC$42,TRUE,""),"")</f>
        <v/>
      </c>
      <c r="Z58" s="5010"/>
      <c r="AA58" s="5010"/>
      <c r="AB58" s="5010"/>
      <c r="AC58" s="5005">
        <f t="shared" si="36"/>
        <v>0</v>
      </c>
      <c r="AD58" s="5005"/>
      <c r="AE58" s="5005"/>
      <c r="AF58" s="5002">
        <f t="shared" si="37"/>
        <v>0</v>
      </c>
      <c r="AG58" s="5003"/>
      <c r="AH58" s="5004"/>
      <c r="AI58" s="4996" t="str" cm="1">
        <f t="array" aca="1" ref="AI58" ca="1">IFERROR(_xlfn.IFS(
AND(B58&lt;&gt;"",U58&lt;&gt;"",Y58&gt;$CC$42),$CF$44,
Y58=$CC$42,$CF$45,
AC58=$CC$46,$CF$46,
AC58=$CC$47,$CF$47,
AC58=$CC$48,$CF$48,
AC58=$CC$49,$CF$49,
AC58=$CC$50,$CF$50,
AC58=$CC$51,$CF$51,
AC58=$CC$52,$CF$52,
AC58=$CC$53,$CF$53,
AC58=$CC$54,$CF$54,
AC58=$CC$55,$CF$55,
TRUE,""),"")</f>
        <v/>
      </c>
      <c r="AJ58" s="4997"/>
      <c r="AK58" s="4997"/>
      <c r="AL58" s="4997"/>
      <c r="AM58" s="4998"/>
      <c r="AN58" s="1513"/>
      <c r="AO58" s="2959"/>
      <c r="AP58" s="2959"/>
      <c r="AQ58" s="2959"/>
      <c r="AR58" s="2959"/>
      <c r="AS58" s="2959"/>
      <c r="AT58" s="2959"/>
      <c r="AU58" s="2959"/>
      <c r="AV58" s="2959"/>
      <c r="AW58" s="2959"/>
      <c r="AX58" s="2959"/>
      <c r="AY58" s="2959"/>
      <c r="AZ58" s="2959"/>
      <c r="BA58" s="2959"/>
      <c r="BB58" s="2959"/>
      <c r="BC58" s="2959"/>
      <c r="BD58" s="2959"/>
      <c r="BE58" s="2959"/>
      <c r="BF58" s="2959"/>
      <c r="BG58" s="2961"/>
      <c r="BH58" s="2960"/>
      <c r="BI58" s="2960"/>
      <c r="BJ58" s="2960"/>
      <c r="BK58" s="2960"/>
      <c r="BL58" s="2960"/>
      <c r="BM58" s="2960"/>
      <c r="BN58" s="2960"/>
      <c r="BO58" s="2960"/>
      <c r="BP58" s="2960"/>
      <c r="BQ58" s="2960"/>
      <c r="BR58" s="2960"/>
      <c r="BS58" s="2960"/>
      <c r="BT58" s="2960"/>
      <c r="BU58" s="2960"/>
      <c r="BV58" s="2960"/>
      <c r="BW58" s="2960"/>
      <c r="BX58" s="2960"/>
      <c r="BY58" s="2960"/>
      <c r="BZ58" s="2962"/>
      <c r="CA58" s="1513"/>
      <c r="CL58" s="1513"/>
      <c r="CM58" s="1513"/>
      <c r="CN58" s="1513"/>
      <c r="CO58" s="1513"/>
      <c r="CP58" s="1513"/>
      <c r="CQ58" s="1513"/>
      <c r="CR58" s="1513"/>
      <c r="CS58" s="1513"/>
      <c r="CT58" s="1513"/>
      <c r="CU58" s="1513"/>
      <c r="CV58" s="1513"/>
      <c r="CW58" s="1513"/>
      <c r="CX58" s="1513"/>
      <c r="CY58" s="1513"/>
      <c r="CZ58" s="1513"/>
      <c r="DA58" s="1513"/>
      <c r="DB58" s="1513"/>
      <c r="DC58" s="1513"/>
      <c r="DD58" s="1513"/>
      <c r="DE58" s="1513"/>
      <c r="DF58" s="1513"/>
      <c r="DG58" s="1513"/>
      <c r="DH58" s="1513"/>
      <c r="DI58" s="1513"/>
      <c r="DJ58" s="1513"/>
      <c r="DK58" s="1513"/>
      <c r="DL58" s="1513"/>
      <c r="DM58" s="1513"/>
      <c r="DN58" s="1513"/>
      <c r="DO58" s="1513"/>
      <c r="DP58" s="1513"/>
      <c r="DQ58" s="1513"/>
      <c r="DR58" s="1513"/>
      <c r="DS58" s="1513"/>
      <c r="DT58" s="1513"/>
      <c r="DU58" s="1513"/>
      <c r="DV58" s="1513"/>
      <c r="DW58" s="1513"/>
      <c r="DX58" s="1513"/>
      <c r="DY58" s="1513"/>
      <c r="DZ58" s="1513"/>
      <c r="EA58" s="1513"/>
      <c r="EB58" s="1513"/>
      <c r="EC58" s="1513"/>
      <c r="ED58" s="1513"/>
      <c r="EE58" s="1513"/>
      <c r="EF58" s="1513"/>
      <c r="EG58" s="1513"/>
      <c r="EH58" s="1513"/>
      <c r="EI58" s="1513"/>
      <c r="EJ58" s="1513"/>
      <c r="EK58" s="1513"/>
      <c r="EL58" s="1513"/>
      <c r="EM58" s="1513"/>
      <c r="EN58" s="1513"/>
      <c r="EO58" s="1513"/>
      <c r="EP58" s="1513"/>
      <c r="EQ58" s="1513"/>
      <c r="ER58" s="1513"/>
      <c r="ES58" s="1513"/>
      <c r="ET58" s="1513"/>
      <c r="EU58" s="1513"/>
      <c r="EV58" s="1513"/>
      <c r="EW58" s="1513"/>
      <c r="EX58" s="1513"/>
      <c r="EY58" s="1513"/>
      <c r="EZ58" s="1513"/>
      <c r="FA58" s="1513"/>
      <c r="FB58" s="1513"/>
      <c r="FC58" s="1513"/>
      <c r="FD58" s="1513"/>
      <c r="FE58" s="1513"/>
      <c r="FF58" s="1513"/>
      <c r="FG58" s="1513"/>
      <c r="FH58" s="1513"/>
      <c r="FI58" s="1513"/>
      <c r="FJ58" s="1513"/>
      <c r="FL58" s="1513"/>
    </row>
    <row r="59" spans="1:168" ht="17.100000000000001" customHeight="1" x14ac:dyDescent="0.2">
      <c r="A59" s="1513"/>
      <c r="B59" s="5018"/>
      <c r="C59" s="5018"/>
      <c r="D59" s="5018"/>
      <c r="E59" s="5018"/>
      <c r="F59" s="5018"/>
      <c r="G59" s="5018"/>
      <c r="H59" s="5018"/>
      <c r="I59" s="5018"/>
      <c r="J59" s="5018"/>
      <c r="K59" s="5018"/>
      <c r="L59" s="5018"/>
      <c r="M59" s="5018"/>
      <c r="N59" s="5018"/>
      <c r="O59" s="5018"/>
      <c r="P59" s="5018"/>
      <c r="Q59" s="5018"/>
      <c r="R59" s="5018"/>
      <c r="S59" s="5018"/>
      <c r="T59" s="5018"/>
      <c r="U59" s="5019"/>
      <c r="V59" s="5019"/>
      <c r="W59" s="5019"/>
      <c r="X59" s="5019"/>
      <c r="Y59" s="5010" t="str" cm="1">
        <f t="array" ref="Y59">IF(AND(B59&lt;&gt;"",U59&lt;&gt;""),_xlfn.IFS(AND(U60&lt;&gt;"",U60&lt;$CC$42),U60,AND(U60&lt;&gt;"",U60&gt;=$CC$42),$CC$42,AND(U60="",U59&lt;$CC$42),$CC$42,TRUE,""),"")</f>
        <v/>
      </c>
      <c r="Z59" s="5010"/>
      <c r="AA59" s="5010"/>
      <c r="AB59" s="5010"/>
      <c r="AC59" s="5005">
        <f t="shared" si="36"/>
        <v>0</v>
      </c>
      <c r="AD59" s="5005"/>
      <c r="AE59" s="5005"/>
      <c r="AF59" s="5002">
        <f t="shared" si="37"/>
        <v>0</v>
      </c>
      <c r="AG59" s="5003"/>
      <c r="AH59" s="5004"/>
      <c r="AI59" s="4996" t="str" cm="1">
        <f t="array" aca="1" ref="AI59" ca="1">IFERROR(_xlfn.IFS(
AND(B59&lt;&gt;"",U59&lt;&gt;"",Y59&gt;$CC$42),$CF$44,
Y59=$CC$42,$CF$45,
AC59=$CC$46,$CF$46,
AC59=$CC$47,$CF$47,
AC59=$CC$48,$CF$48,
AC59=$CC$49,$CF$49,
AC59=$CC$50,$CF$50,
AC59=$CC$51,$CF$51,
AC59=$CC$52,$CF$52,
AC59=$CC$53,$CF$53,
AC59=$CC$54,$CF$54,
AC59=$CC$55,$CF$55,
TRUE,""),"")</f>
        <v/>
      </c>
      <c r="AJ59" s="4997"/>
      <c r="AK59" s="4997"/>
      <c r="AL59" s="4997"/>
      <c r="AM59" s="4998"/>
      <c r="AN59" s="1513"/>
      <c r="AO59" s="2959"/>
      <c r="AP59" s="2959"/>
      <c r="AQ59" s="2959"/>
      <c r="AR59" s="2959"/>
      <c r="AS59" s="2959"/>
      <c r="AT59" s="2959"/>
      <c r="AU59" s="2959"/>
      <c r="AV59" s="2959"/>
      <c r="AW59" s="2959"/>
      <c r="AX59" s="2959"/>
      <c r="AY59" s="2959"/>
      <c r="AZ59" s="2959"/>
      <c r="BA59" s="2959"/>
      <c r="BB59" s="2959"/>
      <c r="BC59" s="2959"/>
      <c r="BD59" s="2959"/>
      <c r="BE59" s="2959"/>
      <c r="BF59" s="2959"/>
      <c r="BG59" s="2961"/>
      <c r="BH59" s="2960"/>
      <c r="BI59" s="2960"/>
      <c r="BJ59" s="2960"/>
      <c r="BK59" s="2960"/>
      <c r="BL59" s="2960"/>
      <c r="BM59" s="2960"/>
      <c r="BN59" s="2960"/>
      <c r="BO59" s="2960"/>
      <c r="BP59" s="2960"/>
      <c r="BQ59" s="2960"/>
      <c r="BR59" s="2960"/>
      <c r="BS59" s="2960"/>
      <c r="BT59" s="2960"/>
      <c r="BU59" s="2960"/>
      <c r="BV59" s="2960"/>
      <c r="BW59" s="2960"/>
      <c r="BX59" s="2960"/>
      <c r="BY59" s="2960"/>
      <c r="BZ59" s="2962"/>
      <c r="CA59" s="1513"/>
      <c r="CL59" s="1513"/>
      <c r="CM59" s="1513"/>
      <c r="CN59" s="1513"/>
      <c r="CO59" s="1513"/>
      <c r="CP59" s="1513"/>
      <c r="CQ59" s="1513"/>
      <c r="CR59" s="1513"/>
      <c r="CS59" s="1513"/>
      <c r="CT59" s="1513"/>
      <c r="CU59" s="1513"/>
      <c r="CV59" s="1513"/>
      <c r="CW59" s="1513"/>
      <c r="CX59" s="1513"/>
      <c r="CY59" s="1513"/>
      <c r="CZ59" s="1513"/>
      <c r="DA59" s="1513"/>
      <c r="DB59" s="1513"/>
      <c r="DC59" s="1513"/>
      <c r="DD59" s="1513"/>
      <c r="DE59" s="1513"/>
      <c r="DF59" s="1513"/>
      <c r="DG59" s="1513"/>
      <c r="DH59" s="1513"/>
      <c r="DI59" s="1513"/>
      <c r="DJ59" s="1513"/>
      <c r="DK59" s="1513"/>
      <c r="DL59" s="1513"/>
      <c r="DM59" s="1513"/>
      <c r="DN59" s="1513"/>
      <c r="DO59" s="1513"/>
      <c r="DP59" s="1513"/>
      <c r="DQ59" s="1513"/>
      <c r="DR59" s="1513"/>
      <c r="DS59" s="1513"/>
      <c r="DT59" s="1513"/>
      <c r="DU59" s="1513"/>
      <c r="DV59" s="1513"/>
      <c r="DW59" s="1513"/>
      <c r="DX59" s="1513"/>
      <c r="DY59" s="1513"/>
      <c r="DZ59" s="1513"/>
      <c r="EA59" s="1513"/>
      <c r="EB59" s="1513"/>
      <c r="EC59" s="1513"/>
      <c r="ED59" s="1513"/>
      <c r="EE59" s="1513"/>
      <c r="EF59" s="1513"/>
      <c r="EG59" s="1513"/>
      <c r="EH59" s="1513"/>
      <c r="EI59" s="1513"/>
      <c r="EJ59" s="1513"/>
      <c r="EK59" s="1513"/>
      <c r="EL59" s="1513"/>
      <c r="EM59" s="1513"/>
      <c r="EN59" s="1513"/>
      <c r="EO59" s="1513"/>
      <c r="EP59" s="1513"/>
      <c r="EQ59" s="1513"/>
      <c r="ER59" s="1513"/>
      <c r="ES59" s="1513"/>
      <c r="ET59" s="1513"/>
      <c r="EU59" s="1513"/>
      <c r="EV59" s="1513"/>
      <c r="EW59" s="1513"/>
      <c r="EX59" s="1513"/>
      <c r="EY59" s="1513"/>
      <c r="EZ59" s="1513"/>
      <c r="FA59" s="1513"/>
      <c r="FB59" s="1513"/>
      <c r="FC59" s="1513"/>
      <c r="FD59" s="1513"/>
      <c r="FE59" s="1513"/>
      <c r="FF59" s="1513"/>
      <c r="FG59" s="1513"/>
      <c r="FH59" s="1513"/>
      <c r="FI59" s="1513"/>
      <c r="FJ59" s="1513"/>
      <c r="FL59" s="1513"/>
    </row>
    <row r="60" spans="1:168" ht="17.100000000000001" customHeight="1" x14ac:dyDescent="0.2">
      <c r="A60" s="1513"/>
      <c r="B60" s="5018"/>
      <c r="C60" s="5018"/>
      <c r="D60" s="5018"/>
      <c r="E60" s="5018"/>
      <c r="F60" s="5018"/>
      <c r="G60" s="5018"/>
      <c r="H60" s="5018"/>
      <c r="I60" s="5018"/>
      <c r="J60" s="5018"/>
      <c r="K60" s="5018"/>
      <c r="L60" s="5018"/>
      <c r="M60" s="5018"/>
      <c r="N60" s="5018"/>
      <c r="O60" s="5018"/>
      <c r="P60" s="5018"/>
      <c r="Q60" s="5018"/>
      <c r="R60" s="5018"/>
      <c r="S60" s="5018"/>
      <c r="T60" s="5018"/>
      <c r="U60" s="5019"/>
      <c r="V60" s="5019"/>
      <c r="W60" s="5019"/>
      <c r="X60" s="5019"/>
      <c r="Y60" s="5010" t="str" cm="1">
        <f t="array" ref="Y60">IF(AND(B60&lt;&gt;"",U60&lt;&gt;""),_xlfn.IFS(AND(U61&lt;&gt;"",U61&lt;$CC$42),U61,AND(U61&lt;&gt;"",U61&gt;=$CC$42),$CC$42,AND(U61="",U60&lt;$CC$42),$CC$42,TRUE,""),"")</f>
        <v/>
      </c>
      <c r="Z60" s="5010"/>
      <c r="AA60" s="5010"/>
      <c r="AB60" s="5010"/>
      <c r="AC60" s="5005">
        <f t="shared" si="36"/>
        <v>0</v>
      </c>
      <c r="AD60" s="5005"/>
      <c r="AE60" s="5005"/>
      <c r="AF60" s="5002">
        <f t="shared" si="37"/>
        <v>0</v>
      </c>
      <c r="AG60" s="5003"/>
      <c r="AH60" s="5004"/>
      <c r="AI60" s="4996" t="str" cm="1">
        <f t="array" aca="1" ref="AI60" ca="1">IFERROR(_xlfn.IFS(
AND(B60&lt;&gt;"",U60&lt;&gt;"",Y60&gt;$CC$42),$CF$44,
Y60=$CC$42,$CF$45,
AC60=$CC$46,$CF$46,
AC60=$CC$47,$CF$47,
AC60=$CC$48,$CF$48,
AC60=$CC$49,$CF$49,
AC60=$CC$50,$CF$50,
AC60=$CC$51,$CF$51,
AC60=$CC$52,$CF$52,
AC60=$CC$53,$CF$53,
AC60=$CC$54,$CF$54,
AC60=$CC$55,$CF$55,
TRUE,""),"")</f>
        <v/>
      </c>
      <c r="AJ60" s="4997"/>
      <c r="AK60" s="4997"/>
      <c r="AL60" s="4997"/>
      <c r="AM60" s="4998"/>
      <c r="AN60" s="1513"/>
      <c r="AO60" s="2959"/>
      <c r="AP60" s="2959"/>
      <c r="AQ60" s="2959"/>
      <c r="AR60" s="2959"/>
      <c r="AS60" s="2959"/>
      <c r="AT60" s="2959"/>
      <c r="AU60" s="2959"/>
      <c r="AV60" s="2959"/>
      <c r="AW60" s="2959"/>
      <c r="AX60" s="2959"/>
      <c r="AY60" s="2959"/>
      <c r="AZ60" s="2959"/>
      <c r="BA60" s="2959"/>
      <c r="BB60" s="2959"/>
      <c r="BC60" s="2959"/>
      <c r="BD60" s="2959"/>
      <c r="BE60" s="2959"/>
      <c r="BF60" s="2959"/>
      <c r="BG60" s="2961"/>
      <c r="BH60" s="2960"/>
      <c r="BI60" s="2960"/>
      <c r="BJ60" s="2960"/>
      <c r="BK60" s="2960"/>
      <c r="BL60" s="2960"/>
      <c r="BM60" s="2960"/>
      <c r="BN60" s="2960"/>
      <c r="BO60" s="2960"/>
      <c r="BP60" s="2960"/>
      <c r="BQ60" s="2960"/>
      <c r="BR60" s="2960"/>
      <c r="BS60" s="2960"/>
      <c r="BT60" s="2960"/>
      <c r="BU60" s="2960"/>
      <c r="BV60" s="2960"/>
      <c r="BW60" s="2960"/>
      <c r="BX60" s="2960"/>
      <c r="BY60" s="2960"/>
      <c r="BZ60" s="2962"/>
      <c r="CA60" s="1513"/>
      <c r="CL60" s="1513"/>
      <c r="CM60" s="1513"/>
      <c r="CN60" s="1513"/>
      <c r="CO60" s="1513"/>
      <c r="CP60" s="1513"/>
      <c r="CQ60" s="1513"/>
      <c r="CR60" s="1513"/>
      <c r="CS60" s="1513"/>
      <c r="CT60" s="1513"/>
      <c r="CU60" s="1513"/>
      <c r="CV60" s="1513"/>
      <c r="CW60" s="1513"/>
      <c r="CX60" s="1513"/>
      <c r="CY60" s="1513"/>
      <c r="CZ60" s="1513"/>
      <c r="DA60" s="1513"/>
      <c r="DB60" s="1513"/>
      <c r="DC60" s="1513"/>
      <c r="DD60" s="1513"/>
      <c r="DE60" s="1513"/>
      <c r="DF60" s="1513"/>
      <c r="DG60" s="1513"/>
      <c r="DH60" s="1513"/>
      <c r="DI60" s="1513"/>
      <c r="DJ60" s="1513"/>
      <c r="DK60" s="1513"/>
      <c r="DL60" s="1513"/>
      <c r="DM60" s="1513"/>
      <c r="DN60" s="1513"/>
      <c r="DO60" s="1513"/>
      <c r="DP60" s="1513"/>
      <c r="DQ60" s="1513"/>
      <c r="DR60" s="1513"/>
      <c r="DS60" s="1513"/>
      <c r="DT60" s="1513"/>
      <c r="DU60" s="1513"/>
      <c r="DV60" s="1513"/>
      <c r="DW60" s="1513"/>
      <c r="DX60" s="1513"/>
      <c r="DY60" s="1513"/>
      <c r="DZ60" s="1513"/>
      <c r="EA60" s="1513"/>
      <c r="EB60" s="1513"/>
      <c r="EC60" s="1513"/>
      <c r="ED60" s="1513"/>
      <c r="EE60" s="1513"/>
      <c r="EF60" s="1513"/>
      <c r="EG60" s="1513"/>
      <c r="EH60" s="1513"/>
      <c r="EI60" s="1513"/>
      <c r="EJ60" s="1513"/>
      <c r="EK60" s="1513"/>
      <c r="EL60" s="1513"/>
      <c r="EM60" s="1513"/>
      <c r="EN60" s="1513"/>
      <c r="EO60" s="1513"/>
      <c r="EP60" s="1513"/>
      <c r="EQ60" s="1513"/>
      <c r="ER60" s="1513"/>
      <c r="ES60" s="1513"/>
      <c r="ET60" s="1513"/>
      <c r="EU60" s="1513"/>
      <c r="EV60" s="1513"/>
      <c r="EW60" s="1513"/>
      <c r="EX60" s="1513"/>
      <c r="EY60" s="1513"/>
      <c r="EZ60" s="1513"/>
      <c r="FA60" s="1513"/>
      <c r="FB60" s="1513"/>
      <c r="FC60" s="1513"/>
      <c r="FD60" s="1513"/>
      <c r="FE60" s="1513"/>
      <c r="FF60" s="1513"/>
      <c r="FG60" s="1513"/>
      <c r="FH60" s="1513"/>
      <c r="FI60" s="1513"/>
      <c r="FJ60" s="1513"/>
      <c r="FL60" s="1513"/>
    </row>
    <row r="61" spans="1:168" ht="17.100000000000001" customHeight="1" x14ac:dyDescent="0.2">
      <c r="A61" s="1513"/>
      <c r="B61" s="5018"/>
      <c r="C61" s="5018"/>
      <c r="D61" s="5018"/>
      <c r="E61" s="5018"/>
      <c r="F61" s="5018"/>
      <c r="G61" s="5018"/>
      <c r="H61" s="5018"/>
      <c r="I61" s="5018"/>
      <c r="J61" s="5018"/>
      <c r="K61" s="5018"/>
      <c r="L61" s="5018"/>
      <c r="M61" s="5018"/>
      <c r="N61" s="5018"/>
      <c r="O61" s="5018"/>
      <c r="P61" s="5018"/>
      <c r="Q61" s="5018"/>
      <c r="R61" s="5018"/>
      <c r="S61" s="5018"/>
      <c r="T61" s="5018"/>
      <c r="U61" s="5019"/>
      <c r="V61" s="5019"/>
      <c r="W61" s="5019"/>
      <c r="X61" s="5019"/>
      <c r="Y61" s="5010" t="str" cm="1">
        <f t="array" ref="Y61">IF(AND(B61&lt;&gt;"",U61&lt;&gt;""),_xlfn.IFS(AND(U62&lt;&gt;"",U62&lt;$CC$42),U62,AND(U62&lt;&gt;"",U62&gt;=$CC$42),$CC$42,AND(U62="",U61&lt;$CC$42),$CC$42,TRUE,""),"")</f>
        <v/>
      </c>
      <c r="Z61" s="5010"/>
      <c r="AA61" s="5010"/>
      <c r="AB61" s="5010"/>
      <c r="AC61" s="5005">
        <f t="shared" si="36"/>
        <v>0</v>
      </c>
      <c r="AD61" s="5005"/>
      <c r="AE61" s="5005"/>
      <c r="AF61" s="5002">
        <f t="shared" si="37"/>
        <v>0</v>
      </c>
      <c r="AG61" s="5003"/>
      <c r="AH61" s="5004"/>
      <c r="AI61" s="4996" t="str" cm="1">
        <f t="array" aca="1" ref="AI61" ca="1">IFERROR(_xlfn.IFS(
AND(B61&lt;&gt;"",U61&lt;&gt;"",Y61&gt;$CC$42),$CF$44,
Y61=$CC$42,$CF$45,
AC61=$CC$46,$CF$46,
AC61=$CC$47,$CF$47,
AC61=$CC$48,$CF$48,
AC61=$CC$49,$CF$49,
AC61=$CC$50,$CF$50,
AC61=$CC$51,$CF$51,
AC61=$CC$52,$CF$52,
AC61=$CC$53,$CF$53,
AC61=$CC$54,$CF$54,
AC61=$CC$55,$CF$55,
TRUE,""),"")</f>
        <v/>
      </c>
      <c r="AJ61" s="4997"/>
      <c r="AK61" s="4997"/>
      <c r="AL61" s="4997"/>
      <c r="AM61" s="4998"/>
      <c r="AN61" s="1513"/>
      <c r="AO61" s="2959"/>
      <c r="AP61" s="2959"/>
      <c r="AQ61" s="2959"/>
      <c r="AR61" s="2959"/>
      <c r="AS61" s="2959"/>
      <c r="AT61" s="2959"/>
      <c r="AU61" s="2959"/>
      <c r="AV61" s="2959"/>
      <c r="AW61" s="2959"/>
      <c r="AX61" s="2959"/>
      <c r="AY61" s="2959"/>
      <c r="AZ61" s="2959"/>
      <c r="BA61" s="2959"/>
      <c r="BB61" s="2959"/>
      <c r="BC61" s="2959"/>
      <c r="BD61" s="2959"/>
      <c r="BE61" s="2959"/>
      <c r="BF61" s="2959"/>
      <c r="BG61" s="2961"/>
      <c r="BH61" s="2960"/>
      <c r="BI61" s="2960"/>
      <c r="BJ61" s="2960"/>
      <c r="BK61" s="2960"/>
      <c r="BL61" s="2960"/>
      <c r="BM61" s="2960"/>
      <c r="BN61" s="2960"/>
      <c r="BO61" s="2960"/>
      <c r="BP61" s="2960"/>
      <c r="BQ61" s="2960"/>
      <c r="BR61" s="2960"/>
      <c r="BS61" s="2960"/>
      <c r="BT61" s="2960"/>
      <c r="BU61" s="2960"/>
      <c r="BV61" s="2960"/>
      <c r="BW61" s="2960"/>
      <c r="BX61" s="2960"/>
      <c r="BY61" s="2960"/>
      <c r="BZ61" s="2962"/>
      <c r="CA61" s="1513"/>
      <c r="CL61" s="1513"/>
      <c r="CM61" s="1513"/>
      <c r="CN61" s="1513"/>
      <c r="CO61" s="1513"/>
      <c r="CP61" s="1513"/>
      <c r="CQ61" s="1513"/>
      <c r="CR61" s="1513"/>
      <c r="CS61" s="1513"/>
      <c r="CT61" s="1513"/>
      <c r="CU61" s="1513"/>
      <c r="CV61" s="1513"/>
      <c r="CW61" s="1513"/>
      <c r="CX61" s="1513"/>
      <c r="CY61" s="1513"/>
      <c r="CZ61" s="1513"/>
      <c r="DA61" s="1513"/>
      <c r="DB61" s="1513"/>
      <c r="DC61" s="1513"/>
      <c r="DD61" s="1513"/>
      <c r="DE61" s="1513"/>
      <c r="DF61" s="1513"/>
      <c r="DG61" s="1513"/>
      <c r="DH61" s="1513"/>
      <c r="DI61" s="1513"/>
      <c r="DJ61" s="1513"/>
      <c r="DK61" s="1513"/>
      <c r="DL61" s="1513"/>
      <c r="DM61" s="1513"/>
      <c r="DN61" s="1513"/>
      <c r="DO61" s="1513"/>
      <c r="DP61" s="1513"/>
      <c r="DQ61" s="1513"/>
      <c r="DR61" s="1513"/>
      <c r="DS61" s="1513"/>
      <c r="DT61" s="1513"/>
      <c r="DU61" s="1513"/>
      <c r="DV61" s="1513"/>
      <c r="DW61" s="1513"/>
      <c r="DX61" s="1513"/>
      <c r="DY61" s="1513"/>
      <c r="DZ61" s="1513"/>
      <c r="EA61" s="1513"/>
      <c r="EB61" s="1513"/>
      <c r="EC61" s="1513"/>
      <c r="ED61" s="1513"/>
      <c r="EE61" s="1513"/>
      <c r="EF61" s="1513"/>
      <c r="EG61" s="1513"/>
      <c r="EH61" s="1513"/>
      <c r="EI61" s="1513"/>
      <c r="EJ61" s="1513"/>
      <c r="EK61" s="1513"/>
      <c r="EL61" s="1513"/>
      <c r="EM61" s="1513"/>
      <c r="EN61" s="1513"/>
      <c r="EO61" s="1513"/>
      <c r="EP61" s="1513"/>
      <c r="EQ61" s="1513"/>
      <c r="ER61" s="1513"/>
      <c r="ES61" s="1513"/>
      <c r="ET61" s="1513"/>
      <c r="EU61" s="1513"/>
      <c r="EV61" s="1513"/>
      <c r="EW61" s="1513"/>
      <c r="EX61" s="1513"/>
      <c r="EY61" s="1513"/>
      <c r="EZ61" s="1513"/>
      <c r="FA61" s="1513"/>
      <c r="FB61" s="1513"/>
      <c r="FC61" s="1513"/>
      <c r="FD61" s="1513"/>
      <c r="FE61" s="1513"/>
      <c r="FF61" s="1513"/>
      <c r="FG61" s="1513"/>
      <c r="FH61" s="1513"/>
      <c r="FI61" s="1513"/>
      <c r="FJ61" s="1513"/>
      <c r="FL61" s="1513"/>
    </row>
    <row r="62" spans="1:168" ht="17.100000000000001" customHeight="1" x14ac:dyDescent="0.2">
      <c r="A62" s="1513"/>
      <c r="B62" s="5018"/>
      <c r="C62" s="5018"/>
      <c r="D62" s="5018"/>
      <c r="E62" s="5018"/>
      <c r="F62" s="5018"/>
      <c r="G62" s="5018"/>
      <c r="H62" s="5018"/>
      <c r="I62" s="5018"/>
      <c r="J62" s="5018"/>
      <c r="K62" s="5018"/>
      <c r="L62" s="5018"/>
      <c r="M62" s="5018"/>
      <c r="N62" s="5018"/>
      <c r="O62" s="5018"/>
      <c r="P62" s="5018"/>
      <c r="Q62" s="5018"/>
      <c r="R62" s="5018"/>
      <c r="S62" s="5018"/>
      <c r="T62" s="5018"/>
      <c r="U62" s="5019"/>
      <c r="V62" s="5019"/>
      <c r="W62" s="5019"/>
      <c r="X62" s="5019"/>
      <c r="Y62" s="5010" t="str" cm="1">
        <f t="array" ref="Y62">IF(AND(B62&lt;&gt;"",U62&lt;&gt;""),_xlfn.IFS(AND(U63&lt;&gt;"",U63&lt;$CC$42),U63,AND(U63&lt;&gt;"",U63&gt;=$CC$42),$CC$42,AND(U63="",U62&lt;$CC$42),$CC$42,TRUE,""),"")</f>
        <v/>
      </c>
      <c r="Z62" s="5010"/>
      <c r="AA62" s="5010"/>
      <c r="AB62" s="5010"/>
      <c r="AC62" s="5005">
        <f t="shared" si="36"/>
        <v>0</v>
      </c>
      <c r="AD62" s="5005"/>
      <c r="AE62" s="5005"/>
      <c r="AF62" s="5002">
        <f t="shared" si="37"/>
        <v>0</v>
      </c>
      <c r="AG62" s="5003"/>
      <c r="AH62" s="5004"/>
      <c r="AI62" s="4996" t="str" cm="1">
        <f t="array" aca="1" ref="AI62" ca="1">IFERROR(_xlfn.IFS(
AND(B62&lt;&gt;"",U62&lt;&gt;"",Y62&gt;$CC$42),$CF$44,
Y62=$CC$42,$CF$45,
AC62=$CC$46,$CF$46,
AC62=$CC$47,$CF$47,
AC62=$CC$48,$CF$48,
AC62=$CC$49,$CF$49,
AC62=$CC$50,$CF$50,
AC62=$CC$51,$CF$51,
AC62=$CC$52,$CF$52,
AC62=$CC$53,$CF$53,
AC62=$CC$54,$CF$54,
AC62=$CC$55,$CF$55,
TRUE,""),"")</f>
        <v/>
      </c>
      <c r="AJ62" s="4997"/>
      <c r="AK62" s="4997"/>
      <c r="AL62" s="4997"/>
      <c r="AM62" s="4998"/>
      <c r="AN62" s="1513"/>
      <c r="AO62" s="2959"/>
      <c r="AP62" s="2959"/>
      <c r="AQ62" s="2959"/>
      <c r="AR62" s="2959"/>
      <c r="AS62" s="2959"/>
      <c r="AT62" s="2959"/>
      <c r="AU62" s="2959"/>
      <c r="AV62" s="2959"/>
      <c r="AW62" s="2959"/>
      <c r="AX62" s="2959"/>
      <c r="AY62" s="2959"/>
      <c r="AZ62" s="2959"/>
      <c r="BA62" s="2959"/>
      <c r="BB62" s="2959"/>
      <c r="BC62" s="2959"/>
      <c r="BD62" s="2959"/>
      <c r="BE62" s="2959"/>
      <c r="BF62" s="2959"/>
      <c r="BG62" s="2961"/>
      <c r="BH62" s="2960"/>
      <c r="BI62" s="2960"/>
      <c r="BJ62" s="2960"/>
      <c r="BK62" s="2960"/>
      <c r="BL62" s="2960"/>
      <c r="BM62" s="2960"/>
      <c r="BN62" s="2960"/>
      <c r="BO62" s="2960"/>
      <c r="BP62" s="2960"/>
      <c r="BQ62" s="2960"/>
      <c r="BR62" s="2960"/>
      <c r="BS62" s="2960"/>
      <c r="BT62" s="2960"/>
      <c r="BU62" s="2960"/>
      <c r="BV62" s="2960"/>
      <c r="BW62" s="2960"/>
      <c r="BX62" s="2960"/>
      <c r="BY62" s="2960"/>
      <c r="BZ62" s="2962"/>
      <c r="CA62" s="1513"/>
      <c r="CC62" s="2"/>
      <c r="CD62" s="2"/>
      <c r="CE62" s="2"/>
      <c r="CF62" s="2"/>
      <c r="CL62" s="1513"/>
      <c r="CM62" s="1513"/>
      <c r="CN62" s="1513"/>
      <c r="CO62" s="1513"/>
      <c r="CP62" s="1513"/>
      <c r="CQ62" s="1513"/>
      <c r="CR62" s="1513"/>
      <c r="CS62" s="1513"/>
      <c r="CT62" s="1513"/>
      <c r="CU62" s="1513"/>
      <c r="CV62" s="1513"/>
      <c r="CW62" s="1513"/>
      <c r="CX62" s="1513"/>
      <c r="CY62" s="1513"/>
      <c r="CZ62" s="1513"/>
      <c r="DA62" s="1513"/>
      <c r="DB62" s="1513"/>
      <c r="DC62" s="1513"/>
      <c r="DD62" s="1513"/>
      <c r="DE62" s="1513"/>
      <c r="DF62" s="1513"/>
      <c r="DG62" s="1513"/>
      <c r="DH62" s="1513"/>
      <c r="DI62" s="1513"/>
      <c r="DJ62" s="1513"/>
      <c r="DK62" s="1513"/>
      <c r="DL62" s="1513"/>
      <c r="DM62" s="1513"/>
      <c r="DN62" s="1513"/>
      <c r="DO62" s="1513"/>
      <c r="DP62" s="1513"/>
      <c r="DQ62" s="1513"/>
      <c r="DR62" s="1513"/>
      <c r="DS62" s="1513"/>
      <c r="DT62" s="1513"/>
      <c r="DU62" s="1513"/>
      <c r="DV62" s="1513"/>
      <c r="DW62" s="1513"/>
      <c r="DX62" s="1513"/>
      <c r="DY62" s="1513"/>
      <c r="DZ62" s="1513"/>
      <c r="EA62" s="1513"/>
      <c r="EB62" s="1513"/>
      <c r="EC62" s="1513"/>
      <c r="ED62" s="1513"/>
      <c r="EE62" s="1513"/>
      <c r="EF62" s="1513"/>
      <c r="EG62" s="1513"/>
      <c r="EH62" s="1513"/>
      <c r="EI62" s="1513"/>
      <c r="EJ62" s="1513"/>
      <c r="EK62" s="1513"/>
      <c r="EL62" s="1513"/>
      <c r="EM62" s="1513"/>
      <c r="EN62" s="1513"/>
      <c r="EO62" s="1513"/>
      <c r="EP62" s="1513"/>
      <c r="EQ62" s="1513"/>
      <c r="ER62" s="1513"/>
      <c r="ES62" s="1513"/>
      <c r="ET62" s="1513"/>
      <c r="EU62" s="1513"/>
      <c r="EV62" s="1513"/>
      <c r="EW62" s="1513"/>
      <c r="EX62" s="1513"/>
      <c r="EY62" s="1513"/>
      <c r="EZ62" s="1513"/>
      <c r="FA62" s="1513"/>
      <c r="FB62" s="1513"/>
      <c r="FC62" s="1513"/>
      <c r="FD62" s="1513"/>
      <c r="FE62" s="1513"/>
      <c r="FF62" s="1513"/>
      <c r="FG62" s="1513"/>
      <c r="FH62" s="1513"/>
      <c r="FI62" s="1513"/>
      <c r="FJ62" s="1513"/>
      <c r="FL62" s="1513"/>
    </row>
    <row r="63" spans="1:168" ht="17.100000000000001" customHeight="1" x14ac:dyDescent="0.2">
      <c r="A63" s="1513"/>
      <c r="B63" s="5018"/>
      <c r="C63" s="5018"/>
      <c r="D63" s="5018"/>
      <c r="E63" s="5018"/>
      <c r="F63" s="5018"/>
      <c r="G63" s="5018"/>
      <c r="H63" s="5018"/>
      <c r="I63" s="5018"/>
      <c r="J63" s="5018"/>
      <c r="K63" s="5018"/>
      <c r="L63" s="5018"/>
      <c r="M63" s="5018"/>
      <c r="N63" s="5018"/>
      <c r="O63" s="5018"/>
      <c r="P63" s="5018"/>
      <c r="Q63" s="5018"/>
      <c r="R63" s="5018"/>
      <c r="S63" s="5018"/>
      <c r="T63" s="5018"/>
      <c r="U63" s="5019"/>
      <c r="V63" s="5019"/>
      <c r="W63" s="5019"/>
      <c r="X63" s="5019"/>
      <c r="Y63" s="5010" t="str" cm="1">
        <f t="array" ref="Y63">IF(AND(B63&lt;&gt;"",U63&lt;&gt;""),_xlfn.IFS(AND(U64&lt;&gt;"",U64&lt;$CC$42),U64,AND(U64&lt;&gt;"",U64&gt;=$CC$42),$CC$42,AND(U64="",U63&lt;$CC$42),$CC$42,TRUE,""),"")</f>
        <v/>
      </c>
      <c r="Z63" s="5010"/>
      <c r="AA63" s="5010"/>
      <c r="AB63" s="5010"/>
      <c r="AC63" s="5005">
        <f t="shared" si="36"/>
        <v>0</v>
      </c>
      <c r="AD63" s="5005"/>
      <c r="AE63" s="5005"/>
      <c r="AF63" s="5002">
        <f t="shared" si="37"/>
        <v>0</v>
      </c>
      <c r="AG63" s="5003"/>
      <c r="AH63" s="5004"/>
      <c r="AI63" s="4996" t="str" cm="1">
        <f t="array" aca="1" ref="AI63" ca="1">IFERROR(_xlfn.IFS(
AND(B63&lt;&gt;"",U63&lt;&gt;"",Y63&gt;$CC$42),$CF$44,
Y63=$CC$42,$CF$45,
AC63=$CC$46,$CF$46,
AC63=$CC$47,$CF$47,
AC63=$CC$48,$CF$48,
AC63=$CC$49,$CF$49,
AC63=$CC$50,$CF$50,
AC63=$CC$51,$CF$51,
AC63=$CC$52,$CF$52,
AC63=$CC$53,$CF$53,
AC63=$CC$54,$CF$54,
AC63=$CC$55,$CF$55,
TRUE,""),"")</f>
        <v/>
      </c>
      <c r="AJ63" s="4997"/>
      <c r="AK63" s="4997"/>
      <c r="AL63" s="4997"/>
      <c r="AM63" s="4998"/>
      <c r="AN63" s="1513"/>
      <c r="AO63" s="2959"/>
      <c r="AP63" s="2959"/>
      <c r="AQ63" s="2959"/>
      <c r="AR63" s="2959"/>
      <c r="AS63" s="2959"/>
      <c r="AT63" s="2959"/>
      <c r="AU63" s="2959"/>
      <c r="AV63" s="2959"/>
      <c r="AW63" s="2959"/>
      <c r="AX63" s="2959"/>
      <c r="AY63" s="2959"/>
      <c r="AZ63" s="2959"/>
      <c r="BA63" s="2959"/>
      <c r="BB63" s="2959"/>
      <c r="BC63" s="2959"/>
      <c r="BD63" s="2959"/>
      <c r="BE63" s="2959"/>
      <c r="BF63" s="2959"/>
      <c r="BG63" s="2961"/>
      <c r="BH63" s="2960"/>
      <c r="BI63" s="2960"/>
      <c r="BJ63" s="2960"/>
      <c r="BK63" s="2960"/>
      <c r="BL63" s="2960"/>
      <c r="BM63" s="2960"/>
      <c r="BN63" s="2960"/>
      <c r="BO63" s="2960"/>
      <c r="BP63" s="2960"/>
      <c r="BQ63" s="2960"/>
      <c r="BR63" s="2960"/>
      <c r="BS63" s="2960"/>
      <c r="BT63" s="2960"/>
      <c r="BU63" s="2960"/>
      <c r="BV63" s="2960"/>
      <c r="BW63" s="2960"/>
      <c r="BX63" s="2960"/>
      <c r="BY63" s="2960"/>
      <c r="BZ63" s="2962"/>
      <c r="CA63" s="1513"/>
      <c r="CC63" s="2"/>
      <c r="CD63" s="2"/>
      <c r="CE63" s="2"/>
      <c r="CF63" s="2"/>
      <c r="CL63" s="1513"/>
      <c r="CM63" s="1513"/>
      <c r="CN63" s="1513"/>
      <c r="CO63" s="1513"/>
      <c r="CP63" s="1513"/>
      <c r="CQ63" s="1513"/>
      <c r="CR63" s="1513"/>
      <c r="CS63" s="1513"/>
      <c r="CT63" s="1513"/>
      <c r="CU63" s="1513"/>
      <c r="CV63" s="1513"/>
      <c r="CW63" s="1513"/>
      <c r="CX63" s="1513"/>
      <c r="CY63" s="1513"/>
      <c r="CZ63" s="1513"/>
      <c r="DA63" s="1513"/>
      <c r="DB63" s="1513"/>
      <c r="DC63" s="1513"/>
      <c r="DD63" s="1513"/>
      <c r="DE63" s="1513"/>
      <c r="DF63" s="1513"/>
      <c r="DG63" s="1513"/>
      <c r="DH63" s="1513"/>
      <c r="DI63" s="1513"/>
      <c r="DJ63" s="1513"/>
      <c r="DK63" s="1513"/>
      <c r="DL63" s="1513"/>
      <c r="DM63" s="1513"/>
      <c r="DN63" s="1513"/>
      <c r="DO63" s="1513"/>
      <c r="DP63" s="1513"/>
      <c r="DQ63" s="1513"/>
      <c r="DR63" s="1513"/>
      <c r="DS63" s="1513"/>
      <c r="DT63" s="1513"/>
      <c r="DU63" s="1513"/>
      <c r="DV63" s="1513"/>
      <c r="DW63" s="1513"/>
      <c r="DX63" s="1513"/>
      <c r="DY63" s="1513"/>
      <c r="DZ63" s="1513"/>
      <c r="EA63" s="1513"/>
      <c r="EB63" s="1513"/>
      <c r="EC63" s="1513"/>
      <c r="ED63" s="1513"/>
      <c r="EE63" s="1513"/>
      <c r="EF63" s="1513"/>
      <c r="EG63" s="1513"/>
      <c r="EH63" s="1513"/>
      <c r="EI63" s="1513"/>
      <c r="EJ63" s="1513"/>
      <c r="EK63" s="1513"/>
      <c r="EL63" s="1513"/>
      <c r="EM63" s="1513"/>
      <c r="EN63" s="1513"/>
      <c r="EO63" s="1513"/>
      <c r="EP63" s="1513"/>
      <c r="EQ63" s="1513"/>
      <c r="ER63" s="1513"/>
      <c r="ES63" s="1513"/>
      <c r="ET63" s="1513"/>
      <c r="EU63" s="1513"/>
      <c r="EV63" s="1513"/>
      <c r="EW63" s="1513"/>
      <c r="EX63" s="1513"/>
      <c r="EY63" s="1513"/>
      <c r="EZ63" s="1513"/>
      <c r="FA63" s="1513"/>
      <c r="FB63" s="1513"/>
      <c r="FC63" s="1513"/>
      <c r="FD63" s="1513"/>
      <c r="FE63" s="1513"/>
      <c r="FF63" s="1513"/>
      <c r="FG63" s="1513"/>
      <c r="FH63" s="1513"/>
      <c r="FI63" s="1513"/>
      <c r="FJ63" s="1513"/>
      <c r="FL63" s="1513"/>
    </row>
    <row r="64" spans="1:168" ht="17.100000000000001" customHeight="1" x14ac:dyDescent="0.2">
      <c r="A64" s="1513"/>
      <c r="B64" s="5018"/>
      <c r="C64" s="5018"/>
      <c r="D64" s="5018"/>
      <c r="E64" s="5018"/>
      <c r="F64" s="5018"/>
      <c r="G64" s="5018"/>
      <c r="H64" s="5018"/>
      <c r="I64" s="5018"/>
      <c r="J64" s="5018"/>
      <c r="K64" s="5018"/>
      <c r="L64" s="5018"/>
      <c r="M64" s="5018"/>
      <c r="N64" s="5018"/>
      <c r="O64" s="5018"/>
      <c r="P64" s="5018"/>
      <c r="Q64" s="5018"/>
      <c r="R64" s="5018"/>
      <c r="S64" s="5018"/>
      <c r="T64" s="5018"/>
      <c r="U64" s="5019"/>
      <c r="V64" s="5019"/>
      <c r="W64" s="5019"/>
      <c r="X64" s="5019"/>
      <c r="Y64" s="5010" t="str" cm="1">
        <f t="array" ref="Y64">IF(AND(B64&lt;&gt;"",U64&lt;&gt;""),_xlfn.IFS(AND(U65&lt;&gt;"",U65&lt;$CC$42),U65,AND(U65&lt;&gt;"",U65&gt;=$CC$42),$CC$42,AND(U65="",U64&lt;$CC$42),$CC$42,TRUE,""),"")</f>
        <v/>
      </c>
      <c r="Z64" s="5010"/>
      <c r="AA64" s="5010"/>
      <c r="AB64" s="5010"/>
      <c r="AC64" s="5005">
        <f t="shared" si="36"/>
        <v>0</v>
      </c>
      <c r="AD64" s="5005"/>
      <c r="AE64" s="5005"/>
      <c r="AF64" s="5002">
        <f t="shared" si="37"/>
        <v>0</v>
      </c>
      <c r="AG64" s="5003"/>
      <c r="AH64" s="5004"/>
      <c r="AI64" s="4996" t="str" cm="1">
        <f t="array" aca="1" ref="AI64" ca="1">IFERROR(_xlfn.IFS(
AND(B64&lt;&gt;"",U64&lt;&gt;"",Y64&gt;$CC$42),$CF$44,
Y64=$CC$42,$CF$45,
AC64=$CC$46,$CF$46,
AC64=$CC$47,$CF$47,
AC64=$CC$48,$CF$48,
AC64=$CC$49,$CF$49,
AC64=$CC$50,$CF$50,
AC64=$CC$51,$CF$51,
AC64=$CC$52,$CF$52,
AC64=$CC$53,$CF$53,
AC64=$CC$54,$CF$54,
AC64=$CC$55,$CF$55,
TRUE,""),"")</f>
        <v/>
      </c>
      <c r="AJ64" s="4997"/>
      <c r="AK64" s="4997"/>
      <c r="AL64" s="4997"/>
      <c r="AM64" s="4998"/>
      <c r="AN64" s="1513"/>
      <c r="AO64" s="2959"/>
      <c r="AP64" s="2959"/>
      <c r="AQ64" s="2959"/>
      <c r="AR64" s="2959"/>
      <c r="AS64" s="2959"/>
      <c r="AT64" s="2959"/>
      <c r="AU64" s="2959"/>
      <c r="AV64" s="2959"/>
      <c r="AW64" s="2959"/>
      <c r="AX64" s="2959"/>
      <c r="AY64" s="2959"/>
      <c r="AZ64" s="2959"/>
      <c r="BA64" s="2959"/>
      <c r="BB64" s="2959"/>
      <c r="BC64" s="2959"/>
      <c r="BD64" s="2959"/>
      <c r="BE64" s="2959"/>
      <c r="BF64" s="2959"/>
      <c r="BG64" s="2961"/>
      <c r="BH64" s="2960"/>
      <c r="BI64" s="2960"/>
      <c r="BJ64" s="2960"/>
      <c r="BK64" s="2960"/>
      <c r="BL64" s="2960"/>
      <c r="BM64" s="2960"/>
      <c r="BN64" s="2960"/>
      <c r="BO64" s="2960"/>
      <c r="BP64" s="2960"/>
      <c r="BQ64" s="2960"/>
      <c r="BR64" s="2960"/>
      <c r="BS64" s="2960"/>
      <c r="BT64" s="2960"/>
      <c r="BU64" s="2960"/>
      <c r="BV64" s="2960"/>
      <c r="BW64" s="2960"/>
      <c r="BX64" s="2960"/>
      <c r="BY64" s="2960"/>
      <c r="BZ64" s="2962"/>
      <c r="CA64" s="1513"/>
      <c r="CC64" s="2"/>
      <c r="CD64" s="2"/>
      <c r="CE64" s="2"/>
      <c r="CF64" s="2"/>
      <c r="CK64" s="1513"/>
      <c r="CL64" s="1513"/>
      <c r="CM64" s="1513"/>
      <c r="CN64" s="1513"/>
      <c r="CO64" s="1513"/>
      <c r="CP64" s="1513"/>
      <c r="CQ64" s="1513"/>
      <c r="CR64" s="1513"/>
      <c r="CS64" s="1513"/>
      <c r="CT64" s="1513"/>
      <c r="CU64" s="1513"/>
      <c r="CV64" s="1513"/>
      <c r="CW64" s="1513"/>
      <c r="CX64" s="1513"/>
      <c r="CY64" s="1513"/>
      <c r="CZ64" s="1513"/>
      <c r="DA64" s="1513"/>
      <c r="DB64" s="1513"/>
      <c r="DC64" s="1513"/>
      <c r="DD64" s="1513"/>
      <c r="DE64" s="1513"/>
      <c r="DF64" s="1513"/>
      <c r="DG64" s="1513"/>
      <c r="DH64" s="1513"/>
      <c r="DI64" s="1513"/>
      <c r="DJ64" s="1513"/>
      <c r="DK64" s="1513"/>
      <c r="DL64" s="1513"/>
      <c r="DM64" s="1513"/>
      <c r="DN64" s="1513"/>
      <c r="DO64" s="1513"/>
      <c r="DP64" s="1513"/>
      <c r="DQ64" s="1513"/>
      <c r="DR64" s="1513"/>
      <c r="DS64" s="1513"/>
      <c r="DT64" s="1513"/>
      <c r="DU64" s="1513"/>
      <c r="DV64" s="1513"/>
      <c r="DW64" s="1513"/>
      <c r="DX64" s="1513"/>
      <c r="DY64" s="1513"/>
      <c r="DZ64" s="1513"/>
      <c r="EA64" s="1513"/>
      <c r="EB64" s="1513"/>
      <c r="EC64" s="1513"/>
      <c r="ED64" s="1513"/>
      <c r="EE64" s="1513"/>
      <c r="EF64" s="1513"/>
      <c r="EG64" s="1513"/>
      <c r="EH64" s="1513"/>
      <c r="EI64" s="1513"/>
      <c r="EJ64" s="1513"/>
      <c r="EK64" s="1513"/>
      <c r="EL64" s="1513"/>
      <c r="EM64" s="1513"/>
      <c r="EN64" s="1513"/>
      <c r="EO64" s="1513"/>
      <c r="EP64" s="1513"/>
      <c r="EQ64" s="1513"/>
      <c r="ER64" s="1513"/>
      <c r="ES64" s="1513"/>
      <c r="ET64" s="1513"/>
      <c r="EU64" s="1513"/>
      <c r="EV64" s="1513"/>
      <c r="EW64" s="1513"/>
      <c r="EX64" s="1513"/>
      <c r="EY64" s="1513"/>
      <c r="EZ64" s="1513"/>
      <c r="FA64" s="1513"/>
      <c r="FB64" s="1513"/>
      <c r="FC64" s="1513"/>
      <c r="FD64" s="1513"/>
      <c r="FE64" s="1513"/>
      <c r="FF64" s="1513"/>
      <c r="FG64" s="1513"/>
      <c r="FH64" s="1513"/>
      <c r="FI64" s="1513"/>
      <c r="FJ64" s="1513"/>
      <c r="FL64" s="1513"/>
    </row>
    <row r="65" spans="1:168" ht="17.100000000000001" customHeight="1" x14ac:dyDescent="0.2">
      <c r="A65" s="1513"/>
      <c r="B65" s="5018"/>
      <c r="C65" s="5018"/>
      <c r="D65" s="5018"/>
      <c r="E65" s="5018"/>
      <c r="F65" s="5018"/>
      <c r="G65" s="5018"/>
      <c r="H65" s="5018"/>
      <c r="I65" s="5018"/>
      <c r="J65" s="5018"/>
      <c r="K65" s="5018"/>
      <c r="L65" s="5018"/>
      <c r="M65" s="5018"/>
      <c r="N65" s="5018"/>
      <c r="O65" s="5018"/>
      <c r="P65" s="5018"/>
      <c r="Q65" s="5018"/>
      <c r="R65" s="5018"/>
      <c r="S65" s="5018"/>
      <c r="T65" s="5018"/>
      <c r="U65" s="5019"/>
      <c r="V65" s="5019"/>
      <c r="W65" s="5019"/>
      <c r="X65" s="5019"/>
      <c r="Y65" s="5010" t="str" cm="1">
        <f t="array" ref="Y65">IF(AND(B65&lt;&gt;"",U65&lt;&gt;""),_xlfn.IFS(AND(U66&lt;&gt;"",U66&lt;$CC$42),U66,AND(U66&lt;&gt;"",U66&gt;=$CC$42),$CC$42,AND(U66="",U65&lt;$CC$42),$CC$42,TRUE,""),"")</f>
        <v/>
      </c>
      <c r="Z65" s="5010"/>
      <c r="AA65" s="5010"/>
      <c r="AB65" s="5010"/>
      <c r="AC65" s="5005">
        <f t="shared" si="36"/>
        <v>0</v>
      </c>
      <c r="AD65" s="5005"/>
      <c r="AE65" s="5005"/>
      <c r="AF65" s="5002">
        <f t="shared" si="37"/>
        <v>0</v>
      </c>
      <c r="AG65" s="5003"/>
      <c r="AH65" s="5004"/>
      <c r="AI65" s="4996" t="str" cm="1">
        <f t="array" aca="1" ref="AI65" ca="1">IFERROR(_xlfn.IFS(
AND(B65&lt;&gt;"",U65&lt;&gt;"",Y65&gt;$CC$42),$CF$44,
Y65=$CC$42,$CF$45,
AC65=$CC$46,$CF$46,
AC65=$CC$47,$CF$47,
AC65=$CC$48,$CF$48,
AC65=$CC$49,$CF$49,
AC65=$CC$50,$CF$50,
AC65=$CC$51,$CF$51,
AC65=$CC$52,$CF$52,
AC65=$CC$53,$CF$53,
AC65=$CC$54,$CF$54,
AC65=$CC$55,$CF$55,
TRUE,""),"")</f>
        <v/>
      </c>
      <c r="AJ65" s="4997"/>
      <c r="AK65" s="4997"/>
      <c r="AL65" s="4997"/>
      <c r="AM65" s="4998"/>
      <c r="AN65" s="1513"/>
      <c r="AO65" s="2959"/>
      <c r="AP65" s="2959"/>
      <c r="AQ65" s="2959"/>
      <c r="AR65" s="2959"/>
      <c r="AS65" s="2959"/>
      <c r="AT65" s="2959"/>
      <c r="AU65" s="2959"/>
      <c r="AV65" s="2959"/>
      <c r="AW65" s="2959"/>
      <c r="AX65" s="2959"/>
      <c r="AY65" s="2959"/>
      <c r="AZ65" s="2959"/>
      <c r="BA65" s="2959"/>
      <c r="BB65" s="2959"/>
      <c r="BC65" s="2959"/>
      <c r="BD65" s="2959"/>
      <c r="BE65" s="2959"/>
      <c r="BF65" s="2959"/>
      <c r="BG65" s="2961"/>
      <c r="BH65" s="2960"/>
      <c r="BI65" s="2960"/>
      <c r="BJ65" s="2960"/>
      <c r="BK65" s="2960"/>
      <c r="BL65" s="2960"/>
      <c r="BM65" s="2960"/>
      <c r="BN65" s="2960"/>
      <c r="BO65" s="2960"/>
      <c r="BP65" s="2960"/>
      <c r="BQ65" s="2960"/>
      <c r="BR65" s="2960"/>
      <c r="BS65" s="2960"/>
      <c r="BT65" s="2960"/>
      <c r="BU65" s="2960"/>
      <c r="BV65" s="2960"/>
      <c r="BW65" s="2960"/>
      <c r="BX65" s="2960"/>
      <c r="BY65" s="2960"/>
      <c r="BZ65" s="2962"/>
      <c r="CA65" s="1513"/>
      <c r="CC65" s="2"/>
      <c r="CD65" s="2"/>
      <c r="CE65" s="2"/>
      <c r="CF65" s="2"/>
      <c r="CK65" s="1513"/>
      <c r="CL65" s="1513"/>
      <c r="CM65" s="1513"/>
      <c r="CN65" s="1513"/>
      <c r="CO65" s="1513"/>
      <c r="CP65" s="1513"/>
      <c r="CQ65" s="1513"/>
      <c r="CR65" s="1513"/>
      <c r="CS65" s="1513"/>
      <c r="CT65" s="1513"/>
      <c r="CU65" s="1513"/>
      <c r="CV65" s="1513"/>
      <c r="CW65" s="1513"/>
      <c r="CX65" s="1513"/>
      <c r="CY65" s="1513"/>
      <c r="CZ65" s="1513"/>
      <c r="DA65" s="1513"/>
      <c r="DB65" s="1513"/>
      <c r="DC65" s="1513"/>
      <c r="DD65" s="1513"/>
      <c r="DE65" s="1513"/>
      <c r="DF65" s="1513"/>
      <c r="DG65" s="1513"/>
      <c r="DH65" s="1513"/>
      <c r="DI65" s="1513"/>
      <c r="DJ65" s="1513"/>
      <c r="DK65" s="1513"/>
      <c r="DL65" s="1513"/>
      <c r="DM65" s="1513"/>
      <c r="DN65" s="1513"/>
      <c r="DO65" s="1513"/>
      <c r="DP65" s="1513"/>
      <c r="DQ65" s="1513"/>
      <c r="DR65" s="1513"/>
      <c r="DS65" s="1513"/>
      <c r="DT65" s="1513"/>
      <c r="DU65" s="1513"/>
      <c r="DV65" s="1513"/>
      <c r="DW65" s="1513"/>
      <c r="DX65" s="1513"/>
      <c r="DY65" s="1513"/>
      <c r="DZ65" s="1513"/>
      <c r="EA65" s="1513"/>
      <c r="EB65" s="1513"/>
      <c r="EC65" s="1513"/>
      <c r="ED65" s="1513"/>
      <c r="EE65" s="1513"/>
      <c r="EF65" s="1513"/>
      <c r="EG65" s="1513"/>
      <c r="EH65" s="1513"/>
      <c r="EI65" s="1513"/>
      <c r="EJ65" s="1513"/>
      <c r="EK65" s="1513"/>
      <c r="EL65" s="1513"/>
      <c r="EM65" s="1513"/>
      <c r="EN65" s="1513"/>
      <c r="EO65" s="1513"/>
      <c r="EP65" s="1513"/>
      <c r="EQ65" s="1513"/>
      <c r="ER65" s="1513"/>
      <c r="ES65" s="1513"/>
      <c r="ET65" s="1513"/>
      <c r="EU65" s="1513"/>
      <c r="EV65" s="1513"/>
      <c r="EW65" s="1513"/>
      <c r="EX65" s="1513"/>
      <c r="EY65" s="1513"/>
      <c r="EZ65" s="1513"/>
      <c r="FA65" s="1513"/>
      <c r="FB65" s="1513"/>
      <c r="FC65" s="1513"/>
      <c r="FD65" s="1513"/>
      <c r="FE65" s="1513"/>
      <c r="FF65" s="1513"/>
      <c r="FG65" s="1513"/>
      <c r="FH65" s="1513"/>
      <c r="FI65" s="1513"/>
      <c r="FJ65" s="1513"/>
      <c r="FL65" s="1513"/>
    </row>
    <row r="66" spans="1:168" ht="17.100000000000001" customHeight="1" x14ac:dyDescent="0.2">
      <c r="A66" s="1513"/>
      <c r="B66" s="5018"/>
      <c r="C66" s="5018"/>
      <c r="D66" s="5018"/>
      <c r="E66" s="5018"/>
      <c r="F66" s="5018"/>
      <c r="G66" s="5018"/>
      <c r="H66" s="5018"/>
      <c r="I66" s="5018"/>
      <c r="J66" s="5018"/>
      <c r="K66" s="5018"/>
      <c r="L66" s="5018"/>
      <c r="M66" s="5018"/>
      <c r="N66" s="5018"/>
      <c r="O66" s="5018"/>
      <c r="P66" s="5018"/>
      <c r="Q66" s="5018"/>
      <c r="R66" s="5018"/>
      <c r="S66" s="5018"/>
      <c r="T66" s="5018"/>
      <c r="U66" s="5019"/>
      <c r="V66" s="5019"/>
      <c r="W66" s="5019"/>
      <c r="X66" s="5019"/>
      <c r="Y66" s="5010" t="str" cm="1">
        <f t="array" ref="Y66">IF(AND(B66&lt;&gt;"",U66&lt;&gt;""),_xlfn.IFS(AND(U67&lt;&gt;"",U67&lt;$CC$42),U67,AND(U67&lt;&gt;"",U67&gt;=$CC$42),$CC$42,AND(U67="",U66&lt;$CC$42),$CC$42,TRUE,""),"")</f>
        <v/>
      </c>
      <c r="Z66" s="5010"/>
      <c r="AA66" s="5010"/>
      <c r="AB66" s="5010"/>
      <c r="AC66" s="5005">
        <f t="shared" si="36"/>
        <v>0</v>
      </c>
      <c r="AD66" s="5005"/>
      <c r="AE66" s="5005"/>
      <c r="AF66" s="5002">
        <f t="shared" si="37"/>
        <v>0</v>
      </c>
      <c r="AG66" s="5003"/>
      <c r="AH66" s="5004"/>
      <c r="AI66" s="4996" t="str" cm="1">
        <f t="array" aca="1" ref="AI66" ca="1">IFERROR(_xlfn.IFS(
AND(B66&lt;&gt;"",U66&lt;&gt;"",Y66&gt;$CC$42),$CF$44,
Y66=$CC$42,$CF$45,
AC66=$CC$46,$CF$46,
AC66=$CC$47,$CF$47,
AC66=$CC$48,$CF$48,
AC66=$CC$49,$CF$49,
AC66=$CC$50,$CF$50,
AC66=$CC$51,$CF$51,
AC66=$CC$52,$CF$52,
AC66=$CC$53,$CF$53,
AC66=$CC$54,$CF$54,
AC66=$CC$55,$CF$55,
TRUE,""),"")</f>
        <v/>
      </c>
      <c r="AJ66" s="4997"/>
      <c r="AK66" s="4997"/>
      <c r="AL66" s="4997"/>
      <c r="AM66" s="4998"/>
      <c r="AN66" s="1513"/>
      <c r="AO66" s="2959"/>
      <c r="AP66" s="2959"/>
      <c r="AQ66" s="2959"/>
      <c r="AR66" s="2959"/>
      <c r="AS66" s="2959"/>
      <c r="AT66" s="2959"/>
      <c r="AU66" s="2959"/>
      <c r="AV66" s="2959"/>
      <c r="AW66" s="2959"/>
      <c r="AX66" s="2959"/>
      <c r="AY66" s="2959"/>
      <c r="AZ66" s="2959"/>
      <c r="BA66" s="2959"/>
      <c r="BB66" s="2959"/>
      <c r="BC66" s="2959"/>
      <c r="BD66" s="2959"/>
      <c r="BE66" s="2959"/>
      <c r="BF66" s="2959"/>
      <c r="BG66" s="2961"/>
      <c r="BH66" s="2960"/>
      <c r="BI66" s="2960"/>
      <c r="BJ66" s="2960"/>
      <c r="BK66" s="2960"/>
      <c r="BL66" s="2960"/>
      <c r="BM66" s="2960"/>
      <c r="BN66" s="2960"/>
      <c r="BO66" s="2960"/>
      <c r="BP66" s="2960"/>
      <c r="BQ66" s="2960"/>
      <c r="BR66" s="2960"/>
      <c r="BS66" s="2960"/>
      <c r="BT66" s="2959"/>
      <c r="BU66" s="2959"/>
      <c r="BV66" s="2960"/>
      <c r="BW66" s="2960"/>
      <c r="BX66" s="2960"/>
      <c r="BY66" s="2960"/>
      <c r="BZ66" s="2959"/>
      <c r="CA66" s="1513"/>
      <c r="CC66" s="2"/>
      <c r="CD66" s="2"/>
      <c r="CE66" s="2"/>
      <c r="CF66" s="2"/>
      <c r="CK66" s="1513"/>
      <c r="CL66" s="1513"/>
      <c r="CM66" s="1513"/>
      <c r="CN66" s="1513"/>
      <c r="CO66" s="1513"/>
      <c r="CP66" s="1513"/>
      <c r="CQ66" s="1513"/>
      <c r="CR66" s="1513"/>
      <c r="CS66" s="1513"/>
      <c r="CT66" s="1513"/>
      <c r="CU66" s="1513"/>
      <c r="CV66" s="1513"/>
      <c r="CW66" s="1513"/>
      <c r="CX66" s="1513"/>
      <c r="CY66" s="1513"/>
      <c r="CZ66" s="1513"/>
      <c r="DA66" s="1513"/>
      <c r="DB66" s="1513"/>
      <c r="DC66" s="1513"/>
      <c r="DD66" s="1513"/>
      <c r="DE66" s="1513"/>
      <c r="DF66" s="1513"/>
      <c r="DG66" s="1513"/>
      <c r="DH66" s="1513"/>
      <c r="DI66" s="1513"/>
      <c r="DJ66" s="1513"/>
      <c r="DK66" s="1513"/>
      <c r="DL66" s="1513"/>
      <c r="DM66" s="1513"/>
      <c r="DN66" s="1513"/>
      <c r="DO66" s="1513"/>
      <c r="DP66" s="1513"/>
      <c r="DQ66" s="1513"/>
      <c r="DR66" s="1513"/>
      <c r="DS66" s="1513"/>
      <c r="DT66" s="1513"/>
      <c r="DU66" s="1513"/>
      <c r="DV66" s="1513"/>
      <c r="DW66" s="1513"/>
      <c r="DX66" s="1513"/>
      <c r="DY66" s="1513"/>
      <c r="DZ66" s="1513"/>
      <c r="EA66" s="1513"/>
      <c r="EB66" s="1513"/>
      <c r="EC66" s="1513"/>
      <c r="ED66" s="1513"/>
      <c r="EE66" s="1513"/>
      <c r="EF66" s="1513"/>
      <c r="EG66" s="1513"/>
      <c r="EH66" s="1513"/>
      <c r="EI66" s="1513"/>
      <c r="EJ66" s="1513"/>
      <c r="EK66" s="1513"/>
      <c r="EL66" s="1513"/>
      <c r="EM66" s="1513"/>
      <c r="EN66" s="1513"/>
      <c r="EO66" s="1513"/>
      <c r="EP66" s="1513"/>
      <c r="EQ66" s="1513"/>
      <c r="ER66" s="1513"/>
      <c r="ES66" s="1513"/>
      <c r="ET66" s="1513"/>
      <c r="EU66" s="1513"/>
      <c r="EV66" s="1513"/>
      <c r="EW66" s="1513"/>
      <c r="EX66" s="1513"/>
      <c r="EY66" s="1513"/>
      <c r="EZ66" s="1513"/>
      <c r="FA66" s="1513"/>
      <c r="FB66" s="1513"/>
      <c r="FC66" s="1513"/>
      <c r="FD66" s="1513"/>
      <c r="FE66" s="1513"/>
      <c r="FF66" s="1513"/>
      <c r="FG66" s="1513"/>
      <c r="FH66" s="1513"/>
      <c r="FI66" s="1513"/>
      <c r="FJ66" s="1513"/>
      <c r="FL66" s="1513"/>
    </row>
    <row r="67" spans="1:168" ht="17.100000000000001" customHeight="1" x14ac:dyDescent="0.2">
      <c r="A67" s="1513"/>
      <c r="B67" s="5018"/>
      <c r="C67" s="5018"/>
      <c r="D67" s="5018"/>
      <c r="E67" s="5018"/>
      <c r="F67" s="5018"/>
      <c r="G67" s="5018"/>
      <c r="H67" s="5018"/>
      <c r="I67" s="5018"/>
      <c r="J67" s="5018"/>
      <c r="K67" s="5018"/>
      <c r="L67" s="5018"/>
      <c r="M67" s="5018"/>
      <c r="N67" s="5018"/>
      <c r="O67" s="5018"/>
      <c r="P67" s="5018"/>
      <c r="Q67" s="5018"/>
      <c r="R67" s="5018"/>
      <c r="S67" s="5018"/>
      <c r="T67" s="5018"/>
      <c r="U67" s="5019"/>
      <c r="V67" s="5019"/>
      <c r="W67" s="5019"/>
      <c r="X67" s="5019"/>
      <c r="Y67" s="5010" t="str" cm="1">
        <f t="array" ref="Y67">IF(AND(B67&lt;&gt;"",U67&lt;&gt;""),_xlfn.IFS(AND(U68&lt;&gt;"",U68&lt;$CC$42),U68,AND(U68&lt;&gt;"",U68&gt;=$CC$42),$CC$42,AND(U68="",U67&lt;$CC$42),$CC$42,TRUE,""),"")</f>
        <v/>
      </c>
      <c r="Z67" s="5010"/>
      <c r="AA67" s="5010"/>
      <c r="AB67" s="5010"/>
      <c r="AC67" s="5005">
        <f t="shared" si="36"/>
        <v>0</v>
      </c>
      <c r="AD67" s="5005"/>
      <c r="AE67" s="5005"/>
      <c r="AF67" s="5002">
        <f t="shared" si="37"/>
        <v>0</v>
      </c>
      <c r="AG67" s="5003"/>
      <c r="AH67" s="5004"/>
      <c r="AI67" s="4996" t="str" cm="1">
        <f t="array" aca="1" ref="AI67" ca="1">IFERROR(_xlfn.IFS(
AND(B67&lt;&gt;"",U67&lt;&gt;"",Y67&gt;$CC$42),$CF$44,
Y67=$CC$42,$CF$45,
AC67=$CC$46,$CF$46,
AC67=$CC$47,$CF$47,
AC67=$CC$48,$CF$48,
AC67=$CC$49,$CF$49,
AC67=$CC$50,$CF$50,
AC67=$CC$51,$CF$51,
AC67=$CC$52,$CF$52,
AC67=$CC$53,$CF$53,
AC67=$CC$54,$CF$54,
AC67=$CC$55,$CF$55,
TRUE,""),"")</f>
        <v/>
      </c>
      <c r="AJ67" s="4997"/>
      <c r="AK67" s="4997"/>
      <c r="AL67" s="4997"/>
      <c r="AM67" s="4998"/>
      <c r="AN67" s="1513"/>
      <c r="AO67" s="2959"/>
      <c r="AP67" s="2959"/>
      <c r="AQ67" s="2959"/>
      <c r="AR67" s="2959"/>
      <c r="AS67" s="2959"/>
      <c r="AT67" s="2959"/>
      <c r="AU67" s="2959"/>
      <c r="AV67" s="2959"/>
      <c r="AW67" s="2959"/>
      <c r="AX67" s="2959"/>
      <c r="AY67" s="2959"/>
      <c r="AZ67" s="2959"/>
      <c r="BA67" s="2959"/>
      <c r="BB67" s="2959"/>
      <c r="BC67" s="2959"/>
      <c r="BD67" s="2959"/>
      <c r="BE67" s="2959"/>
      <c r="BF67" s="2959"/>
      <c r="BG67" s="2961"/>
      <c r="BH67" s="2960"/>
      <c r="BI67" s="2960"/>
      <c r="BJ67" s="2960"/>
      <c r="BK67" s="2960"/>
      <c r="BL67" s="2960"/>
      <c r="BM67" s="2960"/>
      <c r="BN67" s="2960"/>
      <c r="BO67" s="2960"/>
      <c r="BP67" s="2960"/>
      <c r="BQ67" s="2960"/>
      <c r="BR67" s="2960"/>
      <c r="BS67" s="2960"/>
      <c r="BT67" s="2959"/>
      <c r="BU67" s="2959"/>
      <c r="BV67" s="2960"/>
      <c r="BW67" s="2960"/>
      <c r="BX67" s="2960"/>
      <c r="BY67" s="2960"/>
      <c r="BZ67" s="2959"/>
      <c r="CA67" s="1513"/>
      <c r="CC67" s="2"/>
      <c r="CD67" s="2"/>
      <c r="CE67" s="2"/>
      <c r="CF67" s="2"/>
      <c r="CK67" s="1513"/>
      <c r="CL67" s="1513"/>
      <c r="CM67" s="1513"/>
      <c r="CN67" s="1513"/>
      <c r="CO67" s="1513"/>
      <c r="CP67" s="1513"/>
      <c r="CQ67" s="1513"/>
      <c r="CR67" s="1513"/>
      <c r="CS67" s="1513"/>
      <c r="CT67" s="1513"/>
      <c r="CU67" s="1513"/>
      <c r="CV67" s="1513"/>
      <c r="CW67" s="1513"/>
      <c r="CX67" s="1513"/>
      <c r="CY67" s="1513"/>
      <c r="CZ67" s="1513"/>
      <c r="DA67" s="1513"/>
      <c r="DB67" s="1513"/>
      <c r="DC67" s="1513"/>
      <c r="DD67" s="1513"/>
      <c r="DE67" s="1513"/>
      <c r="DF67" s="1513"/>
      <c r="DG67" s="1513"/>
      <c r="DH67" s="1513"/>
      <c r="DI67" s="1513"/>
      <c r="DJ67" s="1513"/>
      <c r="DK67" s="1513"/>
      <c r="DL67" s="1513"/>
      <c r="DM67" s="1513"/>
      <c r="DN67" s="1513"/>
      <c r="DO67" s="1513"/>
      <c r="DP67" s="1513"/>
      <c r="DQ67" s="1513"/>
      <c r="DR67" s="1513"/>
      <c r="DS67" s="1513"/>
      <c r="DT67" s="1513"/>
      <c r="DU67" s="1513"/>
      <c r="DV67" s="1513"/>
      <c r="DW67" s="1513"/>
      <c r="DX67" s="1513"/>
      <c r="DY67" s="1513"/>
      <c r="DZ67" s="1513"/>
      <c r="EA67" s="1513"/>
      <c r="EB67" s="1513"/>
      <c r="EC67" s="1513"/>
      <c r="ED67" s="1513"/>
      <c r="EE67" s="1513"/>
      <c r="EF67" s="1513"/>
      <c r="EG67" s="1513"/>
      <c r="EH67" s="1513"/>
      <c r="EI67" s="1513"/>
      <c r="EJ67" s="1513"/>
      <c r="EK67" s="1513"/>
      <c r="EL67" s="1513"/>
      <c r="EM67" s="1513"/>
      <c r="EN67" s="1513"/>
      <c r="EO67" s="1513"/>
      <c r="EP67" s="1513"/>
      <c r="EQ67" s="1513"/>
      <c r="ER67" s="1513"/>
      <c r="ES67" s="1513"/>
      <c r="ET67" s="1513"/>
      <c r="EU67" s="1513"/>
      <c r="EV67" s="1513"/>
      <c r="EW67" s="1513"/>
      <c r="EX67" s="1513"/>
      <c r="EY67" s="1513"/>
      <c r="EZ67" s="1513"/>
      <c r="FA67" s="1513"/>
      <c r="FB67" s="1513"/>
      <c r="FC67" s="1513"/>
      <c r="FD67" s="1513"/>
      <c r="FE67" s="1513"/>
      <c r="FF67" s="1513"/>
      <c r="FG67" s="1513"/>
      <c r="FH67" s="1513"/>
      <c r="FI67" s="1513"/>
      <c r="FJ67" s="1513"/>
      <c r="FL67" s="1513"/>
    </row>
    <row r="68" spans="1:168" ht="17.100000000000001" customHeight="1" x14ac:dyDescent="0.2">
      <c r="A68" s="1513"/>
      <c r="B68" s="5018"/>
      <c r="C68" s="5018"/>
      <c r="D68" s="5018"/>
      <c r="E68" s="5018"/>
      <c r="F68" s="5018"/>
      <c r="G68" s="5018"/>
      <c r="H68" s="5018"/>
      <c r="I68" s="5018"/>
      <c r="J68" s="5018"/>
      <c r="K68" s="5018"/>
      <c r="L68" s="5018"/>
      <c r="M68" s="5018"/>
      <c r="N68" s="5018"/>
      <c r="O68" s="5018"/>
      <c r="P68" s="5018"/>
      <c r="Q68" s="5018"/>
      <c r="R68" s="5018"/>
      <c r="S68" s="5018"/>
      <c r="T68" s="5018"/>
      <c r="U68" s="5019"/>
      <c r="V68" s="5019"/>
      <c r="W68" s="5019"/>
      <c r="X68" s="5019"/>
      <c r="Y68" s="5010" t="str" cm="1">
        <f t="array" ref="Y68">IF(AND(B68&lt;&gt;"",U68&lt;&gt;""),_xlfn.IFS(AND(U69&lt;&gt;"",U69&lt;$CC$42),U69,AND(U69&lt;&gt;"",U69&gt;=$CC$42),$CC$42,AND(U69="",U68&lt;$CC$42),$CC$42,TRUE,""),"")</f>
        <v/>
      </c>
      <c r="Z68" s="5010"/>
      <c r="AA68" s="5010"/>
      <c r="AB68" s="5010"/>
      <c r="AC68" s="5005">
        <f t="shared" si="36"/>
        <v>0</v>
      </c>
      <c r="AD68" s="5005"/>
      <c r="AE68" s="5005"/>
      <c r="AF68" s="5002">
        <f t="shared" si="37"/>
        <v>0</v>
      </c>
      <c r="AG68" s="5003"/>
      <c r="AH68" s="5004"/>
      <c r="AI68" s="4996" t="str" cm="1">
        <f t="array" aca="1" ref="AI68" ca="1">IFERROR(_xlfn.IFS(
AND(B68&lt;&gt;"",U68&lt;&gt;"",Y68&gt;$CC$42),$CF$44,
Y68=$CC$42,$CF$45,
AC68=$CC$46,$CF$46,
AC68=$CC$47,$CF$47,
AC68=$CC$48,$CF$48,
AC68=$CC$49,$CF$49,
AC68=$CC$50,$CF$50,
AC68=$CC$51,$CF$51,
AC68=$CC$52,$CF$52,
AC68=$CC$53,$CF$53,
AC68=$CC$54,$CF$54,
AC68=$CC$55,$CF$55,
TRUE,""),"")</f>
        <v/>
      </c>
      <c r="AJ68" s="4997"/>
      <c r="AK68" s="4997"/>
      <c r="AL68" s="4997"/>
      <c r="AM68" s="4998"/>
      <c r="AN68" s="1513"/>
      <c r="AO68" s="2959"/>
      <c r="AP68" s="2959"/>
      <c r="AQ68" s="2959"/>
      <c r="AR68" s="2959"/>
      <c r="AS68" s="2959"/>
      <c r="AT68" s="2959"/>
      <c r="AU68" s="2959"/>
      <c r="AV68" s="2959"/>
      <c r="AW68" s="2959"/>
      <c r="AX68" s="2959"/>
      <c r="AY68" s="2959"/>
      <c r="AZ68" s="2959"/>
      <c r="BA68" s="2959"/>
      <c r="BB68" s="2959"/>
      <c r="BC68" s="2959"/>
      <c r="BD68" s="2959"/>
      <c r="BE68" s="2959"/>
      <c r="BF68" s="2959"/>
      <c r="BG68" s="2961"/>
      <c r="BH68" s="2960"/>
      <c r="BI68" s="2960"/>
      <c r="BJ68" s="2960"/>
      <c r="BK68" s="2960"/>
      <c r="BL68" s="2960"/>
      <c r="BM68" s="2960"/>
      <c r="BN68" s="2960"/>
      <c r="BO68" s="2960"/>
      <c r="BP68" s="2960"/>
      <c r="BQ68" s="2960"/>
      <c r="BR68" s="2960"/>
      <c r="BS68" s="2960"/>
      <c r="BT68" s="2959"/>
      <c r="BU68" s="2963"/>
      <c r="BV68" s="2963"/>
      <c r="BW68" s="2963"/>
      <c r="BX68" s="2963"/>
      <c r="BY68" s="2959"/>
      <c r="BZ68" s="2959"/>
      <c r="CA68" s="1513"/>
      <c r="CC68" s="2"/>
      <c r="CD68" s="2"/>
      <c r="CE68" s="2"/>
      <c r="CF68" s="2"/>
      <c r="CK68" s="1513"/>
      <c r="CL68" s="1513"/>
      <c r="CM68" s="1513"/>
      <c r="CN68" s="1513"/>
      <c r="CO68" s="1513"/>
      <c r="CP68" s="1513"/>
      <c r="CQ68" s="1513"/>
      <c r="CR68" s="1513"/>
      <c r="CS68" s="1513"/>
      <c r="CT68" s="1513"/>
      <c r="CU68" s="1513"/>
      <c r="CV68" s="1513"/>
      <c r="CW68" s="1513"/>
      <c r="CX68" s="1513"/>
      <c r="CY68" s="1513"/>
      <c r="CZ68" s="1513"/>
      <c r="DA68" s="1513"/>
      <c r="DB68" s="1513"/>
      <c r="DC68" s="1513"/>
      <c r="DD68" s="1513"/>
      <c r="DE68" s="1513"/>
      <c r="DF68" s="1513"/>
      <c r="DG68" s="1513"/>
      <c r="DH68" s="1513"/>
      <c r="DI68" s="1513"/>
      <c r="DJ68" s="1513"/>
      <c r="DK68" s="1513"/>
      <c r="DL68" s="1513"/>
      <c r="DM68" s="1513"/>
      <c r="DN68" s="1513"/>
      <c r="DO68" s="1513"/>
      <c r="DP68" s="1513"/>
      <c r="DQ68" s="1513"/>
      <c r="DR68" s="1513"/>
      <c r="DS68" s="1513"/>
      <c r="DT68" s="1513"/>
      <c r="DU68" s="1513"/>
      <c r="DV68" s="1513"/>
      <c r="DW68" s="1513"/>
      <c r="DX68" s="1513"/>
      <c r="DY68" s="1513"/>
      <c r="DZ68" s="1513"/>
      <c r="EA68" s="1513"/>
      <c r="EB68" s="1513"/>
      <c r="EC68" s="1513"/>
      <c r="ED68" s="1513"/>
      <c r="EE68" s="1513"/>
      <c r="EF68" s="1513"/>
      <c r="EG68" s="1513"/>
      <c r="EH68" s="1513"/>
      <c r="EI68" s="1513"/>
      <c r="EJ68" s="1513"/>
      <c r="EK68" s="1513"/>
      <c r="EL68" s="1513"/>
      <c r="EM68" s="1513"/>
      <c r="EN68" s="1513"/>
      <c r="EO68" s="1513"/>
      <c r="EP68" s="1513"/>
      <c r="EQ68" s="1513"/>
      <c r="ER68" s="1513"/>
      <c r="ES68" s="1513"/>
      <c r="ET68" s="1513"/>
      <c r="EU68" s="1513"/>
      <c r="EV68" s="1513"/>
      <c r="EW68" s="1513"/>
      <c r="EX68" s="1513"/>
      <c r="EY68" s="1513"/>
      <c r="EZ68" s="1513"/>
      <c r="FA68" s="1513"/>
      <c r="FB68" s="1513"/>
      <c r="FC68" s="1513"/>
      <c r="FD68" s="1513"/>
      <c r="FE68" s="1513"/>
      <c r="FF68" s="1513"/>
      <c r="FG68" s="1513"/>
      <c r="FH68" s="1513"/>
      <c r="FI68" s="1513"/>
      <c r="FJ68" s="1513"/>
      <c r="FL68" s="1513"/>
    </row>
    <row r="69" spans="1:168" ht="17.100000000000001" customHeight="1" x14ac:dyDescent="0.2">
      <c r="A69" s="1513"/>
      <c r="B69" s="5018"/>
      <c r="C69" s="5018"/>
      <c r="D69" s="5018"/>
      <c r="E69" s="5018"/>
      <c r="F69" s="5018"/>
      <c r="G69" s="5018"/>
      <c r="H69" s="5018"/>
      <c r="I69" s="5018"/>
      <c r="J69" s="5018"/>
      <c r="K69" s="5018"/>
      <c r="L69" s="5018"/>
      <c r="M69" s="5018"/>
      <c r="N69" s="5018"/>
      <c r="O69" s="5018"/>
      <c r="P69" s="5018"/>
      <c r="Q69" s="5018"/>
      <c r="R69" s="5018"/>
      <c r="S69" s="5018"/>
      <c r="T69" s="5018"/>
      <c r="U69" s="5019"/>
      <c r="V69" s="5019"/>
      <c r="W69" s="5019"/>
      <c r="X69" s="5019"/>
      <c r="Y69" s="5010" t="str" cm="1">
        <f t="array" ref="Y69">IF(AND(B69&lt;&gt;"",U69&lt;&gt;""),_xlfn.IFS(AND(U70&lt;&gt;"",U70&lt;$CC$42),U70,AND(U70&lt;&gt;"",U70&gt;=$CC$42),$CC$42,AND(U70="",U69&lt;$CC$42),$CC$42,TRUE,""),"")</f>
        <v/>
      </c>
      <c r="Z69" s="5010"/>
      <c r="AA69" s="5010"/>
      <c r="AB69" s="5010"/>
      <c r="AC69" s="5005">
        <f t="shared" ref="AC69" si="39">IF(Y69&lt;&gt;"",_xlfn.DAYS(Y69,U69),0)</f>
        <v>0</v>
      </c>
      <c r="AD69" s="5005"/>
      <c r="AE69" s="5005"/>
      <c r="AF69" s="5002">
        <f t="shared" ref="AF69" si="40">AC69/365</f>
        <v>0</v>
      </c>
      <c r="AG69" s="5003"/>
      <c r="AH69" s="5004"/>
      <c r="AI69" s="4996" t="str" cm="1">
        <f t="array" aca="1" ref="AI69" ca="1">IFERROR(_xlfn.IFS(
AND(B69&lt;&gt;"",U69&lt;&gt;"",Y69&gt;$CC$42),$CF$44,
Y69=$CC$42,$CF$45,
AC69=$CC$46,$CF$46,
AC69=$CC$47,$CF$47,
AC69=$CC$48,$CF$48,
AC69=$CC$49,$CF$49,
AC69=$CC$50,$CF$50,
AC69=$CC$51,$CF$51,
AC69=$CC$52,$CF$52,
AC69=$CC$53,$CF$53,
AC69=$CC$54,$CF$54,
AC69=$CC$55,$CF$55,
TRUE,""),"")</f>
        <v/>
      </c>
      <c r="AJ69" s="4997"/>
      <c r="AK69" s="4997"/>
      <c r="AL69" s="4997"/>
      <c r="AM69" s="4998"/>
      <c r="AN69" s="1513"/>
      <c r="AO69" s="2959"/>
      <c r="AP69" s="2959"/>
      <c r="AQ69" s="2959"/>
      <c r="AR69" s="2959"/>
      <c r="AS69" s="2959"/>
      <c r="AT69" s="2959"/>
      <c r="AU69" s="2959"/>
      <c r="AV69" s="2959"/>
      <c r="AW69" s="2959"/>
      <c r="AX69" s="2959"/>
      <c r="AY69" s="2959"/>
      <c r="AZ69" s="2959"/>
      <c r="BA69" s="2959"/>
      <c r="BB69" s="2959"/>
      <c r="BC69" s="2959"/>
      <c r="BD69" s="2959"/>
      <c r="BE69" s="2959"/>
      <c r="BF69" s="2959"/>
      <c r="BG69" s="2961"/>
      <c r="BH69" s="2960"/>
      <c r="BI69" s="2960"/>
      <c r="BJ69" s="2960"/>
      <c r="BK69" s="2960"/>
      <c r="BL69" s="2960"/>
      <c r="BM69" s="2960"/>
      <c r="BN69" s="2960"/>
      <c r="BO69" s="2960"/>
      <c r="BP69" s="2960"/>
      <c r="BQ69" s="2960"/>
      <c r="BR69" s="2960"/>
      <c r="BS69" s="2960"/>
      <c r="BT69" s="2960"/>
      <c r="BU69" s="2960"/>
      <c r="BV69" s="2960"/>
      <c r="BW69" s="2960"/>
      <c r="BX69" s="2960"/>
      <c r="BY69" s="2960"/>
      <c r="BZ69" s="2962"/>
      <c r="CA69" s="1513"/>
      <c r="CC69" s="2"/>
      <c r="CD69" s="2"/>
      <c r="CE69" s="2"/>
      <c r="CF69" s="2"/>
      <c r="CK69" s="1513"/>
      <c r="CL69" s="1513"/>
      <c r="CM69" s="1513"/>
      <c r="CN69" s="1513"/>
      <c r="CO69" s="1513"/>
      <c r="CP69" s="1513"/>
      <c r="CQ69" s="1513"/>
      <c r="CR69" s="1513"/>
      <c r="CS69" s="1513"/>
      <c r="CT69" s="1513"/>
      <c r="CU69" s="1513"/>
      <c r="CV69" s="1513"/>
      <c r="CW69" s="1513"/>
      <c r="CX69" s="1513"/>
      <c r="CY69" s="1513"/>
      <c r="CZ69" s="1513"/>
      <c r="DA69" s="1513"/>
      <c r="DB69" s="1513"/>
      <c r="DC69" s="1513"/>
      <c r="DD69" s="1513"/>
      <c r="DE69" s="1513"/>
      <c r="DF69" s="1513"/>
      <c r="DG69" s="1513"/>
      <c r="DH69" s="1513"/>
      <c r="DI69" s="1513"/>
      <c r="DJ69" s="1513"/>
      <c r="DK69" s="1513"/>
      <c r="DL69" s="1513"/>
      <c r="DM69" s="1513"/>
      <c r="DN69" s="1513"/>
      <c r="DO69" s="1513"/>
      <c r="DP69" s="1513"/>
      <c r="DQ69" s="1513"/>
      <c r="DR69" s="1513"/>
      <c r="DS69" s="1513"/>
      <c r="DT69" s="1513"/>
      <c r="DU69" s="1513"/>
      <c r="DV69" s="1513"/>
      <c r="DW69" s="1513"/>
      <c r="DX69" s="1513"/>
      <c r="DY69" s="1513"/>
      <c r="DZ69" s="1513"/>
      <c r="EA69" s="1513"/>
      <c r="EB69" s="1513"/>
      <c r="EC69" s="1513"/>
      <c r="ED69" s="1513"/>
      <c r="EE69" s="1513"/>
      <c r="EF69" s="1513"/>
      <c r="EG69" s="1513"/>
      <c r="EH69" s="1513"/>
      <c r="EI69" s="1513"/>
      <c r="EJ69" s="1513"/>
      <c r="EK69" s="1513"/>
      <c r="EL69" s="1513"/>
      <c r="EM69" s="1513"/>
      <c r="EN69" s="1513"/>
      <c r="EO69" s="1513"/>
      <c r="EP69" s="1513"/>
      <c r="EQ69" s="1513"/>
      <c r="ER69" s="1513"/>
      <c r="ES69" s="1513"/>
      <c r="ET69" s="1513"/>
      <c r="EU69" s="1513"/>
      <c r="EV69" s="1513"/>
      <c r="EW69" s="1513"/>
      <c r="EX69" s="1513"/>
      <c r="EY69" s="1513"/>
      <c r="EZ69" s="1513"/>
      <c r="FA69" s="1513"/>
      <c r="FB69" s="1513"/>
      <c r="FC69" s="1513"/>
      <c r="FD69" s="1513"/>
      <c r="FE69" s="1513"/>
      <c r="FF69" s="1513"/>
      <c r="FG69" s="1513"/>
      <c r="FH69" s="1513"/>
      <c r="FI69" s="1513"/>
      <c r="FJ69" s="1513"/>
      <c r="FL69" s="1513"/>
    </row>
    <row r="70" spans="1:168" ht="17.100000000000001" customHeight="1" x14ac:dyDescent="0.2">
      <c r="A70" s="1513"/>
      <c r="B70" s="5018"/>
      <c r="C70" s="5018"/>
      <c r="D70" s="5018"/>
      <c r="E70" s="5018"/>
      <c r="F70" s="5018"/>
      <c r="G70" s="5018"/>
      <c r="H70" s="5018"/>
      <c r="I70" s="5018"/>
      <c r="J70" s="5018"/>
      <c r="K70" s="5018"/>
      <c r="L70" s="5018"/>
      <c r="M70" s="5018"/>
      <c r="N70" s="5018"/>
      <c r="O70" s="5018"/>
      <c r="P70" s="5018"/>
      <c r="Q70" s="5018"/>
      <c r="R70" s="5018"/>
      <c r="S70" s="5018"/>
      <c r="T70" s="5018"/>
      <c r="U70" s="5019"/>
      <c r="V70" s="5019"/>
      <c r="W70" s="5019"/>
      <c r="X70" s="5019"/>
      <c r="Y70" s="5010" t="str" cm="1">
        <f t="array" ref="Y70">IF(AND(B70&lt;&gt;"",U70&lt;&gt;""),_xlfn.IFS(AND(U71&lt;&gt;"",U71&lt;$CC$42),U71,AND(U71&lt;&gt;"",U71&gt;=$CC$42),$CC$42,AND(U71="",U70&lt;$CC$42),$CC$42,TRUE,""),"")</f>
        <v/>
      </c>
      <c r="Z70" s="5010"/>
      <c r="AA70" s="5010"/>
      <c r="AB70" s="5010"/>
      <c r="AC70" s="5005">
        <f t="shared" ref="AC70:AC74" si="41">IF(Y70&lt;&gt;"",_xlfn.DAYS(Y70,U70),0)</f>
        <v>0</v>
      </c>
      <c r="AD70" s="5005"/>
      <c r="AE70" s="5005"/>
      <c r="AF70" s="5002">
        <f t="shared" ref="AF70:AF74" si="42">AC70/365</f>
        <v>0</v>
      </c>
      <c r="AG70" s="5003"/>
      <c r="AH70" s="5004"/>
      <c r="AI70" s="4996" t="str" cm="1">
        <f t="array" aca="1" ref="AI70" ca="1">IFERROR(_xlfn.IFS(
AND(B70&lt;&gt;"",U70&lt;&gt;"",Y70&gt;$CC$42),$CF$44,
Y70=$CC$42,$CF$45,
AC70=$CC$46,$CF$46,
AC70=$CC$47,$CF$47,
AC70=$CC$48,$CF$48,
AC70=$CC$49,$CF$49,
AC70=$CC$50,$CF$50,
AC70=$CC$51,$CF$51,
AC70=$CC$52,$CF$52,
AC70=$CC$53,$CF$53,
AC70=$CC$54,$CF$54,
AC70=$CC$55,$CF$55,
TRUE,""),"")</f>
        <v/>
      </c>
      <c r="AJ70" s="4997"/>
      <c r="AK70" s="4997"/>
      <c r="AL70" s="4997"/>
      <c r="AM70" s="4998"/>
      <c r="AN70" s="1513"/>
      <c r="AO70" s="2959"/>
      <c r="AP70" s="2959"/>
      <c r="AQ70" s="2959"/>
      <c r="AR70" s="2959"/>
      <c r="AS70" s="2959"/>
      <c r="AT70" s="2959"/>
      <c r="AU70" s="2959"/>
      <c r="AV70" s="2959"/>
      <c r="AW70" s="2959"/>
      <c r="AX70" s="2959"/>
      <c r="AY70" s="2959"/>
      <c r="AZ70" s="2959"/>
      <c r="BA70" s="2959"/>
      <c r="BB70" s="2959"/>
      <c r="BC70" s="2959"/>
      <c r="BD70" s="2959"/>
      <c r="BE70" s="2959"/>
      <c r="BF70" s="2959"/>
      <c r="BG70" s="2961"/>
      <c r="BH70" s="2960"/>
      <c r="BI70" s="2960"/>
      <c r="BJ70" s="2960"/>
      <c r="BK70" s="2960"/>
      <c r="BL70" s="2960"/>
      <c r="BM70" s="2960"/>
      <c r="BN70" s="2960"/>
      <c r="BO70" s="2960"/>
      <c r="BP70" s="2960"/>
      <c r="BQ70" s="2960"/>
      <c r="BR70" s="2960"/>
      <c r="BS70" s="2960"/>
      <c r="BT70" s="2960"/>
      <c r="BU70" s="2960"/>
      <c r="BV70" s="2960"/>
      <c r="BW70" s="2960"/>
      <c r="BX70" s="2960"/>
      <c r="BY70" s="2960"/>
      <c r="BZ70" s="2962"/>
      <c r="CA70" s="1513"/>
      <c r="CC70" s="2"/>
      <c r="CD70" s="2"/>
      <c r="CE70" s="2"/>
      <c r="CF70" s="2"/>
      <c r="CK70" s="1513"/>
      <c r="CL70" s="1513"/>
      <c r="CM70" s="1513"/>
      <c r="CN70" s="1513"/>
      <c r="CO70" s="1513"/>
      <c r="CP70" s="1513"/>
      <c r="CQ70" s="1513"/>
      <c r="CR70" s="1513"/>
      <c r="CS70" s="1513"/>
      <c r="CT70" s="1513"/>
      <c r="CU70" s="1513"/>
      <c r="CV70" s="1513"/>
      <c r="CW70" s="1513"/>
      <c r="CX70" s="1513"/>
      <c r="CY70" s="1513"/>
      <c r="CZ70" s="1513"/>
      <c r="DA70" s="1513"/>
      <c r="DB70" s="1513"/>
      <c r="DC70" s="1513"/>
      <c r="DD70" s="1513"/>
      <c r="DE70" s="1513"/>
      <c r="DF70" s="1513"/>
      <c r="DG70" s="1513"/>
      <c r="DH70" s="1513"/>
      <c r="DI70" s="1513"/>
      <c r="DJ70" s="1513"/>
      <c r="DK70" s="1513"/>
      <c r="DL70" s="1513"/>
      <c r="DM70" s="1513"/>
      <c r="DN70" s="1513"/>
      <c r="DO70" s="1513"/>
      <c r="DP70" s="1513"/>
      <c r="DQ70" s="1513"/>
      <c r="DR70" s="1513"/>
      <c r="DS70" s="1513"/>
      <c r="DT70" s="1513"/>
      <c r="DU70" s="1513"/>
      <c r="DV70" s="1513"/>
      <c r="DW70" s="1513"/>
      <c r="DX70" s="1513"/>
      <c r="DY70" s="1513"/>
      <c r="DZ70" s="1513"/>
      <c r="EA70" s="1513"/>
      <c r="EB70" s="1513"/>
      <c r="EC70" s="1513"/>
      <c r="ED70" s="1513"/>
      <c r="EE70" s="1513"/>
      <c r="EF70" s="1513"/>
      <c r="EG70" s="1513"/>
      <c r="EH70" s="1513"/>
      <c r="EI70" s="1513"/>
      <c r="EJ70" s="1513"/>
      <c r="EK70" s="1513"/>
      <c r="EL70" s="1513"/>
      <c r="EM70" s="1513"/>
      <c r="EN70" s="1513"/>
      <c r="EO70" s="1513"/>
      <c r="EP70" s="1513"/>
      <c r="EQ70" s="1513"/>
      <c r="ER70" s="1513"/>
      <c r="ES70" s="1513"/>
      <c r="ET70" s="1513"/>
      <c r="EU70" s="1513"/>
      <c r="EV70" s="1513"/>
      <c r="EW70" s="1513"/>
      <c r="EX70" s="1513"/>
      <c r="EY70" s="1513"/>
      <c r="EZ70" s="1513"/>
      <c r="FA70" s="1513"/>
      <c r="FB70" s="1513"/>
      <c r="FC70" s="1513"/>
      <c r="FD70" s="1513"/>
      <c r="FE70" s="1513"/>
      <c r="FF70" s="1513"/>
      <c r="FG70" s="1513"/>
      <c r="FH70" s="1513"/>
      <c r="FI70" s="1513"/>
      <c r="FJ70" s="1513"/>
      <c r="FL70" s="1513"/>
    </row>
    <row r="71" spans="1:168" ht="17.100000000000001" customHeight="1" x14ac:dyDescent="0.2">
      <c r="A71" s="1513"/>
      <c r="B71" s="5018"/>
      <c r="C71" s="5018"/>
      <c r="D71" s="5018"/>
      <c r="E71" s="5018"/>
      <c r="F71" s="5018"/>
      <c r="G71" s="5018"/>
      <c r="H71" s="5018"/>
      <c r="I71" s="5018"/>
      <c r="J71" s="5018"/>
      <c r="K71" s="5018"/>
      <c r="L71" s="5018"/>
      <c r="M71" s="5018"/>
      <c r="N71" s="5018"/>
      <c r="O71" s="5018"/>
      <c r="P71" s="5018"/>
      <c r="Q71" s="5018"/>
      <c r="R71" s="5018"/>
      <c r="S71" s="5018"/>
      <c r="T71" s="5018"/>
      <c r="U71" s="5019"/>
      <c r="V71" s="5019"/>
      <c r="W71" s="5019"/>
      <c r="X71" s="5019"/>
      <c r="Y71" s="5010" t="str" cm="1">
        <f t="array" ref="Y71">IF(AND(B71&lt;&gt;"",U71&lt;&gt;""),_xlfn.IFS(AND(U72&lt;&gt;"",U72&lt;$CC$42),U72,AND(U72&lt;&gt;"",U72&gt;=$CC$42),$CC$42,AND(U72="",U71&lt;$CC$42),$CC$42,TRUE,""),"")</f>
        <v/>
      </c>
      <c r="Z71" s="5010"/>
      <c r="AA71" s="5010"/>
      <c r="AB71" s="5010"/>
      <c r="AC71" s="5005">
        <f t="shared" si="41"/>
        <v>0</v>
      </c>
      <c r="AD71" s="5005"/>
      <c r="AE71" s="5005"/>
      <c r="AF71" s="5002">
        <f t="shared" si="42"/>
        <v>0</v>
      </c>
      <c r="AG71" s="5003"/>
      <c r="AH71" s="5004"/>
      <c r="AI71" s="4996" t="str" cm="1">
        <f t="array" aca="1" ref="AI71" ca="1">IFERROR(_xlfn.IFS(
AND(B71&lt;&gt;"",U71&lt;&gt;"",Y71&gt;$CC$42),$CF$44,
Y71=$CC$42,$CF$45,
AC71=$CC$46,$CF$46,
AC71=$CC$47,$CF$47,
AC71=$CC$48,$CF$48,
AC71=$CC$49,$CF$49,
AC71=$CC$50,$CF$50,
AC71=$CC$51,$CF$51,
AC71=$CC$52,$CF$52,
AC71=$CC$53,$CF$53,
AC71=$CC$54,$CF$54,
AC71=$CC$55,$CF$55,
TRUE,""),"")</f>
        <v/>
      </c>
      <c r="AJ71" s="4997"/>
      <c r="AK71" s="4997"/>
      <c r="AL71" s="4997"/>
      <c r="AM71" s="4998"/>
      <c r="AN71" s="1513"/>
      <c r="AO71" s="5"/>
      <c r="AP71" s="5"/>
      <c r="AQ71" s="5"/>
      <c r="AR71" s="5"/>
      <c r="AS71" s="5"/>
      <c r="AT71" s="5"/>
      <c r="AU71" s="5"/>
      <c r="AV71" s="5"/>
      <c r="AW71" s="5"/>
      <c r="AX71" s="5"/>
      <c r="AY71" s="5"/>
      <c r="AZ71" s="5"/>
      <c r="BA71" s="5"/>
      <c r="BB71" s="5"/>
      <c r="BC71" s="5"/>
      <c r="BD71" s="5"/>
      <c r="BE71" s="5"/>
      <c r="BF71" s="5"/>
      <c r="BG71" s="1516"/>
      <c r="BH71" s="1518"/>
      <c r="BI71" s="1518"/>
      <c r="BJ71" s="1518"/>
      <c r="BK71" s="1518"/>
      <c r="BL71" s="1518"/>
      <c r="BM71" s="1518"/>
      <c r="BN71" s="1518"/>
      <c r="BO71" s="1518"/>
      <c r="BP71" s="1518"/>
      <c r="BQ71" s="1518"/>
      <c r="BR71" s="1518"/>
      <c r="BS71" s="1518"/>
      <c r="BT71" s="1518"/>
      <c r="BU71" s="1518"/>
      <c r="BV71" s="5049" t="s">
        <v>1075</v>
      </c>
      <c r="BW71" s="5050"/>
      <c r="BX71" s="5051"/>
      <c r="BY71" s="1460" t="s">
        <v>1074</v>
      </c>
      <c r="BZ71" s="1517"/>
      <c r="CA71" s="1513"/>
      <c r="CC71" s="2"/>
      <c r="CD71" s="2"/>
      <c r="CE71" s="2"/>
      <c r="CF71" s="2"/>
      <c r="CK71" s="1513"/>
      <c r="CL71" s="1513"/>
      <c r="CM71" s="1513"/>
      <c r="CN71" s="1513"/>
      <c r="CO71" s="1513"/>
      <c r="CP71" s="1513"/>
      <c r="CQ71" s="1513"/>
      <c r="CR71" s="1513"/>
      <c r="CS71" s="1513"/>
      <c r="CT71" s="1513"/>
      <c r="CU71" s="1513"/>
      <c r="CV71" s="1513"/>
      <c r="CW71" s="1513"/>
      <c r="CX71" s="1513"/>
      <c r="CY71" s="1513"/>
      <c r="CZ71" s="1513"/>
      <c r="DA71" s="1513"/>
      <c r="DB71" s="1513"/>
      <c r="DC71" s="1513"/>
      <c r="DD71" s="1513"/>
      <c r="DE71" s="1513"/>
      <c r="DF71" s="1513"/>
      <c r="DG71" s="1513"/>
      <c r="DH71" s="1513"/>
      <c r="DI71" s="1513"/>
      <c r="DJ71" s="1513"/>
      <c r="DK71" s="1513"/>
      <c r="DL71" s="1513"/>
      <c r="DM71" s="1513"/>
      <c r="DN71" s="1513"/>
      <c r="DO71" s="1513"/>
      <c r="DP71" s="1513"/>
      <c r="DQ71" s="1513"/>
      <c r="DR71" s="1513"/>
      <c r="DS71" s="1513"/>
      <c r="DT71" s="1513"/>
      <c r="DU71" s="1513"/>
      <c r="DV71" s="1513"/>
      <c r="DW71" s="1513"/>
      <c r="DX71" s="1513"/>
      <c r="DY71" s="1513"/>
      <c r="DZ71" s="1513"/>
      <c r="EA71" s="1513"/>
      <c r="EB71" s="1513"/>
      <c r="EC71" s="1513"/>
      <c r="ED71" s="1513"/>
      <c r="EE71" s="1513"/>
      <c r="EF71" s="1513"/>
      <c r="EG71" s="1513"/>
      <c r="EH71" s="1513"/>
      <c r="EI71" s="1513"/>
      <c r="EJ71" s="1513"/>
      <c r="EK71" s="1513"/>
      <c r="EL71" s="1513"/>
      <c r="EM71" s="1513"/>
      <c r="EN71" s="1513"/>
      <c r="EO71" s="1513"/>
      <c r="EP71" s="1513"/>
      <c r="EQ71" s="1513"/>
      <c r="ER71" s="1513"/>
      <c r="ES71" s="1513"/>
      <c r="ET71" s="1513"/>
      <c r="EU71" s="1513"/>
      <c r="EV71" s="1513"/>
      <c r="EW71" s="1513"/>
      <c r="EX71" s="1513"/>
      <c r="EY71" s="1513"/>
      <c r="EZ71" s="1513"/>
      <c r="FA71" s="1513"/>
      <c r="FB71" s="1513"/>
      <c r="FC71" s="1513"/>
      <c r="FD71" s="1513"/>
      <c r="FE71" s="1513"/>
      <c r="FF71" s="1513"/>
      <c r="FG71" s="1513"/>
      <c r="FH71" s="1513"/>
      <c r="FI71" s="1513"/>
      <c r="FJ71" s="1513"/>
      <c r="FL71" s="1513"/>
    </row>
    <row r="72" spans="1:168" ht="17.100000000000001" customHeight="1" x14ac:dyDescent="0.2">
      <c r="A72" s="1513"/>
      <c r="B72" s="5018"/>
      <c r="C72" s="5018"/>
      <c r="D72" s="5018"/>
      <c r="E72" s="5018"/>
      <c r="F72" s="5018"/>
      <c r="G72" s="5018"/>
      <c r="H72" s="5018"/>
      <c r="I72" s="5018"/>
      <c r="J72" s="5018"/>
      <c r="K72" s="5018"/>
      <c r="L72" s="5018"/>
      <c r="M72" s="5018"/>
      <c r="N72" s="5018"/>
      <c r="O72" s="5018"/>
      <c r="P72" s="5018"/>
      <c r="Q72" s="5018"/>
      <c r="R72" s="5018"/>
      <c r="S72" s="5018"/>
      <c r="T72" s="5018"/>
      <c r="U72" s="5019"/>
      <c r="V72" s="5019"/>
      <c r="W72" s="5019"/>
      <c r="X72" s="5019"/>
      <c r="Y72" s="5010" t="str" cm="1">
        <f t="array" ref="Y72">IF(AND(B72&lt;&gt;"",U72&lt;&gt;""),_xlfn.IFS(AND(U73&lt;&gt;"",U73&lt;$CC$42),U73,AND(U73&lt;&gt;"",U73&gt;=$CC$42),$CC$42,AND(U73="",U72&lt;$CC$42),$CC$42,TRUE,""),"")</f>
        <v/>
      </c>
      <c r="Z72" s="5010"/>
      <c r="AA72" s="5010"/>
      <c r="AB72" s="5010"/>
      <c r="AC72" s="5005">
        <f t="shared" si="41"/>
        <v>0</v>
      </c>
      <c r="AD72" s="5005"/>
      <c r="AE72" s="5005"/>
      <c r="AF72" s="5002">
        <f t="shared" si="42"/>
        <v>0</v>
      </c>
      <c r="AG72" s="5003"/>
      <c r="AH72" s="5004"/>
      <c r="AI72" s="4996" t="str" cm="1">
        <f t="array" aca="1" ref="AI72" ca="1">IFERROR(_xlfn.IFS(
AND(B72&lt;&gt;"",U72&lt;&gt;"",Y72&gt;$CC$42),$CF$44,
Y72=$CC$42,$CF$45,
AC72=$CC$46,$CF$46,
AC72=$CC$47,$CF$47,
AC72=$CC$48,$CF$48,
AC72=$CC$49,$CF$49,
AC72=$CC$50,$CF$50,
AC72=$CC$51,$CF$51,
AC72=$CC$52,$CF$52,
AC72=$CC$53,$CF$53,
AC72=$CC$54,$CF$54,
AC72=$CC$55,$CF$55,
TRUE,""),"")</f>
        <v/>
      </c>
      <c r="AJ72" s="4997"/>
      <c r="AK72" s="4997"/>
      <c r="AL72" s="4997"/>
      <c r="AM72" s="4998"/>
      <c r="AN72" s="1513"/>
      <c r="AO72" s="5"/>
      <c r="AP72" s="5"/>
      <c r="AQ72" s="5"/>
      <c r="AR72" s="5"/>
      <c r="AS72" s="5"/>
      <c r="AT72" s="5"/>
      <c r="AU72" s="5"/>
      <c r="AV72" s="5"/>
      <c r="AW72" s="5"/>
      <c r="AX72" s="5"/>
      <c r="AY72" s="5"/>
      <c r="AZ72" s="5"/>
      <c r="BA72" s="5"/>
      <c r="BB72" s="5"/>
      <c r="BC72" s="5"/>
      <c r="BD72" s="5"/>
      <c r="BE72" s="5"/>
      <c r="BF72" s="5"/>
      <c r="BG72" s="1516"/>
      <c r="BH72" s="1518"/>
      <c r="BI72" s="1518"/>
      <c r="BJ72" s="1518"/>
      <c r="BK72" s="1518"/>
      <c r="BL72" s="1518"/>
      <c r="BM72" s="1518"/>
      <c r="BN72" s="1518"/>
      <c r="BO72" s="1518"/>
      <c r="BP72" s="1518"/>
      <c r="BQ72" s="1518"/>
      <c r="BR72" s="1518"/>
      <c r="BS72" s="1518"/>
      <c r="BT72" s="1518"/>
      <c r="BU72" s="1518"/>
      <c r="BV72" s="5"/>
      <c r="BW72" s="5"/>
      <c r="BX72" s="5"/>
      <c r="BY72" s="5"/>
      <c r="BZ72" s="1517"/>
      <c r="CA72" s="1513"/>
      <c r="CC72" s="2"/>
      <c r="CD72" s="2"/>
      <c r="CE72" s="2"/>
      <c r="CF72" s="2"/>
      <c r="CK72" s="1513"/>
      <c r="CL72" s="1513"/>
      <c r="CM72" s="1513"/>
      <c r="CN72" s="1513"/>
      <c r="CO72" s="1513"/>
      <c r="CP72" s="1513"/>
      <c r="CQ72" s="1513"/>
      <c r="CR72" s="1513"/>
      <c r="CS72" s="1513"/>
      <c r="CT72" s="1513"/>
      <c r="CU72" s="1513"/>
      <c r="CV72" s="1513"/>
      <c r="CW72" s="1513"/>
      <c r="CX72" s="1513"/>
      <c r="CY72" s="1513"/>
      <c r="CZ72" s="1513"/>
      <c r="DA72" s="1513"/>
      <c r="DB72" s="1513"/>
      <c r="DC72" s="1513"/>
      <c r="DD72" s="1513"/>
      <c r="DE72" s="1513"/>
      <c r="DF72" s="1513"/>
      <c r="DG72" s="1513"/>
      <c r="DH72" s="1513"/>
      <c r="DI72" s="1513"/>
      <c r="DJ72" s="1513"/>
      <c r="DK72" s="1513"/>
      <c r="DL72" s="1513"/>
      <c r="DM72" s="1513"/>
      <c r="DN72" s="1513"/>
      <c r="DO72" s="1513"/>
      <c r="DP72" s="1513"/>
      <c r="DQ72" s="1513"/>
      <c r="DR72" s="1513"/>
      <c r="DS72" s="1513"/>
      <c r="DT72" s="1513"/>
      <c r="DU72" s="1513"/>
      <c r="DV72" s="1513"/>
      <c r="DW72" s="1513"/>
      <c r="DX72" s="1513"/>
      <c r="DY72" s="1513"/>
      <c r="DZ72" s="1513"/>
      <c r="EA72" s="1513"/>
      <c r="EB72" s="1513"/>
      <c r="EC72" s="1513"/>
      <c r="ED72" s="1513"/>
      <c r="EE72" s="1513"/>
      <c r="EF72" s="1513"/>
      <c r="EG72" s="1513"/>
      <c r="EH72" s="1513"/>
      <c r="EI72" s="1513"/>
      <c r="EJ72" s="1513"/>
      <c r="EK72" s="1513"/>
      <c r="EL72" s="1513"/>
      <c r="EM72" s="1513"/>
      <c r="EN72" s="1513"/>
      <c r="EO72" s="1513"/>
      <c r="EP72" s="1513"/>
      <c r="EQ72" s="1513"/>
      <c r="ER72" s="1513"/>
      <c r="ES72" s="1513"/>
      <c r="ET72" s="1513"/>
      <c r="EU72" s="1513"/>
      <c r="EV72" s="1513"/>
      <c r="EW72" s="1513"/>
      <c r="EX72" s="1513"/>
      <c r="EY72" s="1513"/>
      <c r="EZ72" s="1513"/>
      <c r="FA72" s="1513"/>
      <c r="FB72" s="1513"/>
      <c r="FC72" s="1513"/>
      <c r="FD72" s="1513"/>
      <c r="FE72" s="1513"/>
      <c r="FF72" s="1513"/>
      <c r="FG72" s="1513"/>
      <c r="FH72" s="1513"/>
      <c r="FI72" s="1513"/>
      <c r="FJ72" s="1513"/>
      <c r="FL72" s="1513"/>
    </row>
    <row r="73" spans="1:168" ht="17.100000000000001" customHeight="1" x14ac:dyDescent="0.2">
      <c r="A73" s="1513"/>
      <c r="B73" s="5018"/>
      <c r="C73" s="5018"/>
      <c r="D73" s="5018"/>
      <c r="E73" s="5018"/>
      <c r="F73" s="5018"/>
      <c r="G73" s="5018"/>
      <c r="H73" s="5018"/>
      <c r="I73" s="5018"/>
      <c r="J73" s="5018"/>
      <c r="K73" s="5018"/>
      <c r="L73" s="5018"/>
      <c r="M73" s="5018"/>
      <c r="N73" s="5018"/>
      <c r="O73" s="5018"/>
      <c r="P73" s="5018"/>
      <c r="Q73" s="5018"/>
      <c r="R73" s="5018"/>
      <c r="S73" s="5018"/>
      <c r="T73" s="5018"/>
      <c r="U73" s="5019"/>
      <c r="V73" s="5019"/>
      <c r="W73" s="5019"/>
      <c r="X73" s="5019"/>
      <c r="Y73" s="5010" t="str" cm="1">
        <f t="array" ref="Y73">IF(AND(B73&lt;&gt;"",U73&lt;&gt;""),_xlfn.IFS(AND(U74&lt;&gt;"",U74&lt;$CC$42),U74,AND(U74&lt;&gt;"",U74&gt;=$CC$42),$CC$42,AND(U74="",U73&lt;$CC$42),$CC$42,TRUE,""),"")</f>
        <v/>
      </c>
      <c r="Z73" s="5010"/>
      <c r="AA73" s="5010"/>
      <c r="AB73" s="5010"/>
      <c r="AC73" s="5005">
        <f t="shared" si="41"/>
        <v>0</v>
      </c>
      <c r="AD73" s="5005"/>
      <c r="AE73" s="5005"/>
      <c r="AF73" s="5002">
        <f t="shared" si="42"/>
        <v>0</v>
      </c>
      <c r="AG73" s="5003"/>
      <c r="AH73" s="5004"/>
      <c r="AI73" s="4996" t="str" cm="1">
        <f t="array" aca="1" ref="AI73" ca="1">IFERROR(_xlfn.IFS(
AND(B73&lt;&gt;"",U73&lt;&gt;"",Y73&gt;$CC$42),$CF$44,
Y73=$CC$42,$CF$45,
AC73=$CC$46,$CF$46,
AC73=$CC$47,$CF$47,
AC73=$CC$48,$CF$48,
AC73=$CC$49,$CF$49,
AC73=$CC$50,$CF$50,
AC73=$CC$51,$CF$51,
AC73=$CC$52,$CF$52,
AC73=$CC$53,$CF$53,
AC73=$CC$54,$CF$54,
AC73=$CC$55,$CF$55,
TRUE,""),"")</f>
        <v/>
      </c>
      <c r="AJ73" s="4997"/>
      <c r="AK73" s="4997"/>
      <c r="AL73" s="4997"/>
      <c r="AM73" s="4998"/>
      <c r="AN73" s="1513"/>
      <c r="AO73" s="5"/>
      <c r="AP73" s="5"/>
      <c r="AQ73" s="5"/>
      <c r="AR73" s="5"/>
      <c r="AS73" s="5"/>
      <c r="AT73" s="5"/>
      <c r="AU73" s="5"/>
      <c r="AV73" s="5"/>
      <c r="AW73" s="5"/>
      <c r="AX73" s="5"/>
      <c r="AY73" s="5"/>
      <c r="AZ73" s="5"/>
      <c r="BA73" s="5"/>
      <c r="BB73" s="5"/>
      <c r="BC73" s="5"/>
      <c r="BD73" s="5"/>
      <c r="BE73" s="5"/>
      <c r="BF73" s="5"/>
      <c r="BG73" s="1516"/>
      <c r="BH73" s="1518"/>
      <c r="BI73" s="1518"/>
      <c r="BJ73" s="1518"/>
      <c r="BK73" s="1518"/>
      <c r="BL73" s="1518"/>
      <c r="BM73" s="1518"/>
      <c r="BN73" s="1518"/>
      <c r="BO73" s="1518"/>
      <c r="BP73" s="1518"/>
      <c r="BQ73" s="1518"/>
      <c r="BR73" s="1518"/>
      <c r="BS73" s="1518"/>
      <c r="BT73" s="1518"/>
      <c r="BU73" s="1518"/>
      <c r="BV73" s="5"/>
      <c r="BW73" s="5"/>
      <c r="BX73" s="5"/>
      <c r="BY73" s="5"/>
      <c r="BZ73" s="1517"/>
      <c r="CA73" s="1513"/>
      <c r="CC73" s="2"/>
      <c r="CD73" s="2"/>
      <c r="CE73" s="2"/>
      <c r="CF73" s="2"/>
      <c r="CK73" s="1513"/>
      <c r="CL73" s="1513"/>
      <c r="CM73" s="1513"/>
      <c r="CN73" s="1513"/>
      <c r="CO73" s="1513"/>
      <c r="CP73" s="1513"/>
      <c r="CQ73" s="1513"/>
      <c r="CR73" s="1513"/>
      <c r="CS73" s="1513"/>
      <c r="CT73" s="1513"/>
      <c r="CU73" s="1513"/>
      <c r="CV73" s="1513"/>
      <c r="CW73" s="1513"/>
      <c r="CX73" s="1513"/>
      <c r="CY73" s="1513"/>
      <c r="CZ73" s="1513"/>
      <c r="DA73" s="1513"/>
      <c r="DB73" s="1513"/>
      <c r="DC73" s="1513"/>
      <c r="DD73" s="1513"/>
      <c r="DE73" s="1513"/>
      <c r="DF73" s="1513"/>
      <c r="DG73" s="1513"/>
      <c r="DH73" s="1513"/>
      <c r="DI73" s="1513"/>
      <c r="DJ73" s="1513"/>
      <c r="DK73" s="1513"/>
      <c r="DL73" s="1513"/>
      <c r="DM73" s="1513"/>
      <c r="DN73" s="1513"/>
      <c r="DO73" s="1513"/>
      <c r="DP73" s="1513"/>
      <c r="DQ73" s="1513"/>
      <c r="DR73" s="1513"/>
      <c r="DS73" s="1513"/>
      <c r="DT73" s="1513"/>
      <c r="DU73" s="1513"/>
      <c r="DV73" s="1513"/>
      <c r="DW73" s="1513"/>
      <c r="DX73" s="1513"/>
      <c r="DY73" s="1513"/>
      <c r="DZ73" s="1513"/>
      <c r="EA73" s="1513"/>
      <c r="EB73" s="1513"/>
      <c r="EC73" s="1513"/>
      <c r="ED73" s="1513"/>
      <c r="EE73" s="1513"/>
      <c r="EF73" s="1513"/>
      <c r="EG73" s="1513"/>
      <c r="EH73" s="1513"/>
      <c r="EI73" s="1513"/>
      <c r="EJ73" s="1513"/>
      <c r="EK73" s="1513"/>
      <c r="EL73" s="1513"/>
      <c r="EM73" s="1513"/>
      <c r="EN73" s="1513"/>
      <c r="EO73" s="1513"/>
      <c r="EP73" s="1513"/>
      <c r="EQ73" s="1513"/>
      <c r="ER73" s="1513"/>
      <c r="ES73" s="1513"/>
      <c r="ET73" s="1513"/>
      <c r="EU73" s="1513"/>
      <c r="EV73" s="1513"/>
      <c r="EW73" s="1513"/>
      <c r="EX73" s="1513"/>
      <c r="EY73" s="1513"/>
      <c r="EZ73" s="1513"/>
      <c r="FA73" s="1513"/>
      <c r="FB73" s="1513"/>
      <c r="FC73" s="1513"/>
      <c r="FD73" s="1513"/>
      <c r="FE73" s="1513"/>
      <c r="FF73" s="1513"/>
      <c r="FG73" s="1513"/>
      <c r="FH73" s="1513"/>
      <c r="FI73" s="1513"/>
      <c r="FJ73" s="1513"/>
      <c r="FL73" s="1513"/>
    </row>
    <row r="74" spans="1:168" ht="17.100000000000001" customHeight="1" x14ac:dyDescent="0.2">
      <c r="A74" s="1513"/>
      <c r="B74" s="5018"/>
      <c r="C74" s="5018"/>
      <c r="D74" s="5018"/>
      <c r="E74" s="5018"/>
      <c r="F74" s="5018"/>
      <c r="G74" s="5018"/>
      <c r="H74" s="5018"/>
      <c r="I74" s="5018"/>
      <c r="J74" s="5018"/>
      <c r="K74" s="5018"/>
      <c r="L74" s="5018"/>
      <c r="M74" s="5018"/>
      <c r="N74" s="5018"/>
      <c r="O74" s="5018"/>
      <c r="P74" s="5018"/>
      <c r="Q74" s="5018"/>
      <c r="R74" s="5018"/>
      <c r="S74" s="5018"/>
      <c r="T74" s="5018"/>
      <c r="U74" s="5019"/>
      <c r="V74" s="5019"/>
      <c r="W74" s="5019"/>
      <c r="X74" s="5019"/>
      <c r="Y74" s="5010" t="str" cm="1">
        <f t="array" ref="Y74">IF(AND(B74&lt;&gt;"",U74&lt;&gt;""),_xlfn.IFS(AND(U75&lt;&gt;"",U75&lt;$CC$42),U75,AND(U75&lt;&gt;"",U75&gt;=$CC$42),$CC$42,AND(U75="",U74&lt;$CC$42),$CC$42,TRUE,""),"")</f>
        <v/>
      </c>
      <c r="Z74" s="5010"/>
      <c r="AA74" s="5010"/>
      <c r="AB74" s="5010"/>
      <c r="AC74" s="5005">
        <f t="shared" si="41"/>
        <v>0</v>
      </c>
      <c r="AD74" s="5005"/>
      <c r="AE74" s="5005"/>
      <c r="AF74" s="5002">
        <f t="shared" si="42"/>
        <v>0</v>
      </c>
      <c r="AG74" s="5003"/>
      <c r="AH74" s="5004"/>
      <c r="AI74" s="4996" t="str" cm="1">
        <f t="array" aca="1" ref="AI74" ca="1">IFERROR(_xlfn.IFS(
AND(B74&lt;&gt;"",U74&lt;&gt;"",Y74&gt;$CC$42),$CF$44,
Y74=$CC$42,$CF$45,
AC74=$CC$46,$CF$46,
AC74=$CC$47,$CF$47,
AC74=$CC$48,$CF$48,
AC74=$CC$49,$CF$49,
AC74=$CC$50,$CF$50,
AC74=$CC$51,$CF$51,
AC74=$CC$52,$CF$52,
AC74=$CC$53,$CF$53,
AC74=$CC$54,$CF$54,
AC74=$CC$55,$CF$55,
TRUE,""),"")</f>
        <v/>
      </c>
      <c r="AJ74" s="4997"/>
      <c r="AK74" s="4997"/>
      <c r="AL74" s="4997"/>
      <c r="AM74" s="4998"/>
      <c r="AN74" s="1513"/>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1513"/>
      <c r="CC74" s="2"/>
      <c r="CD74" s="2"/>
      <c r="CE74" s="2"/>
      <c r="CF74" s="2"/>
      <c r="CK74" s="1513"/>
      <c r="CL74" s="1513"/>
      <c r="CM74" s="1513"/>
      <c r="CN74" s="1513"/>
      <c r="CO74" s="1513"/>
      <c r="CP74" s="1513"/>
      <c r="CQ74" s="1513"/>
      <c r="CR74" s="1513"/>
      <c r="CS74" s="1513"/>
      <c r="CT74" s="1513"/>
      <c r="CU74" s="1513"/>
      <c r="CV74" s="1513"/>
      <c r="CW74" s="1513"/>
      <c r="CX74" s="1513"/>
      <c r="CY74" s="1513"/>
      <c r="CZ74" s="1513"/>
      <c r="DA74" s="1513"/>
      <c r="DB74" s="1513"/>
      <c r="DC74" s="1513"/>
      <c r="DD74" s="1513"/>
      <c r="DE74" s="1513"/>
      <c r="DF74" s="1513"/>
      <c r="DG74" s="1513"/>
      <c r="DH74" s="1513"/>
      <c r="DI74" s="1513"/>
      <c r="DJ74" s="1513"/>
      <c r="DK74" s="1513"/>
      <c r="DL74" s="1513"/>
      <c r="DM74" s="1513"/>
      <c r="DN74" s="1513"/>
      <c r="DO74" s="1513"/>
      <c r="DP74" s="1513"/>
      <c r="DQ74" s="1513"/>
      <c r="DR74" s="1513"/>
      <c r="DS74" s="1513"/>
      <c r="DT74" s="1513"/>
      <c r="DU74" s="1513"/>
      <c r="DV74" s="1513"/>
      <c r="DW74" s="1513"/>
      <c r="DX74" s="1513"/>
      <c r="DY74" s="1513"/>
      <c r="DZ74" s="1513"/>
      <c r="EA74" s="1513"/>
      <c r="EB74" s="1513"/>
      <c r="EC74" s="1513"/>
      <c r="ED74" s="1513"/>
      <c r="EE74" s="1513"/>
      <c r="EF74" s="1513"/>
      <c r="EG74" s="1513"/>
      <c r="EH74" s="1513"/>
      <c r="EI74" s="1513"/>
      <c r="EJ74" s="1513"/>
      <c r="EK74" s="1513"/>
      <c r="EL74" s="1513"/>
      <c r="EM74" s="1513"/>
      <c r="EN74" s="1513"/>
      <c r="EO74" s="1513"/>
      <c r="EP74" s="1513"/>
      <c r="EQ74" s="1513"/>
      <c r="ER74" s="1513"/>
      <c r="ES74" s="1513"/>
      <c r="ET74" s="1513"/>
      <c r="EU74" s="1513"/>
      <c r="EV74" s="1513"/>
      <c r="EW74" s="1513"/>
      <c r="EX74" s="1513"/>
      <c r="EY74" s="1513"/>
      <c r="EZ74" s="1513"/>
      <c r="FA74" s="1513"/>
      <c r="FB74" s="1513"/>
      <c r="FC74" s="1513"/>
      <c r="FD74" s="1513"/>
      <c r="FE74" s="1513"/>
      <c r="FF74" s="1513"/>
      <c r="FG74" s="1513"/>
      <c r="FH74" s="1513"/>
      <c r="FI74" s="1513"/>
      <c r="FJ74" s="1513"/>
      <c r="FL74" s="1513"/>
    </row>
    <row r="75" spans="1:168" ht="17.100000000000001" customHeight="1" x14ac:dyDescent="0.15">
      <c r="A75" s="1513"/>
      <c r="B75" s="5020" t="str" cm="1">
        <f t="array" ref="B75">_xlfn.IFS(
$B$77=0,"",
$B$77=1,"RESIDED AT ONE ADDRESS",
TRUE,"RESIDED AT "&amp;$B$77&amp;" ADDRESSES OVERALL"
)</f>
        <v/>
      </c>
      <c r="C75" s="5021"/>
      <c r="D75" s="5021"/>
      <c r="E75" s="5021"/>
      <c r="F75" s="5021"/>
      <c r="G75" s="5021"/>
      <c r="H75" s="5021"/>
      <c r="I75" s="5021"/>
      <c r="J75" s="5021"/>
      <c r="K75" s="5021"/>
      <c r="L75" s="5021"/>
      <c r="M75" s="5021"/>
      <c r="N75" s="5021"/>
      <c r="O75" s="5021"/>
      <c r="P75" s="5021"/>
      <c r="Q75" s="5021"/>
      <c r="R75" s="5021"/>
      <c r="S75" s="5021"/>
      <c r="T75" s="5021"/>
      <c r="U75" s="5021"/>
      <c r="V75" s="5021"/>
      <c r="W75" s="5021"/>
      <c r="X75" s="5021"/>
      <c r="Y75" s="5006" t="s">
        <v>1089</v>
      </c>
      <c r="Z75" s="5006"/>
      <c r="AA75" s="5006"/>
      <c r="AB75" s="5006"/>
      <c r="AC75" s="5008">
        <f>SUM(AC43:AE74)</f>
        <v>0</v>
      </c>
      <c r="AD75" s="5008"/>
      <c r="AE75" s="5008"/>
      <c r="AF75" s="5011">
        <f>ROUNDDOWN(SUM(AF43:AH74),1)</f>
        <v>0</v>
      </c>
      <c r="AG75" s="5012"/>
      <c r="AH75" s="5012"/>
      <c r="AI75" s="5014"/>
      <c r="AJ75" s="5014"/>
      <c r="AK75" s="5014"/>
      <c r="AL75" s="5014"/>
      <c r="AM75" s="5015"/>
      <c r="AN75" s="1513"/>
      <c r="AO75" s="1524"/>
      <c r="AP75" s="1525"/>
      <c r="AQ75" s="1525"/>
      <c r="AR75" s="1525"/>
      <c r="AS75" s="1525"/>
      <c r="AT75" s="1525"/>
      <c r="AU75" s="1525"/>
      <c r="AV75" s="1525"/>
      <c r="AW75" s="1525"/>
      <c r="AX75" s="1525"/>
      <c r="AY75" s="1525"/>
      <c r="AZ75" s="1525"/>
      <c r="BA75" s="1525"/>
      <c r="BB75" s="1525"/>
      <c r="BC75" s="1525"/>
      <c r="BD75" s="1525"/>
      <c r="BE75" s="1525"/>
      <c r="BF75" s="1525"/>
      <c r="BG75" s="1525"/>
      <c r="BH75" s="1525"/>
      <c r="BI75" s="1525"/>
      <c r="BJ75" s="1525"/>
      <c r="BK75" s="1525"/>
      <c r="BL75" s="1525"/>
      <c r="BM75" s="1525"/>
      <c r="BN75" s="1525"/>
      <c r="BO75" s="1525"/>
      <c r="BP75" s="1525"/>
      <c r="BQ75" s="1525"/>
      <c r="BR75" s="1525"/>
      <c r="BS75" s="1525"/>
      <c r="BT75" s="1525"/>
      <c r="BU75" s="1525"/>
      <c r="BV75" s="1525"/>
      <c r="BW75" s="1525"/>
      <c r="BX75" s="1525"/>
      <c r="BY75" s="1525"/>
      <c r="BZ75" s="1526"/>
      <c r="CA75" s="1513"/>
      <c r="CC75" s="2"/>
      <c r="CD75" s="2"/>
      <c r="CE75" s="2"/>
      <c r="CF75" s="2"/>
      <c r="CK75" s="1513"/>
      <c r="CL75" s="1513"/>
      <c r="CM75" s="1513"/>
      <c r="CN75" s="1513"/>
      <c r="CO75" s="1513"/>
      <c r="CP75" s="1513"/>
      <c r="CQ75" s="1513"/>
      <c r="CR75" s="1513"/>
      <c r="CS75" s="1513"/>
      <c r="CT75" s="1513"/>
      <c r="CU75" s="1513"/>
      <c r="CV75" s="1513"/>
      <c r="CW75" s="1513"/>
      <c r="CX75" s="1513"/>
      <c r="CY75" s="1513"/>
      <c r="CZ75" s="1513"/>
      <c r="DA75" s="1513"/>
      <c r="DB75" s="1513"/>
      <c r="DC75" s="1513"/>
      <c r="DD75" s="1513"/>
      <c r="DE75" s="1513"/>
      <c r="DF75" s="1513"/>
      <c r="DG75" s="1513"/>
      <c r="DH75" s="1513"/>
      <c r="DI75" s="1513"/>
      <c r="DJ75" s="1513"/>
      <c r="DK75" s="1513"/>
      <c r="DL75" s="1513"/>
      <c r="DM75" s="1513"/>
      <c r="DN75" s="1513"/>
      <c r="DO75" s="1513"/>
      <c r="DP75" s="1513"/>
      <c r="DQ75" s="1513"/>
      <c r="DR75" s="1513"/>
      <c r="DS75" s="1513"/>
      <c r="DT75" s="1513"/>
      <c r="DU75" s="1513"/>
      <c r="DV75" s="1513"/>
      <c r="DW75" s="1513"/>
      <c r="DX75" s="1513"/>
      <c r="DY75" s="1513"/>
      <c r="DZ75" s="1513"/>
      <c r="EA75" s="1513"/>
      <c r="EB75" s="1513"/>
      <c r="EC75" s="1513"/>
      <c r="ED75" s="1513"/>
      <c r="EE75" s="1513"/>
      <c r="EF75" s="1513"/>
      <c r="EG75" s="1513"/>
      <c r="EH75" s="1513"/>
      <c r="EI75" s="1513"/>
      <c r="EJ75" s="1513"/>
      <c r="EK75" s="1513"/>
      <c r="EL75" s="1513"/>
      <c r="EM75" s="1513"/>
      <c r="EN75" s="1513"/>
      <c r="EO75" s="1513"/>
      <c r="EP75" s="1513"/>
      <c r="EQ75" s="1513"/>
      <c r="ER75" s="1513"/>
      <c r="ES75" s="1513"/>
      <c r="ET75" s="1513"/>
      <c r="EU75" s="1513"/>
      <c r="EV75" s="1513"/>
      <c r="EW75" s="1513"/>
      <c r="EX75" s="1513"/>
      <c r="EY75" s="1513"/>
      <c r="EZ75" s="1513"/>
      <c r="FA75" s="1513"/>
      <c r="FB75" s="1513"/>
      <c r="FC75" s="1513"/>
      <c r="FD75" s="1513"/>
      <c r="FE75" s="1513"/>
      <c r="FF75" s="1513"/>
      <c r="FG75" s="1513"/>
      <c r="FH75" s="1513"/>
      <c r="FI75" s="1513"/>
      <c r="FJ75" s="1513"/>
      <c r="FL75" s="1513"/>
    </row>
    <row r="76" spans="1:168" ht="17.100000000000001" customHeight="1" x14ac:dyDescent="0.15">
      <c r="A76" s="1513"/>
      <c r="B76" s="5022"/>
      <c r="C76" s="5023"/>
      <c r="D76" s="5023"/>
      <c r="E76" s="5023"/>
      <c r="F76" s="5023"/>
      <c r="G76" s="5023"/>
      <c r="H76" s="5023"/>
      <c r="I76" s="5023"/>
      <c r="J76" s="5023"/>
      <c r="K76" s="5023"/>
      <c r="L76" s="5023"/>
      <c r="M76" s="5023"/>
      <c r="N76" s="5023"/>
      <c r="O76" s="5023"/>
      <c r="P76" s="5023"/>
      <c r="Q76" s="5023"/>
      <c r="R76" s="5023"/>
      <c r="S76" s="5023"/>
      <c r="T76" s="5023"/>
      <c r="U76" s="5023"/>
      <c r="V76" s="5023"/>
      <c r="W76" s="5023"/>
      <c r="X76" s="5023"/>
      <c r="Y76" s="5007"/>
      <c r="Z76" s="5007"/>
      <c r="AA76" s="5007"/>
      <c r="AB76" s="5007"/>
      <c r="AC76" s="5009"/>
      <c r="AD76" s="5009"/>
      <c r="AE76" s="5009"/>
      <c r="AF76" s="5013"/>
      <c r="AG76" s="5013"/>
      <c r="AH76" s="5013"/>
      <c r="AI76" s="5016"/>
      <c r="AJ76" s="5016"/>
      <c r="AK76" s="5016"/>
      <c r="AL76" s="5016"/>
      <c r="AM76" s="5017"/>
      <c r="AN76" s="1513"/>
      <c r="AO76" s="1527"/>
      <c r="AP76" s="1528"/>
      <c r="AQ76" s="1528"/>
      <c r="AR76" s="1528"/>
      <c r="AS76" s="1528"/>
      <c r="AT76" s="1528"/>
      <c r="AU76" s="1528"/>
      <c r="AV76" s="1528"/>
      <c r="AW76" s="1528"/>
      <c r="AX76" s="1528"/>
      <c r="AY76" s="1528"/>
      <c r="AZ76" s="1528"/>
      <c r="BA76" s="1528"/>
      <c r="BB76" s="1528"/>
      <c r="BC76" s="1528"/>
      <c r="BD76" s="1528"/>
      <c r="BE76" s="1528"/>
      <c r="BF76" s="1528"/>
      <c r="BG76" s="1528"/>
      <c r="BH76" s="1528"/>
      <c r="BI76" s="1528"/>
      <c r="BJ76" s="1528"/>
      <c r="BK76" s="1528"/>
      <c r="BL76" s="1528"/>
      <c r="BM76" s="1528"/>
      <c r="BN76" s="1528"/>
      <c r="BO76" s="1528"/>
      <c r="BP76" s="1528"/>
      <c r="BQ76" s="1528"/>
      <c r="BR76" s="1528"/>
      <c r="BS76" s="1528"/>
      <c r="BT76" s="1528"/>
      <c r="BU76" s="1528"/>
      <c r="BV76" s="1528"/>
      <c r="BW76" s="1528"/>
      <c r="BX76" s="1528"/>
      <c r="BY76" s="1528"/>
      <c r="BZ76" s="1529"/>
      <c r="CA76" s="1513"/>
      <c r="CK76" s="1513"/>
      <c r="CL76" s="1513"/>
      <c r="CM76" s="1513"/>
      <c r="CN76" s="1513"/>
      <c r="CO76" s="1513"/>
      <c r="CP76" s="1513"/>
      <c r="CQ76" s="1513"/>
      <c r="CR76" s="1513"/>
      <c r="CS76" s="1513"/>
      <c r="CT76" s="1513"/>
      <c r="CU76" s="1513"/>
      <c r="CV76" s="1513"/>
      <c r="CW76" s="1513"/>
      <c r="CX76" s="1513"/>
      <c r="CY76" s="1513"/>
      <c r="CZ76" s="1513"/>
      <c r="DA76" s="1513"/>
      <c r="DB76" s="1513"/>
      <c r="DC76" s="1513"/>
      <c r="DD76" s="1513"/>
      <c r="DE76" s="1513"/>
      <c r="DF76" s="1513"/>
      <c r="DG76" s="1513"/>
      <c r="DH76" s="1513"/>
      <c r="DI76" s="1513"/>
      <c r="DJ76" s="1513"/>
      <c r="DK76" s="1513"/>
      <c r="DL76" s="1513"/>
      <c r="DM76" s="1513"/>
      <c r="DN76" s="1513"/>
      <c r="DO76" s="1513"/>
      <c r="DP76" s="1513"/>
      <c r="DQ76" s="1513"/>
      <c r="DR76" s="1513"/>
      <c r="DS76" s="1513"/>
      <c r="DT76" s="1513"/>
      <c r="DU76" s="1513"/>
      <c r="DV76" s="1513"/>
      <c r="DW76" s="1513"/>
      <c r="DX76" s="1513"/>
      <c r="DY76" s="1513"/>
      <c r="DZ76" s="1513"/>
      <c r="EA76" s="1513"/>
      <c r="EB76" s="1513"/>
      <c r="EC76" s="1513"/>
      <c r="ED76" s="1513"/>
      <c r="EE76" s="1513"/>
      <c r="EF76" s="1513"/>
      <c r="EG76" s="1513"/>
      <c r="EH76" s="1513"/>
      <c r="EI76" s="1513"/>
      <c r="EJ76" s="1513"/>
      <c r="EK76" s="1513"/>
      <c r="EL76" s="1513"/>
      <c r="EM76" s="1513"/>
      <c r="EN76" s="1513"/>
      <c r="EO76" s="1513"/>
      <c r="EP76" s="1513"/>
      <c r="EQ76" s="1513"/>
      <c r="ER76" s="1513"/>
      <c r="ES76" s="1513"/>
      <c r="ET76" s="1513"/>
      <c r="EU76" s="1513"/>
      <c r="EV76" s="1513"/>
      <c r="EW76" s="1513"/>
      <c r="EX76" s="1513"/>
      <c r="EY76" s="1513"/>
      <c r="EZ76" s="1513"/>
      <c r="FA76" s="1513"/>
      <c r="FB76" s="1513"/>
      <c r="FC76" s="1513"/>
      <c r="FD76" s="1513"/>
      <c r="FE76" s="1513"/>
      <c r="FF76" s="1513"/>
      <c r="FG76" s="1513"/>
      <c r="FH76" s="1513"/>
      <c r="FI76" s="1513"/>
      <c r="FJ76" s="1513"/>
      <c r="FL76" s="1513"/>
    </row>
    <row r="77" spans="1:168" ht="17.100000000000001" customHeight="1" x14ac:dyDescent="0.15">
      <c r="A77" s="1513"/>
      <c r="B77" s="3231">
        <f>COUNTA($B$43:$O$74)</f>
        <v>0</v>
      </c>
      <c r="C77" s="1513"/>
      <c r="D77" s="1513"/>
      <c r="E77" s="1513"/>
      <c r="F77" s="1513"/>
      <c r="G77" s="1513"/>
      <c r="H77" s="1513"/>
      <c r="I77" s="1513"/>
      <c r="J77" s="1513"/>
      <c r="K77" s="1513"/>
      <c r="L77" s="1513"/>
      <c r="M77" s="1513"/>
      <c r="N77" s="1513"/>
      <c r="O77" s="1513"/>
      <c r="P77" s="1513"/>
      <c r="Q77" s="1513"/>
      <c r="R77" s="1513"/>
      <c r="S77" s="1513"/>
      <c r="T77" s="1513"/>
      <c r="U77" s="1513"/>
      <c r="V77" s="1513"/>
      <c r="W77" s="1513"/>
      <c r="X77" s="1513"/>
      <c r="Y77" s="1513"/>
      <c r="Z77" s="1513"/>
      <c r="AA77" s="1513"/>
      <c r="AB77" s="1513"/>
      <c r="AC77" s="1513"/>
      <c r="AD77" s="1513"/>
      <c r="AE77" s="1513"/>
      <c r="AF77" s="1513"/>
      <c r="AG77" s="1513"/>
      <c r="AH77" s="1513"/>
      <c r="AI77" s="1513"/>
      <c r="AJ77" s="1513"/>
      <c r="AK77" s="1513"/>
      <c r="AL77" s="1513"/>
      <c r="AM77" s="1513"/>
      <c r="AN77" s="1513"/>
      <c r="AO77" s="1513"/>
      <c r="AP77" s="1513"/>
      <c r="AQ77" s="1513"/>
      <c r="AR77" s="1513"/>
      <c r="AS77" s="1513"/>
      <c r="AT77" s="1513"/>
      <c r="AU77" s="1513"/>
      <c r="AV77" s="1513"/>
      <c r="AW77" s="1513"/>
      <c r="AX77" s="1513"/>
      <c r="AY77" s="1513"/>
      <c r="AZ77" s="1513"/>
      <c r="BA77" s="1513"/>
      <c r="BB77" s="1513"/>
      <c r="BC77" s="1513"/>
      <c r="BD77" s="1513"/>
      <c r="BE77" s="1513"/>
      <c r="BF77" s="1513"/>
      <c r="BG77" s="1513"/>
      <c r="BH77" s="1513"/>
      <c r="BI77" s="1513"/>
      <c r="BJ77" s="1513"/>
      <c r="BK77" s="1513"/>
      <c r="BL77" s="1513"/>
      <c r="BM77" s="1513"/>
      <c r="BN77" s="1513"/>
      <c r="BO77" s="1513"/>
      <c r="BP77" s="1513"/>
      <c r="BQ77" s="1513"/>
      <c r="BR77" s="1513"/>
      <c r="BS77" s="1513"/>
      <c r="BT77" s="1513"/>
      <c r="BU77" s="1513"/>
      <c r="BV77" s="1513"/>
      <c r="BW77" s="1513"/>
      <c r="BX77" s="1513"/>
      <c r="BY77" s="1513"/>
      <c r="BZ77" s="1513"/>
      <c r="CA77" s="1513"/>
      <c r="CK77" s="1513"/>
      <c r="CL77" s="1513"/>
      <c r="CM77" s="1513"/>
      <c r="CN77" s="1513"/>
      <c r="CO77" s="1513"/>
      <c r="CP77" s="1513"/>
      <c r="CQ77" s="1513"/>
      <c r="CR77" s="1513"/>
      <c r="CS77" s="1513"/>
      <c r="CT77" s="1513"/>
      <c r="CU77" s="1513"/>
      <c r="CV77" s="1513"/>
      <c r="CW77" s="1513"/>
      <c r="CX77" s="1513"/>
      <c r="CY77" s="1513"/>
      <c r="CZ77" s="1513"/>
      <c r="DA77" s="1513"/>
      <c r="DB77" s="1513"/>
      <c r="DC77" s="1513"/>
      <c r="DD77" s="1513"/>
      <c r="DE77" s="1513"/>
      <c r="DF77" s="1513"/>
      <c r="DG77" s="1513"/>
      <c r="DH77" s="1513"/>
      <c r="DI77" s="1513"/>
      <c r="DJ77" s="1513"/>
      <c r="DK77" s="1513"/>
      <c r="DL77" s="1513"/>
      <c r="DM77" s="1513"/>
      <c r="DN77" s="1513"/>
      <c r="DO77" s="1513"/>
      <c r="DP77" s="1513"/>
      <c r="DQ77" s="1513"/>
      <c r="DR77" s="1513"/>
      <c r="DS77" s="1513"/>
      <c r="DT77" s="1513"/>
      <c r="DU77" s="1513"/>
      <c r="DV77" s="1513"/>
      <c r="DW77" s="1513"/>
      <c r="DX77" s="1513"/>
      <c r="DY77" s="1513"/>
      <c r="DZ77" s="1513"/>
      <c r="EA77" s="1513"/>
      <c r="EB77" s="1513"/>
      <c r="EC77" s="1513"/>
      <c r="ED77" s="1513"/>
      <c r="EE77" s="1513"/>
      <c r="EF77" s="1513"/>
      <c r="EG77" s="1513"/>
      <c r="EH77" s="1513"/>
      <c r="EI77" s="1513"/>
      <c r="EJ77" s="1513"/>
      <c r="EK77" s="1513"/>
      <c r="EL77" s="1513"/>
      <c r="EM77" s="1513"/>
      <c r="EN77" s="1513"/>
      <c r="EO77" s="1513"/>
      <c r="EP77" s="1513"/>
      <c r="EQ77" s="1513"/>
      <c r="ER77" s="1513"/>
      <c r="ES77" s="1513"/>
      <c r="ET77" s="1513"/>
      <c r="EU77" s="1513"/>
      <c r="EV77" s="1513"/>
      <c r="EW77" s="1513"/>
      <c r="EX77" s="1513"/>
      <c r="EY77" s="1513"/>
      <c r="EZ77" s="1513"/>
      <c r="FA77" s="1513"/>
      <c r="FB77" s="1513"/>
      <c r="FC77" s="1513"/>
      <c r="FD77" s="1513"/>
      <c r="FE77" s="1513"/>
      <c r="FF77" s="1513"/>
      <c r="FG77" s="1513"/>
      <c r="FH77" s="1513"/>
      <c r="FI77" s="1513"/>
      <c r="FJ77" s="1513"/>
      <c r="FL77" s="1513"/>
    </row>
    <row r="78" spans="1:168" ht="17.100000000000001" customHeight="1" x14ac:dyDescent="0.2">
      <c r="A78" s="1513"/>
      <c r="B78" s="1514"/>
      <c r="C78" s="1514"/>
      <c r="D78" s="1514"/>
      <c r="E78" s="1514"/>
      <c r="F78" s="1514"/>
      <c r="G78" s="1514"/>
      <c r="H78" s="1514"/>
      <c r="I78" s="1514"/>
      <c r="J78" s="1514"/>
      <c r="K78" s="1514"/>
      <c r="L78" s="1514"/>
      <c r="M78" s="1514"/>
      <c r="N78" s="1514"/>
      <c r="O78" s="1514"/>
      <c r="P78" s="1514"/>
      <c r="Q78" s="1514"/>
      <c r="R78" s="1514"/>
      <c r="S78" s="1514"/>
      <c r="T78" s="1514"/>
      <c r="U78" s="1514"/>
      <c r="V78" s="1514"/>
      <c r="W78" s="1514"/>
      <c r="X78" s="1514"/>
      <c r="Y78" s="1514"/>
      <c r="Z78" s="1514"/>
      <c r="AA78" s="1514"/>
      <c r="AB78" s="1514"/>
      <c r="AC78" s="1514"/>
      <c r="AD78" s="1514"/>
      <c r="AE78" s="1514"/>
      <c r="AF78" s="1514"/>
      <c r="AG78" s="1514"/>
      <c r="AH78" s="1514"/>
      <c r="AI78" s="1514"/>
      <c r="AJ78" s="1514"/>
      <c r="AK78" s="1514"/>
      <c r="AL78" s="1514"/>
      <c r="AM78" s="1514"/>
      <c r="AN78" s="1466" t="s">
        <v>9</v>
      </c>
      <c r="AO78" s="1514"/>
      <c r="AP78" s="1514"/>
      <c r="AQ78" s="1514"/>
      <c r="AR78" s="1514"/>
      <c r="AS78" s="1514"/>
      <c r="AT78" s="1514"/>
      <c r="AU78" s="1514"/>
      <c r="AV78" s="1514"/>
      <c r="AW78" s="1514"/>
      <c r="AX78" s="1514"/>
      <c r="AY78" s="1514"/>
      <c r="AZ78" s="1514"/>
      <c r="BA78" s="1514"/>
      <c r="BB78" s="1514"/>
      <c r="BC78" s="1514"/>
      <c r="BD78" s="1514"/>
      <c r="BE78" s="1514"/>
      <c r="BF78" s="1514"/>
      <c r="BG78" s="1514"/>
      <c r="BH78" s="1514"/>
      <c r="BI78" s="1514"/>
      <c r="BJ78" s="1514"/>
      <c r="BK78" s="1514"/>
      <c r="BL78" s="1514"/>
      <c r="BM78" s="1514"/>
      <c r="BN78" s="1514"/>
      <c r="BO78" s="1514"/>
      <c r="BP78" s="1514"/>
      <c r="BQ78" s="1514"/>
      <c r="BR78" s="1514"/>
      <c r="BS78" s="1514"/>
      <c r="BT78" s="1514"/>
      <c r="BU78" s="1514"/>
      <c r="BV78" s="1514"/>
      <c r="BW78" s="1514"/>
      <c r="BX78" s="1514"/>
      <c r="BY78" s="1514"/>
      <c r="BZ78" s="1513"/>
      <c r="CA78" s="1513"/>
      <c r="CK78" s="1513"/>
      <c r="CL78" s="1513"/>
      <c r="CM78" s="1513"/>
      <c r="CN78" s="1513"/>
      <c r="CO78" s="1513"/>
      <c r="CP78" s="1513"/>
      <c r="CQ78" s="1513"/>
      <c r="CR78" s="1513"/>
      <c r="CS78" s="1513"/>
      <c r="CT78" s="1513"/>
      <c r="CU78" s="1513"/>
      <c r="CV78" s="1513"/>
      <c r="CW78" s="1513"/>
      <c r="CX78" s="1513"/>
      <c r="CY78" s="1513"/>
      <c r="CZ78" s="1513"/>
      <c r="DA78" s="1513"/>
      <c r="DB78" s="1513"/>
      <c r="DC78" s="1513"/>
      <c r="DD78" s="1513"/>
      <c r="DE78" s="1513"/>
      <c r="DF78" s="1513"/>
      <c r="DG78" s="1513"/>
      <c r="DH78" s="1513"/>
      <c r="DI78" s="1513"/>
      <c r="DJ78" s="1513"/>
      <c r="DK78" s="1513"/>
      <c r="DL78" s="1513"/>
      <c r="DM78" s="1513"/>
      <c r="DN78" s="1513"/>
      <c r="DO78" s="1513"/>
      <c r="DP78" s="1513"/>
      <c r="DQ78" s="1513"/>
      <c r="DR78" s="1513"/>
      <c r="DS78" s="1513"/>
      <c r="DT78" s="1513"/>
      <c r="DU78" s="1513"/>
      <c r="DV78" s="1513"/>
      <c r="DW78" s="1513"/>
      <c r="DX78" s="1513"/>
      <c r="DY78" s="1513"/>
      <c r="DZ78" s="1513"/>
      <c r="EA78" s="1513"/>
      <c r="EB78" s="1513"/>
      <c r="EC78" s="1513"/>
      <c r="ED78" s="1513"/>
      <c r="EE78" s="1513"/>
      <c r="EF78" s="1513"/>
      <c r="EG78" s="1513"/>
      <c r="EH78" s="1513"/>
      <c r="EI78" s="1513"/>
      <c r="EJ78" s="1513"/>
      <c r="EK78" s="1513"/>
      <c r="EL78" s="1513"/>
      <c r="EM78" s="1513"/>
      <c r="EN78" s="1513"/>
      <c r="EO78" s="1513"/>
      <c r="EP78" s="1513"/>
      <c r="EQ78" s="1513"/>
      <c r="ER78" s="1513"/>
      <c r="ES78" s="1513"/>
      <c r="ET78" s="1513"/>
      <c r="EU78" s="1513"/>
      <c r="EV78" s="1513"/>
      <c r="EW78" s="1513"/>
      <c r="EX78" s="1513"/>
      <c r="EY78" s="1513"/>
      <c r="EZ78" s="1513"/>
      <c r="FA78" s="1513"/>
      <c r="FB78" s="1513"/>
      <c r="FC78" s="1513"/>
      <c r="FD78" s="1513"/>
      <c r="FE78" s="1513"/>
      <c r="FF78" s="1513"/>
      <c r="FG78" s="1513"/>
      <c r="FH78" s="1513"/>
      <c r="FI78" s="1513"/>
      <c r="FJ78" s="1513"/>
      <c r="FL78" s="1513"/>
    </row>
    <row r="79" spans="1:168" ht="17.100000000000001" customHeight="1" x14ac:dyDescent="0.2">
      <c r="A79" s="1513"/>
      <c r="B79" s="1514"/>
      <c r="C79" s="1514"/>
      <c r="D79" s="1514"/>
      <c r="E79" s="1514"/>
      <c r="F79" s="1514"/>
      <c r="G79" s="1514"/>
      <c r="H79" s="1514"/>
      <c r="I79" s="1514"/>
      <c r="J79" s="1514"/>
      <c r="K79" s="1514"/>
      <c r="L79" s="1514"/>
      <c r="M79" s="1514"/>
      <c r="N79" s="1514"/>
      <c r="O79" s="1514"/>
      <c r="P79" s="1514"/>
      <c r="Q79" s="1514"/>
      <c r="R79" s="1514"/>
      <c r="S79" s="1514"/>
      <c r="T79" s="1514"/>
      <c r="U79" s="1514"/>
      <c r="V79" s="1514"/>
      <c r="W79" s="1514"/>
      <c r="X79" s="1514"/>
      <c r="Y79" s="1514"/>
      <c r="Z79" s="1514"/>
      <c r="AA79" s="1514"/>
      <c r="AB79" s="1514"/>
      <c r="AC79" s="1514"/>
      <c r="AD79" s="1514"/>
      <c r="AE79" s="1514"/>
      <c r="AF79" s="1514"/>
      <c r="AG79" s="1514"/>
      <c r="AH79" s="1514"/>
      <c r="AI79" s="1514"/>
      <c r="AJ79" s="1514"/>
      <c r="AK79" s="1514"/>
      <c r="AL79" s="1514"/>
      <c r="AM79" s="1514"/>
      <c r="AN79" s="1466" t="s">
        <v>9</v>
      </c>
      <c r="AO79" s="1514"/>
      <c r="AP79" s="1514"/>
      <c r="AQ79" s="1514"/>
      <c r="AR79" s="1514"/>
      <c r="AS79" s="1514"/>
      <c r="AT79" s="1514"/>
      <c r="AU79" s="1514"/>
      <c r="AV79" s="1514"/>
      <c r="AW79" s="1514"/>
      <c r="AX79" s="1514"/>
      <c r="AY79" s="1514"/>
      <c r="AZ79" s="1514"/>
      <c r="BA79" s="1514"/>
      <c r="BB79" s="1514"/>
      <c r="BC79" s="1514"/>
      <c r="BD79" s="1514"/>
      <c r="BE79" s="1514"/>
      <c r="BF79" s="1514"/>
      <c r="BG79" s="1514"/>
      <c r="BH79" s="1514"/>
      <c r="BI79" s="1514"/>
      <c r="BJ79" s="1514"/>
      <c r="BK79" s="1514"/>
      <c r="BL79" s="1514"/>
      <c r="BM79" s="1514"/>
      <c r="BN79" s="1514"/>
      <c r="BO79" s="1514"/>
      <c r="BP79" s="1514"/>
      <c r="BQ79" s="1514"/>
      <c r="BR79" s="1514"/>
      <c r="BS79" s="1514"/>
      <c r="BT79" s="1514"/>
      <c r="BU79" s="1514"/>
      <c r="BV79" s="1514"/>
      <c r="BW79" s="1514"/>
      <c r="BX79" s="1514"/>
      <c r="BY79" s="1514"/>
      <c r="BZ79" s="1513"/>
      <c r="CA79" s="1513"/>
      <c r="CK79" s="1513"/>
      <c r="CL79" s="1513"/>
      <c r="CM79" s="1513"/>
      <c r="CN79" s="1513"/>
      <c r="CO79" s="1513"/>
      <c r="CP79" s="1513"/>
      <c r="CQ79" s="1513"/>
      <c r="CR79" s="1513"/>
      <c r="CS79" s="1513"/>
      <c r="CT79" s="1513"/>
      <c r="CU79" s="1513"/>
      <c r="CV79" s="1513"/>
      <c r="CW79" s="1513"/>
      <c r="CX79" s="1513"/>
      <c r="CY79" s="1513"/>
      <c r="CZ79" s="1513"/>
      <c r="DA79" s="1513"/>
      <c r="DB79" s="1513"/>
      <c r="DC79" s="1513"/>
      <c r="DD79" s="1513"/>
      <c r="DE79" s="1513"/>
      <c r="DF79" s="1513"/>
      <c r="DG79" s="1513"/>
      <c r="DH79" s="1513"/>
      <c r="DI79" s="1513"/>
      <c r="DJ79" s="1513"/>
      <c r="DK79" s="1513"/>
      <c r="DL79" s="1513"/>
      <c r="DM79" s="1513"/>
      <c r="DN79" s="1513"/>
      <c r="DO79" s="1513"/>
      <c r="DP79" s="1513"/>
      <c r="DQ79" s="1513"/>
      <c r="DR79" s="1513"/>
      <c r="DS79" s="1513"/>
      <c r="DT79" s="1513"/>
      <c r="DU79" s="1513"/>
      <c r="DV79" s="1513"/>
      <c r="DW79" s="1513"/>
      <c r="DX79" s="1513"/>
      <c r="DY79" s="1513"/>
      <c r="DZ79" s="1513"/>
      <c r="EA79" s="1513"/>
      <c r="EB79" s="1513"/>
      <c r="EC79" s="1513"/>
      <c r="ED79" s="1513"/>
      <c r="EE79" s="1513"/>
      <c r="EF79" s="1513"/>
      <c r="EG79" s="1513"/>
      <c r="EH79" s="1513"/>
      <c r="EI79" s="1513"/>
      <c r="EJ79" s="1513"/>
      <c r="EK79" s="1513"/>
      <c r="EL79" s="1513"/>
      <c r="EM79" s="1513"/>
      <c r="EN79" s="1513"/>
      <c r="EO79" s="1513"/>
      <c r="EP79" s="1513"/>
      <c r="EQ79" s="1513"/>
      <c r="ER79" s="1513"/>
      <c r="ES79" s="1513"/>
      <c r="ET79" s="1513"/>
      <c r="EU79" s="1513"/>
      <c r="EV79" s="1513"/>
      <c r="EW79" s="1513"/>
      <c r="EX79" s="1513"/>
      <c r="EY79" s="1513"/>
      <c r="EZ79" s="1513"/>
      <c r="FA79" s="1513"/>
      <c r="FB79" s="1513"/>
      <c r="FC79" s="1513"/>
      <c r="FD79" s="1513"/>
      <c r="FE79" s="1513"/>
      <c r="FF79" s="1513"/>
      <c r="FG79" s="1513"/>
      <c r="FH79" s="1513"/>
      <c r="FI79" s="1513"/>
      <c r="FJ79" s="1513"/>
      <c r="FL79" s="1513"/>
    </row>
    <row r="80" spans="1:168" ht="17.100000000000001" customHeight="1" x14ac:dyDescent="0.15">
      <c r="A80" s="1513"/>
      <c r="B80" s="5043" t="s">
        <v>2166</v>
      </c>
      <c r="C80" s="5044"/>
      <c r="D80" s="5044"/>
      <c r="E80" s="5044"/>
      <c r="F80" s="5044"/>
      <c r="G80" s="5044"/>
      <c r="H80" s="5044"/>
      <c r="I80" s="5044"/>
      <c r="J80" s="5044"/>
      <c r="K80" s="5044"/>
      <c r="L80" s="5044"/>
      <c r="M80" s="5044"/>
      <c r="N80" s="5044"/>
      <c r="O80" s="5044"/>
      <c r="P80" s="5044"/>
      <c r="Q80" s="5044"/>
      <c r="R80" s="5044"/>
      <c r="S80" s="5044"/>
      <c r="T80" s="5044"/>
      <c r="U80" s="5044"/>
      <c r="V80" s="5044"/>
      <c r="W80" s="5044"/>
      <c r="X80" s="5044"/>
      <c r="Y80" s="5044"/>
      <c r="Z80" s="5044"/>
      <c r="AA80" s="5044"/>
      <c r="AB80" s="5044"/>
      <c r="AC80" s="5044"/>
      <c r="AD80" s="5044"/>
      <c r="AE80" s="5044"/>
      <c r="AF80" s="5044"/>
      <c r="AG80" s="5044"/>
      <c r="AH80" s="5044"/>
      <c r="AI80" s="5044"/>
      <c r="AJ80" s="5044"/>
      <c r="AK80" s="5044"/>
      <c r="AL80" s="5044"/>
      <c r="AM80" s="5044"/>
      <c r="AN80" s="5044"/>
      <c r="AO80" s="5044"/>
      <c r="AP80" s="5044"/>
      <c r="AQ80" s="5044"/>
      <c r="AR80" s="5044"/>
      <c r="AS80" s="5044"/>
      <c r="AT80" s="5044"/>
      <c r="AU80" s="5044"/>
      <c r="AV80" s="5044"/>
      <c r="AW80" s="5044"/>
      <c r="AX80" s="5044"/>
      <c r="AY80" s="5044"/>
      <c r="AZ80" s="5044"/>
      <c r="BA80" s="5044"/>
      <c r="BB80" s="5044"/>
      <c r="BC80" s="5044"/>
      <c r="BD80" s="5044"/>
      <c r="BE80" s="5044"/>
      <c r="BF80" s="5044"/>
      <c r="BG80" s="5044"/>
      <c r="BH80" s="5044"/>
      <c r="BI80" s="5044"/>
      <c r="BJ80" s="5044"/>
      <c r="BK80" s="5044"/>
      <c r="BL80" s="5044"/>
      <c r="BM80" s="5044"/>
      <c r="BN80" s="5044"/>
      <c r="BO80" s="5044"/>
      <c r="BP80" s="5044"/>
      <c r="BQ80" s="5044"/>
      <c r="BR80" s="5044"/>
      <c r="BS80" s="5044"/>
      <c r="BT80" s="5044"/>
      <c r="BU80" s="5044"/>
      <c r="BV80" s="5044"/>
      <c r="BW80" s="5044"/>
      <c r="BX80" s="5044"/>
      <c r="BY80" s="5044"/>
      <c r="BZ80" s="5045"/>
      <c r="CA80" s="1513"/>
      <c r="CK80" s="1513"/>
      <c r="CL80" s="1513"/>
      <c r="CM80" s="1513"/>
      <c r="CN80" s="1513"/>
      <c r="CO80" s="1513"/>
      <c r="CP80" s="1513"/>
      <c r="CQ80" s="1513"/>
      <c r="CR80" s="1513"/>
      <c r="CS80" s="1513"/>
      <c r="CT80" s="1513"/>
      <c r="CU80" s="1513"/>
      <c r="CV80" s="1513"/>
      <c r="CW80" s="1513"/>
      <c r="CX80" s="1513"/>
      <c r="CY80" s="1513"/>
      <c r="CZ80" s="1513"/>
      <c r="DA80" s="1513"/>
      <c r="DB80" s="1513"/>
      <c r="DC80" s="1513"/>
      <c r="DD80" s="1513"/>
      <c r="DE80" s="1513"/>
      <c r="DF80" s="1513"/>
      <c r="DG80" s="1513"/>
      <c r="DH80" s="1513"/>
      <c r="DI80" s="1513"/>
      <c r="DJ80" s="1513"/>
      <c r="DK80" s="1513"/>
      <c r="DL80" s="1513"/>
      <c r="DM80" s="1513"/>
      <c r="DN80" s="1513"/>
      <c r="DO80" s="1513"/>
      <c r="DP80" s="1513"/>
      <c r="DQ80" s="1513"/>
      <c r="DR80" s="1513"/>
      <c r="DS80" s="1513"/>
      <c r="DT80" s="1513"/>
      <c r="DU80" s="1513"/>
      <c r="DV80" s="1513"/>
      <c r="DW80" s="1513"/>
      <c r="DX80" s="1513"/>
      <c r="DY80" s="1513"/>
      <c r="DZ80" s="1513"/>
      <c r="EA80" s="1513"/>
      <c r="EB80" s="1513"/>
      <c r="EC80" s="1513"/>
      <c r="ED80" s="1513"/>
      <c r="EE80" s="1513"/>
      <c r="EF80" s="1513"/>
      <c r="EG80" s="1513"/>
      <c r="EH80" s="1513"/>
      <c r="EI80" s="1513"/>
      <c r="EJ80" s="1513"/>
      <c r="EK80" s="1513"/>
      <c r="EL80" s="1513"/>
      <c r="EM80" s="1513"/>
      <c r="EN80" s="1513"/>
      <c r="EO80" s="1513"/>
      <c r="EP80" s="1513"/>
      <c r="EQ80" s="1513"/>
      <c r="ER80" s="1513"/>
      <c r="ES80" s="1513"/>
      <c r="ET80" s="1513"/>
      <c r="EU80" s="1513"/>
      <c r="EV80" s="1513"/>
      <c r="EW80" s="1513"/>
      <c r="EX80" s="1513"/>
      <c r="EY80" s="1513"/>
      <c r="EZ80" s="1513"/>
      <c r="FA80" s="1513"/>
      <c r="FB80" s="1513"/>
      <c r="FC80" s="1513"/>
      <c r="FD80" s="1513"/>
      <c r="FE80" s="1513"/>
      <c r="FF80" s="1513"/>
      <c r="FG80" s="1513"/>
      <c r="FH80" s="1513"/>
      <c r="FI80" s="1513"/>
      <c r="FJ80" s="1513"/>
      <c r="FL80" s="1513"/>
    </row>
    <row r="81" spans="1:168" ht="17.100000000000001" customHeight="1" x14ac:dyDescent="0.15">
      <c r="A81" s="1513"/>
      <c r="B81" s="5046"/>
      <c r="C81" s="5047"/>
      <c r="D81" s="5047"/>
      <c r="E81" s="5047"/>
      <c r="F81" s="5047"/>
      <c r="G81" s="5047"/>
      <c r="H81" s="5047"/>
      <c r="I81" s="5047"/>
      <c r="J81" s="5047"/>
      <c r="K81" s="5047"/>
      <c r="L81" s="5047"/>
      <c r="M81" s="5047"/>
      <c r="N81" s="5047"/>
      <c r="O81" s="5047"/>
      <c r="P81" s="5047"/>
      <c r="Q81" s="5047"/>
      <c r="R81" s="5047"/>
      <c r="S81" s="5047"/>
      <c r="T81" s="5047"/>
      <c r="U81" s="5047"/>
      <c r="V81" s="5047"/>
      <c r="W81" s="5047"/>
      <c r="X81" s="5047"/>
      <c r="Y81" s="5047"/>
      <c r="Z81" s="5047"/>
      <c r="AA81" s="5047"/>
      <c r="AB81" s="5047"/>
      <c r="AC81" s="5047"/>
      <c r="AD81" s="5047"/>
      <c r="AE81" s="5047"/>
      <c r="AF81" s="5047"/>
      <c r="AG81" s="5047"/>
      <c r="AH81" s="5047"/>
      <c r="AI81" s="5047"/>
      <c r="AJ81" s="5047"/>
      <c r="AK81" s="5047"/>
      <c r="AL81" s="5047"/>
      <c r="AM81" s="5047"/>
      <c r="AN81" s="5047"/>
      <c r="AO81" s="5047"/>
      <c r="AP81" s="5047"/>
      <c r="AQ81" s="5047"/>
      <c r="AR81" s="5047"/>
      <c r="AS81" s="5047"/>
      <c r="AT81" s="5047"/>
      <c r="AU81" s="5047"/>
      <c r="AV81" s="5047"/>
      <c r="AW81" s="5047"/>
      <c r="AX81" s="5047"/>
      <c r="AY81" s="5047"/>
      <c r="AZ81" s="5047"/>
      <c r="BA81" s="5047"/>
      <c r="BB81" s="5047"/>
      <c r="BC81" s="5047"/>
      <c r="BD81" s="5047"/>
      <c r="BE81" s="5047"/>
      <c r="BF81" s="5047"/>
      <c r="BG81" s="5047"/>
      <c r="BH81" s="5047"/>
      <c r="BI81" s="5047"/>
      <c r="BJ81" s="5047"/>
      <c r="BK81" s="5047"/>
      <c r="BL81" s="5047"/>
      <c r="BM81" s="5047"/>
      <c r="BN81" s="5047"/>
      <c r="BO81" s="5047"/>
      <c r="BP81" s="5047"/>
      <c r="BQ81" s="5047"/>
      <c r="BR81" s="5047"/>
      <c r="BS81" s="5047"/>
      <c r="BT81" s="5047"/>
      <c r="BU81" s="5047"/>
      <c r="BV81" s="5047"/>
      <c r="BW81" s="5047"/>
      <c r="BX81" s="5047"/>
      <c r="BY81" s="5047"/>
      <c r="BZ81" s="5048"/>
      <c r="CA81" s="1513"/>
      <c r="CK81" s="1513"/>
      <c r="CL81" s="1513"/>
      <c r="CM81" s="1513"/>
      <c r="CN81" s="1513"/>
      <c r="CO81" s="1513"/>
      <c r="CP81" s="1513"/>
      <c r="CQ81" s="1513"/>
      <c r="CR81" s="1513"/>
      <c r="CS81" s="1513"/>
      <c r="CT81" s="1513"/>
      <c r="CU81" s="1513"/>
      <c r="CV81" s="1513"/>
      <c r="CW81" s="1513"/>
      <c r="CX81" s="1513"/>
      <c r="CY81" s="1513"/>
      <c r="CZ81" s="1513"/>
      <c r="DA81" s="1513"/>
      <c r="DB81" s="1513"/>
      <c r="DC81" s="1513"/>
      <c r="DD81" s="1513"/>
      <c r="DE81" s="1513"/>
      <c r="DF81" s="1513"/>
      <c r="DG81" s="1513"/>
      <c r="DH81" s="1513"/>
      <c r="DI81" s="1513"/>
      <c r="DJ81" s="1513"/>
      <c r="DK81" s="1513"/>
      <c r="DL81" s="1513"/>
      <c r="DM81" s="1513"/>
      <c r="DN81" s="1513"/>
      <c r="DO81" s="1513"/>
      <c r="DP81" s="1513"/>
      <c r="DQ81" s="1513"/>
      <c r="DR81" s="1513"/>
      <c r="DS81" s="1513"/>
      <c r="DT81" s="1513"/>
      <c r="DU81" s="1513"/>
      <c r="DV81" s="1513"/>
      <c r="DW81" s="1513"/>
      <c r="DX81" s="1513"/>
      <c r="DY81" s="1513"/>
      <c r="DZ81" s="1513"/>
      <c r="EA81" s="1513"/>
      <c r="EB81" s="1513"/>
      <c r="EC81" s="1513"/>
      <c r="ED81" s="1513"/>
      <c r="EE81" s="1513"/>
      <c r="EF81" s="1513"/>
      <c r="EG81" s="1513"/>
      <c r="EH81" s="1513"/>
      <c r="EI81" s="1513"/>
      <c r="EJ81" s="1513"/>
      <c r="EK81" s="1513"/>
      <c r="EL81" s="1513"/>
      <c r="EM81" s="1513"/>
      <c r="EN81" s="1513"/>
      <c r="EO81" s="1513"/>
      <c r="EP81" s="1513"/>
      <c r="EQ81" s="1513"/>
      <c r="ER81" s="1513"/>
      <c r="ES81" s="1513"/>
      <c r="ET81" s="1513"/>
      <c r="EU81" s="1513"/>
      <c r="EV81" s="1513"/>
      <c r="EW81" s="1513"/>
      <c r="EX81" s="1513"/>
      <c r="EY81" s="1513"/>
      <c r="EZ81" s="1513"/>
      <c r="FA81" s="1513"/>
      <c r="FB81" s="1513"/>
      <c r="FC81" s="1513"/>
      <c r="FD81" s="1513"/>
      <c r="FE81" s="1513"/>
      <c r="FF81" s="1513"/>
      <c r="FG81" s="1513"/>
      <c r="FH81" s="1513"/>
      <c r="FI81" s="1513"/>
      <c r="FJ81" s="1513"/>
      <c r="FL81" s="1513"/>
    </row>
    <row r="82" spans="1:168" ht="17.100000000000001" customHeight="1" x14ac:dyDescent="0.15">
      <c r="A82" s="1513"/>
      <c r="B82" s="1282"/>
      <c r="C82" s="1282"/>
      <c r="D82" s="1282"/>
      <c r="E82" s="1282"/>
      <c r="F82" s="1282"/>
      <c r="G82" s="1282"/>
      <c r="H82" s="1282"/>
      <c r="I82" s="1282"/>
      <c r="J82" s="1282"/>
      <c r="K82" s="1282"/>
      <c r="L82" s="1282"/>
      <c r="M82" s="1282"/>
      <c r="N82" s="1282"/>
      <c r="O82" s="1282"/>
      <c r="P82" s="1282"/>
      <c r="Q82" s="1282"/>
      <c r="R82" s="1282"/>
      <c r="S82" s="1282"/>
      <c r="T82" s="1282"/>
      <c r="U82" s="1282"/>
      <c r="V82" s="1282"/>
      <c r="W82" s="1282"/>
      <c r="X82" s="1282"/>
      <c r="Y82" s="1282"/>
      <c r="Z82" s="1282"/>
      <c r="AA82" s="1282"/>
      <c r="AB82" s="1282"/>
      <c r="AC82" s="1282"/>
      <c r="AD82" s="1282"/>
      <c r="AE82" s="1282"/>
      <c r="AF82" s="1282"/>
      <c r="AG82" s="1282"/>
      <c r="AH82" s="1282"/>
      <c r="AI82" s="1282"/>
      <c r="AJ82" s="1282"/>
      <c r="AK82" s="1282"/>
      <c r="AL82" s="1282"/>
      <c r="AM82" s="1282"/>
      <c r="AN82" s="1283"/>
      <c r="AO82" s="1282"/>
      <c r="AP82" s="1282"/>
      <c r="AQ82" s="1282"/>
      <c r="AR82" s="1282"/>
      <c r="AS82" s="1282"/>
      <c r="AT82" s="1282"/>
      <c r="AU82" s="1282"/>
      <c r="AV82" s="1282"/>
      <c r="AW82" s="1282"/>
      <c r="AX82" s="1282"/>
      <c r="AY82" s="1282"/>
      <c r="AZ82" s="1282"/>
      <c r="BA82" s="1282"/>
      <c r="BB82" s="1282"/>
      <c r="BC82" s="1282"/>
      <c r="BD82" s="1282"/>
      <c r="BE82" s="1282"/>
      <c r="BF82" s="1282"/>
      <c r="BG82" s="1282"/>
      <c r="BH82" s="1282"/>
      <c r="BI82" s="1282"/>
      <c r="BJ82" s="1282"/>
      <c r="BK82" s="1282"/>
      <c r="BL82" s="1282"/>
      <c r="BM82" s="1282"/>
      <c r="BN82" s="1282"/>
      <c r="BO82" s="1282"/>
      <c r="BP82" s="1282"/>
      <c r="BQ82" s="1282"/>
      <c r="BR82" s="1282"/>
      <c r="BS82" s="1282"/>
      <c r="BT82" s="1282"/>
      <c r="BU82" s="1282"/>
      <c r="BV82" s="1282"/>
      <c r="BW82" s="1282"/>
      <c r="BX82" s="1282"/>
      <c r="BY82" s="1282"/>
      <c r="BZ82" s="1282"/>
      <c r="CA82" s="1513"/>
      <c r="CK82" s="1513"/>
      <c r="CL82" s="1513"/>
      <c r="CM82" s="1513"/>
      <c r="CN82" s="1513"/>
      <c r="CO82" s="1513"/>
      <c r="CP82" s="1513"/>
      <c r="CQ82" s="1513"/>
      <c r="CR82" s="1513"/>
      <c r="CS82" s="1513"/>
      <c r="CT82" s="1513"/>
      <c r="CU82" s="1513"/>
      <c r="CV82" s="1513"/>
      <c r="CW82" s="1513"/>
      <c r="CX82" s="1513"/>
      <c r="CY82" s="1513"/>
      <c r="CZ82" s="1513"/>
      <c r="DA82" s="1513"/>
      <c r="DB82" s="1513"/>
      <c r="DC82" s="1513"/>
      <c r="DD82" s="1513"/>
      <c r="DE82" s="1513"/>
      <c r="DF82" s="1513"/>
      <c r="DG82" s="1513"/>
      <c r="DH82" s="1513"/>
      <c r="DI82" s="1513"/>
      <c r="DJ82" s="1513"/>
      <c r="DK82" s="1513"/>
      <c r="DL82" s="1513"/>
      <c r="DM82" s="1513"/>
      <c r="DN82" s="1513"/>
      <c r="DO82" s="1513"/>
      <c r="DP82" s="1513"/>
      <c r="DQ82" s="1513"/>
      <c r="DR82" s="1513"/>
      <c r="DS82" s="1513"/>
      <c r="DT82" s="1513"/>
      <c r="DU82" s="1513"/>
      <c r="DV82" s="1513"/>
      <c r="DW82" s="1513"/>
      <c r="DX82" s="1513"/>
      <c r="DY82" s="1513"/>
      <c r="DZ82" s="1513"/>
      <c r="EA82" s="1513"/>
      <c r="EB82" s="1513"/>
      <c r="EC82" s="1513"/>
      <c r="ED82" s="1513"/>
      <c r="EE82" s="1513"/>
      <c r="EF82" s="1513"/>
      <c r="EG82" s="1513"/>
      <c r="EH82" s="1513"/>
      <c r="EI82" s="1513"/>
      <c r="EJ82" s="1513"/>
      <c r="EK82" s="1513"/>
      <c r="EL82" s="1513"/>
      <c r="EM82" s="1513"/>
      <c r="EN82" s="1513"/>
      <c r="EO82" s="1513"/>
      <c r="EP82" s="1513"/>
      <c r="EQ82" s="1513"/>
      <c r="ER82" s="1513"/>
      <c r="ES82" s="1513"/>
      <c r="ET82" s="1513"/>
      <c r="EU82" s="1513"/>
      <c r="EV82" s="1513"/>
      <c r="EW82" s="1513"/>
      <c r="EX82" s="1513"/>
      <c r="EY82" s="1513"/>
      <c r="EZ82" s="1513"/>
      <c r="FA82" s="1513"/>
      <c r="FB82" s="1513"/>
      <c r="FC82" s="1513"/>
      <c r="FD82" s="1513"/>
      <c r="FE82" s="1513"/>
      <c r="FF82" s="1513"/>
      <c r="FG82" s="1513"/>
      <c r="FH82" s="1513"/>
      <c r="FI82" s="1513"/>
      <c r="FJ82" s="1513"/>
      <c r="FL82" s="1513"/>
    </row>
    <row r="83" spans="1:168" ht="17.100000000000001" customHeight="1" x14ac:dyDescent="0.15">
      <c r="A83" s="1513"/>
      <c r="B83" s="1282"/>
      <c r="C83" s="1282"/>
      <c r="D83" s="1282"/>
      <c r="E83" s="1282"/>
      <c r="F83" s="1282"/>
      <c r="G83" s="1282"/>
      <c r="H83" s="1282"/>
      <c r="I83" s="1282"/>
      <c r="J83" s="1282"/>
      <c r="K83" s="1282"/>
      <c r="L83" s="1282"/>
      <c r="M83" s="1282"/>
      <c r="N83" s="1282"/>
      <c r="O83" s="1282"/>
      <c r="P83" s="1282"/>
      <c r="Q83" s="1282"/>
      <c r="R83" s="1282"/>
      <c r="S83" s="1282"/>
      <c r="T83" s="1282"/>
      <c r="U83" s="1282"/>
      <c r="V83" s="1282"/>
      <c r="W83" s="1282"/>
      <c r="X83" s="1282"/>
      <c r="Y83" s="1282"/>
      <c r="Z83" s="1282"/>
      <c r="AA83" s="1282"/>
      <c r="AB83" s="1282"/>
      <c r="AC83" s="1282"/>
      <c r="AD83" s="1282"/>
      <c r="AE83" s="1282"/>
      <c r="AF83" s="1282"/>
      <c r="AG83" s="1282"/>
      <c r="AH83" s="1282"/>
      <c r="AI83" s="1282"/>
      <c r="AJ83" s="1282"/>
      <c r="AK83" s="1282"/>
      <c r="AL83" s="1282"/>
      <c r="AM83" s="1282"/>
      <c r="AN83" s="1282"/>
      <c r="AO83" s="1282"/>
      <c r="AP83" s="1282"/>
      <c r="AQ83" s="1282"/>
      <c r="AR83" s="1282"/>
      <c r="AS83" s="1282"/>
      <c r="AT83" s="1282"/>
      <c r="AU83" s="1282"/>
      <c r="AV83" s="1282"/>
      <c r="AW83" s="1282"/>
      <c r="AX83" s="1282"/>
      <c r="AY83" s="1282"/>
      <c r="AZ83" s="1282"/>
      <c r="BA83" s="1282"/>
      <c r="BB83" s="1282"/>
      <c r="BC83" s="1282"/>
      <c r="BD83" s="1282"/>
      <c r="BE83" s="1282"/>
      <c r="BF83" s="1282"/>
      <c r="BG83" s="1282"/>
      <c r="BH83" s="1282"/>
      <c r="BI83" s="1282"/>
      <c r="BJ83" s="1282"/>
      <c r="BK83" s="1282"/>
      <c r="BL83" s="1282"/>
      <c r="BM83" s="1282"/>
      <c r="BN83" s="1282"/>
      <c r="BO83" s="1282"/>
      <c r="BP83" s="1282"/>
      <c r="BQ83" s="1282"/>
      <c r="BR83" s="1282"/>
      <c r="BS83" s="1282"/>
      <c r="BT83" s="1282"/>
      <c r="BU83" s="1282"/>
      <c r="BV83" s="1282"/>
      <c r="BW83" s="1282"/>
      <c r="BX83" s="1282"/>
      <c r="BY83" s="1282"/>
      <c r="BZ83" s="1282"/>
      <c r="CA83" s="1513"/>
      <c r="CK83" s="1513"/>
      <c r="CL83" s="1513"/>
      <c r="CM83" s="1513"/>
      <c r="CN83" s="1513"/>
      <c r="CO83" s="1513"/>
      <c r="CP83" s="1513"/>
      <c r="CQ83" s="1513"/>
      <c r="CR83" s="1513"/>
      <c r="CS83" s="1513"/>
      <c r="CT83" s="1513"/>
      <c r="CU83" s="1513"/>
      <c r="CV83" s="1513"/>
      <c r="CW83" s="1513"/>
      <c r="CX83" s="1513"/>
      <c r="CY83" s="1513"/>
      <c r="CZ83" s="1513"/>
      <c r="DA83" s="1513"/>
      <c r="DB83" s="1513"/>
      <c r="DC83" s="1513"/>
      <c r="DD83" s="1513"/>
      <c r="DE83" s="1513"/>
      <c r="DF83" s="1513"/>
      <c r="DG83" s="1513"/>
      <c r="DH83" s="1513"/>
      <c r="DI83" s="1513"/>
      <c r="DJ83" s="1513"/>
      <c r="DK83" s="1513"/>
      <c r="DL83" s="1513"/>
      <c r="DM83" s="1513"/>
      <c r="DN83" s="1513"/>
      <c r="DO83" s="1513"/>
      <c r="DP83" s="1513"/>
      <c r="DQ83" s="1513"/>
      <c r="DR83" s="1513"/>
      <c r="DS83" s="1513"/>
      <c r="DT83" s="1513"/>
      <c r="DU83" s="1513"/>
      <c r="DV83" s="1513"/>
      <c r="DW83" s="1513"/>
      <c r="DX83" s="1513"/>
      <c r="DY83" s="1513"/>
      <c r="DZ83" s="1513"/>
      <c r="EA83" s="1513"/>
      <c r="EB83" s="1513"/>
      <c r="EC83" s="1513"/>
      <c r="ED83" s="1513"/>
      <c r="EE83" s="1513"/>
      <c r="EF83" s="1513"/>
      <c r="EG83" s="1513"/>
      <c r="EH83" s="1513"/>
      <c r="EI83" s="1513"/>
      <c r="EJ83" s="1513"/>
      <c r="EK83" s="1513"/>
      <c r="EL83" s="1513"/>
      <c r="EM83" s="1513"/>
      <c r="EN83" s="1513"/>
      <c r="EO83" s="1513"/>
      <c r="EP83" s="1513"/>
      <c r="EQ83" s="1513"/>
      <c r="ER83" s="1513"/>
      <c r="ES83" s="1513"/>
      <c r="ET83" s="1513"/>
      <c r="EU83" s="1513"/>
      <c r="EV83" s="1513"/>
      <c r="EW83" s="1513"/>
      <c r="EX83" s="1513"/>
      <c r="EY83" s="1513"/>
      <c r="EZ83" s="1513"/>
      <c r="FA83" s="1513"/>
      <c r="FB83" s="1513"/>
      <c r="FC83" s="1513"/>
      <c r="FD83" s="1513"/>
      <c r="FE83" s="1513"/>
      <c r="FF83" s="1513"/>
      <c r="FG83" s="1513"/>
      <c r="FH83" s="1513"/>
      <c r="FI83" s="1513"/>
      <c r="FJ83" s="1513"/>
      <c r="FL83" s="1513"/>
    </row>
    <row r="84" spans="1:168" ht="17.100000000000001" customHeight="1" x14ac:dyDescent="0.15">
      <c r="A84" s="1513"/>
      <c r="B84" s="1282"/>
      <c r="C84" s="1282"/>
      <c r="D84" s="1282"/>
      <c r="E84" s="1282"/>
      <c r="F84" s="1282"/>
      <c r="G84" s="1282"/>
      <c r="H84" s="1282"/>
      <c r="I84" s="1282"/>
      <c r="J84" s="1282"/>
      <c r="K84" s="1282"/>
      <c r="L84" s="1282"/>
      <c r="M84" s="1282"/>
      <c r="N84" s="1282"/>
      <c r="O84" s="1282"/>
      <c r="P84" s="1282"/>
      <c r="Q84" s="1282"/>
      <c r="R84" s="1282"/>
      <c r="S84" s="1282"/>
      <c r="T84" s="1282"/>
      <c r="U84" s="1282"/>
      <c r="V84" s="1282"/>
      <c r="W84" s="1282"/>
      <c r="X84" s="1282"/>
      <c r="Y84" s="1282"/>
      <c r="Z84" s="1282"/>
      <c r="AA84" s="1282"/>
      <c r="AB84" s="1282"/>
      <c r="AC84" s="1282"/>
      <c r="AD84" s="1282"/>
      <c r="AE84" s="1282"/>
      <c r="AF84" s="1282"/>
      <c r="AG84" s="1282"/>
      <c r="AH84" s="1282"/>
      <c r="AI84" s="1282"/>
      <c r="AJ84" s="1282"/>
      <c r="AK84" s="1282"/>
      <c r="AL84" s="1282"/>
      <c r="AM84" s="1282"/>
      <c r="AN84" s="1282"/>
      <c r="AO84" s="1282"/>
      <c r="AP84" s="1282"/>
      <c r="AQ84" s="1282"/>
      <c r="AR84" s="1282"/>
      <c r="AS84" s="1282"/>
      <c r="AT84" s="1282"/>
      <c r="AU84" s="1282"/>
      <c r="AV84" s="1282"/>
      <c r="AW84" s="1282"/>
      <c r="AX84" s="1282"/>
      <c r="AY84" s="1282"/>
      <c r="AZ84" s="1282"/>
      <c r="BA84" s="1282"/>
      <c r="BB84" s="1282"/>
      <c r="BC84" s="1282"/>
      <c r="BD84" s="1282"/>
      <c r="BE84" s="1282"/>
      <c r="BF84" s="1282"/>
      <c r="BG84" s="1282"/>
      <c r="BH84" s="1282"/>
      <c r="BI84" s="1282"/>
      <c r="BJ84" s="1282"/>
      <c r="BK84" s="1282"/>
      <c r="BL84" s="1282"/>
      <c r="BM84" s="1282"/>
      <c r="BN84" s="1282"/>
      <c r="BO84" s="1282"/>
      <c r="BP84" s="1282"/>
      <c r="BQ84" s="1282"/>
      <c r="BR84" s="1282"/>
      <c r="BS84" s="1282"/>
      <c r="BT84" s="1282"/>
      <c r="BU84" s="1282"/>
      <c r="BV84" s="1282"/>
      <c r="BW84" s="1282"/>
      <c r="BX84" s="1282"/>
      <c r="BY84" s="1282"/>
      <c r="BZ84" s="1282"/>
      <c r="CA84" s="1513"/>
      <c r="CK84" s="1513"/>
      <c r="CL84" s="1513"/>
      <c r="CM84" s="1513"/>
      <c r="CN84" s="1513"/>
      <c r="CO84" s="1513"/>
      <c r="CP84" s="1513"/>
      <c r="CQ84" s="1513"/>
      <c r="CR84" s="1513"/>
      <c r="CS84" s="1513"/>
      <c r="CT84" s="1513"/>
      <c r="CU84" s="1513"/>
      <c r="CV84" s="1513"/>
      <c r="CW84" s="1513"/>
      <c r="CX84" s="1513"/>
      <c r="CY84" s="1513"/>
      <c r="CZ84" s="1513"/>
      <c r="DA84" s="1513"/>
      <c r="DB84" s="1513"/>
      <c r="DC84" s="1513"/>
      <c r="DD84" s="1513"/>
      <c r="DE84" s="1513"/>
      <c r="DF84" s="1513"/>
      <c r="DG84" s="1513"/>
      <c r="DH84" s="1513"/>
      <c r="DI84" s="1513"/>
      <c r="DJ84" s="1513"/>
      <c r="DK84" s="1513"/>
      <c r="DL84" s="1513"/>
      <c r="DM84" s="1513"/>
      <c r="DN84" s="1513"/>
      <c r="DO84" s="1513"/>
      <c r="DP84" s="1513"/>
      <c r="DQ84" s="1513"/>
      <c r="DR84" s="1513"/>
      <c r="DS84" s="1513"/>
      <c r="DT84" s="1513"/>
      <c r="DU84" s="1513"/>
      <c r="DV84" s="1513"/>
      <c r="DW84" s="1513"/>
      <c r="DX84" s="1513"/>
      <c r="DY84" s="1513"/>
      <c r="DZ84" s="1513"/>
      <c r="EA84" s="1513"/>
      <c r="EB84" s="1513"/>
      <c r="EC84" s="1513"/>
      <c r="ED84" s="1513"/>
      <c r="EE84" s="1513"/>
      <c r="EF84" s="1513"/>
      <c r="EG84" s="1513"/>
      <c r="EH84" s="1513"/>
      <c r="EI84" s="1513"/>
      <c r="EJ84" s="1513"/>
      <c r="EK84" s="1513"/>
      <c r="EL84" s="1513"/>
      <c r="EM84" s="1513"/>
      <c r="EN84" s="1513"/>
      <c r="EO84" s="1513"/>
      <c r="EP84" s="1513"/>
      <c r="EQ84" s="1513"/>
      <c r="ER84" s="1513"/>
      <c r="ES84" s="1513"/>
      <c r="ET84" s="1513"/>
      <c r="EU84" s="1513"/>
      <c r="EV84" s="1513"/>
      <c r="EW84" s="1513"/>
      <c r="EX84" s="1513"/>
      <c r="EY84" s="1513"/>
      <c r="EZ84" s="1513"/>
      <c r="FA84" s="1513"/>
      <c r="FB84" s="1513"/>
      <c r="FC84" s="1513"/>
      <c r="FD84" s="1513"/>
      <c r="FE84" s="1513"/>
      <c r="FF84" s="1513"/>
      <c r="FG84" s="1513"/>
      <c r="FH84" s="1513"/>
      <c r="FI84" s="1513"/>
      <c r="FJ84" s="1513"/>
      <c r="FL84" s="1513"/>
    </row>
    <row r="85" spans="1:168" ht="17.100000000000001" customHeight="1" x14ac:dyDescent="0.15">
      <c r="A85" s="1513"/>
      <c r="B85" s="1282"/>
      <c r="C85" s="1282"/>
      <c r="D85" s="1282"/>
      <c r="E85" s="1282"/>
      <c r="F85" s="1282"/>
      <c r="G85" s="1282"/>
      <c r="H85" s="1282"/>
      <c r="I85" s="1282"/>
      <c r="J85" s="1282"/>
      <c r="K85" s="1282"/>
      <c r="L85" s="1282"/>
      <c r="M85" s="1282"/>
      <c r="N85" s="1282"/>
      <c r="O85" s="1282"/>
      <c r="P85" s="1282"/>
      <c r="Q85" s="1282"/>
      <c r="R85" s="1282"/>
      <c r="S85" s="1282"/>
      <c r="T85" s="1282"/>
      <c r="U85" s="1282"/>
      <c r="V85" s="1282"/>
      <c r="W85" s="1282"/>
      <c r="X85" s="1282"/>
      <c r="Y85" s="1282"/>
      <c r="Z85" s="1282"/>
      <c r="AA85" s="1282"/>
      <c r="AB85" s="1282"/>
      <c r="AC85" s="1282"/>
      <c r="AD85" s="1282"/>
      <c r="AE85" s="1282"/>
      <c r="AF85" s="1282"/>
      <c r="AG85" s="1282"/>
      <c r="AH85" s="1282"/>
      <c r="AI85" s="1282"/>
      <c r="AJ85" s="1282"/>
      <c r="AK85" s="1282"/>
      <c r="AL85" s="1282"/>
      <c r="AM85" s="1282"/>
      <c r="AN85" s="1282"/>
      <c r="AO85" s="1282"/>
      <c r="AP85" s="1282"/>
      <c r="AQ85" s="1282"/>
      <c r="AR85" s="1282"/>
      <c r="AS85" s="1282"/>
      <c r="AT85" s="1282"/>
      <c r="AU85" s="1282"/>
      <c r="AV85" s="1282"/>
      <c r="AW85" s="1282"/>
      <c r="AX85" s="1282"/>
      <c r="AY85" s="1282"/>
      <c r="AZ85" s="1282"/>
      <c r="BA85" s="1282"/>
      <c r="BB85" s="1282"/>
      <c r="BC85" s="1282"/>
      <c r="BD85" s="1282"/>
      <c r="BE85" s="1282"/>
      <c r="BF85" s="1282"/>
      <c r="BG85" s="1282"/>
      <c r="BH85" s="1282"/>
      <c r="BI85" s="1282"/>
      <c r="BJ85" s="1282"/>
      <c r="BK85" s="1282"/>
      <c r="BL85" s="1282"/>
      <c r="BM85" s="1282"/>
      <c r="BN85" s="1282"/>
      <c r="BO85" s="1282"/>
      <c r="BP85" s="1282"/>
      <c r="BQ85" s="1282"/>
      <c r="BR85" s="1282"/>
      <c r="BS85" s="1282"/>
      <c r="BT85" s="1282"/>
      <c r="BU85" s="1282"/>
      <c r="BV85" s="1282"/>
      <c r="BW85" s="1282"/>
      <c r="BX85" s="1282"/>
      <c r="BY85" s="1282"/>
      <c r="BZ85" s="1282"/>
      <c r="CA85" s="1513"/>
      <c r="CK85" s="1513"/>
      <c r="CL85" s="1513"/>
      <c r="CM85" s="1513"/>
      <c r="CN85" s="1513"/>
      <c r="CO85" s="1513"/>
      <c r="CP85" s="1513"/>
      <c r="CQ85" s="1513"/>
      <c r="CR85" s="1513"/>
      <c r="CS85" s="1513"/>
      <c r="CT85" s="1513"/>
      <c r="CU85" s="1513"/>
      <c r="CV85" s="1513"/>
      <c r="CW85" s="1513"/>
      <c r="CX85" s="1513"/>
      <c r="CY85" s="1513"/>
      <c r="CZ85" s="1513"/>
      <c r="DA85" s="1513"/>
      <c r="DB85" s="1513"/>
      <c r="DC85" s="1513"/>
      <c r="DD85" s="1513"/>
      <c r="DE85" s="1513"/>
      <c r="DF85" s="1513"/>
      <c r="DG85" s="1513"/>
      <c r="DH85" s="1513"/>
      <c r="DI85" s="1513"/>
      <c r="DJ85" s="1513"/>
      <c r="DK85" s="1513"/>
      <c r="DL85" s="1513"/>
      <c r="DM85" s="1513"/>
      <c r="DN85" s="1513"/>
      <c r="DO85" s="1513"/>
      <c r="DP85" s="1513"/>
      <c r="DQ85" s="1513"/>
      <c r="DR85" s="1513"/>
      <c r="DS85" s="1513"/>
      <c r="DT85" s="1513"/>
      <c r="DU85" s="1513"/>
      <c r="DV85" s="1513"/>
      <c r="DW85" s="1513"/>
      <c r="DX85" s="1513"/>
      <c r="DY85" s="1513"/>
      <c r="DZ85" s="1513"/>
      <c r="EA85" s="1513"/>
      <c r="EB85" s="1513"/>
      <c r="EC85" s="1513"/>
      <c r="ED85" s="1513"/>
      <c r="EE85" s="1513"/>
      <c r="EF85" s="1513"/>
      <c r="EG85" s="1513"/>
      <c r="EH85" s="1513"/>
      <c r="EI85" s="1513"/>
      <c r="EJ85" s="1513"/>
      <c r="EK85" s="1513"/>
      <c r="EL85" s="1513"/>
      <c r="EM85" s="1513"/>
      <c r="EN85" s="1513"/>
      <c r="EO85" s="1513"/>
      <c r="EP85" s="1513"/>
      <c r="EQ85" s="1513"/>
      <c r="ER85" s="1513"/>
      <c r="ES85" s="1513"/>
      <c r="ET85" s="1513"/>
      <c r="EU85" s="1513"/>
      <c r="EV85" s="1513"/>
      <c r="EW85" s="1513"/>
      <c r="EX85" s="1513"/>
      <c r="EY85" s="1513"/>
      <c r="EZ85" s="1513"/>
      <c r="FA85" s="1513"/>
      <c r="FB85" s="1513"/>
      <c r="FC85" s="1513"/>
      <c r="FD85" s="1513"/>
      <c r="FE85" s="1513"/>
      <c r="FF85" s="1513"/>
      <c r="FG85" s="1513"/>
      <c r="FH85" s="1513"/>
      <c r="FI85" s="1513"/>
      <c r="FJ85" s="1513"/>
      <c r="FL85" s="1513"/>
    </row>
    <row r="86" spans="1:168" ht="17.100000000000001" customHeight="1" x14ac:dyDescent="0.15">
      <c r="A86" s="1513"/>
      <c r="B86" s="1282"/>
      <c r="C86" s="1282"/>
      <c r="D86" s="1282"/>
      <c r="E86" s="1282"/>
      <c r="F86" s="1282"/>
      <c r="G86" s="1282"/>
      <c r="H86" s="1282"/>
      <c r="I86" s="1282"/>
      <c r="J86" s="1282"/>
      <c r="K86" s="1282"/>
      <c r="L86" s="1282"/>
      <c r="M86" s="1282"/>
      <c r="N86" s="1282"/>
      <c r="O86" s="1282"/>
      <c r="P86" s="1282"/>
      <c r="Q86" s="1282"/>
      <c r="R86" s="1282"/>
      <c r="S86" s="1282"/>
      <c r="T86" s="1282"/>
      <c r="U86" s="1282"/>
      <c r="V86" s="1282"/>
      <c r="W86" s="1282"/>
      <c r="X86" s="1282"/>
      <c r="Y86" s="1282"/>
      <c r="Z86" s="1282"/>
      <c r="AA86" s="1282"/>
      <c r="AB86" s="1282"/>
      <c r="AC86" s="1282"/>
      <c r="AD86" s="1282"/>
      <c r="AE86" s="1282"/>
      <c r="AF86" s="1282"/>
      <c r="AG86" s="1282"/>
      <c r="AH86" s="1282"/>
      <c r="AI86" s="1282"/>
      <c r="AJ86" s="1282"/>
      <c r="AK86" s="1282"/>
      <c r="AL86" s="1282"/>
      <c r="AM86" s="1282"/>
      <c r="AN86" s="1282"/>
      <c r="AO86" s="1282"/>
      <c r="AP86" s="1282"/>
      <c r="AQ86" s="1282"/>
      <c r="AR86" s="1282"/>
      <c r="AS86" s="1282"/>
      <c r="AT86" s="1282"/>
      <c r="AU86" s="1282"/>
      <c r="AV86" s="1282"/>
      <c r="AW86" s="1282"/>
      <c r="AX86" s="1282"/>
      <c r="AY86" s="1282"/>
      <c r="AZ86" s="1282"/>
      <c r="BA86" s="1282"/>
      <c r="BB86" s="1282"/>
      <c r="BC86" s="1282"/>
      <c r="BD86" s="1282"/>
      <c r="BE86" s="1282"/>
      <c r="BF86" s="1282"/>
      <c r="BG86" s="1282"/>
      <c r="BH86" s="1282"/>
      <c r="BI86" s="1282"/>
      <c r="BJ86" s="1282"/>
      <c r="BK86" s="1282"/>
      <c r="BL86" s="1282"/>
      <c r="BM86" s="1282"/>
      <c r="BN86" s="1282"/>
      <c r="BO86" s="1282"/>
      <c r="BP86" s="1282"/>
      <c r="BQ86" s="1282"/>
      <c r="BR86" s="1282"/>
      <c r="BS86" s="1282"/>
      <c r="BT86" s="1282"/>
      <c r="BU86" s="1282"/>
      <c r="BV86" s="1282"/>
      <c r="BW86" s="1282"/>
      <c r="BX86" s="1282"/>
      <c r="BY86" s="1282"/>
      <c r="BZ86" s="1282"/>
      <c r="CA86" s="1513"/>
      <c r="CK86" s="1513"/>
      <c r="CL86" s="1513"/>
      <c r="CM86" s="1513"/>
      <c r="CN86" s="1513"/>
      <c r="CO86" s="1513"/>
      <c r="CP86" s="1513"/>
      <c r="CQ86" s="1513"/>
      <c r="CR86" s="1513"/>
      <c r="CS86" s="1513"/>
      <c r="CT86" s="1513"/>
      <c r="CU86" s="1513"/>
      <c r="CV86" s="1513"/>
      <c r="CW86" s="1513"/>
      <c r="CX86" s="1513"/>
      <c r="CY86" s="1513"/>
      <c r="CZ86" s="1513"/>
      <c r="DA86" s="1513"/>
      <c r="DB86" s="1513"/>
      <c r="DC86" s="1513"/>
      <c r="DD86" s="1513"/>
      <c r="DE86" s="1513"/>
      <c r="DF86" s="1513"/>
      <c r="DG86" s="1513"/>
      <c r="DH86" s="1513"/>
      <c r="DI86" s="1513"/>
      <c r="DJ86" s="1513"/>
      <c r="DK86" s="1513"/>
      <c r="DL86" s="1513"/>
      <c r="DM86" s="1513"/>
      <c r="DN86" s="1513"/>
      <c r="DO86" s="1513"/>
      <c r="DP86" s="1513"/>
      <c r="DQ86" s="1513"/>
      <c r="DR86" s="1513"/>
      <c r="DS86" s="1513"/>
      <c r="DT86" s="1513"/>
      <c r="DU86" s="1513"/>
      <c r="DV86" s="1513"/>
      <c r="DW86" s="1513"/>
      <c r="DX86" s="1513"/>
      <c r="DY86" s="1513"/>
      <c r="DZ86" s="1513"/>
      <c r="EA86" s="1513"/>
      <c r="EB86" s="1513"/>
      <c r="EC86" s="1513"/>
      <c r="ED86" s="1513"/>
      <c r="EE86" s="1513"/>
      <c r="EF86" s="1513"/>
      <c r="EG86" s="1513"/>
      <c r="EH86" s="1513"/>
      <c r="EI86" s="1513"/>
      <c r="EJ86" s="1513"/>
      <c r="EK86" s="1513"/>
      <c r="EL86" s="1513"/>
      <c r="EM86" s="1513"/>
      <c r="EN86" s="1513"/>
      <c r="EO86" s="1513"/>
      <c r="EP86" s="1513"/>
      <c r="EQ86" s="1513"/>
      <c r="ER86" s="1513"/>
      <c r="ES86" s="1513"/>
      <c r="ET86" s="1513"/>
      <c r="EU86" s="1513"/>
      <c r="EV86" s="1513"/>
      <c r="EW86" s="1513"/>
      <c r="EX86" s="1513"/>
      <c r="EY86" s="1513"/>
      <c r="EZ86" s="1513"/>
      <c r="FA86" s="1513"/>
      <c r="FB86" s="1513"/>
      <c r="FC86" s="1513"/>
      <c r="FD86" s="1513"/>
      <c r="FE86" s="1513"/>
      <c r="FF86" s="1513"/>
      <c r="FG86" s="1513"/>
      <c r="FH86" s="1513"/>
      <c r="FI86" s="1513"/>
      <c r="FJ86" s="1513"/>
      <c r="FL86" s="1513"/>
    </row>
    <row r="87" spans="1:168" ht="17.100000000000001" customHeight="1" x14ac:dyDescent="0.15">
      <c r="A87" s="1513"/>
      <c r="B87" s="1282"/>
      <c r="C87" s="1282"/>
      <c r="D87" s="1282"/>
      <c r="E87" s="1282"/>
      <c r="F87" s="1282"/>
      <c r="G87" s="1282"/>
      <c r="H87" s="1282"/>
      <c r="I87" s="1282"/>
      <c r="J87" s="1282"/>
      <c r="K87" s="1282"/>
      <c r="L87" s="1282"/>
      <c r="M87" s="1282"/>
      <c r="N87" s="1282"/>
      <c r="O87" s="1282"/>
      <c r="P87" s="1282"/>
      <c r="Q87" s="1282"/>
      <c r="R87" s="1282"/>
      <c r="S87" s="1282"/>
      <c r="T87" s="1282"/>
      <c r="U87" s="1282"/>
      <c r="V87" s="1282"/>
      <c r="W87" s="1282"/>
      <c r="X87" s="1282"/>
      <c r="Y87" s="1282"/>
      <c r="Z87" s="1282"/>
      <c r="AA87" s="1282"/>
      <c r="AB87" s="1282"/>
      <c r="AC87" s="1282"/>
      <c r="AD87" s="1282"/>
      <c r="AE87" s="1282"/>
      <c r="AF87" s="1282"/>
      <c r="AG87" s="1282"/>
      <c r="AH87" s="1282"/>
      <c r="AI87" s="1282"/>
      <c r="AJ87" s="1282"/>
      <c r="AK87" s="1282"/>
      <c r="AL87" s="1282"/>
      <c r="AM87" s="1282"/>
      <c r="AN87" s="1282"/>
      <c r="AO87" s="1282"/>
      <c r="AP87" s="1282"/>
      <c r="AQ87" s="1282"/>
      <c r="AR87" s="1282"/>
      <c r="AS87" s="1282"/>
      <c r="AT87" s="1282"/>
      <c r="AU87" s="1282"/>
      <c r="AV87" s="1282"/>
      <c r="AW87" s="1282"/>
      <c r="AX87" s="1282"/>
      <c r="AY87" s="1282"/>
      <c r="AZ87" s="1282"/>
      <c r="BA87" s="1282"/>
      <c r="BB87" s="1282"/>
      <c r="BC87" s="1282"/>
      <c r="BD87" s="1282"/>
      <c r="BE87" s="1282"/>
      <c r="BF87" s="1282"/>
      <c r="BG87" s="1282"/>
      <c r="BH87" s="1282"/>
      <c r="BI87" s="1282"/>
      <c r="BJ87" s="1282"/>
      <c r="BK87" s="1282"/>
      <c r="BL87" s="1282"/>
      <c r="BM87" s="1282"/>
      <c r="BN87" s="1282"/>
      <c r="BO87" s="1282"/>
      <c r="BP87" s="1282"/>
      <c r="BQ87" s="1282"/>
      <c r="BR87" s="1282"/>
      <c r="BS87" s="1282"/>
      <c r="BT87" s="1282"/>
      <c r="BU87" s="1282"/>
      <c r="BV87" s="1282"/>
      <c r="BW87" s="1282"/>
      <c r="BX87" s="1282"/>
      <c r="BY87" s="1282"/>
      <c r="BZ87" s="1282"/>
      <c r="CA87" s="1513"/>
      <c r="CK87" s="1513"/>
      <c r="CL87" s="1513"/>
      <c r="CM87" s="1513"/>
      <c r="CN87" s="1513"/>
      <c r="CO87" s="1513"/>
      <c r="CP87" s="1513"/>
      <c r="CQ87" s="1513"/>
      <c r="CR87" s="1513"/>
      <c r="CS87" s="1513"/>
      <c r="CT87" s="1513"/>
      <c r="CU87" s="1513"/>
      <c r="CV87" s="1513"/>
      <c r="CW87" s="1513"/>
      <c r="CX87" s="1513"/>
      <c r="CY87" s="1513"/>
      <c r="CZ87" s="1513"/>
      <c r="DA87" s="1513"/>
      <c r="DB87" s="1513"/>
      <c r="DC87" s="1513"/>
      <c r="DD87" s="1513"/>
      <c r="DE87" s="1513"/>
      <c r="DF87" s="1513"/>
      <c r="DG87" s="1513"/>
      <c r="DH87" s="1513"/>
      <c r="DI87" s="1513"/>
      <c r="DJ87" s="1513"/>
      <c r="DK87" s="1513"/>
      <c r="DL87" s="1513"/>
      <c r="DM87" s="1513"/>
      <c r="DN87" s="1513"/>
      <c r="DO87" s="1513"/>
      <c r="DP87" s="1513"/>
      <c r="DQ87" s="1513"/>
      <c r="DR87" s="1513"/>
      <c r="DS87" s="1513"/>
      <c r="DT87" s="1513"/>
      <c r="DU87" s="1513"/>
      <c r="DV87" s="1513"/>
      <c r="DW87" s="1513"/>
      <c r="DX87" s="1513"/>
      <c r="DY87" s="1513"/>
      <c r="DZ87" s="1513"/>
      <c r="EA87" s="1513"/>
      <c r="EB87" s="1513"/>
      <c r="EC87" s="1513"/>
      <c r="ED87" s="1513"/>
      <c r="EE87" s="1513"/>
      <c r="EF87" s="1513"/>
      <c r="EG87" s="1513"/>
      <c r="EH87" s="1513"/>
      <c r="EI87" s="1513"/>
      <c r="EJ87" s="1513"/>
      <c r="EK87" s="1513"/>
      <c r="EL87" s="1513"/>
      <c r="EM87" s="1513"/>
      <c r="EN87" s="1513"/>
      <c r="EO87" s="1513"/>
      <c r="EP87" s="1513"/>
      <c r="EQ87" s="1513"/>
      <c r="ER87" s="1513"/>
      <c r="ES87" s="1513"/>
      <c r="ET87" s="1513"/>
      <c r="EU87" s="1513"/>
      <c r="EV87" s="1513"/>
      <c r="EW87" s="1513"/>
      <c r="EX87" s="1513"/>
      <c r="EY87" s="1513"/>
      <c r="EZ87" s="1513"/>
      <c r="FA87" s="1513"/>
      <c r="FB87" s="1513"/>
      <c r="FC87" s="1513"/>
      <c r="FD87" s="1513"/>
      <c r="FE87" s="1513"/>
      <c r="FF87" s="1513"/>
      <c r="FG87" s="1513"/>
      <c r="FH87" s="1513"/>
      <c r="FI87" s="1513"/>
      <c r="FJ87" s="1513"/>
      <c r="FL87" s="1513"/>
    </row>
    <row r="88" spans="1:168" ht="17.100000000000001" customHeight="1" x14ac:dyDescent="0.15">
      <c r="A88" s="1513"/>
      <c r="B88" s="1282"/>
      <c r="C88" s="1282"/>
      <c r="D88" s="1282"/>
      <c r="E88" s="1282"/>
      <c r="F88" s="1282"/>
      <c r="G88" s="1282"/>
      <c r="H88" s="1282"/>
      <c r="I88" s="1282"/>
      <c r="J88" s="1282"/>
      <c r="K88" s="1282"/>
      <c r="L88" s="1282"/>
      <c r="M88" s="1282"/>
      <c r="N88" s="1282"/>
      <c r="O88" s="1282"/>
      <c r="P88" s="1282"/>
      <c r="Q88" s="1282"/>
      <c r="R88" s="1282"/>
      <c r="S88" s="1282"/>
      <c r="T88" s="1282"/>
      <c r="U88" s="1282"/>
      <c r="V88" s="1282"/>
      <c r="W88" s="1282"/>
      <c r="X88" s="1282"/>
      <c r="Y88" s="1282"/>
      <c r="Z88" s="1282"/>
      <c r="AA88" s="1282"/>
      <c r="AB88" s="1282"/>
      <c r="AC88" s="1282"/>
      <c r="AD88" s="1282"/>
      <c r="AE88" s="1282"/>
      <c r="AF88" s="1282"/>
      <c r="AG88" s="1282"/>
      <c r="AH88" s="1282"/>
      <c r="AI88" s="1282"/>
      <c r="AJ88" s="1282"/>
      <c r="AK88" s="1282"/>
      <c r="AL88" s="1282"/>
      <c r="AM88" s="1282"/>
      <c r="AN88" s="1282"/>
      <c r="AO88" s="1282"/>
      <c r="AP88" s="1282"/>
      <c r="AQ88" s="1282"/>
      <c r="AR88" s="1282"/>
      <c r="AS88" s="1282"/>
      <c r="AT88" s="1282"/>
      <c r="AU88" s="1282"/>
      <c r="AV88" s="1282"/>
      <c r="AW88" s="1282"/>
      <c r="AX88" s="1282"/>
      <c r="AY88" s="1282"/>
      <c r="AZ88" s="1282"/>
      <c r="BA88" s="1282"/>
      <c r="BB88" s="1282"/>
      <c r="BC88" s="1282"/>
      <c r="BD88" s="1282"/>
      <c r="BE88" s="1282"/>
      <c r="BF88" s="1282"/>
      <c r="BG88" s="1282"/>
      <c r="BH88" s="1282"/>
      <c r="BI88" s="1282"/>
      <c r="BJ88" s="1282"/>
      <c r="BK88" s="1282"/>
      <c r="BL88" s="1282"/>
      <c r="BM88" s="1282"/>
      <c r="BN88" s="1282"/>
      <c r="BO88" s="1282"/>
      <c r="BP88" s="1282"/>
      <c r="BQ88" s="1282"/>
      <c r="BR88" s="1282"/>
      <c r="BS88" s="1282"/>
      <c r="BT88" s="1282"/>
      <c r="BU88" s="1282"/>
      <c r="BV88" s="1282"/>
      <c r="BW88" s="1282"/>
      <c r="BX88" s="1282"/>
      <c r="BY88" s="1282"/>
      <c r="BZ88" s="1282"/>
      <c r="CA88" s="1513"/>
      <c r="CK88" s="1513"/>
      <c r="CL88" s="1513"/>
      <c r="CM88" s="1513"/>
      <c r="CN88" s="1513"/>
      <c r="CO88" s="1513"/>
      <c r="CP88" s="1513"/>
      <c r="CQ88" s="1513"/>
      <c r="CR88" s="1513"/>
      <c r="CS88" s="1513"/>
      <c r="CT88" s="1513"/>
      <c r="CU88" s="1513"/>
      <c r="CV88" s="1513"/>
      <c r="CW88" s="1513"/>
      <c r="CX88" s="1513"/>
      <c r="CY88" s="1513"/>
      <c r="CZ88" s="1513"/>
      <c r="DA88" s="1513"/>
      <c r="DB88" s="1513"/>
      <c r="DC88" s="1513"/>
      <c r="DD88" s="1513"/>
      <c r="DE88" s="1513"/>
      <c r="DF88" s="1513"/>
      <c r="DG88" s="1513"/>
      <c r="DH88" s="1513"/>
      <c r="DI88" s="1513"/>
      <c r="DJ88" s="1513"/>
      <c r="DK88" s="1513"/>
      <c r="DL88" s="1513"/>
      <c r="DM88" s="1513"/>
      <c r="DN88" s="1513"/>
      <c r="DO88" s="1513"/>
      <c r="DP88" s="1513"/>
      <c r="DQ88" s="1513"/>
      <c r="DR88" s="1513"/>
      <c r="DS88" s="1513"/>
      <c r="DT88" s="1513"/>
      <c r="DU88" s="1513"/>
      <c r="DV88" s="1513"/>
      <c r="DW88" s="1513"/>
      <c r="DX88" s="1513"/>
      <c r="DY88" s="1513"/>
      <c r="DZ88" s="1513"/>
      <c r="EA88" s="1513"/>
      <c r="EB88" s="1513"/>
      <c r="EC88" s="1513"/>
      <c r="ED88" s="1513"/>
      <c r="EE88" s="1513"/>
      <c r="EF88" s="1513"/>
      <c r="EG88" s="1513"/>
      <c r="EH88" s="1513"/>
      <c r="EI88" s="1513"/>
      <c r="EJ88" s="1513"/>
      <c r="EK88" s="1513"/>
      <c r="EL88" s="1513"/>
      <c r="EM88" s="1513"/>
      <c r="EN88" s="1513"/>
      <c r="EO88" s="1513"/>
      <c r="EP88" s="1513"/>
      <c r="EQ88" s="1513"/>
      <c r="ER88" s="1513"/>
      <c r="ES88" s="1513"/>
      <c r="ET88" s="1513"/>
      <c r="EU88" s="1513"/>
      <c r="EV88" s="1513"/>
      <c r="EW88" s="1513"/>
      <c r="EX88" s="1513"/>
      <c r="EY88" s="1513"/>
      <c r="EZ88" s="1513"/>
      <c r="FA88" s="1513"/>
      <c r="FB88" s="1513"/>
      <c r="FC88" s="1513"/>
      <c r="FD88" s="1513"/>
      <c r="FE88" s="1513"/>
      <c r="FF88" s="1513"/>
      <c r="FG88" s="1513"/>
      <c r="FH88" s="1513"/>
      <c r="FI88" s="1513"/>
      <c r="FJ88" s="1513"/>
      <c r="FL88" s="1513"/>
    </row>
    <row r="89" spans="1:168" ht="17.100000000000001" customHeight="1" x14ac:dyDescent="0.15">
      <c r="A89" s="1513"/>
      <c r="B89" s="1282"/>
      <c r="C89" s="1282"/>
      <c r="D89" s="1282"/>
      <c r="E89" s="1282"/>
      <c r="F89" s="1282"/>
      <c r="G89" s="1282"/>
      <c r="H89" s="1282"/>
      <c r="I89" s="1282"/>
      <c r="J89" s="1282"/>
      <c r="K89" s="1282"/>
      <c r="L89" s="1282"/>
      <c r="M89" s="1282"/>
      <c r="N89" s="1282"/>
      <c r="O89" s="1282"/>
      <c r="P89" s="1282"/>
      <c r="Q89" s="1282"/>
      <c r="R89" s="1282"/>
      <c r="S89" s="1282"/>
      <c r="T89" s="1282"/>
      <c r="U89" s="1282"/>
      <c r="V89" s="1282"/>
      <c r="W89" s="1282"/>
      <c r="X89" s="1282"/>
      <c r="Y89" s="1282"/>
      <c r="Z89" s="1282"/>
      <c r="AA89" s="1282"/>
      <c r="AB89" s="1282"/>
      <c r="AC89" s="1282"/>
      <c r="AD89" s="1282"/>
      <c r="AE89" s="1282"/>
      <c r="AF89" s="1282"/>
      <c r="AG89" s="1282"/>
      <c r="AH89" s="1282"/>
      <c r="AI89" s="1282"/>
      <c r="AJ89" s="1282"/>
      <c r="AK89" s="1282"/>
      <c r="AL89" s="1282"/>
      <c r="AM89" s="1282"/>
      <c r="AN89" s="1282"/>
      <c r="AO89" s="1282"/>
      <c r="AP89" s="1282"/>
      <c r="AQ89" s="1282"/>
      <c r="AR89" s="1282"/>
      <c r="AS89" s="1282"/>
      <c r="AT89" s="1282"/>
      <c r="AU89" s="1282"/>
      <c r="AV89" s="1282"/>
      <c r="AW89" s="1282"/>
      <c r="AX89" s="1282"/>
      <c r="AY89" s="1282"/>
      <c r="AZ89" s="1282"/>
      <c r="BA89" s="1282"/>
      <c r="BB89" s="1282"/>
      <c r="BC89" s="1282"/>
      <c r="BD89" s="1282"/>
      <c r="BE89" s="1282"/>
      <c r="BF89" s="1282"/>
      <c r="BG89" s="1282"/>
      <c r="BH89" s="1282"/>
      <c r="BI89" s="1282"/>
      <c r="BJ89" s="1282"/>
      <c r="BK89" s="1282"/>
      <c r="BL89" s="1282"/>
      <c r="BM89" s="1282"/>
      <c r="BN89" s="1282"/>
      <c r="BO89" s="1282"/>
      <c r="BP89" s="1282"/>
      <c r="BQ89" s="1282"/>
      <c r="BR89" s="1282"/>
      <c r="BS89" s="1282"/>
      <c r="BT89" s="1282"/>
      <c r="BU89" s="1282"/>
      <c r="BV89" s="1282"/>
      <c r="BW89" s="1282"/>
      <c r="BX89" s="1282"/>
      <c r="BY89" s="1282"/>
      <c r="BZ89" s="1282"/>
      <c r="CA89" s="1513"/>
      <c r="CK89" s="1513"/>
      <c r="CL89" s="1513"/>
      <c r="CM89" s="1513"/>
      <c r="CN89" s="1513"/>
      <c r="CO89" s="1513"/>
      <c r="CP89" s="1513"/>
      <c r="CQ89" s="1513"/>
      <c r="CR89" s="1513"/>
      <c r="CS89" s="1513"/>
      <c r="CT89" s="1513"/>
      <c r="CU89" s="1513"/>
      <c r="CV89" s="1513"/>
      <c r="CW89" s="1513"/>
      <c r="CX89" s="1513"/>
      <c r="CY89" s="1513"/>
      <c r="CZ89" s="1513"/>
      <c r="DA89" s="1513"/>
      <c r="DB89" s="1513"/>
      <c r="DC89" s="1513"/>
      <c r="DD89" s="1513"/>
      <c r="DE89" s="1513"/>
      <c r="DF89" s="1513"/>
      <c r="DG89" s="1513"/>
      <c r="DH89" s="1513"/>
      <c r="DI89" s="1513"/>
      <c r="DJ89" s="1513"/>
      <c r="DK89" s="1513"/>
      <c r="DL89" s="1513"/>
      <c r="DM89" s="1513"/>
      <c r="DN89" s="1513"/>
      <c r="DO89" s="1513"/>
      <c r="DP89" s="1513"/>
      <c r="DQ89" s="1513"/>
      <c r="DR89" s="1513"/>
      <c r="DS89" s="1513"/>
      <c r="DT89" s="1513"/>
      <c r="DU89" s="1513"/>
      <c r="DV89" s="1513"/>
      <c r="DW89" s="1513"/>
      <c r="DX89" s="1513"/>
      <c r="DY89" s="1513"/>
      <c r="DZ89" s="1513"/>
      <c r="EA89" s="1513"/>
      <c r="EB89" s="1513"/>
      <c r="EC89" s="1513"/>
      <c r="ED89" s="1513"/>
      <c r="EE89" s="1513"/>
      <c r="EF89" s="1513"/>
      <c r="EG89" s="1513"/>
      <c r="EH89" s="1513"/>
      <c r="EI89" s="1513"/>
      <c r="EJ89" s="1513"/>
      <c r="EK89" s="1513"/>
      <c r="EL89" s="1513"/>
      <c r="EM89" s="1513"/>
      <c r="EN89" s="1513"/>
      <c r="EO89" s="1513"/>
      <c r="EP89" s="1513"/>
      <c r="EQ89" s="1513"/>
      <c r="ER89" s="1513"/>
      <c r="ES89" s="1513"/>
      <c r="ET89" s="1513"/>
      <c r="EU89" s="1513"/>
      <c r="EV89" s="1513"/>
      <c r="EW89" s="1513"/>
      <c r="EX89" s="1513"/>
      <c r="EY89" s="1513"/>
      <c r="EZ89" s="1513"/>
      <c r="FA89" s="1513"/>
      <c r="FB89" s="1513"/>
      <c r="FC89" s="1513"/>
      <c r="FD89" s="1513"/>
      <c r="FE89" s="1513"/>
      <c r="FF89" s="1513"/>
      <c r="FG89" s="1513"/>
      <c r="FH89" s="1513"/>
      <c r="FI89" s="1513"/>
      <c r="FJ89" s="1513"/>
      <c r="FL89" s="1513"/>
    </row>
    <row r="90" spans="1:168" ht="17.100000000000001" customHeight="1" x14ac:dyDescent="0.15">
      <c r="A90" s="1513"/>
      <c r="B90" s="1282"/>
      <c r="C90" s="1282"/>
      <c r="D90" s="1282"/>
      <c r="E90" s="1282"/>
      <c r="F90" s="1282"/>
      <c r="G90" s="1282"/>
      <c r="H90" s="1282"/>
      <c r="I90" s="1282"/>
      <c r="J90" s="1282"/>
      <c r="K90" s="1282"/>
      <c r="L90" s="1282"/>
      <c r="M90" s="1282"/>
      <c r="N90" s="1282"/>
      <c r="O90" s="1282"/>
      <c r="P90" s="1282"/>
      <c r="Q90" s="1282"/>
      <c r="R90" s="1282"/>
      <c r="S90" s="1282"/>
      <c r="T90" s="1282"/>
      <c r="U90" s="1282"/>
      <c r="V90" s="1282"/>
      <c r="W90" s="1282"/>
      <c r="X90" s="1282"/>
      <c r="Y90" s="1282"/>
      <c r="Z90" s="1282"/>
      <c r="AA90" s="1282"/>
      <c r="AB90" s="1282"/>
      <c r="AC90" s="1282"/>
      <c r="AD90" s="1282"/>
      <c r="AE90" s="1282"/>
      <c r="AF90" s="1282"/>
      <c r="AG90" s="1282"/>
      <c r="AH90" s="1282"/>
      <c r="AI90" s="1282"/>
      <c r="AJ90" s="1282"/>
      <c r="AK90" s="1282"/>
      <c r="AL90" s="1282"/>
      <c r="AM90" s="1282"/>
      <c r="AN90" s="1282"/>
      <c r="AO90" s="1282"/>
      <c r="AP90" s="1282"/>
      <c r="AQ90" s="1282"/>
      <c r="AR90" s="1282"/>
      <c r="AS90" s="1282"/>
      <c r="AT90" s="1282"/>
      <c r="AU90" s="1282"/>
      <c r="AV90" s="1282"/>
      <c r="AW90" s="1282"/>
      <c r="AX90" s="1282"/>
      <c r="AY90" s="1282"/>
      <c r="AZ90" s="1282"/>
      <c r="BA90" s="1282"/>
      <c r="BB90" s="1282"/>
      <c r="BC90" s="1282"/>
      <c r="BD90" s="1282"/>
      <c r="BE90" s="1282"/>
      <c r="BF90" s="1282"/>
      <c r="BG90" s="1282"/>
      <c r="BH90" s="1282"/>
      <c r="BI90" s="1282"/>
      <c r="BJ90" s="1282"/>
      <c r="BK90" s="1282"/>
      <c r="BL90" s="1282"/>
      <c r="BM90" s="1282"/>
      <c r="BN90" s="1282"/>
      <c r="BO90" s="1282"/>
      <c r="BP90" s="1282"/>
      <c r="BQ90" s="1282"/>
      <c r="BR90" s="1282"/>
      <c r="BS90" s="1282"/>
      <c r="BT90" s="1282"/>
      <c r="BU90" s="1282"/>
      <c r="BV90" s="1282"/>
      <c r="BW90" s="1282"/>
      <c r="BX90" s="1282"/>
      <c r="BY90" s="1282"/>
      <c r="BZ90" s="1282"/>
      <c r="CA90" s="1513"/>
      <c r="CK90" s="1513"/>
      <c r="CL90" s="1513"/>
      <c r="CM90" s="1513"/>
      <c r="CN90" s="1513"/>
      <c r="CO90" s="1513"/>
      <c r="CP90" s="1513"/>
      <c r="CQ90" s="1513"/>
      <c r="CR90" s="1513"/>
      <c r="CS90" s="1513"/>
      <c r="CT90" s="1513"/>
      <c r="CU90" s="1513"/>
      <c r="CV90" s="1513"/>
      <c r="CW90" s="1513"/>
      <c r="CX90" s="1513"/>
      <c r="CY90" s="1513"/>
      <c r="CZ90" s="1513"/>
      <c r="DA90" s="1513"/>
      <c r="DB90" s="1513"/>
      <c r="DC90" s="1513"/>
      <c r="DD90" s="1513"/>
      <c r="DE90" s="1513"/>
      <c r="DF90" s="1513"/>
      <c r="DG90" s="1513"/>
      <c r="DH90" s="1513"/>
      <c r="DI90" s="1513"/>
      <c r="DJ90" s="1513"/>
      <c r="DK90" s="1513"/>
      <c r="DL90" s="1513"/>
      <c r="DM90" s="1513"/>
      <c r="DN90" s="1513"/>
      <c r="DO90" s="1513"/>
      <c r="DP90" s="1513"/>
      <c r="DQ90" s="1513"/>
      <c r="DR90" s="1513"/>
      <c r="DS90" s="1513"/>
      <c r="DT90" s="1513"/>
      <c r="DU90" s="1513"/>
      <c r="DV90" s="1513"/>
      <c r="DW90" s="1513"/>
      <c r="DX90" s="1513"/>
      <c r="DY90" s="1513"/>
      <c r="DZ90" s="1513"/>
      <c r="EA90" s="1513"/>
      <c r="EB90" s="1513"/>
      <c r="EC90" s="1513"/>
      <c r="ED90" s="1513"/>
      <c r="EE90" s="1513"/>
      <c r="EF90" s="1513"/>
      <c r="EG90" s="1513"/>
      <c r="EH90" s="1513"/>
      <c r="EI90" s="1513"/>
      <c r="EJ90" s="1513"/>
      <c r="EK90" s="1513"/>
      <c r="EL90" s="1513"/>
      <c r="EM90" s="1513"/>
      <c r="EN90" s="1513"/>
      <c r="EO90" s="1513"/>
      <c r="EP90" s="1513"/>
      <c r="EQ90" s="1513"/>
      <c r="ER90" s="1513"/>
      <c r="ES90" s="1513"/>
      <c r="ET90" s="1513"/>
      <c r="EU90" s="1513"/>
      <c r="EV90" s="1513"/>
      <c r="EW90" s="1513"/>
      <c r="EX90" s="1513"/>
      <c r="EY90" s="1513"/>
      <c r="EZ90" s="1513"/>
      <c r="FA90" s="1513"/>
      <c r="FB90" s="1513"/>
      <c r="FC90" s="1513"/>
      <c r="FD90" s="1513"/>
      <c r="FE90" s="1513"/>
      <c r="FF90" s="1513"/>
      <c r="FG90" s="1513"/>
      <c r="FH90" s="1513"/>
      <c r="FI90" s="1513"/>
      <c r="FJ90" s="1513"/>
      <c r="FL90" s="1513"/>
    </row>
    <row r="91" spans="1:168" ht="17.100000000000001" customHeight="1" x14ac:dyDescent="0.15">
      <c r="A91" s="1513"/>
      <c r="B91" s="1282"/>
      <c r="C91" s="1282"/>
      <c r="D91" s="1282"/>
      <c r="E91" s="1282"/>
      <c r="F91" s="1282"/>
      <c r="G91" s="1282"/>
      <c r="H91" s="1282"/>
      <c r="I91" s="1282"/>
      <c r="J91" s="1282"/>
      <c r="K91" s="1282"/>
      <c r="L91" s="1282"/>
      <c r="M91" s="1282"/>
      <c r="N91" s="1282"/>
      <c r="O91" s="1282"/>
      <c r="P91" s="1282"/>
      <c r="Q91" s="1282"/>
      <c r="R91" s="1282"/>
      <c r="S91" s="1282"/>
      <c r="T91" s="1282"/>
      <c r="U91" s="1282"/>
      <c r="V91" s="1282"/>
      <c r="W91" s="1282"/>
      <c r="X91" s="1282"/>
      <c r="Y91" s="1282"/>
      <c r="Z91" s="1282"/>
      <c r="AA91" s="1282"/>
      <c r="AB91" s="1282"/>
      <c r="AC91" s="1282"/>
      <c r="AD91" s="1282"/>
      <c r="AE91" s="1282"/>
      <c r="AF91" s="1282"/>
      <c r="AG91" s="1282"/>
      <c r="AH91" s="1282"/>
      <c r="AI91" s="1282"/>
      <c r="AJ91" s="1282"/>
      <c r="AK91" s="1282"/>
      <c r="AL91" s="1282"/>
      <c r="AM91" s="1282"/>
      <c r="AN91" s="1282"/>
      <c r="AO91" s="1282"/>
      <c r="AP91" s="1282"/>
      <c r="AQ91" s="1282"/>
      <c r="AR91" s="1282"/>
      <c r="AS91" s="1282"/>
      <c r="AT91" s="1282"/>
      <c r="AU91" s="1282"/>
      <c r="AV91" s="1282"/>
      <c r="AW91" s="1282"/>
      <c r="AX91" s="1282"/>
      <c r="AY91" s="1282"/>
      <c r="AZ91" s="1282"/>
      <c r="BA91" s="1282"/>
      <c r="BB91" s="1282"/>
      <c r="BC91" s="1282"/>
      <c r="BD91" s="1282"/>
      <c r="BE91" s="1282"/>
      <c r="BF91" s="1282"/>
      <c r="BG91" s="1282"/>
      <c r="BH91" s="1282"/>
      <c r="BI91" s="1282"/>
      <c r="BJ91" s="1282"/>
      <c r="BK91" s="1282"/>
      <c r="BL91" s="1282"/>
      <c r="BM91" s="1282"/>
      <c r="BN91" s="1282"/>
      <c r="BO91" s="1282"/>
      <c r="BP91" s="1282"/>
      <c r="BQ91" s="1282"/>
      <c r="BR91" s="1282"/>
      <c r="BS91" s="1282"/>
      <c r="BT91" s="1282"/>
      <c r="BU91" s="1282"/>
      <c r="BV91" s="1282"/>
      <c r="BW91" s="1282"/>
      <c r="BX91" s="1282"/>
      <c r="BY91" s="1282"/>
      <c r="BZ91" s="1282"/>
      <c r="CA91" s="1513"/>
      <c r="CK91" s="1513"/>
      <c r="CL91" s="1513"/>
      <c r="CM91" s="1513"/>
      <c r="CN91" s="1513"/>
      <c r="CO91" s="1513"/>
      <c r="CP91" s="1513"/>
      <c r="CQ91" s="1513"/>
      <c r="CR91" s="1513"/>
      <c r="CS91" s="1513"/>
      <c r="CT91" s="1513"/>
      <c r="CU91" s="1513"/>
      <c r="CV91" s="1513"/>
      <c r="CW91" s="1513"/>
      <c r="CX91" s="1513"/>
      <c r="CY91" s="1513"/>
      <c r="CZ91" s="1513"/>
      <c r="DA91" s="1513"/>
      <c r="DB91" s="1513"/>
      <c r="DC91" s="1513"/>
      <c r="DD91" s="1513"/>
      <c r="DE91" s="1513"/>
      <c r="DF91" s="1513"/>
      <c r="DG91" s="1513"/>
      <c r="DH91" s="1513"/>
      <c r="DI91" s="1513"/>
      <c r="DJ91" s="1513"/>
      <c r="DK91" s="1513"/>
      <c r="DL91" s="1513"/>
      <c r="DM91" s="1513"/>
      <c r="DN91" s="1513"/>
      <c r="DO91" s="1513"/>
      <c r="DP91" s="1513"/>
      <c r="DQ91" s="1513"/>
      <c r="DR91" s="1513"/>
      <c r="DS91" s="1513"/>
      <c r="DT91" s="1513"/>
      <c r="DU91" s="1513"/>
      <c r="DV91" s="1513"/>
      <c r="DW91" s="1513"/>
      <c r="DX91" s="1513"/>
      <c r="DY91" s="1513"/>
      <c r="DZ91" s="1513"/>
      <c r="EA91" s="1513"/>
      <c r="EB91" s="1513"/>
      <c r="EC91" s="1513"/>
      <c r="ED91" s="1513"/>
      <c r="EE91" s="1513"/>
      <c r="EF91" s="1513"/>
      <c r="EG91" s="1513"/>
      <c r="EH91" s="1513"/>
      <c r="EI91" s="1513"/>
      <c r="EJ91" s="1513"/>
      <c r="EK91" s="1513"/>
      <c r="EL91" s="1513"/>
      <c r="EM91" s="1513"/>
      <c r="EN91" s="1513"/>
      <c r="EO91" s="1513"/>
      <c r="EP91" s="1513"/>
      <c r="EQ91" s="1513"/>
      <c r="ER91" s="1513"/>
      <c r="ES91" s="1513"/>
      <c r="ET91" s="1513"/>
      <c r="EU91" s="1513"/>
      <c r="EV91" s="1513"/>
      <c r="EW91" s="1513"/>
      <c r="EX91" s="1513"/>
      <c r="EY91" s="1513"/>
      <c r="EZ91" s="1513"/>
      <c r="FA91" s="1513"/>
      <c r="FB91" s="1513"/>
      <c r="FC91" s="1513"/>
      <c r="FD91" s="1513"/>
      <c r="FE91" s="1513"/>
      <c r="FF91" s="1513"/>
      <c r="FG91" s="1513"/>
      <c r="FH91" s="1513"/>
      <c r="FI91" s="1513"/>
      <c r="FJ91" s="1513"/>
      <c r="FL91" s="1513"/>
    </row>
    <row r="92" spans="1:168" ht="17.100000000000001" customHeight="1" x14ac:dyDescent="0.15">
      <c r="A92" s="1513"/>
      <c r="B92" s="1282"/>
      <c r="C92" s="1282"/>
      <c r="D92" s="1282"/>
      <c r="E92" s="1282"/>
      <c r="F92" s="1282"/>
      <c r="G92" s="1282"/>
      <c r="H92" s="1282"/>
      <c r="I92" s="1282"/>
      <c r="J92" s="1282"/>
      <c r="K92" s="1282"/>
      <c r="L92" s="1282"/>
      <c r="M92" s="1282"/>
      <c r="N92" s="1282"/>
      <c r="O92" s="1282"/>
      <c r="P92" s="1282"/>
      <c r="Q92" s="1282"/>
      <c r="R92" s="1282"/>
      <c r="S92" s="1282"/>
      <c r="T92" s="1282"/>
      <c r="U92" s="1282"/>
      <c r="V92" s="1282"/>
      <c r="W92" s="1282"/>
      <c r="X92" s="1282"/>
      <c r="Y92" s="1282"/>
      <c r="Z92" s="1282"/>
      <c r="AA92" s="1282"/>
      <c r="AB92" s="1282"/>
      <c r="AC92" s="1282"/>
      <c r="AD92" s="1282"/>
      <c r="AE92" s="1282"/>
      <c r="AF92" s="1282"/>
      <c r="AG92" s="1282"/>
      <c r="AH92" s="1282"/>
      <c r="AI92" s="1282"/>
      <c r="AJ92" s="1282"/>
      <c r="AK92" s="1282"/>
      <c r="AL92" s="1282"/>
      <c r="AM92" s="1282"/>
      <c r="AN92" s="1282"/>
      <c r="AO92" s="1282"/>
      <c r="AP92" s="1282"/>
      <c r="AQ92" s="1282"/>
      <c r="AR92" s="1282"/>
      <c r="AS92" s="1282"/>
      <c r="AT92" s="1282"/>
      <c r="AU92" s="1282"/>
      <c r="AV92" s="1282"/>
      <c r="AW92" s="1282"/>
      <c r="AX92" s="1282"/>
      <c r="AY92" s="1282"/>
      <c r="AZ92" s="1282"/>
      <c r="BA92" s="1282"/>
      <c r="BB92" s="1282"/>
      <c r="BC92" s="1282"/>
      <c r="BD92" s="1282"/>
      <c r="BE92" s="1282"/>
      <c r="BF92" s="1282"/>
      <c r="BG92" s="1282"/>
      <c r="BH92" s="1282"/>
      <c r="BI92" s="1282"/>
      <c r="BJ92" s="1282"/>
      <c r="BK92" s="1282"/>
      <c r="BL92" s="1282"/>
      <c r="BM92" s="1282"/>
      <c r="BN92" s="1282"/>
      <c r="BO92" s="1282"/>
      <c r="BP92" s="1282"/>
      <c r="BQ92" s="1282"/>
      <c r="BR92" s="1282"/>
      <c r="BS92" s="1282"/>
      <c r="BT92" s="1282"/>
      <c r="BU92" s="1282"/>
      <c r="BV92" s="1282"/>
      <c r="BW92" s="1282"/>
      <c r="BX92" s="1282"/>
      <c r="BY92" s="1282"/>
      <c r="BZ92" s="1282"/>
      <c r="CA92" s="1513"/>
      <c r="CK92" s="1513"/>
      <c r="CL92" s="1513"/>
      <c r="CM92" s="1513"/>
      <c r="CN92" s="1513"/>
      <c r="CO92" s="1513"/>
      <c r="CP92" s="1513"/>
      <c r="CQ92" s="1513"/>
      <c r="CR92" s="1513"/>
      <c r="CS92" s="1513"/>
      <c r="CT92" s="1513"/>
      <c r="CU92" s="1513"/>
      <c r="CV92" s="1513"/>
      <c r="CW92" s="1513"/>
      <c r="CX92" s="1513"/>
      <c r="CY92" s="1513"/>
      <c r="CZ92" s="1513"/>
      <c r="DA92" s="1513"/>
      <c r="DB92" s="1513"/>
      <c r="DC92" s="1513"/>
      <c r="DD92" s="1513"/>
      <c r="DE92" s="1513"/>
      <c r="DF92" s="1513"/>
      <c r="DG92" s="1513"/>
      <c r="DH92" s="1513"/>
      <c r="DI92" s="1513"/>
      <c r="DJ92" s="1513"/>
      <c r="DK92" s="1513"/>
      <c r="DL92" s="1513"/>
      <c r="DM92" s="1513"/>
      <c r="DN92" s="1513"/>
      <c r="DO92" s="1513"/>
      <c r="DP92" s="1513"/>
      <c r="DQ92" s="1513"/>
      <c r="DR92" s="1513"/>
      <c r="DS92" s="1513"/>
      <c r="DT92" s="1513"/>
      <c r="DU92" s="1513"/>
      <c r="DV92" s="1513"/>
      <c r="DW92" s="1513"/>
      <c r="DX92" s="1513"/>
      <c r="DY92" s="1513"/>
      <c r="DZ92" s="1513"/>
      <c r="EA92" s="1513"/>
      <c r="EB92" s="1513"/>
      <c r="EC92" s="1513"/>
      <c r="ED92" s="1513"/>
      <c r="EE92" s="1513"/>
      <c r="EF92" s="1513"/>
      <c r="EG92" s="1513"/>
      <c r="EH92" s="1513"/>
      <c r="EI92" s="1513"/>
      <c r="EJ92" s="1513"/>
      <c r="EK92" s="1513"/>
      <c r="EL92" s="1513"/>
      <c r="EM92" s="1513"/>
      <c r="EN92" s="1513"/>
      <c r="EO92" s="1513"/>
      <c r="EP92" s="1513"/>
      <c r="EQ92" s="1513"/>
      <c r="ER92" s="1513"/>
      <c r="ES92" s="1513"/>
      <c r="ET92" s="1513"/>
      <c r="EU92" s="1513"/>
      <c r="EV92" s="1513"/>
      <c r="EW92" s="1513"/>
      <c r="EX92" s="1513"/>
      <c r="EY92" s="1513"/>
      <c r="EZ92" s="1513"/>
      <c r="FA92" s="1513"/>
      <c r="FB92" s="1513"/>
      <c r="FC92" s="1513"/>
      <c r="FD92" s="1513"/>
      <c r="FE92" s="1513"/>
      <c r="FF92" s="1513"/>
      <c r="FG92" s="1513"/>
      <c r="FH92" s="1513"/>
      <c r="FI92" s="1513"/>
      <c r="FJ92" s="1513"/>
      <c r="FL92" s="1513"/>
    </row>
    <row r="93" spans="1:168" ht="17.100000000000001" customHeight="1" x14ac:dyDescent="0.15">
      <c r="A93" s="1513"/>
      <c r="B93" s="1282"/>
      <c r="C93" s="1282"/>
      <c r="D93" s="1282"/>
      <c r="E93" s="1282"/>
      <c r="F93" s="1282"/>
      <c r="G93" s="1282"/>
      <c r="H93" s="1282"/>
      <c r="I93" s="1282"/>
      <c r="J93" s="1282"/>
      <c r="K93" s="1282"/>
      <c r="L93" s="1282"/>
      <c r="M93" s="1282"/>
      <c r="N93" s="1282"/>
      <c r="O93" s="1282"/>
      <c r="P93" s="1282"/>
      <c r="Q93" s="1282"/>
      <c r="R93" s="1282"/>
      <c r="S93" s="1282"/>
      <c r="T93" s="1282"/>
      <c r="U93" s="1282"/>
      <c r="V93" s="1282"/>
      <c r="W93" s="1282"/>
      <c r="X93" s="1282"/>
      <c r="Y93" s="1282"/>
      <c r="Z93" s="1282"/>
      <c r="AA93" s="1282"/>
      <c r="AB93" s="1282"/>
      <c r="AC93" s="1282"/>
      <c r="AD93" s="1282"/>
      <c r="AE93" s="1282"/>
      <c r="AF93" s="1282"/>
      <c r="AG93" s="1282"/>
      <c r="AH93" s="1282"/>
      <c r="AI93" s="1282"/>
      <c r="AJ93" s="1282"/>
      <c r="AK93" s="1282"/>
      <c r="AL93" s="1282"/>
      <c r="AM93" s="1282"/>
      <c r="AN93" s="1282"/>
      <c r="AO93" s="1282"/>
      <c r="AP93" s="1282"/>
      <c r="AQ93" s="1282"/>
      <c r="AR93" s="1282"/>
      <c r="AS93" s="1282"/>
      <c r="AT93" s="1282"/>
      <c r="AU93" s="1282"/>
      <c r="AV93" s="1282"/>
      <c r="AW93" s="1282"/>
      <c r="AX93" s="1282"/>
      <c r="AY93" s="1282"/>
      <c r="AZ93" s="1282"/>
      <c r="BA93" s="1282"/>
      <c r="BB93" s="1282"/>
      <c r="BC93" s="1282"/>
      <c r="BD93" s="1282"/>
      <c r="BE93" s="1282"/>
      <c r="BF93" s="1282"/>
      <c r="BG93" s="1282"/>
      <c r="BH93" s="1282"/>
      <c r="BI93" s="1282"/>
      <c r="BJ93" s="1282"/>
      <c r="BK93" s="1282"/>
      <c r="BL93" s="1282"/>
      <c r="BM93" s="1282"/>
      <c r="BN93" s="1282"/>
      <c r="BO93" s="1282"/>
      <c r="BP93" s="1282"/>
      <c r="BQ93" s="1282"/>
      <c r="BR93" s="1282"/>
      <c r="BS93" s="1282"/>
      <c r="BT93" s="1282"/>
      <c r="BU93" s="1282"/>
      <c r="BV93" s="1282"/>
      <c r="BW93" s="1282"/>
      <c r="BX93" s="1282"/>
      <c r="BY93" s="1282"/>
      <c r="BZ93" s="1282"/>
      <c r="CA93" s="1513"/>
      <c r="CK93" s="1513"/>
      <c r="CL93" s="1513"/>
      <c r="CM93" s="1513"/>
      <c r="CN93" s="1513"/>
      <c r="CO93" s="1513"/>
      <c r="CP93" s="1513"/>
      <c r="CQ93" s="1513"/>
      <c r="CR93" s="1513"/>
      <c r="CS93" s="1513"/>
      <c r="CT93" s="1513"/>
      <c r="CU93" s="1513"/>
      <c r="CV93" s="1513"/>
      <c r="CW93" s="1513"/>
      <c r="CX93" s="1513"/>
      <c r="CY93" s="1513"/>
      <c r="CZ93" s="1513"/>
      <c r="DA93" s="1513"/>
      <c r="DB93" s="1513"/>
      <c r="DC93" s="1513"/>
      <c r="DD93" s="1513"/>
      <c r="DE93" s="1513"/>
      <c r="DF93" s="1513"/>
      <c r="DG93" s="1513"/>
      <c r="DH93" s="1513"/>
      <c r="DI93" s="1513"/>
      <c r="DJ93" s="1513"/>
      <c r="DK93" s="1513"/>
      <c r="DL93" s="1513"/>
      <c r="DM93" s="1513"/>
      <c r="DN93" s="1513"/>
      <c r="DO93" s="1513"/>
      <c r="DP93" s="1513"/>
      <c r="DQ93" s="1513"/>
      <c r="DR93" s="1513"/>
      <c r="DS93" s="1513"/>
      <c r="DT93" s="1513"/>
      <c r="DU93" s="1513"/>
      <c r="DV93" s="1513"/>
      <c r="DW93" s="1513"/>
      <c r="DX93" s="1513"/>
      <c r="DY93" s="1513"/>
      <c r="DZ93" s="1513"/>
      <c r="EA93" s="1513"/>
      <c r="EB93" s="1513"/>
      <c r="EC93" s="1513"/>
      <c r="ED93" s="1513"/>
      <c r="EE93" s="1513"/>
      <c r="EF93" s="1513"/>
      <c r="EG93" s="1513"/>
      <c r="EH93" s="1513"/>
      <c r="EI93" s="1513"/>
      <c r="EJ93" s="1513"/>
      <c r="EK93" s="1513"/>
      <c r="EL93" s="1513"/>
      <c r="EM93" s="1513"/>
      <c r="EN93" s="1513"/>
      <c r="EO93" s="1513"/>
      <c r="EP93" s="1513"/>
      <c r="EQ93" s="1513"/>
      <c r="ER93" s="1513"/>
      <c r="ES93" s="1513"/>
      <c r="ET93" s="1513"/>
      <c r="EU93" s="1513"/>
      <c r="EV93" s="1513"/>
      <c r="EW93" s="1513"/>
      <c r="EX93" s="1513"/>
      <c r="EY93" s="1513"/>
      <c r="EZ93" s="1513"/>
      <c r="FA93" s="1513"/>
      <c r="FB93" s="1513"/>
      <c r="FC93" s="1513"/>
      <c r="FD93" s="1513"/>
      <c r="FE93" s="1513"/>
      <c r="FF93" s="1513"/>
      <c r="FG93" s="1513"/>
      <c r="FH93" s="1513"/>
      <c r="FI93" s="1513"/>
      <c r="FJ93" s="1513"/>
      <c r="FL93" s="1513"/>
    </row>
    <row r="94" spans="1:168" ht="17.100000000000001" customHeight="1" x14ac:dyDescent="0.15">
      <c r="A94" s="1513"/>
      <c r="B94" s="1282"/>
      <c r="C94" s="1282"/>
      <c r="D94" s="1282"/>
      <c r="E94" s="1282"/>
      <c r="F94" s="1282"/>
      <c r="G94" s="1282"/>
      <c r="H94" s="1282"/>
      <c r="I94" s="1282"/>
      <c r="J94" s="1282"/>
      <c r="K94" s="1282"/>
      <c r="L94" s="1282"/>
      <c r="M94" s="1282"/>
      <c r="N94" s="1282"/>
      <c r="O94" s="1282"/>
      <c r="P94" s="1282"/>
      <c r="Q94" s="1282"/>
      <c r="R94" s="1282"/>
      <c r="S94" s="1282"/>
      <c r="T94" s="1282"/>
      <c r="U94" s="1282"/>
      <c r="V94" s="1282"/>
      <c r="W94" s="1282"/>
      <c r="X94" s="1282"/>
      <c r="Y94" s="1282"/>
      <c r="Z94" s="1282"/>
      <c r="AA94" s="1282"/>
      <c r="AB94" s="1282"/>
      <c r="AC94" s="1282"/>
      <c r="AD94" s="1282"/>
      <c r="AE94" s="1282"/>
      <c r="AF94" s="1282"/>
      <c r="AG94" s="1282"/>
      <c r="AH94" s="1282"/>
      <c r="AI94" s="1282"/>
      <c r="AJ94" s="1282"/>
      <c r="AK94" s="1282"/>
      <c r="AL94" s="1282"/>
      <c r="AM94" s="1282"/>
      <c r="AN94" s="1282"/>
      <c r="AO94" s="1282"/>
      <c r="AP94" s="1282"/>
      <c r="AQ94" s="1282"/>
      <c r="AR94" s="1282"/>
      <c r="AS94" s="1282"/>
      <c r="AT94" s="1282"/>
      <c r="AU94" s="1282"/>
      <c r="AV94" s="1282"/>
      <c r="AW94" s="1282"/>
      <c r="AX94" s="1282"/>
      <c r="AY94" s="1282"/>
      <c r="AZ94" s="1282"/>
      <c r="BA94" s="1282"/>
      <c r="BB94" s="1282"/>
      <c r="BC94" s="1282"/>
      <c r="BD94" s="1282"/>
      <c r="BE94" s="1282"/>
      <c r="BF94" s="1282"/>
      <c r="BG94" s="1282"/>
      <c r="BH94" s="1282"/>
      <c r="BI94" s="1282"/>
      <c r="BJ94" s="1282"/>
      <c r="BK94" s="1282"/>
      <c r="BL94" s="1282"/>
      <c r="BM94" s="1282"/>
      <c r="BN94" s="1282"/>
      <c r="BO94" s="1282"/>
      <c r="BP94" s="1282"/>
      <c r="BQ94" s="1282"/>
      <c r="BR94" s="1282"/>
      <c r="BS94" s="1282"/>
      <c r="BT94" s="1282"/>
      <c r="BU94" s="1282"/>
      <c r="BV94" s="1282"/>
      <c r="BW94" s="1282"/>
      <c r="BX94" s="1282"/>
      <c r="BY94" s="1282"/>
      <c r="BZ94" s="1282"/>
      <c r="CA94" s="1513"/>
      <c r="CK94" s="1513"/>
      <c r="CL94" s="1513"/>
      <c r="CM94" s="1513"/>
      <c r="CN94" s="1513"/>
      <c r="CO94" s="1513"/>
      <c r="CP94" s="1513"/>
      <c r="CQ94" s="1513"/>
      <c r="CR94" s="1513"/>
      <c r="CS94" s="1513"/>
      <c r="CT94" s="1513"/>
      <c r="CU94" s="1513"/>
      <c r="CV94" s="1513"/>
      <c r="CW94" s="1513"/>
      <c r="CX94" s="1513"/>
      <c r="CY94" s="1513"/>
      <c r="CZ94" s="1513"/>
      <c r="DA94" s="1513"/>
      <c r="DB94" s="1513"/>
      <c r="DC94" s="1513"/>
      <c r="DD94" s="1513"/>
      <c r="DE94" s="1513"/>
      <c r="DF94" s="1513"/>
      <c r="DG94" s="1513"/>
      <c r="DH94" s="1513"/>
      <c r="DI94" s="1513"/>
      <c r="DJ94" s="1513"/>
      <c r="DK94" s="1513"/>
      <c r="DL94" s="1513"/>
      <c r="DM94" s="1513"/>
      <c r="DN94" s="1513"/>
      <c r="DO94" s="1513"/>
      <c r="DP94" s="1513"/>
      <c r="DQ94" s="1513"/>
      <c r="DR94" s="1513"/>
      <c r="DS94" s="1513"/>
      <c r="DT94" s="1513"/>
      <c r="DU94" s="1513"/>
      <c r="DV94" s="1513"/>
      <c r="DW94" s="1513"/>
      <c r="DX94" s="1513"/>
      <c r="DY94" s="1513"/>
      <c r="DZ94" s="1513"/>
      <c r="EA94" s="1513"/>
      <c r="EB94" s="1513"/>
      <c r="EC94" s="1513"/>
      <c r="ED94" s="1513"/>
      <c r="EE94" s="1513"/>
      <c r="EF94" s="1513"/>
      <c r="EG94" s="1513"/>
      <c r="EH94" s="1513"/>
      <c r="EI94" s="1513"/>
      <c r="EJ94" s="1513"/>
      <c r="EK94" s="1513"/>
      <c r="EL94" s="1513"/>
      <c r="EM94" s="1513"/>
      <c r="EN94" s="1513"/>
      <c r="EO94" s="1513"/>
      <c r="EP94" s="1513"/>
      <c r="EQ94" s="1513"/>
      <c r="ER94" s="1513"/>
      <c r="ES94" s="1513"/>
      <c r="ET94" s="1513"/>
      <c r="EU94" s="1513"/>
      <c r="EV94" s="1513"/>
      <c r="EW94" s="1513"/>
      <c r="EX94" s="1513"/>
      <c r="EY94" s="1513"/>
      <c r="EZ94" s="1513"/>
      <c r="FA94" s="1513"/>
      <c r="FB94" s="1513"/>
      <c r="FC94" s="1513"/>
      <c r="FD94" s="1513"/>
      <c r="FE94" s="1513"/>
      <c r="FF94" s="1513"/>
      <c r="FG94" s="1513"/>
      <c r="FH94" s="1513"/>
      <c r="FI94" s="1513"/>
      <c r="FJ94" s="1513"/>
      <c r="FL94" s="1513"/>
    </row>
    <row r="95" spans="1:168" ht="17.100000000000001" customHeight="1" x14ac:dyDescent="0.15">
      <c r="A95" s="1513"/>
      <c r="B95" s="1282"/>
      <c r="C95" s="1282"/>
      <c r="D95" s="1282"/>
      <c r="E95" s="1282"/>
      <c r="F95" s="1282"/>
      <c r="G95" s="1282"/>
      <c r="H95" s="1282"/>
      <c r="I95" s="1282"/>
      <c r="J95" s="1282"/>
      <c r="K95" s="1282"/>
      <c r="L95" s="1282"/>
      <c r="M95" s="1282"/>
      <c r="N95" s="1282"/>
      <c r="O95" s="1282"/>
      <c r="P95" s="1282"/>
      <c r="Q95" s="1282"/>
      <c r="R95" s="1282"/>
      <c r="S95" s="1282"/>
      <c r="T95" s="1282"/>
      <c r="U95" s="1282"/>
      <c r="V95" s="1282"/>
      <c r="W95" s="1282"/>
      <c r="X95" s="1282"/>
      <c r="Y95" s="1282"/>
      <c r="Z95" s="1282"/>
      <c r="AA95" s="1282"/>
      <c r="AB95" s="1282"/>
      <c r="AC95" s="1282"/>
      <c r="AD95" s="1282"/>
      <c r="AE95" s="1282"/>
      <c r="AF95" s="1282"/>
      <c r="AG95" s="1282"/>
      <c r="AH95" s="1282"/>
      <c r="AI95" s="1282"/>
      <c r="AJ95" s="1282"/>
      <c r="AK95" s="1282"/>
      <c r="AL95" s="1282"/>
      <c r="AM95" s="1282"/>
      <c r="AN95" s="1282"/>
      <c r="AO95" s="1282"/>
      <c r="AP95" s="1282"/>
      <c r="AQ95" s="1282"/>
      <c r="AR95" s="1282"/>
      <c r="AS95" s="1282"/>
      <c r="AT95" s="1282"/>
      <c r="AU95" s="1282"/>
      <c r="AV95" s="1282"/>
      <c r="AW95" s="1282"/>
      <c r="AX95" s="1282"/>
      <c r="AY95" s="1282"/>
      <c r="AZ95" s="1282"/>
      <c r="BA95" s="1282"/>
      <c r="BB95" s="1282"/>
      <c r="BC95" s="1282"/>
      <c r="BD95" s="1282"/>
      <c r="BE95" s="1282"/>
      <c r="BF95" s="1282"/>
      <c r="BG95" s="1282"/>
      <c r="BH95" s="1282"/>
      <c r="BI95" s="1282"/>
      <c r="BJ95" s="1282"/>
      <c r="BK95" s="1282"/>
      <c r="BL95" s="1282"/>
      <c r="BM95" s="1282"/>
      <c r="BN95" s="1282"/>
      <c r="BO95" s="1282"/>
      <c r="BP95" s="1282"/>
      <c r="BQ95" s="1282"/>
      <c r="BR95" s="1282"/>
      <c r="BS95" s="1282"/>
      <c r="BT95" s="1282"/>
      <c r="BU95" s="1282"/>
      <c r="BV95" s="1282"/>
      <c r="BW95" s="1282"/>
      <c r="BX95" s="1282"/>
      <c r="BY95" s="1282"/>
      <c r="BZ95" s="1282"/>
      <c r="CA95" s="1513"/>
      <c r="CK95" s="1513"/>
      <c r="CL95" s="1513"/>
      <c r="CM95" s="1513"/>
      <c r="CN95" s="1513"/>
      <c r="CO95" s="1513"/>
      <c r="CP95" s="1513"/>
      <c r="CQ95" s="1513"/>
      <c r="CR95" s="1513"/>
      <c r="CS95" s="1513"/>
      <c r="CT95" s="1513"/>
      <c r="CU95" s="1513"/>
      <c r="CV95" s="1513"/>
      <c r="CW95" s="1513"/>
      <c r="CX95" s="1513"/>
      <c r="CY95" s="1513"/>
      <c r="CZ95" s="1513"/>
      <c r="DA95" s="1513"/>
      <c r="DB95" s="1513"/>
      <c r="DC95" s="1513"/>
      <c r="DD95" s="1513"/>
      <c r="DE95" s="1513"/>
      <c r="DF95" s="1513"/>
      <c r="DG95" s="1513"/>
      <c r="DH95" s="1513"/>
      <c r="DI95" s="1513"/>
      <c r="DJ95" s="1513"/>
      <c r="DK95" s="1513"/>
      <c r="DL95" s="1513"/>
      <c r="DM95" s="1513"/>
      <c r="DN95" s="1513"/>
      <c r="DO95" s="1513"/>
      <c r="DP95" s="1513"/>
      <c r="DQ95" s="1513"/>
      <c r="DR95" s="1513"/>
      <c r="DS95" s="1513"/>
      <c r="DT95" s="1513"/>
      <c r="DU95" s="1513"/>
      <c r="DV95" s="1513"/>
      <c r="DW95" s="1513"/>
      <c r="DX95" s="1513"/>
      <c r="DY95" s="1513"/>
      <c r="DZ95" s="1513"/>
      <c r="EA95" s="1513"/>
      <c r="EB95" s="1513"/>
      <c r="EC95" s="1513"/>
      <c r="ED95" s="1513"/>
      <c r="EE95" s="1513"/>
      <c r="EF95" s="1513"/>
      <c r="EG95" s="1513"/>
      <c r="EH95" s="1513"/>
      <c r="EI95" s="1513"/>
      <c r="EJ95" s="1513"/>
      <c r="EK95" s="1513"/>
      <c r="EL95" s="1513"/>
      <c r="EM95" s="1513"/>
      <c r="EN95" s="1513"/>
      <c r="EO95" s="1513"/>
      <c r="EP95" s="1513"/>
      <c r="EQ95" s="1513"/>
      <c r="ER95" s="1513"/>
      <c r="ES95" s="1513"/>
      <c r="ET95" s="1513"/>
      <c r="EU95" s="1513"/>
      <c r="EV95" s="1513"/>
      <c r="EW95" s="1513"/>
      <c r="EX95" s="1513"/>
      <c r="EY95" s="1513"/>
      <c r="EZ95" s="1513"/>
      <c r="FA95" s="1513"/>
      <c r="FB95" s="1513"/>
      <c r="FC95" s="1513"/>
      <c r="FD95" s="1513"/>
      <c r="FE95" s="1513"/>
      <c r="FF95" s="1513"/>
      <c r="FG95" s="1513"/>
      <c r="FH95" s="1513"/>
      <c r="FI95" s="1513"/>
      <c r="FJ95" s="1513"/>
      <c r="FL95" s="1513"/>
    </row>
    <row r="96" spans="1:168" ht="17.100000000000001" customHeight="1" x14ac:dyDescent="0.15">
      <c r="A96" s="1513"/>
      <c r="B96" s="1282"/>
      <c r="C96" s="1282"/>
      <c r="D96" s="1282"/>
      <c r="E96" s="1282"/>
      <c r="F96" s="1282"/>
      <c r="G96" s="1282"/>
      <c r="H96" s="1282"/>
      <c r="I96" s="1282"/>
      <c r="J96" s="1282"/>
      <c r="K96" s="1282"/>
      <c r="L96" s="1282"/>
      <c r="M96" s="1282"/>
      <c r="N96" s="1282"/>
      <c r="O96" s="1282"/>
      <c r="P96" s="1282"/>
      <c r="Q96" s="1282"/>
      <c r="R96" s="1282"/>
      <c r="S96" s="1282"/>
      <c r="T96" s="1282"/>
      <c r="U96" s="1282"/>
      <c r="V96" s="1282"/>
      <c r="W96" s="1282"/>
      <c r="X96" s="1282"/>
      <c r="Y96" s="1282"/>
      <c r="Z96" s="1282"/>
      <c r="AA96" s="1282"/>
      <c r="AB96" s="1282"/>
      <c r="AC96" s="1282"/>
      <c r="AD96" s="1282"/>
      <c r="AE96" s="1282"/>
      <c r="AF96" s="1282"/>
      <c r="AG96" s="1282"/>
      <c r="AH96" s="1282"/>
      <c r="AI96" s="1282"/>
      <c r="AJ96" s="1282"/>
      <c r="AK96" s="1282"/>
      <c r="AL96" s="1282"/>
      <c r="AM96" s="1282"/>
      <c r="AN96" s="1282"/>
      <c r="AO96" s="1282"/>
      <c r="AP96" s="1282"/>
      <c r="AQ96" s="1282"/>
      <c r="AR96" s="1282"/>
      <c r="AS96" s="1282"/>
      <c r="AT96" s="1282"/>
      <c r="AU96" s="1282"/>
      <c r="AV96" s="1282"/>
      <c r="AW96" s="1282"/>
      <c r="AX96" s="1282"/>
      <c r="AY96" s="1282"/>
      <c r="AZ96" s="1282"/>
      <c r="BA96" s="1282"/>
      <c r="BB96" s="1282"/>
      <c r="BC96" s="1282"/>
      <c r="BD96" s="1282"/>
      <c r="BE96" s="1282"/>
      <c r="BF96" s="1282"/>
      <c r="BG96" s="1282"/>
      <c r="BH96" s="1282"/>
      <c r="BI96" s="1282"/>
      <c r="BJ96" s="1282"/>
      <c r="BK96" s="1282"/>
      <c r="BL96" s="1282"/>
      <c r="BM96" s="1282"/>
      <c r="BN96" s="1282"/>
      <c r="BO96" s="1282"/>
      <c r="BP96" s="1282"/>
      <c r="BQ96" s="1282"/>
      <c r="BR96" s="1282"/>
      <c r="BS96" s="1282"/>
      <c r="BT96" s="1282"/>
      <c r="BU96" s="1282"/>
      <c r="BV96" s="1282"/>
      <c r="BW96" s="1282"/>
      <c r="BX96" s="1282"/>
      <c r="BY96" s="1282"/>
      <c r="BZ96" s="1282"/>
      <c r="CA96" s="1513"/>
      <c r="CK96" s="1513"/>
      <c r="CL96" s="1513"/>
      <c r="CM96" s="1513"/>
      <c r="CN96" s="1513"/>
      <c r="CO96" s="1513"/>
      <c r="CP96" s="1513"/>
      <c r="CQ96" s="1513"/>
      <c r="CR96" s="1513"/>
      <c r="CS96" s="1513"/>
      <c r="CT96" s="1513"/>
      <c r="CU96" s="1513"/>
      <c r="CV96" s="1513"/>
      <c r="CW96" s="1513"/>
      <c r="CX96" s="1513"/>
      <c r="CY96" s="1513"/>
      <c r="CZ96" s="1513"/>
      <c r="DA96" s="1513"/>
      <c r="DB96" s="1513"/>
      <c r="DC96" s="1513"/>
      <c r="DD96" s="1513"/>
      <c r="DE96" s="1513"/>
      <c r="DF96" s="1513"/>
      <c r="DG96" s="1513"/>
      <c r="DH96" s="1513"/>
      <c r="DI96" s="1513"/>
      <c r="DJ96" s="1513"/>
      <c r="DK96" s="1513"/>
      <c r="DL96" s="1513"/>
      <c r="DM96" s="1513"/>
      <c r="DN96" s="1513"/>
      <c r="DO96" s="1513"/>
      <c r="DP96" s="1513"/>
      <c r="DQ96" s="1513"/>
      <c r="DR96" s="1513"/>
      <c r="DS96" s="1513"/>
      <c r="DT96" s="1513"/>
      <c r="DU96" s="1513"/>
      <c r="DV96" s="1513"/>
      <c r="DW96" s="1513"/>
      <c r="DX96" s="1513"/>
      <c r="DY96" s="1513"/>
      <c r="DZ96" s="1513"/>
      <c r="EA96" s="1513"/>
      <c r="EB96" s="1513"/>
      <c r="EC96" s="1513"/>
      <c r="ED96" s="1513"/>
      <c r="EE96" s="1513"/>
      <c r="EF96" s="1513"/>
      <c r="EG96" s="1513"/>
      <c r="EH96" s="1513"/>
      <c r="EI96" s="1513"/>
      <c r="EJ96" s="1513"/>
      <c r="EK96" s="1513"/>
      <c r="EL96" s="1513"/>
      <c r="EM96" s="1513"/>
      <c r="EN96" s="1513"/>
      <c r="EO96" s="1513"/>
      <c r="EP96" s="1513"/>
      <c r="EQ96" s="1513"/>
      <c r="ER96" s="1513"/>
      <c r="ES96" s="1513"/>
      <c r="ET96" s="1513"/>
      <c r="EU96" s="1513"/>
      <c r="EV96" s="1513"/>
      <c r="EW96" s="1513"/>
      <c r="EX96" s="1513"/>
      <c r="EY96" s="1513"/>
      <c r="EZ96" s="1513"/>
      <c r="FA96" s="1513"/>
      <c r="FB96" s="1513"/>
      <c r="FC96" s="1513"/>
      <c r="FD96" s="1513"/>
      <c r="FE96" s="1513"/>
      <c r="FF96" s="1513"/>
      <c r="FG96" s="1513"/>
      <c r="FH96" s="1513"/>
      <c r="FI96" s="1513"/>
      <c r="FJ96" s="1513"/>
      <c r="FL96" s="1513"/>
    </row>
    <row r="97" spans="1:168" ht="17.100000000000001" customHeight="1" x14ac:dyDescent="0.15">
      <c r="A97" s="1513"/>
      <c r="B97" s="1282"/>
      <c r="C97" s="1282"/>
      <c r="D97" s="1282"/>
      <c r="E97" s="1282"/>
      <c r="F97" s="1282"/>
      <c r="G97" s="1282"/>
      <c r="H97" s="1282"/>
      <c r="I97" s="1282"/>
      <c r="J97" s="1282"/>
      <c r="K97" s="1282"/>
      <c r="L97" s="1282"/>
      <c r="M97" s="1282"/>
      <c r="N97" s="1282"/>
      <c r="O97" s="1282"/>
      <c r="P97" s="1282"/>
      <c r="Q97" s="1282"/>
      <c r="R97" s="1282"/>
      <c r="S97" s="1282"/>
      <c r="T97" s="1282"/>
      <c r="U97" s="1282"/>
      <c r="V97" s="1282"/>
      <c r="W97" s="1282"/>
      <c r="X97" s="1282"/>
      <c r="Y97" s="1282"/>
      <c r="Z97" s="1282"/>
      <c r="AA97" s="1282"/>
      <c r="AB97" s="1282"/>
      <c r="AC97" s="1282"/>
      <c r="AD97" s="1282"/>
      <c r="AE97" s="1282"/>
      <c r="AF97" s="1282"/>
      <c r="AG97" s="1282"/>
      <c r="AH97" s="1282"/>
      <c r="AI97" s="1282"/>
      <c r="AJ97" s="1282"/>
      <c r="AK97" s="1282"/>
      <c r="AL97" s="1282"/>
      <c r="AM97" s="1282"/>
      <c r="AN97" s="1282"/>
      <c r="AO97" s="1282"/>
      <c r="AP97" s="1282"/>
      <c r="AQ97" s="1282"/>
      <c r="AR97" s="1282"/>
      <c r="AS97" s="1282"/>
      <c r="AT97" s="1282"/>
      <c r="AU97" s="1282"/>
      <c r="AV97" s="1282"/>
      <c r="AW97" s="1282"/>
      <c r="AX97" s="1282"/>
      <c r="AY97" s="1282"/>
      <c r="AZ97" s="1282"/>
      <c r="BA97" s="1282"/>
      <c r="BB97" s="1282"/>
      <c r="BC97" s="1282"/>
      <c r="BD97" s="1282"/>
      <c r="BE97" s="1282"/>
      <c r="BF97" s="1282"/>
      <c r="BG97" s="1282"/>
      <c r="BH97" s="1282"/>
      <c r="BI97" s="1282"/>
      <c r="BJ97" s="1282"/>
      <c r="BK97" s="1282"/>
      <c r="BL97" s="1282"/>
      <c r="BM97" s="1282"/>
      <c r="BN97" s="1282"/>
      <c r="BO97" s="1282"/>
      <c r="BP97" s="1282"/>
      <c r="BQ97" s="1282"/>
      <c r="BR97" s="1282"/>
      <c r="BS97" s="1282"/>
      <c r="BT97" s="1282"/>
      <c r="BU97" s="1282"/>
      <c r="BV97" s="1282"/>
      <c r="BW97" s="1282"/>
      <c r="BX97" s="1282"/>
      <c r="BY97" s="1282"/>
      <c r="BZ97" s="1282"/>
      <c r="CA97" s="1513"/>
      <c r="CK97" s="1513"/>
      <c r="CL97" s="1513"/>
      <c r="CM97" s="1513"/>
      <c r="CN97" s="1513"/>
      <c r="CO97" s="1513"/>
      <c r="CP97" s="1513"/>
      <c r="CQ97" s="1513"/>
      <c r="CR97" s="1513"/>
      <c r="CS97" s="1513"/>
      <c r="CT97" s="1513"/>
      <c r="CU97" s="1513"/>
      <c r="CV97" s="1513"/>
      <c r="CW97" s="1513"/>
      <c r="CX97" s="1513"/>
      <c r="CY97" s="1513"/>
      <c r="CZ97" s="1513"/>
      <c r="DA97" s="1513"/>
      <c r="DB97" s="1513"/>
      <c r="DC97" s="1513"/>
      <c r="DD97" s="1513"/>
      <c r="DE97" s="1513"/>
      <c r="DF97" s="1513"/>
      <c r="DG97" s="1513"/>
      <c r="DH97" s="1513"/>
      <c r="DI97" s="1513"/>
      <c r="DJ97" s="1513"/>
      <c r="DK97" s="1513"/>
      <c r="DL97" s="1513"/>
      <c r="DM97" s="1513"/>
      <c r="DN97" s="1513"/>
      <c r="DO97" s="1513"/>
      <c r="DP97" s="1513"/>
      <c r="DQ97" s="1513"/>
      <c r="DR97" s="1513"/>
      <c r="DS97" s="1513"/>
      <c r="DT97" s="1513"/>
      <c r="DU97" s="1513"/>
      <c r="DV97" s="1513"/>
      <c r="DW97" s="1513"/>
      <c r="DX97" s="1513"/>
      <c r="DY97" s="1513"/>
      <c r="DZ97" s="1513"/>
      <c r="EA97" s="1513"/>
      <c r="EB97" s="1513"/>
      <c r="EC97" s="1513"/>
      <c r="ED97" s="1513"/>
      <c r="EE97" s="1513"/>
      <c r="EF97" s="1513"/>
      <c r="EG97" s="1513"/>
      <c r="EH97" s="1513"/>
      <c r="EI97" s="1513"/>
      <c r="EJ97" s="1513"/>
      <c r="EK97" s="1513"/>
      <c r="EL97" s="1513"/>
      <c r="EM97" s="1513"/>
      <c r="EN97" s="1513"/>
      <c r="EO97" s="1513"/>
      <c r="EP97" s="1513"/>
      <c r="EQ97" s="1513"/>
      <c r="ER97" s="1513"/>
      <c r="ES97" s="1513"/>
      <c r="ET97" s="1513"/>
      <c r="EU97" s="1513"/>
      <c r="EV97" s="1513"/>
      <c r="EW97" s="1513"/>
      <c r="EX97" s="1513"/>
      <c r="EY97" s="1513"/>
      <c r="EZ97" s="1513"/>
      <c r="FA97" s="1513"/>
      <c r="FB97" s="1513"/>
      <c r="FC97" s="1513"/>
      <c r="FD97" s="1513"/>
      <c r="FE97" s="1513"/>
      <c r="FF97" s="1513"/>
      <c r="FG97" s="1513"/>
      <c r="FH97" s="1513"/>
      <c r="FI97" s="1513"/>
      <c r="FJ97" s="1513"/>
      <c r="FL97" s="1513"/>
    </row>
    <row r="98" spans="1:168" ht="17.100000000000001" customHeight="1" x14ac:dyDescent="0.15">
      <c r="A98" s="1513"/>
      <c r="B98" s="1282"/>
      <c r="C98" s="1282"/>
      <c r="D98" s="1282"/>
      <c r="E98" s="1282"/>
      <c r="F98" s="1282"/>
      <c r="G98" s="1282"/>
      <c r="H98" s="1282"/>
      <c r="I98" s="1282"/>
      <c r="J98" s="1282"/>
      <c r="K98" s="1282"/>
      <c r="L98" s="1282"/>
      <c r="M98" s="1282"/>
      <c r="N98" s="1282"/>
      <c r="O98" s="1282"/>
      <c r="P98" s="1282"/>
      <c r="Q98" s="1282"/>
      <c r="R98" s="1282"/>
      <c r="S98" s="1282"/>
      <c r="T98" s="1282"/>
      <c r="U98" s="1282"/>
      <c r="V98" s="1282"/>
      <c r="W98" s="1282"/>
      <c r="X98" s="1282"/>
      <c r="Y98" s="1282"/>
      <c r="Z98" s="1282"/>
      <c r="AA98" s="1282"/>
      <c r="AB98" s="1282"/>
      <c r="AC98" s="1282"/>
      <c r="AD98" s="1282"/>
      <c r="AE98" s="1282"/>
      <c r="AF98" s="1282"/>
      <c r="AG98" s="1282"/>
      <c r="AH98" s="1282"/>
      <c r="AI98" s="1282"/>
      <c r="AJ98" s="1282"/>
      <c r="AK98" s="1282"/>
      <c r="AL98" s="1282"/>
      <c r="AM98" s="1282"/>
      <c r="AN98" s="1282"/>
      <c r="AO98" s="1282"/>
      <c r="AP98" s="1282"/>
      <c r="AQ98" s="1282"/>
      <c r="AR98" s="1282"/>
      <c r="AS98" s="1282"/>
      <c r="AT98" s="1282"/>
      <c r="AU98" s="1282"/>
      <c r="AV98" s="1282"/>
      <c r="AW98" s="1282"/>
      <c r="AX98" s="1282"/>
      <c r="AY98" s="1282"/>
      <c r="AZ98" s="1282"/>
      <c r="BA98" s="1282"/>
      <c r="BB98" s="1282"/>
      <c r="BC98" s="1282"/>
      <c r="BD98" s="1282"/>
      <c r="BE98" s="1282"/>
      <c r="BF98" s="1282"/>
      <c r="BG98" s="1282"/>
      <c r="BH98" s="1282"/>
      <c r="BI98" s="1282"/>
      <c r="BJ98" s="1282"/>
      <c r="BK98" s="1282"/>
      <c r="BL98" s="1282"/>
      <c r="BM98" s="1282"/>
      <c r="BN98" s="1282"/>
      <c r="BO98" s="1282"/>
      <c r="BP98" s="1282"/>
      <c r="BQ98" s="1282"/>
      <c r="BR98" s="1282"/>
      <c r="BS98" s="1282"/>
      <c r="BT98" s="1282"/>
      <c r="BU98" s="1282"/>
      <c r="BV98" s="1282"/>
      <c r="BW98" s="1282"/>
      <c r="BX98" s="1282"/>
      <c r="BY98" s="1282"/>
      <c r="BZ98" s="1282"/>
      <c r="CA98" s="1513"/>
      <c r="CK98" s="1513"/>
      <c r="CL98" s="1513"/>
      <c r="CM98" s="1513"/>
      <c r="CN98" s="1513"/>
      <c r="CO98" s="1513"/>
      <c r="CP98" s="1513"/>
      <c r="CQ98" s="1513"/>
      <c r="CR98" s="1513"/>
      <c r="CS98" s="1513"/>
      <c r="CT98" s="1513"/>
      <c r="CU98" s="1513"/>
      <c r="CV98" s="1513"/>
      <c r="CW98" s="1513"/>
      <c r="CX98" s="1513"/>
      <c r="CY98" s="1513"/>
      <c r="CZ98" s="1513"/>
      <c r="DA98" s="1513"/>
      <c r="DB98" s="1513"/>
      <c r="DC98" s="1513"/>
      <c r="DD98" s="1513"/>
      <c r="DE98" s="1513"/>
      <c r="DF98" s="1513"/>
      <c r="DG98" s="1513"/>
      <c r="DH98" s="1513"/>
      <c r="DI98" s="1513"/>
      <c r="DJ98" s="1513"/>
      <c r="DK98" s="1513"/>
      <c r="DL98" s="1513"/>
      <c r="DM98" s="1513"/>
      <c r="DN98" s="1513"/>
      <c r="DO98" s="1513"/>
      <c r="DP98" s="1513"/>
      <c r="DQ98" s="1513"/>
      <c r="DR98" s="1513"/>
      <c r="DS98" s="1513"/>
      <c r="DT98" s="1513"/>
      <c r="DU98" s="1513"/>
      <c r="DV98" s="1513"/>
      <c r="DW98" s="1513"/>
      <c r="DX98" s="1513"/>
      <c r="DY98" s="1513"/>
      <c r="DZ98" s="1513"/>
      <c r="EA98" s="1513"/>
      <c r="EB98" s="1513"/>
      <c r="EC98" s="1513"/>
      <c r="ED98" s="1513"/>
      <c r="EE98" s="1513"/>
      <c r="EF98" s="1513"/>
      <c r="EG98" s="1513"/>
      <c r="EH98" s="1513"/>
      <c r="EI98" s="1513"/>
      <c r="EJ98" s="1513"/>
      <c r="EK98" s="1513"/>
      <c r="EL98" s="1513"/>
      <c r="EM98" s="1513"/>
      <c r="EN98" s="1513"/>
      <c r="EO98" s="1513"/>
      <c r="EP98" s="1513"/>
      <c r="EQ98" s="1513"/>
      <c r="ER98" s="1513"/>
      <c r="ES98" s="1513"/>
      <c r="ET98" s="1513"/>
      <c r="EU98" s="1513"/>
      <c r="EV98" s="1513"/>
      <c r="EW98" s="1513"/>
      <c r="EX98" s="1513"/>
      <c r="EY98" s="1513"/>
      <c r="EZ98" s="1513"/>
      <c r="FA98" s="1513"/>
      <c r="FB98" s="1513"/>
      <c r="FC98" s="1513"/>
      <c r="FD98" s="1513"/>
      <c r="FE98" s="1513"/>
      <c r="FF98" s="1513"/>
      <c r="FG98" s="1513"/>
      <c r="FH98" s="1513"/>
      <c r="FI98" s="1513"/>
      <c r="FJ98" s="1513"/>
      <c r="FL98" s="1513"/>
    </row>
    <row r="99" spans="1:168" ht="17.100000000000001" customHeight="1" x14ac:dyDescent="0.15">
      <c r="A99" s="1513"/>
      <c r="B99" s="1282"/>
      <c r="C99" s="1282"/>
      <c r="D99" s="1282"/>
      <c r="E99" s="1282"/>
      <c r="F99" s="1282"/>
      <c r="G99" s="1282"/>
      <c r="H99" s="1282"/>
      <c r="I99" s="1282"/>
      <c r="J99" s="1282"/>
      <c r="K99" s="1282"/>
      <c r="L99" s="1282"/>
      <c r="M99" s="1282"/>
      <c r="N99" s="1282"/>
      <c r="O99" s="1282"/>
      <c r="P99" s="1282"/>
      <c r="Q99" s="1282"/>
      <c r="R99" s="1282"/>
      <c r="S99" s="1282"/>
      <c r="T99" s="1282"/>
      <c r="U99" s="1282"/>
      <c r="V99" s="1282"/>
      <c r="W99" s="1282"/>
      <c r="X99" s="1282"/>
      <c r="Y99" s="1282"/>
      <c r="Z99" s="1282"/>
      <c r="AA99" s="1282"/>
      <c r="AB99" s="1282"/>
      <c r="AC99" s="1282"/>
      <c r="AD99" s="1282"/>
      <c r="AE99" s="1282"/>
      <c r="AF99" s="1282"/>
      <c r="AG99" s="1282"/>
      <c r="AH99" s="1282"/>
      <c r="AI99" s="1282"/>
      <c r="AJ99" s="1282"/>
      <c r="AK99" s="1282"/>
      <c r="AL99" s="1282"/>
      <c r="AM99" s="1282"/>
      <c r="AN99" s="1282"/>
      <c r="AO99" s="1282"/>
      <c r="AP99" s="1282"/>
      <c r="AQ99" s="1282"/>
      <c r="AR99" s="1282"/>
      <c r="AS99" s="1282"/>
      <c r="AT99" s="1282"/>
      <c r="AU99" s="1282"/>
      <c r="AV99" s="1282"/>
      <c r="AW99" s="1282"/>
      <c r="AX99" s="1282"/>
      <c r="AY99" s="1282"/>
      <c r="AZ99" s="1282"/>
      <c r="BA99" s="1282"/>
      <c r="BB99" s="1282"/>
      <c r="BC99" s="1282"/>
      <c r="BD99" s="1282"/>
      <c r="BE99" s="1282"/>
      <c r="BF99" s="1282"/>
      <c r="BG99" s="1282"/>
      <c r="BH99" s="1282"/>
      <c r="BI99" s="1282"/>
      <c r="BJ99" s="1282"/>
      <c r="BK99" s="1282"/>
      <c r="BL99" s="1282"/>
      <c r="BM99" s="1282"/>
      <c r="BN99" s="1282"/>
      <c r="BO99" s="1282"/>
      <c r="BP99" s="1282"/>
      <c r="BQ99" s="1282"/>
      <c r="BR99" s="1282"/>
      <c r="BS99" s="1282"/>
      <c r="BT99" s="1282"/>
      <c r="BU99" s="1282"/>
      <c r="BV99" s="1282"/>
      <c r="BW99" s="1282"/>
      <c r="BX99" s="1282"/>
      <c r="BY99" s="1282"/>
      <c r="BZ99" s="1282"/>
      <c r="CA99" s="1513"/>
      <c r="CK99" s="1513"/>
      <c r="CL99" s="1513"/>
      <c r="CM99" s="1513"/>
      <c r="CN99" s="1513"/>
      <c r="CO99" s="1513"/>
      <c r="CP99" s="1513"/>
      <c r="CQ99" s="1513"/>
      <c r="CR99" s="1513"/>
      <c r="CS99" s="1513"/>
      <c r="CT99" s="1513"/>
      <c r="CU99" s="1513"/>
      <c r="CV99" s="1513"/>
      <c r="CW99" s="1513"/>
      <c r="CX99" s="1513"/>
      <c r="CY99" s="1513"/>
      <c r="CZ99" s="1513"/>
      <c r="DA99" s="1513"/>
      <c r="DB99" s="1513"/>
      <c r="DC99" s="1513"/>
      <c r="DD99" s="1513"/>
      <c r="DE99" s="1513"/>
      <c r="DF99" s="1513"/>
      <c r="DG99" s="1513"/>
      <c r="DH99" s="1513"/>
      <c r="DI99" s="1513"/>
      <c r="DJ99" s="1513"/>
      <c r="DK99" s="1513"/>
      <c r="DL99" s="1513"/>
      <c r="DM99" s="1513"/>
      <c r="DN99" s="1513"/>
      <c r="DO99" s="1513"/>
      <c r="DP99" s="1513"/>
      <c r="DQ99" s="1513"/>
      <c r="DR99" s="1513"/>
      <c r="DS99" s="1513"/>
      <c r="DT99" s="1513"/>
      <c r="DU99" s="1513"/>
      <c r="DV99" s="1513"/>
      <c r="DW99" s="1513"/>
      <c r="DX99" s="1513"/>
      <c r="DY99" s="1513"/>
      <c r="DZ99" s="1513"/>
      <c r="EA99" s="1513"/>
      <c r="EB99" s="1513"/>
      <c r="EC99" s="1513"/>
      <c r="ED99" s="1513"/>
      <c r="EE99" s="1513"/>
      <c r="EF99" s="1513"/>
      <c r="EG99" s="1513"/>
      <c r="EH99" s="1513"/>
      <c r="EI99" s="1513"/>
      <c r="EJ99" s="1513"/>
      <c r="EK99" s="1513"/>
      <c r="EL99" s="1513"/>
      <c r="EM99" s="1513"/>
      <c r="EN99" s="1513"/>
      <c r="EO99" s="1513"/>
      <c r="EP99" s="1513"/>
      <c r="EQ99" s="1513"/>
      <c r="ER99" s="1513"/>
      <c r="ES99" s="1513"/>
      <c r="ET99" s="1513"/>
      <c r="EU99" s="1513"/>
      <c r="EV99" s="1513"/>
      <c r="EW99" s="1513"/>
      <c r="EX99" s="1513"/>
      <c r="EY99" s="1513"/>
      <c r="EZ99" s="1513"/>
      <c r="FA99" s="1513"/>
      <c r="FB99" s="1513"/>
      <c r="FC99" s="1513"/>
      <c r="FD99" s="1513"/>
      <c r="FE99" s="1513"/>
      <c r="FF99" s="1513"/>
      <c r="FG99" s="1513"/>
      <c r="FH99" s="1513"/>
      <c r="FI99" s="1513"/>
      <c r="FJ99" s="1513"/>
      <c r="FL99" s="1513"/>
    </row>
    <row r="100" spans="1:168" ht="17.100000000000001" customHeight="1" x14ac:dyDescent="0.15">
      <c r="A100" s="1513"/>
      <c r="B100" s="1282"/>
      <c r="C100" s="1282"/>
      <c r="D100" s="1282"/>
      <c r="E100" s="1282"/>
      <c r="F100" s="1282"/>
      <c r="G100" s="1282"/>
      <c r="H100" s="1282"/>
      <c r="I100" s="1282"/>
      <c r="J100" s="1282"/>
      <c r="K100" s="1282"/>
      <c r="L100" s="1282"/>
      <c r="M100" s="1282"/>
      <c r="N100" s="1282"/>
      <c r="O100" s="1282"/>
      <c r="P100" s="1282"/>
      <c r="Q100" s="1282"/>
      <c r="R100" s="1282"/>
      <c r="S100" s="1282"/>
      <c r="T100" s="1282"/>
      <c r="U100" s="1282"/>
      <c r="V100" s="1282"/>
      <c r="W100" s="1282"/>
      <c r="X100" s="1282"/>
      <c r="Y100" s="1282"/>
      <c r="Z100" s="1282"/>
      <c r="AA100" s="1282"/>
      <c r="AB100" s="1282"/>
      <c r="AC100" s="1282"/>
      <c r="AD100" s="1282"/>
      <c r="AE100" s="1282"/>
      <c r="AF100" s="1282"/>
      <c r="AG100" s="1282"/>
      <c r="AH100" s="1282"/>
      <c r="AI100" s="1282"/>
      <c r="AJ100" s="1282"/>
      <c r="AK100" s="1282"/>
      <c r="AL100" s="1282"/>
      <c r="AM100" s="1282"/>
      <c r="AN100" s="1282"/>
      <c r="AO100" s="1282"/>
      <c r="AP100" s="1282"/>
      <c r="AQ100" s="1282"/>
      <c r="AR100" s="1282"/>
      <c r="AS100" s="1282"/>
      <c r="AT100" s="1282"/>
      <c r="AU100" s="1282"/>
      <c r="AV100" s="1282"/>
      <c r="AW100" s="1282"/>
      <c r="AX100" s="1282"/>
      <c r="AY100" s="1282"/>
      <c r="AZ100" s="1282"/>
      <c r="BA100" s="1282"/>
      <c r="BB100" s="1282"/>
      <c r="BC100" s="1282"/>
      <c r="BD100" s="1282"/>
      <c r="BE100" s="1282"/>
      <c r="BF100" s="1282"/>
      <c r="BG100" s="1282"/>
      <c r="BH100" s="1282"/>
      <c r="BI100" s="1282"/>
      <c r="BJ100" s="1282"/>
      <c r="BK100" s="1282"/>
      <c r="BL100" s="1282"/>
      <c r="BM100" s="1282"/>
      <c r="BN100" s="1282"/>
      <c r="BO100" s="1282"/>
      <c r="BP100" s="1282"/>
      <c r="BQ100" s="1282"/>
      <c r="BR100" s="1282"/>
      <c r="BS100" s="1282"/>
      <c r="BT100" s="1282"/>
      <c r="BU100" s="1282"/>
      <c r="BV100" s="1282"/>
      <c r="BW100" s="1282"/>
      <c r="BX100" s="1282"/>
      <c r="BY100" s="1282"/>
      <c r="BZ100" s="1282"/>
      <c r="CA100" s="1513"/>
      <c r="CK100" s="1513"/>
      <c r="CL100" s="1513"/>
      <c r="CM100" s="1513"/>
      <c r="CN100" s="1513"/>
      <c r="CO100" s="1513"/>
      <c r="CP100" s="1513"/>
      <c r="CQ100" s="1513"/>
      <c r="CR100" s="1513"/>
      <c r="CS100" s="1513"/>
      <c r="CT100" s="1513"/>
      <c r="CU100" s="1513"/>
      <c r="CV100" s="1513"/>
      <c r="CW100" s="1513"/>
      <c r="CX100" s="1513"/>
      <c r="CY100" s="1513"/>
      <c r="CZ100" s="1513"/>
      <c r="DA100" s="1513"/>
      <c r="DB100" s="1513"/>
      <c r="DC100" s="1513"/>
      <c r="DD100" s="1513"/>
      <c r="DE100" s="1513"/>
      <c r="DF100" s="1513"/>
      <c r="DG100" s="1513"/>
      <c r="DH100" s="1513"/>
      <c r="DI100" s="1513"/>
      <c r="DJ100" s="1513"/>
      <c r="DK100" s="1513"/>
      <c r="DL100" s="1513"/>
      <c r="DM100" s="1513"/>
      <c r="DN100" s="1513"/>
      <c r="DO100" s="1513"/>
      <c r="DP100" s="1513"/>
      <c r="DQ100" s="1513"/>
      <c r="DR100" s="1513"/>
      <c r="DS100" s="1513"/>
      <c r="DT100" s="1513"/>
      <c r="DU100" s="1513"/>
      <c r="DV100" s="1513"/>
      <c r="DW100" s="1513"/>
      <c r="DX100" s="1513"/>
      <c r="DY100" s="1513"/>
      <c r="DZ100" s="1513"/>
      <c r="EA100" s="1513"/>
      <c r="EB100" s="1513"/>
      <c r="EC100" s="1513"/>
      <c r="ED100" s="1513"/>
      <c r="EE100" s="1513"/>
      <c r="EF100" s="1513"/>
      <c r="EG100" s="1513"/>
      <c r="EH100" s="1513"/>
      <c r="EI100" s="1513"/>
      <c r="EJ100" s="1513"/>
      <c r="EK100" s="1513"/>
      <c r="EL100" s="1513"/>
      <c r="EM100" s="1513"/>
      <c r="EN100" s="1513"/>
      <c r="EO100" s="1513"/>
      <c r="EP100" s="1513"/>
      <c r="EQ100" s="1513"/>
      <c r="ER100" s="1513"/>
      <c r="ES100" s="1513"/>
      <c r="ET100" s="1513"/>
      <c r="EU100" s="1513"/>
      <c r="EV100" s="1513"/>
      <c r="EW100" s="1513"/>
      <c r="EX100" s="1513"/>
      <c r="EY100" s="1513"/>
      <c r="EZ100" s="1513"/>
      <c r="FA100" s="1513"/>
      <c r="FB100" s="1513"/>
      <c r="FC100" s="1513"/>
      <c r="FD100" s="1513"/>
      <c r="FE100" s="1513"/>
      <c r="FF100" s="1513"/>
      <c r="FG100" s="1513"/>
      <c r="FH100" s="1513"/>
      <c r="FI100" s="1513"/>
      <c r="FJ100" s="1513"/>
      <c r="FL100" s="1513"/>
    </row>
    <row r="101" spans="1:168" ht="17.100000000000001" customHeight="1" x14ac:dyDescent="0.15">
      <c r="A101" s="1513"/>
      <c r="B101" s="1282"/>
      <c r="C101" s="1282"/>
      <c r="D101" s="1282"/>
      <c r="E101" s="1282"/>
      <c r="F101" s="1282"/>
      <c r="G101" s="1282"/>
      <c r="H101" s="1282"/>
      <c r="I101" s="1282"/>
      <c r="J101" s="1282"/>
      <c r="K101" s="1282"/>
      <c r="L101" s="1282"/>
      <c r="M101" s="1282"/>
      <c r="N101" s="1282"/>
      <c r="O101" s="1282"/>
      <c r="P101" s="1282"/>
      <c r="Q101" s="1282"/>
      <c r="R101" s="1282"/>
      <c r="S101" s="1282"/>
      <c r="T101" s="1282"/>
      <c r="U101" s="1282"/>
      <c r="V101" s="1282"/>
      <c r="W101" s="1282"/>
      <c r="X101" s="1282"/>
      <c r="Y101" s="1282"/>
      <c r="Z101" s="1282"/>
      <c r="AA101" s="1282"/>
      <c r="AB101" s="1282"/>
      <c r="AC101" s="1282"/>
      <c r="AD101" s="1282"/>
      <c r="AE101" s="1282"/>
      <c r="AF101" s="1282"/>
      <c r="AG101" s="1282"/>
      <c r="AH101" s="1282"/>
      <c r="AI101" s="1282"/>
      <c r="AJ101" s="1282"/>
      <c r="AK101" s="1282"/>
      <c r="AL101" s="1282"/>
      <c r="AM101" s="1282"/>
      <c r="AN101" s="1282"/>
      <c r="AO101" s="1282"/>
      <c r="AP101" s="1282"/>
      <c r="AQ101" s="1282"/>
      <c r="AR101" s="1282"/>
      <c r="AS101" s="1282"/>
      <c r="AT101" s="1282"/>
      <c r="AU101" s="1282"/>
      <c r="AV101" s="1282"/>
      <c r="AW101" s="1282"/>
      <c r="AX101" s="1282"/>
      <c r="AY101" s="1282"/>
      <c r="AZ101" s="1282"/>
      <c r="BA101" s="1282"/>
      <c r="BB101" s="1282"/>
      <c r="BC101" s="1282"/>
      <c r="BD101" s="1282"/>
      <c r="BE101" s="1282"/>
      <c r="BF101" s="1282"/>
      <c r="BG101" s="1282"/>
      <c r="BH101" s="1282"/>
      <c r="BI101" s="1282"/>
      <c r="BJ101" s="1282"/>
      <c r="BK101" s="1282"/>
      <c r="BL101" s="1282"/>
      <c r="BM101" s="1282"/>
      <c r="BN101" s="1282"/>
      <c r="BO101" s="1282"/>
      <c r="BP101" s="1282"/>
      <c r="BQ101" s="1282"/>
      <c r="BR101" s="1282"/>
      <c r="BS101" s="1282"/>
      <c r="BT101" s="1282"/>
      <c r="BU101" s="1282"/>
      <c r="BV101" s="1282"/>
      <c r="BW101" s="1282"/>
      <c r="BX101" s="1282"/>
      <c r="BY101" s="1282"/>
      <c r="BZ101" s="1282"/>
      <c r="CA101" s="1513"/>
      <c r="CK101" s="1513"/>
      <c r="CL101" s="1513"/>
      <c r="CM101" s="1513"/>
      <c r="CN101" s="1513"/>
      <c r="CO101" s="1513"/>
      <c r="CP101" s="1513"/>
      <c r="CQ101" s="1513"/>
      <c r="CR101" s="1513"/>
      <c r="CS101" s="1513"/>
      <c r="CT101" s="1513"/>
      <c r="CU101" s="1513"/>
      <c r="CV101" s="1513"/>
      <c r="CW101" s="1513"/>
      <c r="CX101" s="1513"/>
      <c r="CY101" s="1513"/>
      <c r="CZ101" s="1513"/>
      <c r="DA101" s="1513"/>
      <c r="DB101" s="1513"/>
      <c r="DC101" s="1513"/>
      <c r="DD101" s="1513"/>
      <c r="DE101" s="1513"/>
      <c r="DF101" s="1513"/>
      <c r="DG101" s="1513"/>
      <c r="DH101" s="1513"/>
      <c r="DI101" s="1513"/>
      <c r="DJ101" s="1513"/>
      <c r="DK101" s="1513"/>
      <c r="DL101" s="1513"/>
      <c r="DM101" s="1513"/>
      <c r="DN101" s="1513"/>
      <c r="DO101" s="1513"/>
      <c r="DP101" s="1513"/>
      <c r="DQ101" s="1513"/>
      <c r="DR101" s="1513"/>
      <c r="DS101" s="1513"/>
      <c r="DT101" s="1513"/>
      <c r="DU101" s="1513"/>
      <c r="DV101" s="1513"/>
      <c r="DW101" s="1513"/>
      <c r="DX101" s="1513"/>
      <c r="DY101" s="1513"/>
      <c r="DZ101" s="1513"/>
      <c r="EA101" s="1513"/>
      <c r="EB101" s="1513"/>
      <c r="EC101" s="1513"/>
      <c r="ED101" s="1513"/>
      <c r="EE101" s="1513"/>
      <c r="EF101" s="1513"/>
      <c r="EG101" s="1513"/>
      <c r="EH101" s="1513"/>
      <c r="EI101" s="1513"/>
      <c r="EJ101" s="1513"/>
      <c r="EK101" s="1513"/>
      <c r="EL101" s="1513"/>
      <c r="EM101" s="1513"/>
      <c r="EN101" s="1513"/>
      <c r="EO101" s="1513"/>
      <c r="EP101" s="1513"/>
      <c r="EQ101" s="1513"/>
      <c r="ER101" s="1513"/>
      <c r="ES101" s="1513"/>
      <c r="ET101" s="1513"/>
      <c r="EU101" s="1513"/>
      <c r="EV101" s="1513"/>
      <c r="EW101" s="1513"/>
      <c r="EX101" s="1513"/>
      <c r="EY101" s="1513"/>
      <c r="EZ101" s="1513"/>
      <c r="FA101" s="1513"/>
      <c r="FB101" s="1513"/>
      <c r="FC101" s="1513"/>
      <c r="FD101" s="1513"/>
      <c r="FE101" s="1513"/>
      <c r="FF101" s="1513"/>
      <c r="FG101" s="1513"/>
      <c r="FH101" s="1513"/>
      <c r="FI101" s="1513"/>
      <c r="FJ101" s="1513"/>
      <c r="FL101" s="1513"/>
    </row>
    <row r="102" spans="1:168" ht="17.100000000000001" customHeight="1" x14ac:dyDescent="0.15">
      <c r="A102" s="1513"/>
      <c r="B102" s="1282"/>
      <c r="C102" s="1282"/>
      <c r="D102" s="1282"/>
      <c r="E102" s="1282"/>
      <c r="F102" s="1282"/>
      <c r="G102" s="1282"/>
      <c r="H102" s="1282"/>
      <c r="I102" s="1282"/>
      <c r="J102" s="1282"/>
      <c r="K102" s="1282"/>
      <c r="L102" s="1282"/>
      <c r="M102" s="1282"/>
      <c r="N102" s="1282"/>
      <c r="O102" s="1282"/>
      <c r="P102" s="1282"/>
      <c r="Q102" s="1282"/>
      <c r="R102" s="1282"/>
      <c r="S102" s="1282"/>
      <c r="T102" s="1282"/>
      <c r="U102" s="1282"/>
      <c r="V102" s="1282"/>
      <c r="W102" s="1282"/>
      <c r="X102" s="1282"/>
      <c r="Y102" s="1282"/>
      <c r="Z102" s="1282"/>
      <c r="AA102" s="1282"/>
      <c r="AB102" s="1282"/>
      <c r="AC102" s="1282"/>
      <c r="AD102" s="1282"/>
      <c r="AE102" s="1282"/>
      <c r="AF102" s="1282"/>
      <c r="AG102" s="1282"/>
      <c r="AH102" s="1282"/>
      <c r="AI102" s="1282"/>
      <c r="AJ102" s="1282"/>
      <c r="AK102" s="1282"/>
      <c r="AL102" s="1282"/>
      <c r="AM102" s="1282"/>
      <c r="AN102" s="1282"/>
      <c r="AO102" s="1282"/>
      <c r="AP102" s="1282"/>
      <c r="AQ102" s="1282"/>
      <c r="AR102" s="1282"/>
      <c r="AS102" s="1282"/>
      <c r="AT102" s="1282"/>
      <c r="AU102" s="1282"/>
      <c r="AV102" s="1282"/>
      <c r="AW102" s="1282"/>
      <c r="AX102" s="1282"/>
      <c r="AY102" s="1282"/>
      <c r="AZ102" s="1282"/>
      <c r="BA102" s="1282"/>
      <c r="BB102" s="1282"/>
      <c r="BC102" s="1282"/>
      <c r="BD102" s="1282"/>
      <c r="BE102" s="1282"/>
      <c r="BF102" s="1282"/>
      <c r="BG102" s="1282"/>
      <c r="BH102" s="1282"/>
      <c r="BI102" s="1282"/>
      <c r="BJ102" s="1282"/>
      <c r="BK102" s="1282"/>
      <c r="BL102" s="1282"/>
      <c r="BM102" s="1282"/>
      <c r="BN102" s="1282"/>
      <c r="BO102" s="1282"/>
      <c r="BP102" s="1282"/>
      <c r="BQ102" s="1282"/>
      <c r="BR102" s="1282"/>
      <c r="BS102" s="1282"/>
      <c r="BT102" s="1282"/>
      <c r="BU102" s="1282"/>
      <c r="BV102" s="1282"/>
      <c r="BW102" s="1282"/>
      <c r="BX102" s="1282"/>
      <c r="BY102" s="1282"/>
      <c r="BZ102" s="1282"/>
      <c r="CA102" s="1513"/>
      <c r="CK102" s="1513"/>
      <c r="CL102" s="1513"/>
      <c r="CM102" s="1513"/>
      <c r="CN102" s="1513"/>
      <c r="CO102" s="1513"/>
      <c r="CP102" s="1513"/>
      <c r="CQ102" s="1513"/>
      <c r="CR102" s="1513"/>
      <c r="CS102" s="1513"/>
      <c r="CT102" s="1513"/>
      <c r="CU102" s="1513"/>
      <c r="CV102" s="1513"/>
      <c r="CW102" s="1513"/>
      <c r="CX102" s="1513"/>
      <c r="CY102" s="1513"/>
      <c r="CZ102" s="1513"/>
      <c r="DA102" s="1513"/>
      <c r="DB102" s="1513"/>
      <c r="DC102" s="1513"/>
      <c r="DD102" s="1513"/>
      <c r="DE102" s="1513"/>
      <c r="DF102" s="1513"/>
      <c r="DG102" s="1513"/>
      <c r="DH102" s="1513"/>
      <c r="DI102" s="1513"/>
      <c r="DJ102" s="1513"/>
      <c r="DK102" s="1513"/>
      <c r="DL102" s="1513"/>
      <c r="DM102" s="1513"/>
      <c r="DN102" s="1513"/>
      <c r="DO102" s="1513"/>
      <c r="DP102" s="1513"/>
      <c r="DQ102" s="1513"/>
      <c r="DR102" s="1513"/>
      <c r="DS102" s="1513"/>
      <c r="DT102" s="1513"/>
      <c r="DU102" s="1513"/>
      <c r="DV102" s="1513"/>
      <c r="DW102" s="1513"/>
      <c r="DX102" s="1513"/>
      <c r="DY102" s="1513"/>
      <c r="DZ102" s="1513"/>
      <c r="EA102" s="1513"/>
      <c r="EB102" s="1513"/>
      <c r="EC102" s="1513"/>
      <c r="ED102" s="1513"/>
      <c r="EE102" s="1513"/>
      <c r="EF102" s="1513"/>
      <c r="EG102" s="1513"/>
      <c r="EH102" s="1513"/>
      <c r="EI102" s="1513"/>
      <c r="EJ102" s="1513"/>
      <c r="EK102" s="1513"/>
      <c r="EL102" s="1513"/>
      <c r="EM102" s="1513"/>
      <c r="EN102" s="1513"/>
      <c r="EO102" s="1513"/>
      <c r="EP102" s="1513"/>
      <c r="EQ102" s="1513"/>
      <c r="ER102" s="1513"/>
      <c r="ES102" s="1513"/>
      <c r="ET102" s="1513"/>
      <c r="EU102" s="1513"/>
      <c r="EV102" s="1513"/>
      <c r="EW102" s="1513"/>
      <c r="EX102" s="1513"/>
      <c r="EY102" s="1513"/>
      <c r="EZ102" s="1513"/>
      <c r="FA102" s="1513"/>
      <c r="FB102" s="1513"/>
      <c r="FC102" s="1513"/>
      <c r="FD102" s="1513"/>
      <c r="FE102" s="1513"/>
      <c r="FF102" s="1513"/>
      <c r="FG102" s="1513"/>
      <c r="FH102" s="1513"/>
      <c r="FI102" s="1513"/>
      <c r="FJ102" s="1513"/>
      <c r="FL102" s="1513"/>
    </row>
    <row r="103" spans="1:168" ht="17.100000000000001" customHeight="1" x14ac:dyDescent="0.15">
      <c r="A103" s="1513"/>
      <c r="B103" s="1282"/>
      <c r="C103" s="1282"/>
      <c r="D103" s="1282"/>
      <c r="E103" s="1282"/>
      <c r="F103" s="1282"/>
      <c r="G103" s="1282"/>
      <c r="H103" s="1282"/>
      <c r="I103" s="1282"/>
      <c r="J103" s="1282"/>
      <c r="K103" s="1282"/>
      <c r="L103" s="1282"/>
      <c r="M103" s="1282"/>
      <c r="N103" s="1282"/>
      <c r="O103" s="1282"/>
      <c r="P103" s="1282"/>
      <c r="Q103" s="1282"/>
      <c r="R103" s="1282"/>
      <c r="S103" s="1282"/>
      <c r="T103" s="1282"/>
      <c r="U103" s="1282"/>
      <c r="V103" s="1282"/>
      <c r="W103" s="1282"/>
      <c r="X103" s="1282"/>
      <c r="Y103" s="1282"/>
      <c r="Z103" s="1282"/>
      <c r="AA103" s="1282"/>
      <c r="AB103" s="1282"/>
      <c r="AC103" s="1282"/>
      <c r="AD103" s="1282"/>
      <c r="AE103" s="1282"/>
      <c r="AF103" s="1282"/>
      <c r="AG103" s="1282"/>
      <c r="AH103" s="1282"/>
      <c r="AI103" s="1282"/>
      <c r="AJ103" s="1282"/>
      <c r="AK103" s="1282"/>
      <c r="AL103" s="1282"/>
      <c r="AM103" s="1282"/>
      <c r="AN103" s="1282"/>
      <c r="AO103" s="1282"/>
      <c r="AP103" s="1282"/>
      <c r="AQ103" s="1282"/>
      <c r="AR103" s="1282"/>
      <c r="AS103" s="1282"/>
      <c r="AT103" s="1282"/>
      <c r="AU103" s="1282"/>
      <c r="AV103" s="1282"/>
      <c r="AW103" s="1282"/>
      <c r="AX103" s="1282"/>
      <c r="AY103" s="1282"/>
      <c r="AZ103" s="1282"/>
      <c r="BA103" s="1282"/>
      <c r="BB103" s="1282"/>
      <c r="BC103" s="1282"/>
      <c r="BD103" s="1282"/>
      <c r="BE103" s="1282"/>
      <c r="BF103" s="1282"/>
      <c r="BG103" s="1282"/>
      <c r="BH103" s="1282"/>
      <c r="BI103" s="1282"/>
      <c r="BJ103" s="1282"/>
      <c r="BK103" s="1282"/>
      <c r="BL103" s="1282"/>
      <c r="BM103" s="1282"/>
      <c r="BN103" s="1282"/>
      <c r="BO103" s="1282"/>
      <c r="BP103" s="1282"/>
      <c r="BQ103" s="1282"/>
      <c r="BR103" s="1282"/>
      <c r="BS103" s="1282"/>
      <c r="BT103" s="1282"/>
      <c r="BU103" s="1282"/>
      <c r="BV103" s="1282"/>
      <c r="BW103" s="1282"/>
      <c r="BX103" s="1282"/>
      <c r="BY103" s="1282"/>
      <c r="BZ103" s="1282"/>
      <c r="CA103" s="1513"/>
      <c r="CK103" s="1513"/>
      <c r="CL103" s="1513"/>
      <c r="CM103" s="1513"/>
      <c r="CN103" s="1513"/>
      <c r="CO103" s="1513"/>
      <c r="CP103" s="1513"/>
      <c r="CQ103" s="1513"/>
      <c r="CR103" s="1513"/>
      <c r="CS103" s="1513"/>
      <c r="CT103" s="1513"/>
      <c r="CU103" s="1513"/>
      <c r="CV103" s="1513"/>
      <c r="CW103" s="1513"/>
      <c r="CX103" s="1513"/>
      <c r="CY103" s="1513"/>
      <c r="CZ103" s="1513"/>
      <c r="DA103" s="1513"/>
      <c r="DB103" s="1513"/>
      <c r="DC103" s="1513"/>
      <c r="DD103" s="1513"/>
      <c r="DE103" s="1513"/>
      <c r="DF103" s="1513"/>
      <c r="DG103" s="1513"/>
      <c r="DH103" s="1513"/>
      <c r="DI103" s="1513"/>
      <c r="DJ103" s="1513"/>
      <c r="DK103" s="1513"/>
      <c r="DL103" s="1513"/>
      <c r="DM103" s="1513"/>
      <c r="DN103" s="1513"/>
      <c r="DO103" s="1513"/>
      <c r="DP103" s="1513"/>
      <c r="DQ103" s="1513"/>
      <c r="DR103" s="1513"/>
      <c r="DS103" s="1513"/>
      <c r="DT103" s="1513"/>
      <c r="DU103" s="1513"/>
      <c r="DV103" s="1513"/>
      <c r="DW103" s="1513"/>
      <c r="DX103" s="1513"/>
      <c r="DY103" s="1513"/>
      <c r="DZ103" s="1513"/>
      <c r="EA103" s="1513"/>
      <c r="EB103" s="1513"/>
      <c r="EC103" s="1513"/>
      <c r="ED103" s="1513"/>
      <c r="EE103" s="1513"/>
      <c r="EF103" s="1513"/>
      <c r="EG103" s="1513"/>
      <c r="EH103" s="1513"/>
      <c r="EI103" s="1513"/>
      <c r="EJ103" s="1513"/>
      <c r="EK103" s="1513"/>
      <c r="EL103" s="1513"/>
      <c r="EM103" s="1513"/>
      <c r="EN103" s="1513"/>
      <c r="EO103" s="1513"/>
      <c r="EP103" s="1513"/>
      <c r="EQ103" s="1513"/>
      <c r="ER103" s="1513"/>
      <c r="ES103" s="1513"/>
      <c r="ET103" s="1513"/>
      <c r="EU103" s="1513"/>
      <c r="EV103" s="1513"/>
      <c r="EW103" s="1513"/>
      <c r="EX103" s="1513"/>
      <c r="EY103" s="1513"/>
      <c r="EZ103" s="1513"/>
      <c r="FA103" s="1513"/>
      <c r="FB103" s="1513"/>
      <c r="FC103" s="1513"/>
      <c r="FD103" s="1513"/>
      <c r="FE103" s="1513"/>
      <c r="FF103" s="1513"/>
      <c r="FG103" s="1513"/>
      <c r="FH103" s="1513"/>
      <c r="FI103" s="1513"/>
      <c r="FJ103" s="1513"/>
      <c r="FL103" s="1513"/>
    </row>
    <row r="104" spans="1:168" ht="17.100000000000001" customHeight="1" x14ac:dyDescent="0.15">
      <c r="A104" s="1513"/>
      <c r="B104" s="1282"/>
      <c r="C104" s="1282"/>
      <c r="D104" s="1282"/>
      <c r="E104" s="1282"/>
      <c r="F104" s="1282"/>
      <c r="G104" s="1282"/>
      <c r="H104" s="1282"/>
      <c r="I104" s="1282"/>
      <c r="J104" s="1282"/>
      <c r="K104" s="1282"/>
      <c r="L104" s="1282"/>
      <c r="M104" s="1282"/>
      <c r="N104" s="1282"/>
      <c r="O104" s="1282"/>
      <c r="P104" s="1282"/>
      <c r="Q104" s="1282"/>
      <c r="R104" s="1282"/>
      <c r="S104" s="1282"/>
      <c r="T104" s="1282"/>
      <c r="U104" s="1282"/>
      <c r="V104" s="1282"/>
      <c r="W104" s="1282"/>
      <c r="X104" s="1282"/>
      <c r="Y104" s="1282"/>
      <c r="Z104" s="1282"/>
      <c r="AA104" s="1282"/>
      <c r="AB104" s="1282"/>
      <c r="AC104" s="1282"/>
      <c r="AD104" s="1282"/>
      <c r="AE104" s="1282"/>
      <c r="AF104" s="1282"/>
      <c r="AG104" s="1282"/>
      <c r="AH104" s="1282"/>
      <c r="AI104" s="1282"/>
      <c r="AJ104" s="1282"/>
      <c r="AK104" s="1282"/>
      <c r="AL104" s="1282"/>
      <c r="AM104" s="1282"/>
      <c r="AN104" s="1282"/>
      <c r="AO104" s="1282"/>
      <c r="AP104" s="1282"/>
      <c r="AQ104" s="1282"/>
      <c r="AR104" s="1282"/>
      <c r="AS104" s="1282"/>
      <c r="AT104" s="1282"/>
      <c r="AU104" s="1282"/>
      <c r="AV104" s="1282"/>
      <c r="AW104" s="1282"/>
      <c r="AX104" s="1282"/>
      <c r="AY104" s="1282"/>
      <c r="AZ104" s="1282"/>
      <c r="BA104" s="1282"/>
      <c r="BB104" s="1282"/>
      <c r="BC104" s="1282"/>
      <c r="BD104" s="1282"/>
      <c r="BE104" s="1282"/>
      <c r="BF104" s="1282"/>
      <c r="BG104" s="1282"/>
      <c r="BH104" s="1282"/>
      <c r="BI104" s="1282"/>
      <c r="BJ104" s="1282"/>
      <c r="BK104" s="1282"/>
      <c r="BL104" s="1282"/>
      <c r="BM104" s="1282"/>
      <c r="BN104" s="1282"/>
      <c r="BO104" s="1282"/>
      <c r="BP104" s="1282"/>
      <c r="BQ104" s="1282"/>
      <c r="BR104" s="1282"/>
      <c r="BS104" s="1282"/>
      <c r="BT104" s="1282"/>
      <c r="BU104" s="1282"/>
      <c r="BV104" s="1282"/>
      <c r="BW104" s="1282"/>
      <c r="BX104" s="1282"/>
      <c r="BY104" s="1282"/>
      <c r="BZ104" s="1282"/>
      <c r="CA104" s="1513"/>
      <c r="CK104" s="1513"/>
      <c r="CL104" s="1513"/>
      <c r="CM104" s="1513"/>
      <c r="CN104" s="1513"/>
      <c r="CO104" s="1513"/>
      <c r="CP104" s="1513"/>
      <c r="CQ104" s="1513"/>
      <c r="CR104" s="1513"/>
      <c r="CS104" s="1513"/>
      <c r="CT104" s="1513"/>
      <c r="CU104" s="1513"/>
      <c r="CV104" s="1513"/>
      <c r="CW104" s="1513"/>
      <c r="CX104" s="1513"/>
      <c r="CY104" s="1513"/>
      <c r="CZ104" s="1513"/>
      <c r="DA104" s="1513"/>
      <c r="DB104" s="1513"/>
      <c r="DC104" s="1513"/>
      <c r="DD104" s="1513"/>
      <c r="DE104" s="1513"/>
      <c r="DF104" s="1513"/>
      <c r="DG104" s="1513"/>
      <c r="DH104" s="1513"/>
      <c r="DI104" s="1513"/>
      <c r="DJ104" s="1513"/>
      <c r="DK104" s="1513"/>
      <c r="DL104" s="1513"/>
      <c r="DM104" s="1513"/>
      <c r="DN104" s="1513"/>
      <c r="DO104" s="1513"/>
      <c r="DP104" s="1513"/>
      <c r="DQ104" s="1513"/>
      <c r="DR104" s="1513"/>
      <c r="DS104" s="1513"/>
      <c r="DT104" s="1513"/>
      <c r="DU104" s="1513"/>
      <c r="DV104" s="1513"/>
      <c r="DW104" s="1513"/>
      <c r="DX104" s="1513"/>
      <c r="DY104" s="1513"/>
      <c r="DZ104" s="1513"/>
      <c r="EA104" s="1513"/>
      <c r="EB104" s="1513"/>
      <c r="EC104" s="1513"/>
      <c r="ED104" s="1513"/>
      <c r="EE104" s="1513"/>
      <c r="EF104" s="1513"/>
      <c r="EG104" s="1513"/>
      <c r="EH104" s="1513"/>
      <c r="EI104" s="1513"/>
      <c r="EJ104" s="1513"/>
      <c r="EK104" s="1513"/>
      <c r="EL104" s="1513"/>
      <c r="EM104" s="1513"/>
      <c r="EN104" s="1513"/>
      <c r="EO104" s="1513"/>
      <c r="EP104" s="1513"/>
      <c r="EQ104" s="1513"/>
      <c r="ER104" s="1513"/>
      <c r="ES104" s="1513"/>
      <c r="ET104" s="1513"/>
      <c r="EU104" s="1513"/>
      <c r="EV104" s="1513"/>
      <c r="EW104" s="1513"/>
      <c r="EX104" s="1513"/>
      <c r="EY104" s="1513"/>
      <c r="EZ104" s="1513"/>
      <c r="FA104" s="1513"/>
      <c r="FB104" s="1513"/>
      <c r="FC104" s="1513"/>
      <c r="FD104" s="1513"/>
      <c r="FE104" s="1513"/>
      <c r="FF104" s="1513"/>
      <c r="FG104" s="1513"/>
      <c r="FH104" s="1513"/>
      <c r="FI104" s="1513"/>
      <c r="FJ104" s="1513"/>
      <c r="FL104" s="1513"/>
    </row>
    <row r="105" spans="1:168" ht="17.100000000000001" customHeight="1" x14ac:dyDescent="0.15">
      <c r="A105" s="1513"/>
      <c r="B105" s="1282"/>
      <c r="C105" s="1282"/>
      <c r="D105" s="1282"/>
      <c r="E105" s="1282"/>
      <c r="F105" s="1282"/>
      <c r="G105" s="1282"/>
      <c r="H105" s="1282"/>
      <c r="I105" s="1282"/>
      <c r="J105" s="1282"/>
      <c r="K105" s="1282"/>
      <c r="L105" s="1282"/>
      <c r="M105" s="1282"/>
      <c r="N105" s="1282"/>
      <c r="O105" s="1282"/>
      <c r="P105" s="1282"/>
      <c r="Q105" s="1282"/>
      <c r="R105" s="1282"/>
      <c r="S105" s="1282"/>
      <c r="T105" s="1282"/>
      <c r="U105" s="1282"/>
      <c r="V105" s="1282"/>
      <c r="W105" s="1282"/>
      <c r="X105" s="1282"/>
      <c r="Y105" s="1282"/>
      <c r="Z105" s="1282"/>
      <c r="AA105" s="1282"/>
      <c r="AB105" s="1282"/>
      <c r="AC105" s="1282"/>
      <c r="AD105" s="1282"/>
      <c r="AE105" s="1282"/>
      <c r="AF105" s="1282"/>
      <c r="AG105" s="1282"/>
      <c r="AH105" s="1282"/>
      <c r="AI105" s="1282"/>
      <c r="AJ105" s="1282"/>
      <c r="AK105" s="1282"/>
      <c r="AL105" s="1282"/>
      <c r="AM105" s="1282"/>
      <c r="AN105" s="1282"/>
      <c r="AO105" s="1282"/>
      <c r="AP105" s="1282"/>
      <c r="AQ105" s="1282"/>
      <c r="AR105" s="1282"/>
      <c r="AS105" s="1282"/>
      <c r="AT105" s="1282"/>
      <c r="AU105" s="1282"/>
      <c r="AV105" s="1282"/>
      <c r="AW105" s="1282"/>
      <c r="AX105" s="1282"/>
      <c r="AY105" s="1282"/>
      <c r="AZ105" s="1282"/>
      <c r="BA105" s="1282"/>
      <c r="BB105" s="1282"/>
      <c r="BC105" s="1282"/>
      <c r="BD105" s="1282"/>
      <c r="BE105" s="1282"/>
      <c r="BF105" s="1282"/>
      <c r="BG105" s="1282"/>
      <c r="BH105" s="1282"/>
      <c r="BI105" s="1282"/>
      <c r="BJ105" s="1282"/>
      <c r="BK105" s="1282"/>
      <c r="BL105" s="1282"/>
      <c r="BM105" s="1282"/>
      <c r="BN105" s="1282"/>
      <c r="BO105" s="1282"/>
      <c r="BP105" s="1282"/>
      <c r="BQ105" s="1282"/>
      <c r="BR105" s="1282"/>
      <c r="BS105" s="1282"/>
      <c r="BT105" s="1282"/>
      <c r="BU105" s="1282"/>
      <c r="BV105" s="1282"/>
      <c r="BW105" s="1282"/>
      <c r="BX105" s="1282"/>
      <c r="BY105" s="1282"/>
      <c r="BZ105" s="1282"/>
      <c r="CA105" s="1513"/>
      <c r="CK105" s="1513"/>
      <c r="CL105" s="1513"/>
      <c r="CM105" s="1513"/>
      <c r="CN105" s="1513"/>
      <c r="CO105" s="1513"/>
      <c r="CP105" s="1513"/>
      <c r="CQ105" s="1513"/>
      <c r="CR105" s="1513"/>
      <c r="CS105" s="1513"/>
      <c r="CT105" s="1513"/>
      <c r="CU105" s="1513"/>
      <c r="CV105" s="1513"/>
      <c r="CW105" s="1513"/>
      <c r="CX105" s="1513"/>
      <c r="CY105" s="1513"/>
      <c r="CZ105" s="1513"/>
      <c r="DA105" s="1513"/>
      <c r="DB105" s="1513"/>
      <c r="DC105" s="1513"/>
      <c r="DD105" s="1513"/>
      <c r="DE105" s="1513"/>
      <c r="DF105" s="1513"/>
      <c r="DG105" s="1513"/>
      <c r="DH105" s="1513"/>
      <c r="DI105" s="1513"/>
      <c r="DJ105" s="1513"/>
      <c r="DK105" s="1513"/>
      <c r="DL105" s="1513"/>
      <c r="DM105" s="1513"/>
      <c r="DN105" s="1513"/>
      <c r="DO105" s="1513"/>
      <c r="DP105" s="1513"/>
      <c r="DQ105" s="1513"/>
      <c r="DR105" s="1513"/>
      <c r="DS105" s="1513"/>
      <c r="DT105" s="1513"/>
      <c r="DU105" s="1513"/>
      <c r="DV105" s="1513"/>
      <c r="DW105" s="1513"/>
      <c r="DX105" s="1513"/>
      <c r="DY105" s="1513"/>
      <c r="DZ105" s="1513"/>
      <c r="EA105" s="1513"/>
      <c r="EB105" s="1513"/>
      <c r="EC105" s="1513"/>
      <c r="ED105" s="1513"/>
      <c r="EE105" s="1513"/>
      <c r="EF105" s="1513"/>
      <c r="EG105" s="1513"/>
      <c r="EH105" s="1513"/>
      <c r="EI105" s="1513"/>
      <c r="EJ105" s="1513"/>
      <c r="EK105" s="1513"/>
      <c r="EL105" s="1513"/>
      <c r="EM105" s="1513"/>
      <c r="EN105" s="1513"/>
      <c r="EO105" s="1513"/>
      <c r="EP105" s="1513"/>
      <c r="EQ105" s="1513"/>
      <c r="ER105" s="1513"/>
      <c r="ES105" s="1513"/>
      <c r="ET105" s="1513"/>
      <c r="EU105" s="1513"/>
      <c r="EV105" s="1513"/>
      <c r="EW105" s="1513"/>
      <c r="EX105" s="1513"/>
      <c r="EY105" s="1513"/>
      <c r="EZ105" s="1513"/>
      <c r="FA105" s="1513"/>
      <c r="FB105" s="1513"/>
      <c r="FC105" s="1513"/>
      <c r="FD105" s="1513"/>
      <c r="FE105" s="1513"/>
      <c r="FF105" s="1513"/>
      <c r="FG105" s="1513"/>
      <c r="FH105" s="1513"/>
      <c r="FI105" s="1513"/>
      <c r="FJ105" s="1513"/>
      <c r="FL105" s="1513"/>
    </row>
    <row r="106" spans="1:168" ht="17.100000000000001" customHeight="1" x14ac:dyDescent="0.15">
      <c r="A106" s="1513"/>
      <c r="B106" s="1282"/>
      <c r="C106" s="1282"/>
      <c r="D106" s="1282"/>
      <c r="E106" s="1282"/>
      <c r="F106" s="1282"/>
      <c r="G106" s="1282"/>
      <c r="H106" s="1282"/>
      <c r="I106" s="1282"/>
      <c r="J106" s="1282"/>
      <c r="K106" s="1282"/>
      <c r="L106" s="1282"/>
      <c r="M106" s="1282"/>
      <c r="N106" s="1282"/>
      <c r="O106" s="1282"/>
      <c r="P106" s="1282"/>
      <c r="Q106" s="1282"/>
      <c r="R106" s="1282"/>
      <c r="S106" s="1282"/>
      <c r="T106" s="1282"/>
      <c r="U106" s="1282"/>
      <c r="V106" s="1282"/>
      <c r="W106" s="1282"/>
      <c r="X106" s="1282"/>
      <c r="Y106" s="1282"/>
      <c r="Z106" s="1282"/>
      <c r="AA106" s="1282"/>
      <c r="AB106" s="1282"/>
      <c r="AC106" s="1282"/>
      <c r="AD106" s="1282"/>
      <c r="AE106" s="1282"/>
      <c r="AF106" s="1282"/>
      <c r="AG106" s="1282"/>
      <c r="AH106" s="1282"/>
      <c r="AI106" s="1282"/>
      <c r="AJ106" s="1282"/>
      <c r="AK106" s="1282"/>
      <c r="AL106" s="1282"/>
      <c r="AM106" s="1282"/>
      <c r="AN106" s="1282"/>
      <c r="AO106" s="1282"/>
      <c r="AP106" s="1282"/>
      <c r="AQ106" s="1282"/>
      <c r="AR106" s="1282"/>
      <c r="AS106" s="1282"/>
      <c r="AT106" s="1282"/>
      <c r="AU106" s="1282"/>
      <c r="AV106" s="1282"/>
      <c r="AW106" s="1282"/>
      <c r="AX106" s="1282"/>
      <c r="AY106" s="1282"/>
      <c r="AZ106" s="1282"/>
      <c r="BA106" s="1282"/>
      <c r="BB106" s="1282"/>
      <c r="BC106" s="1282"/>
      <c r="BD106" s="1282"/>
      <c r="BE106" s="1282"/>
      <c r="BF106" s="1282"/>
      <c r="BG106" s="1282"/>
      <c r="BH106" s="1282"/>
      <c r="BI106" s="1282"/>
      <c r="BJ106" s="1282"/>
      <c r="BK106" s="1282"/>
      <c r="BL106" s="1282"/>
      <c r="BM106" s="1282"/>
      <c r="BN106" s="1282"/>
      <c r="BO106" s="1282"/>
      <c r="BP106" s="1282"/>
      <c r="BQ106" s="1282"/>
      <c r="BR106" s="1282"/>
      <c r="BS106" s="1282"/>
      <c r="BT106" s="1282"/>
      <c r="BU106" s="1282"/>
      <c r="BV106" s="1282"/>
      <c r="BW106" s="1282"/>
      <c r="BX106" s="1282"/>
      <c r="BY106" s="1282"/>
      <c r="BZ106" s="1282"/>
      <c r="CA106" s="1513"/>
      <c r="CK106" s="1513"/>
      <c r="CL106" s="1513"/>
      <c r="CM106" s="1513"/>
      <c r="CN106" s="1513"/>
      <c r="CO106" s="1513"/>
      <c r="CP106" s="1513"/>
      <c r="CQ106" s="1513"/>
      <c r="CR106" s="1513"/>
      <c r="CS106" s="1513"/>
      <c r="CT106" s="1513"/>
      <c r="CU106" s="1513"/>
      <c r="CV106" s="1513"/>
      <c r="CW106" s="1513"/>
      <c r="CX106" s="1513"/>
      <c r="CY106" s="1513"/>
      <c r="CZ106" s="1513"/>
      <c r="DA106" s="1513"/>
      <c r="DB106" s="1513"/>
      <c r="DC106" s="1513"/>
      <c r="DD106" s="1513"/>
      <c r="DE106" s="1513"/>
      <c r="DF106" s="1513"/>
      <c r="DG106" s="1513"/>
      <c r="DH106" s="1513"/>
      <c r="DI106" s="1513"/>
      <c r="DJ106" s="1513"/>
      <c r="DK106" s="1513"/>
      <c r="DL106" s="1513"/>
      <c r="DM106" s="1513"/>
      <c r="DN106" s="1513"/>
      <c r="DO106" s="1513"/>
      <c r="DP106" s="1513"/>
      <c r="DQ106" s="1513"/>
      <c r="DR106" s="1513"/>
      <c r="DS106" s="1513"/>
      <c r="DT106" s="1513"/>
      <c r="DU106" s="1513"/>
      <c r="DV106" s="1513"/>
      <c r="DW106" s="1513"/>
      <c r="DX106" s="1513"/>
      <c r="DY106" s="1513"/>
      <c r="DZ106" s="1513"/>
      <c r="EA106" s="1513"/>
      <c r="EB106" s="1513"/>
      <c r="EC106" s="1513"/>
      <c r="ED106" s="1513"/>
      <c r="EE106" s="1513"/>
      <c r="EF106" s="1513"/>
      <c r="EG106" s="1513"/>
      <c r="EH106" s="1513"/>
      <c r="EI106" s="1513"/>
      <c r="EJ106" s="1513"/>
      <c r="EK106" s="1513"/>
      <c r="EL106" s="1513"/>
      <c r="EM106" s="1513"/>
      <c r="EN106" s="1513"/>
      <c r="EO106" s="1513"/>
      <c r="EP106" s="1513"/>
      <c r="EQ106" s="1513"/>
      <c r="ER106" s="1513"/>
      <c r="ES106" s="1513"/>
      <c r="ET106" s="1513"/>
      <c r="EU106" s="1513"/>
      <c r="EV106" s="1513"/>
      <c r="EW106" s="1513"/>
      <c r="EX106" s="1513"/>
      <c r="EY106" s="1513"/>
      <c r="EZ106" s="1513"/>
      <c r="FA106" s="1513"/>
      <c r="FB106" s="1513"/>
      <c r="FC106" s="1513"/>
      <c r="FD106" s="1513"/>
      <c r="FE106" s="1513"/>
      <c r="FF106" s="1513"/>
      <c r="FG106" s="1513"/>
      <c r="FH106" s="1513"/>
      <c r="FI106" s="1513"/>
      <c r="FJ106" s="1513"/>
      <c r="FL106" s="1513"/>
    </row>
    <row r="107" spans="1:168" ht="17.100000000000001" customHeight="1" x14ac:dyDescent="0.15">
      <c r="A107" s="1513"/>
      <c r="B107" s="1282"/>
      <c r="C107" s="1282"/>
      <c r="D107" s="1282"/>
      <c r="E107" s="1282"/>
      <c r="F107" s="1282"/>
      <c r="G107" s="1282"/>
      <c r="H107" s="1282"/>
      <c r="I107" s="1282"/>
      <c r="J107" s="1282"/>
      <c r="K107" s="1282"/>
      <c r="L107" s="1282"/>
      <c r="M107" s="1282"/>
      <c r="N107" s="1282"/>
      <c r="O107" s="1282"/>
      <c r="P107" s="1282"/>
      <c r="Q107" s="1282"/>
      <c r="R107" s="1282"/>
      <c r="S107" s="1282"/>
      <c r="T107" s="1282"/>
      <c r="U107" s="1282"/>
      <c r="V107" s="1282"/>
      <c r="W107" s="1282"/>
      <c r="X107" s="1282"/>
      <c r="Y107" s="1282"/>
      <c r="Z107" s="1282"/>
      <c r="AA107" s="1282"/>
      <c r="AB107" s="1282"/>
      <c r="AC107" s="1282"/>
      <c r="AD107" s="1282"/>
      <c r="AE107" s="1282"/>
      <c r="AF107" s="1282"/>
      <c r="AG107" s="1282"/>
      <c r="AH107" s="1282"/>
      <c r="AI107" s="1282"/>
      <c r="AJ107" s="1282"/>
      <c r="AK107" s="1282"/>
      <c r="AL107" s="1282"/>
      <c r="AM107" s="1282"/>
      <c r="AN107" s="1282"/>
      <c r="AO107" s="1282"/>
      <c r="AP107" s="1282"/>
      <c r="AQ107" s="1282"/>
      <c r="AR107" s="1282"/>
      <c r="AS107" s="1282"/>
      <c r="AT107" s="1282"/>
      <c r="AU107" s="1282"/>
      <c r="AV107" s="1282"/>
      <c r="AW107" s="1282"/>
      <c r="AX107" s="1282"/>
      <c r="AY107" s="1282"/>
      <c r="AZ107" s="1282"/>
      <c r="BA107" s="1282"/>
      <c r="BB107" s="1282"/>
      <c r="BC107" s="1282"/>
      <c r="BD107" s="1282"/>
      <c r="BE107" s="1282"/>
      <c r="BF107" s="1282"/>
      <c r="BG107" s="1282"/>
      <c r="BH107" s="1282"/>
      <c r="BI107" s="1282"/>
      <c r="BJ107" s="1282"/>
      <c r="BK107" s="1282"/>
      <c r="BL107" s="1282"/>
      <c r="BM107" s="1282"/>
      <c r="BN107" s="1282"/>
      <c r="BO107" s="1282"/>
      <c r="BP107" s="1282"/>
      <c r="BQ107" s="1282"/>
      <c r="BR107" s="1282"/>
      <c r="BS107" s="1282"/>
      <c r="BT107" s="1282"/>
      <c r="BU107" s="1282"/>
      <c r="BV107" s="1282"/>
      <c r="BW107" s="1282"/>
      <c r="BX107" s="1282"/>
      <c r="BY107" s="1282"/>
      <c r="BZ107" s="1282"/>
      <c r="CA107" s="1513"/>
      <c r="CK107" s="1513"/>
      <c r="CL107" s="1513"/>
      <c r="CM107" s="1513"/>
      <c r="CN107" s="1513"/>
      <c r="CO107" s="1513"/>
      <c r="CP107" s="1513"/>
      <c r="CQ107" s="1513"/>
      <c r="CR107" s="1513"/>
      <c r="CS107" s="1513"/>
      <c r="CT107" s="1513"/>
      <c r="CU107" s="1513"/>
      <c r="CV107" s="1513"/>
      <c r="CW107" s="1513"/>
      <c r="CX107" s="1513"/>
      <c r="CY107" s="1513"/>
      <c r="CZ107" s="1513"/>
      <c r="DA107" s="1513"/>
      <c r="DB107" s="1513"/>
      <c r="DC107" s="1513"/>
      <c r="DD107" s="1513"/>
      <c r="DE107" s="1513"/>
      <c r="DF107" s="1513"/>
      <c r="DG107" s="1513"/>
      <c r="DH107" s="1513"/>
      <c r="DI107" s="1513"/>
      <c r="DJ107" s="1513"/>
      <c r="DK107" s="1513"/>
      <c r="DL107" s="1513"/>
      <c r="DM107" s="1513"/>
      <c r="DN107" s="1513"/>
      <c r="DO107" s="1513"/>
      <c r="DP107" s="1513"/>
      <c r="DQ107" s="1513"/>
      <c r="DR107" s="1513"/>
      <c r="DS107" s="1513"/>
      <c r="DT107" s="1513"/>
      <c r="DU107" s="1513"/>
      <c r="DV107" s="1513"/>
      <c r="DW107" s="1513"/>
      <c r="DX107" s="1513"/>
      <c r="DY107" s="1513"/>
      <c r="DZ107" s="1513"/>
      <c r="EA107" s="1513"/>
      <c r="EB107" s="1513"/>
      <c r="EC107" s="1513"/>
      <c r="ED107" s="1513"/>
      <c r="EE107" s="1513"/>
      <c r="EF107" s="1513"/>
      <c r="EG107" s="1513"/>
      <c r="EH107" s="1513"/>
      <c r="EI107" s="1513"/>
      <c r="EJ107" s="1513"/>
      <c r="EK107" s="1513"/>
      <c r="EL107" s="1513"/>
      <c r="EM107" s="1513"/>
      <c r="EN107" s="1513"/>
      <c r="EO107" s="1513"/>
      <c r="EP107" s="1513"/>
      <c r="EQ107" s="1513"/>
      <c r="ER107" s="1513"/>
      <c r="ES107" s="1513"/>
      <c r="ET107" s="1513"/>
      <c r="EU107" s="1513"/>
      <c r="EV107" s="1513"/>
      <c r="EW107" s="1513"/>
      <c r="EX107" s="1513"/>
      <c r="EY107" s="1513"/>
      <c r="EZ107" s="1513"/>
      <c r="FA107" s="1513"/>
      <c r="FB107" s="1513"/>
      <c r="FC107" s="1513"/>
      <c r="FD107" s="1513"/>
      <c r="FE107" s="1513"/>
      <c r="FF107" s="1513"/>
      <c r="FG107" s="1513"/>
      <c r="FH107" s="1513"/>
      <c r="FI107" s="1513"/>
      <c r="FJ107" s="1513"/>
      <c r="FL107" s="1513"/>
    </row>
    <row r="108" spans="1:168" ht="17.100000000000001" customHeight="1" x14ac:dyDescent="0.15">
      <c r="A108" s="1513"/>
      <c r="B108" s="1282"/>
      <c r="C108" s="1282"/>
      <c r="D108" s="1282"/>
      <c r="E108" s="1282"/>
      <c r="F108" s="1282"/>
      <c r="G108" s="1282"/>
      <c r="H108" s="1282"/>
      <c r="I108" s="1282"/>
      <c r="J108" s="1282"/>
      <c r="K108" s="1282"/>
      <c r="L108" s="1282"/>
      <c r="M108" s="1282"/>
      <c r="N108" s="1282"/>
      <c r="O108" s="1282"/>
      <c r="P108" s="1282"/>
      <c r="Q108" s="1282"/>
      <c r="R108" s="1282"/>
      <c r="S108" s="1282"/>
      <c r="T108" s="1282"/>
      <c r="U108" s="1282"/>
      <c r="V108" s="1282"/>
      <c r="W108" s="1282"/>
      <c r="X108" s="1282"/>
      <c r="Y108" s="1282"/>
      <c r="Z108" s="1282"/>
      <c r="AA108" s="1282"/>
      <c r="AB108" s="1282"/>
      <c r="AC108" s="1282"/>
      <c r="AD108" s="1282"/>
      <c r="AE108" s="1282"/>
      <c r="AF108" s="1282"/>
      <c r="AG108" s="1282"/>
      <c r="AH108" s="1282"/>
      <c r="AI108" s="1282"/>
      <c r="AJ108" s="1282"/>
      <c r="AK108" s="1282"/>
      <c r="AL108" s="1282"/>
      <c r="AM108" s="1282"/>
      <c r="AN108" s="1282"/>
      <c r="AO108" s="1282"/>
      <c r="AP108" s="1282"/>
      <c r="AQ108" s="1282"/>
      <c r="AR108" s="1282"/>
      <c r="AS108" s="1282"/>
      <c r="AT108" s="1282"/>
      <c r="AU108" s="1282"/>
      <c r="AV108" s="1282"/>
      <c r="AW108" s="1282"/>
      <c r="AX108" s="1282"/>
      <c r="AY108" s="1282"/>
      <c r="AZ108" s="1282"/>
      <c r="BA108" s="1282"/>
      <c r="BB108" s="1282"/>
      <c r="BC108" s="1282"/>
      <c r="BD108" s="1282"/>
      <c r="BE108" s="1282"/>
      <c r="BF108" s="1282"/>
      <c r="BG108" s="1282"/>
      <c r="BH108" s="1282"/>
      <c r="BI108" s="1282"/>
      <c r="BJ108" s="1282"/>
      <c r="BK108" s="1282"/>
      <c r="BL108" s="1282"/>
      <c r="BM108" s="1282"/>
      <c r="BN108" s="1282"/>
      <c r="BO108" s="1282"/>
      <c r="BP108" s="1282"/>
      <c r="BQ108" s="1282"/>
      <c r="BR108" s="1282"/>
      <c r="BS108" s="1282"/>
      <c r="BT108" s="1282"/>
      <c r="BU108" s="1282"/>
      <c r="BV108" s="1282"/>
      <c r="BW108" s="1282"/>
      <c r="BX108" s="1282"/>
      <c r="BY108" s="1282"/>
      <c r="BZ108" s="1282"/>
      <c r="CA108" s="1513"/>
      <c r="CK108" s="1513"/>
      <c r="CL108" s="1513"/>
      <c r="CM108" s="1513"/>
      <c r="CN108" s="1513"/>
      <c r="CO108" s="1513"/>
      <c r="CP108" s="1513"/>
      <c r="CQ108" s="1513"/>
      <c r="CR108" s="1513"/>
      <c r="CS108" s="1513"/>
      <c r="CT108" s="1513"/>
      <c r="CU108" s="1513"/>
      <c r="CV108" s="1513"/>
      <c r="CW108" s="1513"/>
      <c r="CX108" s="1513"/>
      <c r="CY108" s="1513"/>
      <c r="CZ108" s="1513"/>
      <c r="DA108" s="1513"/>
      <c r="DB108" s="1513"/>
      <c r="DC108" s="1513"/>
      <c r="DD108" s="1513"/>
      <c r="DE108" s="1513"/>
      <c r="DF108" s="1513"/>
      <c r="DG108" s="1513"/>
      <c r="DH108" s="1513"/>
      <c r="DI108" s="1513"/>
      <c r="DJ108" s="1513"/>
      <c r="DK108" s="1513"/>
      <c r="DL108" s="1513"/>
      <c r="DM108" s="1513"/>
      <c r="DN108" s="1513"/>
      <c r="DO108" s="1513"/>
      <c r="DP108" s="1513"/>
      <c r="DQ108" s="1513"/>
      <c r="DR108" s="1513"/>
      <c r="DS108" s="1513"/>
      <c r="DT108" s="1513"/>
      <c r="DU108" s="1513"/>
      <c r="DV108" s="1513"/>
      <c r="DW108" s="1513"/>
      <c r="DX108" s="1513"/>
      <c r="DY108" s="1513"/>
      <c r="DZ108" s="1513"/>
      <c r="EA108" s="1513"/>
      <c r="EB108" s="1513"/>
      <c r="EC108" s="1513"/>
      <c r="ED108" s="1513"/>
      <c r="EE108" s="1513"/>
      <c r="EF108" s="1513"/>
      <c r="EG108" s="1513"/>
      <c r="EH108" s="1513"/>
      <c r="EI108" s="1513"/>
      <c r="EJ108" s="1513"/>
      <c r="EK108" s="1513"/>
      <c r="EL108" s="1513"/>
      <c r="EM108" s="1513"/>
      <c r="EN108" s="1513"/>
      <c r="EO108" s="1513"/>
      <c r="EP108" s="1513"/>
      <c r="EQ108" s="1513"/>
      <c r="ER108" s="1513"/>
      <c r="ES108" s="1513"/>
      <c r="ET108" s="1513"/>
      <c r="EU108" s="1513"/>
      <c r="EV108" s="1513"/>
      <c r="EW108" s="1513"/>
      <c r="EX108" s="1513"/>
      <c r="EY108" s="1513"/>
      <c r="EZ108" s="1513"/>
      <c r="FA108" s="1513"/>
      <c r="FB108" s="1513"/>
      <c r="FC108" s="1513"/>
      <c r="FD108" s="1513"/>
      <c r="FE108" s="1513"/>
      <c r="FF108" s="1513"/>
      <c r="FG108" s="1513"/>
      <c r="FH108" s="1513"/>
      <c r="FI108" s="1513"/>
      <c r="FJ108" s="1513"/>
      <c r="FL108" s="1513"/>
    </row>
    <row r="109" spans="1:168" ht="17.100000000000001" customHeight="1" x14ac:dyDescent="0.15">
      <c r="A109" s="1513"/>
      <c r="B109" s="1282"/>
      <c r="C109" s="1282"/>
      <c r="D109" s="1282"/>
      <c r="E109" s="1282"/>
      <c r="F109" s="1282"/>
      <c r="G109" s="1282"/>
      <c r="H109" s="1282"/>
      <c r="I109" s="1282"/>
      <c r="J109" s="1282"/>
      <c r="K109" s="1282"/>
      <c r="L109" s="1282"/>
      <c r="M109" s="1282"/>
      <c r="N109" s="1282"/>
      <c r="O109" s="1282"/>
      <c r="P109" s="1282"/>
      <c r="Q109" s="1282"/>
      <c r="R109" s="1282"/>
      <c r="S109" s="1282"/>
      <c r="T109" s="1282"/>
      <c r="U109" s="1282"/>
      <c r="V109" s="1282"/>
      <c r="W109" s="1282"/>
      <c r="X109" s="1282"/>
      <c r="Y109" s="1282"/>
      <c r="Z109" s="1282"/>
      <c r="AA109" s="1282"/>
      <c r="AB109" s="1282"/>
      <c r="AC109" s="1282"/>
      <c r="AD109" s="1282"/>
      <c r="AE109" s="1282"/>
      <c r="AF109" s="1282"/>
      <c r="AG109" s="1282"/>
      <c r="AH109" s="1282"/>
      <c r="AI109" s="1282"/>
      <c r="AJ109" s="1282"/>
      <c r="AK109" s="1282"/>
      <c r="AL109" s="1282"/>
      <c r="AM109" s="1282"/>
      <c r="AN109" s="1282"/>
      <c r="AO109" s="1282"/>
      <c r="AP109" s="1282"/>
      <c r="AQ109" s="1282"/>
      <c r="AR109" s="1282"/>
      <c r="AS109" s="1282"/>
      <c r="AT109" s="1282"/>
      <c r="AU109" s="1282"/>
      <c r="AV109" s="1282"/>
      <c r="AW109" s="1282"/>
      <c r="AX109" s="1282"/>
      <c r="AY109" s="1282"/>
      <c r="AZ109" s="1282"/>
      <c r="BA109" s="1282"/>
      <c r="BB109" s="1282"/>
      <c r="BC109" s="1282"/>
      <c r="BD109" s="1282"/>
      <c r="BE109" s="1282"/>
      <c r="BF109" s="1282"/>
      <c r="BG109" s="1282"/>
      <c r="BH109" s="1282"/>
      <c r="BI109" s="1282"/>
      <c r="BJ109" s="1282"/>
      <c r="BK109" s="1282"/>
      <c r="BL109" s="1282"/>
      <c r="BM109" s="1282"/>
      <c r="BN109" s="1282"/>
      <c r="BO109" s="1282"/>
      <c r="BP109" s="1282"/>
      <c r="BQ109" s="1282"/>
      <c r="BR109" s="1282"/>
      <c r="BS109" s="1282"/>
      <c r="BT109" s="1282"/>
      <c r="BU109" s="1282"/>
      <c r="BV109" s="1282"/>
      <c r="BW109" s="1282"/>
      <c r="BX109" s="1282"/>
      <c r="BY109" s="1282"/>
      <c r="BZ109" s="1282"/>
      <c r="CA109" s="1513"/>
      <c r="CK109" s="1513"/>
      <c r="CL109" s="1513"/>
      <c r="CM109" s="1513"/>
      <c r="CN109" s="1513"/>
      <c r="CO109" s="1513"/>
      <c r="CP109" s="1513"/>
      <c r="CQ109" s="1513"/>
      <c r="CR109" s="1513"/>
      <c r="CS109" s="1513"/>
      <c r="CT109" s="1513"/>
      <c r="CU109" s="1513"/>
      <c r="CV109" s="1513"/>
      <c r="CW109" s="1513"/>
      <c r="CX109" s="1513"/>
      <c r="CY109" s="1513"/>
      <c r="CZ109" s="1513"/>
      <c r="DA109" s="1513"/>
      <c r="DB109" s="1513"/>
      <c r="DC109" s="1513"/>
      <c r="DD109" s="1513"/>
      <c r="DE109" s="1513"/>
      <c r="DF109" s="1513"/>
      <c r="DG109" s="1513"/>
      <c r="DH109" s="1513"/>
      <c r="DI109" s="1513"/>
      <c r="DJ109" s="1513"/>
      <c r="DK109" s="1513"/>
      <c r="DL109" s="1513"/>
      <c r="DM109" s="1513"/>
      <c r="DN109" s="1513"/>
      <c r="DO109" s="1513"/>
      <c r="DP109" s="1513"/>
      <c r="DQ109" s="1513"/>
      <c r="DR109" s="1513"/>
      <c r="DS109" s="1513"/>
      <c r="DT109" s="1513"/>
      <c r="DU109" s="1513"/>
      <c r="DV109" s="1513"/>
      <c r="DW109" s="1513"/>
      <c r="DX109" s="1513"/>
      <c r="DY109" s="1513"/>
      <c r="DZ109" s="1513"/>
      <c r="EA109" s="1513"/>
      <c r="EB109" s="1513"/>
      <c r="EC109" s="1513"/>
      <c r="ED109" s="1513"/>
      <c r="EE109" s="1513"/>
      <c r="EF109" s="1513"/>
      <c r="EG109" s="1513"/>
      <c r="EH109" s="1513"/>
      <c r="EI109" s="1513"/>
      <c r="EJ109" s="1513"/>
      <c r="EK109" s="1513"/>
      <c r="EL109" s="1513"/>
      <c r="EM109" s="1513"/>
      <c r="EN109" s="1513"/>
      <c r="EO109" s="1513"/>
      <c r="EP109" s="1513"/>
      <c r="EQ109" s="1513"/>
      <c r="ER109" s="1513"/>
      <c r="ES109" s="1513"/>
      <c r="ET109" s="1513"/>
      <c r="EU109" s="1513"/>
      <c r="EV109" s="1513"/>
      <c r="EW109" s="1513"/>
      <c r="EX109" s="1513"/>
      <c r="EY109" s="1513"/>
      <c r="EZ109" s="1513"/>
      <c r="FA109" s="1513"/>
      <c r="FB109" s="1513"/>
      <c r="FC109" s="1513"/>
      <c r="FD109" s="1513"/>
      <c r="FE109" s="1513"/>
      <c r="FF109" s="1513"/>
      <c r="FG109" s="1513"/>
      <c r="FH109" s="1513"/>
      <c r="FI109" s="1513"/>
      <c r="FJ109" s="1513"/>
      <c r="FL109" s="1513"/>
    </row>
    <row r="110" spans="1:168" ht="17.100000000000001" customHeight="1" x14ac:dyDescent="0.15">
      <c r="A110" s="1513"/>
      <c r="B110" s="1282"/>
      <c r="C110" s="1282"/>
      <c r="D110" s="1282"/>
      <c r="E110" s="1282"/>
      <c r="F110" s="1282"/>
      <c r="G110" s="1282"/>
      <c r="H110" s="1282"/>
      <c r="I110" s="1282"/>
      <c r="J110" s="1282"/>
      <c r="K110" s="1282"/>
      <c r="L110" s="1282"/>
      <c r="M110" s="1282"/>
      <c r="N110" s="1282"/>
      <c r="O110" s="1282"/>
      <c r="P110" s="1282"/>
      <c r="Q110" s="1282"/>
      <c r="R110" s="1282"/>
      <c r="S110" s="1282"/>
      <c r="T110" s="1282"/>
      <c r="U110" s="1282"/>
      <c r="V110" s="1282"/>
      <c r="W110" s="1282"/>
      <c r="X110" s="1282"/>
      <c r="Y110" s="1282"/>
      <c r="Z110" s="1282"/>
      <c r="AA110" s="1282"/>
      <c r="AB110" s="1282"/>
      <c r="AC110" s="1282"/>
      <c r="AD110" s="1282"/>
      <c r="AE110" s="1282"/>
      <c r="AF110" s="1282"/>
      <c r="AG110" s="1282"/>
      <c r="AH110" s="1282"/>
      <c r="AI110" s="1282"/>
      <c r="AJ110" s="1282"/>
      <c r="AK110" s="1282"/>
      <c r="AL110" s="1282"/>
      <c r="AM110" s="1282"/>
      <c r="AN110" s="1282"/>
      <c r="AO110" s="1282"/>
      <c r="AP110" s="1282"/>
      <c r="AQ110" s="1282"/>
      <c r="AR110" s="1282"/>
      <c r="AS110" s="1282"/>
      <c r="AT110" s="1282"/>
      <c r="AU110" s="1282"/>
      <c r="AV110" s="1282"/>
      <c r="AW110" s="1282"/>
      <c r="AX110" s="1282"/>
      <c r="AY110" s="1282"/>
      <c r="AZ110" s="1282"/>
      <c r="BA110" s="1282"/>
      <c r="BB110" s="1282"/>
      <c r="BC110" s="1282"/>
      <c r="BD110" s="1282"/>
      <c r="BE110" s="1282"/>
      <c r="BF110" s="1282"/>
      <c r="BG110" s="1282"/>
      <c r="BH110" s="1282"/>
      <c r="BI110" s="1282"/>
      <c r="BJ110" s="1282"/>
      <c r="BK110" s="1282"/>
      <c r="BL110" s="1282"/>
      <c r="BM110" s="1282"/>
      <c r="BN110" s="1282"/>
      <c r="BO110" s="1282"/>
      <c r="BP110" s="1282"/>
      <c r="BQ110" s="1282"/>
      <c r="BR110" s="1282"/>
      <c r="BS110" s="1282"/>
      <c r="BT110" s="1282"/>
      <c r="BU110" s="1282"/>
      <c r="BV110" s="1282"/>
      <c r="BW110" s="1282"/>
      <c r="BX110" s="1282"/>
      <c r="BY110" s="1282"/>
      <c r="BZ110" s="1282"/>
      <c r="CA110" s="1513"/>
      <c r="CK110" s="1513"/>
      <c r="CL110" s="1513"/>
      <c r="CM110" s="1513"/>
      <c r="CN110" s="1513"/>
      <c r="CO110" s="1513"/>
      <c r="CP110" s="1513"/>
      <c r="CQ110" s="1513"/>
      <c r="CR110" s="1513"/>
      <c r="CS110" s="1513"/>
      <c r="CT110" s="1513"/>
      <c r="CU110" s="1513"/>
      <c r="CV110" s="1513"/>
      <c r="CW110" s="1513"/>
      <c r="CX110" s="1513"/>
      <c r="CY110" s="1513"/>
      <c r="CZ110" s="1513"/>
      <c r="DA110" s="1513"/>
      <c r="DB110" s="1513"/>
      <c r="DC110" s="1513"/>
      <c r="DD110" s="1513"/>
      <c r="DE110" s="1513"/>
      <c r="DF110" s="1513"/>
      <c r="DG110" s="1513"/>
      <c r="DH110" s="1513"/>
      <c r="DI110" s="1513"/>
      <c r="DJ110" s="1513"/>
      <c r="DK110" s="1513"/>
      <c r="DL110" s="1513"/>
      <c r="DM110" s="1513"/>
      <c r="DN110" s="1513"/>
      <c r="DO110" s="1513"/>
      <c r="DP110" s="1513"/>
      <c r="DQ110" s="1513"/>
      <c r="DR110" s="1513"/>
      <c r="DS110" s="1513"/>
      <c r="DT110" s="1513"/>
      <c r="DU110" s="1513"/>
      <c r="DV110" s="1513"/>
      <c r="DW110" s="1513"/>
      <c r="DX110" s="1513"/>
      <c r="DY110" s="1513"/>
      <c r="DZ110" s="1513"/>
      <c r="EA110" s="1513"/>
      <c r="EB110" s="1513"/>
      <c r="EC110" s="1513"/>
      <c r="ED110" s="1513"/>
      <c r="EE110" s="1513"/>
      <c r="EF110" s="1513"/>
      <c r="EG110" s="1513"/>
      <c r="EH110" s="1513"/>
      <c r="EI110" s="1513"/>
      <c r="EJ110" s="1513"/>
      <c r="EK110" s="1513"/>
      <c r="EL110" s="1513"/>
      <c r="EM110" s="1513"/>
      <c r="EN110" s="1513"/>
      <c r="EO110" s="1513"/>
      <c r="EP110" s="1513"/>
      <c r="EQ110" s="1513"/>
      <c r="ER110" s="1513"/>
      <c r="ES110" s="1513"/>
      <c r="ET110" s="1513"/>
      <c r="EU110" s="1513"/>
      <c r="EV110" s="1513"/>
      <c r="EW110" s="1513"/>
      <c r="EX110" s="1513"/>
      <c r="EY110" s="1513"/>
      <c r="EZ110" s="1513"/>
      <c r="FA110" s="1513"/>
      <c r="FB110" s="1513"/>
      <c r="FC110" s="1513"/>
      <c r="FD110" s="1513"/>
      <c r="FE110" s="1513"/>
      <c r="FF110" s="1513"/>
      <c r="FG110" s="1513"/>
      <c r="FH110" s="1513"/>
      <c r="FI110" s="1513"/>
      <c r="FJ110" s="1513"/>
      <c r="FL110" s="1513"/>
    </row>
    <row r="111" spans="1:168" ht="17.100000000000001" customHeight="1" x14ac:dyDescent="0.15">
      <c r="A111" s="1513"/>
      <c r="B111" s="1282"/>
      <c r="C111" s="1282"/>
      <c r="D111" s="1282"/>
      <c r="E111" s="1282"/>
      <c r="F111" s="1282"/>
      <c r="G111" s="1282"/>
      <c r="H111" s="1282"/>
      <c r="I111" s="1282"/>
      <c r="J111" s="1282"/>
      <c r="K111" s="1282"/>
      <c r="L111" s="1282"/>
      <c r="M111" s="1282"/>
      <c r="N111" s="1282"/>
      <c r="O111" s="1282"/>
      <c r="P111" s="1282"/>
      <c r="Q111" s="1282"/>
      <c r="R111" s="1282"/>
      <c r="S111" s="1282"/>
      <c r="T111" s="1282"/>
      <c r="U111" s="1282"/>
      <c r="V111" s="1282"/>
      <c r="W111" s="1282"/>
      <c r="X111" s="1282"/>
      <c r="Y111" s="1282"/>
      <c r="Z111" s="1282"/>
      <c r="AA111" s="1282"/>
      <c r="AB111" s="1282"/>
      <c r="AC111" s="1282"/>
      <c r="AD111" s="1282"/>
      <c r="AE111" s="1282"/>
      <c r="AF111" s="1282"/>
      <c r="AG111" s="1282"/>
      <c r="AH111" s="1282"/>
      <c r="AI111" s="1282"/>
      <c r="AJ111" s="1282"/>
      <c r="AK111" s="1282"/>
      <c r="AL111" s="1282"/>
      <c r="AM111" s="1282"/>
      <c r="AN111" s="1282"/>
      <c r="AO111" s="1282"/>
      <c r="AP111" s="1282"/>
      <c r="AQ111" s="1282"/>
      <c r="AR111" s="1282"/>
      <c r="AS111" s="1282"/>
      <c r="AT111" s="1282"/>
      <c r="AU111" s="1282"/>
      <c r="AV111" s="1282"/>
      <c r="AW111" s="1282"/>
      <c r="AX111" s="1282"/>
      <c r="AY111" s="1282"/>
      <c r="AZ111" s="1282"/>
      <c r="BA111" s="1282"/>
      <c r="BB111" s="1282"/>
      <c r="BC111" s="1282"/>
      <c r="BD111" s="1282"/>
      <c r="BE111" s="1282"/>
      <c r="BF111" s="1282"/>
      <c r="BG111" s="1282"/>
      <c r="BH111" s="1282"/>
      <c r="BI111" s="1282"/>
      <c r="BJ111" s="1282"/>
      <c r="BK111" s="1282"/>
      <c r="BL111" s="1282"/>
      <c r="BM111" s="1282"/>
      <c r="BN111" s="1282"/>
      <c r="BO111" s="1282"/>
      <c r="BP111" s="1282"/>
      <c r="BQ111" s="1282"/>
      <c r="BR111" s="1282"/>
      <c r="BS111" s="1282"/>
      <c r="BT111" s="1282"/>
      <c r="BU111" s="1282"/>
      <c r="BV111" s="1282"/>
      <c r="BW111" s="1282"/>
      <c r="BX111" s="1282"/>
      <c r="BY111" s="1282"/>
      <c r="BZ111" s="1282"/>
      <c r="CA111" s="1513"/>
      <c r="CK111" s="1513"/>
      <c r="CL111" s="1513"/>
      <c r="CM111" s="1513"/>
      <c r="CN111" s="1513"/>
      <c r="CO111" s="1513"/>
      <c r="CP111" s="1513"/>
      <c r="CQ111" s="1513"/>
      <c r="CR111" s="1513"/>
      <c r="CS111" s="1513"/>
      <c r="CT111" s="1513"/>
      <c r="CU111" s="1513"/>
      <c r="CV111" s="1513"/>
      <c r="CW111" s="1513"/>
      <c r="CX111" s="1513"/>
      <c r="CY111" s="1513"/>
      <c r="CZ111" s="1513"/>
      <c r="DA111" s="1513"/>
      <c r="DB111" s="1513"/>
      <c r="DC111" s="1513"/>
      <c r="DD111" s="1513"/>
      <c r="DE111" s="1513"/>
      <c r="DF111" s="1513"/>
      <c r="DG111" s="1513"/>
      <c r="DH111" s="1513"/>
      <c r="DI111" s="1513"/>
      <c r="DJ111" s="1513"/>
      <c r="DK111" s="1513"/>
      <c r="DL111" s="1513"/>
      <c r="DM111" s="1513"/>
      <c r="DN111" s="1513"/>
      <c r="DO111" s="1513"/>
      <c r="DP111" s="1513"/>
      <c r="DQ111" s="1513"/>
      <c r="DR111" s="1513"/>
      <c r="DS111" s="1513"/>
      <c r="DT111" s="1513"/>
      <c r="DU111" s="1513"/>
      <c r="DV111" s="1513"/>
      <c r="DW111" s="1513"/>
      <c r="DX111" s="1513"/>
      <c r="DY111" s="1513"/>
      <c r="DZ111" s="1513"/>
      <c r="EA111" s="1513"/>
      <c r="EB111" s="1513"/>
      <c r="EC111" s="1513"/>
      <c r="ED111" s="1513"/>
      <c r="EE111" s="1513"/>
      <c r="EF111" s="1513"/>
      <c r="EG111" s="1513"/>
      <c r="EH111" s="1513"/>
      <c r="EI111" s="1513"/>
      <c r="EJ111" s="1513"/>
      <c r="EK111" s="1513"/>
      <c r="EL111" s="1513"/>
      <c r="EM111" s="1513"/>
      <c r="EN111" s="1513"/>
      <c r="EO111" s="1513"/>
      <c r="EP111" s="1513"/>
      <c r="EQ111" s="1513"/>
      <c r="ER111" s="1513"/>
      <c r="ES111" s="1513"/>
      <c r="ET111" s="1513"/>
      <c r="EU111" s="1513"/>
      <c r="EV111" s="1513"/>
      <c r="EW111" s="1513"/>
      <c r="EX111" s="1513"/>
      <c r="EY111" s="1513"/>
      <c r="EZ111" s="1513"/>
      <c r="FA111" s="1513"/>
      <c r="FB111" s="1513"/>
      <c r="FC111" s="1513"/>
      <c r="FD111" s="1513"/>
      <c r="FE111" s="1513"/>
      <c r="FF111" s="1513"/>
      <c r="FG111" s="1513"/>
      <c r="FH111" s="1513"/>
      <c r="FI111" s="1513"/>
      <c r="FJ111" s="1513"/>
      <c r="FL111" s="1513"/>
    </row>
    <row r="112" spans="1:168" ht="17.100000000000001" customHeight="1" x14ac:dyDescent="0.15">
      <c r="A112" s="1513"/>
      <c r="B112" s="1282"/>
      <c r="C112" s="1282"/>
      <c r="D112" s="1282"/>
      <c r="E112" s="1282"/>
      <c r="F112" s="1282"/>
      <c r="G112" s="1282"/>
      <c r="H112" s="1282"/>
      <c r="I112" s="1282"/>
      <c r="J112" s="1282"/>
      <c r="K112" s="1282"/>
      <c r="L112" s="1282"/>
      <c r="M112" s="1282"/>
      <c r="N112" s="1282"/>
      <c r="O112" s="1282"/>
      <c r="P112" s="1282"/>
      <c r="Q112" s="1282"/>
      <c r="R112" s="1282"/>
      <c r="S112" s="1282"/>
      <c r="T112" s="1282"/>
      <c r="U112" s="1282"/>
      <c r="V112" s="1282"/>
      <c r="W112" s="1282"/>
      <c r="X112" s="1282"/>
      <c r="Y112" s="1282"/>
      <c r="Z112" s="1282"/>
      <c r="AA112" s="1282"/>
      <c r="AB112" s="1282"/>
      <c r="AC112" s="1282"/>
      <c r="AD112" s="1282"/>
      <c r="AE112" s="1282"/>
      <c r="AF112" s="1282"/>
      <c r="AG112" s="1282"/>
      <c r="AH112" s="1282"/>
      <c r="AI112" s="1282"/>
      <c r="AJ112" s="1282"/>
      <c r="AK112" s="1282"/>
      <c r="AL112" s="1282"/>
      <c r="AM112" s="1282"/>
      <c r="AN112" s="1282"/>
      <c r="AO112" s="1282"/>
      <c r="AP112" s="1282"/>
      <c r="AQ112" s="1282"/>
      <c r="AR112" s="1282"/>
      <c r="AS112" s="1282"/>
      <c r="AT112" s="1282"/>
      <c r="AU112" s="1282"/>
      <c r="AV112" s="1282"/>
      <c r="AW112" s="1282"/>
      <c r="AX112" s="1282"/>
      <c r="AY112" s="1282"/>
      <c r="AZ112" s="1282"/>
      <c r="BA112" s="1282"/>
      <c r="BB112" s="1282"/>
      <c r="BC112" s="1282"/>
      <c r="BD112" s="1282"/>
      <c r="BE112" s="1282"/>
      <c r="BF112" s="1282"/>
      <c r="BG112" s="1282"/>
      <c r="BH112" s="1282"/>
      <c r="BI112" s="1282"/>
      <c r="BJ112" s="1282"/>
      <c r="BK112" s="1282"/>
      <c r="BL112" s="1282"/>
      <c r="BM112" s="1282"/>
      <c r="BN112" s="1282"/>
      <c r="BO112" s="1282"/>
      <c r="BP112" s="1282"/>
      <c r="BQ112" s="1282"/>
      <c r="BR112" s="1282"/>
      <c r="BS112" s="1282"/>
      <c r="BT112" s="1282"/>
      <c r="BU112" s="1282"/>
      <c r="BV112" s="1282"/>
      <c r="BW112" s="1282"/>
      <c r="BX112" s="1282"/>
      <c r="BY112" s="1282"/>
      <c r="BZ112" s="1282"/>
      <c r="CA112" s="1513"/>
      <c r="CK112" s="1513"/>
      <c r="CL112" s="1513"/>
      <c r="CM112" s="1513"/>
      <c r="CN112" s="1513"/>
      <c r="CO112" s="1513"/>
      <c r="CP112" s="1513"/>
      <c r="CQ112" s="1513"/>
      <c r="CR112" s="1513"/>
      <c r="CS112" s="1513"/>
      <c r="CT112" s="1513"/>
      <c r="CU112" s="1513"/>
      <c r="CV112" s="1513"/>
      <c r="CW112" s="1513"/>
      <c r="CX112" s="1513"/>
      <c r="CY112" s="1513"/>
      <c r="CZ112" s="1513"/>
      <c r="DA112" s="1513"/>
      <c r="DB112" s="1513"/>
      <c r="DC112" s="1513"/>
      <c r="DD112" s="1513"/>
      <c r="DE112" s="1513"/>
      <c r="DF112" s="1513"/>
      <c r="DG112" s="1513"/>
      <c r="DH112" s="1513"/>
      <c r="DI112" s="1513"/>
      <c r="DJ112" s="1513"/>
      <c r="DK112" s="1513"/>
      <c r="DL112" s="1513"/>
      <c r="DM112" s="1513"/>
      <c r="DN112" s="1513"/>
      <c r="DO112" s="1513"/>
      <c r="DP112" s="1513"/>
      <c r="DQ112" s="1513"/>
      <c r="DR112" s="1513"/>
      <c r="DS112" s="1513"/>
      <c r="DT112" s="1513"/>
      <c r="DU112" s="1513"/>
      <c r="DV112" s="1513"/>
      <c r="DW112" s="1513"/>
      <c r="DX112" s="1513"/>
      <c r="DY112" s="1513"/>
      <c r="DZ112" s="1513"/>
      <c r="EA112" s="1513"/>
      <c r="EB112" s="1513"/>
      <c r="EC112" s="1513"/>
      <c r="ED112" s="1513"/>
      <c r="EE112" s="1513"/>
      <c r="EF112" s="1513"/>
      <c r="EG112" s="1513"/>
      <c r="EH112" s="1513"/>
      <c r="EI112" s="1513"/>
      <c r="EJ112" s="1513"/>
      <c r="EK112" s="1513"/>
      <c r="EL112" s="1513"/>
      <c r="EM112" s="1513"/>
      <c r="EN112" s="1513"/>
      <c r="EO112" s="1513"/>
      <c r="EP112" s="1513"/>
      <c r="EQ112" s="1513"/>
      <c r="ER112" s="1513"/>
      <c r="ES112" s="1513"/>
      <c r="ET112" s="1513"/>
      <c r="EU112" s="1513"/>
      <c r="EV112" s="1513"/>
      <c r="EW112" s="1513"/>
      <c r="EX112" s="1513"/>
      <c r="EY112" s="1513"/>
      <c r="EZ112" s="1513"/>
      <c r="FA112" s="1513"/>
      <c r="FB112" s="1513"/>
      <c r="FC112" s="1513"/>
      <c r="FD112" s="1513"/>
      <c r="FE112" s="1513"/>
      <c r="FF112" s="1513"/>
      <c r="FG112" s="1513"/>
      <c r="FH112" s="1513"/>
      <c r="FI112" s="1513"/>
      <c r="FJ112" s="1513"/>
      <c r="FL112" s="1513"/>
    </row>
    <row r="113" spans="1:168" ht="17.100000000000001" customHeight="1" x14ac:dyDescent="0.15">
      <c r="A113" s="1513"/>
      <c r="B113" s="1282"/>
      <c r="C113" s="1282"/>
      <c r="D113" s="1282"/>
      <c r="E113" s="1282"/>
      <c r="F113" s="1282"/>
      <c r="G113" s="1282"/>
      <c r="H113" s="1282"/>
      <c r="I113" s="1282"/>
      <c r="J113" s="1282"/>
      <c r="K113" s="1282"/>
      <c r="L113" s="1282"/>
      <c r="M113" s="1282"/>
      <c r="N113" s="1282"/>
      <c r="O113" s="1282"/>
      <c r="P113" s="1282"/>
      <c r="Q113" s="1282"/>
      <c r="R113" s="1282"/>
      <c r="S113" s="1282"/>
      <c r="T113" s="1282"/>
      <c r="U113" s="1282"/>
      <c r="V113" s="1282"/>
      <c r="W113" s="1282"/>
      <c r="X113" s="1282"/>
      <c r="Y113" s="1282"/>
      <c r="Z113" s="1282"/>
      <c r="AA113" s="1282"/>
      <c r="AB113" s="1282"/>
      <c r="AC113" s="1282"/>
      <c r="AD113" s="1282"/>
      <c r="AE113" s="1282"/>
      <c r="AF113" s="1282"/>
      <c r="AG113" s="1282"/>
      <c r="AH113" s="1282"/>
      <c r="AI113" s="1282"/>
      <c r="AJ113" s="1282"/>
      <c r="AK113" s="1282"/>
      <c r="AL113" s="1282"/>
      <c r="AM113" s="1282"/>
      <c r="AN113" s="1282"/>
      <c r="AO113" s="1282"/>
      <c r="AP113" s="1282"/>
      <c r="AQ113" s="1282"/>
      <c r="AR113" s="1282"/>
      <c r="AS113" s="1282"/>
      <c r="AT113" s="1282"/>
      <c r="AU113" s="1282"/>
      <c r="AV113" s="1282"/>
      <c r="AW113" s="1282"/>
      <c r="AX113" s="1282"/>
      <c r="AY113" s="1282"/>
      <c r="AZ113" s="1282"/>
      <c r="BA113" s="1282"/>
      <c r="BB113" s="1282"/>
      <c r="BC113" s="1282"/>
      <c r="BD113" s="1282"/>
      <c r="BE113" s="1282"/>
      <c r="BF113" s="1282"/>
      <c r="BG113" s="1282"/>
      <c r="BH113" s="1282"/>
      <c r="BI113" s="1282"/>
      <c r="BJ113" s="1282"/>
      <c r="BK113" s="1282"/>
      <c r="BL113" s="1282"/>
      <c r="BM113" s="1282"/>
      <c r="BN113" s="1282"/>
      <c r="BO113" s="1282"/>
      <c r="BP113" s="1282"/>
      <c r="BQ113" s="1282"/>
      <c r="BR113" s="1282"/>
      <c r="BS113" s="1282"/>
      <c r="BT113" s="1282"/>
      <c r="BU113" s="1282"/>
      <c r="BV113" s="1282"/>
      <c r="BW113" s="1282"/>
      <c r="BX113" s="1282"/>
      <c r="BY113" s="1282"/>
      <c r="BZ113" s="1282"/>
      <c r="CA113" s="1513"/>
      <c r="CK113" s="1513"/>
      <c r="CL113" s="1513"/>
      <c r="CM113" s="1513"/>
      <c r="CN113" s="1513"/>
      <c r="CO113" s="1513"/>
      <c r="CP113" s="1513"/>
      <c r="CQ113" s="1513"/>
      <c r="CR113" s="1513"/>
      <c r="CS113" s="1513"/>
      <c r="CT113" s="1513"/>
      <c r="CU113" s="1513"/>
      <c r="CV113" s="1513"/>
      <c r="CW113" s="1513"/>
      <c r="CX113" s="1513"/>
      <c r="CY113" s="1513"/>
      <c r="CZ113" s="1513"/>
      <c r="DA113" s="1513"/>
      <c r="DB113" s="1513"/>
      <c r="DC113" s="1513"/>
      <c r="DD113" s="1513"/>
      <c r="DE113" s="1513"/>
      <c r="DF113" s="1513"/>
      <c r="DG113" s="1513"/>
      <c r="DH113" s="1513"/>
      <c r="DI113" s="1513"/>
      <c r="DJ113" s="1513"/>
      <c r="DK113" s="1513"/>
      <c r="DL113" s="1513"/>
      <c r="DM113" s="1513"/>
      <c r="DN113" s="1513"/>
      <c r="DO113" s="1513"/>
      <c r="DP113" s="1513"/>
      <c r="DQ113" s="1513"/>
      <c r="DR113" s="1513"/>
      <c r="DS113" s="1513"/>
      <c r="DT113" s="1513"/>
      <c r="DU113" s="1513"/>
      <c r="DV113" s="1513"/>
      <c r="DW113" s="1513"/>
      <c r="DX113" s="1513"/>
      <c r="DY113" s="1513"/>
      <c r="DZ113" s="1513"/>
      <c r="EA113" s="1513"/>
      <c r="EB113" s="1513"/>
      <c r="EC113" s="1513"/>
      <c r="ED113" s="1513"/>
      <c r="EE113" s="1513"/>
      <c r="EF113" s="1513"/>
      <c r="EG113" s="1513"/>
      <c r="EH113" s="1513"/>
      <c r="EI113" s="1513"/>
      <c r="EJ113" s="1513"/>
      <c r="EK113" s="1513"/>
      <c r="EL113" s="1513"/>
      <c r="EM113" s="1513"/>
      <c r="EN113" s="1513"/>
      <c r="EO113" s="1513"/>
      <c r="EP113" s="1513"/>
      <c r="EQ113" s="1513"/>
      <c r="ER113" s="1513"/>
      <c r="ES113" s="1513"/>
      <c r="ET113" s="1513"/>
      <c r="EU113" s="1513"/>
      <c r="EV113" s="1513"/>
      <c r="EW113" s="1513"/>
      <c r="EX113" s="1513"/>
      <c r="EY113" s="1513"/>
      <c r="EZ113" s="1513"/>
      <c r="FA113" s="1513"/>
      <c r="FB113" s="1513"/>
      <c r="FC113" s="1513"/>
      <c r="FD113" s="1513"/>
      <c r="FE113" s="1513"/>
      <c r="FF113" s="1513"/>
      <c r="FG113" s="1513"/>
      <c r="FH113" s="1513"/>
      <c r="FI113" s="1513"/>
      <c r="FJ113" s="1513"/>
      <c r="FL113" s="1513"/>
    </row>
    <row r="114" spans="1:168" ht="17.100000000000001" customHeight="1" x14ac:dyDescent="0.15">
      <c r="A114" s="1513"/>
      <c r="B114" s="1282"/>
      <c r="C114" s="1282"/>
      <c r="D114" s="1282"/>
      <c r="E114" s="1282"/>
      <c r="F114" s="1282"/>
      <c r="G114" s="1282"/>
      <c r="H114" s="1282"/>
      <c r="I114" s="1282"/>
      <c r="J114" s="1282"/>
      <c r="K114" s="1282"/>
      <c r="L114" s="1282"/>
      <c r="M114" s="1282"/>
      <c r="N114" s="1282"/>
      <c r="O114" s="1282"/>
      <c r="P114" s="1282"/>
      <c r="Q114" s="1282"/>
      <c r="R114" s="1282"/>
      <c r="S114" s="1282"/>
      <c r="T114" s="1282"/>
      <c r="U114" s="1282"/>
      <c r="V114" s="1282"/>
      <c r="W114" s="1282"/>
      <c r="X114" s="1282"/>
      <c r="Y114" s="1282"/>
      <c r="Z114" s="1282"/>
      <c r="AA114" s="1282"/>
      <c r="AB114" s="1282"/>
      <c r="AC114" s="1282"/>
      <c r="AD114" s="1282"/>
      <c r="AE114" s="1282"/>
      <c r="AF114" s="1282"/>
      <c r="AG114" s="1282"/>
      <c r="AH114" s="1282"/>
      <c r="AI114" s="1282"/>
      <c r="AJ114" s="1282"/>
      <c r="AK114" s="1282"/>
      <c r="AL114" s="1282"/>
      <c r="AM114" s="1282"/>
      <c r="AN114" s="1282"/>
      <c r="AO114" s="1282"/>
      <c r="AP114" s="1282"/>
      <c r="AQ114" s="1282"/>
      <c r="AR114" s="1282"/>
      <c r="AS114" s="1282"/>
      <c r="AT114" s="1282"/>
      <c r="AU114" s="1282"/>
      <c r="AV114" s="1282"/>
      <c r="AW114" s="1282"/>
      <c r="AX114" s="1282"/>
      <c r="AY114" s="1282"/>
      <c r="AZ114" s="1282"/>
      <c r="BA114" s="1282"/>
      <c r="BB114" s="1282"/>
      <c r="BC114" s="1282"/>
      <c r="BD114" s="1282"/>
      <c r="BE114" s="1282"/>
      <c r="BF114" s="1282"/>
      <c r="BG114" s="1282"/>
      <c r="BH114" s="1282"/>
      <c r="BI114" s="1282"/>
      <c r="BJ114" s="1282"/>
      <c r="BK114" s="1282"/>
      <c r="BL114" s="1282"/>
      <c r="BM114" s="1282"/>
      <c r="BN114" s="1282"/>
      <c r="BO114" s="1282"/>
      <c r="BP114" s="1282"/>
      <c r="BQ114" s="1282"/>
      <c r="BR114" s="1282"/>
      <c r="BS114" s="1282"/>
      <c r="BT114" s="1282"/>
      <c r="BU114" s="1282"/>
      <c r="BV114" s="1282"/>
      <c r="BW114" s="1282"/>
      <c r="BX114" s="1282"/>
      <c r="BY114" s="1282"/>
      <c r="BZ114" s="1282"/>
      <c r="CA114" s="1513"/>
      <c r="CK114" s="1513"/>
      <c r="CL114" s="1513"/>
      <c r="CM114" s="1513"/>
      <c r="CN114" s="1513"/>
      <c r="CO114" s="1513"/>
      <c r="CP114" s="1513"/>
      <c r="CQ114" s="1513"/>
      <c r="CR114" s="1513"/>
      <c r="CS114" s="1513"/>
      <c r="CT114" s="1513"/>
      <c r="CU114" s="1513"/>
      <c r="CV114" s="1513"/>
      <c r="CW114" s="1513"/>
      <c r="CX114" s="1513"/>
      <c r="CY114" s="1513"/>
      <c r="CZ114" s="1513"/>
      <c r="DA114" s="1513"/>
      <c r="DB114" s="1513"/>
      <c r="DC114" s="1513"/>
      <c r="DD114" s="1513"/>
      <c r="DE114" s="1513"/>
      <c r="DF114" s="1513"/>
      <c r="DG114" s="1513"/>
      <c r="DH114" s="1513"/>
      <c r="DI114" s="1513"/>
      <c r="DJ114" s="1513"/>
      <c r="DK114" s="1513"/>
      <c r="DL114" s="1513"/>
      <c r="DM114" s="1513"/>
      <c r="DN114" s="1513"/>
      <c r="DO114" s="1513"/>
      <c r="DP114" s="1513"/>
      <c r="DQ114" s="1513"/>
      <c r="DR114" s="1513"/>
      <c r="DS114" s="1513"/>
      <c r="DT114" s="1513"/>
      <c r="DU114" s="1513"/>
      <c r="DV114" s="1513"/>
      <c r="DW114" s="1513"/>
      <c r="DX114" s="1513"/>
      <c r="DY114" s="1513"/>
      <c r="DZ114" s="1513"/>
      <c r="EA114" s="1513"/>
      <c r="EB114" s="1513"/>
      <c r="EC114" s="1513"/>
      <c r="ED114" s="1513"/>
      <c r="EE114" s="1513"/>
      <c r="EF114" s="1513"/>
      <c r="EG114" s="1513"/>
      <c r="EH114" s="1513"/>
      <c r="EI114" s="1513"/>
      <c r="EJ114" s="1513"/>
      <c r="EK114" s="1513"/>
      <c r="EL114" s="1513"/>
      <c r="EM114" s="1513"/>
      <c r="EN114" s="1513"/>
      <c r="EO114" s="1513"/>
      <c r="EP114" s="1513"/>
      <c r="EQ114" s="1513"/>
      <c r="ER114" s="1513"/>
      <c r="ES114" s="1513"/>
      <c r="ET114" s="1513"/>
      <c r="EU114" s="1513"/>
      <c r="EV114" s="1513"/>
      <c r="EW114" s="1513"/>
      <c r="EX114" s="1513"/>
      <c r="EY114" s="1513"/>
      <c r="EZ114" s="1513"/>
      <c r="FA114" s="1513"/>
      <c r="FB114" s="1513"/>
      <c r="FC114" s="1513"/>
      <c r="FD114" s="1513"/>
      <c r="FE114" s="1513"/>
      <c r="FF114" s="1513"/>
      <c r="FG114" s="1513"/>
      <c r="FH114" s="1513"/>
      <c r="FI114" s="1513"/>
      <c r="FJ114" s="1513"/>
      <c r="FL114" s="1513"/>
    </row>
    <row r="115" spans="1:168" ht="17.100000000000001" customHeight="1" x14ac:dyDescent="0.15">
      <c r="A115" s="1513"/>
      <c r="B115" s="1282"/>
      <c r="C115" s="1282"/>
      <c r="D115" s="1282"/>
      <c r="E115" s="1282"/>
      <c r="F115" s="1282"/>
      <c r="G115" s="1282"/>
      <c r="H115" s="1282"/>
      <c r="I115" s="1282"/>
      <c r="J115" s="1282"/>
      <c r="K115" s="1282"/>
      <c r="L115" s="1282"/>
      <c r="M115" s="1282"/>
      <c r="N115" s="1282"/>
      <c r="O115" s="1282"/>
      <c r="P115" s="1282"/>
      <c r="Q115" s="1282"/>
      <c r="R115" s="1282"/>
      <c r="S115" s="1282"/>
      <c r="T115" s="1282"/>
      <c r="U115" s="1282"/>
      <c r="V115" s="1282"/>
      <c r="W115" s="1282"/>
      <c r="X115" s="1282"/>
      <c r="Y115" s="1282"/>
      <c r="Z115" s="1282"/>
      <c r="AA115" s="1282"/>
      <c r="AB115" s="1282"/>
      <c r="AC115" s="1282"/>
      <c r="AD115" s="1282"/>
      <c r="AE115" s="1282"/>
      <c r="AF115" s="1282"/>
      <c r="AG115" s="1282"/>
      <c r="AH115" s="1282"/>
      <c r="AI115" s="1282"/>
      <c r="AJ115" s="1282"/>
      <c r="AK115" s="1282"/>
      <c r="AL115" s="1282"/>
      <c r="AM115" s="1282"/>
      <c r="AN115" s="1282"/>
      <c r="AO115" s="1282"/>
      <c r="AP115" s="1282"/>
      <c r="AQ115" s="1282"/>
      <c r="AR115" s="1282"/>
      <c r="AS115" s="1282"/>
      <c r="AT115" s="1282"/>
      <c r="AU115" s="1282"/>
      <c r="AV115" s="1282"/>
      <c r="AW115" s="1282"/>
      <c r="AX115" s="1282"/>
      <c r="AY115" s="1282"/>
      <c r="AZ115" s="1282"/>
      <c r="BA115" s="1282"/>
      <c r="BB115" s="1282"/>
      <c r="BC115" s="1282"/>
      <c r="BD115" s="1282"/>
      <c r="BE115" s="1282"/>
      <c r="BF115" s="1282"/>
      <c r="BG115" s="1282"/>
      <c r="BH115" s="1282"/>
      <c r="BI115" s="1282"/>
      <c r="BJ115" s="1282"/>
      <c r="BK115" s="1282"/>
      <c r="BL115" s="1282"/>
      <c r="BM115" s="1282"/>
      <c r="BN115" s="1282"/>
      <c r="BO115" s="1282"/>
      <c r="BP115" s="1282"/>
      <c r="BQ115" s="1282"/>
      <c r="BR115" s="1282"/>
      <c r="BS115" s="1282"/>
      <c r="BT115" s="1282"/>
      <c r="BU115" s="1282"/>
      <c r="BV115" s="1282"/>
      <c r="BW115" s="1282"/>
      <c r="BX115" s="1282"/>
      <c r="BY115" s="1282"/>
      <c r="BZ115" s="1282"/>
      <c r="CA115" s="1513"/>
      <c r="CK115" s="1513"/>
      <c r="CL115" s="1513"/>
      <c r="CM115" s="1513"/>
      <c r="CN115" s="1513"/>
      <c r="CO115" s="1513"/>
      <c r="CP115" s="1513"/>
      <c r="CQ115" s="1513"/>
      <c r="CR115" s="1513"/>
      <c r="CS115" s="1513"/>
      <c r="CT115" s="1513"/>
      <c r="CU115" s="1513"/>
      <c r="CV115" s="1513"/>
      <c r="CW115" s="1513"/>
      <c r="CX115" s="1513"/>
      <c r="CY115" s="1513"/>
      <c r="CZ115" s="1513"/>
      <c r="DA115" s="1513"/>
      <c r="DB115" s="1513"/>
      <c r="DC115" s="1513"/>
      <c r="DD115" s="1513"/>
      <c r="DE115" s="1513"/>
      <c r="DF115" s="1513"/>
      <c r="DG115" s="1513"/>
      <c r="DH115" s="1513"/>
      <c r="DI115" s="1513"/>
      <c r="DJ115" s="1513"/>
      <c r="DK115" s="1513"/>
      <c r="DL115" s="1513"/>
      <c r="DM115" s="1513"/>
      <c r="DN115" s="1513"/>
      <c r="DO115" s="1513"/>
      <c r="DP115" s="1513"/>
      <c r="DQ115" s="1513"/>
      <c r="DR115" s="1513"/>
      <c r="DS115" s="1513"/>
      <c r="DT115" s="1513"/>
      <c r="DU115" s="1513"/>
      <c r="DV115" s="1513"/>
      <c r="DW115" s="1513"/>
      <c r="DX115" s="1513"/>
      <c r="DY115" s="1513"/>
      <c r="DZ115" s="1513"/>
      <c r="EA115" s="1513"/>
      <c r="EB115" s="1513"/>
      <c r="EC115" s="1513"/>
      <c r="ED115" s="1513"/>
      <c r="EE115" s="1513"/>
      <c r="EF115" s="1513"/>
      <c r="EG115" s="1513"/>
      <c r="EH115" s="1513"/>
      <c r="EI115" s="1513"/>
      <c r="EJ115" s="1513"/>
      <c r="EK115" s="1513"/>
      <c r="EL115" s="1513"/>
      <c r="EM115" s="1513"/>
      <c r="EN115" s="1513"/>
      <c r="EO115" s="1513"/>
      <c r="EP115" s="1513"/>
      <c r="EQ115" s="1513"/>
      <c r="ER115" s="1513"/>
      <c r="ES115" s="1513"/>
      <c r="ET115" s="1513"/>
      <c r="EU115" s="1513"/>
      <c r="EV115" s="1513"/>
      <c r="EW115" s="1513"/>
      <c r="EX115" s="1513"/>
      <c r="EY115" s="1513"/>
      <c r="EZ115" s="1513"/>
      <c r="FA115" s="1513"/>
      <c r="FB115" s="1513"/>
      <c r="FC115" s="1513"/>
      <c r="FD115" s="1513"/>
      <c r="FE115" s="1513"/>
      <c r="FF115" s="1513"/>
      <c r="FG115" s="1513"/>
      <c r="FH115" s="1513"/>
      <c r="FI115" s="1513"/>
      <c r="FJ115" s="1513"/>
      <c r="FL115" s="1513"/>
    </row>
    <row r="116" spans="1:168" ht="17.100000000000001" customHeight="1" x14ac:dyDescent="0.15">
      <c r="A116" s="1513"/>
      <c r="B116" s="1282"/>
      <c r="C116" s="1282"/>
      <c r="D116" s="1282"/>
      <c r="E116" s="1282"/>
      <c r="F116" s="1282"/>
      <c r="G116" s="1282"/>
      <c r="H116" s="1282"/>
      <c r="I116" s="1282"/>
      <c r="J116" s="1282"/>
      <c r="K116" s="1282"/>
      <c r="L116" s="1282"/>
      <c r="M116" s="1282"/>
      <c r="N116" s="1282"/>
      <c r="O116" s="1282"/>
      <c r="P116" s="1282"/>
      <c r="Q116" s="1282"/>
      <c r="R116" s="1282"/>
      <c r="S116" s="1282"/>
      <c r="T116" s="1282"/>
      <c r="U116" s="1282"/>
      <c r="V116" s="1282"/>
      <c r="W116" s="1282"/>
      <c r="X116" s="1282"/>
      <c r="Y116" s="1282"/>
      <c r="Z116" s="1282"/>
      <c r="AA116" s="1282"/>
      <c r="AB116" s="1282"/>
      <c r="AC116" s="1282"/>
      <c r="AD116" s="1282"/>
      <c r="AE116" s="1282"/>
      <c r="AF116" s="1282"/>
      <c r="AG116" s="1282"/>
      <c r="AH116" s="1282"/>
      <c r="AI116" s="1282"/>
      <c r="AJ116" s="1282"/>
      <c r="AK116" s="1282"/>
      <c r="AL116" s="1282"/>
      <c r="AM116" s="1282"/>
      <c r="AN116" s="1282"/>
      <c r="AO116" s="1282"/>
      <c r="AP116" s="1282"/>
      <c r="AQ116" s="1282"/>
      <c r="AR116" s="1282"/>
      <c r="AS116" s="1282"/>
      <c r="AT116" s="1282"/>
      <c r="AU116" s="1282"/>
      <c r="AV116" s="1282"/>
      <c r="AW116" s="1282"/>
      <c r="AX116" s="1282"/>
      <c r="AY116" s="1282"/>
      <c r="AZ116" s="1282"/>
      <c r="BA116" s="1282"/>
      <c r="BB116" s="1282"/>
      <c r="BC116" s="1282"/>
      <c r="BD116" s="1282"/>
      <c r="BE116" s="1282"/>
      <c r="BF116" s="1282"/>
      <c r="BG116" s="1282"/>
      <c r="BH116" s="1282"/>
      <c r="BI116" s="1282"/>
      <c r="BJ116" s="1282"/>
      <c r="BK116" s="1282"/>
      <c r="BL116" s="1282"/>
      <c r="BM116" s="1282"/>
      <c r="BN116" s="1282"/>
      <c r="BO116" s="1282"/>
      <c r="BP116" s="1282"/>
      <c r="BQ116" s="1282"/>
      <c r="BR116" s="1282"/>
      <c r="BS116" s="1282"/>
      <c r="BT116" s="1282"/>
      <c r="BU116" s="1282"/>
      <c r="BV116" s="1282"/>
      <c r="BW116" s="1282"/>
      <c r="BX116" s="1282"/>
      <c r="BY116" s="1282"/>
      <c r="BZ116" s="1282"/>
      <c r="CA116" s="1513"/>
      <c r="CK116" s="1513"/>
      <c r="CL116" s="1513"/>
      <c r="CM116" s="1513"/>
      <c r="CN116" s="1513"/>
      <c r="CO116" s="1513"/>
      <c r="CP116" s="1513"/>
      <c r="CQ116" s="1513"/>
      <c r="CR116" s="1513"/>
      <c r="CS116" s="1513"/>
      <c r="CT116" s="1513"/>
      <c r="CU116" s="1513"/>
      <c r="CV116" s="1513"/>
      <c r="CW116" s="1513"/>
      <c r="CX116" s="1513"/>
      <c r="CY116" s="1513"/>
      <c r="CZ116" s="1513"/>
      <c r="DA116" s="1513"/>
      <c r="DB116" s="1513"/>
      <c r="DC116" s="1513"/>
      <c r="DD116" s="1513"/>
      <c r="DE116" s="1513"/>
      <c r="DF116" s="1513"/>
      <c r="DG116" s="1513"/>
      <c r="DH116" s="1513"/>
      <c r="DI116" s="1513"/>
      <c r="DJ116" s="1513"/>
      <c r="DK116" s="1513"/>
      <c r="DL116" s="1513"/>
      <c r="DM116" s="1513"/>
      <c r="DN116" s="1513"/>
      <c r="DO116" s="1513"/>
      <c r="DP116" s="1513"/>
      <c r="DQ116" s="1513"/>
      <c r="DR116" s="1513"/>
      <c r="DS116" s="1513"/>
      <c r="DT116" s="1513"/>
      <c r="DU116" s="1513"/>
      <c r="DV116" s="1513"/>
      <c r="DW116" s="1513"/>
      <c r="DX116" s="1513"/>
      <c r="DY116" s="1513"/>
      <c r="DZ116" s="1513"/>
      <c r="EA116" s="1513"/>
      <c r="EB116" s="1513"/>
      <c r="EC116" s="1513"/>
      <c r="ED116" s="1513"/>
      <c r="EE116" s="1513"/>
      <c r="EF116" s="1513"/>
      <c r="EG116" s="1513"/>
      <c r="EH116" s="1513"/>
      <c r="EI116" s="1513"/>
      <c r="EJ116" s="1513"/>
      <c r="EK116" s="1513"/>
      <c r="EL116" s="1513"/>
      <c r="EM116" s="1513"/>
      <c r="EN116" s="1513"/>
      <c r="EO116" s="1513"/>
      <c r="EP116" s="1513"/>
      <c r="EQ116" s="1513"/>
      <c r="ER116" s="1513"/>
      <c r="ES116" s="1513"/>
      <c r="ET116" s="1513"/>
      <c r="EU116" s="1513"/>
      <c r="EV116" s="1513"/>
      <c r="EW116" s="1513"/>
      <c r="EX116" s="1513"/>
      <c r="EY116" s="1513"/>
      <c r="EZ116" s="1513"/>
      <c r="FA116" s="1513"/>
      <c r="FB116" s="1513"/>
      <c r="FC116" s="1513"/>
      <c r="FD116" s="1513"/>
      <c r="FE116" s="1513"/>
      <c r="FF116" s="1513"/>
      <c r="FG116" s="1513"/>
      <c r="FH116" s="1513"/>
      <c r="FI116" s="1513"/>
      <c r="FJ116" s="1513"/>
      <c r="FL116" s="1513"/>
    </row>
    <row r="117" spans="1:168" ht="17.100000000000001" customHeight="1" x14ac:dyDescent="0.15">
      <c r="A117" s="1513"/>
      <c r="B117" s="1282"/>
      <c r="C117" s="1282"/>
      <c r="D117" s="1282"/>
      <c r="E117" s="1282"/>
      <c r="F117" s="1282"/>
      <c r="G117" s="1282"/>
      <c r="H117" s="1282"/>
      <c r="I117" s="1282"/>
      <c r="J117" s="1282"/>
      <c r="K117" s="1282"/>
      <c r="L117" s="1282"/>
      <c r="M117" s="1282"/>
      <c r="N117" s="1282"/>
      <c r="O117" s="1282"/>
      <c r="P117" s="1282"/>
      <c r="Q117" s="1282"/>
      <c r="R117" s="1282"/>
      <c r="S117" s="1282"/>
      <c r="T117" s="1282"/>
      <c r="U117" s="1282"/>
      <c r="V117" s="1282"/>
      <c r="W117" s="1282"/>
      <c r="X117" s="1282"/>
      <c r="Y117" s="1282"/>
      <c r="Z117" s="1282"/>
      <c r="AA117" s="1282"/>
      <c r="AB117" s="1282"/>
      <c r="AC117" s="1282"/>
      <c r="AD117" s="1282"/>
      <c r="AE117" s="1282"/>
      <c r="AF117" s="1282"/>
      <c r="AG117" s="1282"/>
      <c r="AH117" s="1282"/>
      <c r="AI117" s="1282"/>
      <c r="AJ117" s="1282"/>
      <c r="AK117" s="1282"/>
      <c r="AL117" s="1282"/>
      <c r="AM117" s="1282"/>
      <c r="AN117" s="1282"/>
      <c r="AO117" s="1282"/>
      <c r="AP117" s="1282"/>
      <c r="AQ117" s="1282"/>
      <c r="AR117" s="1282"/>
      <c r="AS117" s="1282"/>
      <c r="AT117" s="1282"/>
      <c r="AU117" s="1282"/>
      <c r="AV117" s="1282"/>
      <c r="AW117" s="1282"/>
      <c r="AX117" s="1282"/>
      <c r="AY117" s="1282"/>
      <c r="AZ117" s="1282"/>
      <c r="BA117" s="1282"/>
      <c r="BB117" s="1282"/>
      <c r="BC117" s="1282"/>
      <c r="BD117" s="1282"/>
      <c r="BE117" s="1282"/>
      <c r="BF117" s="1282"/>
      <c r="BG117" s="1282"/>
      <c r="BH117" s="1282"/>
      <c r="BI117" s="1282"/>
      <c r="BJ117" s="1282"/>
      <c r="BK117" s="1282"/>
      <c r="BL117" s="1282"/>
      <c r="BM117" s="1282"/>
      <c r="BN117" s="1282"/>
      <c r="BO117" s="1282"/>
      <c r="BP117" s="1282"/>
      <c r="BQ117" s="1282"/>
      <c r="BR117" s="1282"/>
      <c r="BS117" s="1282"/>
      <c r="BT117" s="1282"/>
      <c r="BU117" s="1282"/>
      <c r="BV117" s="1282"/>
      <c r="BW117" s="1282"/>
      <c r="BX117" s="1282"/>
      <c r="BY117" s="1282"/>
      <c r="BZ117" s="1282"/>
      <c r="CA117" s="1513"/>
      <c r="CK117" s="1513"/>
      <c r="CL117" s="1513"/>
      <c r="CM117" s="1513"/>
      <c r="CN117" s="1513"/>
      <c r="CO117" s="1513"/>
      <c r="CP117" s="1513"/>
      <c r="CQ117" s="1513"/>
      <c r="CR117" s="1513"/>
      <c r="CS117" s="1513"/>
      <c r="CT117" s="1513"/>
      <c r="CU117" s="1513"/>
      <c r="CV117" s="1513"/>
      <c r="CW117" s="1513"/>
      <c r="CX117" s="1513"/>
      <c r="CY117" s="1513"/>
      <c r="CZ117" s="1513"/>
      <c r="DA117" s="1513"/>
      <c r="DB117" s="1513"/>
      <c r="DC117" s="1513"/>
      <c r="DD117" s="1513"/>
      <c r="DE117" s="1513"/>
      <c r="DF117" s="1513"/>
      <c r="DG117" s="1513"/>
      <c r="DH117" s="1513"/>
      <c r="DI117" s="1513"/>
      <c r="DJ117" s="1513"/>
      <c r="DK117" s="1513"/>
      <c r="DL117" s="1513"/>
      <c r="DM117" s="1513"/>
      <c r="DN117" s="1513"/>
      <c r="DO117" s="1513"/>
      <c r="DP117" s="1513"/>
      <c r="DQ117" s="1513"/>
      <c r="DR117" s="1513"/>
      <c r="DS117" s="1513"/>
      <c r="DT117" s="1513"/>
      <c r="DU117" s="1513"/>
      <c r="DV117" s="1513"/>
      <c r="DW117" s="1513"/>
      <c r="DX117" s="1513"/>
      <c r="DY117" s="1513"/>
      <c r="DZ117" s="1513"/>
      <c r="EA117" s="1513"/>
      <c r="EB117" s="1513"/>
      <c r="EC117" s="1513"/>
      <c r="ED117" s="1513"/>
      <c r="EE117" s="1513"/>
      <c r="EF117" s="1513"/>
      <c r="EG117" s="1513"/>
      <c r="EH117" s="1513"/>
      <c r="EI117" s="1513"/>
      <c r="EJ117" s="1513"/>
      <c r="EK117" s="1513"/>
      <c r="EL117" s="1513"/>
      <c r="EM117" s="1513"/>
      <c r="EN117" s="1513"/>
      <c r="EO117" s="1513"/>
      <c r="EP117" s="1513"/>
      <c r="EQ117" s="1513"/>
      <c r="ER117" s="1513"/>
      <c r="ES117" s="1513"/>
      <c r="ET117" s="1513"/>
      <c r="EU117" s="1513"/>
      <c r="EV117" s="1513"/>
      <c r="EW117" s="1513"/>
      <c r="EX117" s="1513"/>
      <c r="EY117" s="1513"/>
      <c r="EZ117" s="1513"/>
      <c r="FA117" s="1513"/>
      <c r="FB117" s="1513"/>
      <c r="FC117" s="1513"/>
      <c r="FD117" s="1513"/>
      <c r="FE117" s="1513"/>
      <c r="FF117" s="1513"/>
      <c r="FG117" s="1513"/>
      <c r="FH117" s="1513"/>
      <c r="FI117" s="1513"/>
      <c r="FJ117" s="1513"/>
      <c r="FL117" s="1513"/>
    </row>
    <row r="118" spans="1:168" ht="17.100000000000001" customHeight="1" x14ac:dyDescent="0.15">
      <c r="A118" s="1513"/>
      <c r="B118" s="1282"/>
      <c r="C118" s="1282"/>
      <c r="D118" s="1282"/>
      <c r="E118" s="1282"/>
      <c r="F118" s="1282"/>
      <c r="G118" s="1282"/>
      <c r="H118" s="1282"/>
      <c r="I118" s="1282"/>
      <c r="J118" s="1282"/>
      <c r="K118" s="1282"/>
      <c r="L118" s="1282"/>
      <c r="M118" s="1282"/>
      <c r="N118" s="1282"/>
      <c r="O118" s="1282"/>
      <c r="P118" s="1282"/>
      <c r="Q118" s="1282"/>
      <c r="R118" s="1282"/>
      <c r="S118" s="1282"/>
      <c r="T118" s="1282"/>
      <c r="U118" s="1282"/>
      <c r="V118" s="1282"/>
      <c r="W118" s="1282"/>
      <c r="X118" s="1282"/>
      <c r="Y118" s="1282"/>
      <c r="Z118" s="1282"/>
      <c r="AA118" s="1282"/>
      <c r="AB118" s="1282"/>
      <c r="AC118" s="1282"/>
      <c r="AD118" s="1282"/>
      <c r="AE118" s="1282"/>
      <c r="AF118" s="1282"/>
      <c r="AG118" s="1282"/>
      <c r="AH118" s="1282"/>
      <c r="AI118" s="1282"/>
      <c r="AJ118" s="1282"/>
      <c r="AK118" s="1282"/>
      <c r="AL118" s="1282"/>
      <c r="AM118" s="1282"/>
      <c r="AN118" s="1282"/>
      <c r="AO118" s="1282"/>
      <c r="AP118" s="1282"/>
      <c r="AQ118" s="1282"/>
      <c r="AR118" s="1282"/>
      <c r="AS118" s="1282"/>
      <c r="AT118" s="1282"/>
      <c r="AU118" s="1282"/>
      <c r="AV118" s="1282"/>
      <c r="AW118" s="1282"/>
      <c r="AX118" s="1282"/>
      <c r="AY118" s="1282"/>
      <c r="AZ118" s="1282"/>
      <c r="BA118" s="1282"/>
      <c r="BB118" s="1282"/>
      <c r="BC118" s="1282"/>
      <c r="BD118" s="1282"/>
      <c r="BE118" s="1282"/>
      <c r="BF118" s="1282"/>
      <c r="BG118" s="1282"/>
      <c r="BH118" s="1282"/>
      <c r="BI118" s="1282"/>
      <c r="BJ118" s="1282"/>
      <c r="BK118" s="1282"/>
      <c r="BL118" s="1282"/>
      <c r="BM118" s="1282"/>
      <c r="BN118" s="1282"/>
      <c r="BO118" s="1282"/>
      <c r="BP118" s="1282"/>
      <c r="BQ118" s="1282"/>
      <c r="BR118" s="1282"/>
      <c r="BS118" s="1282"/>
      <c r="BT118" s="1282"/>
      <c r="BU118" s="1282"/>
      <c r="BV118" s="1282"/>
      <c r="BW118" s="1282"/>
      <c r="BX118" s="1282"/>
      <c r="BY118" s="1282"/>
      <c r="BZ118" s="1282"/>
      <c r="CA118" s="1513"/>
      <c r="CK118" s="1513"/>
      <c r="CL118" s="1513"/>
      <c r="CM118" s="1513"/>
      <c r="CN118" s="1513"/>
      <c r="CO118" s="1513"/>
      <c r="CP118" s="1513"/>
      <c r="CQ118" s="1513"/>
      <c r="CR118" s="1513"/>
      <c r="CS118" s="1513"/>
      <c r="CT118" s="1513"/>
      <c r="CU118" s="1513"/>
      <c r="CV118" s="1513"/>
      <c r="CW118" s="1513"/>
      <c r="CX118" s="1513"/>
      <c r="CY118" s="1513"/>
      <c r="CZ118" s="1513"/>
      <c r="DA118" s="1513"/>
      <c r="DB118" s="1513"/>
      <c r="DC118" s="1513"/>
      <c r="DD118" s="1513"/>
      <c r="DE118" s="1513"/>
      <c r="DF118" s="1513"/>
      <c r="DG118" s="1513"/>
      <c r="DH118" s="1513"/>
      <c r="DI118" s="1513"/>
      <c r="DJ118" s="1513"/>
      <c r="DK118" s="1513"/>
      <c r="DL118" s="1513"/>
      <c r="DM118" s="1513"/>
      <c r="DN118" s="1513"/>
      <c r="DO118" s="1513"/>
      <c r="DP118" s="1513"/>
      <c r="DQ118" s="1513"/>
      <c r="DR118" s="1513"/>
      <c r="DS118" s="1513"/>
      <c r="DT118" s="1513"/>
      <c r="DU118" s="1513"/>
      <c r="DV118" s="1513"/>
      <c r="DW118" s="1513"/>
      <c r="DX118" s="1513"/>
      <c r="DY118" s="1513"/>
      <c r="DZ118" s="1513"/>
      <c r="EA118" s="1513"/>
      <c r="EB118" s="1513"/>
      <c r="EC118" s="1513"/>
      <c r="ED118" s="1513"/>
      <c r="EE118" s="1513"/>
      <c r="EF118" s="1513"/>
      <c r="EG118" s="1513"/>
      <c r="EH118" s="1513"/>
      <c r="EI118" s="1513"/>
      <c r="EJ118" s="1513"/>
      <c r="EK118" s="1513"/>
      <c r="EL118" s="1513"/>
      <c r="EM118" s="1513"/>
      <c r="EN118" s="1513"/>
      <c r="EO118" s="1513"/>
      <c r="EP118" s="1513"/>
      <c r="EQ118" s="1513"/>
      <c r="ER118" s="1513"/>
      <c r="ES118" s="1513"/>
      <c r="ET118" s="1513"/>
      <c r="EU118" s="1513"/>
      <c r="EV118" s="1513"/>
      <c r="EW118" s="1513"/>
      <c r="EX118" s="1513"/>
      <c r="EY118" s="1513"/>
      <c r="EZ118" s="1513"/>
      <c r="FA118" s="1513"/>
      <c r="FB118" s="1513"/>
      <c r="FC118" s="1513"/>
      <c r="FD118" s="1513"/>
      <c r="FE118" s="1513"/>
      <c r="FF118" s="1513"/>
      <c r="FG118" s="1513"/>
      <c r="FH118" s="1513"/>
      <c r="FI118" s="1513"/>
      <c r="FJ118" s="1513"/>
      <c r="FL118" s="1513"/>
    </row>
    <row r="119" spans="1:168" ht="17.100000000000001" customHeight="1" x14ac:dyDescent="0.15">
      <c r="A119" s="1513"/>
      <c r="B119" s="1282"/>
      <c r="C119" s="1282"/>
      <c r="D119" s="1282"/>
      <c r="E119" s="1282"/>
      <c r="F119" s="1282"/>
      <c r="G119" s="1282"/>
      <c r="H119" s="1282"/>
      <c r="I119" s="1282"/>
      <c r="J119" s="1282"/>
      <c r="K119" s="1282"/>
      <c r="L119" s="1282"/>
      <c r="M119" s="1282"/>
      <c r="N119" s="1282"/>
      <c r="O119" s="1282"/>
      <c r="P119" s="1282"/>
      <c r="Q119" s="1282"/>
      <c r="R119" s="1282"/>
      <c r="S119" s="1282"/>
      <c r="T119" s="1282"/>
      <c r="U119" s="1282"/>
      <c r="V119" s="1282"/>
      <c r="W119" s="1282"/>
      <c r="X119" s="1282"/>
      <c r="Y119" s="1282"/>
      <c r="Z119" s="1282"/>
      <c r="AA119" s="1282"/>
      <c r="AB119" s="1282"/>
      <c r="AC119" s="1282"/>
      <c r="AD119" s="1282"/>
      <c r="AE119" s="1282"/>
      <c r="AF119" s="1282"/>
      <c r="AG119" s="1282"/>
      <c r="AH119" s="1282"/>
      <c r="AI119" s="1282"/>
      <c r="AJ119" s="1282"/>
      <c r="AK119" s="1282"/>
      <c r="AL119" s="1282"/>
      <c r="AM119" s="1282"/>
      <c r="AN119" s="1282"/>
      <c r="AO119" s="1282"/>
      <c r="AP119" s="1282"/>
      <c r="AQ119" s="1282"/>
      <c r="AR119" s="1282"/>
      <c r="AS119" s="1282"/>
      <c r="AT119" s="1282"/>
      <c r="AU119" s="1282"/>
      <c r="AV119" s="1282"/>
      <c r="AW119" s="1282"/>
      <c r="AX119" s="1282"/>
      <c r="AY119" s="1282"/>
      <c r="AZ119" s="1282"/>
      <c r="BA119" s="1282"/>
      <c r="BB119" s="1282"/>
      <c r="BC119" s="1282"/>
      <c r="BD119" s="1282"/>
      <c r="BE119" s="1282"/>
      <c r="BF119" s="1282"/>
      <c r="BG119" s="1282"/>
      <c r="BH119" s="1282"/>
      <c r="BI119" s="1282"/>
      <c r="BJ119" s="1282"/>
      <c r="BK119" s="1282"/>
      <c r="BL119" s="1282"/>
      <c r="BM119" s="1282"/>
      <c r="BN119" s="1282"/>
      <c r="BO119" s="1282"/>
      <c r="BP119" s="1282"/>
      <c r="BQ119" s="1282"/>
      <c r="BR119" s="1282"/>
      <c r="BS119" s="1282"/>
      <c r="BT119" s="1282"/>
      <c r="BU119" s="1282"/>
      <c r="BV119" s="1282"/>
      <c r="BW119" s="1282"/>
      <c r="BX119" s="1282"/>
      <c r="BY119" s="1282"/>
      <c r="BZ119" s="1282"/>
      <c r="CA119" s="1513"/>
      <c r="CK119" s="1513"/>
      <c r="CL119" s="1513"/>
      <c r="CM119" s="1513"/>
      <c r="CN119" s="1513"/>
      <c r="CO119" s="1513"/>
      <c r="CP119" s="1513"/>
      <c r="CQ119" s="1513"/>
      <c r="CR119" s="1513"/>
      <c r="CS119" s="1513"/>
      <c r="CT119" s="1513"/>
      <c r="CU119" s="1513"/>
      <c r="CV119" s="1513"/>
      <c r="CW119" s="1513"/>
      <c r="CX119" s="1513"/>
      <c r="CY119" s="1513"/>
      <c r="CZ119" s="1513"/>
      <c r="DA119" s="1513"/>
      <c r="DB119" s="1513"/>
      <c r="DC119" s="1513"/>
      <c r="DD119" s="1513"/>
      <c r="DE119" s="1513"/>
      <c r="DF119" s="1513"/>
      <c r="DG119" s="1513"/>
      <c r="DH119" s="1513"/>
      <c r="DI119" s="1513"/>
      <c r="DJ119" s="1513"/>
      <c r="DK119" s="1513"/>
      <c r="DL119" s="1513"/>
      <c r="DM119" s="1513"/>
      <c r="DN119" s="1513"/>
      <c r="DO119" s="1513"/>
      <c r="DP119" s="1513"/>
      <c r="DQ119" s="1513"/>
      <c r="DR119" s="1513"/>
      <c r="DS119" s="1513"/>
      <c r="DT119" s="1513"/>
      <c r="DU119" s="1513"/>
      <c r="DV119" s="1513"/>
      <c r="DW119" s="1513"/>
      <c r="DX119" s="1513"/>
      <c r="DY119" s="1513"/>
      <c r="DZ119" s="1513"/>
      <c r="EA119" s="1513"/>
      <c r="EB119" s="1513"/>
      <c r="EC119" s="1513"/>
      <c r="ED119" s="1513"/>
      <c r="EE119" s="1513"/>
      <c r="EF119" s="1513"/>
      <c r="EG119" s="1513"/>
      <c r="EH119" s="1513"/>
      <c r="EI119" s="1513"/>
      <c r="EJ119" s="1513"/>
      <c r="EK119" s="1513"/>
      <c r="EL119" s="1513"/>
      <c r="EM119" s="1513"/>
      <c r="EN119" s="1513"/>
      <c r="EO119" s="1513"/>
      <c r="EP119" s="1513"/>
      <c r="EQ119" s="1513"/>
      <c r="ER119" s="1513"/>
      <c r="ES119" s="1513"/>
      <c r="ET119" s="1513"/>
      <c r="EU119" s="1513"/>
      <c r="EV119" s="1513"/>
      <c r="EW119" s="1513"/>
      <c r="EX119" s="1513"/>
      <c r="EY119" s="1513"/>
      <c r="EZ119" s="1513"/>
      <c r="FA119" s="1513"/>
      <c r="FB119" s="1513"/>
      <c r="FC119" s="1513"/>
      <c r="FD119" s="1513"/>
      <c r="FE119" s="1513"/>
      <c r="FF119" s="1513"/>
      <c r="FG119" s="1513"/>
      <c r="FH119" s="1513"/>
      <c r="FI119" s="1513"/>
      <c r="FJ119" s="1513"/>
      <c r="FL119" s="1513"/>
    </row>
    <row r="120" spans="1:168" ht="17.100000000000001" customHeight="1" x14ac:dyDescent="0.15">
      <c r="A120" s="1513"/>
      <c r="B120" s="1282"/>
      <c r="C120" s="1282"/>
      <c r="D120" s="1282"/>
      <c r="E120" s="1282"/>
      <c r="F120" s="1282"/>
      <c r="G120" s="1282"/>
      <c r="H120" s="1282"/>
      <c r="I120" s="1282"/>
      <c r="J120" s="1282"/>
      <c r="K120" s="1282"/>
      <c r="L120" s="1282"/>
      <c r="M120" s="1282"/>
      <c r="N120" s="1282"/>
      <c r="O120" s="1282"/>
      <c r="P120" s="1282"/>
      <c r="Q120" s="1282"/>
      <c r="R120" s="1282"/>
      <c r="S120" s="1282"/>
      <c r="T120" s="1282"/>
      <c r="U120" s="1282"/>
      <c r="V120" s="1282"/>
      <c r="W120" s="1282"/>
      <c r="X120" s="1282"/>
      <c r="Y120" s="1282"/>
      <c r="Z120" s="1282"/>
      <c r="AA120" s="1282"/>
      <c r="AB120" s="1282"/>
      <c r="AC120" s="1282"/>
      <c r="AD120" s="1282"/>
      <c r="AE120" s="1282"/>
      <c r="AF120" s="1282"/>
      <c r="AG120" s="1282"/>
      <c r="AH120" s="1282"/>
      <c r="AI120" s="1282"/>
      <c r="AJ120" s="1282"/>
      <c r="AK120" s="1282"/>
      <c r="AL120" s="1282"/>
      <c r="AM120" s="1282"/>
      <c r="AN120" s="1282"/>
      <c r="AO120" s="1282"/>
      <c r="AP120" s="1282"/>
      <c r="AQ120" s="1282"/>
      <c r="AR120" s="1282"/>
      <c r="AS120" s="1282"/>
      <c r="AT120" s="1282"/>
      <c r="AU120" s="1282"/>
      <c r="AV120" s="1282"/>
      <c r="AW120" s="1282"/>
      <c r="AX120" s="1282"/>
      <c r="AY120" s="1282"/>
      <c r="AZ120" s="1282"/>
      <c r="BA120" s="1282"/>
      <c r="BB120" s="1282"/>
      <c r="BC120" s="1282"/>
      <c r="BD120" s="1282"/>
      <c r="BE120" s="1282"/>
      <c r="BF120" s="1282"/>
      <c r="BG120" s="1282"/>
      <c r="BH120" s="1282"/>
      <c r="BI120" s="1282"/>
      <c r="BJ120" s="1282"/>
      <c r="BK120" s="1282"/>
      <c r="BL120" s="1282"/>
      <c r="BM120" s="1282"/>
      <c r="BN120" s="1282"/>
      <c r="BO120" s="1282"/>
      <c r="BP120" s="1282"/>
      <c r="BQ120" s="1282"/>
      <c r="BR120" s="1282"/>
      <c r="BS120" s="1282"/>
      <c r="BT120" s="1282"/>
      <c r="BU120" s="1282"/>
      <c r="BV120" s="1282"/>
      <c r="BW120" s="1282"/>
      <c r="BX120" s="1282"/>
      <c r="BY120" s="1282"/>
      <c r="BZ120" s="1282"/>
      <c r="CA120" s="1513"/>
      <c r="CK120" s="1513"/>
      <c r="CL120" s="1513"/>
      <c r="CM120" s="1513"/>
      <c r="CN120" s="1513"/>
      <c r="CO120" s="1513"/>
      <c r="CP120" s="1513"/>
      <c r="CQ120" s="1513"/>
      <c r="CR120" s="1513"/>
      <c r="CS120" s="1513"/>
      <c r="CT120" s="1513"/>
      <c r="CU120" s="1513"/>
      <c r="CV120" s="1513"/>
      <c r="CW120" s="1513"/>
      <c r="CX120" s="1513"/>
      <c r="CY120" s="1513"/>
      <c r="CZ120" s="1513"/>
      <c r="DA120" s="1513"/>
      <c r="DB120" s="1513"/>
      <c r="DC120" s="1513"/>
      <c r="DD120" s="1513"/>
      <c r="DE120" s="1513"/>
      <c r="DF120" s="1513"/>
      <c r="DG120" s="1513"/>
      <c r="DH120" s="1513"/>
      <c r="DI120" s="1513"/>
      <c r="DJ120" s="1513"/>
      <c r="DK120" s="1513"/>
      <c r="DL120" s="1513"/>
      <c r="DM120" s="1513"/>
      <c r="DN120" s="1513"/>
      <c r="DO120" s="1513"/>
      <c r="DP120" s="1513"/>
      <c r="DQ120" s="1513"/>
      <c r="DR120" s="1513"/>
      <c r="DS120" s="1513"/>
      <c r="DT120" s="1513"/>
      <c r="DU120" s="1513"/>
      <c r="DV120" s="1513"/>
      <c r="DW120" s="1513"/>
      <c r="DX120" s="1513"/>
      <c r="DY120" s="1513"/>
      <c r="DZ120" s="1513"/>
      <c r="EA120" s="1513"/>
      <c r="EB120" s="1513"/>
      <c r="EC120" s="1513"/>
      <c r="ED120" s="1513"/>
      <c r="EE120" s="1513"/>
      <c r="EF120" s="1513"/>
      <c r="EG120" s="1513"/>
      <c r="EH120" s="1513"/>
      <c r="EI120" s="1513"/>
      <c r="EJ120" s="1513"/>
      <c r="EK120" s="1513"/>
      <c r="EL120" s="1513"/>
      <c r="EM120" s="1513"/>
      <c r="EN120" s="1513"/>
      <c r="EO120" s="1513"/>
      <c r="EP120" s="1513"/>
      <c r="EQ120" s="1513"/>
      <c r="ER120" s="1513"/>
      <c r="ES120" s="1513"/>
      <c r="ET120" s="1513"/>
      <c r="EU120" s="1513"/>
      <c r="EV120" s="1513"/>
      <c r="EW120" s="1513"/>
      <c r="EX120" s="1513"/>
      <c r="EY120" s="1513"/>
      <c r="EZ120" s="1513"/>
      <c r="FA120" s="1513"/>
      <c r="FB120" s="1513"/>
      <c r="FC120" s="1513"/>
      <c r="FD120" s="1513"/>
      <c r="FE120" s="1513"/>
      <c r="FF120" s="1513"/>
      <c r="FG120" s="1513"/>
      <c r="FH120" s="1513"/>
      <c r="FI120" s="1513"/>
      <c r="FJ120" s="1513"/>
      <c r="FL120" s="1513"/>
    </row>
    <row r="121" spans="1:168" ht="17.100000000000001" customHeight="1" x14ac:dyDescent="0.15">
      <c r="A121" s="1513"/>
      <c r="B121" s="1282"/>
      <c r="C121" s="1282"/>
      <c r="D121" s="1282"/>
      <c r="E121" s="1282"/>
      <c r="F121" s="1282"/>
      <c r="G121" s="1282"/>
      <c r="H121" s="1282"/>
      <c r="I121" s="1282"/>
      <c r="J121" s="1282"/>
      <c r="K121" s="1282"/>
      <c r="L121" s="1282"/>
      <c r="M121" s="1282"/>
      <c r="N121" s="1282"/>
      <c r="O121" s="1282"/>
      <c r="P121" s="1282"/>
      <c r="Q121" s="1282"/>
      <c r="R121" s="1282"/>
      <c r="S121" s="1282"/>
      <c r="T121" s="1282"/>
      <c r="U121" s="1282"/>
      <c r="V121" s="1282"/>
      <c r="W121" s="1282"/>
      <c r="X121" s="1282"/>
      <c r="Y121" s="1282"/>
      <c r="Z121" s="1282"/>
      <c r="AA121" s="1282"/>
      <c r="AB121" s="1282"/>
      <c r="AC121" s="1282"/>
      <c r="AD121" s="1282"/>
      <c r="AE121" s="1282"/>
      <c r="AF121" s="1282"/>
      <c r="AG121" s="1282"/>
      <c r="AH121" s="1282"/>
      <c r="AI121" s="1282"/>
      <c r="AJ121" s="1282"/>
      <c r="AK121" s="1282"/>
      <c r="AL121" s="1282"/>
      <c r="AM121" s="1282"/>
      <c r="AN121" s="1282"/>
      <c r="AO121" s="1282"/>
      <c r="AP121" s="1282"/>
      <c r="AQ121" s="1282"/>
      <c r="AR121" s="1282"/>
      <c r="AS121" s="1282"/>
      <c r="AT121" s="1282"/>
      <c r="AU121" s="1282"/>
      <c r="AV121" s="1282"/>
      <c r="AW121" s="1282"/>
      <c r="AX121" s="1282"/>
      <c r="AY121" s="1282"/>
      <c r="AZ121" s="1282"/>
      <c r="BA121" s="1282"/>
      <c r="BB121" s="1282"/>
      <c r="BC121" s="1282"/>
      <c r="BD121" s="1282"/>
      <c r="BE121" s="1282"/>
      <c r="BF121" s="1282"/>
      <c r="BG121" s="1282"/>
      <c r="BH121" s="1282"/>
      <c r="BI121" s="1282"/>
      <c r="BJ121" s="1282"/>
      <c r="BK121" s="1282"/>
      <c r="BL121" s="1282"/>
      <c r="BM121" s="1282"/>
      <c r="BN121" s="1282"/>
      <c r="BO121" s="1282"/>
      <c r="BP121" s="1282"/>
      <c r="BQ121" s="1282"/>
      <c r="BR121" s="1282"/>
      <c r="BS121" s="1282"/>
      <c r="BT121" s="1282"/>
      <c r="BU121" s="1282"/>
      <c r="BV121" s="1282"/>
      <c r="BW121" s="1282"/>
      <c r="BX121" s="1282"/>
      <c r="BY121" s="1282"/>
      <c r="BZ121" s="1282"/>
      <c r="CA121" s="1513"/>
      <c r="CK121" s="1513"/>
      <c r="CL121" s="1513"/>
      <c r="CM121" s="1513"/>
      <c r="CN121" s="1513"/>
      <c r="CO121" s="1513"/>
      <c r="CP121" s="1513"/>
      <c r="CQ121" s="1513"/>
      <c r="CR121" s="1513"/>
      <c r="CS121" s="1513"/>
      <c r="CT121" s="1513"/>
      <c r="CU121" s="1513"/>
      <c r="CV121" s="1513"/>
      <c r="CW121" s="1513"/>
      <c r="CX121" s="1513"/>
      <c r="CY121" s="1513"/>
      <c r="CZ121" s="1513"/>
      <c r="DA121" s="1513"/>
      <c r="DB121" s="1513"/>
      <c r="DC121" s="1513"/>
      <c r="DD121" s="1513"/>
      <c r="DE121" s="1513"/>
      <c r="DF121" s="1513"/>
      <c r="DG121" s="1513"/>
      <c r="DH121" s="1513"/>
      <c r="DI121" s="1513"/>
      <c r="DJ121" s="1513"/>
      <c r="DK121" s="1513"/>
      <c r="DL121" s="1513"/>
      <c r="DM121" s="1513"/>
      <c r="DN121" s="1513"/>
      <c r="DO121" s="1513"/>
      <c r="DP121" s="1513"/>
      <c r="DQ121" s="1513"/>
      <c r="DR121" s="1513"/>
      <c r="DS121" s="1513"/>
      <c r="DT121" s="1513"/>
      <c r="DU121" s="1513"/>
      <c r="DV121" s="1513"/>
      <c r="DW121" s="1513"/>
      <c r="DX121" s="1513"/>
      <c r="DY121" s="1513"/>
      <c r="DZ121" s="1513"/>
      <c r="EA121" s="1513"/>
      <c r="EB121" s="1513"/>
      <c r="EC121" s="1513"/>
      <c r="ED121" s="1513"/>
      <c r="EE121" s="1513"/>
      <c r="EF121" s="1513"/>
      <c r="EG121" s="1513"/>
      <c r="EH121" s="1513"/>
      <c r="EI121" s="1513"/>
      <c r="EJ121" s="1513"/>
      <c r="EK121" s="1513"/>
      <c r="EL121" s="1513"/>
      <c r="EM121" s="1513"/>
      <c r="EN121" s="1513"/>
      <c r="EO121" s="1513"/>
      <c r="EP121" s="1513"/>
      <c r="EQ121" s="1513"/>
      <c r="ER121" s="1513"/>
      <c r="ES121" s="1513"/>
      <c r="ET121" s="1513"/>
      <c r="EU121" s="1513"/>
      <c r="EV121" s="1513"/>
      <c r="EW121" s="1513"/>
      <c r="EX121" s="1513"/>
      <c r="EY121" s="1513"/>
      <c r="EZ121" s="1513"/>
      <c r="FA121" s="1513"/>
      <c r="FB121" s="1513"/>
      <c r="FC121" s="1513"/>
      <c r="FD121" s="1513"/>
      <c r="FE121" s="1513"/>
      <c r="FF121" s="1513"/>
      <c r="FG121" s="1513"/>
      <c r="FH121" s="1513"/>
      <c r="FI121" s="1513"/>
      <c r="FJ121" s="1513"/>
      <c r="FL121" s="1513"/>
    </row>
    <row r="122" spans="1:168" ht="17.100000000000001" customHeight="1" x14ac:dyDescent="0.15">
      <c r="A122" s="1513"/>
      <c r="B122" s="1282"/>
      <c r="C122" s="1282"/>
      <c r="D122" s="1282"/>
      <c r="E122" s="1282"/>
      <c r="F122" s="1282"/>
      <c r="G122" s="1282"/>
      <c r="H122" s="1282"/>
      <c r="I122" s="1282"/>
      <c r="J122" s="1282"/>
      <c r="K122" s="1282"/>
      <c r="L122" s="1282"/>
      <c r="M122" s="1282"/>
      <c r="N122" s="1282"/>
      <c r="O122" s="1282"/>
      <c r="P122" s="1282"/>
      <c r="Q122" s="1282"/>
      <c r="R122" s="1282"/>
      <c r="S122" s="1282"/>
      <c r="T122" s="1282"/>
      <c r="U122" s="1282"/>
      <c r="V122" s="1282"/>
      <c r="W122" s="1282"/>
      <c r="X122" s="1282"/>
      <c r="Y122" s="1282"/>
      <c r="Z122" s="1282"/>
      <c r="AA122" s="1282"/>
      <c r="AB122" s="1282"/>
      <c r="AC122" s="1282"/>
      <c r="AD122" s="1282"/>
      <c r="AE122" s="1282"/>
      <c r="AF122" s="1282"/>
      <c r="AG122" s="1282"/>
      <c r="AH122" s="1282"/>
      <c r="AI122" s="1282"/>
      <c r="AJ122" s="1282"/>
      <c r="AK122" s="1282"/>
      <c r="AL122" s="1282"/>
      <c r="AM122" s="1282"/>
      <c r="AN122" s="1282"/>
      <c r="AO122" s="1282"/>
      <c r="AP122" s="1282"/>
      <c r="AQ122" s="1282"/>
      <c r="AR122" s="1282"/>
      <c r="AS122" s="1282"/>
      <c r="AT122" s="1282"/>
      <c r="AU122" s="1282"/>
      <c r="AV122" s="1282"/>
      <c r="AW122" s="1282"/>
      <c r="AX122" s="1282"/>
      <c r="AY122" s="1282"/>
      <c r="AZ122" s="1282"/>
      <c r="BA122" s="1282"/>
      <c r="BB122" s="1282"/>
      <c r="BC122" s="1282"/>
      <c r="BD122" s="1282"/>
      <c r="BE122" s="1282"/>
      <c r="BF122" s="1282"/>
      <c r="BG122" s="1282"/>
      <c r="BH122" s="1282"/>
      <c r="BI122" s="1282"/>
      <c r="BJ122" s="1282"/>
      <c r="BK122" s="1282"/>
      <c r="BL122" s="1282"/>
      <c r="BM122" s="1282"/>
      <c r="BN122" s="1282"/>
      <c r="BO122" s="1282"/>
      <c r="BP122" s="1282"/>
      <c r="BQ122" s="1282"/>
      <c r="BR122" s="1282"/>
      <c r="BS122" s="1282"/>
      <c r="BT122" s="1282"/>
      <c r="BU122" s="1282"/>
      <c r="BV122" s="1282"/>
      <c r="BW122" s="1282"/>
      <c r="BX122" s="1282"/>
      <c r="BY122" s="1282"/>
      <c r="BZ122" s="1282"/>
      <c r="CA122" s="1513"/>
      <c r="CK122" s="1513"/>
      <c r="CL122" s="1513"/>
      <c r="CM122" s="1513"/>
      <c r="CN122" s="1513"/>
      <c r="CO122" s="1513"/>
      <c r="CP122" s="1513"/>
      <c r="CQ122" s="1513"/>
      <c r="CR122" s="1513"/>
      <c r="CS122" s="1513"/>
      <c r="CT122" s="1513"/>
      <c r="CU122" s="1513"/>
      <c r="CV122" s="1513"/>
      <c r="CW122" s="1513"/>
      <c r="CX122" s="1513"/>
      <c r="CY122" s="1513"/>
      <c r="CZ122" s="1513"/>
      <c r="DA122" s="1513"/>
      <c r="DB122" s="1513"/>
      <c r="DC122" s="1513"/>
      <c r="DD122" s="1513"/>
      <c r="DE122" s="1513"/>
      <c r="DF122" s="1513"/>
      <c r="DG122" s="1513"/>
      <c r="DH122" s="1513"/>
      <c r="DI122" s="1513"/>
      <c r="DJ122" s="1513"/>
      <c r="DK122" s="1513"/>
      <c r="DL122" s="1513"/>
      <c r="DM122" s="1513"/>
      <c r="DN122" s="1513"/>
      <c r="DO122" s="1513"/>
      <c r="DP122" s="1513"/>
      <c r="DQ122" s="1513"/>
      <c r="DR122" s="1513"/>
      <c r="DS122" s="1513"/>
      <c r="DT122" s="1513"/>
      <c r="DU122" s="1513"/>
      <c r="DV122" s="1513"/>
      <c r="DW122" s="1513"/>
      <c r="DX122" s="1513"/>
      <c r="DY122" s="1513"/>
      <c r="DZ122" s="1513"/>
      <c r="EA122" s="1513"/>
      <c r="EB122" s="1513"/>
      <c r="EC122" s="1513"/>
      <c r="ED122" s="1513"/>
      <c r="EE122" s="1513"/>
      <c r="EF122" s="1513"/>
      <c r="EG122" s="1513"/>
      <c r="EH122" s="1513"/>
      <c r="EI122" s="1513"/>
      <c r="EJ122" s="1513"/>
      <c r="EK122" s="1513"/>
      <c r="EL122" s="1513"/>
      <c r="EM122" s="1513"/>
      <c r="EN122" s="1513"/>
      <c r="EO122" s="1513"/>
      <c r="EP122" s="1513"/>
      <c r="EQ122" s="1513"/>
      <c r="ER122" s="1513"/>
      <c r="ES122" s="1513"/>
      <c r="ET122" s="1513"/>
      <c r="EU122" s="1513"/>
      <c r="EV122" s="1513"/>
      <c r="EW122" s="1513"/>
      <c r="EX122" s="1513"/>
      <c r="EY122" s="1513"/>
      <c r="EZ122" s="1513"/>
      <c r="FA122" s="1513"/>
      <c r="FB122" s="1513"/>
      <c r="FC122" s="1513"/>
      <c r="FD122" s="1513"/>
      <c r="FE122" s="1513"/>
      <c r="FF122" s="1513"/>
      <c r="FG122" s="1513"/>
      <c r="FH122" s="1513"/>
      <c r="FI122" s="1513"/>
      <c r="FJ122" s="1513"/>
      <c r="FL122" s="1513"/>
    </row>
    <row r="123" spans="1:168" ht="17.100000000000001" customHeight="1" x14ac:dyDescent="0.15">
      <c r="A123" s="1513"/>
      <c r="B123" s="1282"/>
      <c r="C123" s="1282"/>
      <c r="D123" s="1282"/>
      <c r="E123" s="1282"/>
      <c r="F123" s="1282"/>
      <c r="G123" s="1282"/>
      <c r="H123" s="1282"/>
      <c r="I123" s="1282"/>
      <c r="J123" s="1282"/>
      <c r="K123" s="1282"/>
      <c r="L123" s="1282"/>
      <c r="M123" s="1282"/>
      <c r="N123" s="1282"/>
      <c r="O123" s="1282"/>
      <c r="P123" s="1282"/>
      <c r="Q123" s="1282"/>
      <c r="R123" s="1282"/>
      <c r="S123" s="1282"/>
      <c r="T123" s="1282"/>
      <c r="U123" s="1282"/>
      <c r="V123" s="1282"/>
      <c r="W123" s="1282"/>
      <c r="X123" s="1282"/>
      <c r="Y123" s="1282"/>
      <c r="Z123" s="1282"/>
      <c r="AA123" s="1282"/>
      <c r="AB123" s="1282"/>
      <c r="AC123" s="1282"/>
      <c r="AD123" s="1282"/>
      <c r="AE123" s="1282"/>
      <c r="AF123" s="1282"/>
      <c r="AG123" s="1282"/>
      <c r="AH123" s="1282"/>
      <c r="AI123" s="1282"/>
      <c r="AJ123" s="1282"/>
      <c r="AK123" s="1282"/>
      <c r="AL123" s="1282"/>
      <c r="AM123" s="1282"/>
      <c r="AN123" s="1282"/>
      <c r="AO123" s="1282"/>
      <c r="AP123" s="1282"/>
      <c r="AQ123" s="1282"/>
      <c r="AR123" s="1282"/>
      <c r="AS123" s="1282"/>
      <c r="AT123" s="1282"/>
      <c r="AU123" s="1282"/>
      <c r="AV123" s="1282"/>
      <c r="AW123" s="1282"/>
      <c r="AX123" s="1282"/>
      <c r="AY123" s="1282"/>
      <c r="AZ123" s="1282"/>
      <c r="BA123" s="1282"/>
      <c r="BB123" s="1282"/>
      <c r="BC123" s="1282"/>
      <c r="BD123" s="1282"/>
      <c r="BE123" s="1282"/>
      <c r="BF123" s="1282"/>
      <c r="BG123" s="1282"/>
      <c r="BH123" s="1282"/>
      <c r="BI123" s="1282"/>
      <c r="BJ123" s="1282"/>
      <c r="BK123" s="1282"/>
      <c r="BL123" s="1282"/>
      <c r="BM123" s="1282"/>
      <c r="BN123" s="1282"/>
      <c r="BO123" s="1282"/>
      <c r="BP123" s="1282"/>
      <c r="BQ123" s="1282"/>
      <c r="BR123" s="1282"/>
      <c r="BS123" s="1282"/>
      <c r="BT123" s="1282"/>
      <c r="BU123" s="1282"/>
      <c r="BV123" s="1282"/>
      <c r="BW123" s="1282"/>
      <c r="BX123" s="1282"/>
      <c r="BY123" s="1282"/>
      <c r="BZ123" s="1282"/>
      <c r="CA123" s="1513"/>
      <c r="CK123" s="1513"/>
      <c r="CL123" s="1513"/>
      <c r="CM123" s="1513"/>
      <c r="CN123" s="1513"/>
      <c r="CO123" s="1513"/>
      <c r="CP123" s="1513"/>
      <c r="CQ123" s="1513"/>
      <c r="CR123" s="1513"/>
      <c r="CS123" s="1513"/>
      <c r="CT123" s="1513"/>
      <c r="CU123" s="1513"/>
      <c r="CV123" s="1513"/>
      <c r="CW123" s="1513"/>
      <c r="CX123" s="1513"/>
      <c r="CY123" s="1513"/>
      <c r="CZ123" s="1513"/>
      <c r="DA123" s="1513"/>
      <c r="DB123" s="1513"/>
      <c r="DC123" s="1513"/>
      <c r="DD123" s="1513"/>
      <c r="DE123" s="1513"/>
      <c r="DF123" s="1513"/>
      <c r="DG123" s="1513"/>
      <c r="DH123" s="1513"/>
      <c r="DI123" s="1513"/>
      <c r="DJ123" s="1513"/>
      <c r="DK123" s="1513"/>
      <c r="DL123" s="1513"/>
      <c r="DM123" s="1513"/>
      <c r="DN123" s="1513"/>
      <c r="DO123" s="1513"/>
      <c r="DP123" s="1513"/>
      <c r="DQ123" s="1513"/>
      <c r="DR123" s="1513"/>
      <c r="DS123" s="1513"/>
      <c r="DT123" s="1513"/>
      <c r="DU123" s="1513"/>
      <c r="DV123" s="1513"/>
      <c r="DW123" s="1513"/>
      <c r="DX123" s="1513"/>
      <c r="DY123" s="1513"/>
      <c r="DZ123" s="1513"/>
      <c r="EA123" s="1513"/>
      <c r="EB123" s="1513"/>
      <c r="EC123" s="1513"/>
      <c r="ED123" s="1513"/>
      <c r="EE123" s="1513"/>
      <c r="EF123" s="1513"/>
      <c r="EG123" s="1513"/>
      <c r="EH123" s="1513"/>
      <c r="EI123" s="1513"/>
      <c r="EJ123" s="1513"/>
      <c r="EK123" s="1513"/>
      <c r="EL123" s="1513"/>
      <c r="EM123" s="1513"/>
      <c r="EN123" s="1513"/>
      <c r="EO123" s="1513"/>
      <c r="EP123" s="1513"/>
      <c r="EQ123" s="1513"/>
      <c r="ER123" s="1513"/>
      <c r="ES123" s="1513"/>
      <c r="ET123" s="1513"/>
      <c r="EU123" s="1513"/>
      <c r="EV123" s="1513"/>
      <c r="EW123" s="1513"/>
      <c r="EX123" s="1513"/>
      <c r="EY123" s="1513"/>
      <c r="EZ123" s="1513"/>
      <c r="FA123" s="1513"/>
      <c r="FB123" s="1513"/>
      <c r="FC123" s="1513"/>
      <c r="FD123" s="1513"/>
      <c r="FE123" s="1513"/>
      <c r="FF123" s="1513"/>
      <c r="FG123" s="1513"/>
      <c r="FH123" s="1513"/>
      <c r="FI123" s="1513"/>
      <c r="FJ123" s="1513"/>
      <c r="FL123" s="1513"/>
    </row>
    <row r="124" spans="1:168" ht="17.100000000000001" customHeight="1" x14ac:dyDescent="0.15">
      <c r="A124" s="1513"/>
      <c r="B124" s="1282"/>
      <c r="C124" s="1282"/>
      <c r="D124" s="1282"/>
      <c r="E124" s="1282"/>
      <c r="F124" s="1282"/>
      <c r="G124" s="1282"/>
      <c r="H124" s="1282"/>
      <c r="I124" s="1282"/>
      <c r="J124" s="1282"/>
      <c r="K124" s="1282"/>
      <c r="L124" s="1282"/>
      <c r="M124" s="1282"/>
      <c r="N124" s="1282"/>
      <c r="O124" s="1282"/>
      <c r="P124" s="1282"/>
      <c r="Q124" s="1282"/>
      <c r="R124" s="1282"/>
      <c r="S124" s="1282"/>
      <c r="T124" s="1282"/>
      <c r="U124" s="1282"/>
      <c r="V124" s="1282"/>
      <c r="W124" s="1282"/>
      <c r="X124" s="1282"/>
      <c r="Y124" s="1282"/>
      <c r="Z124" s="1282"/>
      <c r="AA124" s="1282"/>
      <c r="AB124" s="1282"/>
      <c r="AC124" s="1282"/>
      <c r="AD124" s="1282"/>
      <c r="AE124" s="1282"/>
      <c r="AF124" s="1282"/>
      <c r="AG124" s="1282"/>
      <c r="AH124" s="1282"/>
      <c r="AI124" s="1282"/>
      <c r="AJ124" s="1282"/>
      <c r="AK124" s="1282"/>
      <c r="AL124" s="1282"/>
      <c r="AM124" s="1282"/>
      <c r="AN124" s="1282"/>
      <c r="AO124" s="1282"/>
      <c r="AP124" s="1282"/>
      <c r="AQ124" s="1282"/>
      <c r="AR124" s="1282"/>
      <c r="AS124" s="1282"/>
      <c r="AT124" s="1282"/>
      <c r="AU124" s="1282"/>
      <c r="AV124" s="1282"/>
      <c r="AW124" s="1282"/>
      <c r="AX124" s="1282"/>
      <c r="AY124" s="1282"/>
      <c r="AZ124" s="1282"/>
      <c r="BA124" s="1282"/>
      <c r="BB124" s="1282"/>
      <c r="BC124" s="1282"/>
      <c r="BD124" s="1282"/>
      <c r="BE124" s="1282"/>
      <c r="BF124" s="1282"/>
      <c r="BG124" s="1282"/>
      <c r="BH124" s="1282"/>
      <c r="BI124" s="1282"/>
      <c r="BJ124" s="1282"/>
      <c r="BK124" s="1282"/>
      <c r="BL124" s="1282"/>
      <c r="BM124" s="1282"/>
      <c r="BN124" s="1282"/>
      <c r="BO124" s="1282"/>
      <c r="BP124" s="1282"/>
      <c r="BQ124" s="1282"/>
      <c r="BR124" s="1282"/>
      <c r="BS124" s="1282"/>
      <c r="BT124" s="1282"/>
      <c r="BU124" s="1282"/>
      <c r="BV124" s="1282"/>
      <c r="BW124" s="1282"/>
      <c r="BX124" s="1282"/>
      <c r="BY124" s="1282"/>
      <c r="BZ124" s="1282"/>
      <c r="CA124" s="1513"/>
      <c r="CK124" s="1513"/>
      <c r="CL124" s="1513"/>
      <c r="CM124" s="1513"/>
      <c r="CN124" s="1513"/>
      <c r="CO124" s="1513"/>
      <c r="CP124" s="1513"/>
      <c r="CQ124" s="1513"/>
      <c r="CR124" s="1513"/>
      <c r="CS124" s="1513"/>
      <c r="CT124" s="1513"/>
      <c r="CU124" s="1513"/>
      <c r="CV124" s="1513"/>
      <c r="CW124" s="1513"/>
      <c r="CX124" s="1513"/>
      <c r="CY124" s="1513"/>
      <c r="CZ124" s="1513"/>
      <c r="DA124" s="1513"/>
      <c r="DB124" s="1513"/>
      <c r="DC124" s="1513"/>
      <c r="DD124" s="1513"/>
      <c r="DE124" s="1513"/>
      <c r="DF124" s="1513"/>
      <c r="DG124" s="1513"/>
      <c r="DH124" s="1513"/>
      <c r="DI124" s="1513"/>
      <c r="DJ124" s="1513"/>
      <c r="DK124" s="1513"/>
      <c r="DL124" s="1513"/>
      <c r="DM124" s="1513"/>
      <c r="DN124" s="1513"/>
      <c r="DO124" s="1513"/>
      <c r="DP124" s="1513"/>
      <c r="DQ124" s="1513"/>
      <c r="DR124" s="1513"/>
      <c r="DS124" s="1513"/>
      <c r="DT124" s="1513"/>
      <c r="DU124" s="1513"/>
      <c r="DV124" s="1513"/>
      <c r="DW124" s="1513"/>
      <c r="DX124" s="1513"/>
      <c r="DY124" s="1513"/>
      <c r="DZ124" s="1513"/>
      <c r="EA124" s="1513"/>
      <c r="EB124" s="1513"/>
      <c r="EC124" s="1513"/>
      <c r="ED124" s="1513"/>
      <c r="EE124" s="1513"/>
      <c r="EF124" s="1513"/>
      <c r="EG124" s="1513"/>
      <c r="EH124" s="1513"/>
      <c r="EI124" s="1513"/>
      <c r="EJ124" s="1513"/>
      <c r="EK124" s="1513"/>
      <c r="EL124" s="1513"/>
      <c r="EM124" s="1513"/>
      <c r="EN124" s="1513"/>
      <c r="EO124" s="1513"/>
      <c r="EP124" s="1513"/>
      <c r="EQ124" s="1513"/>
      <c r="ER124" s="1513"/>
      <c r="ES124" s="1513"/>
      <c r="ET124" s="1513"/>
      <c r="EU124" s="1513"/>
      <c r="EV124" s="1513"/>
      <c r="EW124" s="1513"/>
      <c r="EX124" s="1513"/>
      <c r="EY124" s="1513"/>
      <c r="EZ124" s="1513"/>
      <c r="FA124" s="1513"/>
      <c r="FB124" s="1513"/>
      <c r="FC124" s="1513"/>
      <c r="FD124" s="1513"/>
      <c r="FE124" s="1513"/>
      <c r="FF124" s="1513"/>
      <c r="FG124" s="1513"/>
      <c r="FH124" s="1513"/>
      <c r="FI124" s="1513"/>
      <c r="FJ124" s="1513"/>
      <c r="FL124" s="1513"/>
    </row>
    <row r="125" spans="1:168" ht="17.100000000000001" customHeight="1" x14ac:dyDescent="0.15">
      <c r="A125" s="1513"/>
      <c r="B125" s="1282"/>
      <c r="C125" s="1282"/>
      <c r="D125" s="1282"/>
      <c r="E125" s="1282"/>
      <c r="F125" s="1282"/>
      <c r="G125" s="1282"/>
      <c r="H125" s="1282"/>
      <c r="I125" s="1282"/>
      <c r="J125" s="1282"/>
      <c r="K125" s="1282"/>
      <c r="L125" s="1282"/>
      <c r="M125" s="1282"/>
      <c r="N125" s="1282"/>
      <c r="O125" s="1282"/>
      <c r="P125" s="1282"/>
      <c r="Q125" s="1282"/>
      <c r="R125" s="1282"/>
      <c r="S125" s="1282"/>
      <c r="T125" s="1282"/>
      <c r="U125" s="1282"/>
      <c r="V125" s="1282"/>
      <c r="W125" s="1282"/>
      <c r="X125" s="1282"/>
      <c r="Y125" s="1282"/>
      <c r="Z125" s="1282"/>
      <c r="AA125" s="1282"/>
      <c r="AB125" s="1282"/>
      <c r="AC125" s="1282"/>
      <c r="AD125" s="1282"/>
      <c r="AE125" s="1282"/>
      <c r="AF125" s="1282"/>
      <c r="AG125" s="1282"/>
      <c r="AH125" s="1282"/>
      <c r="AI125" s="1282"/>
      <c r="AJ125" s="1282"/>
      <c r="AK125" s="1282"/>
      <c r="AL125" s="1282"/>
      <c r="AM125" s="1282"/>
      <c r="AN125" s="1282"/>
      <c r="AO125" s="1282"/>
      <c r="AP125" s="1282"/>
      <c r="AQ125" s="1282"/>
      <c r="AR125" s="1282"/>
      <c r="AS125" s="1282"/>
      <c r="AT125" s="1282"/>
      <c r="AU125" s="1282"/>
      <c r="AV125" s="1282"/>
      <c r="AW125" s="1282"/>
      <c r="AX125" s="1282"/>
      <c r="AY125" s="1282"/>
      <c r="AZ125" s="1282"/>
      <c r="BA125" s="1282"/>
      <c r="BB125" s="1282"/>
      <c r="BC125" s="1282"/>
      <c r="BD125" s="1282"/>
      <c r="BE125" s="1282"/>
      <c r="BF125" s="1282"/>
      <c r="BG125" s="1282"/>
      <c r="BH125" s="1282"/>
      <c r="BI125" s="1282"/>
      <c r="BJ125" s="1282"/>
      <c r="BK125" s="1282"/>
      <c r="BL125" s="1282"/>
      <c r="BM125" s="1282"/>
      <c r="BN125" s="1282"/>
      <c r="BO125" s="1282"/>
      <c r="BP125" s="1282"/>
      <c r="BQ125" s="1282"/>
      <c r="BR125" s="1282"/>
      <c r="BS125" s="1282"/>
      <c r="BT125" s="1282"/>
      <c r="BU125" s="1282"/>
      <c r="BV125" s="1282"/>
      <c r="BW125" s="1282"/>
      <c r="BX125" s="1282"/>
      <c r="BY125" s="1282"/>
      <c r="BZ125" s="1282"/>
      <c r="CA125" s="1513"/>
      <c r="CK125" s="1513"/>
      <c r="CL125" s="1513"/>
      <c r="CM125" s="1513"/>
      <c r="CN125" s="1513"/>
      <c r="CO125" s="1513"/>
      <c r="CP125" s="1513"/>
      <c r="CQ125" s="1513"/>
      <c r="CR125" s="1513"/>
      <c r="CS125" s="1513"/>
      <c r="CT125" s="1513"/>
      <c r="CU125" s="1513"/>
      <c r="CV125" s="1513"/>
      <c r="CW125" s="1513"/>
      <c r="CX125" s="1513"/>
      <c r="CY125" s="1513"/>
      <c r="CZ125" s="1513"/>
      <c r="DA125" s="1513"/>
      <c r="DB125" s="1513"/>
      <c r="DC125" s="1513"/>
      <c r="DD125" s="1513"/>
      <c r="DE125" s="1513"/>
      <c r="DF125" s="1513"/>
      <c r="DG125" s="1513"/>
      <c r="DH125" s="1513"/>
      <c r="DI125" s="1513"/>
      <c r="DJ125" s="1513"/>
      <c r="DK125" s="1513"/>
      <c r="DL125" s="1513"/>
      <c r="DM125" s="1513"/>
      <c r="DN125" s="1513"/>
      <c r="DO125" s="1513"/>
      <c r="DP125" s="1513"/>
      <c r="DQ125" s="1513"/>
      <c r="DR125" s="1513"/>
      <c r="DS125" s="1513"/>
      <c r="DT125" s="1513"/>
      <c r="DU125" s="1513"/>
      <c r="DV125" s="1513"/>
      <c r="DW125" s="1513"/>
      <c r="DX125" s="1513"/>
      <c r="DY125" s="1513"/>
      <c r="DZ125" s="1513"/>
      <c r="EA125" s="1513"/>
      <c r="EB125" s="1513"/>
      <c r="EC125" s="1513"/>
      <c r="ED125" s="1513"/>
      <c r="EE125" s="1513"/>
      <c r="EF125" s="1513"/>
      <c r="EG125" s="1513"/>
      <c r="EH125" s="1513"/>
      <c r="EI125" s="1513"/>
      <c r="EJ125" s="1513"/>
      <c r="EK125" s="1513"/>
      <c r="EL125" s="1513"/>
      <c r="EM125" s="1513"/>
      <c r="EN125" s="1513"/>
      <c r="EO125" s="1513"/>
      <c r="EP125" s="1513"/>
      <c r="EQ125" s="1513"/>
      <c r="ER125" s="1513"/>
      <c r="ES125" s="1513"/>
      <c r="ET125" s="1513"/>
      <c r="EU125" s="1513"/>
      <c r="EV125" s="1513"/>
      <c r="EW125" s="1513"/>
      <c r="EX125" s="1513"/>
      <c r="EY125" s="1513"/>
      <c r="EZ125" s="1513"/>
      <c r="FA125" s="1513"/>
      <c r="FB125" s="1513"/>
      <c r="FC125" s="1513"/>
      <c r="FD125" s="1513"/>
      <c r="FE125" s="1513"/>
      <c r="FF125" s="1513"/>
      <c r="FG125" s="1513"/>
      <c r="FH125" s="1513"/>
      <c r="FI125" s="1513"/>
      <c r="FJ125" s="1513"/>
      <c r="FL125" s="1513"/>
    </row>
    <row r="126" spans="1:168" ht="17.100000000000001" customHeight="1" x14ac:dyDescent="0.15">
      <c r="A126" s="1513"/>
      <c r="B126" s="1282"/>
      <c r="C126" s="1282"/>
      <c r="D126" s="1282"/>
      <c r="E126" s="1282"/>
      <c r="F126" s="1282"/>
      <c r="G126" s="1282"/>
      <c r="H126" s="1282"/>
      <c r="I126" s="1282"/>
      <c r="J126" s="1282"/>
      <c r="K126" s="1282"/>
      <c r="L126" s="1282"/>
      <c r="M126" s="1282"/>
      <c r="N126" s="1282"/>
      <c r="O126" s="1282"/>
      <c r="P126" s="1282"/>
      <c r="Q126" s="1282"/>
      <c r="R126" s="1282"/>
      <c r="S126" s="1282"/>
      <c r="T126" s="1282"/>
      <c r="U126" s="1282"/>
      <c r="V126" s="1282"/>
      <c r="W126" s="1282"/>
      <c r="X126" s="1282"/>
      <c r="Y126" s="1282"/>
      <c r="Z126" s="1282"/>
      <c r="AA126" s="1282"/>
      <c r="AB126" s="1282"/>
      <c r="AC126" s="1282"/>
      <c r="AD126" s="1282"/>
      <c r="AE126" s="1282"/>
      <c r="AF126" s="1282"/>
      <c r="AG126" s="1282"/>
      <c r="AH126" s="1282"/>
      <c r="AI126" s="1282"/>
      <c r="AJ126" s="1282"/>
      <c r="AK126" s="1282"/>
      <c r="AL126" s="1282"/>
      <c r="AM126" s="1282"/>
      <c r="AN126" s="1282"/>
      <c r="AO126" s="1282"/>
      <c r="AP126" s="1282"/>
      <c r="AQ126" s="1282"/>
      <c r="AR126" s="1282"/>
      <c r="AS126" s="1282"/>
      <c r="AT126" s="1282"/>
      <c r="AU126" s="1282"/>
      <c r="AV126" s="1282"/>
      <c r="AW126" s="1282"/>
      <c r="AX126" s="1282"/>
      <c r="AY126" s="1282"/>
      <c r="AZ126" s="1282"/>
      <c r="BA126" s="1282"/>
      <c r="BB126" s="1282"/>
      <c r="BC126" s="1282"/>
      <c r="BD126" s="1282"/>
      <c r="BE126" s="1282"/>
      <c r="BF126" s="1282"/>
      <c r="BG126" s="1282"/>
      <c r="BH126" s="1282"/>
      <c r="BI126" s="1282"/>
      <c r="BJ126" s="1282"/>
      <c r="BK126" s="1282"/>
      <c r="BL126" s="1282"/>
      <c r="BM126" s="1282"/>
      <c r="BN126" s="1282"/>
      <c r="BO126" s="1282"/>
      <c r="BP126" s="1282"/>
      <c r="BQ126" s="1282"/>
      <c r="BR126" s="1282"/>
      <c r="BS126" s="1282"/>
      <c r="BT126" s="1282"/>
      <c r="BU126" s="1282"/>
      <c r="BV126" s="1282"/>
      <c r="BW126" s="1282"/>
      <c r="BX126" s="1282"/>
      <c r="BY126" s="1282"/>
      <c r="BZ126" s="1282"/>
      <c r="CA126" s="1513"/>
      <c r="CK126" s="1513"/>
      <c r="CL126" s="1513"/>
      <c r="CM126" s="1513"/>
      <c r="CN126" s="1513"/>
      <c r="CO126" s="1513"/>
      <c r="CP126" s="1513"/>
      <c r="CQ126" s="1513"/>
      <c r="CR126" s="1513"/>
      <c r="CS126" s="1513"/>
      <c r="CT126" s="1513"/>
      <c r="CU126" s="1513"/>
      <c r="CV126" s="1513"/>
      <c r="CW126" s="1513"/>
      <c r="CX126" s="1513"/>
      <c r="CY126" s="1513"/>
      <c r="CZ126" s="1513"/>
      <c r="DA126" s="1513"/>
      <c r="DB126" s="1513"/>
      <c r="DC126" s="1513"/>
      <c r="DD126" s="1513"/>
      <c r="DE126" s="1513"/>
      <c r="DF126" s="1513"/>
      <c r="DG126" s="1513"/>
      <c r="DH126" s="1513"/>
      <c r="DI126" s="1513"/>
      <c r="DJ126" s="1513"/>
      <c r="DK126" s="1513"/>
      <c r="DL126" s="1513"/>
      <c r="DM126" s="1513"/>
      <c r="DN126" s="1513"/>
      <c r="DO126" s="1513"/>
      <c r="DP126" s="1513"/>
      <c r="DQ126" s="1513"/>
      <c r="DR126" s="1513"/>
      <c r="DS126" s="1513"/>
      <c r="DT126" s="1513"/>
      <c r="DU126" s="1513"/>
      <c r="DV126" s="1513"/>
      <c r="DW126" s="1513"/>
      <c r="DX126" s="1513"/>
      <c r="DY126" s="1513"/>
      <c r="DZ126" s="1513"/>
      <c r="EA126" s="1513"/>
      <c r="EB126" s="1513"/>
      <c r="EC126" s="1513"/>
      <c r="ED126" s="1513"/>
      <c r="EE126" s="1513"/>
      <c r="EF126" s="1513"/>
      <c r="EG126" s="1513"/>
      <c r="EH126" s="1513"/>
      <c r="EI126" s="1513"/>
      <c r="EJ126" s="1513"/>
      <c r="EK126" s="1513"/>
      <c r="EL126" s="1513"/>
      <c r="EM126" s="1513"/>
      <c r="EN126" s="1513"/>
      <c r="EO126" s="1513"/>
      <c r="EP126" s="1513"/>
      <c r="EQ126" s="1513"/>
      <c r="ER126" s="1513"/>
      <c r="ES126" s="1513"/>
      <c r="ET126" s="1513"/>
      <c r="EU126" s="1513"/>
      <c r="EV126" s="1513"/>
      <c r="EW126" s="1513"/>
      <c r="EX126" s="1513"/>
      <c r="EY126" s="1513"/>
      <c r="EZ126" s="1513"/>
      <c r="FA126" s="1513"/>
      <c r="FB126" s="1513"/>
      <c r="FC126" s="1513"/>
      <c r="FD126" s="1513"/>
      <c r="FE126" s="1513"/>
      <c r="FF126" s="1513"/>
      <c r="FG126" s="1513"/>
      <c r="FH126" s="1513"/>
      <c r="FI126" s="1513"/>
      <c r="FJ126" s="1513"/>
      <c r="FL126" s="1513"/>
    </row>
    <row r="127" spans="1:168" ht="17.100000000000001" customHeight="1" x14ac:dyDescent="0.15">
      <c r="A127" s="1513"/>
      <c r="B127" s="1282"/>
      <c r="C127" s="1282"/>
      <c r="D127" s="1282"/>
      <c r="E127" s="1282"/>
      <c r="F127" s="1282"/>
      <c r="G127" s="1282"/>
      <c r="H127" s="1282"/>
      <c r="I127" s="1282"/>
      <c r="J127" s="1282"/>
      <c r="K127" s="1282"/>
      <c r="L127" s="1282"/>
      <c r="M127" s="1282"/>
      <c r="N127" s="1282"/>
      <c r="O127" s="1282"/>
      <c r="P127" s="1282"/>
      <c r="Q127" s="1282"/>
      <c r="R127" s="1282"/>
      <c r="S127" s="1282"/>
      <c r="T127" s="1282"/>
      <c r="U127" s="1282"/>
      <c r="V127" s="1282"/>
      <c r="W127" s="1282"/>
      <c r="X127" s="1282"/>
      <c r="Y127" s="1282"/>
      <c r="Z127" s="1282"/>
      <c r="AA127" s="1282"/>
      <c r="AB127" s="1282"/>
      <c r="AC127" s="1282"/>
      <c r="AD127" s="1282"/>
      <c r="AE127" s="1282"/>
      <c r="AF127" s="1282"/>
      <c r="AG127" s="1282"/>
      <c r="AH127" s="1282"/>
      <c r="AI127" s="1282"/>
      <c r="AJ127" s="1282"/>
      <c r="AK127" s="1282"/>
      <c r="AL127" s="1282"/>
      <c r="AM127" s="1282"/>
      <c r="AN127" s="1282"/>
      <c r="AO127" s="1282"/>
      <c r="AP127" s="1282"/>
      <c r="AQ127" s="1282"/>
      <c r="AR127" s="1282"/>
      <c r="AS127" s="1282"/>
      <c r="AT127" s="1282"/>
      <c r="AU127" s="1282"/>
      <c r="AV127" s="1282"/>
      <c r="AW127" s="1282"/>
      <c r="AX127" s="1282"/>
      <c r="AY127" s="1282"/>
      <c r="AZ127" s="1282"/>
      <c r="BA127" s="1282"/>
      <c r="BB127" s="1282"/>
      <c r="BC127" s="1282"/>
      <c r="BD127" s="1282"/>
      <c r="BE127" s="1282"/>
      <c r="BF127" s="1282"/>
      <c r="BG127" s="1282"/>
      <c r="BH127" s="1282"/>
      <c r="BI127" s="1282"/>
      <c r="BJ127" s="1282"/>
      <c r="BK127" s="1282"/>
      <c r="BL127" s="1282"/>
      <c r="BM127" s="1282"/>
      <c r="BN127" s="1282"/>
      <c r="BO127" s="1282"/>
      <c r="BP127" s="1282"/>
      <c r="BQ127" s="1282"/>
      <c r="BR127" s="1282"/>
      <c r="BS127" s="1282"/>
      <c r="BT127" s="1282"/>
      <c r="BU127" s="1282"/>
      <c r="BV127" s="1282"/>
      <c r="BW127" s="1282"/>
      <c r="BX127" s="1282"/>
      <c r="BY127" s="1282"/>
      <c r="BZ127" s="1282"/>
      <c r="CA127" s="1513"/>
      <c r="CK127" s="1513"/>
      <c r="CL127" s="1513"/>
      <c r="CM127" s="1513"/>
      <c r="CN127" s="1513"/>
      <c r="CO127" s="1513"/>
      <c r="CP127" s="1513"/>
      <c r="CQ127" s="1513"/>
      <c r="CR127" s="1513"/>
      <c r="CS127" s="1513"/>
      <c r="CT127" s="1513"/>
      <c r="CU127" s="1513"/>
      <c r="CV127" s="1513"/>
      <c r="CW127" s="1513"/>
      <c r="CX127" s="1513"/>
      <c r="CY127" s="1513"/>
      <c r="CZ127" s="1513"/>
      <c r="DA127" s="1513"/>
      <c r="DB127" s="1513"/>
      <c r="DC127" s="1513"/>
      <c r="DD127" s="1513"/>
      <c r="DE127" s="1513"/>
      <c r="DF127" s="1513"/>
      <c r="DG127" s="1513"/>
      <c r="DH127" s="1513"/>
      <c r="DI127" s="1513"/>
      <c r="DJ127" s="1513"/>
      <c r="DK127" s="1513"/>
      <c r="DL127" s="1513"/>
      <c r="DM127" s="1513"/>
      <c r="DN127" s="1513"/>
      <c r="DO127" s="1513"/>
      <c r="DP127" s="1513"/>
      <c r="DQ127" s="1513"/>
      <c r="DR127" s="1513"/>
      <c r="DS127" s="1513"/>
      <c r="DT127" s="1513"/>
      <c r="DU127" s="1513"/>
      <c r="DV127" s="1513"/>
      <c r="DW127" s="1513"/>
      <c r="DX127" s="1513"/>
      <c r="DY127" s="1513"/>
      <c r="DZ127" s="1513"/>
      <c r="EA127" s="1513"/>
      <c r="EB127" s="1513"/>
      <c r="EC127" s="1513"/>
      <c r="ED127" s="1513"/>
      <c r="EE127" s="1513"/>
      <c r="EF127" s="1513"/>
      <c r="EG127" s="1513"/>
      <c r="EH127" s="1513"/>
      <c r="EI127" s="1513"/>
      <c r="EJ127" s="1513"/>
      <c r="EK127" s="1513"/>
      <c r="EL127" s="1513"/>
      <c r="EM127" s="1513"/>
      <c r="EN127" s="1513"/>
      <c r="EO127" s="1513"/>
      <c r="EP127" s="1513"/>
      <c r="EQ127" s="1513"/>
      <c r="ER127" s="1513"/>
      <c r="ES127" s="1513"/>
      <c r="ET127" s="1513"/>
      <c r="EU127" s="1513"/>
      <c r="EV127" s="1513"/>
      <c r="EW127" s="1513"/>
      <c r="EX127" s="1513"/>
      <c r="EY127" s="1513"/>
      <c r="EZ127" s="1513"/>
      <c r="FA127" s="1513"/>
      <c r="FB127" s="1513"/>
      <c r="FC127" s="1513"/>
      <c r="FD127" s="1513"/>
      <c r="FE127" s="1513"/>
      <c r="FF127" s="1513"/>
      <c r="FG127" s="1513"/>
      <c r="FH127" s="1513"/>
      <c r="FI127" s="1513"/>
      <c r="FJ127" s="1513"/>
      <c r="FL127" s="1513"/>
    </row>
    <row r="128" spans="1:168" ht="17.100000000000001" customHeight="1" x14ac:dyDescent="0.15">
      <c r="A128" s="1513"/>
      <c r="B128" s="1282"/>
      <c r="C128" s="1282"/>
      <c r="D128" s="1282"/>
      <c r="E128" s="1282"/>
      <c r="F128" s="1282"/>
      <c r="G128" s="1282"/>
      <c r="H128" s="1282"/>
      <c r="I128" s="1282"/>
      <c r="J128" s="1282"/>
      <c r="K128" s="1282"/>
      <c r="L128" s="1282"/>
      <c r="M128" s="1282"/>
      <c r="N128" s="1282"/>
      <c r="O128" s="1282"/>
      <c r="P128" s="1282"/>
      <c r="Q128" s="1282"/>
      <c r="R128" s="1282"/>
      <c r="S128" s="1282"/>
      <c r="T128" s="1282"/>
      <c r="U128" s="1282"/>
      <c r="V128" s="1282"/>
      <c r="W128" s="1282"/>
      <c r="X128" s="1282"/>
      <c r="Y128" s="1282"/>
      <c r="Z128" s="1282"/>
      <c r="AA128" s="1282"/>
      <c r="AB128" s="1282"/>
      <c r="AC128" s="1282"/>
      <c r="AD128" s="1282"/>
      <c r="AE128" s="1282"/>
      <c r="AF128" s="1282"/>
      <c r="AG128" s="1282"/>
      <c r="AH128" s="1282"/>
      <c r="AI128" s="1282"/>
      <c r="AJ128" s="1282"/>
      <c r="AK128" s="1282"/>
      <c r="AL128" s="1282"/>
      <c r="AM128" s="1282"/>
      <c r="AN128" s="1282"/>
      <c r="AO128" s="1282"/>
      <c r="AP128" s="1282"/>
      <c r="AQ128" s="1282"/>
      <c r="AR128" s="1282"/>
      <c r="AS128" s="1282"/>
      <c r="AT128" s="1282"/>
      <c r="AU128" s="1282"/>
      <c r="AV128" s="1282"/>
      <c r="AW128" s="1282"/>
      <c r="AX128" s="1282"/>
      <c r="AY128" s="1282"/>
      <c r="AZ128" s="1282"/>
      <c r="BA128" s="1282"/>
      <c r="BB128" s="1282"/>
      <c r="BC128" s="1282"/>
      <c r="BD128" s="1282"/>
      <c r="BE128" s="1282"/>
      <c r="BF128" s="1282"/>
      <c r="BG128" s="1282"/>
      <c r="BH128" s="1282"/>
      <c r="BI128" s="1282"/>
      <c r="BJ128" s="1282"/>
      <c r="BK128" s="1282"/>
      <c r="BL128" s="1282"/>
      <c r="BM128" s="1282"/>
      <c r="BN128" s="1282"/>
      <c r="BO128" s="1282"/>
      <c r="BP128" s="1282"/>
      <c r="BQ128" s="1282"/>
      <c r="BR128" s="1282"/>
      <c r="BS128" s="1282"/>
      <c r="BT128" s="1282"/>
      <c r="BU128" s="1282"/>
      <c r="BV128" s="1282"/>
      <c r="BW128" s="1282"/>
      <c r="BX128" s="1282"/>
      <c r="BY128" s="1282"/>
      <c r="BZ128" s="1282"/>
      <c r="CA128" s="1513"/>
      <c r="CK128" s="1513"/>
      <c r="CL128" s="1513"/>
      <c r="CM128" s="1513"/>
      <c r="CN128" s="1513"/>
      <c r="CO128" s="1513"/>
      <c r="CP128" s="1513"/>
      <c r="CQ128" s="1513"/>
      <c r="CR128" s="1513"/>
      <c r="CS128" s="1513"/>
      <c r="CT128" s="1513"/>
      <c r="CU128" s="1513"/>
      <c r="CV128" s="1513"/>
      <c r="CW128" s="1513"/>
      <c r="CX128" s="1513"/>
      <c r="CY128" s="1513"/>
      <c r="CZ128" s="1513"/>
      <c r="DA128" s="1513"/>
      <c r="DB128" s="1513"/>
      <c r="DC128" s="1513"/>
      <c r="DD128" s="1513"/>
      <c r="DE128" s="1513"/>
      <c r="DF128" s="1513"/>
      <c r="DG128" s="1513"/>
      <c r="DH128" s="1513"/>
      <c r="DI128" s="1513"/>
      <c r="DJ128" s="1513"/>
      <c r="DK128" s="1513"/>
      <c r="DL128" s="1513"/>
      <c r="DM128" s="1513"/>
      <c r="DN128" s="1513"/>
      <c r="DO128" s="1513"/>
      <c r="DP128" s="1513"/>
      <c r="DQ128" s="1513"/>
      <c r="DR128" s="1513"/>
      <c r="DS128" s="1513"/>
      <c r="DT128" s="1513"/>
      <c r="DU128" s="1513"/>
      <c r="DV128" s="1513"/>
      <c r="DW128" s="1513"/>
      <c r="DX128" s="1513"/>
      <c r="DY128" s="1513"/>
      <c r="DZ128" s="1513"/>
      <c r="EA128" s="1513"/>
      <c r="EB128" s="1513"/>
      <c r="EC128" s="1513"/>
      <c r="ED128" s="1513"/>
      <c r="EE128" s="1513"/>
      <c r="EF128" s="1513"/>
      <c r="EG128" s="1513"/>
      <c r="EH128" s="1513"/>
      <c r="EI128" s="1513"/>
      <c r="EJ128" s="1513"/>
      <c r="EK128" s="1513"/>
      <c r="EL128" s="1513"/>
      <c r="EM128" s="1513"/>
      <c r="EN128" s="1513"/>
      <c r="EO128" s="1513"/>
      <c r="EP128" s="1513"/>
      <c r="EQ128" s="1513"/>
      <c r="ER128" s="1513"/>
      <c r="ES128" s="1513"/>
      <c r="ET128" s="1513"/>
      <c r="EU128" s="1513"/>
      <c r="EV128" s="1513"/>
      <c r="EW128" s="1513"/>
      <c r="EX128" s="1513"/>
      <c r="EY128" s="1513"/>
      <c r="EZ128" s="1513"/>
      <c r="FA128" s="1513"/>
      <c r="FB128" s="1513"/>
      <c r="FC128" s="1513"/>
      <c r="FD128" s="1513"/>
      <c r="FE128" s="1513"/>
      <c r="FF128" s="1513"/>
      <c r="FG128" s="1513"/>
      <c r="FH128" s="1513"/>
      <c r="FI128" s="1513"/>
      <c r="FJ128" s="1513"/>
      <c r="FL128" s="1513"/>
    </row>
    <row r="129" spans="1:168" ht="17.100000000000001" customHeight="1" x14ac:dyDescent="0.15">
      <c r="A129" s="1513"/>
      <c r="B129" s="1282"/>
      <c r="C129" s="1282"/>
      <c r="D129" s="1282"/>
      <c r="E129" s="1282"/>
      <c r="F129" s="1282"/>
      <c r="G129" s="1282"/>
      <c r="H129" s="1282"/>
      <c r="I129" s="1282"/>
      <c r="J129" s="1282"/>
      <c r="K129" s="1282"/>
      <c r="L129" s="1282"/>
      <c r="M129" s="1282"/>
      <c r="N129" s="1282"/>
      <c r="O129" s="1282"/>
      <c r="P129" s="1282"/>
      <c r="Q129" s="1282"/>
      <c r="R129" s="1282"/>
      <c r="S129" s="1282"/>
      <c r="T129" s="1282"/>
      <c r="U129" s="1282"/>
      <c r="V129" s="1282"/>
      <c r="W129" s="1282"/>
      <c r="X129" s="1282"/>
      <c r="Y129" s="1282"/>
      <c r="Z129" s="1282"/>
      <c r="AA129" s="1282"/>
      <c r="AB129" s="1282"/>
      <c r="AC129" s="1282"/>
      <c r="AD129" s="1282"/>
      <c r="AE129" s="1282"/>
      <c r="AF129" s="1282"/>
      <c r="AG129" s="1282"/>
      <c r="AH129" s="1282"/>
      <c r="AI129" s="1282"/>
      <c r="AJ129" s="1282"/>
      <c r="AK129" s="1282"/>
      <c r="AL129" s="1282"/>
      <c r="AM129" s="1282"/>
      <c r="AN129" s="1282"/>
      <c r="AO129" s="1282"/>
      <c r="AP129" s="1282"/>
      <c r="AQ129" s="1282"/>
      <c r="AR129" s="1282"/>
      <c r="AS129" s="1282"/>
      <c r="AT129" s="1282"/>
      <c r="AU129" s="1282"/>
      <c r="AV129" s="1282"/>
      <c r="AW129" s="1282"/>
      <c r="AX129" s="1282"/>
      <c r="AY129" s="1282"/>
      <c r="AZ129" s="1282"/>
      <c r="BA129" s="1282"/>
      <c r="BB129" s="1282"/>
      <c r="BC129" s="1282"/>
      <c r="BD129" s="1282"/>
      <c r="BE129" s="1282"/>
      <c r="BF129" s="1282"/>
      <c r="BG129" s="1282"/>
      <c r="BH129" s="1282"/>
      <c r="BI129" s="1282"/>
      <c r="BJ129" s="1282"/>
      <c r="BK129" s="1282"/>
      <c r="BL129" s="1282"/>
      <c r="BM129" s="1282"/>
      <c r="BN129" s="1282"/>
      <c r="BO129" s="1282"/>
      <c r="BP129" s="1282"/>
      <c r="BQ129" s="1282"/>
      <c r="BR129" s="1282"/>
      <c r="BS129" s="1282"/>
      <c r="BT129" s="1282"/>
      <c r="BU129" s="1282"/>
      <c r="BV129" s="1282"/>
      <c r="BW129" s="1282"/>
      <c r="BX129" s="1282"/>
      <c r="BY129" s="1282"/>
      <c r="BZ129" s="1282"/>
      <c r="CA129" s="1513"/>
      <c r="CK129" s="1513"/>
      <c r="CL129" s="1513"/>
      <c r="CM129" s="1513"/>
      <c r="CN129" s="1513"/>
      <c r="CO129" s="1513"/>
      <c r="CP129" s="1513"/>
      <c r="CQ129" s="1513"/>
      <c r="CR129" s="1513"/>
      <c r="CS129" s="1513"/>
      <c r="CT129" s="1513"/>
      <c r="CU129" s="1513"/>
      <c r="CV129" s="1513"/>
      <c r="CW129" s="1513"/>
      <c r="CX129" s="1513"/>
      <c r="CY129" s="1513"/>
      <c r="CZ129" s="1513"/>
      <c r="DA129" s="1513"/>
      <c r="DB129" s="1513"/>
      <c r="DC129" s="1513"/>
      <c r="DD129" s="1513"/>
      <c r="DE129" s="1513"/>
      <c r="DF129" s="1513"/>
      <c r="DG129" s="1513"/>
      <c r="DH129" s="1513"/>
      <c r="DI129" s="1513"/>
      <c r="DJ129" s="1513"/>
      <c r="DK129" s="1513"/>
      <c r="DL129" s="1513"/>
      <c r="DM129" s="1513"/>
      <c r="DN129" s="1513"/>
      <c r="DO129" s="1513"/>
      <c r="DP129" s="1513"/>
      <c r="DQ129" s="1513"/>
      <c r="DR129" s="1513"/>
      <c r="DS129" s="1513"/>
      <c r="DT129" s="1513"/>
      <c r="DU129" s="1513"/>
      <c r="DV129" s="1513"/>
      <c r="DW129" s="1513"/>
      <c r="DX129" s="1513"/>
      <c r="DY129" s="1513"/>
      <c r="DZ129" s="1513"/>
      <c r="EA129" s="1513"/>
      <c r="EB129" s="1513"/>
      <c r="EC129" s="1513"/>
      <c r="ED129" s="1513"/>
      <c r="EE129" s="1513"/>
      <c r="EF129" s="1513"/>
      <c r="EG129" s="1513"/>
      <c r="EH129" s="1513"/>
      <c r="EI129" s="1513"/>
      <c r="EJ129" s="1513"/>
      <c r="EK129" s="1513"/>
      <c r="EL129" s="1513"/>
      <c r="EM129" s="1513"/>
      <c r="EN129" s="1513"/>
      <c r="EO129" s="1513"/>
      <c r="EP129" s="1513"/>
      <c r="EQ129" s="1513"/>
      <c r="ER129" s="1513"/>
      <c r="ES129" s="1513"/>
      <c r="ET129" s="1513"/>
      <c r="EU129" s="1513"/>
      <c r="EV129" s="1513"/>
      <c r="EW129" s="1513"/>
      <c r="EX129" s="1513"/>
      <c r="EY129" s="1513"/>
      <c r="EZ129" s="1513"/>
      <c r="FA129" s="1513"/>
      <c r="FB129" s="1513"/>
      <c r="FC129" s="1513"/>
      <c r="FD129" s="1513"/>
      <c r="FE129" s="1513"/>
      <c r="FF129" s="1513"/>
      <c r="FG129" s="1513"/>
      <c r="FH129" s="1513"/>
      <c r="FI129" s="1513"/>
      <c r="FJ129" s="1513"/>
      <c r="FL129" s="1513"/>
    </row>
    <row r="130" spans="1:168" ht="17.100000000000001" customHeight="1" x14ac:dyDescent="0.15">
      <c r="A130" s="1513"/>
      <c r="B130" s="1282"/>
      <c r="C130" s="1282"/>
      <c r="D130" s="1282"/>
      <c r="E130" s="1282"/>
      <c r="F130" s="1282"/>
      <c r="G130" s="1282"/>
      <c r="H130" s="1282"/>
      <c r="I130" s="1282"/>
      <c r="J130" s="1282"/>
      <c r="K130" s="1282"/>
      <c r="L130" s="1282"/>
      <c r="M130" s="1282"/>
      <c r="N130" s="1282"/>
      <c r="O130" s="1282"/>
      <c r="P130" s="1282"/>
      <c r="Q130" s="1282"/>
      <c r="R130" s="1282"/>
      <c r="S130" s="1282"/>
      <c r="T130" s="1282"/>
      <c r="U130" s="1282"/>
      <c r="V130" s="1282"/>
      <c r="W130" s="1282"/>
      <c r="X130" s="1282"/>
      <c r="Y130" s="1282"/>
      <c r="Z130" s="1282"/>
      <c r="AA130" s="1282"/>
      <c r="AB130" s="1282"/>
      <c r="AC130" s="1282"/>
      <c r="AD130" s="1282"/>
      <c r="AE130" s="1282"/>
      <c r="AF130" s="1282"/>
      <c r="AG130" s="1282"/>
      <c r="AH130" s="1282"/>
      <c r="AI130" s="1282"/>
      <c r="AJ130" s="1282"/>
      <c r="AK130" s="1282"/>
      <c r="AL130" s="1282"/>
      <c r="AM130" s="1282"/>
      <c r="AN130" s="1282"/>
      <c r="AO130" s="1282"/>
      <c r="AP130" s="1282"/>
      <c r="AQ130" s="1282"/>
      <c r="AR130" s="1282"/>
      <c r="AS130" s="1282"/>
      <c r="AT130" s="1282"/>
      <c r="AU130" s="1282"/>
      <c r="AV130" s="1282"/>
      <c r="AW130" s="1282"/>
      <c r="AX130" s="1282"/>
      <c r="AY130" s="1282"/>
      <c r="AZ130" s="1282"/>
      <c r="BA130" s="1282"/>
      <c r="BB130" s="1282"/>
      <c r="BC130" s="1282"/>
      <c r="BD130" s="1282"/>
      <c r="BE130" s="1282"/>
      <c r="BF130" s="1282"/>
      <c r="BG130" s="1282"/>
      <c r="BH130" s="1282"/>
      <c r="BI130" s="1282"/>
      <c r="BJ130" s="1282"/>
      <c r="BK130" s="1282"/>
      <c r="BL130" s="1282"/>
      <c r="BM130" s="1282"/>
      <c r="BN130" s="1282"/>
      <c r="BO130" s="1282"/>
      <c r="BP130" s="1282"/>
      <c r="BQ130" s="1282"/>
      <c r="BR130" s="1282"/>
      <c r="BS130" s="1282"/>
      <c r="BT130" s="1282"/>
      <c r="BU130" s="1282"/>
      <c r="BV130" s="1282"/>
      <c r="BW130" s="1282"/>
      <c r="BX130" s="1282"/>
      <c r="BY130" s="1282"/>
      <c r="BZ130" s="1282"/>
      <c r="CA130" s="1513"/>
      <c r="CK130" s="1513"/>
      <c r="CL130" s="1513"/>
      <c r="CM130" s="1513"/>
      <c r="CN130" s="1513"/>
      <c r="CO130" s="1513"/>
      <c r="CP130" s="1513"/>
      <c r="CQ130" s="1513"/>
      <c r="CR130" s="1513"/>
      <c r="CS130" s="1513"/>
      <c r="CT130" s="1513"/>
      <c r="CU130" s="1513"/>
      <c r="CV130" s="1513"/>
      <c r="CW130" s="1513"/>
      <c r="CX130" s="1513"/>
      <c r="CY130" s="1513"/>
      <c r="CZ130" s="1513"/>
      <c r="DA130" s="1513"/>
      <c r="DB130" s="1513"/>
      <c r="DC130" s="1513"/>
      <c r="DD130" s="1513"/>
      <c r="DE130" s="1513"/>
      <c r="DF130" s="1513"/>
      <c r="DG130" s="1513"/>
      <c r="DH130" s="1513"/>
      <c r="DI130" s="1513"/>
      <c r="DJ130" s="1513"/>
      <c r="DK130" s="1513"/>
      <c r="DL130" s="1513"/>
      <c r="DM130" s="1513"/>
      <c r="DN130" s="1513"/>
      <c r="DO130" s="1513"/>
      <c r="DP130" s="1513"/>
      <c r="DQ130" s="1513"/>
      <c r="DR130" s="1513"/>
      <c r="DS130" s="1513"/>
      <c r="DT130" s="1513"/>
      <c r="DU130" s="1513"/>
      <c r="DV130" s="1513"/>
      <c r="DW130" s="1513"/>
      <c r="DX130" s="1513"/>
      <c r="DY130" s="1513"/>
      <c r="DZ130" s="1513"/>
      <c r="EA130" s="1513"/>
      <c r="EB130" s="1513"/>
      <c r="EC130" s="1513"/>
      <c r="ED130" s="1513"/>
      <c r="EE130" s="1513"/>
      <c r="EF130" s="1513"/>
      <c r="EG130" s="1513"/>
      <c r="EH130" s="1513"/>
      <c r="EI130" s="1513"/>
      <c r="EJ130" s="1513"/>
      <c r="EK130" s="1513"/>
      <c r="EL130" s="1513"/>
      <c r="EM130" s="1513"/>
      <c r="EN130" s="1513"/>
      <c r="EO130" s="1513"/>
      <c r="EP130" s="1513"/>
      <c r="EQ130" s="1513"/>
      <c r="ER130" s="1513"/>
      <c r="ES130" s="1513"/>
      <c r="ET130" s="1513"/>
      <c r="EU130" s="1513"/>
      <c r="EV130" s="1513"/>
      <c r="EW130" s="1513"/>
      <c r="EX130" s="1513"/>
      <c r="EY130" s="1513"/>
      <c r="EZ130" s="1513"/>
      <c r="FA130" s="1513"/>
      <c r="FB130" s="1513"/>
      <c r="FC130" s="1513"/>
      <c r="FD130" s="1513"/>
      <c r="FE130" s="1513"/>
      <c r="FF130" s="1513"/>
      <c r="FG130" s="1513"/>
      <c r="FH130" s="1513"/>
      <c r="FI130" s="1513"/>
      <c r="FJ130" s="1513"/>
      <c r="FL130" s="1513"/>
    </row>
    <row r="131" spans="1:168" ht="17.100000000000001" customHeight="1" x14ac:dyDescent="0.15">
      <c r="A131" s="1513"/>
      <c r="B131" s="1282"/>
      <c r="C131" s="1282"/>
      <c r="D131" s="1282"/>
      <c r="E131" s="1282"/>
      <c r="F131" s="1282"/>
      <c r="G131" s="1282"/>
      <c r="H131" s="1282"/>
      <c r="I131" s="1282"/>
      <c r="J131" s="1282"/>
      <c r="K131" s="1282"/>
      <c r="L131" s="1282"/>
      <c r="M131" s="1282"/>
      <c r="N131" s="1282"/>
      <c r="O131" s="1282"/>
      <c r="P131" s="1282"/>
      <c r="Q131" s="1282"/>
      <c r="R131" s="1282"/>
      <c r="S131" s="1282"/>
      <c r="T131" s="1282"/>
      <c r="U131" s="1282"/>
      <c r="V131" s="1282"/>
      <c r="W131" s="1282"/>
      <c r="X131" s="1282"/>
      <c r="Y131" s="1282"/>
      <c r="Z131" s="1282"/>
      <c r="AA131" s="1282"/>
      <c r="AB131" s="1282"/>
      <c r="AC131" s="1282"/>
      <c r="AD131" s="1282"/>
      <c r="AE131" s="1282"/>
      <c r="AF131" s="1282"/>
      <c r="AG131" s="1282"/>
      <c r="AH131" s="1282"/>
      <c r="AI131" s="1282"/>
      <c r="AJ131" s="1282"/>
      <c r="AK131" s="1282"/>
      <c r="AL131" s="1282"/>
      <c r="AM131" s="1282"/>
      <c r="AN131" s="1282"/>
      <c r="AO131" s="1282"/>
      <c r="AP131" s="1282"/>
      <c r="AQ131" s="1282"/>
      <c r="AR131" s="1282"/>
      <c r="AS131" s="1282"/>
      <c r="AT131" s="1282"/>
      <c r="AU131" s="1282"/>
      <c r="AV131" s="1282"/>
      <c r="AW131" s="1282"/>
      <c r="AX131" s="1282"/>
      <c r="AY131" s="1282"/>
      <c r="AZ131" s="1282"/>
      <c r="BA131" s="1282"/>
      <c r="BB131" s="1282"/>
      <c r="BC131" s="1282"/>
      <c r="BD131" s="1282"/>
      <c r="BE131" s="1282"/>
      <c r="BF131" s="1282"/>
      <c r="BG131" s="1282"/>
      <c r="BH131" s="1282"/>
      <c r="BI131" s="1282"/>
      <c r="BJ131" s="1282"/>
      <c r="BK131" s="1282"/>
      <c r="BL131" s="1282"/>
      <c r="BM131" s="1282"/>
      <c r="BN131" s="1282"/>
      <c r="BO131" s="1282"/>
      <c r="BP131" s="1282"/>
      <c r="BQ131" s="1282"/>
      <c r="BR131" s="1282"/>
      <c r="BS131" s="1282"/>
      <c r="BT131" s="1282"/>
      <c r="BU131" s="1282"/>
      <c r="BV131" s="1282"/>
      <c r="BW131" s="1282"/>
      <c r="BX131" s="1282"/>
      <c r="BY131" s="1282"/>
      <c r="BZ131" s="1282"/>
      <c r="CA131" s="1513"/>
      <c r="CK131" s="1513"/>
      <c r="CL131" s="1513"/>
      <c r="CM131" s="1513"/>
      <c r="CN131" s="1513"/>
      <c r="CO131" s="1513"/>
      <c r="CP131" s="1513"/>
      <c r="CQ131" s="1513"/>
      <c r="CR131" s="1513"/>
      <c r="CS131" s="1513"/>
      <c r="CT131" s="1513"/>
      <c r="CU131" s="1513"/>
      <c r="CV131" s="1513"/>
      <c r="CW131" s="1513"/>
      <c r="CX131" s="1513"/>
      <c r="CY131" s="1513"/>
      <c r="CZ131" s="1513"/>
      <c r="DA131" s="1513"/>
      <c r="DB131" s="1513"/>
      <c r="DC131" s="1513"/>
      <c r="DD131" s="1513"/>
      <c r="DE131" s="1513"/>
      <c r="DF131" s="1513"/>
      <c r="DG131" s="1513"/>
      <c r="DH131" s="1513"/>
      <c r="DI131" s="1513"/>
      <c r="DJ131" s="1513"/>
      <c r="DK131" s="1513"/>
      <c r="DL131" s="1513"/>
      <c r="DM131" s="1513"/>
      <c r="DN131" s="1513"/>
      <c r="DO131" s="1513"/>
      <c r="DP131" s="1513"/>
      <c r="DQ131" s="1513"/>
      <c r="DR131" s="1513"/>
      <c r="DS131" s="1513"/>
      <c r="DT131" s="1513"/>
      <c r="DU131" s="1513"/>
      <c r="DV131" s="1513"/>
      <c r="DW131" s="1513"/>
      <c r="DX131" s="1513"/>
      <c r="DY131" s="1513"/>
      <c r="DZ131" s="1513"/>
      <c r="EA131" s="1513"/>
      <c r="EB131" s="1513"/>
      <c r="EC131" s="1513"/>
      <c r="ED131" s="1513"/>
      <c r="EE131" s="1513"/>
      <c r="EF131" s="1513"/>
      <c r="EG131" s="1513"/>
      <c r="EH131" s="1513"/>
      <c r="EI131" s="1513"/>
      <c r="EJ131" s="1513"/>
      <c r="EK131" s="1513"/>
      <c r="EL131" s="1513"/>
      <c r="EM131" s="1513"/>
      <c r="EN131" s="1513"/>
      <c r="EO131" s="1513"/>
      <c r="EP131" s="1513"/>
      <c r="EQ131" s="1513"/>
      <c r="ER131" s="1513"/>
      <c r="ES131" s="1513"/>
      <c r="ET131" s="1513"/>
      <c r="EU131" s="1513"/>
      <c r="EV131" s="1513"/>
      <c r="EW131" s="1513"/>
      <c r="EX131" s="1513"/>
      <c r="EY131" s="1513"/>
      <c r="EZ131" s="1513"/>
      <c r="FA131" s="1513"/>
      <c r="FB131" s="1513"/>
      <c r="FC131" s="1513"/>
      <c r="FD131" s="1513"/>
      <c r="FE131" s="1513"/>
      <c r="FF131" s="1513"/>
      <c r="FG131" s="1513"/>
      <c r="FH131" s="1513"/>
      <c r="FI131" s="1513"/>
      <c r="FJ131" s="1513"/>
      <c r="FL131" s="1513"/>
    </row>
    <row r="132" spans="1:168" ht="17.100000000000001" customHeight="1" x14ac:dyDescent="0.15">
      <c r="A132" s="1513"/>
      <c r="B132" s="1282"/>
      <c r="C132" s="1282"/>
      <c r="D132" s="1282"/>
      <c r="E132" s="1282"/>
      <c r="F132" s="1282"/>
      <c r="G132" s="1282"/>
      <c r="H132" s="1282"/>
      <c r="I132" s="1282"/>
      <c r="J132" s="1282"/>
      <c r="K132" s="1282"/>
      <c r="L132" s="1282"/>
      <c r="M132" s="1282"/>
      <c r="N132" s="1282"/>
      <c r="O132" s="1282"/>
      <c r="P132" s="1282"/>
      <c r="Q132" s="1282"/>
      <c r="R132" s="1282"/>
      <c r="S132" s="1282"/>
      <c r="T132" s="1282"/>
      <c r="U132" s="1282"/>
      <c r="V132" s="1282"/>
      <c r="W132" s="1282"/>
      <c r="X132" s="1282"/>
      <c r="Y132" s="1282"/>
      <c r="Z132" s="1282"/>
      <c r="AA132" s="1282"/>
      <c r="AB132" s="1282"/>
      <c r="AC132" s="1282"/>
      <c r="AD132" s="1282"/>
      <c r="AE132" s="1282"/>
      <c r="AF132" s="1282"/>
      <c r="AG132" s="1282"/>
      <c r="AH132" s="1282"/>
      <c r="AI132" s="1282"/>
      <c r="AJ132" s="1282"/>
      <c r="AK132" s="1282"/>
      <c r="AL132" s="1282"/>
      <c r="AM132" s="1282"/>
      <c r="AN132" s="1282"/>
      <c r="AO132" s="1282"/>
      <c r="AP132" s="1282"/>
      <c r="AQ132" s="1282"/>
      <c r="AR132" s="1282"/>
      <c r="AS132" s="1282"/>
      <c r="AT132" s="1282"/>
      <c r="AU132" s="1282"/>
      <c r="AV132" s="1282"/>
      <c r="AW132" s="1282"/>
      <c r="AX132" s="1282"/>
      <c r="AY132" s="1282"/>
      <c r="AZ132" s="1282"/>
      <c r="BA132" s="1282"/>
      <c r="BB132" s="1282"/>
      <c r="BC132" s="1282"/>
      <c r="BD132" s="1282"/>
      <c r="BE132" s="1282"/>
      <c r="BF132" s="1282"/>
      <c r="BG132" s="1282"/>
      <c r="BH132" s="1282"/>
      <c r="BI132" s="1282"/>
      <c r="BJ132" s="1282"/>
      <c r="BK132" s="1282"/>
      <c r="BL132" s="1282"/>
      <c r="BM132" s="1282"/>
      <c r="BN132" s="1282"/>
      <c r="BO132" s="1282"/>
      <c r="BP132" s="1282"/>
      <c r="BQ132" s="1282"/>
      <c r="BR132" s="1282"/>
      <c r="BS132" s="1282"/>
      <c r="BT132" s="1282"/>
      <c r="BU132" s="1282"/>
      <c r="BV132" s="1282"/>
      <c r="BW132" s="1282"/>
      <c r="BX132" s="1282"/>
      <c r="BY132" s="1282"/>
      <c r="BZ132" s="1282"/>
      <c r="CA132" s="1513"/>
      <c r="CK132" s="1513"/>
      <c r="CL132" s="1513"/>
      <c r="CM132" s="1513"/>
      <c r="CN132" s="1513"/>
      <c r="CO132" s="1513"/>
      <c r="CP132" s="1513"/>
      <c r="CQ132" s="1513"/>
      <c r="CR132" s="1513"/>
      <c r="CS132" s="1513"/>
      <c r="CT132" s="1513"/>
      <c r="CU132" s="1513"/>
      <c r="CV132" s="1513"/>
      <c r="CW132" s="1513"/>
      <c r="CX132" s="1513"/>
      <c r="CY132" s="1513"/>
      <c r="CZ132" s="1513"/>
      <c r="DA132" s="1513"/>
      <c r="DB132" s="1513"/>
      <c r="DC132" s="1513"/>
      <c r="DD132" s="1513"/>
      <c r="DE132" s="1513"/>
      <c r="DF132" s="1513"/>
      <c r="DG132" s="1513"/>
      <c r="DH132" s="1513"/>
      <c r="DI132" s="1513"/>
      <c r="DJ132" s="1513"/>
      <c r="DK132" s="1513"/>
      <c r="DL132" s="1513"/>
      <c r="DM132" s="1513"/>
      <c r="DN132" s="1513"/>
      <c r="DO132" s="1513"/>
      <c r="DP132" s="1513"/>
      <c r="DQ132" s="1513"/>
      <c r="DR132" s="1513"/>
      <c r="DS132" s="1513"/>
      <c r="DT132" s="1513"/>
      <c r="DU132" s="1513"/>
      <c r="DV132" s="1513"/>
      <c r="DW132" s="1513"/>
      <c r="DX132" s="1513"/>
      <c r="DY132" s="1513"/>
      <c r="DZ132" s="1513"/>
      <c r="EA132" s="1513"/>
      <c r="EB132" s="1513"/>
      <c r="EC132" s="1513"/>
      <c r="ED132" s="1513"/>
      <c r="EE132" s="1513"/>
      <c r="EF132" s="1513"/>
      <c r="EG132" s="1513"/>
      <c r="EH132" s="1513"/>
      <c r="EI132" s="1513"/>
      <c r="EJ132" s="1513"/>
      <c r="EK132" s="1513"/>
      <c r="EL132" s="1513"/>
      <c r="EM132" s="1513"/>
      <c r="EN132" s="1513"/>
      <c r="EO132" s="1513"/>
      <c r="EP132" s="1513"/>
      <c r="EQ132" s="1513"/>
      <c r="ER132" s="1513"/>
      <c r="ES132" s="1513"/>
      <c r="ET132" s="1513"/>
      <c r="EU132" s="1513"/>
      <c r="EV132" s="1513"/>
      <c r="EW132" s="1513"/>
      <c r="EX132" s="1513"/>
      <c r="EY132" s="1513"/>
      <c r="EZ132" s="1513"/>
      <c r="FA132" s="1513"/>
      <c r="FB132" s="1513"/>
      <c r="FC132" s="1513"/>
      <c r="FD132" s="1513"/>
      <c r="FE132" s="1513"/>
      <c r="FF132" s="1513"/>
      <c r="FG132" s="1513"/>
      <c r="FH132" s="1513"/>
      <c r="FI132" s="1513"/>
      <c r="FJ132" s="1513"/>
      <c r="FL132" s="1513"/>
    </row>
    <row r="133" spans="1:168" ht="17.100000000000001" customHeight="1" x14ac:dyDescent="0.15">
      <c r="A133" s="1513"/>
      <c r="B133" s="1282"/>
      <c r="C133" s="1282"/>
      <c r="D133" s="1282"/>
      <c r="E133" s="1282"/>
      <c r="F133" s="1282"/>
      <c r="G133" s="1282"/>
      <c r="H133" s="1282"/>
      <c r="I133" s="1282"/>
      <c r="J133" s="1282"/>
      <c r="K133" s="1282"/>
      <c r="L133" s="1282"/>
      <c r="M133" s="1282"/>
      <c r="N133" s="1282"/>
      <c r="O133" s="1282"/>
      <c r="P133" s="1282"/>
      <c r="Q133" s="1282"/>
      <c r="R133" s="1282"/>
      <c r="S133" s="1282"/>
      <c r="T133" s="1282"/>
      <c r="U133" s="1282"/>
      <c r="V133" s="1282"/>
      <c r="W133" s="1282"/>
      <c r="X133" s="1282"/>
      <c r="Y133" s="1282"/>
      <c r="Z133" s="1282"/>
      <c r="AA133" s="1282"/>
      <c r="AB133" s="1282"/>
      <c r="AC133" s="1282"/>
      <c r="AD133" s="1282"/>
      <c r="AE133" s="1282"/>
      <c r="AF133" s="1282"/>
      <c r="AG133" s="1282"/>
      <c r="AH133" s="1282"/>
      <c r="AI133" s="1282"/>
      <c r="AJ133" s="1282"/>
      <c r="AK133" s="1282"/>
      <c r="AL133" s="1282"/>
      <c r="AM133" s="1282"/>
      <c r="AN133" s="1282"/>
      <c r="AO133" s="1282"/>
      <c r="AP133" s="1282"/>
      <c r="AQ133" s="1282"/>
      <c r="AR133" s="1282"/>
      <c r="AS133" s="1282"/>
      <c r="AT133" s="1282"/>
      <c r="AU133" s="1282"/>
      <c r="AV133" s="1282"/>
      <c r="AW133" s="1282"/>
      <c r="AX133" s="1282"/>
      <c r="AY133" s="1282"/>
      <c r="AZ133" s="1282"/>
      <c r="BA133" s="1282"/>
      <c r="BB133" s="1282"/>
      <c r="BC133" s="1282"/>
      <c r="BD133" s="1282"/>
      <c r="BE133" s="1282"/>
      <c r="BF133" s="1282"/>
      <c r="BG133" s="1282"/>
      <c r="BH133" s="1282"/>
      <c r="BI133" s="1282"/>
      <c r="BJ133" s="1282"/>
      <c r="BK133" s="1282"/>
      <c r="BL133" s="1282"/>
      <c r="BM133" s="1282"/>
      <c r="BN133" s="1282"/>
      <c r="BO133" s="1282"/>
      <c r="BP133" s="1282"/>
      <c r="BQ133" s="1282"/>
      <c r="BR133" s="1282"/>
      <c r="BS133" s="1282"/>
      <c r="BT133" s="1282"/>
      <c r="BU133" s="1282"/>
      <c r="BV133" s="1282"/>
      <c r="BW133" s="1282"/>
      <c r="BX133" s="1282"/>
      <c r="BY133" s="1282"/>
      <c r="BZ133" s="1282"/>
      <c r="CA133" s="1513"/>
      <c r="CK133" s="1513"/>
      <c r="CL133" s="1513"/>
      <c r="CM133" s="1513"/>
      <c r="CN133" s="1513"/>
      <c r="CO133" s="1513"/>
      <c r="CP133" s="1513"/>
      <c r="CQ133" s="1513"/>
      <c r="CR133" s="1513"/>
      <c r="CS133" s="1513"/>
      <c r="CT133" s="1513"/>
      <c r="CU133" s="1513"/>
      <c r="CV133" s="1513"/>
      <c r="CW133" s="1513"/>
      <c r="CX133" s="1513"/>
      <c r="CY133" s="1513"/>
      <c r="CZ133" s="1513"/>
      <c r="DA133" s="1513"/>
      <c r="DB133" s="1513"/>
      <c r="DC133" s="1513"/>
      <c r="DD133" s="1513"/>
      <c r="DE133" s="1513"/>
      <c r="DF133" s="1513"/>
      <c r="DG133" s="1513"/>
      <c r="DH133" s="1513"/>
      <c r="DI133" s="1513"/>
      <c r="DJ133" s="1513"/>
      <c r="DK133" s="1513"/>
      <c r="DL133" s="1513"/>
      <c r="DM133" s="1513"/>
      <c r="DN133" s="1513"/>
      <c r="DO133" s="1513"/>
      <c r="DP133" s="1513"/>
      <c r="DQ133" s="1513"/>
      <c r="DR133" s="1513"/>
      <c r="DS133" s="1513"/>
      <c r="DT133" s="1513"/>
      <c r="DU133" s="1513"/>
      <c r="DV133" s="1513"/>
      <c r="DW133" s="1513"/>
      <c r="DX133" s="1513"/>
      <c r="DY133" s="1513"/>
      <c r="DZ133" s="1513"/>
      <c r="EA133" s="1513"/>
      <c r="EB133" s="1513"/>
      <c r="EC133" s="1513"/>
      <c r="ED133" s="1513"/>
      <c r="EE133" s="1513"/>
      <c r="EF133" s="1513"/>
      <c r="EG133" s="1513"/>
      <c r="EH133" s="1513"/>
      <c r="EI133" s="1513"/>
      <c r="EJ133" s="1513"/>
      <c r="EK133" s="1513"/>
      <c r="EL133" s="1513"/>
      <c r="EM133" s="1513"/>
      <c r="EN133" s="1513"/>
      <c r="EO133" s="1513"/>
      <c r="EP133" s="1513"/>
      <c r="EQ133" s="1513"/>
      <c r="ER133" s="1513"/>
      <c r="ES133" s="1513"/>
      <c r="ET133" s="1513"/>
      <c r="EU133" s="1513"/>
      <c r="EV133" s="1513"/>
      <c r="EW133" s="1513"/>
      <c r="EX133" s="1513"/>
      <c r="EY133" s="1513"/>
      <c r="EZ133" s="1513"/>
      <c r="FA133" s="1513"/>
      <c r="FB133" s="1513"/>
      <c r="FC133" s="1513"/>
      <c r="FD133" s="1513"/>
      <c r="FE133" s="1513"/>
      <c r="FF133" s="1513"/>
      <c r="FG133" s="1513"/>
      <c r="FH133" s="1513"/>
      <c r="FI133" s="1513"/>
      <c r="FJ133" s="1513"/>
      <c r="FL133" s="1513"/>
    </row>
    <row r="134" spans="1:168" ht="17.100000000000001" customHeight="1" x14ac:dyDescent="0.15">
      <c r="A134" s="1513"/>
      <c r="B134" s="1282"/>
      <c r="C134" s="1282"/>
      <c r="D134" s="1282"/>
      <c r="E134" s="1282"/>
      <c r="F134" s="1282"/>
      <c r="G134" s="1282"/>
      <c r="H134" s="1282"/>
      <c r="I134" s="1282"/>
      <c r="J134" s="1282"/>
      <c r="K134" s="1282"/>
      <c r="L134" s="1282"/>
      <c r="M134" s="1282"/>
      <c r="N134" s="1282"/>
      <c r="O134" s="1282"/>
      <c r="P134" s="1282"/>
      <c r="Q134" s="1282"/>
      <c r="R134" s="1282"/>
      <c r="S134" s="1282"/>
      <c r="T134" s="1282"/>
      <c r="U134" s="1282"/>
      <c r="V134" s="1282"/>
      <c r="W134" s="1282"/>
      <c r="X134" s="1282"/>
      <c r="Y134" s="1282"/>
      <c r="Z134" s="1282"/>
      <c r="AA134" s="1282"/>
      <c r="AB134" s="1282"/>
      <c r="AC134" s="1282"/>
      <c r="AD134" s="1282"/>
      <c r="AE134" s="1282"/>
      <c r="AF134" s="1282"/>
      <c r="AG134" s="1282"/>
      <c r="AH134" s="1282"/>
      <c r="AI134" s="1282"/>
      <c r="AJ134" s="1282"/>
      <c r="AK134" s="1282"/>
      <c r="AL134" s="1282"/>
      <c r="AM134" s="1282"/>
      <c r="AN134" s="1282"/>
      <c r="AO134" s="1282"/>
      <c r="AP134" s="1282"/>
      <c r="AQ134" s="1282"/>
      <c r="AR134" s="1282"/>
      <c r="AS134" s="1282"/>
      <c r="AT134" s="1282"/>
      <c r="AU134" s="1282"/>
      <c r="AV134" s="1282"/>
      <c r="AW134" s="1282"/>
      <c r="AX134" s="1282"/>
      <c r="AY134" s="1282"/>
      <c r="AZ134" s="1282"/>
      <c r="BA134" s="1282"/>
      <c r="BB134" s="1282"/>
      <c r="BC134" s="1282"/>
      <c r="BD134" s="1282"/>
      <c r="BE134" s="1282"/>
      <c r="BF134" s="1282"/>
      <c r="BG134" s="1282"/>
      <c r="BH134" s="1282"/>
      <c r="BI134" s="1282"/>
      <c r="BJ134" s="1282"/>
      <c r="BK134" s="1282"/>
      <c r="BL134" s="1282"/>
      <c r="BM134" s="1282"/>
      <c r="BN134" s="1282"/>
      <c r="BO134" s="1282"/>
      <c r="BP134" s="1282"/>
      <c r="BQ134" s="1282"/>
      <c r="BR134" s="1282"/>
      <c r="BS134" s="1282"/>
      <c r="BT134" s="1282"/>
      <c r="BU134" s="1282"/>
      <c r="BV134" s="1282"/>
      <c r="BW134" s="1282"/>
      <c r="BX134" s="1282"/>
      <c r="BY134" s="1282"/>
      <c r="BZ134" s="1282"/>
      <c r="CA134" s="1513"/>
      <c r="CK134" s="1513"/>
      <c r="CL134" s="1513"/>
      <c r="CM134" s="1513"/>
      <c r="CN134" s="1513"/>
      <c r="CO134" s="1513"/>
      <c r="CP134" s="1513"/>
      <c r="CQ134" s="1513"/>
      <c r="CR134" s="1513"/>
      <c r="CS134" s="1513"/>
      <c r="CT134" s="1513"/>
      <c r="CU134" s="1513"/>
      <c r="CV134" s="1513"/>
      <c r="CW134" s="1513"/>
      <c r="CX134" s="1513"/>
      <c r="CY134" s="1513"/>
      <c r="CZ134" s="1513"/>
      <c r="DA134" s="1513"/>
      <c r="DB134" s="1513"/>
      <c r="DC134" s="1513"/>
      <c r="DD134" s="1513"/>
      <c r="DE134" s="1513"/>
      <c r="DF134" s="1513"/>
      <c r="DG134" s="1513"/>
      <c r="DH134" s="1513"/>
      <c r="DI134" s="1513"/>
      <c r="DJ134" s="1513"/>
      <c r="DK134" s="1513"/>
      <c r="DL134" s="1513"/>
      <c r="DM134" s="1513"/>
      <c r="DN134" s="1513"/>
      <c r="DO134" s="1513"/>
      <c r="DP134" s="1513"/>
      <c r="DQ134" s="1513"/>
      <c r="DR134" s="1513"/>
      <c r="DS134" s="1513"/>
      <c r="DT134" s="1513"/>
      <c r="DU134" s="1513"/>
      <c r="DV134" s="1513"/>
      <c r="DW134" s="1513"/>
      <c r="DX134" s="1513"/>
      <c r="DY134" s="1513"/>
      <c r="DZ134" s="1513"/>
      <c r="EA134" s="1513"/>
      <c r="EB134" s="1513"/>
      <c r="EC134" s="1513"/>
      <c r="ED134" s="1513"/>
      <c r="EE134" s="1513"/>
      <c r="EF134" s="1513"/>
      <c r="EG134" s="1513"/>
      <c r="EH134" s="1513"/>
      <c r="EI134" s="1513"/>
      <c r="EJ134" s="1513"/>
      <c r="EK134" s="1513"/>
      <c r="EL134" s="1513"/>
      <c r="EM134" s="1513"/>
      <c r="EN134" s="1513"/>
      <c r="EO134" s="1513"/>
      <c r="EP134" s="1513"/>
      <c r="EQ134" s="1513"/>
      <c r="ER134" s="1513"/>
      <c r="ES134" s="1513"/>
      <c r="ET134" s="1513"/>
      <c r="EU134" s="1513"/>
      <c r="EV134" s="1513"/>
      <c r="EW134" s="1513"/>
      <c r="EX134" s="1513"/>
      <c r="EY134" s="1513"/>
      <c r="EZ134" s="1513"/>
      <c r="FA134" s="1513"/>
      <c r="FB134" s="1513"/>
      <c r="FC134" s="1513"/>
      <c r="FD134" s="1513"/>
      <c r="FE134" s="1513"/>
      <c r="FF134" s="1513"/>
      <c r="FG134" s="1513"/>
      <c r="FH134" s="1513"/>
      <c r="FI134" s="1513"/>
      <c r="FJ134" s="1513"/>
      <c r="FL134" s="1513"/>
    </row>
    <row r="135" spans="1:168" ht="17.100000000000001" customHeight="1" x14ac:dyDescent="0.15">
      <c r="A135" s="1513"/>
      <c r="B135" s="1282"/>
      <c r="C135" s="1282"/>
      <c r="D135" s="1282"/>
      <c r="E135" s="1282"/>
      <c r="F135" s="1282"/>
      <c r="G135" s="1282"/>
      <c r="H135" s="1282"/>
      <c r="I135" s="1282"/>
      <c r="J135" s="1282"/>
      <c r="K135" s="1282"/>
      <c r="L135" s="1282"/>
      <c r="M135" s="1282"/>
      <c r="N135" s="1282"/>
      <c r="O135" s="1282"/>
      <c r="P135" s="1282"/>
      <c r="Q135" s="1282"/>
      <c r="R135" s="1282"/>
      <c r="S135" s="1282"/>
      <c r="T135" s="1282"/>
      <c r="U135" s="1282"/>
      <c r="V135" s="1282"/>
      <c r="W135" s="1282"/>
      <c r="X135" s="1282"/>
      <c r="Y135" s="1282"/>
      <c r="Z135" s="1282"/>
      <c r="AA135" s="1282"/>
      <c r="AB135" s="1282"/>
      <c r="AC135" s="1282"/>
      <c r="AD135" s="1282"/>
      <c r="AE135" s="1282"/>
      <c r="AF135" s="1282"/>
      <c r="AG135" s="1282"/>
      <c r="AH135" s="1282"/>
      <c r="AI135" s="1282"/>
      <c r="AJ135" s="1282"/>
      <c r="AK135" s="1282"/>
      <c r="AL135" s="1282"/>
      <c r="AM135" s="1282"/>
      <c r="AN135" s="1282"/>
      <c r="AO135" s="1282"/>
      <c r="AP135" s="1282"/>
      <c r="AQ135" s="1282"/>
      <c r="AR135" s="1282"/>
      <c r="AS135" s="1282"/>
      <c r="AT135" s="1282"/>
      <c r="AU135" s="1282"/>
      <c r="AV135" s="1282"/>
      <c r="AW135" s="1282"/>
      <c r="AX135" s="1282"/>
      <c r="AY135" s="1282"/>
      <c r="AZ135" s="1282"/>
      <c r="BA135" s="1282"/>
      <c r="BB135" s="1282"/>
      <c r="BC135" s="1282"/>
      <c r="BD135" s="1282"/>
      <c r="BE135" s="1282"/>
      <c r="BF135" s="1282"/>
      <c r="BG135" s="1282"/>
      <c r="BH135" s="1282"/>
      <c r="BI135" s="1282"/>
      <c r="BJ135" s="1282"/>
      <c r="BK135" s="1282"/>
      <c r="BL135" s="1282"/>
      <c r="BM135" s="1282"/>
      <c r="BN135" s="1282"/>
      <c r="BO135" s="1282"/>
      <c r="BP135" s="1282"/>
      <c r="BQ135" s="1282"/>
      <c r="BR135" s="1282"/>
      <c r="BS135" s="1282"/>
      <c r="BT135" s="1282"/>
      <c r="BU135" s="1282"/>
      <c r="BV135" s="1282"/>
      <c r="BW135" s="1282"/>
      <c r="BX135" s="1282"/>
      <c r="BY135" s="1282"/>
      <c r="BZ135" s="1282"/>
      <c r="CA135" s="1513"/>
      <c r="CK135" s="1513"/>
      <c r="CL135" s="1513"/>
      <c r="CM135" s="1513"/>
      <c r="CN135" s="1513"/>
      <c r="CO135" s="1513"/>
      <c r="CP135" s="1513"/>
      <c r="CQ135" s="1513"/>
      <c r="CR135" s="1513"/>
      <c r="CS135" s="1513"/>
      <c r="CT135" s="1513"/>
      <c r="CU135" s="1513"/>
      <c r="CV135" s="1513"/>
      <c r="CW135" s="1513"/>
      <c r="CX135" s="1513"/>
      <c r="CY135" s="1513"/>
      <c r="CZ135" s="1513"/>
      <c r="DA135" s="1513"/>
      <c r="DB135" s="1513"/>
      <c r="DC135" s="1513"/>
      <c r="DD135" s="1513"/>
      <c r="DE135" s="1513"/>
      <c r="DF135" s="1513"/>
      <c r="DG135" s="1513"/>
      <c r="DH135" s="1513"/>
      <c r="DI135" s="1513"/>
      <c r="DJ135" s="1513"/>
      <c r="DK135" s="1513"/>
      <c r="DL135" s="1513"/>
      <c r="DM135" s="1513"/>
      <c r="DN135" s="1513"/>
      <c r="DO135" s="1513"/>
      <c r="DP135" s="1513"/>
      <c r="DQ135" s="1513"/>
      <c r="DR135" s="1513"/>
      <c r="DS135" s="1513"/>
      <c r="DT135" s="1513"/>
      <c r="DU135" s="1513"/>
      <c r="DV135" s="1513"/>
      <c r="DW135" s="1513"/>
      <c r="DX135" s="1513"/>
      <c r="DY135" s="1513"/>
      <c r="DZ135" s="1513"/>
      <c r="EA135" s="1513"/>
      <c r="EB135" s="1513"/>
      <c r="EC135" s="1513"/>
      <c r="ED135" s="1513"/>
      <c r="EE135" s="1513"/>
      <c r="EF135" s="1513"/>
      <c r="EG135" s="1513"/>
      <c r="EH135" s="1513"/>
      <c r="EI135" s="1513"/>
      <c r="EJ135" s="1513"/>
      <c r="EK135" s="1513"/>
      <c r="EL135" s="1513"/>
      <c r="EM135" s="1513"/>
      <c r="EN135" s="1513"/>
      <c r="EO135" s="1513"/>
      <c r="EP135" s="1513"/>
      <c r="EQ135" s="1513"/>
      <c r="ER135" s="1513"/>
      <c r="ES135" s="1513"/>
      <c r="ET135" s="1513"/>
      <c r="EU135" s="1513"/>
      <c r="EV135" s="1513"/>
      <c r="EW135" s="1513"/>
      <c r="EX135" s="1513"/>
      <c r="EY135" s="1513"/>
      <c r="EZ135" s="1513"/>
      <c r="FA135" s="1513"/>
      <c r="FB135" s="1513"/>
      <c r="FC135" s="1513"/>
      <c r="FD135" s="1513"/>
      <c r="FE135" s="1513"/>
      <c r="FF135" s="1513"/>
      <c r="FG135" s="1513"/>
      <c r="FH135" s="1513"/>
      <c r="FI135" s="1513"/>
      <c r="FJ135" s="1513"/>
      <c r="FL135" s="1513"/>
    </row>
    <row r="136" spans="1:168" ht="17.100000000000001" customHeight="1" x14ac:dyDescent="0.15">
      <c r="A136" s="1513"/>
      <c r="B136" s="1282"/>
      <c r="C136" s="1282"/>
      <c r="D136" s="1282"/>
      <c r="E136" s="1282"/>
      <c r="F136" s="1282"/>
      <c r="G136" s="1282"/>
      <c r="H136" s="1282"/>
      <c r="I136" s="1282"/>
      <c r="J136" s="1282"/>
      <c r="K136" s="1282"/>
      <c r="L136" s="1282"/>
      <c r="M136" s="1282"/>
      <c r="N136" s="1282"/>
      <c r="O136" s="1282"/>
      <c r="P136" s="1282"/>
      <c r="Q136" s="1282"/>
      <c r="R136" s="1282"/>
      <c r="S136" s="1282"/>
      <c r="T136" s="1282"/>
      <c r="U136" s="1282"/>
      <c r="V136" s="1282"/>
      <c r="W136" s="1282"/>
      <c r="X136" s="1282"/>
      <c r="Y136" s="1282"/>
      <c r="Z136" s="1282"/>
      <c r="AA136" s="1282"/>
      <c r="AB136" s="1282"/>
      <c r="AC136" s="1282"/>
      <c r="AD136" s="1282"/>
      <c r="AE136" s="1282"/>
      <c r="AF136" s="1282"/>
      <c r="AG136" s="1282"/>
      <c r="AH136" s="1282"/>
      <c r="AI136" s="1282"/>
      <c r="AJ136" s="1282"/>
      <c r="AK136" s="1282"/>
      <c r="AL136" s="1282"/>
      <c r="AM136" s="1282"/>
      <c r="AN136" s="1282"/>
      <c r="AO136" s="1282"/>
      <c r="AP136" s="1282"/>
      <c r="AQ136" s="1282"/>
      <c r="AR136" s="1282"/>
      <c r="AS136" s="1282"/>
      <c r="AT136" s="1282"/>
      <c r="AU136" s="1282"/>
      <c r="AV136" s="1282"/>
      <c r="AW136" s="1282"/>
      <c r="AX136" s="1282"/>
      <c r="AY136" s="1282"/>
      <c r="AZ136" s="1282"/>
      <c r="BA136" s="1282"/>
      <c r="BB136" s="1282"/>
      <c r="BC136" s="1282"/>
      <c r="BD136" s="1282"/>
      <c r="BE136" s="1282"/>
      <c r="BF136" s="1282"/>
      <c r="BG136" s="1282"/>
      <c r="BH136" s="1282"/>
      <c r="BI136" s="1282"/>
      <c r="BJ136" s="1282"/>
      <c r="BK136" s="1282"/>
      <c r="BL136" s="1282"/>
      <c r="BM136" s="1282"/>
      <c r="BN136" s="1282"/>
      <c r="BO136" s="1282"/>
      <c r="BP136" s="1282"/>
      <c r="BQ136" s="1282"/>
      <c r="BR136" s="1282"/>
      <c r="BS136" s="1282"/>
      <c r="BT136" s="1282"/>
      <c r="BU136" s="1282"/>
      <c r="BV136" s="1282"/>
      <c r="BW136" s="1282"/>
      <c r="BX136" s="1282"/>
      <c r="BY136" s="1282"/>
      <c r="BZ136" s="1282"/>
      <c r="CA136" s="1513"/>
      <c r="CK136" s="1513"/>
      <c r="CL136" s="1513"/>
      <c r="CM136" s="1513"/>
      <c r="CN136" s="1513"/>
      <c r="CO136" s="1513"/>
      <c r="CP136" s="1513"/>
      <c r="CQ136" s="1513"/>
      <c r="CR136" s="1513"/>
      <c r="CS136" s="1513"/>
      <c r="CT136" s="1513"/>
      <c r="CU136" s="1513"/>
      <c r="CV136" s="1513"/>
      <c r="CW136" s="1513"/>
      <c r="CX136" s="1513"/>
      <c r="CY136" s="1513"/>
      <c r="CZ136" s="1513"/>
      <c r="DA136" s="1513"/>
      <c r="DB136" s="1513"/>
      <c r="DC136" s="1513"/>
      <c r="DD136" s="1513"/>
      <c r="DE136" s="1513"/>
      <c r="DF136" s="1513"/>
      <c r="DG136" s="1513"/>
      <c r="DH136" s="1513"/>
      <c r="DI136" s="1513"/>
      <c r="DJ136" s="1513"/>
      <c r="DK136" s="1513"/>
      <c r="DL136" s="1513"/>
      <c r="DM136" s="1513"/>
      <c r="DN136" s="1513"/>
      <c r="DO136" s="1513"/>
      <c r="DP136" s="1513"/>
      <c r="DQ136" s="1513"/>
      <c r="DR136" s="1513"/>
      <c r="DS136" s="1513"/>
      <c r="DT136" s="1513"/>
      <c r="DU136" s="1513"/>
      <c r="DV136" s="1513"/>
      <c r="DW136" s="1513"/>
      <c r="DX136" s="1513"/>
      <c r="DY136" s="1513"/>
      <c r="DZ136" s="1513"/>
      <c r="EA136" s="1513"/>
      <c r="EB136" s="1513"/>
      <c r="EC136" s="1513"/>
      <c r="ED136" s="1513"/>
      <c r="EE136" s="1513"/>
      <c r="EF136" s="1513"/>
      <c r="EG136" s="1513"/>
      <c r="EH136" s="1513"/>
      <c r="EI136" s="1513"/>
      <c r="EJ136" s="1513"/>
      <c r="EK136" s="1513"/>
      <c r="EL136" s="1513"/>
      <c r="EM136" s="1513"/>
      <c r="EN136" s="1513"/>
      <c r="EO136" s="1513"/>
      <c r="EP136" s="1513"/>
      <c r="EQ136" s="1513"/>
      <c r="ER136" s="1513"/>
      <c r="ES136" s="1513"/>
      <c r="ET136" s="1513"/>
      <c r="EU136" s="1513"/>
      <c r="EV136" s="1513"/>
      <c r="EW136" s="1513"/>
      <c r="EX136" s="1513"/>
      <c r="EY136" s="1513"/>
      <c r="EZ136" s="1513"/>
      <c r="FA136" s="1513"/>
      <c r="FB136" s="1513"/>
      <c r="FC136" s="1513"/>
      <c r="FD136" s="1513"/>
      <c r="FE136" s="1513"/>
      <c r="FF136" s="1513"/>
      <c r="FG136" s="1513"/>
      <c r="FH136" s="1513"/>
      <c r="FI136" s="1513"/>
      <c r="FJ136" s="1513"/>
      <c r="FL136" s="1513"/>
    </row>
    <row r="137" spans="1:168" ht="17.100000000000001" customHeight="1" x14ac:dyDescent="0.15">
      <c r="A137" s="1513"/>
      <c r="B137" s="1282"/>
      <c r="C137" s="1282"/>
      <c r="D137" s="1282"/>
      <c r="E137" s="1282"/>
      <c r="F137" s="1282"/>
      <c r="G137" s="1282"/>
      <c r="H137" s="1282"/>
      <c r="I137" s="1282"/>
      <c r="J137" s="1282"/>
      <c r="K137" s="1282"/>
      <c r="L137" s="1282"/>
      <c r="M137" s="1282"/>
      <c r="N137" s="1282"/>
      <c r="O137" s="1282"/>
      <c r="P137" s="1282"/>
      <c r="Q137" s="1282"/>
      <c r="R137" s="1282"/>
      <c r="S137" s="1282"/>
      <c r="T137" s="1282"/>
      <c r="U137" s="1282"/>
      <c r="V137" s="1282"/>
      <c r="W137" s="1282"/>
      <c r="X137" s="1282"/>
      <c r="Y137" s="1282"/>
      <c r="Z137" s="1282"/>
      <c r="AA137" s="1282"/>
      <c r="AB137" s="1282"/>
      <c r="AC137" s="1282"/>
      <c r="AD137" s="1282"/>
      <c r="AE137" s="1282"/>
      <c r="AF137" s="1282"/>
      <c r="AG137" s="1282"/>
      <c r="AH137" s="1282"/>
      <c r="AI137" s="1282"/>
      <c r="AJ137" s="1282"/>
      <c r="AK137" s="1282"/>
      <c r="AL137" s="1282"/>
      <c r="AM137" s="1282"/>
      <c r="AN137" s="1282"/>
      <c r="AO137" s="1282"/>
      <c r="AP137" s="1282"/>
      <c r="AQ137" s="1282"/>
      <c r="AR137" s="1282"/>
      <c r="AS137" s="1282"/>
      <c r="AT137" s="1282"/>
      <c r="AU137" s="1282"/>
      <c r="AV137" s="1282"/>
      <c r="AW137" s="1282"/>
      <c r="AX137" s="1282"/>
      <c r="AY137" s="1282"/>
      <c r="AZ137" s="1282"/>
      <c r="BA137" s="1282"/>
      <c r="BB137" s="1282"/>
      <c r="BC137" s="1282"/>
      <c r="BD137" s="1282"/>
      <c r="BE137" s="1282"/>
      <c r="BF137" s="1282"/>
      <c r="BG137" s="1282"/>
      <c r="BH137" s="1282"/>
      <c r="BI137" s="1282"/>
      <c r="BJ137" s="1282"/>
      <c r="BK137" s="1282"/>
      <c r="BL137" s="1282"/>
      <c r="BM137" s="1282"/>
      <c r="BN137" s="1282"/>
      <c r="BO137" s="1282"/>
      <c r="BP137" s="1282"/>
      <c r="BQ137" s="1282"/>
      <c r="BR137" s="1282"/>
      <c r="BS137" s="1282"/>
      <c r="BT137" s="1282"/>
      <c r="BU137" s="1282"/>
      <c r="BV137" s="1282"/>
      <c r="BW137" s="1282"/>
      <c r="BX137" s="1282"/>
      <c r="BY137" s="1282"/>
      <c r="BZ137" s="1282"/>
      <c r="CA137" s="1513"/>
      <c r="CK137" s="1513"/>
      <c r="CL137" s="1513"/>
      <c r="CM137" s="1513"/>
      <c r="CN137" s="1513"/>
      <c r="CO137" s="1513"/>
      <c r="CP137" s="1513"/>
      <c r="CQ137" s="1513"/>
      <c r="CR137" s="1513"/>
      <c r="CS137" s="1513"/>
      <c r="CT137" s="1513"/>
      <c r="CU137" s="1513"/>
      <c r="CV137" s="1513"/>
      <c r="CW137" s="1513"/>
      <c r="CX137" s="1513"/>
      <c r="CY137" s="1513"/>
      <c r="CZ137" s="1513"/>
      <c r="DA137" s="1513"/>
      <c r="DB137" s="1513"/>
      <c r="DC137" s="1513"/>
      <c r="DD137" s="1513"/>
      <c r="DE137" s="1513"/>
      <c r="DF137" s="1513"/>
      <c r="DG137" s="1513"/>
      <c r="DH137" s="1513"/>
      <c r="DI137" s="1513"/>
      <c r="DJ137" s="1513"/>
      <c r="DK137" s="1513"/>
      <c r="DL137" s="1513"/>
      <c r="DM137" s="1513"/>
      <c r="DN137" s="1513"/>
      <c r="DO137" s="1513"/>
      <c r="DP137" s="1513"/>
      <c r="DQ137" s="1513"/>
      <c r="DR137" s="1513"/>
      <c r="DS137" s="1513"/>
      <c r="DT137" s="1513"/>
      <c r="DU137" s="1513"/>
      <c r="DV137" s="1513"/>
      <c r="DW137" s="1513"/>
      <c r="DX137" s="1513"/>
      <c r="DY137" s="1513"/>
      <c r="DZ137" s="1513"/>
      <c r="EA137" s="1513"/>
      <c r="EB137" s="1513"/>
      <c r="EC137" s="1513"/>
      <c r="ED137" s="1513"/>
      <c r="EE137" s="1513"/>
      <c r="EF137" s="1513"/>
      <c r="EG137" s="1513"/>
      <c r="EH137" s="1513"/>
      <c r="EI137" s="1513"/>
      <c r="EJ137" s="1513"/>
      <c r="EK137" s="1513"/>
      <c r="EL137" s="1513"/>
      <c r="EM137" s="1513"/>
      <c r="EN137" s="1513"/>
      <c r="EO137" s="1513"/>
      <c r="EP137" s="1513"/>
      <c r="EQ137" s="1513"/>
      <c r="ER137" s="1513"/>
      <c r="ES137" s="1513"/>
      <c r="ET137" s="1513"/>
      <c r="EU137" s="1513"/>
      <c r="EV137" s="1513"/>
      <c r="EW137" s="1513"/>
      <c r="EX137" s="1513"/>
      <c r="EY137" s="1513"/>
      <c r="EZ137" s="1513"/>
      <c r="FA137" s="1513"/>
      <c r="FB137" s="1513"/>
      <c r="FC137" s="1513"/>
      <c r="FD137" s="1513"/>
      <c r="FE137" s="1513"/>
      <c r="FF137" s="1513"/>
      <c r="FG137" s="1513"/>
      <c r="FH137" s="1513"/>
      <c r="FI137" s="1513"/>
      <c r="FJ137" s="1513"/>
      <c r="FL137" s="1513"/>
    </row>
    <row r="138" spans="1:168" ht="17.100000000000001" customHeight="1" x14ac:dyDescent="0.15">
      <c r="A138" s="1513"/>
      <c r="B138" s="1282"/>
      <c r="C138" s="1282"/>
      <c r="D138" s="1282"/>
      <c r="E138" s="1282"/>
      <c r="F138" s="1282"/>
      <c r="G138" s="1282"/>
      <c r="H138" s="1282"/>
      <c r="I138" s="1282"/>
      <c r="J138" s="1282"/>
      <c r="K138" s="1282"/>
      <c r="L138" s="1282"/>
      <c r="M138" s="1282"/>
      <c r="N138" s="1282"/>
      <c r="O138" s="1282"/>
      <c r="P138" s="1282"/>
      <c r="Q138" s="1282"/>
      <c r="R138" s="1282"/>
      <c r="S138" s="1282"/>
      <c r="T138" s="1282"/>
      <c r="U138" s="1282"/>
      <c r="V138" s="1282"/>
      <c r="W138" s="1282"/>
      <c r="X138" s="1282"/>
      <c r="Y138" s="1282"/>
      <c r="Z138" s="1282"/>
      <c r="AA138" s="1282"/>
      <c r="AB138" s="1282"/>
      <c r="AC138" s="1282"/>
      <c r="AD138" s="1282"/>
      <c r="AE138" s="1282"/>
      <c r="AF138" s="1282"/>
      <c r="AG138" s="1282"/>
      <c r="AH138" s="1282"/>
      <c r="AI138" s="1282"/>
      <c r="AJ138" s="1282"/>
      <c r="AK138" s="1282"/>
      <c r="AL138" s="1282"/>
      <c r="AM138" s="1282"/>
      <c r="AN138" s="1282"/>
      <c r="AO138" s="1282"/>
      <c r="AP138" s="1282"/>
      <c r="AQ138" s="1282"/>
      <c r="AR138" s="1282"/>
      <c r="AS138" s="1282"/>
      <c r="AT138" s="1282"/>
      <c r="AU138" s="1282"/>
      <c r="AV138" s="1282"/>
      <c r="AW138" s="1282"/>
      <c r="AX138" s="1282"/>
      <c r="AY138" s="1282"/>
      <c r="AZ138" s="1282"/>
      <c r="BA138" s="1282"/>
      <c r="BB138" s="1282"/>
      <c r="BC138" s="1282"/>
      <c r="BD138" s="1282"/>
      <c r="BE138" s="1282"/>
      <c r="BF138" s="1282"/>
      <c r="BG138" s="1282"/>
      <c r="BH138" s="1282"/>
      <c r="BI138" s="1282"/>
      <c r="BJ138" s="1282"/>
      <c r="BK138" s="1282"/>
      <c r="BL138" s="1282"/>
      <c r="BM138" s="1282"/>
      <c r="BN138" s="1282"/>
      <c r="BO138" s="1282"/>
      <c r="BP138" s="1282"/>
      <c r="BQ138" s="1282"/>
      <c r="BR138" s="1282"/>
      <c r="BS138" s="1282"/>
      <c r="BT138" s="1282"/>
      <c r="BU138" s="1282"/>
      <c r="BV138" s="1282"/>
      <c r="BW138" s="1282"/>
      <c r="BX138" s="1282"/>
      <c r="BY138" s="1282"/>
      <c r="BZ138" s="1282"/>
      <c r="CA138" s="1513"/>
      <c r="CK138" s="1513"/>
      <c r="CL138" s="1513"/>
      <c r="CM138" s="1513"/>
      <c r="CN138" s="1513"/>
      <c r="CO138" s="1513"/>
      <c r="CP138" s="1513"/>
      <c r="CQ138" s="1513"/>
      <c r="CR138" s="1513"/>
      <c r="CS138" s="1513"/>
      <c r="CT138" s="1513"/>
      <c r="CU138" s="1513"/>
      <c r="CV138" s="1513"/>
      <c r="CW138" s="1513"/>
      <c r="CX138" s="1513"/>
      <c r="CY138" s="1513"/>
      <c r="CZ138" s="1513"/>
      <c r="DA138" s="1513"/>
      <c r="DB138" s="1513"/>
      <c r="DC138" s="1513"/>
      <c r="DD138" s="1513"/>
      <c r="DE138" s="1513"/>
      <c r="DF138" s="1513"/>
      <c r="DG138" s="1513"/>
      <c r="DH138" s="1513"/>
      <c r="DI138" s="1513"/>
      <c r="DJ138" s="1513"/>
      <c r="DK138" s="1513"/>
      <c r="DL138" s="1513"/>
      <c r="DM138" s="1513"/>
      <c r="DN138" s="1513"/>
      <c r="DO138" s="1513"/>
      <c r="DP138" s="1513"/>
      <c r="DQ138" s="1513"/>
      <c r="DR138" s="1513"/>
      <c r="DS138" s="1513"/>
      <c r="DT138" s="1513"/>
      <c r="DU138" s="1513"/>
      <c r="DV138" s="1513"/>
      <c r="DW138" s="1513"/>
      <c r="DX138" s="1513"/>
      <c r="DY138" s="1513"/>
      <c r="DZ138" s="1513"/>
      <c r="EA138" s="1513"/>
      <c r="EB138" s="1513"/>
      <c r="EC138" s="1513"/>
      <c r="ED138" s="1513"/>
      <c r="EE138" s="1513"/>
      <c r="EF138" s="1513"/>
      <c r="EG138" s="1513"/>
      <c r="EH138" s="1513"/>
      <c r="EI138" s="1513"/>
      <c r="EJ138" s="1513"/>
      <c r="EK138" s="1513"/>
      <c r="EL138" s="1513"/>
      <c r="EM138" s="1513"/>
      <c r="EN138" s="1513"/>
      <c r="EO138" s="1513"/>
      <c r="EP138" s="1513"/>
      <c r="EQ138" s="1513"/>
      <c r="ER138" s="1513"/>
      <c r="ES138" s="1513"/>
      <c r="ET138" s="1513"/>
      <c r="EU138" s="1513"/>
      <c r="EV138" s="1513"/>
      <c r="EW138" s="1513"/>
      <c r="EX138" s="1513"/>
      <c r="EY138" s="1513"/>
      <c r="EZ138" s="1513"/>
      <c r="FA138" s="1513"/>
      <c r="FB138" s="1513"/>
      <c r="FC138" s="1513"/>
      <c r="FD138" s="1513"/>
      <c r="FE138" s="1513"/>
      <c r="FF138" s="1513"/>
      <c r="FG138" s="1513"/>
      <c r="FH138" s="1513"/>
      <c r="FI138" s="1513"/>
      <c r="FJ138" s="1513"/>
      <c r="FL138" s="1513"/>
    </row>
    <row r="139" spans="1:168" ht="17.100000000000001" customHeight="1" x14ac:dyDescent="0.15">
      <c r="A139" s="1513"/>
      <c r="B139" s="1282"/>
      <c r="C139" s="1282"/>
      <c r="D139" s="1282"/>
      <c r="E139" s="1282"/>
      <c r="F139" s="1282"/>
      <c r="G139" s="1282"/>
      <c r="H139" s="1282"/>
      <c r="I139" s="1282"/>
      <c r="J139" s="1282"/>
      <c r="K139" s="1282"/>
      <c r="L139" s="1282"/>
      <c r="M139" s="1282"/>
      <c r="N139" s="1282"/>
      <c r="O139" s="1282"/>
      <c r="P139" s="1282"/>
      <c r="Q139" s="1282"/>
      <c r="R139" s="1282"/>
      <c r="S139" s="1282"/>
      <c r="T139" s="1282"/>
      <c r="U139" s="1282"/>
      <c r="V139" s="1282"/>
      <c r="W139" s="1282"/>
      <c r="X139" s="1282"/>
      <c r="Y139" s="1282"/>
      <c r="Z139" s="1282"/>
      <c r="AA139" s="1282"/>
      <c r="AB139" s="1282"/>
      <c r="AC139" s="1282"/>
      <c r="AD139" s="1282"/>
      <c r="AE139" s="1282"/>
      <c r="AF139" s="1282"/>
      <c r="AG139" s="1282"/>
      <c r="AH139" s="1282"/>
      <c r="AI139" s="1282"/>
      <c r="AJ139" s="1282"/>
      <c r="AK139" s="1282"/>
      <c r="AL139" s="1282"/>
      <c r="AM139" s="1282"/>
      <c r="AN139" s="1282"/>
      <c r="AO139" s="1282"/>
      <c r="AP139" s="1282"/>
      <c r="AQ139" s="1282"/>
      <c r="AR139" s="1282"/>
      <c r="AS139" s="1282"/>
      <c r="AT139" s="1282"/>
      <c r="AU139" s="1282"/>
      <c r="AV139" s="1282"/>
      <c r="AW139" s="1282"/>
      <c r="AX139" s="1282"/>
      <c r="AY139" s="1282"/>
      <c r="AZ139" s="1282"/>
      <c r="BA139" s="1282"/>
      <c r="BB139" s="1282"/>
      <c r="BC139" s="1282"/>
      <c r="BD139" s="1282"/>
      <c r="BE139" s="1282"/>
      <c r="BF139" s="1282"/>
      <c r="BG139" s="1282"/>
      <c r="BH139" s="1282"/>
      <c r="BI139" s="1282"/>
      <c r="BJ139" s="1282"/>
      <c r="BK139" s="1282"/>
      <c r="BL139" s="1282"/>
      <c r="BM139" s="1282"/>
      <c r="BN139" s="1282"/>
      <c r="BO139" s="1282"/>
      <c r="BP139" s="1282"/>
      <c r="BQ139" s="1282"/>
      <c r="BR139" s="1282"/>
      <c r="BS139" s="1282"/>
      <c r="BT139" s="1282"/>
      <c r="BU139" s="1282"/>
      <c r="BV139" s="1282"/>
      <c r="BW139" s="1282"/>
      <c r="BX139" s="1282"/>
      <c r="BY139" s="1282"/>
      <c r="BZ139" s="1282"/>
      <c r="CA139" s="1513"/>
      <c r="CK139" s="1513"/>
      <c r="CL139" s="1513"/>
      <c r="CM139" s="1513"/>
      <c r="CN139" s="1513"/>
      <c r="CO139" s="1513"/>
      <c r="CP139" s="1513"/>
      <c r="CQ139" s="1513"/>
      <c r="CR139" s="1513"/>
      <c r="CS139" s="1513"/>
      <c r="CT139" s="1513"/>
      <c r="CU139" s="1513"/>
      <c r="CV139" s="1513"/>
      <c r="CW139" s="1513"/>
      <c r="CX139" s="1513"/>
      <c r="CY139" s="1513"/>
      <c r="CZ139" s="1513"/>
      <c r="DA139" s="1513"/>
      <c r="DB139" s="1513"/>
      <c r="DC139" s="1513"/>
      <c r="DD139" s="1513"/>
      <c r="DE139" s="1513"/>
      <c r="DF139" s="1513"/>
      <c r="DG139" s="1513"/>
      <c r="DH139" s="1513"/>
      <c r="DI139" s="1513"/>
      <c r="DJ139" s="1513"/>
      <c r="DK139" s="1513"/>
      <c r="DL139" s="1513"/>
      <c r="DM139" s="1513"/>
      <c r="DN139" s="1513"/>
      <c r="DO139" s="1513"/>
      <c r="DP139" s="1513"/>
      <c r="DQ139" s="1513"/>
      <c r="DR139" s="1513"/>
      <c r="DS139" s="1513"/>
      <c r="DT139" s="1513"/>
      <c r="DU139" s="1513"/>
      <c r="DV139" s="1513"/>
      <c r="DW139" s="1513"/>
      <c r="DX139" s="1513"/>
      <c r="DY139" s="1513"/>
      <c r="DZ139" s="1513"/>
      <c r="EA139" s="1513"/>
      <c r="EB139" s="1513"/>
      <c r="EC139" s="1513"/>
      <c r="ED139" s="1513"/>
      <c r="EE139" s="1513"/>
      <c r="EF139" s="1513"/>
      <c r="EG139" s="1513"/>
      <c r="EH139" s="1513"/>
      <c r="EI139" s="1513"/>
      <c r="EJ139" s="1513"/>
      <c r="EK139" s="1513"/>
      <c r="EL139" s="1513"/>
      <c r="EM139" s="1513"/>
      <c r="EN139" s="1513"/>
      <c r="EO139" s="1513"/>
      <c r="EP139" s="1513"/>
      <c r="EQ139" s="1513"/>
      <c r="ER139" s="1513"/>
      <c r="ES139" s="1513"/>
      <c r="ET139" s="1513"/>
      <c r="EU139" s="1513"/>
      <c r="EV139" s="1513"/>
      <c r="EW139" s="1513"/>
      <c r="EX139" s="1513"/>
      <c r="EY139" s="1513"/>
      <c r="EZ139" s="1513"/>
      <c r="FA139" s="1513"/>
      <c r="FB139" s="1513"/>
      <c r="FC139" s="1513"/>
      <c r="FD139" s="1513"/>
      <c r="FE139" s="1513"/>
      <c r="FF139" s="1513"/>
      <c r="FG139" s="1513"/>
      <c r="FH139" s="1513"/>
      <c r="FI139" s="1513"/>
      <c r="FJ139" s="1513"/>
      <c r="FL139" s="1513"/>
    </row>
    <row r="140" spans="1:168" ht="17.100000000000001" customHeight="1" x14ac:dyDescent="0.15">
      <c r="A140" s="1513"/>
      <c r="B140" s="1282"/>
      <c r="C140" s="1282"/>
      <c r="D140" s="1282"/>
      <c r="E140" s="1282"/>
      <c r="F140" s="1282"/>
      <c r="G140" s="1282"/>
      <c r="H140" s="1282"/>
      <c r="I140" s="1282"/>
      <c r="J140" s="1282"/>
      <c r="K140" s="1282"/>
      <c r="L140" s="1282"/>
      <c r="M140" s="1282"/>
      <c r="N140" s="1282"/>
      <c r="O140" s="1282"/>
      <c r="P140" s="1282"/>
      <c r="Q140" s="1282"/>
      <c r="R140" s="1282"/>
      <c r="S140" s="1282"/>
      <c r="T140" s="1282"/>
      <c r="U140" s="1282"/>
      <c r="V140" s="1282"/>
      <c r="W140" s="1282"/>
      <c r="X140" s="1282"/>
      <c r="Y140" s="1282"/>
      <c r="Z140" s="1282"/>
      <c r="AA140" s="1282"/>
      <c r="AB140" s="1282"/>
      <c r="AC140" s="1282"/>
      <c r="AD140" s="1282"/>
      <c r="AE140" s="1282"/>
      <c r="AF140" s="1282"/>
      <c r="AG140" s="1282"/>
      <c r="AH140" s="1282"/>
      <c r="AI140" s="1282"/>
      <c r="AJ140" s="1282"/>
      <c r="AK140" s="1282"/>
      <c r="AL140" s="1282"/>
      <c r="AM140" s="1282"/>
      <c r="AN140" s="1282"/>
      <c r="AO140" s="1282"/>
      <c r="AP140" s="1282"/>
      <c r="AQ140" s="1282"/>
      <c r="AR140" s="1282"/>
      <c r="AS140" s="1282"/>
      <c r="AT140" s="1282"/>
      <c r="AU140" s="1282"/>
      <c r="AV140" s="1282"/>
      <c r="AW140" s="1282"/>
      <c r="AX140" s="1282"/>
      <c r="AY140" s="1282"/>
      <c r="AZ140" s="1282"/>
      <c r="BA140" s="1282"/>
      <c r="BB140" s="1282"/>
      <c r="BC140" s="1282"/>
      <c r="BD140" s="1282"/>
      <c r="BE140" s="1282"/>
      <c r="BF140" s="1282"/>
      <c r="BG140" s="1282"/>
      <c r="BH140" s="1282"/>
      <c r="BI140" s="1282"/>
      <c r="BJ140" s="1282"/>
      <c r="BK140" s="1282"/>
      <c r="BL140" s="1282"/>
      <c r="BM140" s="1282"/>
      <c r="BN140" s="1282"/>
      <c r="BO140" s="1282"/>
      <c r="BP140" s="1282"/>
      <c r="BQ140" s="1282"/>
      <c r="BR140" s="1282"/>
      <c r="BS140" s="1282"/>
      <c r="BT140" s="1282"/>
      <c r="BU140" s="1282"/>
      <c r="BV140" s="1282"/>
      <c r="BW140" s="1282"/>
      <c r="BX140" s="1282"/>
      <c r="BY140" s="1282"/>
      <c r="BZ140" s="1282"/>
      <c r="CA140" s="1513"/>
      <c r="CK140" s="1513"/>
      <c r="CL140" s="1513"/>
      <c r="CM140" s="1513"/>
      <c r="CN140" s="1513"/>
      <c r="CO140" s="1513"/>
      <c r="CP140" s="1513"/>
      <c r="CQ140" s="1513"/>
      <c r="CR140" s="1513"/>
      <c r="CS140" s="1513"/>
      <c r="CT140" s="1513"/>
      <c r="CU140" s="1513"/>
      <c r="CV140" s="1513"/>
      <c r="CW140" s="1513"/>
      <c r="CX140" s="1513"/>
      <c r="CY140" s="1513"/>
      <c r="CZ140" s="1513"/>
      <c r="DA140" s="1513"/>
      <c r="DB140" s="1513"/>
      <c r="DC140" s="1513"/>
      <c r="DD140" s="1513"/>
      <c r="DE140" s="1513"/>
      <c r="DF140" s="1513"/>
      <c r="DG140" s="1513"/>
      <c r="DH140" s="1513"/>
      <c r="DI140" s="1513"/>
      <c r="DJ140" s="1513"/>
      <c r="DK140" s="1513"/>
      <c r="DL140" s="1513"/>
      <c r="DM140" s="1513"/>
      <c r="DN140" s="1513"/>
      <c r="DO140" s="1513"/>
      <c r="DP140" s="1513"/>
      <c r="DQ140" s="1513"/>
      <c r="DR140" s="1513"/>
      <c r="DS140" s="1513"/>
      <c r="DT140" s="1513"/>
      <c r="DU140" s="1513"/>
      <c r="DV140" s="1513"/>
      <c r="DW140" s="1513"/>
      <c r="DX140" s="1513"/>
      <c r="DY140" s="1513"/>
      <c r="DZ140" s="1513"/>
      <c r="EA140" s="1513"/>
      <c r="EB140" s="1513"/>
      <c r="EC140" s="1513"/>
      <c r="ED140" s="1513"/>
      <c r="EE140" s="1513"/>
      <c r="EF140" s="1513"/>
      <c r="EG140" s="1513"/>
      <c r="EH140" s="1513"/>
      <c r="EI140" s="1513"/>
      <c r="EJ140" s="1513"/>
      <c r="EK140" s="1513"/>
      <c r="EL140" s="1513"/>
      <c r="EM140" s="1513"/>
      <c r="EN140" s="1513"/>
      <c r="EO140" s="1513"/>
      <c r="EP140" s="1513"/>
      <c r="EQ140" s="1513"/>
      <c r="ER140" s="1513"/>
      <c r="ES140" s="1513"/>
      <c r="ET140" s="1513"/>
      <c r="EU140" s="1513"/>
      <c r="EV140" s="1513"/>
      <c r="EW140" s="1513"/>
      <c r="EX140" s="1513"/>
      <c r="EY140" s="1513"/>
      <c r="EZ140" s="1513"/>
      <c r="FA140" s="1513"/>
      <c r="FB140" s="1513"/>
      <c r="FC140" s="1513"/>
      <c r="FD140" s="1513"/>
      <c r="FE140" s="1513"/>
      <c r="FF140" s="1513"/>
      <c r="FG140" s="1513"/>
      <c r="FH140" s="1513"/>
      <c r="FI140" s="1513"/>
      <c r="FJ140" s="1513"/>
      <c r="FL140" s="1513"/>
    </row>
    <row r="141" spans="1:168" ht="17.100000000000001" customHeight="1" x14ac:dyDescent="0.15">
      <c r="A141" s="1513"/>
      <c r="B141" s="1282"/>
      <c r="C141" s="1282"/>
      <c r="D141" s="1282"/>
      <c r="E141" s="1282"/>
      <c r="F141" s="1282"/>
      <c r="G141" s="1282"/>
      <c r="H141" s="1282"/>
      <c r="I141" s="1282"/>
      <c r="J141" s="1282"/>
      <c r="K141" s="1282"/>
      <c r="L141" s="1282"/>
      <c r="M141" s="1282"/>
      <c r="N141" s="1282"/>
      <c r="O141" s="1282"/>
      <c r="P141" s="1282"/>
      <c r="Q141" s="1282"/>
      <c r="R141" s="1282"/>
      <c r="S141" s="1282"/>
      <c r="T141" s="1282"/>
      <c r="U141" s="1282"/>
      <c r="V141" s="1282"/>
      <c r="W141" s="1282"/>
      <c r="X141" s="1282"/>
      <c r="Y141" s="1282"/>
      <c r="Z141" s="1282"/>
      <c r="AA141" s="1282"/>
      <c r="AB141" s="1282"/>
      <c r="AC141" s="1282"/>
      <c r="AD141" s="1282"/>
      <c r="AE141" s="1282"/>
      <c r="AF141" s="1282"/>
      <c r="AG141" s="1282"/>
      <c r="AH141" s="1282"/>
      <c r="AI141" s="1282"/>
      <c r="AJ141" s="1282"/>
      <c r="AK141" s="1282"/>
      <c r="AL141" s="1282"/>
      <c r="AM141" s="1282"/>
      <c r="AN141" s="1282"/>
      <c r="AO141" s="1282"/>
      <c r="AP141" s="1282"/>
      <c r="AQ141" s="1282"/>
      <c r="AR141" s="1282"/>
      <c r="AS141" s="1282"/>
      <c r="AT141" s="1282"/>
      <c r="AU141" s="1282"/>
      <c r="AV141" s="1282"/>
      <c r="AW141" s="1282"/>
      <c r="AX141" s="1282"/>
      <c r="AY141" s="1282"/>
      <c r="AZ141" s="1282"/>
      <c r="BA141" s="1282"/>
      <c r="BB141" s="1282"/>
      <c r="BC141" s="1282"/>
      <c r="BD141" s="1282"/>
      <c r="BE141" s="1282"/>
      <c r="BF141" s="1282"/>
      <c r="BG141" s="1282"/>
      <c r="BH141" s="1282"/>
      <c r="BI141" s="1282"/>
      <c r="BJ141" s="1282"/>
      <c r="BK141" s="1282"/>
      <c r="BL141" s="1282"/>
      <c r="BM141" s="1282"/>
      <c r="BN141" s="1282"/>
      <c r="BO141" s="1282"/>
      <c r="BP141" s="1282"/>
      <c r="BQ141" s="1282"/>
      <c r="BR141" s="1282"/>
      <c r="BS141" s="1282"/>
      <c r="BT141" s="1282"/>
      <c r="BU141" s="1282"/>
      <c r="BV141" s="1282"/>
      <c r="BW141" s="1282"/>
      <c r="BX141" s="1282"/>
      <c r="BY141" s="1282"/>
      <c r="BZ141" s="1282"/>
      <c r="CA141" s="1513"/>
      <c r="CK141" s="1513"/>
      <c r="CL141" s="1513"/>
      <c r="CM141" s="1513"/>
      <c r="CN141" s="1513"/>
      <c r="CO141" s="1513"/>
      <c r="CP141" s="1513"/>
      <c r="CQ141" s="1513"/>
      <c r="CR141" s="1513"/>
      <c r="CS141" s="1513"/>
      <c r="CT141" s="1513"/>
      <c r="CU141" s="1513"/>
      <c r="CV141" s="1513"/>
      <c r="CW141" s="1513"/>
      <c r="CX141" s="1513"/>
      <c r="CY141" s="1513"/>
      <c r="CZ141" s="1513"/>
      <c r="DA141" s="1513"/>
      <c r="DB141" s="1513"/>
      <c r="DC141" s="1513"/>
      <c r="DD141" s="1513"/>
      <c r="DE141" s="1513"/>
      <c r="DF141" s="1513"/>
      <c r="DG141" s="1513"/>
      <c r="DH141" s="1513"/>
      <c r="DI141" s="1513"/>
      <c r="DJ141" s="1513"/>
      <c r="DK141" s="1513"/>
      <c r="DL141" s="1513"/>
      <c r="DM141" s="1513"/>
      <c r="DN141" s="1513"/>
      <c r="DO141" s="1513"/>
      <c r="DP141" s="1513"/>
      <c r="DQ141" s="1513"/>
      <c r="DR141" s="1513"/>
      <c r="DS141" s="1513"/>
      <c r="DT141" s="1513"/>
      <c r="DU141" s="1513"/>
      <c r="DV141" s="1513"/>
      <c r="DW141" s="1513"/>
      <c r="DX141" s="1513"/>
      <c r="DY141" s="1513"/>
      <c r="DZ141" s="1513"/>
      <c r="EA141" s="1513"/>
      <c r="EB141" s="1513"/>
      <c r="EC141" s="1513"/>
      <c r="ED141" s="1513"/>
      <c r="EE141" s="1513"/>
      <c r="EF141" s="1513"/>
      <c r="EG141" s="1513"/>
      <c r="EH141" s="1513"/>
      <c r="EI141" s="1513"/>
      <c r="EJ141" s="1513"/>
      <c r="EK141" s="1513"/>
      <c r="EL141" s="1513"/>
      <c r="EM141" s="1513"/>
      <c r="EN141" s="1513"/>
      <c r="EO141" s="1513"/>
      <c r="EP141" s="1513"/>
      <c r="EQ141" s="1513"/>
      <c r="ER141" s="1513"/>
      <c r="ES141" s="1513"/>
      <c r="ET141" s="1513"/>
      <c r="EU141" s="1513"/>
      <c r="EV141" s="1513"/>
      <c r="EW141" s="1513"/>
      <c r="EX141" s="1513"/>
      <c r="EY141" s="1513"/>
      <c r="EZ141" s="1513"/>
      <c r="FA141" s="1513"/>
      <c r="FB141" s="1513"/>
      <c r="FC141" s="1513"/>
      <c r="FD141" s="1513"/>
      <c r="FE141" s="1513"/>
      <c r="FF141" s="1513"/>
      <c r="FG141" s="1513"/>
      <c r="FH141" s="1513"/>
      <c r="FI141" s="1513"/>
      <c r="FJ141" s="1513"/>
      <c r="FL141" s="1513"/>
    </row>
    <row r="142" spans="1:168" ht="17.100000000000001" customHeight="1" x14ac:dyDescent="0.15">
      <c r="A142" s="1513"/>
      <c r="B142" s="1282"/>
      <c r="C142" s="1282"/>
      <c r="D142" s="1282"/>
      <c r="E142" s="1282"/>
      <c r="F142" s="1282"/>
      <c r="G142" s="1282"/>
      <c r="H142" s="1282"/>
      <c r="I142" s="1282"/>
      <c r="J142" s="1282"/>
      <c r="K142" s="1282"/>
      <c r="L142" s="1282"/>
      <c r="M142" s="1282"/>
      <c r="N142" s="1282"/>
      <c r="O142" s="1282"/>
      <c r="P142" s="1282"/>
      <c r="Q142" s="1282"/>
      <c r="R142" s="1282"/>
      <c r="S142" s="1282"/>
      <c r="T142" s="1282"/>
      <c r="U142" s="1282"/>
      <c r="V142" s="1282"/>
      <c r="W142" s="1282"/>
      <c r="X142" s="1282"/>
      <c r="Y142" s="1282"/>
      <c r="Z142" s="1282"/>
      <c r="AA142" s="1282"/>
      <c r="AB142" s="1282"/>
      <c r="AC142" s="1282"/>
      <c r="AD142" s="1282"/>
      <c r="AE142" s="1282"/>
      <c r="AF142" s="1282"/>
      <c r="AG142" s="1282"/>
      <c r="AH142" s="1282"/>
      <c r="AI142" s="1282"/>
      <c r="AJ142" s="1282"/>
      <c r="AK142" s="1282"/>
      <c r="AL142" s="1282"/>
      <c r="AM142" s="1282"/>
      <c r="AN142" s="1282"/>
      <c r="AO142" s="1282"/>
      <c r="AP142" s="1282"/>
      <c r="AQ142" s="1282"/>
      <c r="AR142" s="1282"/>
      <c r="AS142" s="1282"/>
      <c r="AT142" s="1282"/>
      <c r="AU142" s="1282"/>
      <c r="AV142" s="1282"/>
      <c r="AW142" s="1282"/>
      <c r="AX142" s="1282"/>
      <c r="AY142" s="1282"/>
      <c r="AZ142" s="1282"/>
      <c r="BA142" s="1282"/>
      <c r="BB142" s="1282"/>
      <c r="BC142" s="1282"/>
      <c r="BD142" s="1282"/>
      <c r="BE142" s="1282"/>
      <c r="BF142" s="1282"/>
      <c r="BG142" s="1282"/>
      <c r="BH142" s="1282"/>
      <c r="BI142" s="1282"/>
      <c r="BJ142" s="1282"/>
      <c r="BK142" s="1282"/>
      <c r="BL142" s="1282"/>
      <c r="BM142" s="1282"/>
      <c r="BN142" s="1282"/>
      <c r="BO142" s="1282"/>
      <c r="BP142" s="1282"/>
      <c r="BQ142" s="1282"/>
      <c r="BR142" s="1282"/>
      <c r="BS142" s="1282"/>
      <c r="BT142" s="1282"/>
      <c r="BU142" s="1282"/>
      <c r="BV142" s="1282"/>
      <c r="BW142" s="1282"/>
      <c r="BX142" s="1282"/>
      <c r="BY142" s="1282"/>
      <c r="BZ142" s="1282"/>
      <c r="CA142" s="1513"/>
      <c r="CK142" s="1513"/>
      <c r="CL142" s="1513"/>
      <c r="CM142" s="1513"/>
      <c r="CN142" s="1513"/>
      <c r="CO142" s="1513"/>
      <c r="CP142" s="1513"/>
      <c r="CQ142" s="1513"/>
      <c r="CR142" s="1513"/>
      <c r="CS142" s="1513"/>
      <c r="CT142" s="1513"/>
      <c r="CU142" s="1513"/>
      <c r="CV142" s="1513"/>
      <c r="CW142" s="1513"/>
      <c r="CX142" s="1513"/>
      <c r="CY142" s="1513"/>
      <c r="CZ142" s="1513"/>
      <c r="DA142" s="1513"/>
      <c r="DB142" s="1513"/>
      <c r="DC142" s="1513"/>
      <c r="DD142" s="1513"/>
      <c r="DE142" s="1513"/>
      <c r="DF142" s="1513"/>
      <c r="DG142" s="1513"/>
      <c r="DH142" s="1513"/>
      <c r="DI142" s="1513"/>
      <c r="DJ142" s="1513"/>
      <c r="DK142" s="1513"/>
      <c r="DL142" s="1513"/>
      <c r="DM142" s="1513"/>
      <c r="DN142" s="1513"/>
      <c r="DO142" s="1513"/>
      <c r="DP142" s="1513"/>
      <c r="DQ142" s="1513"/>
      <c r="DR142" s="1513"/>
      <c r="DS142" s="1513"/>
      <c r="DT142" s="1513"/>
      <c r="DU142" s="1513"/>
      <c r="DV142" s="1513"/>
      <c r="DW142" s="1513"/>
      <c r="DX142" s="1513"/>
      <c r="DY142" s="1513"/>
      <c r="DZ142" s="1513"/>
      <c r="EA142" s="1513"/>
      <c r="EB142" s="1513"/>
      <c r="EC142" s="1513"/>
      <c r="ED142" s="1513"/>
      <c r="EE142" s="1513"/>
      <c r="EF142" s="1513"/>
      <c r="EG142" s="1513"/>
      <c r="EH142" s="1513"/>
      <c r="EI142" s="1513"/>
      <c r="EJ142" s="1513"/>
      <c r="EK142" s="1513"/>
      <c r="EL142" s="1513"/>
      <c r="EM142" s="1513"/>
      <c r="EN142" s="1513"/>
      <c r="EO142" s="1513"/>
      <c r="EP142" s="1513"/>
      <c r="EQ142" s="1513"/>
      <c r="ER142" s="1513"/>
      <c r="ES142" s="1513"/>
      <c r="ET142" s="1513"/>
      <c r="EU142" s="1513"/>
      <c r="EV142" s="1513"/>
      <c r="EW142" s="1513"/>
      <c r="EX142" s="1513"/>
      <c r="EY142" s="1513"/>
      <c r="EZ142" s="1513"/>
      <c r="FA142" s="1513"/>
      <c r="FB142" s="1513"/>
      <c r="FC142" s="1513"/>
      <c r="FD142" s="1513"/>
      <c r="FE142" s="1513"/>
      <c r="FF142" s="1513"/>
      <c r="FG142" s="1513"/>
      <c r="FH142" s="1513"/>
      <c r="FI142" s="1513"/>
      <c r="FJ142" s="1513"/>
      <c r="FL142" s="1513"/>
    </row>
    <row r="143" spans="1:168" ht="17.100000000000001" customHeight="1" x14ac:dyDescent="0.15">
      <c r="A143" s="1513"/>
      <c r="B143" s="1282"/>
      <c r="C143" s="1282"/>
      <c r="D143" s="1282"/>
      <c r="E143" s="1282"/>
      <c r="F143" s="1282"/>
      <c r="G143" s="1282"/>
      <c r="H143" s="1282"/>
      <c r="I143" s="1282"/>
      <c r="J143" s="1282"/>
      <c r="K143" s="1282"/>
      <c r="L143" s="1282"/>
      <c r="M143" s="1282"/>
      <c r="N143" s="1282"/>
      <c r="O143" s="1282"/>
      <c r="P143" s="1282"/>
      <c r="Q143" s="1282"/>
      <c r="R143" s="1282"/>
      <c r="S143" s="1282"/>
      <c r="T143" s="1282"/>
      <c r="U143" s="1282"/>
      <c r="V143" s="1282"/>
      <c r="W143" s="1282"/>
      <c r="X143" s="1282"/>
      <c r="Y143" s="1282"/>
      <c r="Z143" s="1282"/>
      <c r="AA143" s="1282"/>
      <c r="AB143" s="1282"/>
      <c r="AC143" s="1282"/>
      <c r="AD143" s="1282"/>
      <c r="AE143" s="1282"/>
      <c r="AF143" s="1282"/>
      <c r="AG143" s="1282"/>
      <c r="AH143" s="1282"/>
      <c r="AI143" s="1282"/>
      <c r="AJ143" s="1282"/>
      <c r="AK143" s="1282"/>
      <c r="AL143" s="1282"/>
      <c r="AM143" s="1282"/>
      <c r="AN143" s="1282"/>
      <c r="AO143" s="1282"/>
      <c r="AP143" s="1282"/>
      <c r="AQ143" s="1282"/>
      <c r="AR143" s="1282"/>
      <c r="AS143" s="1282"/>
      <c r="AT143" s="1282"/>
      <c r="AU143" s="1282"/>
      <c r="AV143" s="1282"/>
      <c r="AW143" s="1282"/>
      <c r="AX143" s="1282"/>
      <c r="AY143" s="1282"/>
      <c r="AZ143" s="1282"/>
      <c r="BA143" s="1282"/>
      <c r="BB143" s="1282"/>
      <c r="BC143" s="1282"/>
      <c r="BD143" s="1282"/>
      <c r="BE143" s="1282"/>
      <c r="BF143" s="1282"/>
      <c r="BG143" s="1282"/>
      <c r="BH143" s="1282"/>
      <c r="BI143" s="1282"/>
      <c r="BJ143" s="1282"/>
      <c r="BK143" s="1282"/>
      <c r="BL143" s="1282"/>
      <c r="BM143" s="1282"/>
      <c r="BN143" s="1282"/>
      <c r="BO143" s="1282"/>
      <c r="BP143" s="1282"/>
      <c r="BQ143" s="1282"/>
      <c r="BR143" s="1282"/>
      <c r="BS143" s="1282"/>
      <c r="BT143" s="1282"/>
      <c r="BU143" s="1282"/>
      <c r="BV143" s="1282"/>
      <c r="BW143" s="1282"/>
      <c r="BX143" s="1282"/>
      <c r="BY143" s="1282"/>
      <c r="BZ143" s="1282"/>
      <c r="CA143" s="1513"/>
      <c r="CK143" s="1513"/>
      <c r="CL143" s="1513"/>
      <c r="CM143" s="1513"/>
      <c r="CN143" s="1513"/>
      <c r="CO143" s="1513"/>
      <c r="CP143" s="1513"/>
      <c r="CQ143" s="1513"/>
      <c r="CR143" s="1513"/>
      <c r="CS143" s="1513"/>
      <c r="CT143" s="1513"/>
      <c r="CU143" s="1513"/>
      <c r="CV143" s="1513"/>
      <c r="CW143" s="1513"/>
      <c r="CX143" s="1513"/>
      <c r="CY143" s="1513"/>
      <c r="CZ143" s="1513"/>
      <c r="DA143" s="1513"/>
      <c r="DB143" s="1513"/>
      <c r="DC143" s="1513"/>
      <c r="DD143" s="1513"/>
      <c r="DE143" s="1513"/>
      <c r="DF143" s="1513"/>
      <c r="DG143" s="1513"/>
      <c r="DH143" s="1513"/>
      <c r="DI143" s="1513"/>
      <c r="DJ143" s="1513"/>
      <c r="DK143" s="1513"/>
      <c r="DL143" s="1513"/>
      <c r="DM143" s="1513"/>
      <c r="DN143" s="1513"/>
      <c r="DO143" s="1513"/>
      <c r="DP143" s="1513"/>
      <c r="DQ143" s="1513"/>
      <c r="DR143" s="1513"/>
      <c r="DS143" s="1513"/>
      <c r="DT143" s="1513"/>
      <c r="DU143" s="1513"/>
      <c r="DV143" s="1513"/>
      <c r="DW143" s="1513"/>
      <c r="DX143" s="1513"/>
      <c r="DY143" s="1513"/>
      <c r="DZ143" s="1513"/>
      <c r="EA143" s="1513"/>
      <c r="EB143" s="1513"/>
      <c r="EC143" s="1513"/>
      <c r="ED143" s="1513"/>
      <c r="EE143" s="1513"/>
      <c r="EF143" s="1513"/>
      <c r="EG143" s="1513"/>
      <c r="EH143" s="1513"/>
      <c r="EI143" s="1513"/>
      <c r="EJ143" s="1513"/>
      <c r="EK143" s="1513"/>
      <c r="EL143" s="1513"/>
      <c r="EM143" s="1513"/>
      <c r="EN143" s="1513"/>
      <c r="EO143" s="1513"/>
      <c r="EP143" s="1513"/>
      <c r="EQ143" s="1513"/>
      <c r="ER143" s="1513"/>
      <c r="ES143" s="1513"/>
      <c r="ET143" s="1513"/>
      <c r="EU143" s="1513"/>
      <c r="EV143" s="1513"/>
      <c r="EW143" s="1513"/>
      <c r="EX143" s="1513"/>
      <c r="EY143" s="1513"/>
      <c r="EZ143" s="1513"/>
      <c r="FA143" s="1513"/>
      <c r="FB143" s="1513"/>
      <c r="FC143" s="1513"/>
      <c r="FD143" s="1513"/>
      <c r="FE143" s="1513"/>
      <c r="FF143" s="1513"/>
      <c r="FG143" s="1513"/>
      <c r="FH143" s="1513"/>
      <c r="FI143" s="1513"/>
      <c r="FJ143" s="1513"/>
      <c r="FL143" s="1513"/>
    </row>
    <row r="144" spans="1:168" ht="17.100000000000001" customHeight="1" x14ac:dyDescent="0.15">
      <c r="A144" s="1513"/>
      <c r="B144" s="1282"/>
      <c r="C144" s="1282"/>
      <c r="D144" s="1282"/>
      <c r="E144" s="1282"/>
      <c r="F144" s="1282"/>
      <c r="G144" s="1282"/>
      <c r="H144" s="1282"/>
      <c r="I144" s="1282"/>
      <c r="J144" s="1282"/>
      <c r="K144" s="1282"/>
      <c r="L144" s="1282"/>
      <c r="M144" s="1282"/>
      <c r="N144" s="1282"/>
      <c r="O144" s="1282"/>
      <c r="P144" s="1282"/>
      <c r="Q144" s="1282"/>
      <c r="R144" s="1282"/>
      <c r="S144" s="1282"/>
      <c r="T144" s="1282"/>
      <c r="U144" s="1282"/>
      <c r="V144" s="1282"/>
      <c r="W144" s="1282"/>
      <c r="X144" s="1282"/>
      <c r="Y144" s="1282"/>
      <c r="Z144" s="1282"/>
      <c r="AA144" s="1282"/>
      <c r="AB144" s="1282"/>
      <c r="AC144" s="1282"/>
      <c r="AD144" s="1282"/>
      <c r="AE144" s="1282"/>
      <c r="AF144" s="1282"/>
      <c r="AG144" s="1282"/>
      <c r="AH144" s="1282"/>
      <c r="AI144" s="1282"/>
      <c r="AJ144" s="1282"/>
      <c r="AK144" s="1282"/>
      <c r="AL144" s="1282"/>
      <c r="AM144" s="1282"/>
      <c r="AN144" s="1282"/>
      <c r="AO144" s="1282"/>
      <c r="AP144" s="1282"/>
      <c r="AQ144" s="1282"/>
      <c r="AR144" s="1282"/>
      <c r="AS144" s="1282"/>
      <c r="AT144" s="1282"/>
      <c r="AU144" s="1282"/>
      <c r="AV144" s="1282"/>
      <c r="AW144" s="1282"/>
      <c r="AX144" s="1282"/>
      <c r="AY144" s="1282"/>
      <c r="AZ144" s="1282"/>
      <c r="BA144" s="1282"/>
      <c r="BB144" s="1282"/>
      <c r="BC144" s="1282"/>
      <c r="BD144" s="1282"/>
      <c r="BE144" s="1282"/>
      <c r="BF144" s="1282"/>
      <c r="BG144" s="1282"/>
      <c r="BH144" s="1282"/>
      <c r="BI144" s="1282"/>
      <c r="BJ144" s="1282"/>
      <c r="BK144" s="1282"/>
      <c r="BL144" s="1282"/>
      <c r="BM144" s="1282"/>
      <c r="BN144" s="1282"/>
      <c r="BO144" s="1282"/>
      <c r="BP144" s="1282"/>
      <c r="BQ144" s="1282"/>
      <c r="BR144" s="1282"/>
      <c r="BS144" s="1282"/>
      <c r="BT144" s="1282"/>
      <c r="BU144" s="1282"/>
      <c r="BV144" s="1282"/>
      <c r="BW144" s="1282"/>
      <c r="BX144" s="1282"/>
      <c r="BY144" s="1282"/>
      <c r="BZ144" s="1282"/>
      <c r="CA144" s="1513"/>
      <c r="CK144" s="1513"/>
      <c r="CL144" s="1513"/>
      <c r="CM144" s="1513"/>
      <c r="CN144" s="1513"/>
      <c r="CO144" s="1513"/>
      <c r="CP144" s="1513"/>
      <c r="CQ144" s="1513"/>
      <c r="CR144" s="1513"/>
      <c r="CS144" s="1513"/>
      <c r="CT144" s="1513"/>
      <c r="CU144" s="1513"/>
      <c r="CV144" s="1513"/>
      <c r="CW144" s="1513"/>
      <c r="CX144" s="1513"/>
      <c r="CY144" s="1513"/>
      <c r="CZ144" s="1513"/>
      <c r="DA144" s="1513"/>
      <c r="DB144" s="1513"/>
      <c r="DC144" s="1513"/>
      <c r="DD144" s="1513"/>
      <c r="DE144" s="1513"/>
      <c r="DF144" s="1513"/>
      <c r="DG144" s="1513"/>
      <c r="DH144" s="1513"/>
      <c r="DI144" s="1513"/>
      <c r="DJ144" s="1513"/>
      <c r="DK144" s="1513"/>
      <c r="DL144" s="1513"/>
      <c r="DM144" s="1513"/>
      <c r="DN144" s="1513"/>
      <c r="DO144" s="1513"/>
      <c r="DP144" s="1513"/>
      <c r="DQ144" s="1513"/>
      <c r="DR144" s="1513"/>
      <c r="DS144" s="1513"/>
      <c r="DT144" s="1513"/>
      <c r="DU144" s="1513"/>
      <c r="DV144" s="1513"/>
      <c r="DW144" s="1513"/>
      <c r="DX144" s="1513"/>
      <c r="DY144" s="1513"/>
      <c r="DZ144" s="1513"/>
      <c r="EA144" s="1513"/>
      <c r="EB144" s="1513"/>
      <c r="EC144" s="1513"/>
      <c r="ED144" s="1513"/>
      <c r="EE144" s="1513"/>
      <c r="EF144" s="1513"/>
      <c r="EG144" s="1513"/>
      <c r="EH144" s="1513"/>
      <c r="EI144" s="1513"/>
      <c r="EJ144" s="1513"/>
      <c r="EK144" s="1513"/>
      <c r="EL144" s="1513"/>
      <c r="EM144" s="1513"/>
      <c r="EN144" s="1513"/>
      <c r="EO144" s="1513"/>
      <c r="EP144" s="1513"/>
      <c r="EQ144" s="1513"/>
      <c r="ER144" s="1513"/>
      <c r="ES144" s="1513"/>
      <c r="ET144" s="1513"/>
      <c r="EU144" s="1513"/>
      <c r="EV144" s="1513"/>
      <c r="EW144" s="1513"/>
      <c r="EX144" s="1513"/>
      <c r="EY144" s="1513"/>
      <c r="EZ144" s="1513"/>
      <c r="FA144" s="1513"/>
      <c r="FB144" s="1513"/>
      <c r="FC144" s="1513"/>
      <c r="FD144" s="1513"/>
      <c r="FE144" s="1513"/>
      <c r="FF144" s="1513"/>
      <c r="FG144" s="1513"/>
      <c r="FH144" s="1513"/>
      <c r="FI144" s="1513"/>
      <c r="FJ144" s="1513"/>
      <c r="FL144" s="1513"/>
    </row>
    <row r="145" spans="1:168" ht="17.100000000000001" customHeight="1" x14ac:dyDescent="0.15">
      <c r="A145" s="1513"/>
      <c r="B145" s="1282"/>
      <c r="C145" s="1282"/>
      <c r="D145" s="1282"/>
      <c r="E145" s="1282"/>
      <c r="F145" s="1282"/>
      <c r="G145" s="1282"/>
      <c r="H145" s="1282"/>
      <c r="I145" s="1282"/>
      <c r="J145" s="1282"/>
      <c r="K145" s="1282"/>
      <c r="L145" s="1282"/>
      <c r="M145" s="1282"/>
      <c r="N145" s="1282"/>
      <c r="O145" s="1282"/>
      <c r="P145" s="1282"/>
      <c r="Q145" s="1282"/>
      <c r="R145" s="1282"/>
      <c r="S145" s="1282"/>
      <c r="T145" s="1282"/>
      <c r="U145" s="1282"/>
      <c r="V145" s="1282"/>
      <c r="W145" s="1282"/>
      <c r="X145" s="1282"/>
      <c r="Y145" s="1282"/>
      <c r="Z145" s="1282"/>
      <c r="AA145" s="1282"/>
      <c r="AB145" s="1282"/>
      <c r="AC145" s="1282"/>
      <c r="AD145" s="1282"/>
      <c r="AE145" s="1282"/>
      <c r="AF145" s="1282"/>
      <c r="AG145" s="1282"/>
      <c r="AH145" s="1282"/>
      <c r="AI145" s="1282"/>
      <c r="AJ145" s="1282"/>
      <c r="AK145" s="1282"/>
      <c r="AL145" s="1282"/>
      <c r="AM145" s="1282"/>
      <c r="AN145" s="1282"/>
      <c r="AO145" s="1282"/>
      <c r="AP145" s="1282"/>
      <c r="AQ145" s="1282"/>
      <c r="AR145" s="1282"/>
      <c r="AS145" s="1282"/>
      <c r="AT145" s="1282"/>
      <c r="AU145" s="1282"/>
      <c r="AV145" s="1282"/>
      <c r="AW145" s="1282"/>
      <c r="AX145" s="1282"/>
      <c r="AY145" s="1282"/>
      <c r="AZ145" s="1282"/>
      <c r="BA145" s="1282"/>
      <c r="BB145" s="1282"/>
      <c r="BC145" s="1282"/>
      <c r="BD145" s="1282"/>
      <c r="BE145" s="1282"/>
      <c r="BF145" s="1282"/>
      <c r="BG145" s="1282"/>
      <c r="BH145" s="1282"/>
      <c r="BI145" s="1282"/>
      <c r="BJ145" s="1282"/>
      <c r="BK145" s="1282"/>
      <c r="BL145" s="1282"/>
      <c r="BM145" s="1282"/>
      <c r="BN145" s="1282"/>
      <c r="BO145" s="1282"/>
      <c r="BP145" s="1282"/>
      <c r="BQ145" s="1282"/>
      <c r="BR145" s="1282"/>
      <c r="BS145" s="1282"/>
      <c r="BT145" s="1282"/>
      <c r="BU145" s="1282"/>
      <c r="BV145" s="1282"/>
      <c r="BW145" s="1282"/>
      <c r="BX145" s="1282"/>
      <c r="BY145" s="1282"/>
      <c r="BZ145" s="1282"/>
      <c r="CA145" s="1513"/>
      <c r="CK145" s="1513"/>
      <c r="CL145" s="1513"/>
      <c r="CM145" s="1513"/>
      <c r="CN145" s="1513"/>
      <c r="CO145" s="1513"/>
      <c r="CP145" s="1513"/>
      <c r="CQ145" s="1513"/>
      <c r="CR145" s="1513"/>
      <c r="CS145" s="1513"/>
      <c r="CT145" s="1513"/>
      <c r="CU145" s="1513"/>
      <c r="CV145" s="1513"/>
      <c r="CW145" s="1513"/>
      <c r="CX145" s="1513"/>
      <c r="CY145" s="1513"/>
      <c r="CZ145" s="1513"/>
      <c r="DA145" s="1513"/>
      <c r="DB145" s="1513"/>
      <c r="DC145" s="1513"/>
      <c r="DD145" s="1513"/>
      <c r="DE145" s="1513"/>
      <c r="DF145" s="1513"/>
      <c r="DG145" s="1513"/>
      <c r="DH145" s="1513"/>
      <c r="DI145" s="1513"/>
      <c r="DJ145" s="1513"/>
      <c r="DK145" s="1513"/>
      <c r="DL145" s="1513"/>
      <c r="DM145" s="1513"/>
      <c r="DN145" s="1513"/>
      <c r="DO145" s="1513"/>
      <c r="DP145" s="1513"/>
      <c r="DQ145" s="1513"/>
      <c r="DR145" s="1513"/>
      <c r="DS145" s="1513"/>
      <c r="DT145" s="1513"/>
      <c r="DU145" s="1513"/>
      <c r="DV145" s="1513"/>
      <c r="DW145" s="1513"/>
      <c r="DX145" s="1513"/>
      <c r="DY145" s="1513"/>
      <c r="DZ145" s="1513"/>
      <c r="EA145" s="1513"/>
      <c r="EB145" s="1513"/>
      <c r="EC145" s="1513"/>
      <c r="ED145" s="1513"/>
      <c r="EE145" s="1513"/>
      <c r="EF145" s="1513"/>
      <c r="EG145" s="1513"/>
      <c r="EH145" s="1513"/>
      <c r="EI145" s="1513"/>
      <c r="EJ145" s="1513"/>
      <c r="EK145" s="1513"/>
      <c r="EL145" s="1513"/>
      <c r="EM145" s="1513"/>
      <c r="EN145" s="1513"/>
      <c r="EO145" s="1513"/>
      <c r="EP145" s="1513"/>
      <c r="EQ145" s="1513"/>
      <c r="ER145" s="1513"/>
      <c r="ES145" s="1513"/>
      <c r="ET145" s="1513"/>
      <c r="EU145" s="1513"/>
      <c r="EV145" s="1513"/>
      <c r="EW145" s="1513"/>
      <c r="EX145" s="1513"/>
      <c r="EY145" s="1513"/>
      <c r="EZ145" s="1513"/>
      <c r="FA145" s="1513"/>
      <c r="FB145" s="1513"/>
      <c r="FC145" s="1513"/>
      <c r="FD145" s="1513"/>
      <c r="FE145" s="1513"/>
      <c r="FF145" s="1513"/>
      <c r="FG145" s="1513"/>
      <c r="FH145" s="1513"/>
      <c r="FI145" s="1513"/>
      <c r="FJ145" s="1513"/>
      <c r="FL145" s="1513"/>
    </row>
    <row r="146" spans="1:168" ht="17.100000000000001" customHeight="1" x14ac:dyDescent="0.15">
      <c r="A146" s="1513"/>
      <c r="B146" s="1282"/>
      <c r="C146" s="1282"/>
      <c r="D146" s="1282"/>
      <c r="E146" s="1282"/>
      <c r="F146" s="1282"/>
      <c r="G146" s="1282"/>
      <c r="H146" s="1282"/>
      <c r="I146" s="1282"/>
      <c r="J146" s="1282"/>
      <c r="K146" s="1282"/>
      <c r="L146" s="1282"/>
      <c r="M146" s="1282"/>
      <c r="N146" s="1282"/>
      <c r="O146" s="1282"/>
      <c r="P146" s="1282"/>
      <c r="Q146" s="1282"/>
      <c r="R146" s="1282"/>
      <c r="S146" s="1282"/>
      <c r="T146" s="1282"/>
      <c r="U146" s="1282"/>
      <c r="V146" s="1282"/>
      <c r="W146" s="1282"/>
      <c r="X146" s="1282"/>
      <c r="Y146" s="1282"/>
      <c r="Z146" s="1282"/>
      <c r="AA146" s="1282"/>
      <c r="AB146" s="1282"/>
      <c r="AC146" s="1282"/>
      <c r="AD146" s="1282"/>
      <c r="AE146" s="1282"/>
      <c r="AF146" s="1282"/>
      <c r="AG146" s="1282"/>
      <c r="AH146" s="1282"/>
      <c r="AI146" s="1282"/>
      <c r="AJ146" s="1282"/>
      <c r="AK146" s="1282"/>
      <c r="AL146" s="1282"/>
      <c r="AM146" s="1282"/>
      <c r="AN146" s="1282"/>
      <c r="AO146" s="1282"/>
      <c r="AP146" s="1282"/>
      <c r="AQ146" s="1282"/>
      <c r="AR146" s="1282"/>
      <c r="AS146" s="1282"/>
      <c r="AT146" s="1282"/>
      <c r="AU146" s="1282"/>
      <c r="AV146" s="1282"/>
      <c r="AW146" s="1282"/>
      <c r="AX146" s="1282"/>
      <c r="AY146" s="1282"/>
      <c r="AZ146" s="1282"/>
      <c r="BA146" s="1282"/>
      <c r="BB146" s="1282"/>
      <c r="BC146" s="1282"/>
      <c r="BD146" s="1282"/>
      <c r="BE146" s="1282"/>
      <c r="BF146" s="1282"/>
      <c r="BG146" s="1282"/>
      <c r="BH146" s="1282"/>
      <c r="BI146" s="1282"/>
      <c r="BJ146" s="1282"/>
      <c r="BK146" s="1282"/>
      <c r="BL146" s="1282"/>
      <c r="BM146" s="1282"/>
      <c r="BN146" s="1282"/>
      <c r="BO146" s="1282"/>
      <c r="BP146" s="1282"/>
      <c r="BQ146" s="1282"/>
      <c r="BR146" s="1282"/>
      <c r="BS146" s="1282"/>
      <c r="BT146" s="1282"/>
      <c r="BU146" s="1282"/>
      <c r="BV146" s="1282"/>
      <c r="BW146" s="1282"/>
      <c r="BX146" s="1282"/>
      <c r="BY146" s="1282"/>
      <c r="BZ146" s="1282"/>
      <c r="CA146" s="1513"/>
      <c r="CK146" s="1513"/>
      <c r="CL146" s="1513"/>
      <c r="CM146" s="1513"/>
      <c r="CN146" s="1513"/>
      <c r="CO146" s="1513"/>
      <c r="CP146" s="1513"/>
      <c r="CQ146" s="1513"/>
      <c r="CR146" s="1513"/>
      <c r="CS146" s="1513"/>
      <c r="CT146" s="1513"/>
      <c r="CU146" s="1513"/>
      <c r="CV146" s="1513"/>
      <c r="CW146" s="1513"/>
      <c r="CX146" s="1513"/>
      <c r="CY146" s="1513"/>
      <c r="CZ146" s="1513"/>
      <c r="DA146" s="1513"/>
      <c r="DB146" s="1513"/>
      <c r="DC146" s="1513"/>
      <c r="DD146" s="1513"/>
      <c r="DE146" s="1513"/>
      <c r="DF146" s="1513"/>
      <c r="DG146" s="1513"/>
      <c r="DH146" s="1513"/>
      <c r="DI146" s="1513"/>
      <c r="DJ146" s="1513"/>
      <c r="DK146" s="1513"/>
      <c r="DL146" s="1513"/>
      <c r="DM146" s="1513"/>
      <c r="DN146" s="1513"/>
      <c r="DO146" s="1513"/>
      <c r="DP146" s="1513"/>
      <c r="DQ146" s="1513"/>
      <c r="DR146" s="1513"/>
      <c r="DS146" s="1513"/>
      <c r="DT146" s="1513"/>
      <c r="DU146" s="1513"/>
      <c r="DV146" s="1513"/>
      <c r="DW146" s="1513"/>
      <c r="DX146" s="1513"/>
      <c r="DY146" s="1513"/>
      <c r="DZ146" s="1513"/>
      <c r="EA146" s="1513"/>
      <c r="EB146" s="1513"/>
      <c r="EC146" s="1513"/>
      <c r="ED146" s="1513"/>
      <c r="EE146" s="1513"/>
      <c r="EF146" s="1513"/>
      <c r="EG146" s="1513"/>
      <c r="EH146" s="1513"/>
      <c r="EI146" s="1513"/>
      <c r="EJ146" s="1513"/>
      <c r="EK146" s="1513"/>
      <c r="EL146" s="1513"/>
      <c r="EM146" s="1513"/>
      <c r="EN146" s="1513"/>
      <c r="EO146" s="1513"/>
      <c r="EP146" s="1513"/>
      <c r="EQ146" s="1513"/>
      <c r="ER146" s="1513"/>
      <c r="ES146" s="1513"/>
      <c r="ET146" s="1513"/>
      <c r="EU146" s="1513"/>
      <c r="EV146" s="1513"/>
      <c r="EW146" s="1513"/>
      <c r="EX146" s="1513"/>
      <c r="EY146" s="1513"/>
      <c r="EZ146" s="1513"/>
      <c r="FA146" s="1513"/>
      <c r="FB146" s="1513"/>
      <c r="FC146" s="1513"/>
      <c r="FD146" s="1513"/>
      <c r="FE146" s="1513"/>
      <c r="FF146" s="1513"/>
      <c r="FG146" s="1513"/>
      <c r="FH146" s="1513"/>
      <c r="FI146" s="1513"/>
      <c r="FJ146" s="1513"/>
      <c r="FL146" s="1513"/>
    </row>
    <row r="147" spans="1:168" ht="17.100000000000001" customHeight="1" x14ac:dyDescent="0.15">
      <c r="A147" s="1513"/>
      <c r="B147" s="1282"/>
      <c r="C147" s="1282"/>
      <c r="D147" s="1282"/>
      <c r="E147" s="1282"/>
      <c r="F147" s="1282"/>
      <c r="G147" s="1282"/>
      <c r="H147" s="1282"/>
      <c r="I147" s="1282"/>
      <c r="J147" s="1282"/>
      <c r="K147" s="1282"/>
      <c r="L147" s="1282"/>
      <c r="M147" s="1282"/>
      <c r="N147" s="1282"/>
      <c r="O147" s="1282"/>
      <c r="P147" s="1282"/>
      <c r="Q147" s="1282"/>
      <c r="R147" s="1282"/>
      <c r="S147" s="1282"/>
      <c r="T147" s="1282"/>
      <c r="U147" s="1282"/>
      <c r="V147" s="1282"/>
      <c r="W147" s="1282"/>
      <c r="X147" s="1282"/>
      <c r="Y147" s="1282"/>
      <c r="Z147" s="1282"/>
      <c r="AA147" s="1282"/>
      <c r="AB147" s="1282"/>
      <c r="AC147" s="1282"/>
      <c r="AD147" s="1282"/>
      <c r="AE147" s="1282"/>
      <c r="AF147" s="1282"/>
      <c r="AG147" s="1282"/>
      <c r="AH147" s="1282"/>
      <c r="AI147" s="1282"/>
      <c r="AJ147" s="1282"/>
      <c r="AK147" s="1282"/>
      <c r="AL147" s="1282"/>
      <c r="AM147" s="1282"/>
      <c r="AN147" s="1282"/>
      <c r="AO147" s="1282"/>
      <c r="AP147" s="1282"/>
      <c r="AQ147" s="1282"/>
      <c r="AR147" s="1282"/>
      <c r="AS147" s="1282"/>
      <c r="AT147" s="1282"/>
      <c r="AU147" s="1282"/>
      <c r="AV147" s="1282"/>
      <c r="AW147" s="1282"/>
      <c r="AX147" s="1282"/>
      <c r="AY147" s="1282"/>
      <c r="AZ147" s="1282"/>
      <c r="BA147" s="1282"/>
      <c r="BB147" s="1282"/>
      <c r="BC147" s="1282"/>
      <c r="BD147" s="1282"/>
      <c r="BE147" s="1282"/>
      <c r="BF147" s="1282"/>
      <c r="BG147" s="1282"/>
      <c r="BH147" s="1282"/>
      <c r="BI147" s="1282"/>
      <c r="BJ147" s="1282"/>
      <c r="BK147" s="1282"/>
      <c r="BL147" s="1282"/>
      <c r="BM147" s="1282"/>
      <c r="BN147" s="1282"/>
      <c r="BO147" s="1282"/>
      <c r="BP147" s="1282"/>
      <c r="BQ147" s="1282"/>
      <c r="BR147" s="1282"/>
      <c r="BS147" s="1282"/>
      <c r="BT147" s="1282"/>
      <c r="BU147" s="1282"/>
      <c r="BV147" s="1282"/>
      <c r="BW147" s="1282"/>
      <c r="BX147" s="1282"/>
      <c r="BY147" s="1282"/>
      <c r="BZ147" s="1282"/>
      <c r="CA147" s="1513"/>
      <c r="CK147" s="1513"/>
      <c r="CL147" s="1513"/>
      <c r="CM147" s="1513"/>
      <c r="CN147" s="1513"/>
      <c r="CO147" s="1513"/>
      <c r="CP147" s="1513"/>
      <c r="CQ147" s="1513"/>
      <c r="CR147" s="1513"/>
      <c r="CS147" s="1513"/>
      <c r="CT147" s="1513"/>
      <c r="CU147" s="1513"/>
      <c r="CV147" s="1513"/>
      <c r="CW147" s="1513"/>
      <c r="CX147" s="1513"/>
      <c r="CY147" s="1513"/>
      <c r="CZ147" s="1513"/>
      <c r="DA147" s="1513"/>
      <c r="DB147" s="1513"/>
      <c r="DC147" s="1513"/>
      <c r="DD147" s="1513"/>
      <c r="DE147" s="1513"/>
      <c r="DF147" s="1513"/>
      <c r="DG147" s="1513"/>
      <c r="DH147" s="1513"/>
      <c r="DI147" s="1513"/>
      <c r="DJ147" s="1513"/>
      <c r="DK147" s="1513"/>
      <c r="DL147" s="1513"/>
      <c r="DM147" s="1513"/>
      <c r="DN147" s="1513"/>
      <c r="DO147" s="1513"/>
      <c r="DP147" s="1513"/>
      <c r="DQ147" s="1513"/>
      <c r="DR147" s="1513"/>
      <c r="DS147" s="1513"/>
      <c r="DT147" s="1513"/>
      <c r="DU147" s="1513"/>
      <c r="DV147" s="1513"/>
      <c r="DW147" s="1513"/>
      <c r="DX147" s="1513"/>
      <c r="DY147" s="1513"/>
      <c r="DZ147" s="1513"/>
      <c r="EA147" s="1513"/>
      <c r="EB147" s="1513"/>
      <c r="EC147" s="1513"/>
      <c r="ED147" s="1513"/>
      <c r="EE147" s="1513"/>
      <c r="EF147" s="1513"/>
      <c r="EG147" s="1513"/>
      <c r="EH147" s="1513"/>
      <c r="EI147" s="1513"/>
      <c r="EJ147" s="1513"/>
      <c r="EK147" s="1513"/>
      <c r="EL147" s="1513"/>
      <c r="EM147" s="1513"/>
      <c r="EN147" s="1513"/>
      <c r="EO147" s="1513"/>
      <c r="EP147" s="1513"/>
      <c r="EQ147" s="1513"/>
      <c r="ER147" s="1513"/>
      <c r="ES147" s="1513"/>
      <c r="ET147" s="1513"/>
      <c r="EU147" s="1513"/>
      <c r="EV147" s="1513"/>
      <c r="EW147" s="1513"/>
      <c r="EX147" s="1513"/>
      <c r="EY147" s="1513"/>
      <c r="EZ147" s="1513"/>
      <c r="FA147" s="1513"/>
      <c r="FB147" s="1513"/>
      <c r="FC147" s="1513"/>
      <c r="FD147" s="1513"/>
      <c r="FE147" s="1513"/>
      <c r="FF147" s="1513"/>
      <c r="FG147" s="1513"/>
      <c r="FH147" s="1513"/>
      <c r="FI147" s="1513"/>
      <c r="FJ147" s="1513"/>
      <c r="FL147" s="1513"/>
    </row>
    <row r="148" spans="1:168" ht="17.100000000000001" customHeight="1" x14ac:dyDescent="0.15">
      <c r="A148" s="1513"/>
      <c r="B148" s="1282"/>
      <c r="C148" s="1282"/>
      <c r="D148" s="1282"/>
      <c r="E148" s="1282"/>
      <c r="F148" s="1282"/>
      <c r="G148" s="1282"/>
      <c r="H148" s="1282"/>
      <c r="I148" s="1282"/>
      <c r="J148" s="1282"/>
      <c r="K148" s="1282"/>
      <c r="L148" s="1282"/>
      <c r="M148" s="1282"/>
      <c r="N148" s="1282"/>
      <c r="O148" s="1282"/>
      <c r="P148" s="1282"/>
      <c r="Q148" s="1282"/>
      <c r="R148" s="1282"/>
      <c r="S148" s="1282"/>
      <c r="T148" s="1282"/>
      <c r="U148" s="1282"/>
      <c r="V148" s="1282"/>
      <c r="W148" s="1282"/>
      <c r="X148" s="1282"/>
      <c r="Y148" s="1282"/>
      <c r="Z148" s="1282"/>
      <c r="AA148" s="1282"/>
      <c r="AB148" s="1282"/>
      <c r="AC148" s="1282"/>
      <c r="AD148" s="1282"/>
      <c r="AE148" s="1282"/>
      <c r="AF148" s="1282"/>
      <c r="AG148" s="1282"/>
      <c r="AH148" s="1282"/>
      <c r="AI148" s="1282"/>
      <c r="AJ148" s="1282"/>
      <c r="AK148" s="1282"/>
      <c r="AL148" s="1282"/>
      <c r="AM148" s="1282"/>
      <c r="AN148" s="1282"/>
      <c r="AO148" s="1282"/>
      <c r="AP148" s="1282"/>
      <c r="AQ148" s="1282"/>
      <c r="AR148" s="1282"/>
      <c r="AS148" s="1282"/>
      <c r="AT148" s="1282"/>
      <c r="AU148" s="1282"/>
      <c r="AV148" s="1282"/>
      <c r="AW148" s="1282"/>
      <c r="AX148" s="1282"/>
      <c r="AY148" s="1282"/>
      <c r="AZ148" s="1282"/>
      <c r="BA148" s="1282"/>
      <c r="BB148" s="1282"/>
      <c r="BC148" s="1282"/>
      <c r="BD148" s="1282"/>
      <c r="BE148" s="1282"/>
      <c r="BF148" s="1282"/>
      <c r="BG148" s="1282"/>
      <c r="BH148" s="1282"/>
      <c r="BI148" s="1282"/>
      <c r="BJ148" s="1282"/>
      <c r="BK148" s="1282"/>
      <c r="BL148" s="1282"/>
      <c r="BM148" s="1282"/>
      <c r="BN148" s="1282"/>
      <c r="BO148" s="1282"/>
      <c r="BP148" s="1282"/>
      <c r="BQ148" s="1282"/>
      <c r="BR148" s="1282"/>
      <c r="BS148" s="1282"/>
      <c r="BT148" s="1282"/>
      <c r="BU148" s="1282"/>
      <c r="BV148" s="1282"/>
      <c r="BW148" s="1282"/>
      <c r="BX148" s="1282"/>
      <c r="BY148" s="1282"/>
      <c r="BZ148" s="1282"/>
      <c r="CA148" s="1513"/>
      <c r="CK148" s="1513"/>
      <c r="CL148" s="1513"/>
      <c r="CM148" s="1513"/>
      <c r="CN148" s="1513"/>
      <c r="CO148" s="1513"/>
      <c r="CP148" s="1513"/>
      <c r="CQ148" s="1513"/>
      <c r="CR148" s="1513"/>
      <c r="CS148" s="1513"/>
      <c r="CT148" s="1513"/>
      <c r="CU148" s="1513"/>
      <c r="CV148" s="1513"/>
      <c r="CW148" s="1513"/>
      <c r="CX148" s="1513"/>
      <c r="CY148" s="1513"/>
      <c r="CZ148" s="1513"/>
      <c r="DA148" s="1513"/>
      <c r="DB148" s="1513"/>
      <c r="DC148" s="1513"/>
      <c r="DD148" s="1513"/>
      <c r="DE148" s="1513"/>
      <c r="DF148" s="1513"/>
      <c r="DG148" s="1513"/>
      <c r="DH148" s="1513"/>
      <c r="DI148" s="1513"/>
      <c r="DJ148" s="1513"/>
      <c r="DK148" s="1513"/>
      <c r="DL148" s="1513"/>
      <c r="DM148" s="1513"/>
      <c r="DN148" s="1513"/>
      <c r="DO148" s="1513"/>
      <c r="DP148" s="1513"/>
      <c r="DQ148" s="1513"/>
      <c r="DR148" s="1513"/>
      <c r="DS148" s="1513"/>
      <c r="DT148" s="1513"/>
      <c r="DU148" s="1513"/>
      <c r="DV148" s="1513"/>
      <c r="DW148" s="1513"/>
      <c r="DX148" s="1513"/>
      <c r="DY148" s="1513"/>
      <c r="DZ148" s="1513"/>
      <c r="EA148" s="1513"/>
      <c r="EB148" s="1513"/>
      <c r="EC148" s="1513"/>
      <c r="ED148" s="1513"/>
      <c r="EE148" s="1513"/>
      <c r="EF148" s="1513"/>
      <c r="EG148" s="1513"/>
      <c r="EH148" s="1513"/>
      <c r="EI148" s="1513"/>
      <c r="EJ148" s="1513"/>
      <c r="EK148" s="1513"/>
      <c r="EL148" s="1513"/>
      <c r="EM148" s="1513"/>
      <c r="EN148" s="1513"/>
      <c r="EO148" s="1513"/>
      <c r="EP148" s="1513"/>
      <c r="EQ148" s="1513"/>
      <c r="ER148" s="1513"/>
      <c r="ES148" s="1513"/>
      <c r="ET148" s="1513"/>
      <c r="EU148" s="1513"/>
      <c r="EV148" s="1513"/>
      <c r="EW148" s="1513"/>
      <c r="EX148" s="1513"/>
      <c r="EY148" s="1513"/>
      <c r="EZ148" s="1513"/>
      <c r="FA148" s="1513"/>
      <c r="FB148" s="1513"/>
      <c r="FC148" s="1513"/>
      <c r="FD148" s="1513"/>
      <c r="FE148" s="1513"/>
      <c r="FF148" s="1513"/>
      <c r="FG148" s="1513"/>
      <c r="FH148" s="1513"/>
      <c r="FI148" s="1513"/>
      <c r="FJ148" s="1513"/>
      <c r="FL148" s="1513"/>
    </row>
    <row r="149" spans="1:168" ht="17.100000000000001" customHeight="1" x14ac:dyDescent="0.15">
      <c r="A149" s="1513"/>
      <c r="B149" s="1282"/>
      <c r="C149" s="1282"/>
      <c r="D149" s="1282"/>
      <c r="E149" s="1282"/>
      <c r="F149" s="1282"/>
      <c r="G149" s="1282"/>
      <c r="H149" s="1282"/>
      <c r="I149" s="1282"/>
      <c r="J149" s="1282"/>
      <c r="K149" s="1282"/>
      <c r="L149" s="1282"/>
      <c r="M149" s="1282"/>
      <c r="N149" s="1282"/>
      <c r="O149" s="1282"/>
      <c r="P149" s="1282"/>
      <c r="Q149" s="1282"/>
      <c r="R149" s="1282"/>
      <c r="S149" s="1282"/>
      <c r="T149" s="1282"/>
      <c r="U149" s="1282"/>
      <c r="V149" s="1282"/>
      <c r="W149" s="1282"/>
      <c r="X149" s="1282"/>
      <c r="Y149" s="1282"/>
      <c r="Z149" s="1282"/>
      <c r="AA149" s="1282"/>
      <c r="AB149" s="1282"/>
      <c r="AC149" s="1282"/>
      <c r="AD149" s="1282"/>
      <c r="AE149" s="1282"/>
      <c r="AF149" s="1282"/>
      <c r="AG149" s="1282"/>
      <c r="AH149" s="1282"/>
      <c r="AI149" s="1282"/>
      <c r="AJ149" s="1282"/>
      <c r="AK149" s="1282"/>
      <c r="AL149" s="1282"/>
      <c r="AM149" s="1282"/>
      <c r="AN149" s="1282"/>
      <c r="AO149" s="1282"/>
      <c r="AP149" s="1282"/>
      <c r="AQ149" s="1282"/>
      <c r="AR149" s="1282"/>
      <c r="AS149" s="1282"/>
      <c r="AT149" s="1282"/>
      <c r="AU149" s="1282"/>
      <c r="AV149" s="1282"/>
      <c r="AW149" s="1282"/>
      <c r="AX149" s="1282"/>
      <c r="AY149" s="1282"/>
      <c r="AZ149" s="1282"/>
      <c r="BA149" s="1282"/>
      <c r="BB149" s="1282"/>
      <c r="BC149" s="1282"/>
      <c r="BD149" s="1282"/>
      <c r="BE149" s="1282"/>
      <c r="BF149" s="1282"/>
      <c r="BG149" s="1282"/>
      <c r="BH149" s="1282"/>
      <c r="BI149" s="1282"/>
      <c r="BJ149" s="1282"/>
      <c r="BK149" s="1282"/>
      <c r="BL149" s="1282"/>
      <c r="BM149" s="1282"/>
      <c r="BN149" s="1282"/>
      <c r="BO149" s="1282"/>
      <c r="BP149" s="1282"/>
      <c r="BQ149" s="1282"/>
      <c r="BR149" s="1282"/>
      <c r="BS149" s="1282"/>
      <c r="BT149" s="1282"/>
      <c r="BU149" s="1282"/>
      <c r="BV149" s="1282"/>
      <c r="BW149" s="1282"/>
      <c r="BX149" s="1282"/>
      <c r="BY149" s="1282"/>
      <c r="BZ149" s="1282"/>
      <c r="CA149" s="1513"/>
      <c r="CK149" s="1513"/>
      <c r="CL149" s="1513"/>
      <c r="CM149" s="1513"/>
      <c r="CN149" s="1513"/>
      <c r="CO149" s="1513"/>
      <c r="CP149" s="1513"/>
      <c r="CQ149" s="1513"/>
      <c r="CR149" s="1513"/>
      <c r="CS149" s="1513"/>
      <c r="CT149" s="1513"/>
      <c r="CU149" s="1513"/>
      <c r="CV149" s="1513"/>
      <c r="CW149" s="1513"/>
      <c r="CX149" s="1513"/>
      <c r="CY149" s="1513"/>
      <c r="CZ149" s="1513"/>
      <c r="DA149" s="1513"/>
      <c r="DB149" s="1513"/>
      <c r="DC149" s="1513"/>
      <c r="DD149" s="1513"/>
      <c r="DE149" s="1513"/>
      <c r="DF149" s="1513"/>
      <c r="DG149" s="1513"/>
      <c r="DH149" s="1513"/>
      <c r="DI149" s="1513"/>
      <c r="DJ149" s="1513"/>
      <c r="DK149" s="1513"/>
      <c r="DL149" s="1513"/>
      <c r="DM149" s="1513"/>
      <c r="DN149" s="1513"/>
      <c r="DO149" s="1513"/>
      <c r="DP149" s="1513"/>
      <c r="DQ149" s="1513"/>
      <c r="DR149" s="1513"/>
      <c r="DS149" s="1513"/>
      <c r="DT149" s="1513"/>
      <c r="DU149" s="1513"/>
      <c r="DV149" s="1513"/>
      <c r="DW149" s="1513"/>
      <c r="DX149" s="1513"/>
      <c r="DY149" s="1513"/>
      <c r="DZ149" s="1513"/>
      <c r="EA149" s="1513"/>
      <c r="EB149" s="1513"/>
      <c r="EC149" s="1513"/>
      <c r="ED149" s="1513"/>
      <c r="EE149" s="1513"/>
      <c r="EF149" s="1513"/>
      <c r="EG149" s="1513"/>
      <c r="EH149" s="1513"/>
      <c r="EI149" s="1513"/>
      <c r="EJ149" s="1513"/>
      <c r="EK149" s="1513"/>
      <c r="EL149" s="1513"/>
      <c r="EM149" s="1513"/>
      <c r="EN149" s="1513"/>
      <c r="EO149" s="1513"/>
      <c r="EP149" s="1513"/>
      <c r="EQ149" s="1513"/>
      <c r="ER149" s="1513"/>
      <c r="ES149" s="1513"/>
      <c r="ET149" s="1513"/>
      <c r="EU149" s="1513"/>
      <c r="EV149" s="1513"/>
      <c r="EW149" s="1513"/>
      <c r="EX149" s="1513"/>
      <c r="EY149" s="1513"/>
      <c r="EZ149" s="1513"/>
      <c r="FA149" s="1513"/>
      <c r="FB149" s="1513"/>
      <c r="FC149" s="1513"/>
      <c r="FD149" s="1513"/>
      <c r="FE149" s="1513"/>
      <c r="FF149" s="1513"/>
      <c r="FG149" s="1513"/>
      <c r="FH149" s="1513"/>
      <c r="FI149" s="1513"/>
      <c r="FJ149" s="1513"/>
      <c r="FL149" s="1513"/>
    </row>
    <row r="150" spans="1:168" ht="17.100000000000001" customHeight="1" x14ac:dyDescent="0.15">
      <c r="A150" s="1513"/>
      <c r="B150" s="1282"/>
      <c r="C150" s="1282"/>
      <c r="D150" s="1282"/>
      <c r="E150" s="1282"/>
      <c r="F150" s="1282"/>
      <c r="G150" s="1282"/>
      <c r="H150" s="1282"/>
      <c r="I150" s="1282"/>
      <c r="J150" s="1282"/>
      <c r="K150" s="1282"/>
      <c r="L150" s="1282"/>
      <c r="M150" s="1282"/>
      <c r="N150" s="1282"/>
      <c r="O150" s="1282"/>
      <c r="P150" s="1282"/>
      <c r="Q150" s="1282"/>
      <c r="R150" s="1282"/>
      <c r="S150" s="1282"/>
      <c r="T150" s="1282"/>
      <c r="U150" s="1282"/>
      <c r="V150" s="1282"/>
      <c r="W150" s="1282"/>
      <c r="X150" s="1282"/>
      <c r="Y150" s="1282"/>
      <c r="Z150" s="1282"/>
      <c r="AA150" s="1282"/>
      <c r="AB150" s="1282"/>
      <c r="AC150" s="1282"/>
      <c r="AD150" s="1282"/>
      <c r="AE150" s="1282"/>
      <c r="AF150" s="1282"/>
      <c r="AG150" s="1282"/>
      <c r="AH150" s="1282"/>
      <c r="AI150" s="1282"/>
      <c r="AJ150" s="1282"/>
      <c r="AK150" s="1282"/>
      <c r="AL150" s="1282"/>
      <c r="AM150" s="1282"/>
      <c r="AN150" s="1282"/>
      <c r="AO150" s="1282"/>
      <c r="AP150" s="1282"/>
      <c r="AQ150" s="1282"/>
      <c r="AR150" s="1282"/>
      <c r="AS150" s="1282"/>
      <c r="AT150" s="1282"/>
      <c r="AU150" s="1282"/>
      <c r="AV150" s="1282"/>
      <c r="AW150" s="1282"/>
      <c r="AX150" s="1282"/>
      <c r="AY150" s="1282"/>
      <c r="AZ150" s="1282"/>
      <c r="BA150" s="1282"/>
      <c r="BB150" s="1282"/>
      <c r="BC150" s="1282"/>
      <c r="BD150" s="1282"/>
      <c r="BE150" s="1282"/>
      <c r="BF150" s="1282"/>
      <c r="BG150" s="1282"/>
      <c r="BH150" s="1282"/>
      <c r="BI150" s="1282"/>
      <c r="BJ150" s="1282"/>
      <c r="BK150" s="1282"/>
      <c r="BL150" s="1282"/>
      <c r="BM150" s="1282"/>
      <c r="BN150" s="1282"/>
      <c r="BO150" s="1282"/>
      <c r="BP150" s="1282"/>
      <c r="BQ150" s="1282"/>
      <c r="BR150" s="1282"/>
      <c r="BS150" s="1282"/>
      <c r="BT150" s="1282"/>
      <c r="BU150" s="1282"/>
      <c r="BV150" s="1282"/>
      <c r="BW150" s="1282"/>
      <c r="BX150" s="1282"/>
      <c r="BY150" s="1282"/>
      <c r="BZ150" s="1282"/>
      <c r="CA150" s="1513"/>
      <c r="CK150" s="1513"/>
      <c r="CL150" s="1513"/>
      <c r="CM150" s="1513"/>
      <c r="CN150" s="1513"/>
      <c r="CO150" s="1513"/>
      <c r="CP150" s="1513"/>
      <c r="CQ150" s="1513"/>
      <c r="CR150" s="1513"/>
      <c r="CS150" s="1513"/>
      <c r="CT150" s="1513"/>
      <c r="CU150" s="1513"/>
      <c r="CV150" s="1513"/>
      <c r="CW150" s="1513"/>
      <c r="CX150" s="1513"/>
      <c r="CY150" s="1513"/>
      <c r="CZ150" s="1513"/>
      <c r="DA150" s="1513"/>
      <c r="DB150" s="1513"/>
      <c r="DC150" s="1513"/>
      <c r="DD150" s="1513"/>
      <c r="DE150" s="1513"/>
      <c r="DF150" s="1513"/>
      <c r="DG150" s="1513"/>
      <c r="DH150" s="1513"/>
      <c r="DI150" s="1513"/>
      <c r="DJ150" s="1513"/>
      <c r="DK150" s="1513"/>
      <c r="DL150" s="1513"/>
      <c r="DM150" s="1513"/>
      <c r="DN150" s="1513"/>
      <c r="DO150" s="1513"/>
      <c r="DP150" s="1513"/>
      <c r="DQ150" s="1513"/>
      <c r="DR150" s="1513"/>
      <c r="DS150" s="1513"/>
      <c r="DT150" s="1513"/>
      <c r="DU150" s="1513"/>
      <c r="DV150" s="1513"/>
      <c r="DW150" s="1513"/>
      <c r="DX150" s="1513"/>
      <c r="DY150" s="1513"/>
      <c r="DZ150" s="1513"/>
      <c r="EA150" s="1513"/>
      <c r="EB150" s="1513"/>
      <c r="EC150" s="1513"/>
      <c r="ED150" s="1513"/>
      <c r="EE150" s="1513"/>
      <c r="EF150" s="1513"/>
      <c r="EG150" s="1513"/>
      <c r="EH150" s="1513"/>
      <c r="EI150" s="1513"/>
      <c r="EJ150" s="1513"/>
      <c r="EK150" s="1513"/>
      <c r="EL150" s="1513"/>
      <c r="EM150" s="1513"/>
      <c r="EN150" s="1513"/>
      <c r="EO150" s="1513"/>
      <c r="EP150" s="1513"/>
      <c r="EQ150" s="1513"/>
      <c r="ER150" s="1513"/>
      <c r="ES150" s="1513"/>
      <c r="ET150" s="1513"/>
      <c r="EU150" s="1513"/>
      <c r="EV150" s="1513"/>
      <c r="EW150" s="1513"/>
      <c r="EX150" s="1513"/>
      <c r="EY150" s="1513"/>
      <c r="EZ150" s="1513"/>
      <c r="FA150" s="1513"/>
      <c r="FB150" s="1513"/>
      <c r="FC150" s="1513"/>
      <c r="FD150" s="1513"/>
      <c r="FE150" s="1513"/>
      <c r="FF150" s="1513"/>
      <c r="FG150" s="1513"/>
      <c r="FH150" s="1513"/>
      <c r="FI150" s="1513"/>
      <c r="FJ150" s="1513"/>
      <c r="FL150" s="1513"/>
    </row>
    <row r="151" spans="1:168" ht="17.100000000000001" customHeight="1" x14ac:dyDescent="0.15">
      <c r="A151" s="1513"/>
      <c r="B151" s="1282"/>
      <c r="C151" s="1282"/>
      <c r="D151" s="1282"/>
      <c r="E151" s="1282"/>
      <c r="F151" s="1282"/>
      <c r="G151" s="1282"/>
      <c r="H151" s="1282"/>
      <c r="I151" s="1282"/>
      <c r="J151" s="1282"/>
      <c r="K151" s="1282"/>
      <c r="L151" s="1282"/>
      <c r="M151" s="1282"/>
      <c r="N151" s="1282"/>
      <c r="O151" s="1282"/>
      <c r="P151" s="1282"/>
      <c r="Q151" s="1282"/>
      <c r="R151" s="1282"/>
      <c r="S151" s="1282"/>
      <c r="T151" s="1282"/>
      <c r="U151" s="1282"/>
      <c r="V151" s="1282"/>
      <c r="W151" s="1282"/>
      <c r="X151" s="1282"/>
      <c r="Y151" s="1282"/>
      <c r="Z151" s="1282"/>
      <c r="AA151" s="1282"/>
      <c r="AB151" s="1282"/>
      <c r="AC151" s="1282"/>
      <c r="AD151" s="1282"/>
      <c r="AE151" s="1282"/>
      <c r="AF151" s="1282"/>
      <c r="AG151" s="1282"/>
      <c r="AH151" s="1282"/>
      <c r="AI151" s="1282"/>
      <c r="AJ151" s="1282"/>
      <c r="AK151" s="1282"/>
      <c r="AL151" s="1282"/>
      <c r="AM151" s="1282"/>
      <c r="AN151" s="1282"/>
      <c r="AO151" s="1282"/>
      <c r="AP151" s="1282"/>
      <c r="AQ151" s="1282"/>
      <c r="AR151" s="1282"/>
      <c r="AS151" s="1282"/>
      <c r="AT151" s="1282"/>
      <c r="AU151" s="1282"/>
      <c r="AV151" s="1282"/>
      <c r="AW151" s="1282"/>
      <c r="AX151" s="1282"/>
      <c r="AY151" s="1282"/>
      <c r="AZ151" s="1282"/>
      <c r="BA151" s="1282"/>
      <c r="BB151" s="1282"/>
      <c r="BC151" s="1282"/>
      <c r="BD151" s="1282"/>
      <c r="BE151" s="1282"/>
      <c r="BF151" s="1282"/>
      <c r="BG151" s="1282"/>
      <c r="BH151" s="1282"/>
      <c r="BI151" s="1282"/>
      <c r="BJ151" s="1282"/>
      <c r="BK151" s="1282"/>
      <c r="BL151" s="1282"/>
      <c r="BM151" s="1282"/>
      <c r="BN151" s="1282"/>
      <c r="BO151" s="1282"/>
      <c r="BP151" s="1282"/>
      <c r="BQ151" s="1282"/>
      <c r="BR151" s="1282"/>
      <c r="BS151" s="1282"/>
      <c r="BT151" s="1282"/>
      <c r="BU151" s="1282"/>
      <c r="BV151" s="1282"/>
      <c r="BW151" s="1282"/>
      <c r="BX151" s="1282"/>
      <c r="BY151" s="1282"/>
      <c r="BZ151" s="1282"/>
      <c r="CA151" s="1513"/>
      <c r="CK151" s="1513"/>
      <c r="CL151" s="1513"/>
      <c r="CM151" s="1513"/>
      <c r="CN151" s="1513"/>
      <c r="CO151" s="1513"/>
      <c r="CP151" s="1513"/>
      <c r="CQ151" s="1513"/>
      <c r="CR151" s="1513"/>
      <c r="CS151" s="1513"/>
      <c r="CT151" s="1513"/>
      <c r="CU151" s="1513"/>
      <c r="CV151" s="1513"/>
      <c r="CW151" s="1513"/>
      <c r="CX151" s="1513"/>
      <c r="CY151" s="1513"/>
      <c r="CZ151" s="1513"/>
      <c r="DA151" s="1513"/>
      <c r="DB151" s="1513"/>
      <c r="DC151" s="1513"/>
      <c r="DD151" s="1513"/>
      <c r="DE151" s="1513"/>
      <c r="DF151" s="1513"/>
      <c r="DG151" s="1513"/>
      <c r="DH151" s="1513"/>
      <c r="DI151" s="1513"/>
      <c r="DJ151" s="1513"/>
      <c r="DK151" s="1513"/>
      <c r="DL151" s="1513"/>
      <c r="DM151" s="1513"/>
      <c r="DN151" s="1513"/>
      <c r="DO151" s="1513"/>
      <c r="DP151" s="1513"/>
      <c r="DQ151" s="1513"/>
      <c r="DR151" s="1513"/>
      <c r="DS151" s="1513"/>
      <c r="DT151" s="1513"/>
      <c r="DU151" s="1513"/>
      <c r="DV151" s="1513"/>
      <c r="DW151" s="1513"/>
      <c r="DX151" s="1513"/>
      <c r="DY151" s="1513"/>
      <c r="DZ151" s="1513"/>
      <c r="EA151" s="1513"/>
      <c r="EB151" s="1513"/>
      <c r="EC151" s="1513"/>
      <c r="ED151" s="1513"/>
      <c r="EE151" s="1513"/>
      <c r="EF151" s="1513"/>
      <c r="EG151" s="1513"/>
      <c r="EH151" s="1513"/>
      <c r="EI151" s="1513"/>
      <c r="EJ151" s="1513"/>
      <c r="EK151" s="1513"/>
      <c r="EL151" s="1513"/>
      <c r="EM151" s="1513"/>
      <c r="EN151" s="1513"/>
      <c r="EO151" s="1513"/>
      <c r="EP151" s="1513"/>
      <c r="EQ151" s="1513"/>
      <c r="ER151" s="1513"/>
      <c r="ES151" s="1513"/>
      <c r="ET151" s="1513"/>
      <c r="EU151" s="1513"/>
      <c r="EV151" s="1513"/>
      <c r="EW151" s="1513"/>
      <c r="EX151" s="1513"/>
      <c r="EY151" s="1513"/>
      <c r="EZ151" s="1513"/>
      <c r="FA151" s="1513"/>
      <c r="FB151" s="1513"/>
      <c r="FC151" s="1513"/>
      <c r="FD151" s="1513"/>
      <c r="FE151" s="1513"/>
      <c r="FF151" s="1513"/>
      <c r="FG151" s="1513"/>
      <c r="FH151" s="1513"/>
      <c r="FI151" s="1513"/>
      <c r="FJ151" s="1513"/>
      <c r="FL151" s="1513"/>
    </row>
    <row r="152" spans="1:168" ht="17.100000000000001" customHeight="1" x14ac:dyDescent="0.15">
      <c r="A152" s="1513"/>
      <c r="B152" s="1282"/>
      <c r="C152" s="1282"/>
      <c r="D152" s="1282"/>
      <c r="E152" s="1282"/>
      <c r="F152" s="1282"/>
      <c r="G152" s="1282"/>
      <c r="H152" s="1282"/>
      <c r="I152" s="1282"/>
      <c r="J152" s="1282"/>
      <c r="K152" s="1282"/>
      <c r="L152" s="1282"/>
      <c r="M152" s="1282"/>
      <c r="N152" s="1282"/>
      <c r="O152" s="1282"/>
      <c r="P152" s="1282"/>
      <c r="Q152" s="1282"/>
      <c r="R152" s="1282"/>
      <c r="S152" s="1282"/>
      <c r="T152" s="1282"/>
      <c r="U152" s="1282"/>
      <c r="V152" s="1282"/>
      <c r="W152" s="1282"/>
      <c r="X152" s="1282"/>
      <c r="Y152" s="1282"/>
      <c r="Z152" s="1282"/>
      <c r="AA152" s="1282"/>
      <c r="AB152" s="1282"/>
      <c r="AC152" s="1282"/>
      <c r="AD152" s="1282"/>
      <c r="AE152" s="1282"/>
      <c r="AF152" s="1282"/>
      <c r="AG152" s="1282"/>
      <c r="AH152" s="1282"/>
      <c r="AI152" s="1282"/>
      <c r="AJ152" s="1282"/>
      <c r="AK152" s="1282"/>
      <c r="AL152" s="1282"/>
      <c r="AM152" s="1282"/>
      <c r="AN152" s="1282"/>
      <c r="AO152" s="1282"/>
      <c r="AP152" s="1282"/>
      <c r="AQ152" s="1282"/>
      <c r="AR152" s="1282"/>
      <c r="AS152" s="1282"/>
      <c r="AT152" s="1282"/>
      <c r="AU152" s="1282"/>
      <c r="AV152" s="1282"/>
      <c r="AW152" s="1282"/>
      <c r="AX152" s="1282"/>
      <c r="AY152" s="1282"/>
      <c r="AZ152" s="1282"/>
      <c r="BA152" s="1282"/>
      <c r="BB152" s="1282"/>
      <c r="BC152" s="1282"/>
      <c r="BD152" s="1282"/>
      <c r="BE152" s="1282"/>
      <c r="BF152" s="1282"/>
      <c r="BG152" s="1282"/>
      <c r="BH152" s="1282"/>
      <c r="BI152" s="1282"/>
      <c r="BJ152" s="1282"/>
      <c r="BK152" s="1282"/>
      <c r="BL152" s="1282"/>
      <c r="BM152" s="1282"/>
      <c r="BN152" s="1282"/>
      <c r="BO152" s="1282"/>
      <c r="BP152" s="1282"/>
      <c r="BQ152" s="1282"/>
      <c r="BR152" s="1282"/>
      <c r="BS152" s="1282"/>
      <c r="BT152" s="1282"/>
      <c r="BU152" s="1282"/>
      <c r="BV152" s="1282"/>
      <c r="BW152" s="1282"/>
      <c r="BX152" s="1282"/>
      <c r="BY152" s="1282"/>
      <c r="BZ152" s="1282"/>
      <c r="CA152" s="1513"/>
      <c r="CK152" s="1513"/>
      <c r="CL152" s="1513"/>
      <c r="CM152" s="1513"/>
      <c r="CN152" s="1513"/>
      <c r="CO152" s="1513"/>
      <c r="CP152" s="1513"/>
      <c r="CQ152" s="1513"/>
      <c r="CR152" s="1513"/>
      <c r="CS152" s="1513"/>
      <c r="CT152" s="1513"/>
      <c r="CU152" s="1513"/>
      <c r="CV152" s="1513"/>
      <c r="CW152" s="1513"/>
      <c r="CX152" s="1513"/>
      <c r="CY152" s="1513"/>
      <c r="CZ152" s="1513"/>
      <c r="DA152" s="1513"/>
      <c r="DB152" s="1513"/>
      <c r="DC152" s="1513"/>
      <c r="DD152" s="1513"/>
      <c r="DE152" s="1513"/>
      <c r="DF152" s="1513"/>
      <c r="DG152" s="1513"/>
      <c r="DH152" s="1513"/>
      <c r="DI152" s="1513"/>
      <c r="DJ152" s="1513"/>
      <c r="DK152" s="1513"/>
      <c r="DL152" s="1513"/>
      <c r="DM152" s="1513"/>
      <c r="DN152" s="1513"/>
      <c r="DO152" s="1513"/>
      <c r="DP152" s="1513"/>
      <c r="DQ152" s="1513"/>
      <c r="DR152" s="1513"/>
      <c r="DS152" s="1513"/>
      <c r="DT152" s="1513"/>
      <c r="DU152" s="1513"/>
      <c r="DV152" s="1513"/>
      <c r="DW152" s="1513"/>
      <c r="DX152" s="1513"/>
      <c r="DY152" s="1513"/>
      <c r="DZ152" s="1513"/>
      <c r="EA152" s="1513"/>
      <c r="EB152" s="1513"/>
      <c r="EC152" s="1513"/>
      <c r="ED152" s="1513"/>
      <c r="EE152" s="1513"/>
      <c r="EF152" s="1513"/>
      <c r="EG152" s="1513"/>
      <c r="EH152" s="1513"/>
      <c r="EI152" s="1513"/>
      <c r="EJ152" s="1513"/>
      <c r="EK152" s="1513"/>
      <c r="EL152" s="1513"/>
      <c r="EM152" s="1513"/>
      <c r="EN152" s="1513"/>
      <c r="EO152" s="1513"/>
      <c r="EP152" s="1513"/>
      <c r="EQ152" s="1513"/>
      <c r="ER152" s="1513"/>
      <c r="ES152" s="1513"/>
      <c r="ET152" s="1513"/>
      <c r="EU152" s="1513"/>
      <c r="EV152" s="1513"/>
      <c r="EW152" s="1513"/>
      <c r="EX152" s="1513"/>
      <c r="EY152" s="1513"/>
      <c r="EZ152" s="1513"/>
      <c r="FA152" s="1513"/>
      <c r="FB152" s="1513"/>
      <c r="FC152" s="1513"/>
      <c r="FD152" s="1513"/>
      <c r="FE152" s="1513"/>
      <c r="FF152" s="1513"/>
      <c r="FG152" s="1513"/>
      <c r="FH152" s="1513"/>
      <c r="FI152" s="1513"/>
      <c r="FJ152" s="1513"/>
      <c r="FL152" s="1513"/>
    </row>
    <row r="153" spans="1:168" ht="17.100000000000001" customHeight="1" x14ac:dyDescent="0.15">
      <c r="A153" s="1513"/>
      <c r="B153" s="1282"/>
      <c r="C153" s="1282"/>
      <c r="D153" s="1282"/>
      <c r="E153" s="1282"/>
      <c r="F153" s="1282"/>
      <c r="G153" s="1282"/>
      <c r="H153" s="1282"/>
      <c r="I153" s="1282"/>
      <c r="J153" s="1282"/>
      <c r="K153" s="1282"/>
      <c r="L153" s="1282"/>
      <c r="M153" s="1282"/>
      <c r="N153" s="1282"/>
      <c r="O153" s="1282"/>
      <c r="P153" s="1282"/>
      <c r="Q153" s="1282"/>
      <c r="R153" s="1282"/>
      <c r="S153" s="1282"/>
      <c r="T153" s="1282"/>
      <c r="U153" s="1282"/>
      <c r="V153" s="1282"/>
      <c r="W153" s="1282"/>
      <c r="X153" s="1282"/>
      <c r="Y153" s="1282"/>
      <c r="Z153" s="1282"/>
      <c r="AA153" s="1282"/>
      <c r="AB153" s="1282"/>
      <c r="AC153" s="1282"/>
      <c r="AD153" s="1282"/>
      <c r="AE153" s="1282"/>
      <c r="AF153" s="1282"/>
      <c r="AG153" s="1282"/>
      <c r="AH153" s="1282"/>
      <c r="AI153" s="1282"/>
      <c r="AJ153" s="1282"/>
      <c r="AK153" s="1282"/>
      <c r="AL153" s="1282"/>
      <c r="AM153" s="1282"/>
      <c r="AN153" s="1282"/>
      <c r="AO153" s="1282"/>
      <c r="AP153" s="1282"/>
      <c r="AQ153" s="1282"/>
      <c r="AR153" s="1282"/>
      <c r="AS153" s="1282"/>
      <c r="AT153" s="1282"/>
      <c r="AU153" s="1282"/>
      <c r="AV153" s="1282"/>
      <c r="AW153" s="1282"/>
      <c r="AX153" s="1282"/>
      <c r="AY153" s="1282"/>
      <c r="AZ153" s="1282"/>
      <c r="BA153" s="1282"/>
      <c r="BB153" s="1282"/>
      <c r="BC153" s="1282"/>
      <c r="BD153" s="1282"/>
      <c r="BE153" s="1282"/>
      <c r="BF153" s="1282"/>
      <c r="BG153" s="1282"/>
      <c r="BH153" s="1282"/>
      <c r="BI153" s="1282"/>
      <c r="BJ153" s="1282"/>
      <c r="BK153" s="1282"/>
      <c r="BL153" s="1282"/>
      <c r="BM153" s="1282"/>
      <c r="BN153" s="1282"/>
      <c r="BO153" s="1282"/>
      <c r="BP153" s="1282"/>
      <c r="BQ153" s="1282"/>
      <c r="BR153" s="1282"/>
      <c r="BS153" s="1282"/>
      <c r="BT153" s="1282"/>
      <c r="BU153" s="1282"/>
      <c r="BV153" s="1282"/>
      <c r="BW153" s="1282"/>
      <c r="BX153" s="1282"/>
      <c r="BY153" s="1282"/>
      <c r="BZ153" s="1282"/>
      <c r="CA153" s="1513"/>
      <c r="CK153" s="1513"/>
      <c r="CL153" s="1513"/>
      <c r="CM153" s="1513"/>
      <c r="CN153" s="1513"/>
      <c r="CO153" s="1513"/>
      <c r="CP153" s="1513"/>
      <c r="CQ153" s="1513"/>
      <c r="CR153" s="1513"/>
      <c r="CS153" s="1513"/>
      <c r="CT153" s="1513"/>
      <c r="CU153" s="1513"/>
      <c r="CV153" s="1513"/>
      <c r="CW153" s="1513"/>
      <c r="CX153" s="1513"/>
      <c r="CY153" s="1513"/>
      <c r="CZ153" s="1513"/>
      <c r="DA153" s="1513"/>
      <c r="DB153" s="1513"/>
      <c r="DC153" s="1513"/>
      <c r="DD153" s="1513"/>
      <c r="DE153" s="1513"/>
      <c r="DF153" s="1513"/>
      <c r="DG153" s="1513"/>
      <c r="DH153" s="1513"/>
      <c r="DI153" s="1513"/>
      <c r="DJ153" s="1513"/>
      <c r="DK153" s="1513"/>
      <c r="DL153" s="1513"/>
      <c r="DM153" s="1513"/>
      <c r="DN153" s="1513"/>
      <c r="DO153" s="1513"/>
      <c r="DP153" s="1513"/>
      <c r="DQ153" s="1513"/>
      <c r="DR153" s="1513"/>
      <c r="DS153" s="1513"/>
      <c r="DT153" s="1513"/>
      <c r="DU153" s="1513"/>
      <c r="DV153" s="1513"/>
      <c r="DW153" s="1513"/>
      <c r="DX153" s="1513"/>
      <c r="DY153" s="1513"/>
      <c r="DZ153" s="1513"/>
      <c r="EA153" s="1513"/>
      <c r="EB153" s="1513"/>
      <c r="EC153" s="1513"/>
      <c r="ED153" s="1513"/>
      <c r="EE153" s="1513"/>
      <c r="EF153" s="1513"/>
      <c r="EG153" s="1513"/>
      <c r="EH153" s="1513"/>
      <c r="EI153" s="1513"/>
      <c r="EJ153" s="1513"/>
      <c r="EK153" s="1513"/>
      <c r="EL153" s="1513"/>
      <c r="EM153" s="1513"/>
      <c r="EN153" s="1513"/>
      <c r="EO153" s="1513"/>
      <c r="EP153" s="1513"/>
      <c r="EQ153" s="1513"/>
      <c r="ER153" s="1513"/>
      <c r="ES153" s="1513"/>
      <c r="ET153" s="1513"/>
      <c r="EU153" s="1513"/>
      <c r="EV153" s="1513"/>
      <c r="EW153" s="1513"/>
      <c r="EX153" s="1513"/>
      <c r="EY153" s="1513"/>
      <c r="EZ153" s="1513"/>
      <c r="FA153" s="1513"/>
      <c r="FB153" s="1513"/>
      <c r="FC153" s="1513"/>
      <c r="FD153" s="1513"/>
      <c r="FE153" s="1513"/>
      <c r="FF153" s="1513"/>
      <c r="FG153" s="1513"/>
      <c r="FH153" s="1513"/>
      <c r="FI153" s="1513"/>
      <c r="FJ153" s="1513"/>
      <c r="FL153" s="1513"/>
    </row>
    <row r="154" spans="1:168" ht="17.100000000000001" customHeight="1" x14ac:dyDescent="0.15">
      <c r="A154" s="1513"/>
      <c r="B154" s="1282"/>
      <c r="C154" s="1282"/>
      <c r="D154" s="1282"/>
      <c r="E154" s="1282"/>
      <c r="F154" s="1282"/>
      <c r="G154" s="1282"/>
      <c r="H154" s="1282"/>
      <c r="I154" s="1282"/>
      <c r="J154" s="1282"/>
      <c r="K154" s="1282"/>
      <c r="L154" s="1282"/>
      <c r="M154" s="1282"/>
      <c r="N154" s="1282"/>
      <c r="O154" s="1282"/>
      <c r="P154" s="1282"/>
      <c r="Q154" s="1282"/>
      <c r="R154" s="1282"/>
      <c r="S154" s="1282"/>
      <c r="T154" s="1282"/>
      <c r="U154" s="1282"/>
      <c r="V154" s="1282"/>
      <c r="W154" s="1282"/>
      <c r="X154" s="1282"/>
      <c r="Y154" s="1282"/>
      <c r="Z154" s="1282"/>
      <c r="AA154" s="1282"/>
      <c r="AB154" s="1282"/>
      <c r="AC154" s="1282"/>
      <c r="AD154" s="1282"/>
      <c r="AE154" s="1282"/>
      <c r="AF154" s="1282"/>
      <c r="AG154" s="1282"/>
      <c r="AH154" s="1282"/>
      <c r="AI154" s="1282"/>
      <c r="AJ154" s="1282"/>
      <c r="AK154" s="1282"/>
      <c r="AL154" s="1282"/>
      <c r="AM154" s="1282"/>
      <c r="AN154" s="1282"/>
      <c r="AO154" s="1282"/>
      <c r="AP154" s="1282"/>
      <c r="AQ154" s="1282"/>
      <c r="AR154" s="1282"/>
      <c r="AS154" s="1282"/>
      <c r="AT154" s="1282"/>
      <c r="AU154" s="1282"/>
      <c r="AV154" s="1282"/>
      <c r="AW154" s="1282"/>
      <c r="AX154" s="1282"/>
      <c r="AY154" s="1282"/>
      <c r="AZ154" s="1282"/>
      <c r="BA154" s="1282"/>
      <c r="BB154" s="1282"/>
      <c r="BC154" s="1282"/>
      <c r="BD154" s="1282"/>
      <c r="BE154" s="1282"/>
      <c r="BF154" s="1282"/>
      <c r="BG154" s="1282"/>
      <c r="BH154" s="1282"/>
      <c r="BI154" s="1282"/>
      <c r="BJ154" s="1282"/>
      <c r="BK154" s="1282"/>
      <c r="BL154" s="1282"/>
      <c r="BM154" s="1282"/>
      <c r="BN154" s="1282"/>
      <c r="BO154" s="1282"/>
      <c r="BP154" s="1282"/>
      <c r="BQ154" s="1282"/>
      <c r="BR154" s="1282"/>
      <c r="BS154" s="1282"/>
      <c r="BT154" s="1282"/>
      <c r="BU154" s="1282"/>
      <c r="BV154" s="1282"/>
      <c r="BW154" s="1282"/>
      <c r="BX154" s="1282"/>
      <c r="BY154" s="1282"/>
      <c r="BZ154" s="1282"/>
      <c r="CA154" s="1513"/>
      <c r="CK154" s="1513"/>
      <c r="CL154" s="1513"/>
      <c r="CM154" s="1513"/>
      <c r="CN154" s="1513"/>
      <c r="CO154" s="1513"/>
      <c r="CP154" s="1513"/>
      <c r="CQ154" s="1513"/>
      <c r="CR154" s="1513"/>
      <c r="CS154" s="1513"/>
      <c r="CT154" s="1513"/>
      <c r="CU154" s="1513"/>
      <c r="CV154" s="1513"/>
      <c r="CW154" s="1513"/>
      <c r="CX154" s="1513"/>
      <c r="CY154" s="1513"/>
      <c r="CZ154" s="1513"/>
      <c r="DA154" s="1513"/>
      <c r="DB154" s="1513"/>
      <c r="DC154" s="1513"/>
      <c r="DD154" s="1513"/>
      <c r="DE154" s="1513"/>
      <c r="DF154" s="1513"/>
      <c r="DG154" s="1513"/>
      <c r="DH154" s="1513"/>
      <c r="DI154" s="1513"/>
      <c r="DJ154" s="1513"/>
      <c r="DK154" s="1513"/>
      <c r="DL154" s="1513"/>
      <c r="DM154" s="1513"/>
      <c r="DN154" s="1513"/>
      <c r="DO154" s="1513"/>
      <c r="DP154" s="1513"/>
      <c r="DQ154" s="1513"/>
      <c r="DR154" s="1513"/>
      <c r="DS154" s="1513"/>
      <c r="DT154" s="1513"/>
      <c r="DU154" s="1513"/>
      <c r="DV154" s="1513"/>
      <c r="DW154" s="1513"/>
      <c r="DX154" s="1513"/>
      <c r="DY154" s="1513"/>
      <c r="DZ154" s="1513"/>
      <c r="EA154" s="1513"/>
      <c r="EB154" s="1513"/>
      <c r="EC154" s="1513"/>
      <c r="ED154" s="1513"/>
      <c r="EE154" s="1513"/>
      <c r="EF154" s="1513"/>
      <c r="EG154" s="1513"/>
      <c r="EH154" s="1513"/>
      <c r="EI154" s="1513"/>
      <c r="EJ154" s="1513"/>
      <c r="EK154" s="1513"/>
      <c r="EL154" s="1513"/>
      <c r="EM154" s="1513"/>
      <c r="EN154" s="1513"/>
      <c r="EO154" s="1513"/>
      <c r="EP154" s="1513"/>
      <c r="EQ154" s="1513"/>
      <c r="ER154" s="1513"/>
      <c r="ES154" s="1513"/>
      <c r="ET154" s="1513"/>
      <c r="EU154" s="1513"/>
      <c r="EV154" s="1513"/>
      <c r="EW154" s="1513"/>
      <c r="EX154" s="1513"/>
      <c r="EY154" s="1513"/>
      <c r="EZ154" s="1513"/>
      <c r="FA154" s="1513"/>
      <c r="FB154" s="1513"/>
      <c r="FC154" s="1513"/>
      <c r="FD154" s="1513"/>
      <c r="FE154" s="1513"/>
      <c r="FF154" s="1513"/>
      <c r="FG154" s="1513"/>
      <c r="FH154" s="1513"/>
      <c r="FI154" s="1513"/>
      <c r="FJ154" s="1513"/>
      <c r="FL154" s="1513"/>
    </row>
    <row r="155" spans="1:168" ht="17.100000000000001" customHeight="1" x14ac:dyDescent="0.15">
      <c r="A155" s="1513"/>
      <c r="B155" s="1282"/>
      <c r="C155" s="1282"/>
      <c r="D155" s="1282"/>
      <c r="E155" s="1282"/>
      <c r="F155" s="1282"/>
      <c r="G155" s="1282"/>
      <c r="H155" s="1282"/>
      <c r="I155" s="1282"/>
      <c r="J155" s="1282"/>
      <c r="K155" s="1282"/>
      <c r="L155" s="1282"/>
      <c r="M155" s="1282"/>
      <c r="N155" s="1282"/>
      <c r="O155" s="1282"/>
      <c r="P155" s="1282"/>
      <c r="Q155" s="1282"/>
      <c r="R155" s="1282"/>
      <c r="S155" s="1282"/>
      <c r="T155" s="1282"/>
      <c r="U155" s="1282"/>
      <c r="V155" s="1282"/>
      <c r="W155" s="1282"/>
      <c r="X155" s="1282"/>
      <c r="Y155" s="1282"/>
      <c r="Z155" s="1282"/>
      <c r="AA155" s="1282"/>
      <c r="AB155" s="1282"/>
      <c r="AC155" s="1282"/>
      <c r="AD155" s="1282"/>
      <c r="AE155" s="1282"/>
      <c r="AF155" s="1282"/>
      <c r="AG155" s="1282"/>
      <c r="AH155" s="1282"/>
      <c r="AI155" s="1282"/>
      <c r="AJ155" s="1282"/>
      <c r="AK155" s="1282"/>
      <c r="AL155" s="1282"/>
      <c r="AM155" s="1282"/>
      <c r="AN155" s="1282"/>
      <c r="AO155" s="1282"/>
      <c r="AP155" s="1282"/>
      <c r="AQ155" s="1282"/>
      <c r="AR155" s="1282"/>
      <c r="AS155" s="1282"/>
      <c r="AT155" s="1282"/>
      <c r="AU155" s="1282"/>
      <c r="AV155" s="1282"/>
      <c r="AW155" s="1282"/>
      <c r="AX155" s="1282"/>
      <c r="AY155" s="1282"/>
      <c r="AZ155" s="1282"/>
      <c r="BA155" s="1282"/>
      <c r="BB155" s="1282"/>
      <c r="BC155" s="1282"/>
      <c r="BD155" s="1282"/>
      <c r="BE155" s="1282"/>
      <c r="BF155" s="1282"/>
      <c r="BG155" s="1282"/>
      <c r="BH155" s="1282"/>
      <c r="BI155" s="1282"/>
      <c r="BJ155" s="1282"/>
      <c r="BK155" s="1282"/>
      <c r="BL155" s="1282"/>
      <c r="BM155" s="1282"/>
      <c r="BN155" s="1282"/>
      <c r="BO155" s="1282"/>
      <c r="BP155" s="1282"/>
      <c r="BQ155" s="1282"/>
      <c r="BR155" s="1282"/>
      <c r="BS155" s="1282"/>
      <c r="BT155" s="1282"/>
      <c r="BU155" s="1282"/>
      <c r="BV155" s="1282"/>
      <c r="BW155" s="1282"/>
      <c r="BX155" s="1282"/>
      <c r="BY155" s="1282"/>
      <c r="BZ155" s="1282"/>
      <c r="CA155" s="1513"/>
      <c r="CK155" s="1513"/>
      <c r="CL155" s="1513"/>
      <c r="CM155" s="1513"/>
      <c r="CN155" s="1513"/>
      <c r="CO155" s="1513"/>
      <c r="CP155" s="1513"/>
      <c r="CQ155" s="1513"/>
      <c r="CR155" s="1513"/>
      <c r="CS155" s="1513"/>
      <c r="CT155" s="1513"/>
      <c r="CU155" s="1513"/>
      <c r="CV155" s="1513"/>
      <c r="CW155" s="1513"/>
      <c r="CX155" s="1513"/>
      <c r="CY155" s="1513"/>
      <c r="CZ155" s="1513"/>
      <c r="DA155" s="1513"/>
      <c r="DB155" s="1513"/>
      <c r="DC155" s="1513"/>
      <c r="DD155" s="1513"/>
      <c r="DE155" s="1513"/>
      <c r="DF155" s="1513"/>
      <c r="DG155" s="1513"/>
      <c r="DH155" s="1513"/>
      <c r="DI155" s="1513"/>
      <c r="DJ155" s="1513"/>
      <c r="DK155" s="1513"/>
      <c r="DL155" s="1513"/>
      <c r="DM155" s="1513"/>
      <c r="DN155" s="1513"/>
      <c r="DO155" s="1513"/>
      <c r="DP155" s="1513"/>
      <c r="DQ155" s="1513"/>
      <c r="DR155" s="1513"/>
      <c r="DS155" s="1513"/>
      <c r="DT155" s="1513"/>
      <c r="DU155" s="1513"/>
      <c r="DV155" s="1513"/>
      <c r="DW155" s="1513"/>
      <c r="DX155" s="1513"/>
      <c r="DY155" s="1513"/>
      <c r="DZ155" s="1513"/>
      <c r="EA155" s="1513"/>
      <c r="EB155" s="1513"/>
      <c r="EC155" s="1513"/>
      <c r="ED155" s="1513"/>
      <c r="EE155" s="1513"/>
      <c r="EF155" s="1513"/>
      <c r="EG155" s="1513"/>
      <c r="EH155" s="1513"/>
      <c r="EI155" s="1513"/>
      <c r="EJ155" s="1513"/>
      <c r="EK155" s="1513"/>
      <c r="EL155" s="1513"/>
      <c r="EM155" s="1513"/>
      <c r="EN155" s="1513"/>
      <c r="EO155" s="1513"/>
      <c r="EP155" s="1513"/>
      <c r="EQ155" s="1513"/>
      <c r="ER155" s="1513"/>
      <c r="ES155" s="1513"/>
      <c r="ET155" s="1513"/>
      <c r="EU155" s="1513"/>
      <c r="EV155" s="1513"/>
      <c r="EW155" s="1513"/>
      <c r="EX155" s="1513"/>
      <c r="EY155" s="1513"/>
      <c r="EZ155" s="1513"/>
      <c r="FA155" s="1513"/>
      <c r="FB155" s="1513"/>
      <c r="FC155" s="1513"/>
      <c r="FD155" s="1513"/>
      <c r="FE155" s="1513"/>
      <c r="FF155" s="1513"/>
      <c r="FG155" s="1513"/>
      <c r="FH155" s="1513"/>
      <c r="FI155" s="1513"/>
      <c r="FJ155" s="1513"/>
      <c r="FL155" s="1513"/>
    </row>
    <row r="156" spans="1:168" ht="17.100000000000001" customHeight="1" x14ac:dyDescent="0.15">
      <c r="A156" s="1513"/>
      <c r="B156" s="1282"/>
      <c r="C156" s="1282"/>
      <c r="D156" s="1282"/>
      <c r="E156" s="1282"/>
      <c r="F156" s="1282"/>
      <c r="G156" s="1282"/>
      <c r="H156" s="1282"/>
      <c r="I156" s="1282"/>
      <c r="J156" s="1282"/>
      <c r="K156" s="1282"/>
      <c r="L156" s="1282"/>
      <c r="M156" s="1282"/>
      <c r="N156" s="1282"/>
      <c r="O156" s="1282"/>
      <c r="P156" s="1282"/>
      <c r="Q156" s="1282"/>
      <c r="R156" s="1282"/>
      <c r="S156" s="1282"/>
      <c r="T156" s="1282"/>
      <c r="U156" s="1282"/>
      <c r="V156" s="1282"/>
      <c r="W156" s="1282"/>
      <c r="X156" s="1282"/>
      <c r="Y156" s="1282"/>
      <c r="Z156" s="1282"/>
      <c r="AA156" s="1282"/>
      <c r="AB156" s="1282"/>
      <c r="AC156" s="1282"/>
      <c r="AD156" s="1282"/>
      <c r="AE156" s="1282"/>
      <c r="AF156" s="1282"/>
      <c r="AG156" s="1282"/>
      <c r="AH156" s="1282"/>
      <c r="AI156" s="1282"/>
      <c r="AJ156" s="1282"/>
      <c r="AK156" s="1282"/>
      <c r="AL156" s="1282"/>
      <c r="AM156" s="1282"/>
      <c r="AN156" s="1282"/>
      <c r="AO156" s="1282"/>
      <c r="AP156" s="1282"/>
      <c r="AQ156" s="1282"/>
      <c r="AR156" s="1282"/>
      <c r="AS156" s="1282"/>
      <c r="AT156" s="1282"/>
      <c r="AU156" s="1282"/>
      <c r="AV156" s="1282"/>
      <c r="AW156" s="1282"/>
      <c r="AX156" s="1282"/>
      <c r="AY156" s="1282"/>
      <c r="AZ156" s="1282"/>
      <c r="BA156" s="1282"/>
      <c r="BB156" s="1282"/>
      <c r="BC156" s="1282"/>
      <c r="BD156" s="1282"/>
      <c r="BE156" s="1282"/>
      <c r="BF156" s="1282"/>
      <c r="BG156" s="1282"/>
      <c r="BH156" s="1282"/>
      <c r="BI156" s="1282"/>
      <c r="BJ156" s="1282"/>
      <c r="BK156" s="1282"/>
      <c r="BL156" s="1282"/>
      <c r="BM156" s="1282"/>
      <c r="BN156" s="1282"/>
      <c r="BO156" s="1282"/>
      <c r="BP156" s="1282"/>
      <c r="BQ156" s="1282"/>
      <c r="BR156" s="1282"/>
      <c r="BS156" s="1282"/>
      <c r="BT156" s="1282"/>
      <c r="BU156" s="1282"/>
      <c r="BV156" s="1282"/>
      <c r="BW156" s="1282"/>
      <c r="BX156" s="1282"/>
      <c r="BY156" s="1282"/>
      <c r="BZ156" s="1282"/>
      <c r="CA156" s="1513"/>
      <c r="CK156" s="1513"/>
      <c r="CL156" s="1513"/>
      <c r="CM156" s="1513"/>
      <c r="CN156" s="1513"/>
      <c r="CO156" s="1513"/>
      <c r="CP156" s="1513"/>
      <c r="CQ156" s="1513"/>
      <c r="CR156" s="1513"/>
      <c r="CS156" s="1513"/>
      <c r="CT156" s="1513"/>
      <c r="CU156" s="1513"/>
      <c r="CV156" s="1513"/>
      <c r="CW156" s="1513"/>
      <c r="CX156" s="1513"/>
      <c r="CY156" s="1513"/>
      <c r="CZ156" s="1513"/>
      <c r="DA156" s="1513"/>
      <c r="DB156" s="1513"/>
      <c r="DC156" s="1513"/>
      <c r="DD156" s="1513"/>
      <c r="DE156" s="1513"/>
      <c r="DF156" s="1513"/>
      <c r="DG156" s="1513"/>
      <c r="DH156" s="1513"/>
      <c r="DI156" s="1513"/>
      <c r="DJ156" s="1513"/>
      <c r="DK156" s="1513"/>
      <c r="DL156" s="1513"/>
      <c r="DM156" s="1513"/>
      <c r="DN156" s="1513"/>
      <c r="DO156" s="1513"/>
      <c r="DP156" s="1513"/>
      <c r="DQ156" s="1513"/>
      <c r="DR156" s="1513"/>
      <c r="DS156" s="1513"/>
      <c r="DT156" s="1513"/>
      <c r="DU156" s="1513"/>
      <c r="DV156" s="1513"/>
      <c r="DW156" s="1513"/>
      <c r="DX156" s="1513"/>
      <c r="DY156" s="1513"/>
      <c r="DZ156" s="1513"/>
      <c r="EA156" s="1513"/>
      <c r="EB156" s="1513"/>
      <c r="EC156" s="1513"/>
      <c r="ED156" s="1513"/>
      <c r="EE156" s="1513"/>
      <c r="EF156" s="1513"/>
      <c r="EG156" s="1513"/>
      <c r="EH156" s="1513"/>
      <c r="EI156" s="1513"/>
      <c r="EJ156" s="1513"/>
      <c r="EK156" s="1513"/>
      <c r="EL156" s="1513"/>
      <c r="EM156" s="1513"/>
      <c r="EN156" s="1513"/>
      <c r="EO156" s="1513"/>
      <c r="EP156" s="1513"/>
      <c r="EQ156" s="1513"/>
      <c r="ER156" s="1513"/>
      <c r="ES156" s="1513"/>
      <c r="ET156" s="1513"/>
      <c r="EU156" s="1513"/>
      <c r="EV156" s="1513"/>
      <c r="EW156" s="1513"/>
      <c r="EX156" s="1513"/>
      <c r="EY156" s="1513"/>
      <c r="EZ156" s="1513"/>
      <c r="FA156" s="1513"/>
      <c r="FB156" s="1513"/>
      <c r="FC156" s="1513"/>
      <c r="FD156" s="1513"/>
      <c r="FE156" s="1513"/>
      <c r="FF156" s="1513"/>
      <c r="FG156" s="1513"/>
      <c r="FH156" s="1513"/>
      <c r="FI156" s="1513"/>
      <c r="FJ156" s="1513"/>
      <c r="FL156" s="1513"/>
    </row>
    <row r="157" spans="1:168" ht="17.100000000000001" customHeight="1" x14ac:dyDescent="0.15">
      <c r="A157" s="1513"/>
      <c r="B157" s="1282"/>
      <c r="C157" s="1282"/>
      <c r="D157" s="1282"/>
      <c r="E157" s="1282"/>
      <c r="F157" s="1282"/>
      <c r="G157" s="1282"/>
      <c r="H157" s="1282"/>
      <c r="I157" s="1282"/>
      <c r="J157" s="1282"/>
      <c r="K157" s="1282"/>
      <c r="L157" s="1282"/>
      <c r="M157" s="1282"/>
      <c r="N157" s="1282"/>
      <c r="O157" s="1282"/>
      <c r="P157" s="1282"/>
      <c r="Q157" s="1282"/>
      <c r="R157" s="1282"/>
      <c r="S157" s="1282"/>
      <c r="T157" s="1282"/>
      <c r="U157" s="1282"/>
      <c r="V157" s="1282"/>
      <c r="W157" s="1282"/>
      <c r="X157" s="1282"/>
      <c r="Y157" s="1282"/>
      <c r="Z157" s="1282"/>
      <c r="AA157" s="1282"/>
      <c r="AB157" s="1282"/>
      <c r="AC157" s="1282"/>
      <c r="AD157" s="1282"/>
      <c r="AE157" s="1282"/>
      <c r="AF157" s="1282"/>
      <c r="AG157" s="1282"/>
      <c r="AH157" s="1282"/>
      <c r="AI157" s="1282"/>
      <c r="AJ157" s="1282"/>
      <c r="AK157" s="1282"/>
      <c r="AL157" s="1282"/>
      <c r="AM157" s="1282"/>
      <c r="AN157" s="1282"/>
      <c r="AO157" s="1282"/>
      <c r="AP157" s="1282"/>
      <c r="AQ157" s="1282"/>
      <c r="AR157" s="1282"/>
      <c r="AS157" s="1282"/>
      <c r="AT157" s="1282"/>
      <c r="AU157" s="1282"/>
      <c r="AV157" s="1282"/>
      <c r="AW157" s="1282"/>
      <c r="AX157" s="1282"/>
      <c r="AY157" s="1282"/>
      <c r="AZ157" s="1282"/>
      <c r="BA157" s="1282"/>
      <c r="BB157" s="1282"/>
      <c r="BC157" s="1282"/>
      <c r="BD157" s="1282"/>
      <c r="BE157" s="1282"/>
      <c r="BF157" s="1282"/>
      <c r="BG157" s="1282"/>
      <c r="BH157" s="1282"/>
      <c r="BI157" s="1282"/>
      <c r="BJ157" s="1282"/>
      <c r="BK157" s="1282"/>
      <c r="BL157" s="1282"/>
      <c r="BM157" s="1282"/>
      <c r="BN157" s="1282"/>
      <c r="BO157" s="1282"/>
      <c r="BP157" s="1282"/>
      <c r="BQ157" s="1282"/>
      <c r="BR157" s="1282"/>
      <c r="BS157" s="1282"/>
      <c r="BT157" s="1282"/>
      <c r="BU157" s="1282"/>
      <c r="BV157" s="1282"/>
      <c r="BW157" s="1282"/>
      <c r="BX157" s="1282"/>
      <c r="BY157" s="1282"/>
      <c r="BZ157" s="1282"/>
      <c r="CA157" s="1513"/>
      <c r="CK157" s="1513"/>
      <c r="CL157" s="1513"/>
      <c r="CM157" s="1513"/>
      <c r="CN157" s="1513"/>
      <c r="CO157" s="1513"/>
      <c r="CP157" s="1513"/>
      <c r="CQ157" s="1513"/>
      <c r="CR157" s="1513"/>
      <c r="CS157" s="1513"/>
      <c r="CT157" s="1513"/>
      <c r="CU157" s="1513"/>
      <c r="CV157" s="1513"/>
      <c r="CW157" s="1513"/>
      <c r="CX157" s="1513"/>
      <c r="CY157" s="1513"/>
      <c r="CZ157" s="1513"/>
      <c r="DA157" s="1513"/>
      <c r="DB157" s="1513"/>
      <c r="DC157" s="1513"/>
      <c r="DD157" s="1513"/>
      <c r="DE157" s="1513"/>
      <c r="DF157" s="1513"/>
      <c r="DG157" s="1513"/>
      <c r="DH157" s="1513"/>
      <c r="DI157" s="1513"/>
      <c r="DJ157" s="1513"/>
      <c r="DK157" s="1513"/>
      <c r="DL157" s="1513"/>
      <c r="DM157" s="1513"/>
      <c r="DN157" s="1513"/>
      <c r="DO157" s="1513"/>
      <c r="DP157" s="1513"/>
      <c r="DQ157" s="1513"/>
      <c r="DR157" s="1513"/>
      <c r="DS157" s="1513"/>
      <c r="DT157" s="1513"/>
      <c r="DU157" s="1513"/>
      <c r="DV157" s="1513"/>
      <c r="DW157" s="1513"/>
      <c r="DX157" s="1513"/>
      <c r="DY157" s="1513"/>
      <c r="DZ157" s="1513"/>
      <c r="EA157" s="1513"/>
      <c r="EB157" s="1513"/>
      <c r="EC157" s="1513"/>
      <c r="ED157" s="1513"/>
      <c r="EE157" s="1513"/>
      <c r="EF157" s="1513"/>
      <c r="EG157" s="1513"/>
      <c r="EH157" s="1513"/>
      <c r="EI157" s="1513"/>
      <c r="EJ157" s="1513"/>
      <c r="EK157" s="1513"/>
      <c r="EL157" s="1513"/>
      <c r="EM157" s="1513"/>
      <c r="EN157" s="1513"/>
      <c r="EO157" s="1513"/>
      <c r="EP157" s="1513"/>
      <c r="EQ157" s="1513"/>
      <c r="ER157" s="1513"/>
      <c r="ES157" s="1513"/>
      <c r="ET157" s="1513"/>
      <c r="EU157" s="1513"/>
      <c r="EV157" s="1513"/>
      <c r="EW157" s="1513"/>
      <c r="EX157" s="1513"/>
      <c r="EY157" s="1513"/>
      <c r="EZ157" s="1513"/>
      <c r="FA157" s="1513"/>
      <c r="FB157" s="1513"/>
      <c r="FC157" s="1513"/>
      <c r="FD157" s="1513"/>
      <c r="FE157" s="1513"/>
      <c r="FF157" s="1513"/>
      <c r="FG157" s="1513"/>
      <c r="FH157" s="1513"/>
      <c r="FI157" s="1513"/>
      <c r="FJ157" s="1513"/>
      <c r="FL157" s="1513"/>
    </row>
    <row r="158" spans="1:168" ht="17.100000000000001" customHeight="1" x14ac:dyDescent="0.15">
      <c r="A158" s="1513"/>
      <c r="B158" s="1282"/>
      <c r="C158" s="1282"/>
      <c r="D158" s="1282"/>
      <c r="E158" s="1282"/>
      <c r="F158" s="1282"/>
      <c r="G158" s="1282"/>
      <c r="H158" s="1282"/>
      <c r="I158" s="1282"/>
      <c r="J158" s="1282"/>
      <c r="K158" s="1282"/>
      <c r="L158" s="1282"/>
      <c r="M158" s="1282"/>
      <c r="N158" s="1282"/>
      <c r="O158" s="1282"/>
      <c r="P158" s="1282"/>
      <c r="Q158" s="1282"/>
      <c r="R158" s="1282"/>
      <c r="S158" s="1282"/>
      <c r="T158" s="1282"/>
      <c r="U158" s="1282"/>
      <c r="V158" s="1282"/>
      <c r="W158" s="1282"/>
      <c r="X158" s="1282"/>
      <c r="Y158" s="1282"/>
      <c r="Z158" s="1282"/>
      <c r="AA158" s="1282"/>
      <c r="AB158" s="1282"/>
      <c r="AC158" s="1282"/>
      <c r="AD158" s="1282"/>
      <c r="AE158" s="1282"/>
      <c r="AF158" s="1282"/>
      <c r="AG158" s="1282"/>
      <c r="AH158" s="1282"/>
      <c r="AI158" s="1282"/>
      <c r="AJ158" s="1282"/>
      <c r="AK158" s="1282"/>
      <c r="AL158" s="1282"/>
      <c r="AM158" s="1282"/>
      <c r="AN158" s="1282"/>
      <c r="AO158" s="1282"/>
      <c r="AP158" s="1282"/>
      <c r="AQ158" s="1282"/>
      <c r="AR158" s="1282"/>
      <c r="AS158" s="1282"/>
      <c r="AT158" s="1282"/>
      <c r="AU158" s="1282"/>
      <c r="AV158" s="1282"/>
      <c r="AW158" s="1282"/>
      <c r="AX158" s="1282"/>
      <c r="AY158" s="1282"/>
      <c r="AZ158" s="1282"/>
      <c r="BA158" s="1282"/>
      <c r="BB158" s="1282"/>
      <c r="BC158" s="1282"/>
      <c r="BD158" s="1282"/>
      <c r="BE158" s="1282"/>
      <c r="BF158" s="1282"/>
      <c r="BG158" s="1282"/>
      <c r="BH158" s="1282"/>
      <c r="BI158" s="1282"/>
      <c r="BJ158" s="1282"/>
      <c r="BK158" s="1282"/>
      <c r="BL158" s="1282"/>
      <c r="BM158" s="1282"/>
      <c r="BN158" s="1282"/>
      <c r="BO158" s="1282"/>
      <c r="BP158" s="1282"/>
      <c r="BQ158" s="1282"/>
      <c r="BR158" s="1282"/>
      <c r="BS158" s="1282"/>
      <c r="BT158" s="1282"/>
      <c r="BU158" s="1282"/>
      <c r="BV158" s="1282"/>
      <c r="BW158" s="1282"/>
      <c r="BX158" s="1282"/>
      <c r="BY158" s="1282"/>
      <c r="BZ158" s="1282"/>
      <c r="CA158" s="1513"/>
      <c r="CK158" s="1513"/>
      <c r="CL158" s="1513"/>
      <c r="CM158" s="1513"/>
      <c r="CN158" s="1513"/>
      <c r="CO158" s="1513"/>
      <c r="CP158" s="1513"/>
      <c r="CQ158" s="1513"/>
      <c r="CR158" s="1513"/>
      <c r="CS158" s="1513"/>
      <c r="CT158" s="1513"/>
      <c r="CU158" s="1513"/>
      <c r="CV158" s="1513"/>
      <c r="CW158" s="1513"/>
      <c r="CX158" s="1513"/>
      <c r="CY158" s="1513"/>
      <c r="CZ158" s="1513"/>
      <c r="DA158" s="1513"/>
      <c r="DB158" s="1513"/>
      <c r="DC158" s="1513"/>
      <c r="DD158" s="1513"/>
      <c r="DE158" s="1513"/>
      <c r="DF158" s="1513"/>
      <c r="DG158" s="1513"/>
      <c r="DH158" s="1513"/>
      <c r="DI158" s="1513"/>
      <c r="DJ158" s="1513"/>
      <c r="DK158" s="1513"/>
      <c r="DL158" s="1513"/>
      <c r="DM158" s="1513"/>
      <c r="DN158" s="1513"/>
      <c r="DO158" s="1513"/>
      <c r="DP158" s="1513"/>
      <c r="DQ158" s="1513"/>
      <c r="DR158" s="1513"/>
      <c r="DS158" s="1513"/>
      <c r="DT158" s="1513"/>
      <c r="DU158" s="1513"/>
      <c r="DV158" s="1513"/>
      <c r="DW158" s="1513"/>
      <c r="DX158" s="1513"/>
      <c r="DY158" s="1513"/>
      <c r="DZ158" s="1513"/>
      <c r="EA158" s="1513"/>
      <c r="EB158" s="1513"/>
      <c r="EC158" s="1513"/>
      <c r="ED158" s="1513"/>
      <c r="EE158" s="1513"/>
      <c r="EF158" s="1513"/>
      <c r="EG158" s="1513"/>
      <c r="EH158" s="1513"/>
      <c r="EI158" s="1513"/>
      <c r="EJ158" s="1513"/>
      <c r="EK158" s="1513"/>
      <c r="EL158" s="1513"/>
      <c r="EM158" s="1513"/>
      <c r="EN158" s="1513"/>
      <c r="EO158" s="1513"/>
      <c r="EP158" s="1513"/>
      <c r="EQ158" s="1513"/>
      <c r="ER158" s="1513"/>
      <c r="ES158" s="1513"/>
      <c r="ET158" s="1513"/>
      <c r="EU158" s="1513"/>
      <c r="EV158" s="1513"/>
      <c r="EW158" s="1513"/>
      <c r="EX158" s="1513"/>
      <c r="EY158" s="1513"/>
      <c r="EZ158" s="1513"/>
      <c r="FA158" s="1513"/>
      <c r="FB158" s="1513"/>
      <c r="FC158" s="1513"/>
      <c r="FD158" s="1513"/>
      <c r="FE158" s="1513"/>
      <c r="FF158" s="1513"/>
      <c r="FG158" s="1513"/>
      <c r="FH158" s="1513"/>
      <c r="FI158" s="1513"/>
      <c r="FJ158" s="1513"/>
      <c r="FL158" s="1513"/>
    </row>
    <row r="159" spans="1:168" ht="17.100000000000001" customHeight="1" x14ac:dyDescent="0.15">
      <c r="A159" s="1513"/>
      <c r="B159" s="1282"/>
      <c r="C159" s="1282"/>
      <c r="D159" s="1282"/>
      <c r="E159" s="1282"/>
      <c r="F159" s="1282"/>
      <c r="G159" s="1282"/>
      <c r="H159" s="1282"/>
      <c r="I159" s="1282"/>
      <c r="J159" s="1282"/>
      <c r="K159" s="1282"/>
      <c r="L159" s="1282"/>
      <c r="M159" s="1282"/>
      <c r="N159" s="1282"/>
      <c r="O159" s="1282"/>
      <c r="P159" s="1282"/>
      <c r="Q159" s="1282"/>
      <c r="R159" s="1282"/>
      <c r="S159" s="1282"/>
      <c r="T159" s="1282"/>
      <c r="U159" s="1282"/>
      <c r="V159" s="1282"/>
      <c r="W159" s="1282"/>
      <c r="X159" s="1282"/>
      <c r="Y159" s="1282"/>
      <c r="Z159" s="1282"/>
      <c r="AA159" s="1282"/>
      <c r="AB159" s="1282"/>
      <c r="AC159" s="1282"/>
      <c r="AD159" s="1282"/>
      <c r="AE159" s="1282"/>
      <c r="AF159" s="1282"/>
      <c r="AG159" s="1282"/>
      <c r="AH159" s="1282"/>
      <c r="AI159" s="1282"/>
      <c r="AJ159" s="1282"/>
      <c r="AK159" s="1282"/>
      <c r="AL159" s="1282"/>
      <c r="AM159" s="1282"/>
      <c r="AN159" s="1282"/>
      <c r="AO159" s="1282"/>
      <c r="AP159" s="1282"/>
      <c r="AQ159" s="1282"/>
      <c r="AR159" s="1282"/>
      <c r="AS159" s="1282"/>
      <c r="AT159" s="1282"/>
      <c r="AU159" s="1282"/>
      <c r="AV159" s="1282"/>
      <c r="AW159" s="1282"/>
      <c r="AX159" s="1282"/>
      <c r="AY159" s="1282"/>
      <c r="AZ159" s="1282"/>
      <c r="BA159" s="1282"/>
      <c r="BB159" s="1282"/>
      <c r="BC159" s="1282"/>
      <c r="BD159" s="1282"/>
      <c r="BE159" s="1282"/>
      <c r="BF159" s="1282"/>
      <c r="BG159" s="1282"/>
      <c r="BH159" s="1282"/>
      <c r="BI159" s="1282"/>
      <c r="BJ159" s="1282"/>
      <c r="BK159" s="1282"/>
      <c r="BL159" s="1282"/>
      <c r="BM159" s="1282"/>
      <c r="BN159" s="1282"/>
      <c r="BO159" s="1282"/>
      <c r="BP159" s="1282"/>
      <c r="BQ159" s="1282"/>
      <c r="BR159" s="1282"/>
      <c r="BS159" s="1282"/>
      <c r="BT159" s="1282"/>
      <c r="BU159" s="1282"/>
      <c r="BV159" s="1282"/>
      <c r="BW159" s="1282"/>
      <c r="BX159" s="1282"/>
      <c r="BY159" s="1282"/>
      <c r="BZ159" s="1282"/>
      <c r="CA159" s="1513"/>
      <c r="CK159" s="1513"/>
      <c r="CL159" s="1513"/>
      <c r="CM159" s="1513"/>
      <c r="CN159" s="1513"/>
      <c r="CO159" s="1513"/>
      <c r="CP159" s="1513"/>
      <c r="CQ159" s="1513"/>
      <c r="CR159" s="1513"/>
      <c r="CS159" s="1513"/>
      <c r="CT159" s="1513"/>
      <c r="CU159" s="1513"/>
      <c r="CV159" s="1513"/>
      <c r="CW159" s="1513"/>
      <c r="CX159" s="1513"/>
      <c r="CY159" s="1513"/>
      <c r="CZ159" s="1513"/>
      <c r="DA159" s="1513"/>
      <c r="DB159" s="1513"/>
      <c r="DC159" s="1513"/>
      <c r="DD159" s="1513"/>
      <c r="DE159" s="1513"/>
      <c r="DF159" s="1513"/>
      <c r="DG159" s="1513"/>
      <c r="DH159" s="1513"/>
      <c r="DI159" s="1513"/>
      <c r="DJ159" s="1513"/>
      <c r="DK159" s="1513"/>
      <c r="DL159" s="1513"/>
      <c r="DM159" s="1513"/>
      <c r="DN159" s="1513"/>
      <c r="DO159" s="1513"/>
      <c r="DP159" s="1513"/>
      <c r="DQ159" s="1513"/>
      <c r="DR159" s="1513"/>
      <c r="DS159" s="1513"/>
      <c r="DT159" s="1513"/>
      <c r="DU159" s="1513"/>
      <c r="DV159" s="1513"/>
      <c r="DW159" s="1513"/>
      <c r="DX159" s="1513"/>
      <c r="DY159" s="1513"/>
      <c r="DZ159" s="1513"/>
      <c r="EA159" s="1513"/>
      <c r="EB159" s="1513"/>
      <c r="EC159" s="1513"/>
      <c r="ED159" s="1513"/>
      <c r="EE159" s="1513"/>
      <c r="EF159" s="1513"/>
      <c r="EG159" s="1513"/>
      <c r="EH159" s="1513"/>
      <c r="EI159" s="1513"/>
      <c r="EJ159" s="1513"/>
      <c r="EK159" s="1513"/>
      <c r="EL159" s="1513"/>
      <c r="EM159" s="1513"/>
      <c r="EN159" s="1513"/>
      <c r="EO159" s="1513"/>
      <c r="EP159" s="1513"/>
      <c r="EQ159" s="1513"/>
      <c r="ER159" s="1513"/>
      <c r="ES159" s="1513"/>
      <c r="ET159" s="1513"/>
      <c r="EU159" s="1513"/>
      <c r="EV159" s="1513"/>
      <c r="EW159" s="1513"/>
      <c r="EX159" s="1513"/>
      <c r="EY159" s="1513"/>
      <c r="EZ159" s="1513"/>
      <c r="FA159" s="1513"/>
      <c r="FB159" s="1513"/>
      <c r="FC159" s="1513"/>
      <c r="FD159" s="1513"/>
      <c r="FE159" s="1513"/>
      <c r="FF159" s="1513"/>
      <c r="FG159" s="1513"/>
      <c r="FH159" s="1513"/>
      <c r="FI159" s="1513"/>
      <c r="FJ159" s="1513"/>
      <c r="FL159" s="1513"/>
    </row>
    <row r="160" spans="1:168" ht="17.100000000000001" customHeight="1" x14ac:dyDescent="0.15">
      <c r="A160" s="1513"/>
      <c r="B160" s="1282"/>
      <c r="C160" s="1282"/>
      <c r="D160" s="1282"/>
      <c r="E160" s="1282"/>
      <c r="F160" s="1282"/>
      <c r="G160" s="1282"/>
      <c r="H160" s="1282"/>
      <c r="I160" s="1282"/>
      <c r="J160" s="1282"/>
      <c r="K160" s="1282"/>
      <c r="L160" s="1282"/>
      <c r="M160" s="1282"/>
      <c r="N160" s="1282"/>
      <c r="O160" s="1282"/>
      <c r="P160" s="1282"/>
      <c r="Q160" s="1282"/>
      <c r="R160" s="1282"/>
      <c r="S160" s="1282"/>
      <c r="T160" s="1282"/>
      <c r="U160" s="1282"/>
      <c r="V160" s="1282"/>
      <c r="W160" s="1282"/>
      <c r="X160" s="1282"/>
      <c r="Y160" s="1282"/>
      <c r="Z160" s="1282"/>
      <c r="AA160" s="1282"/>
      <c r="AB160" s="1282"/>
      <c r="AC160" s="1282"/>
      <c r="AD160" s="1282"/>
      <c r="AE160" s="1282"/>
      <c r="AF160" s="1282"/>
      <c r="AG160" s="1282"/>
      <c r="AH160" s="1282"/>
      <c r="AI160" s="1282"/>
      <c r="AJ160" s="1282"/>
      <c r="AK160" s="1282"/>
      <c r="AL160" s="1282"/>
      <c r="AM160" s="1282"/>
      <c r="AN160" s="1282"/>
      <c r="AO160" s="1282"/>
      <c r="AP160" s="1282"/>
      <c r="AQ160" s="1282"/>
      <c r="AR160" s="1282"/>
      <c r="AS160" s="1282"/>
      <c r="AT160" s="1282"/>
      <c r="AU160" s="1282"/>
      <c r="AV160" s="1282"/>
      <c r="AW160" s="1282"/>
      <c r="AX160" s="1282"/>
      <c r="AY160" s="1282"/>
      <c r="AZ160" s="1282"/>
      <c r="BA160" s="1282"/>
      <c r="BB160" s="1282"/>
      <c r="BC160" s="1282"/>
      <c r="BD160" s="1282"/>
      <c r="BE160" s="1282"/>
      <c r="BF160" s="1282"/>
      <c r="BG160" s="1282"/>
      <c r="BH160" s="1282"/>
      <c r="BI160" s="1282"/>
      <c r="BJ160" s="1282"/>
      <c r="BK160" s="1282"/>
      <c r="BL160" s="1282"/>
      <c r="BM160" s="1282"/>
      <c r="BN160" s="1282"/>
      <c r="BO160" s="1282"/>
      <c r="BP160" s="1282"/>
      <c r="BQ160" s="1282"/>
      <c r="BR160" s="1282"/>
      <c r="BS160" s="1282"/>
      <c r="BT160" s="1282"/>
      <c r="BU160" s="1282"/>
      <c r="BV160" s="1282"/>
      <c r="BW160" s="1282"/>
      <c r="BX160" s="1282"/>
      <c r="BY160" s="1282"/>
      <c r="BZ160" s="1282"/>
      <c r="CA160" s="1513"/>
      <c r="CK160" s="1513"/>
      <c r="CL160" s="1513"/>
      <c r="CM160" s="1513"/>
      <c r="CN160" s="1513"/>
      <c r="CO160" s="1513"/>
      <c r="CP160" s="1513"/>
      <c r="CQ160" s="1513"/>
      <c r="CR160" s="1513"/>
      <c r="CS160" s="1513"/>
      <c r="CT160" s="1513"/>
      <c r="CU160" s="1513"/>
      <c r="CV160" s="1513"/>
      <c r="CW160" s="1513"/>
      <c r="CX160" s="1513"/>
      <c r="CY160" s="1513"/>
      <c r="CZ160" s="1513"/>
      <c r="DA160" s="1513"/>
      <c r="DB160" s="1513"/>
      <c r="DC160" s="1513"/>
      <c r="DD160" s="1513"/>
      <c r="DE160" s="1513"/>
      <c r="DF160" s="1513"/>
      <c r="DG160" s="1513"/>
      <c r="DH160" s="1513"/>
      <c r="DI160" s="1513"/>
      <c r="DJ160" s="1513"/>
      <c r="DK160" s="1513"/>
      <c r="DL160" s="1513"/>
      <c r="DM160" s="1513"/>
      <c r="DN160" s="1513"/>
      <c r="DO160" s="1513"/>
      <c r="DP160" s="1513"/>
      <c r="DQ160" s="1513"/>
      <c r="DR160" s="1513"/>
      <c r="DS160" s="1513"/>
      <c r="DT160" s="1513"/>
      <c r="DU160" s="1513"/>
      <c r="DV160" s="1513"/>
      <c r="DW160" s="1513"/>
      <c r="DX160" s="1513"/>
      <c r="DY160" s="1513"/>
      <c r="DZ160" s="1513"/>
      <c r="EA160" s="1513"/>
      <c r="EB160" s="1513"/>
      <c r="EC160" s="1513"/>
      <c r="ED160" s="1513"/>
      <c r="EE160" s="1513"/>
      <c r="EF160" s="1513"/>
      <c r="EG160" s="1513"/>
      <c r="EH160" s="1513"/>
      <c r="EI160" s="1513"/>
      <c r="EJ160" s="1513"/>
      <c r="EK160" s="1513"/>
      <c r="EL160" s="1513"/>
      <c r="EM160" s="1513"/>
      <c r="EN160" s="1513"/>
      <c r="EO160" s="1513"/>
      <c r="EP160" s="1513"/>
      <c r="EQ160" s="1513"/>
      <c r="ER160" s="1513"/>
      <c r="ES160" s="1513"/>
      <c r="ET160" s="1513"/>
      <c r="EU160" s="1513"/>
      <c r="EV160" s="1513"/>
      <c r="EW160" s="1513"/>
      <c r="EX160" s="1513"/>
      <c r="EY160" s="1513"/>
      <c r="EZ160" s="1513"/>
      <c r="FA160" s="1513"/>
      <c r="FB160" s="1513"/>
      <c r="FC160" s="1513"/>
      <c r="FD160" s="1513"/>
      <c r="FE160" s="1513"/>
      <c r="FF160" s="1513"/>
      <c r="FG160" s="1513"/>
      <c r="FH160" s="1513"/>
      <c r="FI160" s="1513"/>
      <c r="FJ160" s="1513"/>
      <c r="FL160" s="1513"/>
    </row>
    <row r="161" spans="1:168" ht="17.100000000000001" customHeight="1" x14ac:dyDescent="0.15">
      <c r="A161" s="1513"/>
      <c r="B161" s="1282"/>
      <c r="C161" s="1282"/>
      <c r="D161" s="1282"/>
      <c r="E161" s="1282"/>
      <c r="F161" s="1282"/>
      <c r="G161" s="1282"/>
      <c r="H161" s="1282"/>
      <c r="I161" s="1282"/>
      <c r="J161" s="1282"/>
      <c r="K161" s="1282"/>
      <c r="L161" s="1282"/>
      <c r="M161" s="1282"/>
      <c r="N161" s="1282"/>
      <c r="O161" s="1282"/>
      <c r="P161" s="1282"/>
      <c r="Q161" s="1282"/>
      <c r="R161" s="1282"/>
      <c r="S161" s="1282"/>
      <c r="T161" s="1282"/>
      <c r="U161" s="1282"/>
      <c r="V161" s="1282"/>
      <c r="W161" s="1282"/>
      <c r="X161" s="1282"/>
      <c r="Y161" s="1282"/>
      <c r="Z161" s="1282"/>
      <c r="AA161" s="1282"/>
      <c r="AB161" s="1282"/>
      <c r="AC161" s="1282"/>
      <c r="AD161" s="1282"/>
      <c r="AE161" s="1282"/>
      <c r="AF161" s="1282"/>
      <c r="AG161" s="1282"/>
      <c r="AH161" s="1282"/>
      <c r="AI161" s="1282"/>
      <c r="AJ161" s="1282"/>
      <c r="AK161" s="1282"/>
      <c r="AL161" s="1282"/>
      <c r="AM161" s="1282"/>
      <c r="AN161" s="1282"/>
      <c r="AO161" s="1282"/>
      <c r="AP161" s="1282"/>
      <c r="AQ161" s="1282"/>
      <c r="AR161" s="1282"/>
      <c r="AS161" s="1282"/>
      <c r="AT161" s="1282"/>
      <c r="AU161" s="1282"/>
      <c r="AV161" s="1282"/>
      <c r="AW161" s="1282"/>
      <c r="AX161" s="1282"/>
      <c r="AY161" s="1282"/>
      <c r="AZ161" s="1282"/>
      <c r="BA161" s="1282"/>
      <c r="BB161" s="1282"/>
      <c r="BC161" s="1282"/>
      <c r="BD161" s="1282"/>
      <c r="BE161" s="1282"/>
      <c r="BF161" s="1282"/>
      <c r="BG161" s="1282"/>
      <c r="BH161" s="1282"/>
      <c r="BI161" s="1282"/>
      <c r="BJ161" s="1282"/>
      <c r="BK161" s="1282"/>
      <c r="BL161" s="1282"/>
      <c r="BM161" s="1282"/>
      <c r="BN161" s="1282"/>
      <c r="BO161" s="1282"/>
      <c r="BP161" s="1282"/>
      <c r="BQ161" s="1282"/>
      <c r="BR161" s="1282"/>
      <c r="BS161" s="1282"/>
      <c r="BT161" s="1282"/>
      <c r="BU161" s="1282"/>
      <c r="BV161" s="1282"/>
      <c r="BW161" s="1282"/>
      <c r="BX161" s="1282"/>
      <c r="BY161" s="1282"/>
      <c r="BZ161" s="1282"/>
      <c r="CA161" s="1513"/>
      <c r="CK161" s="1513"/>
      <c r="CL161" s="1513"/>
      <c r="CM161" s="1513"/>
      <c r="CN161" s="1513"/>
      <c r="CO161" s="1513"/>
      <c r="CP161" s="1513"/>
      <c r="CQ161" s="1513"/>
      <c r="CR161" s="1513"/>
      <c r="CS161" s="1513"/>
      <c r="CT161" s="1513"/>
      <c r="CU161" s="1513"/>
      <c r="CV161" s="1513"/>
      <c r="CW161" s="1513"/>
      <c r="CX161" s="1513"/>
      <c r="CY161" s="1513"/>
      <c r="CZ161" s="1513"/>
      <c r="DA161" s="1513"/>
      <c r="DB161" s="1513"/>
      <c r="DC161" s="1513"/>
      <c r="DD161" s="1513"/>
      <c r="DE161" s="1513"/>
      <c r="DF161" s="1513"/>
      <c r="DG161" s="1513"/>
      <c r="DH161" s="1513"/>
      <c r="DI161" s="1513"/>
      <c r="DJ161" s="1513"/>
      <c r="DK161" s="1513"/>
      <c r="DL161" s="1513"/>
      <c r="DM161" s="1513"/>
      <c r="DN161" s="1513"/>
      <c r="DO161" s="1513"/>
      <c r="DP161" s="1513"/>
      <c r="DQ161" s="1513"/>
      <c r="DR161" s="1513"/>
      <c r="DS161" s="1513"/>
      <c r="DT161" s="1513"/>
      <c r="DU161" s="1513"/>
      <c r="DV161" s="1513"/>
      <c r="DW161" s="1513"/>
      <c r="DX161" s="1513"/>
      <c r="DY161" s="1513"/>
      <c r="DZ161" s="1513"/>
      <c r="EA161" s="1513"/>
      <c r="EB161" s="1513"/>
      <c r="EC161" s="1513"/>
      <c r="ED161" s="1513"/>
      <c r="EE161" s="1513"/>
      <c r="EF161" s="1513"/>
      <c r="EG161" s="1513"/>
      <c r="EH161" s="1513"/>
      <c r="EI161" s="1513"/>
      <c r="EJ161" s="1513"/>
      <c r="EK161" s="1513"/>
      <c r="EL161" s="1513"/>
      <c r="EM161" s="1513"/>
      <c r="EN161" s="1513"/>
      <c r="EO161" s="1513"/>
      <c r="EP161" s="1513"/>
      <c r="EQ161" s="1513"/>
      <c r="ER161" s="1513"/>
      <c r="ES161" s="1513"/>
      <c r="ET161" s="1513"/>
      <c r="EU161" s="1513"/>
      <c r="EV161" s="1513"/>
      <c r="EW161" s="1513"/>
      <c r="EX161" s="1513"/>
      <c r="EY161" s="1513"/>
      <c r="EZ161" s="1513"/>
      <c r="FA161" s="1513"/>
      <c r="FB161" s="1513"/>
      <c r="FC161" s="1513"/>
      <c r="FD161" s="1513"/>
      <c r="FE161" s="1513"/>
      <c r="FF161" s="1513"/>
      <c r="FG161" s="1513"/>
      <c r="FH161" s="1513"/>
      <c r="FI161" s="1513"/>
      <c r="FJ161" s="1513"/>
      <c r="FL161" s="1513"/>
    </row>
    <row r="162" spans="1:168" ht="17.100000000000001" customHeight="1" x14ac:dyDescent="0.15">
      <c r="A162" s="1513"/>
      <c r="B162" s="1282"/>
      <c r="C162" s="1282"/>
      <c r="D162" s="1282"/>
      <c r="E162" s="1282"/>
      <c r="F162" s="1282"/>
      <c r="G162" s="1282"/>
      <c r="H162" s="1282"/>
      <c r="I162" s="1282"/>
      <c r="J162" s="1282"/>
      <c r="K162" s="1282"/>
      <c r="L162" s="1282"/>
      <c r="M162" s="1282"/>
      <c r="N162" s="1282"/>
      <c r="O162" s="1282"/>
      <c r="P162" s="1282"/>
      <c r="Q162" s="1282"/>
      <c r="R162" s="1282"/>
      <c r="S162" s="1282"/>
      <c r="T162" s="1282"/>
      <c r="U162" s="1282"/>
      <c r="V162" s="1282"/>
      <c r="W162" s="1282"/>
      <c r="X162" s="1282"/>
      <c r="Y162" s="1282"/>
      <c r="Z162" s="1282"/>
      <c r="AA162" s="1282"/>
      <c r="AB162" s="1282"/>
      <c r="AC162" s="1282"/>
      <c r="AD162" s="1282"/>
      <c r="AE162" s="1282"/>
      <c r="AF162" s="1282"/>
      <c r="AG162" s="1282"/>
      <c r="AH162" s="1282"/>
      <c r="AI162" s="1282"/>
      <c r="AJ162" s="1282"/>
      <c r="AK162" s="1282"/>
      <c r="AL162" s="1282"/>
      <c r="AM162" s="1282"/>
      <c r="AN162" s="1282"/>
      <c r="AO162" s="1282"/>
      <c r="AP162" s="1282"/>
      <c r="AQ162" s="1282"/>
      <c r="AR162" s="1282"/>
      <c r="AS162" s="1282"/>
      <c r="AT162" s="1282"/>
      <c r="AU162" s="1282"/>
      <c r="AV162" s="1282"/>
      <c r="AW162" s="1282"/>
      <c r="AX162" s="1282"/>
      <c r="AY162" s="1282"/>
      <c r="AZ162" s="1282"/>
      <c r="BA162" s="1282"/>
      <c r="BB162" s="1282"/>
      <c r="BC162" s="1282"/>
      <c r="BD162" s="1282"/>
      <c r="BE162" s="1282"/>
      <c r="BF162" s="1282"/>
      <c r="BG162" s="1282"/>
      <c r="BH162" s="1282"/>
      <c r="BI162" s="1282"/>
      <c r="BJ162" s="1282"/>
      <c r="BK162" s="1282"/>
      <c r="BL162" s="1282"/>
      <c r="BM162" s="1282"/>
      <c r="BN162" s="1282"/>
      <c r="BO162" s="1282"/>
      <c r="BP162" s="1282"/>
      <c r="BQ162" s="1282"/>
      <c r="BR162" s="1282"/>
      <c r="BS162" s="1282"/>
      <c r="BT162" s="1282"/>
      <c r="BU162" s="1282"/>
      <c r="BV162" s="1282"/>
      <c r="BW162" s="1282"/>
      <c r="BX162" s="1282"/>
      <c r="BY162" s="1282"/>
      <c r="BZ162" s="1282"/>
      <c r="CA162" s="1513"/>
      <c r="CK162" s="1513"/>
      <c r="CL162" s="1513"/>
      <c r="CM162" s="1513"/>
      <c r="CN162" s="1513"/>
      <c r="CO162" s="1513"/>
      <c r="CP162" s="1513"/>
      <c r="CQ162" s="1513"/>
      <c r="CR162" s="1513"/>
      <c r="CS162" s="1513"/>
      <c r="CT162" s="1513"/>
      <c r="CU162" s="1513"/>
      <c r="CV162" s="1513"/>
      <c r="CW162" s="1513"/>
      <c r="CX162" s="1513"/>
      <c r="CY162" s="1513"/>
      <c r="CZ162" s="1513"/>
      <c r="DA162" s="1513"/>
      <c r="DB162" s="1513"/>
      <c r="DC162" s="1513"/>
      <c r="DD162" s="1513"/>
      <c r="DE162" s="1513"/>
      <c r="DF162" s="1513"/>
      <c r="DG162" s="1513"/>
      <c r="DH162" s="1513"/>
      <c r="DI162" s="1513"/>
      <c r="DJ162" s="1513"/>
      <c r="DK162" s="1513"/>
      <c r="DL162" s="1513"/>
      <c r="DM162" s="1513"/>
      <c r="DN162" s="1513"/>
      <c r="DO162" s="1513"/>
      <c r="DP162" s="1513"/>
      <c r="DQ162" s="1513"/>
      <c r="DR162" s="1513"/>
      <c r="DS162" s="1513"/>
      <c r="DT162" s="1513"/>
      <c r="DU162" s="1513"/>
      <c r="DV162" s="1513"/>
      <c r="DW162" s="1513"/>
      <c r="DX162" s="1513"/>
      <c r="DY162" s="1513"/>
      <c r="DZ162" s="1513"/>
      <c r="EA162" s="1513"/>
      <c r="EB162" s="1513"/>
      <c r="EC162" s="1513"/>
      <c r="ED162" s="1513"/>
      <c r="EE162" s="1513"/>
      <c r="EF162" s="1513"/>
      <c r="EG162" s="1513"/>
      <c r="EH162" s="1513"/>
      <c r="EI162" s="1513"/>
      <c r="EJ162" s="1513"/>
      <c r="EK162" s="1513"/>
      <c r="EL162" s="1513"/>
      <c r="EM162" s="1513"/>
      <c r="EN162" s="1513"/>
      <c r="EO162" s="1513"/>
      <c r="EP162" s="1513"/>
      <c r="EQ162" s="1513"/>
      <c r="ER162" s="1513"/>
      <c r="ES162" s="1513"/>
      <c r="ET162" s="1513"/>
      <c r="EU162" s="1513"/>
      <c r="EV162" s="1513"/>
      <c r="EW162" s="1513"/>
      <c r="EX162" s="1513"/>
      <c r="EY162" s="1513"/>
      <c r="EZ162" s="1513"/>
      <c r="FA162" s="1513"/>
      <c r="FB162" s="1513"/>
      <c r="FC162" s="1513"/>
      <c r="FD162" s="1513"/>
      <c r="FE162" s="1513"/>
      <c r="FF162" s="1513"/>
      <c r="FG162" s="1513"/>
      <c r="FH162" s="1513"/>
      <c r="FI162" s="1513"/>
      <c r="FJ162" s="1513"/>
      <c r="FL162" s="1513"/>
    </row>
    <row r="163" spans="1:168" ht="17.100000000000001" customHeight="1" x14ac:dyDescent="0.15">
      <c r="A163" s="1513"/>
      <c r="B163" s="1282"/>
      <c r="C163" s="1282"/>
      <c r="D163" s="1282"/>
      <c r="E163" s="1282"/>
      <c r="F163" s="1282"/>
      <c r="G163" s="1282"/>
      <c r="H163" s="1282"/>
      <c r="I163" s="1282"/>
      <c r="J163" s="1282"/>
      <c r="K163" s="1282"/>
      <c r="L163" s="1282"/>
      <c r="M163" s="1282"/>
      <c r="N163" s="1282"/>
      <c r="O163" s="1282"/>
      <c r="P163" s="1282"/>
      <c r="Q163" s="1282"/>
      <c r="R163" s="1282"/>
      <c r="S163" s="1282"/>
      <c r="T163" s="1282"/>
      <c r="U163" s="1282"/>
      <c r="V163" s="1282"/>
      <c r="W163" s="1282"/>
      <c r="X163" s="1282"/>
      <c r="Y163" s="1282"/>
      <c r="Z163" s="1282"/>
      <c r="AA163" s="1282"/>
      <c r="AB163" s="1282"/>
      <c r="AC163" s="1282"/>
      <c r="AD163" s="1282"/>
      <c r="AE163" s="1282"/>
      <c r="AF163" s="1282"/>
      <c r="AG163" s="1282"/>
      <c r="AH163" s="1282"/>
      <c r="AI163" s="1282"/>
      <c r="AJ163" s="1282"/>
      <c r="AK163" s="1282"/>
      <c r="AL163" s="1282"/>
      <c r="AM163" s="1282"/>
      <c r="AN163" s="1282"/>
      <c r="AO163" s="1282"/>
      <c r="AP163" s="1282"/>
      <c r="AQ163" s="1282"/>
      <c r="AR163" s="1282"/>
      <c r="AS163" s="1282"/>
      <c r="AT163" s="1282"/>
      <c r="AU163" s="1282"/>
      <c r="AV163" s="1282"/>
      <c r="AW163" s="1282"/>
      <c r="AX163" s="1282"/>
      <c r="AY163" s="1282"/>
      <c r="AZ163" s="1282"/>
      <c r="BA163" s="1282"/>
      <c r="BB163" s="1282"/>
      <c r="BC163" s="1282"/>
      <c r="BD163" s="1282"/>
      <c r="BE163" s="1282"/>
      <c r="BF163" s="1282"/>
      <c r="BG163" s="1282"/>
      <c r="BH163" s="1282"/>
      <c r="BI163" s="1282"/>
      <c r="BJ163" s="1282"/>
      <c r="BK163" s="1282"/>
      <c r="BL163" s="1282"/>
      <c r="BM163" s="1282"/>
      <c r="BN163" s="1282"/>
      <c r="BO163" s="1282"/>
      <c r="BP163" s="1282"/>
      <c r="BQ163" s="1282"/>
      <c r="BR163" s="1282"/>
      <c r="BS163" s="1282"/>
      <c r="BT163" s="1282"/>
      <c r="BU163" s="1282"/>
      <c r="BV163" s="1282"/>
      <c r="BW163" s="1282"/>
      <c r="BX163" s="1282"/>
      <c r="BY163" s="1282"/>
      <c r="BZ163" s="1282"/>
      <c r="CA163" s="1513"/>
      <c r="CK163" s="1513"/>
      <c r="CL163" s="1513"/>
      <c r="CM163" s="1513"/>
      <c r="CN163" s="1513"/>
      <c r="CO163" s="1513"/>
      <c r="CP163" s="1513"/>
      <c r="CQ163" s="1513"/>
      <c r="CR163" s="1513"/>
      <c r="CS163" s="1513"/>
      <c r="CT163" s="1513"/>
      <c r="CU163" s="1513"/>
      <c r="CV163" s="1513"/>
      <c r="CW163" s="1513"/>
      <c r="CX163" s="1513"/>
      <c r="CY163" s="1513"/>
      <c r="CZ163" s="1513"/>
      <c r="DA163" s="1513"/>
      <c r="DB163" s="1513"/>
      <c r="DC163" s="1513"/>
      <c r="DD163" s="1513"/>
      <c r="DE163" s="1513"/>
      <c r="DF163" s="1513"/>
      <c r="DG163" s="1513"/>
      <c r="DH163" s="1513"/>
      <c r="DI163" s="1513"/>
      <c r="DJ163" s="1513"/>
      <c r="DK163" s="1513"/>
      <c r="DL163" s="1513"/>
      <c r="DM163" s="1513"/>
      <c r="DN163" s="1513"/>
      <c r="DO163" s="1513"/>
      <c r="DP163" s="1513"/>
      <c r="DQ163" s="1513"/>
      <c r="DR163" s="1513"/>
      <c r="DS163" s="1513"/>
      <c r="DT163" s="1513"/>
      <c r="DU163" s="1513"/>
      <c r="DV163" s="1513"/>
      <c r="DW163" s="1513"/>
      <c r="DX163" s="1513"/>
      <c r="DY163" s="1513"/>
      <c r="DZ163" s="1513"/>
      <c r="EA163" s="1513"/>
      <c r="EB163" s="1513"/>
      <c r="EC163" s="1513"/>
      <c r="ED163" s="1513"/>
      <c r="EE163" s="1513"/>
      <c r="EF163" s="1513"/>
      <c r="EG163" s="1513"/>
      <c r="EH163" s="1513"/>
      <c r="EI163" s="1513"/>
      <c r="EJ163" s="1513"/>
      <c r="EK163" s="1513"/>
      <c r="EL163" s="1513"/>
      <c r="EM163" s="1513"/>
      <c r="EN163" s="1513"/>
      <c r="EO163" s="1513"/>
      <c r="EP163" s="1513"/>
      <c r="EQ163" s="1513"/>
      <c r="ER163" s="1513"/>
      <c r="ES163" s="1513"/>
      <c r="ET163" s="1513"/>
      <c r="EU163" s="1513"/>
      <c r="EV163" s="1513"/>
      <c r="EW163" s="1513"/>
      <c r="EX163" s="1513"/>
      <c r="EY163" s="1513"/>
      <c r="EZ163" s="1513"/>
      <c r="FA163" s="1513"/>
      <c r="FB163" s="1513"/>
      <c r="FC163" s="1513"/>
      <c r="FD163" s="1513"/>
      <c r="FE163" s="1513"/>
      <c r="FF163" s="1513"/>
      <c r="FG163" s="1513"/>
      <c r="FH163" s="1513"/>
      <c r="FI163" s="1513"/>
      <c r="FJ163" s="1513"/>
      <c r="FL163" s="1513"/>
    </row>
    <row r="164" spans="1:168" ht="17.100000000000001" customHeight="1" x14ac:dyDescent="0.15">
      <c r="A164" s="1513"/>
      <c r="B164" s="1282"/>
      <c r="C164" s="1282"/>
      <c r="D164" s="1282"/>
      <c r="E164" s="1282"/>
      <c r="F164" s="1282"/>
      <c r="G164" s="1282"/>
      <c r="H164" s="1282"/>
      <c r="I164" s="1282"/>
      <c r="J164" s="1282"/>
      <c r="K164" s="1282"/>
      <c r="L164" s="1282"/>
      <c r="M164" s="1282"/>
      <c r="N164" s="1282"/>
      <c r="O164" s="1282"/>
      <c r="P164" s="1282"/>
      <c r="Q164" s="1282"/>
      <c r="R164" s="1282"/>
      <c r="S164" s="1282"/>
      <c r="T164" s="1282"/>
      <c r="U164" s="1282"/>
      <c r="V164" s="1282"/>
      <c r="W164" s="1282"/>
      <c r="X164" s="1282"/>
      <c r="Y164" s="1282"/>
      <c r="Z164" s="1282"/>
      <c r="AA164" s="1282"/>
      <c r="AB164" s="1282"/>
      <c r="AC164" s="1282"/>
      <c r="AD164" s="1282"/>
      <c r="AE164" s="1282"/>
      <c r="AF164" s="1282"/>
      <c r="AG164" s="1282"/>
      <c r="AH164" s="1282"/>
      <c r="AI164" s="1282"/>
      <c r="AJ164" s="1282"/>
      <c r="AK164" s="1282"/>
      <c r="AL164" s="1282"/>
      <c r="AM164" s="1282"/>
      <c r="AN164" s="1282"/>
      <c r="AO164" s="1282"/>
      <c r="AP164" s="1282"/>
      <c r="AQ164" s="1282"/>
      <c r="AR164" s="1282"/>
      <c r="AS164" s="1282"/>
      <c r="AT164" s="1282"/>
      <c r="AU164" s="1282"/>
      <c r="AV164" s="1282"/>
      <c r="AW164" s="1282"/>
      <c r="AX164" s="1282"/>
      <c r="AY164" s="1282"/>
      <c r="AZ164" s="1282"/>
      <c r="BA164" s="1282"/>
      <c r="BB164" s="1282"/>
      <c r="BC164" s="1282"/>
      <c r="BD164" s="1282"/>
      <c r="BE164" s="1282"/>
      <c r="BF164" s="1282"/>
      <c r="BG164" s="1282"/>
      <c r="BH164" s="1282"/>
      <c r="BI164" s="1282"/>
      <c r="BJ164" s="1282"/>
      <c r="BK164" s="1282"/>
      <c r="BL164" s="1282"/>
      <c r="BM164" s="1282"/>
      <c r="BN164" s="1282"/>
      <c r="BO164" s="1282"/>
      <c r="BP164" s="1282"/>
      <c r="BQ164" s="1282"/>
      <c r="BR164" s="1282"/>
      <c r="BS164" s="1282"/>
      <c r="BT164" s="1282"/>
      <c r="BU164" s="1282"/>
      <c r="BV164" s="1282"/>
      <c r="BW164" s="1282"/>
      <c r="BX164" s="1282"/>
      <c r="BY164" s="1282"/>
      <c r="BZ164" s="1282"/>
      <c r="CA164" s="1513"/>
      <c r="CK164" s="1513"/>
      <c r="CL164" s="1513"/>
      <c r="CM164" s="1513"/>
      <c r="CN164" s="1513"/>
      <c r="CO164" s="1513"/>
      <c r="CP164" s="1513"/>
      <c r="CQ164" s="1513"/>
      <c r="CR164" s="1513"/>
      <c r="CS164" s="1513"/>
      <c r="CT164" s="1513"/>
      <c r="CU164" s="1513"/>
      <c r="CV164" s="1513"/>
      <c r="CW164" s="1513"/>
      <c r="CX164" s="1513"/>
      <c r="CY164" s="1513"/>
      <c r="CZ164" s="1513"/>
      <c r="DA164" s="1513"/>
      <c r="DB164" s="1513"/>
      <c r="DC164" s="1513"/>
      <c r="DD164" s="1513"/>
      <c r="DE164" s="1513"/>
      <c r="DF164" s="1513"/>
      <c r="DG164" s="1513"/>
      <c r="DH164" s="1513"/>
      <c r="DI164" s="1513"/>
      <c r="DJ164" s="1513"/>
      <c r="DK164" s="1513"/>
      <c r="DL164" s="1513"/>
      <c r="DM164" s="1513"/>
      <c r="DN164" s="1513"/>
      <c r="DO164" s="1513"/>
      <c r="DP164" s="1513"/>
      <c r="DQ164" s="1513"/>
      <c r="DR164" s="1513"/>
      <c r="DS164" s="1513"/>
      <c r="DT164" s="1513"/>
      <c r="DU164" s="1513"/>
      <c r="DV164" s="1513"/>
      <c r="DW164" s="1513"/>
      <c r="DX164" s="1513"/>
      <c r="DY164" s="1513"/>
      <c r="DZ164" s="1513"/>
      <c r="EA164" s="1513"/>
      <c r="EB164" s="1513"/>
      <c r="EC164" s="1513"/>
      <c r="ED164" s="1513"/>
      <c r="EE164" s="1513"/>
      <c r="EF164" s="1513"/>
      <c r="EG164" s="1513"/>
      <c r="EH164" s="1513"/>
      <c r="EI164" s="1513"/>
      <c r="EJ164" s="1513"/>
      <c r="EK164" s="1513"/>
      <c r="EL164" s="1513"/>
      <c r="EM164" s="1513"/>
      <c r="EN164" s="1513"/>
      <c r="EO164" s="1513"/>
      <c r="EP164" s="1513"/>
      <c r="EQ164" s="1513"/>
      <c r="ER164" s="1513"/>
      <c r="ES164" s="1513"/>
      <c r="ET164" s="1513"/>
      <c r="EU164" s="1513"/>
      <c r="EV164" s="1513"/>
      <c r="EW164" s="1513"/>
      <c r="EX164" s="1513"/>
      <c r="EY164" s="1513"/>
      <c r="EZ164" s="1513"/>
      <c r="FA164" s="1513"/>
      <c r="FB164" s="1513"/>
      <c r="FC164" s="1513"/>
      <c r="FD164" s="1513"/>
      <c r="FE164" s="1513"/>
      <c r="FF164" s="1513"/>
      <c r="FG164" s="1513"/>
      <c r="FH164" s="1513"/>
      <c r="FI164" s="1513"/>
      <c r="FJ164" s="1513"/>
      <c r="FL164" s="1513"/>
    </row>
    <row r="165" spans="1:168" ht="17.100000000000001" customHeight="1" x14ac:dyDescent="0.15">
      <c r="A165" s="1513"/>
      <c r="B165" s="1282"/>
      <c r="C165" s="1282"/>
      <c r="D165" s="1282"/>
      <c r="E165" s="1282"/>
      <c r="F165" s="1282"/>
      <c r="G165" s="1282"/>
      <c r="H165" s="1282"/>
      <c r="I165" s="1282"/>
      <c r="J165" s="1282"/>
      <c r="K165" s="1282"/>
      <c r="L165" s="1282"/>
      <c r="M165" s="1282"/>
      <c r="N165" s="1282"/>
      <c r="O165" s="1282"/>
      <c r="P165" s="1282"/>
      <c r="Q165" s="1282"/>
      <c r="R165" s="1282"/>
      <c r="S165" s="1282"/>
      <c r="T165" s="1282"/>
      <c r="U165" s="1282"/>
      <c r="V165" s="1282"/>
      <c r="W165" s="1282"/>
      <c r="X165" s="1282"/>
      <c r="Y165" s="1282"/>
      <c r="Z165" s="1282"/>
      <c r="AA165" s="1282"/>
      <c r="AB165" s="1282"/>
      <c r="AC165" s="1282"/>
      <c r="AD165" s="1282"/>
      <c r="AE165" s="1282"/>
      <c r="AF165" s="1282"/>
      <c r="AG165" s="1282"/>
      <c r="AH165" s="1282"/>
      <c r="AI165" s="1282"/>
      <c r="AJ165" s="1282"/>
      <c r="AK165" s="1282"/>
      <c r="AL165" s="1282"/>
      <c r="AM165" s="1282"/>
      <c r="AN165" s="1282"/>
      <c r="AO165" s="1282"/>
      <c r="AP165" s="1282"/>
      <c r="AQ165" s="1282"/>
      <c r="AR165" s="1282"/>
      <c r="AS165" s="1282"/>
      <c r="AT165" s="1282"/>
      <c r="AU165" s="1282"/>
      <c r="AV165" s="1282"/>
      <c r="AW165" s="1282"/>
      <c r="AX165" s="1282"/>
      <c r="AY165" s="1282"/>
      <c r="AZ165" s="1282"/>
      <c r="BA165" s="1282"/>
      <c r="BB165" s="1282"/>
      <c r="BC165" s="1282"/>
      <c r="BD165" s="1282"/>
      <c r="BE165" s="1282"/>
      <c r="BF165" s="1282"/>
      <c r="BG165" s="1282"/>
      <c r="BH165" s="1282"/>
      <c r="BI165" s="1282"/>
      <c r="BJ165" s="1282"/>
      <c r="BK165" s="1282"/>
      <c r="BL165" s="1282"/>
      <c r="BM165" s="1282"/>
      <c r="BN165" s="1282"/>
      <c r="BO165" s="1282"/>
      <c r="BP165" s="1282"/>
      <c r="BQ165" s="1282"/>
      <c r="BR165" s="1282"/>
      <c r="BS165" s="1282"/>
      <c r="BT165" s="1282"/>
      <c r="BU165" s="1282"/>
      <c r="BV165" s="1282"/>
      <c r="BW165" s="1282"/>
      <c r="BX165" s="1282"/>
      <c r="BY165" s="1282"/>
      <c r="BZ165" s="1282"/>
      <c r="CA165" s="1513"/>
      <c r="CK165" s="1513"/>
      <c r="CL165" s="1513"/>
      <c r="CM165" s="1513"/>
      <c r="CN165" s="1513"/>
      <c r="CO165" s="1513"/>
      <c r="CP165" s="1513"/>
      <c r="CQ165" s="1513"/>
      <c r="CR165" s="1513"/>
      <c r="CS165" s="1513"/>
      <c r="CT165" s="1513"/>
      <c r="CU165" s="1513"/>
      <c r="CV165" s="1513"/>
      <c r="CW165" s="1513"/>
      <c r="CX165" s="1513"/>
      <c r="CY165" s="1513"/>
      <c r="CZ165" s="1513"/>
      <c r="DA165" s="1513"/>
      <c r="DB165" s="1513"/>
      <c r="DC165" s="1513"/>
      <c r="DD165" s="1513"/>
      <c r="DE165" s="1513"/>
      <c r="DF165" s="1513"/>
      <c r="DG165" s="1513"/>
      <c r="DH165" s="1513"/>
      <c r="DI165" s="1513"/>
      <c r="DJ165" s="1513"/>
      <c r="DK165" s="1513"/>
      <c r="DL165" s="1513"/>
      <c r="DM165" s="1513"/>
      <c r="DN165" s="1513"/>
      <c r="DO165" s="1513"/>
      <c r="DP165" s="1513"/>
      <c r="DQ165" s="1513"/>
      <c r="DR165" s="1513"/>
      <c r="DS165" s="1513"/>
      <c r="DT165" s="1513"/>
      <c r="DU165" s="1513"/>
      <c r="DV165" s="1513"/>
      <c r="DW165" s="1513"/>
      <c r="DX165" s="1513"/>
      <c r="DY165" s="1513"/>
      <c r="DZ165" s="1513"/>
      <c r="EA165" s="1513"/>
      <c r="EB165" s="1513"/>
      <c r="EC165" s="1513"/>
      <c r="ED165" s="1513"/>
      <c r="EE165" s="1513"/>
      <c r="EF165" s="1513"/>
      <c r="EG165" s="1513"/>
      <c r="EH165" s="1513"/>
      <c r="EI165" s="1513"/>
      <c r="EJ165" s="1513"/>
      <c r="EK165" s="1513"/>
      <c r="EL165" s="1513"/>
      <c r="EM165" s="1513"/>
      <c r="EN165" s="1513"/>
      <c r="EO165" s="1513"/>
      <c r="EP165" s="1513"/>
      <c r="EQ165" s="1513"/>
      <c r="ER165" s="1513"/>
      <c r="ES165" s="1513"/>
      <c r="ET165" s="1513"/>
      <c r="EU165" s="1513"/>
      <c r="EV165" s="1513"/>
      <c r="EW165" s="1513"/>
      <c r="EX165" s="1513"/>
      <c r="EY165" s="1513"/>
      <c r="EZ165" s="1513"/>
      <c r="FA165" s="1513"/>
      <c r="FB165" s="1513"/>
      <c r="FC165" s="1513"/>
      <c r="FD165" s="1513"/>
      <c r="FE165" s="1513"/>
      <c r="FF165" s="1513"/>
      <c r="FG165" s="1513"/>
      <c r="FH165" s="1513"/>
      <c r="FI165" s="1513"/>
      <c r="FJ165" s="1513"/>
      <c r="FL165" s="1513"/>
    </row>
    <row r="166" spans="1:168" ht="17.100000000000001" customHeight="1" x14ac:dyDescent="0.15">
      <c r="A166" s="1513"/>
      <c r="B166" s="1282"/>
      <c r="C166" s="1282"/>
      <c r="D166" s="1282"/>
      <c r="E166" s="1282"/>
      <c r="F166" s="1282"/>
      <c r="G166" s="1282"/>
      <c r="H166" s="1282"/>
      <c r="I166" s="1282"/>
      <c r="J166" s="1282"/>
      <c r="K166" s="1282"/>
      <c r="L166" s="1282"/>
      <c r="M166" s="1282"/>
      <c r="N166" s="1282"/>
      <c r="O166" s="1282"/>
      <c r="P166" s="1282"/>
      <c r="Q166" s="1282"/>
      <c r="R166" s="1282"/>
      <c r="S166" s="1282"/>
      <c r="T166" s="1282"/>
      <c r="U166" s="1282"/>
      <c r="V166" s="1282"/>
      <c r="W166" s="1282"/>
      <c r="X166" s="1282"/>
      <c r="Y166" s="1282"/>
      <c r="Z166" s="1282"/>
      <c r="AA166" s="1282"/>
      <c r="AB166" s="1282"/>
      <c r="AC166" s="1282"/>
      <c r="AD166" s="1282"/>
      <c r="AE166" s="1282"/>
      <c r="AF166" s="1282"/>
      <c r="AG166" s="1282"/>
      <c r="AH166" s="1282"/>
      <c r="AI166" s="1282"/>
      <c r="AJ166" s="1282"/>
      <c r="AK166" s="1282"/>
      <c r="AL166" s="1282"/>
      <c r="AM166" s="1282"/>
      <c r="AN166" s="1282"/>
      <c r="AO166" s="1282"/>
      <c r="AP166" s="1282"/>
      <c r="AQ166" s="1282"/>
      <c r="AR166" s="1282"/>
      <c r="AS166" s="1282"/>
      <c r="AT166" s="1282"/>
      <c r="AU166" s="1282"/>
      <c r="AV166" s="1282"/>
      <c r="AW166" s="1282"/>
      <c r="AX166" s="1282"/>
      <c r="AY166" s="1282"/>
      <c r="AZ166" s="1282"/>
      <c r="BA166" s="1282"/>
      <c r="BB166" s="1282"/>
      <c r="BC166" s="1282"/>
      <c r="BD166" s="1282"/>
      <c r="BE166" s="1282"/>
      <c r="BF166" s="1282"/>
      <c r="BG166" s="1282"/>
      <c r="BH166" s="1282"/>
      <c r="BI166" s="1282"/>
      <c r="BJ166" s="1282"/>
      <c r="BK166" s="1282"/>
      <c r="BL166" s="1282"/>
      <c r="BM166" s="1282"/>
      <c r="BN166" s="1282"/>
      <c r="BO166" s="1282"/>
      <c r="BP166" s="1282"/>
      <c r="BQ166" s="1282"/>
      <c r="BR166" s="1282"/>
      <c r="BS166" s="1282"/>
      <c r="BT166" s="1282"/>
      <c r="BU166" s="1282"/>
      <c r="BV166" s="1282"/>
      <c r="BW166" s="1282"/>
      <c r="BX166" s="1282"/>
      <c r="BY166" s="1282"/>
      <c r="BZ166" s="1282"/>
      <c r="CA166" s="1513"/>
      <c r="CK166" s="1513"/>
      <c r="CL166" s="1513"/>
      <c r="CM166" s="1513"/>
      <c r="CN166" s="1513"/>
      <c r="CO166" s="1513"/>
      <c r="CP166" s="1513"/>
      <c r="CQ166" s="1513"/>
      <c r="CR166" s="1513"/>
      <c r="CS166" s="1513"/>
      <c r="CT166" s="1513"/>
      <c r="CU166" s="1513"/>
      <c r="CV166" s="1513"/>
      <c r="CW166" s="1513"/>
      <c r="CX166" s="1513"/>
      <c r="CY166" s="1513"/>
      <c r="CZ166" s="1513"/>
      <c r="DA166" s="1513"/>
      <c r="DB166" s="1513"/>
      <c r="DC166" s="1513"/>
      <c r="DD166" s="1513"/>
      <c r="DE166" s="1513"/>
      <c r="DF166" s="1513"/>
      <c r="DG166" s="1513"/>
      <c r="DH166" s="1513"/>
      <c r="DI166" s="1513"/>
      <c r="DJ166" s="1513"/>
      <c r="DK166" s="1513"/>
      <c r="DL166" s="1513"/>
      <c r="DM166" s="1513"/>
      <c r="DN166" s="1513"/>
      <c r="DO166" s="1513"/>
      <c r="DP166" s="1513"/>
      <c r="DQ166" s="1513"/>
      <c r="DR166" s="1513"/>
      <c r="DS166" s="1513"/>
      <c r="DT166" s="1513"/>
      <c r="DU166" s="1513"/>
      <c r="DV166" s="1513"/>
      <c r="DW166" s="1513"/>
      <c r="DX166" s="1513"/>
      <c r="DY166" s="1513"/>
      <c r="DZ166" s="1513"/>
      <c r="EA166" s="1513"/>
      <c r="EB166" s="1513"/>
      <c r="EC166" s="1513"/>
      <c r="ED166" s="1513"/>
      <c r="EE166" s="1513"/>
      <c r="EF166" s="1513"/>
      <c r="EG166" s="1513"/>
      <c r="EH166" s="1513"/>
      <c r="EI166" s="1513"/>
      <c r="EJ166" s="1513"/>
      <c r="EK166" s="1513"/>
      <c r="EL166" s="1513"/>
      <c r="EM166" s="1513"/>
      <c r="EN166" s="1513"/>
      <c r="EO166" s="1513"/>
      <c r="EP166" s="1513"/>
      <c r="EQ166" s="1513"/>
      <c r="ER166" s="1513"/>
      <c r="ES166" s="1513"/>
      <c r="ET166" s="1513"/>
      <c r="EU166" s="1513"/>
      <c r="EV166" s="1513"/>
      <c r="EW166" s="1513"/>
      <c r="EX166" s="1513"/>
      <c r="EY166" s="1513"/>
      <c r="EZ166" s="1513"/>
      <c r="FA166" s="1513"/>
      <c r="FB166" s="1513"/>
      <c r="FC166" s="1513"/>
      <c r="FD166" s="1513"/>
      <c r="FE166" s="1513"/>
      <c r="FF166" s="1513"/>
      <c r="FG166" s="1513"/>
      <c r="FH166" s="1513"/>
      <c r="FI166" s="1513"/>
      <c r="FJ166" s="1513"/>
      <c r="FL166" s="1513"/>
    </row>
    <row r="167" spans="1:168" ht="17.100000000000001" customHeight="1" x14ac:dyDescent="0.15">
      <c r="A167" s="1513"/>
      <c r="B167" s="1282"/>
      <c r="C167" s="1282"/>
      <c r="D167" s="1282"/>
      <c r="E167" s="1282"/>
      <c r="F167" s="1282"/>
      <c r="G167" s="1282"/>
      <c r="H167" s="1282"/>
      <c r="I167" s="1282"/>
      <c r="J167" s="1282"/>
      <c r="K167" s="1282"/>
      <c r="L167" s="1282"/>
      <c r="M167" s="1282"/>
      <c r="N167" s="1282"/>
      <c r="O167" s="1282"/>
      <c r="P167" s="1282"/>
      <c r="Q167" s="1282"/>
      <c r="R167" s="1282"/>
      <c r="S167" s="1282"/>
      <c r="T167" s="1282"/>
      <c r="U167" s="1282"/>
      <c r="V167" s="1282"/>
      <c r="W167" s="1282"/>
      <c r="X167" s="1282"/>
      <c r="Y167" s="1282"/>
      <c r="Z167" s="1282"/>
      <c r="AA167" s="1282"/>
      <c r="AB167" s="1282"/>
      <c r="AC167" s="1282"/>
      <c r="AD167" s="1282"/>
      <c r="AE167" s="1282"/>
      <c r="AF167" s="1282"/>
      <c r="AG167" s="1282"/>
      <c r="AH167" s="1282"/>
      <c r="AI167" s="1282"/>
      <c r="AJ167" s="1282"/>
      <c r="AK167" s="1282"/>
      <c r="AL167" s="1282"/>
      <c r="AM167" s="1282"/>
      <c r="AN167" s="1282"/>
      <c r="AO167" s="1282"/>
      <c r="AP167" s="1282"/>
      <c r="AQ167" s="1282"/>
      <c r="AR167" s="1282"/>
      <c r="AS167" s="1282"/>
      <c r="AT167" s="1282"/>
      <c r="AU167" s="1282"/>
      <c r="AV167" s="1282"/>
      <c r="AW167" s="1282"/>
      <c r="AX167" s="1282"/>
      <c r="AY167" s="1282"/>
      <c r="AZ167" s="1282"/>
      <c r="BA167" s="1282"/>
      <c r="BB167" s="1282"/>
      <c r="BC167" s="1282"/>
      <c r="BD167" s="1282"/>
      <c r="BE167" s="1282"/>
      <c r="BF167" s="1282"/>
      <c r="BG167" s="1282"/>
      <c r="BH167" s="1282"/>
      <c r="BI167" s="1282"/>
      <c r="BJ167" s="1282"/>
      <c r="BK167" s="1282"/>
      <c r="BL167" s="1282"/>
      <c r="BM167" s="1282"/>
      <c r="BN167" s="1282"/>
      <c r="BO167" s="1282"/>
      <c r="BP167" s="1282"/>
      <c r="BQ167" s="1282"/>
      <c r="BR167" s="1282"/>
      <c r="BS167" s="1282"/>
      <c r="BT167" s="1282"/>
      <c r="BU167" s="1282"/>
      <c r="BV167" s="1282"/>
      <c r="BW167" s="1282"/>
      <c r="BX167" s="1282"/>
      <c r="BY167" s="1282"/>
      <c r="BZ167" s="1282"/>
      <c r="CA167" s="1513"/>
      <c r="CK167" s="1513"/>
      <c r="CL167" s="1513"/>
      <c r="CM167" s="1513"/>
      <c r="CN167" s="1513"/>
      <c r="CO167" s="1513"/>
      <c r="CP167" s="1513"/>
      <c r="CQ167" s="1513"/>
      <c r="CR167" s="1513"/>
      <c r="CS167" s="1513"/>
      <c r="CT167" s="1513"/>
      <c r="CU167" s="1513"/>
      <c r="CV167" s="1513"/>
      <c r="CW167" s="1513"/>
      <c r="CX167" s="1513"/>
      <c r="CY167" s="1513"/>
      <c r="CZ167" s="1513"/>
      <c r="DA167" s="1513"/>
      <c r="DB167" s="1513"/>
      <c r="DC167" s="1513"/>
      <c r="DD167" s="1513"/>
      <c r="DE167" s="1513"/>
      <c r="DF167" s="1513"/>
      <c r="DG167" s="1513"/>
      <c r="DH167" s="1513"/>
      <c r="DI167" s="1513"/>
      <c r="DJ167" s="1513"/>
      <c r="DK167" s="1513"/>
      <c r="DL167" s="1513"/>
      <c r="DM167" s="1513"/>
      <c r="DN167" s="1513"/>
      <c r="DO167" s="1513"/>
      <c r="DP167" s="1513"/>
      <c r="DQ167" s="1513"/>
      <c r="DR167" s="1513"/>
      <c r="DS167" s="1513"/>
      <c r="DT167" s="1513"/>
      <c r="DU167" s="1513"/>
      <c r="DV167" s="1513"/>
      <c r="DW167" s="1513"/>
      <c r="DX167" s="1513"/>
      <c r="DY167" s="1513"/>
      <c r="DZ167" s="1513"/>
      <c r="EA167" s="1513"/>
      <c r="EB167" s="1513"/>
      <c r="EC167" s="1513"/>
      <c r="ED167" s="1513"/>
      <c r="EE167" s="1513"/>
      <c r="EF167" s="1513"/>
      <c r="EG167" s="1513"/>
      <c r="EH167" s="1513"/>
      <c r="EI167" s="1513"/>
      <c r="EJ167" s="1513"/>
      <c r="EK167" s="1513"/>
      <c r="EL167" s="1513"/>
      <c r="EM167" s="1513"/>
      <c r="EN167" s="1513"/>
      <c r="EO167" s="1513"/>
      <c r="EP167" s="1513"/>
      <c r="EQ167" s="1513"/>
      <c r="ER167" s="1513"/>
      <c r="ES167" s="1513"/>
      <c r="ET167" s="1513"/>
      <c r="EU167" s="1513"/>
      <c r="EV167" s="1513"/>
      <c r="EW167" s="1513"/>
      <c r="EX167" s="1513"/>
      <c r="EY167" s="1513"/>
      <c r="EZ167" s="1513"/>
      <c r="FA167" s="1513"/>
      <c r="FB167" s="1513"/>
      <c r="FC167" s="1513"/>
      <c r="FD167" s="1513"/>
      <c r="FE167" s="1513"/>
      <c r="FF167" s="1513"/>
      <c r="FG167" s="1513"/>
      <c r="FH167" s="1513"/>
      <c r="FI167" s="1513"/>
      <c r="FJ167" s="1513"/>
      <c r="FL167" s="1513"/>
    </row>
    <row r="168" spans="1:168" ht="17.100000000000001" customHeight="1" x14ac:dyDescent="0.15">
      <c r="A168" s="1513"/>
      <c r="B168" s="1282"/>
      <c r="C168" s="1282"/>
      <c r="D168" s="1282"/>
      <c r="E168" s="1282"/>
      <c r="F168" s="1282"/>
      <c r="G168" s="1282"/>
      <c r="H168" s="1282"/>
      <c r="I168" s="1282"/>
      <c r="J168" s="1282"/>
      <c r="K168" s="1282"/>
      <c r="L168" s="1282"/>
      <c r="M168" s="1282"/>
      <c r="N168" s="1282"/>
      <c r="O168" s="1282"/>
      <c r="P168" s="1282"/>
      <c r="Q168" s="1282"/>
      <c r="R168" s="1282"/>
      <c r="S168" s="1282"/>
      <c r="T168" s="1282"/>
      <c r="U168" s="1282"/>
      <c r="V168" s="1282"/>
      <c r="W168" s="1282"/>
      <c r="X168" s="1282"/>
      <c r="Y168" s="1282"/>
      <c r="Z168" s="1282"/>
      <c r="AA168" s="1282"/>
      <c r="AB168" s="1282"/>
      <c r="AC168" s="1282"/>
      <c r="AD168" s="1282"/>
      <c r="AE168" s="1282"/>
      <c r="AF168" s="1282"/>
      <c r="AG168" s="1282"/>
      <c r="AH168" s="1282"/>
      <c r="AI168" s="1282"/>
      <c r="AJ168" s="1282"/>
      <c r="AK168" s="1282"/>
      <c r="AL168" s="1282"/>
      <c r="AM168" s="1282"/>
      <c r="AN168" s="1282"/>
      <c r="AO168" s="1282"/>
      <c r="AP168" s="1282"/>
      <c r="AQ168" s="1282"/>
      <c r="AR168" s="1282"/>
      <c r="AS168" s="1282"/>
      <c r="AT168" s="1282"/>
      <c r="AU168" s="1282"/>
      <c r="AV168" s="1282"/>
      <c r="AW168" s="1282"/>
      <c r="AX168" s="1282"/>
      <c r="AY168" s="1282"/>
      <c r="AZ168" s="1282"/>
      <c r="BA168" s="1282"/>
      <c r="BB168" s="1282"/>
      <c r="BC168" s="1282"/>
      <c r="BD168" s="1282"/>
      <c r="BE168" s="1282"/>
      <c r="BF168" s="1282"/>
      <c r="BG168" s="1282"/>
      <c r="BH168" s="1282"/>
      <c r="BI168" s="1282"/>
      <c r="BJ168" s="1282"/>
      <c r="BK168" s="1282"/>
      <c r="BL168" s="1282"/>
      <c r="BM168" s="1282"/>
      <c r="BN168" s="1282"/>
      <c r="BO168" s="1282"/>
      <c r="BP168" s="1282"/>
      <c r="BQ168" s="1282"/>
      <c r="BR168" s="1282"/>
      <c r="BS168" s="1282"/>
      <c r="BT168" s="1282"/>
      <c r="BU168" s="1282"/>
      <c r="BV168" s="1282"/>
      <c r="BW168" s="1282"/>
      <c r="BX168" s="1282"/>
      <c r="BY168" s="1282"/>
      <c r="BZ168" s="1282"/>
      <c r="CA168" s="1513"/>
      <c r="CK168" s="1513"/>
      <c r="CL168" s="1513"/>
      <c r="CM168" s="1513"/>
      <c r="CN168" s="1513"/>
      <c r="CO168" s="1513"/>
      <c r="CP168" s="1513"/>
      <c r="CQ168" s="1513"/>
      <c r="CR168" s="1513"/>
      <c r="CS168" s="1513"/>
      <c r="CT168" s="1513"/>
      <c r="CU168" s="1513"/>
      <c r="CV168" s="1513"/>
      <c r="CW168" s="1513"/>
      <c r="CX168" s="1513"/>
      <c r="CY168" s="1513"/>
      <c r="CZ168" s="1513"/>
      <c r="DA168" s="1513"/>
      <c r="DB168" s="1513"/>
      <c r="DC168" s="1513"/>
      <c r="DD168" s="1513"/>
      <c r="DE168" s="1513"/>
      <c r="DF168" s="1513"/>
      <c r="DG168" s="1513"/>
      <c r="DH168" s="1513"/>
      <c r="DI168" s="1513"/>
      <c r="DJ168" s="1513"/>
      <c r="DK168" s="1513"/>
      <c r="DL168" s="1513"/>
      <c r="DM168" s="1513"/>
      <c r="DN168" s="1513"/>
      <c r="DO168" s="1513"/>
      <c r="DP168" s="1513"/>
      <c r="DQ168" s="1513"/>
      <c r="DR168" s="1513"/>
      <c r="DS168" s="1513"/>
      <c r="DT168" s="1513"/>
      <c r="DU168" s="1513"/>
      <c r="DV168" s="1513"/>
      <c r="DW168" s="1513"/>
      <c r="DX168" s="1513"/>
      <c r="DY168" s="1513"/>
      <c r="DZ168" s="1513"/>
      <c r="EA168" s="1513"/>
      <c r="EB168" s="1513"/>
      <c r="EC168" s="1513"/>
      <c r="ED168" s="1513"/>
      <c r="EE168" s="1513"/>
      <c r="EF168" s="1513"/>
      <c r="EG168" s="1513"/>
      <c r="EH168" s="1513"/>
      <c r="EI168" s="1513"/>
      <c r="EJ168" s="1513"/>
      <c r="EK168" s="1513"/>
      <c r="EL168" s="1513"/>
      <c r="EM168" s="1513"/>
      <c r="EN168" s="1513"/>
      <c r="EO168" s="1513"/>
      <c r="EP168" s="1513"/>
      <c r="EQ168" s="1513"/>
      <c r="ER168" s="1513"/>
      <c r="ES168" s="1513"/>
      <c r="ET168" s="1513"/>
      <c r="EU168" s="1513"/>
      <c r="EV168" s="1513"/>
      <c r="EW168" s="1513"/>
      <c r="EX168" s="1513"/>
      <c r="EY168" s="1513"/>
      <c r="EZ168" s="1513"/>
      <c r="FA168" s="1513"/>
      <c r="FB168" s="1513"/>
      <c r="FC168" s="1513"/>
      <c r="FD168" s="1513"/>
      <c r="FE168" s="1513"/>
      <c r="FF168" s="1513"/>
      <c r="FG168" s="1513"/>
      <c r="FH168" s="1513"/>
      <c r="FI168" s="1513"/>
      <c r="FJ168" s="1513"/>
      <c r="FL168" s="1513"/>
    </row>
    <row r="169" spans="1:168" ht="17.100000000000001" customHeight="1" x14ac:dyDescent="0.15">
      <c r="A169" s="1513"/>
      <c r="B169" s="1282"/>
      <c r="C169" s="1282"/>
      <c r="D169" s="1282"/>
      <c r="E169" s="1282"/>
      <c r="F169" s="1282"/>
      <c r="G169" s="1282"/>
      <c r="H169" s="1282"/>
      <c r="I169" s="1282"/>
      <c r="J169" s="1282"/>
      <c r="K169" s="1282"/>
      <c r="L169" s="1282"/>
      <c r="M169" s="1282"/>
      <c r="N169" s="1282"/>
      <c r="O169" s="1282"/>
      <c r="P169" s="1282"/>
      <c r="Q169" s="1282"/>
      <c r="R169" s="1282"/>
      <c r="S169" s="1282"/>
      <c r="T169" s="1282"/>
      <c r="U169" s="1282"/>
      <c r="V169" s="1282"/>
      <c r="W169" s="1282"/>
      <c r="X169" s="1282"/>
      <c r="Y169" s="1282"/>
      <c r="Z169" s="1282"/>
      <c r="AA169" s="1282"/>
      <c r="AB169" s="1282"/>
      <c r="AC169" s="1282"/>
      <c r="AD169" s="1282"/>
      <c r="AE169" s="1282"/>
      <c r="AF169" s="1282"/>
      <c r="AG169" s="1282"/>
      <c r="AH169" s="1282"/>
      <c r="AI169" s="1282"/>
      <c r="AJ169" s="1282"/>
      <c r="AK169" s="1282"/>
      <c r="AL169" s="1282"/>
      <c r="AM169" s="1282"/>
      <c r="AN169" s="1282"/>
      <c r="AO169" s="1282"/>
      <c r="AP169" s="1282"/>
      <c r="AQ169" s="1282"/>
      <c r="AR169" s="1282"/>
      <c r="AS169" s="1282"/>
      <c r="AT169" s="1282"/>
      <c r="AU169" s="1282"/>
      <c r="AV169" s="1282"/>
      <c r="AW169" s="1282"/>
      <c r="AX169" s="1282"/>
      <c r="AY169" s="1282"/>
      <c r="AZ169" s="1282"/>
      <c r="BA169" s="1282"/>
      <c r="BB169" s="1282"/>
      <c r="BC169" s="1282"/>
      <c r="BD169" s="1282"/>
      <c r="BE169" s="1282"/>
      <c r="BF169" s="1282"/>
      <c r="BG169" s="1282"/>
      <c r="BH169" s="1282"/>
      <c r="BI169" s="1282"/>
      <c r="BJ169" s="1282"/>
      <c r="BK169" s="1282"/>
      <c r="BL169" s="1282"/>
      <c r="BM169" s="1282"/>
      <c r="BN169" s="1282"/>
      <c r="BO169" s="1282"/>
      <c r="BP169" s="1282"/>
      <c r="BQ169" s="1282"/>
      <c r="BR169" s="1282"/>
      <c r="BS169" s="1282"/>
      <c r="BT169" s="1282"/>
      <c r="BU169" s="1282"/>
      <c r="BV169" s="1282"/>
      <c r="BW169" s="1282"/>
      <c r="BX169" s="1282"/>
      <c r="BY169" s="1282"/>
      <c r="BZ169" s="1282"/>
      <c r="CA169" s="1513"/>
      <c r="CK169" s="1513"/>
      <c r="CL169" s="1513"/>
      <c r="CM169" s="1513"/>
      <c r="CN169" s="1513"/>
      <c r="CO169" s="1513"/>
      <c r="CP169" s="1513"/>
      <c r="CQ169" s="1513"/>
      <c r="CR169" s="1513"/>
      <c r="CS169" s="1513"/>
      <c r="CT169" s="1513"/>
      <c r="CU169" s="1513"/>
      <c r="CV169" s="1513"/>
      <c r="CW169" s="1513"/>
      <c r="CX169" s="1513"/>
      <c r="CY169" s="1513"/>
      <c r="CZ169" s="1513"/>
      <c r="DA169" s="1513"/>
      <c r="DB169" s="1513"/>
      <c r="DC169" s="1513"/>
      <c r="DD169" s="1513"/>
      <c r="DE169" s="1513"/>
      <c r="DF169" s="1513"/>
      <c r="DG169" s="1513"/>
      <c r="DH169" s="1513"/>
      <c r="DI169" s="1513"/>
      <c r="DJ169" s="1513"/>
      <c r="DK169" s="1513"/>
      <c r="DL169" s="1513"/>
      <c r="DM169" s="1513"/>
      <c r="DN169" s="1513"/>
      <c r="DO169" s="1513"/>
      <c r="DP169" s="1513"/>
      <c r="DQ169" s="1513"/>
      <c r="DR169" s="1513"/>
      <c r="DS169" s="1513"/>
      <c r="DT169" s="1513"/>
      <c r="DU169" s="1513"/>
      <c r="DV169" s="1513"/>
      <c r="DW169" s="1513"/>
      <c r="DX169" s="1513"/>
      <c r="DY169" s="1513"/>
      <c r="DZ169" s="1513"/>
      <c r="EA169" s="1513"/>
      <c r="EB169" s="1513"/>
      <c r="EC169" s="1513"/>
      <c r="ED169" s="1513"/>
      <c r="EE169" s="1513"/>
      <c r="EF169" s="1513"/>
      <c r="EG169" s="1513"/>
      <c r="EH169" s="1513"/>
      <c r="EI169" s="1513"/>
      <c r="EJ169" s="1513"/>
      <c r="EK169" s="1513"/>
      <c r="EL169" s="1513"/>
      <c r="EM169" s="1513"/>
      <c r="EN169" s="1513"/>
      <c r="EO169" s="1513"/>
      <c r="EP169" s="1513"/>
      <c r="EQ169" s="1513"/>
      <c r="ER169" s="1513"/>
      <c r="ES169" s="1513"/>
      <c r="ET169" s="1513"/>
      <c r="EU169" s="1513"/>
      <c r="EV169" s="1513"/>
      <c r="EW169" s="1513"/>
      <c r="EX169" s="1513"/>
      <c r="EY169" s="1513"/>
      <c r="EZ169" s="1513"/>
      <c r="FA169" s="1513"/>
      <c r="FB169" s="1513"/>
      <c r="FC169" s="1513"/>
      <c r="FD169" s="1513"/>
      <c r="FE169" s="1513"/>
      <c r="FF169" s="1513"/>
      <c r="FG169" s="1513"/>
      <c r="FH169" s="1513"/>
      <c r="FI169" s="1513"/>
      <c r="FJ169" s="1513"/>
      <c r="FL169" s="1513"/>
    </row>
    <row r="170" spans="1:168" ht="17.100000000000001" customHeight="1" x14ac:dyDescent="0.15">
      <c r="A170" s="1513"/>
      <c r="B170" s="1282"/>
      <c r="C170" s="1282"/>
      <c r="D170" s="1282"/>
      <c r="E170" s="1282"/>
      <c r="F170" s="1282"/>
      <c r="G170" s="1282"/>
      <c r="H170" s="1282"/>
      <c r="I170" s="1282"/>
      <c r="J170" s="1282"/>
      <c r="K170" s="1282"/>
      <c r="L170" s="1282"/>
      <c r="M170" s="1282"/>
      <c r="N170" s="1282"/>
      <c r="O170" s="1282"/>
      <c r="P170" s="1282"/>
      <c r="Q170" s="1282"/>
      <c r="R170" s="1282"/>
      <c r="S170" s="1282"/>
      <c r="T170" s="1282"/>
      <c r="U170" s="1282"/>
      <c r="V170" s="1282"/>
      <c r="W170" s="1282"/>
      <c r="X170" s="1282"/>
      <c r="Y170" s="1282"/>
      <c r="Z170" s="1282"/>
      <c r="AA170" s="1282"/>
      <c r="AB170" s="1282"/>
      <c r="AC170" s="1282"/>
      <c r="AD170" s="1282"/>
      <c r="AE170" s="1282"/>
      <c r="AF170" s="1282"/>
      <c r="AG170" s="1282"/>
      <c r="AH170" s="1282"/>
      <c r="AI170" s="1282"/>
      <c r="AJ170" s="1282"/>
      <c r="AK170" s="1282"/>
      <c r="AL170" s="1282"/>
      <c r="AM170" s="1282"/>
      <c r="AN170" s="1282"/>
      <c r="AO170" s="1282"/>
      <c r="AP170" s="1282"/>
      <c r="AQ170" s="1282"/>
      <c r="AR170" s="1282"/>
      <c r="AS170" s="1282"/>
      <c r="AT170" s="1282"/>
      <c r="AU170" s="1282"/>
      <c r="AV170" s="1282"/>
      <c r="AW170" s="1282"/>
      <c r="AX170" s="1282"/>
      <c r="AY170" s="1282"/>
      <c r="AZ170" s="1282"/>
      <c r="BA170" s="1282"/>
      <c r="BB170" s="1282"/>
      <c r="BC170" s="1282"/>
      <c r="BD170" s="1282"/>
      <c r="BE170" s="1282"/>
      <c r="BF170" s="1282"/>
      <c r="BG170" s="1282"/>
      <c r="BH170" s="1282"/>
      <c r="BI170" s="1282"/>
      <c r="BJ170" s="1282"/>
      <c r="BK170" s="1282"/>
      <c r="BL170" s="1282"/>
      <c r="BM170" s="1282"/>
      <c r="BN170" s="1282"/>
      <c r="BO170" s="1282"/>
      <c r="BP170" s="1282"/>
      <c r="BQ170" s="1282"/>
      <c r="BR170" s="1282"/>
      <c r="BS170" s="1282"/>
      <c r="BT170" s="1282"/>
      <c r="BU170" s="1282"/>
      <c r="BV170" s="1282"/>
      <c r="BW170" s="1282"/>
      <c r="BX170" s="1282"/>
      <c r="BY170" s="1282"/>
      <c r="BZ170" s="1282"/>
      <c r="CA170" s="1513"/>
      <c r="CK170" s="1513"/>
      <c r="CL170" s="1513"/>
      <c r="CM170" s="1513"/>
      <c r="CN170" s="1513"/>
      <c r="CO170" s="1513"/>
      <c r="CP170" s="1513"/>
      <c r="CQ170" s="1513"/>
      <c r="CR170" s="1513"/>
      <c r="CS170" s="1513"/>
      <c r="CT170" s="1513"/>
      <c r="CU170" s="1513"/>
      <c r="CV170" s="1513"/>
      <c r="CW170" s="1513"/>
      <c r="CX170" s="1513"/>
      <c r="CY170" s="1513"/>
      <c r="CZ170" s="1513"/>
      <c r="DA170" s="1513"/>
      <c r="DB170" s="1513"/>
      <c r="DC170" s="1513"/>
      <c r="DD170" s="1513"/>
      <c r="DE170" s="1513"/>
      <c r="DF170" s="1513"/>
      <c r="DG170" s="1513"/>
      <c r="DH170" s="1513"/>
      <c r="DI170" s="1513"/>
      <c r="DJ170" s="1513"/>
      <c r="DK170" s="1513"/>
      <c r="DL170" s="1513"/>
      <c r="DM170" s="1513"/>
      <c r="DN170" s="1513"/>
      <c r="DO170" s="1513"/>
      <c r="DP170" s="1513"/>
      <c r="DQ170" s="1513"/>
      <c r="DR170" s="1513"/>
      <c r="DS170" s="1513"/>
      <c r="DT170" s="1513"/>
      <c r="DU170" s="1513"/>
      <c r="DV170" s="1513"/>
      <c r="DW170" s="1513"/>
      <c r="DX170" s="1513"/>
      <c r="DY170" s="1513"/>
      <c r="DZ170" s="1513"/>
      <c r="EA170" s="1513"/>
      <c r="EB170" s="1513"/>
      <c r="EC170" s="1513"/>
      <c r="ED170" s="1513"/>
      <c r="EE170" s="1513"/>
      <c r="EF170" s="1513"/>
      <c r="EG170" s="1513"/>
      <c r="EH170" s="1513"/>
      <c r="EI170" s="1513"/>
      <c r="EJ170" s="1513"/>
      <c r="EK170" s="1513"/>
      <c r="EL170" s="1513"/>
      <c r="EM170" s="1513"/>
      <c r="EN170" s="1513"/>
      <c r="EO170" s="1513"/>
      <c r="EP170" s="1513"/>
      <c r="EQ170" s="1513"/>
      <c r="ER170" s="1513"/>
      <c r="ES170" s="1513"/>
      <c r="ET170" s="1513"/>
      <c r="EU170" s="1513"/>
      <c r="EV170" s="1513"/>
      <c r="EW170" s="1513"/>
      <c r="EX170" s="1513"/>
      <c r="EY170" s="1513"/>
      <c r="EZ170" s="1513"/>
      <c r="FA170" s="1513"/>
      <c r="FB170" s="1513"/>
      <c r="FC170" s="1513"/>
      <c r="FD170" s="1513"/>
      <c r="FE170" s="1513"/>
      <c r="FF170" s="1513"/>
      <c r="FG170" s="1513"/>
      <c r="FH170" s="1513"/>
      <c r="FI170" s="1513"/>
      <c r="FJ170" s="1513"/>
      <c r="FL170" s="1513"/>
    </row>
    <row r="171" spans="1:168" ht="17.100000000000001" customHeight="1" x14ac:dyDescent="0.15">
      <c r="A171" s="1513"/>
      <c r="B171" s="1282"/>
      <c r="C171" s="1282"/>
      <c r="D171" s="1282"/>
      <c r="E171" s="1282"/>
      <c r="F171" s="1282"/>
      <c r="G171" s="1282"/>
      <c r="H171" s="1282"/>
      <c r="I171" s="1282"/>
      <c r="J171" s="1282"/>
      <c r="K171" s="1282"/>
      <c r="L171" s="1282"/>
      <c r="M171" s="1282"/>
      <c r="N171" s="1282"/>
      <c r="O171" s="1282"/>
      <c r="P171" s="1282"/>
      <c r="Q171" s="1282"/>
      <c r="R171" s="1282"/>
      <c r="S171" s="1282"/>
      <c r="T171" s="1282"/>
      <c r="U171" s="1282"/>
      <c r="V171" s="1282"/>
      <c r="W171" s="1282"/>
      <c r="X171" s="1282"/>
      <c r="Y171" s="1282"/>
      <c r="Z171" s="1282"/>
      <c r="AA171" s="1282"/>
      <c r="AB171" s="1282"/>
      <c r="AC171" s="1282"/>
      <c r="AD171" s="1282"/>
      <c r="AE171" s="1282"/>
      <c r="AF171" s="1282"/>
      <c r="AG171" s="1282"/>
      <c r="AH171" s="1282"/>
      <c r="AI171" s="1282"/>
      <c r="AJ171" s="1282"/>
      <c r="AK171" s="1282"/>
      <c r="AL171" s="1282"/>
      <c r="AM171" s="1282"/>
      <c r="AN171" s="1282"/>
      <c r="AO171" s="1282"/>
      <c r="AP171" s="1282"/>
      <c r="AQ171" s="1282"/>
      <c r="AR171" s="1282"/>
      <c r="AS171" s="1282"/>
      <c r="AT171" s="1282"/>
      <c r="AU171" s="1282"/>
      <c r="AV171" s="1282"/>
      <c r="AW171" s="1282"/>
      <c r="AX171" s="1282"/>
      <c r="AY171" s="1282"/>
      <c r="AZ171" s="1282"/>
      <c r="BA171" s="1282"/>
      <c r="BB171" s="1282"/>
      <c r="BC171" s="1282"/>
      <c r="BD171" s="1282"/>
      <c r="BE171" s="1282"/>
      <c r="BF171" s="1282"/>
      <c r="BG171" s="1282"/>
      <c r="BH171" s="1282"/>
      <c r="BI171" s="1282"/>
      <c r="BJ171" s="1282"/>
      <c r="BK171" s="1282"/>
      <c r="BL171" s="1282"/>
      <c r="BM171" s="1282"/>
      <c r="BN171" s="1282"/>
      <c r="BO171" s="1282"/>
      <c r="BP171" s="1282"/>
      <c r="BQ171" s="1282"/>
      <c r="BR171" s="1282"/>
      <c r="BS171" s="1282"/>
      <c r="BT171" s="1282"/>
      <c r="BU171" s="1282"/>
      <c r="BV171" s="1282"/>
      <c r="BW171" s="1282"/>
      <c r="BX171" s="1282"/>
      <c r="BY171" s="1282"/>
      <c r="BZ171" s="1282"/>
      <c r="CA171" s="1513"/>
      <c r="CK171" s="1513"/>
      <c r="CL171" s="1513"/>
      <c r="CM171" s="1513"/>
      <c r="CN171" s="1513"/>
      <c r="CO171" s="1513"/>
      <c r="CP171" s="1513"/>
      <c r="CQ171" s="1513"/>
      <c r="CR171" s="1513"/>
      <c r="CS171" s="1513"/>
      <c r="CT171" s="1513"/>
      <c r="CU171" s="1513"/>
      <c r="CV171" s="1513"/>
      <c r="CW171" s="1513"/>
      <c r="CX171" s="1513"/>
      <c r="CY171" s="1513"/>
      <c r="CZ171" s="1513"/>
      <c r="DA171" s="1513"/>
      <c r="DB171" s="1513"/>
      <c r="DC171" s="1513"/>
      <c r="DD171" s="1513"/>
      <c r="DE171" s="1513"/>
      <c r="DF171" s="1513"/>
      <c r="DG171" s="1513"/>
      <c r="DH171" s="1513"/>
      <c r="DI171" s="1513"/>
      <c r="DJ171" s="1513"/>
      <c r="DK171" s="1513"/>
      <c r="DL171" s="1513"/>
      <c r="DM171" s="1513"/>
      <c r="DN171" s="1513"/>
      <c r="DO171" s="1513"/>
      <c r="DP171" s="1513"/>
      <c r="DQ171" s="1513"/>
      <c r="DR171" s="1513"/>
      <c r="DS171" s="1513"/>
      <c r="DT171" s="1513"/>
      <c r="DU171" s="1513"/>
      <c r="DV171" s="1513"/>
      <c r="DW171" s="1513"/>
      <c r="DX171" s="1513"/>
      <c r="DY171" s="1513"/>
      <c r="DZ171" s="1513"/>
      <c r="EA171" s="1513"/>
      <c r="EB171" s="1513"/>
      <c r="EC171" s="1513"/>
      <c r="ED171" s="1513"/>
      <c r="EE171" s="1513"/>
      <c r="EF171" s="1513"/>
      <c r="EG171" s="1513"/>
      <c r="EH171" s="1513"/>
      <c r="EI171" s="1513"/>
      <c r="EJ171" s="1513"/>
      <c r="EK171" s="1513"/>
      <c r="EL171" s="1513"/>
      <c r="EM171" s="1513"/>
      <c r="EN171" s="1513"/>
      <c r="EO171" s="1513"/>
      <c r="EP171" s="1513"/>
      <c r="EQ171" s="1513"/>
      <c r="ER171" s="1513"/>
      <c r="ES171" s="1513"/>
      <c r="ET171" s="1513"/>
      <c r="EU171" s="1513"/>
      <c r="EV171" s="1513"/>
      <c r="EW171" s="1513"/>
      <c r="EX171" s="1513"/>
      <c r="EY171" s="1513"/>
      <c r="EZ171" s="1513"/>
      <c r="FA171" s="1513"/>
      <c r="FB171" s="1513"/>
      <c r="FC171" s="1513"/>
      <c r="FD171" s="1513"/>
      <c r="FE171" s="1513"/>
      <c r="FF171" s="1513"/>
      <c r="FG171" s="1513"/>
      <c r="FH171" s="1513"/>
      <c r="FI171" s="1513"/>
      <c r="FJ171" s="1513"/>
      <c r="FL171" s="1513"/>
    </row>
    <row r="172" spans="1:168" ht="17.100000000000001" customHeight="1" x14ac:dyDescent="0.15">
      <c r="A172" s="1513"/>
      <c r="B172" s="1282"/>
      <c r="C172" s="1282"/>
      <c r="D172" s="1282"/>
      <c r="E172" s="1282"/>
      <c r="F172" s="1282"/>
      <c r="G172" s="1282"/>
      <c r="H172" s="1282"/>
      <c r="I172" s="1282"/>
      <c r="J172" s="1282"/>
      <c r="K172" s="1282"/>
      <c r="L172" s="1282"/>
      <c r="M172" s="1282"/>
      <c r="N172" s="1282"/>
      <c r="O172" s="1282"/>
      <c r="P172" s="1282"/>
      <c r="Q172" s="1282"/>
      <c r="R172" s="1282"/>
      <c r="S172" s="1282"/>
      <c r="T172" s="1282"/>
      <c r="U172" s="1282"/>
      <c r="V172" s="1282"/>
      <c r="W172" s="1282"/>
      <c r="X172" s="1282"/>
      <c r="Y172" s="1282"/>
      <c r="Z172" s="1282"/>
      <c r="AA172" s="1282"/>
      <c r="AB172" s="1282"/>
      <c r="AC172" s="1282"/>
      <c r="AD172" s="1282"/>
      <c r="AE172" s="1282"/>
      <c r="AF172" s="1282"/>
      <c r="AG172" s="1282"/>
      <c r="AH172" s="1282"/>
      <c r="AI172" s="1282"/>
      <c r="AJ172" s="1282"/>
      <c r="AK172" s="1282"/>
      <c r="AL172" s="1282"/>
      <c r="AM172" s="1282"/>
      <c r="AN172" s="1282"/>
      <c r="AO172" s="1282"/>
      <c r="AP172" s="1282"/>
      <c r="AQ172" s="1282"/>
      <c r="AR172" s="1282"/>
      <c r="AS172" s="1282"/>
      <c r="AT172" s="1282"/>
      <c r="AU172" s="1282"/>
      <c r="AV172" s="1282"/>
      <c r="AW172" s="1282"/>
      <c r="AX172" s="1282"/>
      <c r="AY172" s="1282"/>
      <c r="AZ172" s="1282"/>
      <c r="BA172" s="1282"/>
      <c r="BB172" s="1282"/>
      <c r="BC172" s="1282"/>
      <c r="BD172" s="1282"/>
      <c r="BE172" s="1282"/>
      <c r="BF172" s="1282"/>
      <c r="BG172" s="1282"/>
      <c r="BH172" s="1282"/>
      <c r="BI172" s="1282"/>
      <c r="BJ172" s="1282"/>
      <c r="BK172" s="1282"/>
      <c r="BL172" s="1282"/>
      <c r="BM172" s="1282"/>
      <c r="BN172" s="1282"/>
      <c r="BO172" s="1282"/>
      <c r="BP172" s="1282"/>
      <c r="BQ172" s="1282"/>
      <c r="BR172" s="1282"/>
      <c r="BS172" s="1282"/>
      <c r="BT172" s="1282"/>
      <c r="BU172" s="1282"/>
      <c r="BV172" s="1282"/>
      <c r="BW172" s="1282"/>
      <c r="BX172" s="1282"/>
      <c r="BY172" s="1282"/>
      <c r="BZ172" s="1282"/>
      <c r="CA172" s="1513"/>
      <c r="CK172" s="1513"/>
      <c r="CL172" s="1513"/>
      <c r="CM172" s="1513"/>
      <c r="CN172" s="1513"/>
      <c r="CO172" s="1513"/>
      <c r="CP172" s="1513"/>
      <c r="CQ172" s="1513"/>
      <c r="CR172" s="1513"/>
      <c r="CS172" s="1513"/>
      <c r="CT172" s="1513"/>
      <c r="CU172" s="1513"/>
      <c r="CV172" s="1513"/>
      <c r="CW172" s="1513"/>
      <c r="CX172" s="1513"/>
      <c r="CY172" s="1513"/>
      <c r="CZ172" s="1513"/>
      <c r="DA172" s="1513"/>
      <c r="DB172" s="1513"/>
      <c r="DC172" s="1513"/>
      <c r="DD172" s="1513"/>
      <c r="DE172" s="1513"/>
      <c r="DF172" s="1513"/>
      <c r="DG172" s="1513"/>
      <c r="DH172" s="1513"/>
      <c r="DI172" s="1513"/>
      <c r="DJ172" s="1513"/>
      <c r="DK172" s="1513"/>
      <c r="DL172" s="1513"/>
      <c r="DM172" s="1513"/>
      <c r="DN172" s="1513"/>
      <c r="DO172" s="1513"/>
      <c r="DP172" s="1513"/>
      <c r="DQ172" s="1513"/>
      <c r="DR172" s="1513"/>
      <c r="DS172" s="1513"/>
      <c r="DT172" s="1513"/>
      <c r="DU172" s="1513"/>
      <c r="DV172" s="1513"/>
      <c r="DW172" s="1513"/>
      <c r="DX172" s="1513"/>
      <c r="DY172" s="1513"/>
      <c r="DZ172" s="1513"/>
      <c r="EA172" s="1513"/>
      <c r="EB172" s="1513"/>
      <c r="EC172" s="1513"/>
      <c r="ED172" s="1513"/>
      <c r="EE172" s="1513"/>
      <c r="EF172" s="1513"/>
      <c r="EG172" s="1513"/>
      <c r="EH172" s="1513"/>
      <c r="EI172" s="1513"/>
      <c r="EJ172" s="1513"/>
      <c r="EK172" s="1513"/>
      <c r="EL172" s="1513"/>
      <c r="EM172" s="1513"/>
      <c r="EN172" s="1513"/>
      <c r="EO172" s="1513"/>
      <c r="EP172" s="1513"/>
      <c r="EQ172" s="1513"/>
      <c r="ER172" s="1513"/>
      <c r="ES172" s="1513"/>
      <c r="ET172" s="1513"/>
      <c r="EU172" s="1513"/>
      <c r="EV172" s="1513"/>
      <c r="EW172" s="1513"/>
      <c r="EX172" s="1513"/>
      <c r="EY172" s="1513"/>
      <c r="EZ172" s="1513"/>
      <c r="FA172" s="1513"/>
      <c r="FB172" s="1513"/>
      <c r="FC172" s="1513"/>
      <c r="FD172" s="1513"/>
      <c r="FE172" s="1513"/>
      <c r="FF172" s="1513"/>
      <c r="FG172" s="1513"/>
      <c r="FH172" s="1513"/>
      <c r="FI172" s="1513"/>
      <c r="FJ172" s="1513"/>
      <c r="FL172" s="1513"/>
    </row>
    <row r="173" spans="1:168" ht="17.100000000000001" customHeight="1" x14ac:dyDescent="0.15">
      <c r="A173" s="1513"/>
      <c r="B173" s="1282"/>
      <c r="C173" s="1282"/>
      <c r="D173" s="1282"/>
      <c r="E173" s="1282"/>
      <c r="F173" s="1282"/>
      <c r="G173" s="1282"/>
      <c r="H173" s="1282"/>
      <c r="I173" s="1282"/>
      <c r="J173" s="1282"/>
      <c r="K173" s="1282"/>
      <c r="L173" s="1282"/>
      <c r="M173" s="1282"/>
      <c r="N173" s="1282"/>
      <c r="O173" s="1282"/>
      <c r="P173" s="1282"/>
      <c r="Q173" s="1282"/>
      <c r="R173" s="1282"/>
      <c r="S173" s="1282"/>
      <c r="T173" s="1282"/>
      <c r="U173" s="1282"/>
      <c r="V173" s="1282"/>
      <c r="W173" s="1282"/>
      <c r="X173" s="1282"/>
      <c r="Y173" s="1282"/>
      <c r="Z173" s="1282"/>
      <c r="AA173" s="1282"/>
      <c r="AB173" s="1282"/>
      <c r="AC173" s="1282"/>
      <c r="AD173" s="1282"/>
      <c r="AE173" s="1282"/>
      <c r="AF173" s="1282"/>
      <c r="AG173" s="1282"/>
      <c r="AH173" s="1282"/>
      <c r="AI173" s="1282"/>
      <c r="AJ173" s="1282"/>
      <c r="AK173" s="1282"/>
      <c r="AL173" s="1282"/>
      <c r="AM173" s="1282"/>
      <c r="AN173" s="1282"/>
      <c r="AO173" s="1282"/>
      <c r="AP173" s="1282"/>
      <c r="AQ173" s="1282"/>
      <c r="AR173" s="1282"/>
      <c r="AS173" s="1282"/>
      <c r="AT173" s="1282"/>
      <c r="AU173" s="1282"/>
      <c r="AV173" s="1282"/>
      <c r="AW173" s="1282"/>
      <c r="AX173" s="1282"/>
      <c r="AY173" s="1282"/>
      <c r="AZ173" s="1282"/>
      <c r="BA173" s="1282"/>
      <c r="BB173" s="1282"/>
      <c r="BC173" s="1282"/>
      <c r="BD173" s="1282"/>
      <c r="BE173" s="1282"/>
      <c r="BF173" s="1282"/>
      <c r="BG173" s="1282"/>
      <c r="BH173" s="1282"/>
      <c r="BI173" s="1282"/>
      <c r="BJ173" s="1282"/>
      <c r="BK173" s="1282"/>
      <c r="BL173" s="1282"/>
      <c r="BM173" s="1282"/>
      <c r="BN173" s="1282"/>
      <c r="BO173" s="1282"/>
      <c r="BP173" s="1282"/>
      <c r="BQ173" s="1282"/>
      <c r="BR173" s="1282"/>
      <c r="BS173" s="1282"/>
      <c r="BT173" s="1282"/>
      <c r="BU173" s="1282"/>
      <c r="BV173" s="1282"/>
      <c r="BW173" s="1282"/>
      <c r="BX173" s="1282"/>
      <c r="BY173" s="1282"/>
      <c r="BZ173" s="1282"/>
      <c r="CA173" s="1513"/>
      <c r="CK173" s="1513"/>
      <c r="CL173" s="1513"/>
      <c r="CM173" s="1513"/>
      <c r="CN173" s="1513"/>
      <c r="CO173" s="1513"/>
      <c r="CP173" s="1513"/>
      <c r="CQ173" s="1513"/>
      <c r="CR173" s="1513"/>
      <c r="CS173" s="1513"/>
      <c r="CT173" s="1513"/>
      <c r="CU173" s="1513"/>
      <c r="CV173" s="1513"/>
      <c r="CW173" s="1513"/>
      <c r="CX173" s="1513"/>
      <c r="CY173" s="1513"/>
      <c r="CZ173" s="1513"/>
      <c r="DA173" s="1513"/>
      <c r="DB173" s="1513"/>
      <c r="DC173" s="1513"/>
      <c r="DD173" s="1513"/>
      <c r="DE173" s="1513"/>
      <c r="DF173" s="1513"/>
      <c r="DG173" s="1513"/>
      <c r="DH173" s="1513"/>
      <c r="DI173" s="1513"/>
      <c r="DJ173" s="1513"/>
      <c r="DK173" s="1513"/>
      <c r="DL173" s="1513"/>
      <c r="DM173" s="1513"/>
      <c r="DN173" s="1513"/>
      <c r="DO173" s="1513"/>
      <c r="DP173" s="1513"/>
      <c r="DQ173" s="1513"/>
      <c r="DR173" s="1513"/>
      <c r="DS173" s="1513"/>
      <c r="DT173" s="1513"/>
      <c r="DU173" s="1513"/>
      <c r="DV173" s="1513"/>
      <c r="DW173" s="1513"/>
      <c r="DX173" s="1513"/>
      <c r="DY173" s="1513"/>
      <c r="DZ173" s="1513"/>
      <c r="EA173" s="1513"/>
      <c r="EB173" s="1513"/>
      <c r="EC173" s="1513"/>
      <c r="ED173" s="1513"/>
      <c r="EE173" s="1513"/>
      <c r="EF173" s="1513"/>
      <c r="EG173" s="1513"/>
      <c r="EH173" s="1513"/>
      <c r="EI173" s="1513"/>
      <c r="EJ173" s="1513"/>
      <c r="EK173" s="1513"/>
      <c r="EL173" s="1513"/>
      <c r="EM173" s="1513"/>
      <c r="EN173" s="1513"/>
      <c r="EO173" s="1513"/>
      <c r="EP173" s="1513"/>
      <c r="EQ173" s="1513"/>
      <c r="ER173" s="1513"/>
      <c r="ES173" s="1513"/>
      <c r="ET173" s="1513"/>
      <c r="EU173" s="1513"/>
      <c r="EV173" s="1513"/>
      <c r="EW173" s="1513"/>
      <c r="EX173" s="1513"/>
      <c r="EY173" s="1513"/>
      <c r="EZ173" s="1513"/>
      <c r="FA173" s="1513"/>
      <c r="FB173" s="1513"/>
      <c r="FC173" s="1513"/>
      <c r="FD173" s="1513"/>
      <c r="FE173" s="1513"/>
      <c r="FF173" s="1513"/>
      <c r="FG173" s="1513"/>
      <c r="FH173" s="1513"/>
      <c r="FI173" s="1513"/>
      <c r="FJ173" s="1513"/>
      <c r="FL173" s="1513"/>
    </row>
    <row r="174" spans="1:168" ht="17.100000000000001" customHeight="1" x14ac:dyDescent="0.15">
      <c r="A174" s="1513"/>
      <c r="B174" s="1282"/>
      <c r="C174" s="1282"/>
      <c r="D174" s="1282"/>
      <c r="E174" s="1282"/>
      <c r="F174" s="1282"/>
      <c r="G174" s="1282"/>
      <c r="H174" s="1282"/>
      <c r="I174" s="1282"/>
      <c r="J174" s="1282"/>
      <c r="K174" s="1282"/>
      <c r="L174" s="1282"/>
      <c r="M174" s="1282"/>
      <c r="N174" s="1282"/>
      <c r="O174" s="1282"/>
      <c r="P174" s="1282"/>
      <c r="Q174" s="1282"/>
      <c r="R174" s="1282"/>
      <c r="S174" s="1282"/>
      <c r="T174" s="1282"/>
      <c r="U174" s="1282"/>
      <c r="V174" s="1282"/>
      <c r="W174" s="1282"/>
      <c r="X174" s="1282"/>
      <c r="Y174" s="1282"/>
      <c r="Z174" s="1282"/>
      <c r="AA174" s="1282"/>
      <c r="AB174" s="1282"/>
      <c r="AC174" s="1282"/>
      <c r="AD174" s="1282"/>
      <c r="AE174" s="1282"/>
      <c r="AF174" s="1282"/>
      <c r="AG174" s="1282"/>
      <c r="AH174" s="1282"/>
      <c r="AI174" s="1282"/>
      <c r="AJ174" s="1282"/>
      <c r="AK174" s="1282"/>
      <c r="AL174" s="1282"/>
      <c r="AM174" s="1282"/>
      <c r="AN174" s="1282"/>
      <c r="AO174" s="1282"/>
      <c r="AP174" s="1282"/>
      <c r="AQ174" s="1282"/>
      <c r="AR174" s="1282"/>
      <c r="AS174" s="1282"/>
      <c r="AT174" s="1282"/>
      <c r="AU174" s="1282"/>
      <c r="AV174" s="1282"/>
      <c r="AW174" s="1282"/>
      <c r="AX174" s="1282"/>
      <c r="AY174" s="1282"/>
      <c r="AZ174" s="1282"/>
      <c r="BA174" s="1282"/>
      <c r="BB174" s="1282"/>
      <c r="BC174" s="1282"/>
      <c r="BD174" s="1282"/>
      <c r="BE174" s="1282"/>
      <c r="BF174" s="1282"/>
      <c r="BG174" s="1282"/>
      <c r="BH174" s="1282"/>
      <c r="BI174" s="1282"/>
      <c r="BJ174" s="1282"/>
      <c r="BK174" s="1282"/>
      <c r="BL174" s="1282"/>
      <c r="BM174" s="1282"/>
      <c r="BN174" s="1282"/>
      <c r="BO174" s="1282"/>
      <c r="BP174" s="1282"/>
      <c r="BQ174" s="1282"/>
      <c r="BR174" s="1282"/>
      <c r="BS174" s="1282"/>
      <c r="BT174" s="1282"/>
      <c r="BU174" s="1282"/>
      <c r="BV174" s="1282"/>
      <c r="BW174" s="1282"/>
      <c r="BX174" s="1282"/>
      <c r="BY174" s="1282"/>
      <c r="BZ174" s="1282"/>
      <c r="CA174" s="1513"/>
      <c r="CK174" s="1513"/>
      <c r="CL174" s="1513"/>
      <c r="CM174" s="1513"/>
      <c r="CN174" s="1513"/>
      <c r="CO174" s="1513"/>
      <c r="CP174" s="1513"/>
      <c r="CQ174" s="1513"/>
      <c r="CR174" s="1513"/>
      <c r="CS174" s="1513"/>
      <c r="CT174" s="1513"/>
      <c r="CU174" s="1513"/>
      <c r="CV174" s="1513"/>
      <c r="CW174" s="1513"/>
      <c r="CX174" s="1513"/>
      <c r="CY174" s="1513"/>
      <c r="CZ174" s="1513"/>
      <c r="DA174" s="1513"/>
      <c r="DB174" s="1513"/>
      <c r="DC174" s="1513"/>
      <c r="DD174" s="1513"/>
      <c r="DE174" s="1513"/>
      <c r="DF174" s="1513"/>
      <c r="DG174" s="1513"/>
      <c r="DH174" s="1513"/>
      <c r="DI174" s="1513"/>
      <c r="DJ174" s="1513"/>
      <c r="DK174" s="1513"/>
      <c r="DL174" s="1513"/>
      <c r="DM174" s="1513"/>
      <c r="DN174" s="1513"/>
      <c r="DO174" s="1513"/>
      <c r="DP174" s="1513"/>
      <c r="DQ174" s="1513"/>
      <c r="DR174" s="1513"/>
      <c r="DS174" s="1513"/>
      <c r="DT174" s="1513"/>
      <c r="DU174" s="1513"/>
      <c r="DV174" s="1513"/>
      <c r="DW174" s="1513"/>
      <c r="DX174" s="1513"/>
      <c r="DY174" s="1513"/>
      <c r="DZ174" s="1513"/>
      <c r="EA174" s="1513"/>
      <c r="EB174" s="1513"/>
      <c r="EC174" s="1513"/>
      <c r="ED174" s="1513"/>
      <c r="EE174" s="1513"/>
      <c r="EF174" s="1513"/>
      <c r="EG174" s="1513"/>
      <c r="EH174" s="1513"/>
      <c r="EI174" s="1513"/>
      <c r="EJ174" s="1513"/>
      <c r="EK174" s="1513"/>
      <c r="EL174" s="1513"/>
      <c r="EM174" s="1513"/>
      <c r="EN174" s="1513"/>
      <c r="EO174" s="1513"/>
      <c r="EP174" s="1513"/>
      <c r="EQ174" s="1513"/>
      <c r="ER174" s="1513"/>
      <c r="ES174" s="1513"/>
      <c r="ET174" s="1513"/>
      <c r="EU174" s="1513"/>
      <c r="EV174" s="1513"/>
      <c r="EW174" s="1513"/>
      <c r="EX174" s="1513"/>
      <c r="EY174" s="1513"/>
      <c r="EZ174" s="1513"/>
      <c r="FA174" s="1513"/>
      <c r="FB174" s="1513"/>
      <c r="FC174" s="1513"/>
      <c r="FD174" s="1513"/>
      <c r="FE174" s="1513"/>
      <c r="FF174" s="1513"/>
      <c r="FG174" s="1513"/>
      <c r="FH174" s="1513"/>
      <c r="FI174" s="1513"/>
      <c r="FJ174" s="1513"/>
      <c r="FL174" s="1513"/>
    </row>
    <row r="175" spans="1:168" ht="17.100000000000001" customHeight="1" x14ac:dyDescent="0.15">
      <c r="A175" s="1513"/>
      <c r="B175" s="1282"/>
      <c r="C175" s="1282"/>
      <c r="D175" s="1282"/>
      <c r="E175" s="1282"/>
      <c r="F175" s="1282"/>
      <c r="G175" s="1282"/>
      <c r="H175" s="1282"/>
      <c r="I175" s="1282"/>
      <c r="J175" s="1282"/>
      <c r="K175" s="1282"/>
      <c r="L175" s="1282"/>
      <c r="M175" s="1282"/>
      <c r="N175" s="1282"/>
      <c r="O175" s="1282"/>
      <c r="P175" s="1282"/>
      <c r="Q175" s="1282"/>
      <c r="R175" s="1282"/>
      <c r="S175" s="1282"/>
      <c r="T175" s="1282"/>
      <c r="U175" s="1282"/>
      <c r="V175" s="1282"/>
      <c r="W175" s="1282"/>
      <c r="X175" s="1282"/>
      <c r="Y175" s="1282"/>
      <c r="Z175" s="1282"/>
      <c r="AA175" s="1282"/>
      <c r="AB175" s="1282"/>
      <c r="AC175" s="1282"/>
      <c r="AD175" s="1282"/>
      <c r="AE175" s="1282"/>
      <c r="AF175" s="1282"/>
      <c r="AG175" s="1282"/>
      <c r="AH175" s="1282"/>
      <c r="AI175" s="1282"/>
      <c r="AJ175" s="1282"/>
      <c r="AK175" s="1282"/>
      <c r="AL175" s="1282"/>
      <c r="AM175" s="1282"/>
      <c r="AN175" s="1282"/>
      <c r="AO175" s="1282"/>
      <c r="AP175" s="1282"/>
      <c r="AQ175" s="1282"/>
      <c r="AR175" s="1282"/>
      <c r="AS175" s="1282"/>
      <c r="AT175" s="1282"/>
      <c r="AU175" s="1282"/>
      <c r="AV175" s="1282"/>
      <c r="AW175" s="1282"/>
      <c r="AX175" s="1282"/>
      <c r="AY175" s="1282"/>
      <c r="AZ175" s="1282"/>
      <c r="BA175" s="1282"/>
      <c r="BB175" s="1282"/>
      <c r="BC175" s="1282"/>
      <c r="BD175" s="1282"/>
      <c r="BE175" s="1282"/>
      <c r="BF175" s="1282"/>
      <c r="BG175" s="1282"/>
      <c r="BH175" s="1282"/>
      <c r="BI175" s="1282"/>
      <c r="BJ175" s="1282"/>
      <c r="BK175" s="1282"/>
      <c r="BL175" s="1282"/>
      <c r="BM175" s="1282"/>
      <c r="BN175" s="1282"/>
      <c r="BO175" s="1282"/>
      <c r="BP175" s="1282"/>
      <c r="BQ175" s="1282"/>
      <c r="BR175" s="1282"/>
      <c r="BS175" s="1282"/>
      <c r="BT175" s="1282"/>
      <c r="BU175" s="1282"/>
      <c r="BV175" s="1282"/>
      <c r="BW175" s="1282"/>
      <c r="BX175" s="1282"/>
      <c r="BY175" s="1282"/>
      <c r="BZ175" s="1282"/>
      <c r="CA175" s="1513"/>
      <c r="CK175" s="1513"/>
      <c r="CL175" s="1513"/>
      <c r="CM175" s="1513"/>
      <c r="CN175" s="1513"/>
      <c r="CO175" s="1513"/>
      <c r="CP175" s="1513"/>
      <c r="CQ175" s="1513"/>
      <c r="CR175" s="1513"/>
      <c r="CS175" s="1513"/>
      <c r="CT175" s="1513"/>
      <c r="CU175" s="1513"/>
      <c r="CV175" s="1513"/>
      <c r="CW175" s="1513"/>
      <c r="CX175" s="1513"/>
      <c r="CY175" s="1513"/>
      <c r="CZ175" s="1513"/>
      <c r="DA175" s="1513"/>
      <c r="DB175" s="1513"/>
      <c r="DC175" s="1513"/>
      <c r="DD175" s="1513"/>
      <c r="DE175" s="1513"/>
      <c r="DF175" s="1513"/>
      <c r="DG175" s="1513"/>
      <c r="DH175" s="1513"/>
      <c r="DI175" s="1513"/>
      <c r="DJ175" s="1513"/>
      <c r="DK175" s="1513"/>
      <c r="DL175" s="1513"/>
      <c r="DM175" s="1513"/>
      <c r="DN175" s="1513"/>
      <c r="DO175" s="1513"/>
      <c r="DP175" s="1513"/>
      <c r="DQ175" s="1513"/>
      <c r="DR175" s="1513"/>
      <c r="DS175" s="1513"/>
      <c r="DT175" s="1513"/>
      <c r="DU175" s="1513"/>
      <c r="DV175" s="1513"/>
      <c r="DW175" s="1513"/>
      <c r="DX175" s="1513"/>
      <c r="DY175" s="1513"/>
      <c r="DZ175" s="1513"/>
      <c r="EA175" s="1513"/>
      <c r="EB175" s="1513"/>
      <c r="EC175" s="1513"/>
      <c r="ED175" s="1513"/>
      <c r="EE175" s="1513"/>
      <c r="EF175" s="1513"/>
      <c r="EG175" s="1513"/>
      <c r="EH175" s="1513"/>
      <c r="EI175" s="1513"/>
      <c r="EJ175" s="1513"/>
      <c r="EK175" s="1513"/>
      <c r="EL175" s="1513"/>
      <c r="EM175" s="1513"/>
      <c r="EN175" s="1513"/>
      <c r="EO175" s="1513"/>
      <c r="EP175" s="1513"/>
      <c r="EQ175" s="1513"/>
      <c r="ER175" s="1513"/>
      <c r="ES175" s="1513"/>
      <c r="ET175" s="1513"/>
      <c r="EU175" s="1513"/>
      <c r="EV175" s="1513"/>
      <c r="EW175" s="1513"/>
      <c r="EX175" s="1513"/>
      <c r="EY175" s="1513"/>
      <c r="EZ175" s="1513"/>
      <c r="FA175" s="1513"/>
      <c r="FB175" s="1513"/>
      <c r="FC175" s="1513"/>
      <c r="FD175" s="1513"/>
      <c r="FE175" s="1513"/>
      <c r="FF175" s="1513"/>
      <c r="FG175" s="1513"/>
      <c r="FH175" s="1513"/>
      <c r="FI175" s="1513"/>
      <c r="FJ175" s="1513"/>
      <c r="FL175" s="1513"/>
    </row>
    <row r="176" spans="1:168" ht="17.100000000000001" customHeight="1" x14ac:dyDescent="0.15">
      <c r="A176" s="1513"/>
      <c r="B176" s="1282"/>
      <c r="C176" s="1282"/>
      <c r="D176" s="1282"/>
      <c r="E176" s="1282"/>
      <c r="F176" s="1282"/>
      <c r="G176" s="1282"/>
      <c r="H176" s="1282"/>
      <c r="I176" s="1282"/>
      <c r="J176" s="1282"/>
      <c r="K176" s="1282"/>
      <c r="L176" s="1282"/>
      <c r="M176" s="1282"/>
      <c r="N176" s="1282"/>
      <c r="O176" s="1282"/>
      <c r="P176" s="1282"/>
      <c r="Q176" s="1282"/>
      <c r="R176" s="1282"/>
      <c r="S176" s="1282"/>
      <c r="T176" s="1282"/>
      <c r="U176" s="1282"/>
      <c r="V176" s="1282"/>
      <c r="W176" s="1282"/>
      <c r="X176" s="1282"/>
      <c r="Y176" s="1282"/>
      <c r="Z176" s="1282"/>
      <c r="AA176" s="1282"/>
      <c r="AB176" s="1282"/>
      <c r="AC176" s="1282"/>
      <c r="AD176" s="1282"/>
      <c r="AE176" s="1282"/>
      <c r="AF176" s="1282"/>
      <c r="AG176" s="1282"/>
      <c r="AH176" s="1282"/>
      <c r="AI176" s="1282"/>
      <c r="AJ176" s="1282"/>
      <c r="AK176" s="1282"/>
      <c r="AL176" s="1282"/>
      <c r="AM176" s="1282"/>
      <c r="AN176" s="1282"/>
      <c r="AO176" s="1282"/>
      <c r="AP176" s="1282"/>
      <c r="AQ176" s="1282"/>
      <c r="AR176" s="1282"/>
      <c r="AS176" s="1282"/>
      <c r="AT176" s="1282"/>
      <c r="AU176" s="1282"/>
      <c r="AV176" s="1282"/>
      <c r="AW176" s="1282"/>
      <c r="AX176" s="1282"/>
      <c r="AY176" s="1282"/>
      <c r="AZ176" s="1282"/>
      <c r="BA176" s="1282"/>
      <c r="BB176" s="1282"/>
      <c r="BC176" s="1282"/>
      <c r="BD176" s="1282"/>
      <c r="BE176" s="1282"/>
      <c r="BF176" s="1282"/>
      <c r="BG176" s="1282"/>
      <c r="BH176" s="1282"/>
      <c r="BI176" s="1282"/>
      <c r="BJ176" s="1282"/>
      <c r="BK176" s="1282"/>
      <c r="BL176" s="1282"/>
      <c r="BM176" s="1282"/>
      <c r="BN176" s="1282"/>
      <c r="BO176" s="1282"/>
      <c r="BP176" s="1282"/>
      <c r="BQ176" s="1282"/>
      <c r="BR176" s="1282"/>
      <c r="BS176" s="1282"/>
      <c r="BT176" s="1282"/>
      <c r="BU176" s="1282"/>
      <c r="BV176" s="1282"/>
      <c r="BW176" s="1282"/>
      <c r="BX176" s="1282"/>
      <c r="BY176" s="1282"/>
      <c r="BZ176" s="1282"/>
      <c r="CA176" s="1513"/>
      <c r="CK176" s="1513"/>
      <c r="CL176" s="1513"/>
      <c r="CM176" s="1513"/>
      <c r="CN176" s="1513"/>
      <c r="CO176" s="1513"/>
      <c r="CP176" s="1513"/>
      <c r="CQ176" s="1513"/>
      <c r="CR176" s="1513"/>
      <c r="CS176" s="1513"/>
      <c r="CT176" s="1513"/>
      <c r="CU176" s="1513"/>
      <c r="CV176" s="1513"/>
      <c r="CW176" s="1513"/>
      <c r="CX176" s="1513"/>
      <c r="CY176" s="1513"/>
      <c r="CZ176" s="1513"/>
      <c r="DA176" s="1513"/>
      <c r="DB176" s="1513"/>
      <c r="DC176" s="1513"/>
      <c r="DD176" s="1513"/>
      <c r="DE176" s="1513"/>
      <c r="DF176" s="1513"/>
      <c r="DG176" s="1513"/>
      <c r="DH176" s="1513"/>
      <c r="DI176" s="1513"/>
      <c r="DJ176" s="1513"/>
      <c r="DK176" s="1513"/>
      <c r="DL176" s="1513"/>
      <c r="DM176" s="1513"/>
      <c r="DN176" s="1513"/>
      <c r="DO176" s="1513"/>
      <c r="DP176" s="1513"/>
      <c r="DQ176" s="1513"/>
      <c r="DR176" s="1513"/>
      <c r="DS176" s="1513"/>
      <c r="DT176" s="1513"/>
      <c r="DU176" s="1513"/>
      <c r="DV176" s="1513"/>
      <c r="DW176" s="1513"/>
      <c r="DX176" s="1513"/>
      <c r="DY176" s="1513"/>
      <c r="DZ176" s="1513"/>
      <c r="EA176" s="1513"/>
      <c r="EB176" s="1513"/>
      <c r="EC176" s="1513"/>
      <c r="ED176" s="1513"/>
      <c r="EE176" s="1513"/>
      <c r="EF176" s="1513"/>
      <c r="EG176" s="1513"/>
      <c r="EH176" s="1513"/>
      <c r="EI176" s="1513"/>
      <c r="EJ176" s="1513"/>
      <c r="EK176" s="1513"/>
      <c r="EL176" s="1513"/>
      <c r="EM176" s="1513"/>
      <c r="EN176" s="1513"/>
      <c r="EO176" s="1513"/>
      <c r="EP176" s="1513"/>
      <c r="EQ176" s="1513"/>
      <c r="ER176" s="1513"/>
      <c r="ES176" s="1513"/>
      <c r="ET176" s="1513"/>
      <c r="EU176" s="1513"/>
      <c r="EV176" s="1513"/>
      <c r="EW176" s="1513"/>
      <c r="EX176" s="1513"/>
      <c r="EY176" s="1513"/>
      <c r="EZ176" s="1513"/>
      <c r="FA176" s="1513"/>
      <c r="FB176" s="1513"/>
      <c r="FC176" s="1513"/>
      <c r="FD176" s="1513"/>
      <c r="FE176" s="1513"/>
      <c r="FF176" s="1513"/>
      <c r="FG176" s="1513"/>
      <c r="FH176" s="1513"/>
      <c r="FI176" s="1513"/>
      <c r="FJ176" s="1513"/>
      <c r="FL176" s="1513"/>
    </row>
    <row r="177" spans="1:168" ht="17.100000000000001" customHeight="1" x14ac:dyDescent="0.15">
      <c r="A177" s="1513"/>
      <c r="B177" s="1282"/>
      <c r="C177" s="1282"/>
      <c r="D177" s="1282"/>
      <c r="E177" s="1282"/>
      <c r="F177" s="1282"/>
      <c r="G177" s="1282"/>
      <c r="H177" s="1282"/>
      <c r="I177" s="1282"/>
      <c r="J177" s="1282"/>
      <c r="K177" s="1282"/>
      <c r="L177" s="1282"/>
      <c r="M177" s="1282"/>
      <c r="N177" s="1282"/>
      <c r="O177" s="1282"/>
      <c r="P177" s="1282"/>
      <c r="Q177" s="1282"/>
      <c r="R177" s="1282"/>
      <c r="S177" s="1282"/>
      <c r="T177" s="1282"/>
      <c r="U177" s="1282"/>
      <c r="V177" s="1282"/>
      <c r="W177" s="1282"/>
      <c r="X177" s="1282"/>
      <c r="Y177" s="1282"/>
      <c r="Z177" s="1282"/>
      <c r="AA177" s="1282"/>
      <c r="AB177" s="1282"/>
      <c r="AC177" s="1282"/>
      <c r="AD177" s="1282"/>
      <c r="AE177" s="1282"/>
      <c r="AF177" s="1282"/>
      <c r="AG177" s="1282"/>
      <c r="AH177" s="1282"/>
      <c r="AI177" s="1282"/>
      <c r="AJ177" s="1282"/>
      <c r="AK177" s="1282"/>
      <c r="AL177" s="1282"/>
      <c r="AM177" s="1282"/>
      <c r="AN177" s="1282"/>
      <c r="AO177" s="1282"/>
      <c r="AP177" s="1282"/>
      <c r="AQ177" s="1282"/>
      <c r="AR177" s="1282"/>
      <c r="AS177" s="1282"/>
      <c r="AT177" s="1282"/>
      <c r="AU177" s="1282"/>
      <c r="AV177" s="1282"/>
      <c r="AW177" s="1282"/>
      <c r="AX177" s="1282"/>
      <c r="AY177" s="1282"/>
      <c r="AZ177" s="1282"/>
      <c r="BA177" s="1282"/>
      <c r="BB177" s="1282"/>
      <c r="BC177" s="1282"/>
      <c r="BD177" s="1282"/>
      <c r="BE177" s="1282"/>
      <c r="BF177" s="1282"/>
      <c r="BG177" s="1282"/>
      <c r="BH177" s="1282"/>
      <c r="BI177" s="1282"/>
      <c r="BJ177" s="1282"/>
      <c r="BK177" s="1282"/>
      <c r="BL177" s="1282"/>
      <c r="BM177" s="1282"/>
      <c r="BN177" s="1282"/>
      <c r="BO177" s="1282"/>
      <c r="BP177" s="1282"/>
      <c r="BQ177" s="1282"/>
      <c r="BR177" s="1282"/>
      <c r="BS177" s="1282"/>
      <c r="BT177" s="1282"/>
      <c r="BU177" s="1282"/>
      <c r="BV177" s="1282"/>
      <c r="BW177" s="1282"/>
      <c r="BX177" s="1282"/>
      <c r="BY177" s="1282"/>
      <c r="BZ177" s="1282"/>
      <c r="CA177" s="1513"/>
      <c r="CK177" s="1513"/>
      <c r="CL177" s="1513"/>
      <c r="CM177" s="1513"/>
      <c r="CN177" s="1513"/>
      <c r="CO177" s="1513"/>
      <c r="CP177" s="1513"/>
      <c r="CQ177" s="1513"/>
      <c r="CR177" s="1513"/>
      <c r="CS177" s="1513"/>
      <c r="CT177" s="1513"/>
      <c r="CU177" s="1513"/>
      <c r="CV177" s="1513"/>
      <c r="CW177" s="1513"/>
      <c r="CX177" s="1513"/>
      <c r="CY177" s="1513"/>
      <c r="CZ177" s="1513"/>
      <c r="DA177" s="1513"/>
      <c r="DB177" s="1513"/>
      <c r="DC177" s="1513"/>
      <c r="DD177" s="1513"/>
      <c r="DE177" s="1513"/>
      <c r="DF177" s="1513"/>
      <c r="DG177" s="1513"/>
      <c r="DH177" s="1513"/>
      <c r="DI177" s="1513"/>
      <c r="DJ177" s="1513"/>
      <c r="DK177" s="1513"/>
      <c r="DL177" s="1513"/>
      <c r="DM177" s="1513"/>
      <c r="DN177" s="1513"/>
      <c r="DO177" s="1513"/>
      <c r="DP177" s="1513"/>
      <c r="DQ177" s="1513"/>
      <c r="DR177" s="1513"/>
      <c r="DS177" s="1513"/>
      <c r="DT177" s="1513"/>
      <c r="DU177" s="1513"/>
      <c r="DV177" s="1513"/>
      <c r="DW177" s="1513"/>
      <c r="DX177" s="1513"/>
      <c r="DY177" s="1513"/>
      <c r="DZ177" s="1513"/>
      <c r="EA177" s="1513"/>
      <c r="EB177" s="1513"/>
      <c r="EC177" s="1513"/>
      <c r="ED177" s="1513"/>
      <c r="EE177" s="1513"/>
      <c r="EF177" s="1513"/>
      <c r="EG177" s="1513"/>
      <c r="EH177" s="1513"/>
      <c r="EI177" s="1513"/>
      <c r="EJ177" s="1513"/>
      <c r="EK177" s="1513"/>
      <c r="EL177" s="1513"/>
      <c r="EM177" s="1513"/>
      <c r="EN177" s="1513"/>
      <c r="EO177" s="1513"/>
      <c r="EP177" s="1513"/>
      <c r="EQ177" s="1513"/>
      <c r="ER177" s="1513"/>
      <c r="ES177" s="1513"/>
      <c r="ET177" s="1513"/>
      <c r="EU177" s="1513"/>
      <c r="EV177" s="1513"/>
      <c r="EW177" s="1513"/>
      <c r="EX177" s="1513"/>
      <c r="EY177" s="1513"/>
      <c r="EZ177" s="1513"/>
      <c r="FA177" s="1513"/>
      <c r="FB177" s="1513"/>
      <c r="FC177" s="1513"/>
      <c r="FD177" s="1513"/>
      <c r="FE177" s="1513"/>
      <c r="FF177" s="1513"/>
      <c r="FG177" s="1513"/>
      <c r="FH177" s="1513"/>
      <c r="FI177" s="1513"/>
      <c r="FJ177" s="1513"/>
      <c r="FL177" s="1513"/>
    </row>
    <row r="178" spans="1:168" ht="17.100000000000001" customHeight="1" x14ac:dyDescent="0.15">
      <c r="A178" s="1513"/>
      <c r="B178" s="1282"/>
      <c r="C178" s="1282"/>
      <c r="D178" s="1282"/>
      <c r="E178" s="1282"/>
      <c r="F178" s="1282"/>
      <c r="G178" s="1282"/>
      <c r="H178" s="1282"/>
      <c r="I178" s="1282"/>
      <c r="J178" s="1282"/>
      <c r="K178" s="1282"/>
      <c r="L178" s="1282"/>
      <c r="M178" s="1282"/>
      <c r="N178" s="1282"/>
      <c r="O178" s="1282"/>
      <c r="P178" s="1282"/>
      <c r="Q178" s="1282"/>
      <c r="R178" s="1282"/>
      <c r="S178" s="1282"/>
      <c r="T178" s="1282"/>
      <c r="U178" s="1282"/>
      <c r="V178" s="1282"/>
      <c r="W178" s="1282"/>
      <c r="X178" s="1282"/>
      <c r="Y178" s="1282"/>
      <c r="Z178" s="1282"/>
      <c r="AA178" s="1282"/>
      <c r="AB178" s="1282"/>
      <c r="AC178" s="1282"/>
      <c r="AD178" s="1282"/>
      <c r="AE178" s="1282"/>
      <c r="AF178" s="1282"/>
      <c r="AG178" s="1282"/>
      <c r="AH178" s="1282"/>
      <c r="AI178" s="1282"/>
      <c r="AJ178" s="1282"/>
      <c r="AK178" s="1282"/>
      <c r="AL178" s="1282"/>
      <c r="AM178" s="1282"/>
      <c r="AN178" s="1282"/>
      <c r="AO178" s="1282"/>
      <c r="AP178" s="1282"/>
      <c r="AQ178" s="1282"/>
      <c r="AR178" s="1282"/>
      <c r="AS178" s="1282"/>
      <c r="AT178" s="1282"/>
      <c r="AU178" s="1282"/>
      <c r="AV178" s="1282"/>
      <c r="AW178" s="1282"/>
      <c r="AX178" s="1282"/>
      <c r="AY178" s="1282"/>
      <c r="AZ178" s="1282"/>
      <c r="BA178" s="1282"/>
      <c r="BB178" s="1282"/>
      <c r="BC178" s="1282"/>
      <c r="BD178" s="1282"/>
      <c r="BE178" s="1282"/>
      <c r="BF178" s="1282"/>
      <c r="BG178" s="1282"/>
      <c r="BH178" s="1282"/>
      <c r="BI178" s="1282"/>
      <c r="BJ178" s="1282"/>
      <c r="BK178" s="1282"/>
      <c r="BL178" s="1282"/>
      <c r="BM178" s="1282"/>
      <c r="BN178" s="1282"/>
      <c r="BO178" s="1282"/>
      <c r="BP178" s="1282"/>
      <c r="BQ178" s="1282"/>
      <c r="BR178" s="1282"/>
      <c r="BS178" s="1282"/>
      <c r="BT178" s="1282"/>
      <c r="BU178" s="1282"/>
      <c r="BV178" s="1282"/>
      <c r="BW178" s="1282"/>
      <c r="BX178" s="1282"/>
      <c r="BY178" s="1282"/>
      <c r="BZ178" s="1282"/>
      <c r="CA178" s="1513"/>
      <c r="CK178" s="1513"/>
      <c r="CL178" s="1513"/>
      <c r="CM178" s="1513"/>
      <c r="CN178" s="1513"/>
      <c r="CO178" s="1513"/>
      <c r="CP178" s="1513"/>
      <c r="CQ178" s="1513"/>
      <c r="CR178" s="1513"/>
      <c r="CS178" s="1513"/>
      <c r="CT178" s="1513"/>
      <c r="CU178" s="1513"/>
      <c r="CV178" s="1513"/>
      <c r="CW178" s="1513"/>
      <c r="CX178" s="1513"/>
      <c r="CY178" s="1513"/>
      <c r="CZ178" s="1513"/>
      <c r="DA178" s="1513"/>
      <c r="DB178" s="1513"/>
      <c r="DC178" s="1513"/>
      <c r="DD178" s="1513"/>
      <c r="DE178" s="1513"/>
      <c r="DF178" s="1513"/>
      <c r="DG178" s="1513"/>
      <c r="DH178" s="1513"/>
      <c r="DI178" s="1513"/>
      <c r="DJ178" s="1513"/>
      <c r="DK178" s="1513"/>
      <c r="DL178" s="1513"/>
      <c r="DM178" s="1513"/>
      <c r="DN178" s="1513"/>
      <c r="DO178" s="1513"/>
      <c r="DP178" s="1513"/>
      <c r="DQ178" s="1513"/>
      <c r="DR178" s="1513"/>
      <c r="DS178" s="1513"/>
      <c r="DT178" s="1513"/>
      <c r="DU178" s="1513"/>
      <c r="DV178" s="1513"/>
      <c r="DW178" s="1513"/>
      <c r="DX178" s="1513"/>
      <c r="DY178" s="1513"/>
      <c r="DZ178" s="1513"/>
      <c r="EA178" s="1513"/>
      <c r="EB178" s="1513"/>
      <c r="EC178" s="1513"/>
      <c r="ED178" s="1513"/>
      <c r="EE178" s="1513"/>
      <c r="EF178" s="1513"/>
      <c r="EG178" s="1513"/>
      <c r="EH178" s="1513"/>
      <c r="EI178" s="1513"/>
      <c r="EJ178" s="1513"/>
      <c r="EK178" s="1513"/>
      <c r="EL178" s="1513"/>
      <c r="EM178" s="1513"/>
      <c r="EN178" s="1513"/>
      <c r="EO178" s="1513"/>
      <c r="EP178" s="1513"/>
      <c r="EQ178" s="1513"/>
      <c r="ER178" s="1513"/>
      <c r="ES178" s="1513"/>
      <c r="ET178" s="1513"/>
      <c r="EU178" s="1513"/>
      <c r="EV178" s="1513"/>
      <c r="EW178" s="1513"/>
      <c r="EX178" s="1513"/>
      <c r="EY178" s="1513"/>
      <c r="EZ178" s="1513"/>
      <c r="FA178" s="1513"/>
      <c r="FB178" s="1513"/>
      <c r="FC178" s="1513"/>
      <c r="FD178" s="1513"/>
      <c r="FE178" s="1513"/>
      <c r="FF178" s="1513"/>
      <c r="FG178" s="1513"/>
      <c r="FH178" s="1513"/>
      <c r="FI178" s="1513"/>
      <c r="FJ178" s="1513"/>
      <c r="FL178" s="1513"/>
    </row>
    <row r="179" spans="1:168" ht="17.100000000000001" customHeight="1" x14ac:dyDescent="0.15">
      <c r="A179" s="1513"/>
      <c r="B179" s="1282"/>
      <c r="C179" s="1282"/>
      <c r="D179" s="1282"/>
      <c r="E179" s="1282"/>
      <c r="F179" s="1282"/>
      <c r="G179" s="1282"/>
      <c r="H179" s="1282"/>
      <c r="I179" s="1282"/>
      <c r="J179" s="1282"/>
      <c r="K179" s="1282"/>
      <c r="L179" s="1282"/>
      <c r="M179" s="1282"/>
      <c r="N179" s="1282"/>
      <c r="O179" s="1282"/>
      <c r="P179" s="1282"/>
      <c r="Q179" s="1282"/>
      <c r="R179" s="1282"/>
      <c r="S179" s="1282"/>
      <c r="T179" s="1282"/>
      <c r="U179" s="1282"/>
      <c r="V179" s="1282"/>
      <c r="W179" s="1282"/>
      <c r="X179" s="1282"/>
      <c r="Y179" s="1282"/>
      <c r="Z179" s="1282"/>
      <c r="AA179" s="1282"/>
      <c r="AB179" s="1282"/>
      <c r="AC179" s="1282"/>
      <c r="AD179" s="1282"/>
      <c r="AE179" s="1282"/>
      <c r="AF179" s="1282"/>
      <c r="AG179" s="1282"/>
      <c r="AH179" s="1282"/>
      <c r="AI179" s="1282"/>
      <c r="AJ179" s="1282"/>
      <c r="AK179" s="1282"/>
      <c r="AL179" s="1282"/>
      <c r="AM179" s="1282"/>
      <c r="AN179" s="1282"/>
      <c r="AO179" s="1282"/>
      <c r="AP179" s="1282"/>
      <c r="AQ179" s="1282"/>
      <c r="AR179" s="1282"/>
      <c r="AS179" s="1282"/>
      <c r="AT179" s="1282"/>
      <c r="AU179" s="1282"/>
      <c r="AV179" s="1282"/>
      <c r="AW179" s="1282"/>
      <c r="AX179" s="1282"/>
      <c r="AY179" s="1282"/>
      <c r="AZ179" s="1282"/>
      <c r="BA179" s="1282"/>
      <c r="BB179" s="1282"/>
      <c r="BC179" s="1282"/>
      <c r="BD179" s="1282"/>
      <c r="BE179" s="1282"/>
      <c r="BF179" s="1282"/>
      <c r="BG179" s="1282"/>
      <c r="BH179" s="1282"/>
      <c r="BI179" s="1282"/>
      <c r="BJ179" s="1282"/>
      <c r="BK179" s="1282"/>
      <c r="BL179" s="1282"/>
      <c r="BM179" s="1282"/>
      <c r="BN179" s="1282"/>
      <c r="BO179" s="1282"/>
      <c r="BP179" s="1282"/>
      <c r="BQ179" s="1282"/>
      <c r="BR179" s="1282"/>
      <c r="BS179" s="1282"/>
      <c r="BT179" s="1282"/>
      <c r="BU179" s="1282"/>
      <c r="BV179" s="1282"/>
      <c r="BW179" s="1282"/>
      <c r="BX179" s="1282"/>
      <c r="BY179" s="1282"/>
      <c r="BZ179" s="1282"/>
      <c r="CA179" s="1513"/>
      <c r="CK179" s="1513"/>
      <c r="CL179" s="1513"/>
      <c r="CM179" s="1513"/>
      <c r="CN179" s="1513"/>
      <c r="CO179" s="1513"/>
      <c r="CP179" s="1513"/>
      <c r="CQ179" s="1513"/>
      <c r="CR179" s="1513"/>
      <c r="CS179" s="1513"/>
      <c r="CT179" s="1513"/>
      <c r="CU179" s="1513"/>
      <c r="CV179" s="1513"/>
      <c r="CW179" s="1513"/>
      <c r="CX179" s="1513"/>
      <c r="CY179" s="1513"/>
      <c r="CZ179" s="1513"/>
      <c r="DA179" s="1513"/>
      <c r="DB179" s="1513"/>
      <c r="DC179" s="1513"/>
      <c r="DD179" s="1513"/>
      <c r="DE179" s="1513"/>
      <c r="DF179" s="1513"/>
      <c r="DG179" s="1513"/>
      <c r="DH179" s="1513"/>
      <c r="DI179" s="1513"/>
      <c r="DJ179" s="1513"/>
      <c r="DK179" s="1513"/>
      <c r="DL179" s="1513"/>
      <c r="DM179" s="1513"/>
      <c r="DN179" s="1513"/>
      <c r="DO179" s="1513"/>
      <c r="DP179" s="1513"/>
      <c r="DQ179" s="1513"/>
      <c r="DR179" s="1513"/>
      <c r="DS179" s="1513"/>
      <c r="DT179" s="1513"/>
      <c r="DU179" s="1513"/>
      <c r="DV179" s="1513"/>
      <c r="DW179" s="1513"/>
      <c r="DX179" s="1513"/>
      <c r="DY179" s="1513"/>
      <c r="DZ179" s="1513"/>
      <c r="EA179" s="1513"/>
      <c r="EB179" s="1513"/>
      <c r="EC179" s="1513"/>
      <c r="ED179" s="1513"/>
      <c r="EE179" s="1513"/>
      <c r="EF179" s="1513"/>
      <c r="EG179" s="1513"/>
      <c r="EH179" s="1513"/>
      <c r="EI179" s="1513"/>
      <c r="EJ179" s="1513"/>
      <c r="EK179" s="1513"/>
      <c r="EL179" s="1513"/>
      <c r="EM179" s="1513"/>
      <c r="EN179" s="1513"/>
      <c r="EO179" s="1513"/>
      <c r="EP179" s="1513"/>
      <c r="EQ179" s="1513"/>
      <c r="ER179" s="1513"/>
      <c r="ES179" s="1513"/>
      <c r="ET179" s="1513"/>
      <c r="EU179" s="1513"/>
      <c r="EV179" s="1513"/>
      <c r="EW179" s="1513"/>
      <c r="EX179" s="1513"/>
      <c r="EY179" s="1513"/>
      <c r="EZ179" s="1513"/>
      <c r="FA179" s="1513"/>
      <c r="FB179" s="1513"/>
      <c r="FC179" s="1513"/>
      <c r="FD179" s="1513"/>
      <c r="FE179" s="1513"/>
      <c r="FF179" s="1513"/>
      <c r="FG179" s="1513"/>
      <c r="FH179" s="1513"/>
      <c r="FI179" s="1513"/>
      <c r="FJ179" s="1513"/>
      <c r="FL179" s="1513"/>
    </row>
    <row r="180" spans="1:168" ht="17.100000000000001" customHeight="1" x14ac:dyDescent="0.15">
      <c r="A180" s="1513"/>
      <c r="B180" s="1282"/>
      <c r="C180" s="1282"/>
      <c r="D180" s="1282"/>
      <c r="E180" s="1282"/>
      <c r="F180" s="1282"/>
      <c r="G180" s="1282"/>
      <c r="H180" s="1282"/>
      <c r="I180" s="1282"/>
      <c r="J180" s="1282"/>
      <c r="K180" s="1282"/>
      <c r="L180" s="1282"/>
      <c r="M180" s="1282"/>
      <c r="N180" s="1282"/>
      <c r="O180" s="1282"/>
      <c r="P180" s="1282"/>
      <c r="Q180" s="1282"/>
      <c r="R180" s="1282"/>
      <c r="S180" s="1282"/>
      <c r="T180" s="1282"/>
      <c r="U180" s="1282"/>
      <c r="V180" s="1282"/>
      <c r="W180" s="1282"/>
      <c r="X180" s="1282"/>
      <c r="Y180" s="1282"/>
      <c r="Z180" s="1282"/>
      <c r="AA180" s="1282"/>
      <c r="AB180" s="1282"/>
      <c r="AC180" s="1282"/>
      <c r="AD180" s="1282"/>
      <c r="AE180" s="1282"/>
      <c r="AF180" s="1282"/>
      <c r="AG180" s="1282"/>
      <c r="AH180" s="1282"/>
      <c r="AI180" s="1282"/>
      <c r="AJ180" s="1282"/>
      <c r="AK180" s="1282"/>
      <c r="AL180" s="1282"/>
      <c r="AM180" s="1282"/>
      <c r="AN180" s="1282"/>
      <c r="AO180" s="1282"/>
      <c r="AP180" s="1282"/>
      <c r="AQ180" s="1282"/>
      <c r="AR180" s="1282"/>
      <c r="AS180" s="1282"/>
      <c r="AT180" s="1282"/>
      <c r="AU180" s="1282"/>
      <c r="AV180" s="1282"/>
      <c r="AW180" s="1282"/>
      <c r="AX180" s="1282"/>
      <c r="AY180" s="1282"/>
      <c r="AZ180" s="1282"/>
      <c r="BA180" s="1282"/>
      <c r="BB180" s="1282"/>
      <c r="BC180" s="1282"/>
      <c r="BD180" s="1282"/>
      <c r="BE180" s="1282"/>
      <c r="BF180" s="1282"/>
      <c r="BG180" s="1282"/>
      <c r="BH180" s="1282"/>
      <c r="BI180" s="1282"/>
      <c r="BJ180" s="1282"/>
      <c r="BK180" s="1282"/>
      <c r="BL180" s="1282"/>
      <c r="BM180" s="1282"/>
      <c r="BN180" s="1282"/>
      <c r="BO180" s="1282"/>
      <c r="BP180" s="1282"/>
      <c r="BQ180" s="1282"/>
      <c r="BR180" s="1282"/>
      <c r="BS180" s="1282"/>
      <c r="BT180" s="1282"/>
      <c r="BU180" s="1282"/>
      <c r="BV180" s="1282"/>
      <c r="BW180" s="1282"/>
      <c r="BX180" s="1282"/>
      <c r="BY180" s="1282"/>
      <c r="BZ180" s="1282"/>
      <c r="CA180" s="1513"/>
      <c r="CK180" s="1513"/>
      <c r="CL180" s="1513"/>
      <c r="CM180" s="1513"/>
      <c r="CN180" s="1513"/>
      <c r="CO180" s="1513"/>
      <c r="CP180" s="1513"/>
      <c r="CQ180" s="1513"/>
      <c r="CR180" s="1513"/>
      <c r="CS180" s="1513"/>
      <c r="CT180" s="1513"/>
      <c r="CU180" s="1513"/>
      <c r="CV180" s="1513"/>
      <c r="CW180" s="1513"/>
      <c r="CX180" s="1513"/>
      <c r="CY180" s="1513"/>
      <c r="CZ180" s="1513"/>
      <c r="DA180" s="1513"/>
      <c r="DB180" s="1513"/>
      <c r="DC180" s="1513"/>
      <c r="DD180" s="1513"/>
      <c r="DE180" s="1513"/>
      <c r="DF180" s="1513"/>
      <c r="DG180" s="1513"/>
      <c r="DH180" s="1513"/>
      <c r="DI180" s="1513"/>
      <c r="DJ180" s="1513"/>
      <c r="DK180" s="1513"/>
      <c r="DL180" s="1513"/>
      <c r="DM180" s="1513"/>
      <c r="DN180" s="1513"/>
      <c r="DO180" s="1513"/>
      <c r="DP180" s="1513"/>
      <c r="DQ180" s="1513"/>
      <c r="DR180" s="1513"/>
      <c r="DS180" s="1513"/>
      <c r="DT180" s="1513"/>
      <c r="DU180" s="1513"/>
      <c r="DV180" s="1513"/>
      <c r="DW180" s="1513"/>
      <c r="DX180" s="1513"/>
      <c r="DY180" s="1513"/>
      <c r="DZ180" s="1513"/>
      <c r="EA180" s="1513"/>
      <c r="EB180" s="1513"/>
      <c r="EC180" s="1513"/>
      <c r="ED180" s="1513"/>
      <c r="EE180" s="1513"/>
      <c r="EF180" s="1513"/>
      <c r="EG180" s="1513"/>
      <c r="EH180" s="1513"/>
      <c r="EI180" s="1513"/>
      <c r="EJ180" s="1513"/>
      <c r="EK180" s="1513"/>
      <c r="EL180" s="1513"/>
      <c r="EM180" s="1513"/>
      <c r="EN180" s="1513"/>
      <c r="EO180" s="1513"/>
      <c r="EP180" s="1513"/>
      <c r="EQ180" s="1513"/>
      <c r="ER180" s="1513"/>
      <c r="ES180" s="1513"/>
      <c r="ET180" s="1513"/>
      <c r="EU180" s="1513"/>
      <c r="EV180" s="1513"/>
      <c r="EW180" s="1513"/>
      <c r="EX180" s="1513"/>
      <c r="EY180" s="1513"/>
      <c r="EZ180" s="1513"/>
      <c r="FA180" s="1513"/>
      <c r="FB180" s="1513"/>
      <c r="FC180" s="1513"/>
      <c r="FD180" s="1513"/>
      <c r="FE180" s="1513"/>
      <c r="FF180" s="1513"/>
      <c r="FG180" s="1513"/>
      <c r="FH180" s="1513"/>
      <c r="FI180" s="1513"/>
      <c r="FJ180" s="1513"/>
      <c r="FL180" s="1513"/>
    </row>
    <row r="181" spans="1:168" ht="17.100000000000001" customHeight="1" x14ac:dyDescent="0.15">
      <c r="A181" s="1513"/>
      <c r="B181" s="1282"/>
      <c r="C181" s="1282"/>
      <c r="D181" s="1282"/>
      <c r="E181" s="1282"/>
      <c r="F181" s="1282"/>
      <c r="G181" s="1282"/>
      <c r="H181" s="1282"/>
      <c r="I181" s="1282"/>
      <c r="J181" s="1282"/>
      <c r="K181" s="1282"/>
      <c r="L181" s="1282"/>
      <c r="M181" s="1282"/>
      <c r="N181" s="1282"/>
      <c r="O181" s="1282"/>
      <c r="P181" s="1282"/>
      <c r="Q181" s="1282"/>
      <c r="R181" s="1282"/>
      <c r="S181" s="1282"/>
      <c r="T181" s="1282"/>
      <c r="U181" s="1282"/>
      <c r="V181" s="1282"/>
      <c r="W181" s="1282"/>
      <c r="X181" s="1282"/>
      <c r="Y181" s="1282"/>
      <c r="Z181" s="1282"/>
      <c r="AA181" s="1282"/>
      <c r="AB181" s="1282"/>
      <c r="AC181" s="1282"/>
      <c r="AD181" s="1282"/>
      <c r="AE181" s="1282"/>
      <c r="AF181" s="1282"/>
      <c r="AG181" s="1282"/>
      <c r="AH181" s="1282"/>
      <c r="AI181" s="1282"/>
      <c r="AJ181" s="1282"/>
      <c r="AK181" s="1282"/>
      <c r="AL181" s="1282"/>
      <c r="AM181" s="1282"/>
      <c r="AN181" s="1282"/>
      <c r="AO181" s="1282"/>
      <c r="AP181" s="1282"/>
      <c r="AQ181" s="1282"/>
      <c r="AR181" s="1282"/>
      <c r="AS181" s="1282"/>
      <c r="AT181" s="1282"/>
      <c r="AU181" s="1282"/>
      <c r="AV181" s="1282"/>
      <c r="AW181" s="1282"/>
      <c r="AX181" s="1282"/>
      <c r="AY181" s="1282"/>
      <c r="AZ181" s="1282"/>
      <c r="BA181" s="1282"/>
      <c r="BB181" s="1282"/>
      <c r="BC181" s="1282"/>
      <c r="BD181" s="1282"/>
      <c r="BE181" s="1282"/>
      <c r="BF181" s="1282"/>
      <c r="BG181" s="1282"/>
      <c r="BH181" s="1282"/>
      <c r="BI181" s="1282"/>
      <c r="BJ181" s="1282"/>
      <c r="BK181" s="1282"/>
      <c r="BL181" s="1282"/>
      <c r="BM181" s="1282"/>
      <c r="BN181" s="1282"/>
      <c r="BO181" s="1282"/>
      <c r="BP181" s="1282"/>
      <c r="BQ181" s="1282"/>
      <c r="BR181" s="1282"/>
      <c r="BS181" s="1282"/>
      <c r="BT181" s="1282"/>
      <c r="BU181" s="1282"/>
      <c r="BV181" s="1282"/>
      <c r="BW181" s="1282"/>
      <c r="BX181" s="1282"/>
      <c r="BY181" s="1282"/>
      <c r="BZ181" s="1282"/>
      <c r="CA181" s="1513"/>
      <c r="CK181" s="1513"/>
      <c r="CL181" s="1513"/>
      <c r="CM181" s="1513"/>
      <c r="CN181" s="1513"/>
      <c r="CO181" s="1513"/>
      <c r="CP181" s="1513"/>
      <c r="CQ181" s="1513"/>
      <c r="CR181" s="1513"/>
      <c r="CS181" s="1513"/>
      <c r="CT181" s="1513"/>
      <c r="CU181" s="1513"/>
      <c r="CV181" s="1513"/>
      <c r="CW181" s="1513"/>
      <c r="CX181" s="1513"/>
      <c r="CY181" s="1513"/>
      <c r="CZ181" s="1513"/>
      <c r="DA181" s="1513"/>
      <c r="DB181" s="1513"/>
      <c r="DC181" s="1513"/>
      <c r="DD181" s="1513"/>
      <c r="DE181" s="1513"/>
      <c r="DF181" s="1513"/>
      <c r="DG181" s="1513"/>
      <c r="DH181" s="1513"/>
      <c r="DI181" s="1513"/>
      <c r="DJ181" s="1513"/>
      <c r="DK181" s="1513"/>
      <c r="DL181" s="1513"/>
      <c r="DM181" s="1513"/>
      <c r="DN181" s="1513"/>
      <c r="DO181" s="1513"/>
      <c r="DP181" s="1513"/>
      <c r="DQ181" s="1513"/>
      <c r="DR181" s="1513"/>
      <c r="DS181" s="1513"/>
      <c r="DT181" s="1513"/>
      <c r="DU181" s="1513"/>
      <c r="DV181" s="1513"/>
      <c r="DW181" s="1513"/>
      <c r="DX181" s="1513"/>
      <c r="DY181" s="1513"/>
      <c r="DZ181" s="1513"/>
      <c r="EA181" s="1513"/>
      <c r="EB181" s="1513"/>
      <c r="EC181" s="1513"/>
      <c r="ED181" s="1513"/>
      <c r="EE181" s="1513"/>
      <c r="EF181" s="1513"/>
      <c r="EG181" s="1513"/>
      <c r="EH181" s="1513"/>
      <c r="EI181" s="1513"/>
      <c r="EJ181" s="1513"/>
      <c r="EK181" s="1513"/>
      <c r="EL181" s="1513"/>
      <c r="EM181" s="1513"/>
      <c r="EN181" s="1513"/>
      <c r="EO181" s="1513"/>
      <c r="EP181" s="1513"/>
      <c r="EQ181" s="1513"/>
      <c r="ER181" s="1513"/>
      <c r="ES181" s="1513"/>
      <c r="ET181" s="1513"/>
      <c r="EU181" s="1513"/>
      <c r="EV181" s="1513"/>
      <c r="EW181" s="1513"/>
      <c r="EX181" s="1513"/>
      <c r="EY181" s="1513"/>
      <c r="EZ181" s="1513"/>
      <c r="FA181" s="1513"/>
      <c r="FB181" s="1513"/>
      <c r="FC181" s="1513"/>
      <c r="FD181" s="1513"/>
      <c r="FE181" s="1513"/>
      <c r="FF181" s="1513"/>
      <c r="FG181" s="1513"/>
      <c r="FH181" s="1513"/>
      <c r="FI181" s="1513"/>
      <c r="FJ181" s="1513"/>
      <c r="FL181" s="1513"/>
    </row>
    <row r="182" spans="1:168" ht="17.100000000000001" customHeight="1" x14ac:dyDescent="0.15">
      <c r="A182" s="1513"/>
      <c r="B182" s="1282"/>
      <c r="C182" s="1282"/>
      <c r="D182" s="1282"/>
      <c r="E182" s="1282"/>
      <c r="F182" s="1282"/>
      <c r="G182" s="1282"/>
      <c r="H182" s="1282"/>
      <c r="I182" s="1282"/>
      <c r="J182" s="1282"/>
      <c r="K182" s="1282"/>
      <c r="L182" s="1282"/>
      <c r="M182" s="1282"/>
      <c r="N182" s="1282"/>
      <c r="O182" s="1282"/>
      <c r="P182" s="1282"/>
      <c r="Q182" s="1282"/>
      <c r="R182" s="1282"/>
      <c r="S182" s="1282"/>
      <c r="T182" s="1282"/>
      <c r="U182" s="1282"/>
      <c r="V182" s="1282"/>
      <c r="W182" s="1282"/>
      <c r="X182" s="1282"/>
      <c r="Y182" s="1282"/>
      <c r="Z182" s="1282"/>
      <c r="AA182" s="1282"/>
      <c r="AB182" s="1282"/>
      <c r="AC182" s="1282"/>
      <c r="AD182" s="1282"/>
      <c r="AE182" s="1282"/>
      <c r="AF182" s="1282"/>
      <c r="AG182" s="1282"/>
      <c r="AH182" s="1282"/>
      <c r="AI182" s="1282"/>
      <c r="AJ182" s="1282"/>
      <c r="AK182" s="1282"/>
      <c r="AL182" s="1282"/>
      <c r="AM182" s="1282"/>
      <c r="AN182" s="1282"/>
      <c r="AO182" s="1282"/>
      <c r="AP182" s="1282"/>
      <c r="AQ182" s="1282"/>
      <c r="AR182" s="1282"/>
      <c r="AS182" s="1282"/>
      <c r="AT182" s="1282"/>
      <c r="AU182" s="1282"/>
      <c r="AV182" s="1282"/>
      <c r="AW182" s="1282"/>
      <c r="AX182" s="1282"/>
      <c r="AY182" s="1282"/>
      <c r="AZ182" s="1282"/>
      <c r="BA182" s="1282"/>
      <c r="BB182" s="1282"/>
      <c r="BC182" s="1282"/>
      <c r="BD182" s="1282"/>
      <c r="BE182" s="1282"/>
      <c r="BF182" s="1282"/>
      <c r="BG182" s="1282"/>
      <c r="BH182" s="1282"/>
      <c r="BI182" s="1282"/>
      <c r="BJ182" s="1282"/>
      <c r="BK182" s="1282"/>
      <c r="BL182" s="1282"/>
      <c r="BM182" s="1282"/>
      <c r="BN182" s="1282"/>
      <c r="BO182" s="1282"/>
      <c r="BP182" s="1282"/>
      <c r="BQ182" s="1282"/>
      <c r="BR182" s="1282"/>
      <c r="BS182" s="1282"/>
      <c r="BT182" s="1282"/>
      <c r="BU182" s="1282"/>
      <c r="BV182" s="1282"/>
      <c r="BW182" s="1282"/>
      <c r="BX182" s="1282"/>
      <c r="BY182" s="1282"/>
      <c r="BZ182" s="1282"/>
      <c r="CA182" s="1513"/>
      <c r="CK182" s="1513"/>
      <c r="CL182" s="1513"/>
      <c r="CM182" s="1513"/>
      <c r="CN182" s="1513"/>
      <c r="CO182" s="1513"/>
      <c r="CP182" s="1513"/>
      <c r="CQ182" s="1513"/>
      <c r="CR182" s="1513"/>
      <c r="CS182" s="1513"/>
      <c r="CT182" s="1513"/>
      <c r="CU182" s="1513"/>
      <c r="CV182" s="1513"/>
      <c r="CW182" s="1513"/>
      <c r="CX182" s="1513"/>
      <c r="CY182" s="1513"/>
      <c r="CZ182" s="1513"/>
      <c r="DA182" s="1513"/>
      <c r="DB182" s="1513"/>
      <c r="DC182" s="1513"/>
      <c r="DD182" s="1513"/>
      <c r="DE182" s="1513"/>
      <c r="DF182" s="1513"/>
      <c r="DG182" s="1513"/>
      <c r="DH182" s="1513"/>
      <c r="DI182" s="1513"/>
      <c r="DJ182" s="1513"/>
      <c r="DK182" s="1513"/>
      <c r="DL182" s="1513"/>
      <c r="DM182" s="1513"/>
      <c r="DN182" s="1513"/>
      <c r="DO182" s="1513"/>
      <c r="DP182" s="1513"/>
      <c r="DQ182" s="1513"/>
      <c r="DR182" s="1513"/>
      <c r="DS182" s="1513"/>
      <c r="DT182" s="1513"/>
      <c r="DU182" s="1513"/>
      <c r="DV182" s="1513"/>
      <c r="DW182" s="1513"/>
      <c r="DX182" s="1513"/>
      <c r="DY182" s="1513"/>
      <c r="DZ182" s="1513"/>
      <c r="EA182" s="1513"/>
      <c r="EB182" s="1513"/>
      <c r="EC182" s="1513"/>
      <c r="ED182" s="1513"/>
      <c r="EE182" s="1513"/>
      <c r="EF182" s="1513"/>
      <c r="EG182" s="1513"/>
      <c r="EH182" s="1513"/>
      <c r="EI182" s="1513"/>
      <c r="EJ182" s="1513"/>
      <c r="EK182" s="1513"/>
      <c r="EL182" s="1513"/>
      <c r="EM182" s="1513"/>
      <c r="EN182" s="1513"/>
      <c r="EO182" s="1513"/>
      <c r="EP182" s="1513"/>
      <c r="EQ182" s="1513"/>
      <c r="ER182" s="1513"/>
      <c r="ES182" s="1513"/>
      <c r="ET182" s="1513"/>
      <c r="EU182" s="1513"/>
      <c r="EV182" s="1513"/>
      <c r="EW182" s="1513"/>
      <c r="EX182" s="1513"/>
      <c r="EY182" s="1513"/>
      <c r="EZ182" s="1513"/>
      <c r="FA182" s="1513"/>
      <c r="FB182" s="1513"/>
      <c r="FC182" s="1513"/>
      <c r="FD182" s="1513"/>
      <c r="FE182" s="1513"/>
      <c r="FF182" s="1513"/>
      <c r="FG182" s="1513"/>
      <c r="FH182" s="1513"/>
      <c r="FI182" s="1513"/>
      <c r="FJ182" s="1513"/>
      <c r="FL182" s="1513"/>
    </row>
    <row r="183" spans="1:168" ht="17.100000000000001" customHeight="1" x14ac:dyDescent="0.15">
      <c r="A183" s="1513"/>
      <c r="B183" s="1282"/>
      <c r="C183" s="1282"/>
      <c r="D183" s="1282"/>
      <c r="E183" s="1282"/>
      <c r="F183" s="1282"/>
      <c r="G183" s="1282"/>
      <c r="H183" s="1282"/>
      <c r="I183" s="1282"/>
      <c r="J183" s="1282"/>
      <c r="K183" s="1282"/>
      <c r="L183" s="1282"/>
      <c r="M183" s="1282"/>
      <c r="N183" s="1282"/>
      <c r="O183" s="1282"/>
      <c r="P183" s="1282"/>
      <c r="Q183" s="1282"/>
      <c r="R183" s="1282"/>
      <c r="S183" s="1282"/>
      <c r="T183" s="1282"/>
      <c r="U183" s="1282"/>
      <c r="V183" s="1282"/>
      <c r="W183" s="1282"/>
      <c r="X183" s="1282"/>
      <c r="Y183" s="1282"/>
      <c r="Z183" s="1282"/>
      <c r="AA183" s="1282"/>
      <c r="AB183" s="1282"/>
      <c r="AC183" s="1282"/>
      <c r="AD183" s="1282"/>
      <c r="AE183" s="1282"/>
      <c r="AF183" s="1282"/>
      <c r="AG183" s="1282"/>
      <c r="AH183" s="1282"/>
      <c r="AI183" s="1282"/>
      <c r="AJ183" s="1282"/>
      <c r="AK183" s="1282"/>
      <c r="AL183" s="1282"/>
      <c r="AM183" s="1282"/>
      <c r="AN183" s="1282"/>
      <c r="AO183" s="1282"/>
      <c r="AP183" s="1282"/>
      <c r="AQ183" s="1282"/>
      <c r="AR183" s="1282"/>
      <c r="AS183" s="1282"/>
      <c r="AT183" s="1282"/>
      <c r="AU183" s="1282"/>
      <c r="AV183" s="1282"/>
      <c r="AW183" s="1282"/>
      <c r="AX183" s="1282"/>
      <c r="AY183" s="1282"/>
      <c r="AZ183" s="1282"/>
      <c r="BA183" s="1282"/>
      <c r="BB183" s="1282"/>
      <c r="BC183" s="1282"/>
      <c r="BD183" s="1282"/>
      <c r="BE183" s="1282"/>
      <c r="BF183" s="1282"/>
      <c r="BG183" s="1282"/>
      <c r="BH183" s="1282"/>
      <c r="BI183" s="1282"/>
      <c r="BJ183" s="1282"/>
      <c r="BK183" s="1282"/>
      <c r="BL183" s="1282"/>
      <c r="BM183" s="1282"/>
      <c r="BN183" s="1282"/>
      <c r="BO183" s="1282"/>
      <c r="BP183" s="1282"/>
      <c r="BQ183" s="1282"/>
      <c r="BR183" s="1282"/>
      <c r="BS183" s="1282"/>
      <c r="BT183" s="1282"/>
      <c r="BU183" s="1282"/>
      <c r="BV183" s="1282"/>
      <c r="BW183" s="1282"/>
      <c r="BX183" s="1282"/>
      <c r="BY183" s="1282"/>
      <c r="BZ183" s="1282"/>
      <c r="CA183" s="1513"/>
      <c r="CK183" s="1513"/>
      <c r="CL183" s="1513"/>
      <c r="CM183" s="1513"/>
      <c r="CN183" s="1513"/>
      <c r="CO183" s="1513"/>
      <c r="CP183" s="1513"/>
      <c r="CQ183" s="1513"/>
      <c r="CR183" s="1513"/>
      <c r="CS183" s="1513"/>
      <c r="CT183" s="1513"/>
      <c r="CU183" s="1513"/>
      <c r="CV183" s="1513"/>
      <c r="CW183" s="1513"/>
      <c r="CX183" s="1513"/>
      <c r="CY183" s="1513"/>
      <c r="CZ183" s="1513"/>
      <c r="DA183" s="1513"/>
      <c r="DB183" s="1513"/>
      <c r="DC183" s="1513"/>
      <c r="DD183" s="1513"/>
      <c r="DE183" s="1513"/>
      <c r="DF183" s="1513"/>
      <c r="DG183" s="1513"/>
      <c r="DH183" s="1513"/>
      <c r="DI183" s="1513"/>
      <c r="DJ183" s="1513"/>
      <c r="DK183" s="1513"/>
      <c r="DL183" s="1513"/>
      <c r="DM183" s="1513"/>
      <c r="DN183" s="1513"/>
      <c r="DO183" s="1513"/>
      <c r="DP183" s="1513"/>
      <c r="DQ183" s="1513"/>
      <c r="DR183" s="1513"/>
      <c r="DS183" s="1513"/>
      <c r="DT183" s="1513"/>
      <c r="DU183" s="1513"/>
      <c r="DV183" s="1513"/>
      <c r="DW183" s="1513"/>
      <c r="DX183" s="1513"/>
      <c r="DY183" s="1513"/>
      <c r="DZ183" s="1513"/>
      <c r="EA183" s="1513"/>
      <c r="EB183" s="1513"/>
      <c r="EC183" s="1513"/>
      <c r="ED183" s="1513"/>
      <c r="EE183" s="1513"/>
      <c r="EF183" s="1513"/>
      <c r="EG183" s="1513"/>
      <c r="EH183" s="1513"/>
      <c r="EI183" s="1513"/>
      <c r="EJ183" s="1513"/>
      <c r="EK183" s="1513"/>
      <c r="EL183" s="1513"/>
      <c r="EM183" s="1513"/>
      <c r="EN183" s="1513"/>
      <c r="EO183" s="1513"/>
      <c r="EP183" s="1513"/>
      <c r="EQ183" s="1513"/>
      <c r="ER183" s="1513"/>
      <c r="ES183" s="1513"/>
      <c r="ET183" s="1513"/>
      <c r="EU183" s="1513"/>
      <c r="EV183" s="1513"/>
      <c r="EW183" s="1513"/>
      <c r="EX183" s="1513"/>
      <c r="EY183" s="1513"/>
      <c r="EZ183" s="1513"/>
      <c r="FA183" s="1513"/>
      <c r="FB183" s="1513"/>
      <c r="FC183" s="1513"/>
      <c r="FD183" s="1513"/>
      <c r="FE183" s="1513"/>
      <c r="FF183" s="1513"/>
      <c r="FG183" s="1513"/>
      <c r="FH183" s="1513"/>
      <c r="FI183" s="1513"/>
      <c r="FJ183" s="1513"/>
      <c r="FL183" s="1513"/>
    </row>
    <row r="184" spans="1:168" ht="17.100000000000001" customHeight="1" x14ac:dyDescent="0.15">
      <c r="A184" s="1513"/>
      <c r="B184" s="1282"/>
      <c r="C184" s="1282"/>
      <c r="D184" s="1282"/>
      <c r="E184" s="1282"/>
      <c r="F184" s="1282"/>
      <c r="G184" s="1282"/>
      <c r="H184" s="1282"/>
      <c r="I184" s="1282"/>
      <c r="J184" s="1282"/>
      <c r="K184" s="1282"/>
      <c r="L184" s="1282"/>
      <c r="M184" s="1282"/>
      <c r="N184" s="1282"/>
      <c r="O184" s="1282"/>
      <c r="P184" s="1282"/>
      <c r="Q184" s="1282"/>
      <c r="R184" s="1282"/>
      <c r="S184" s="1282"/>
      <c r="T184" s="1282"/>
      <c r="U184" s="1282"/>
      <c r="V184" s="1282"/>
      <c r="W184" s="1282"/>
      <c r="X184" s="1282"/>
      <c r="Y184" s="1282"/>
      <c r="Z184" s="1282"/>
      <c r="AA184" s="1282"/>
      <c r="AB184" s="1282"/>
      <c r="AC184" s="1282"/>
      <c r="AD184" s="1282"/>
      <c r="AE184" s="1282"/>
      <c r="AF184" s="1282"/>
      <c r="AG184" s="1282"/>
      <c r="AH184" s="1282"/>
      <c r="AI184" s="1282"/>
      <c r="AJ184" s="1282"/>
      <c r="AK184" s="1282"/>
      <c r="AL184" s="1282"/>
      <c r="AM184" s="1282"/>
      <c r="AN184" s="1282"/>
      <c r="AO184" s="1282"/>
      <c r="AP184" s="1282"/>
      <c r="AQ184" s="1282"/>
      <c r="AR184" s="1282"/>
      <c r="AS184" s="1282"/>
      <c r="AT184" s="1282"/>
      <c r="AU184" s="1282"/>
      <c r="AV184" s="1282"/>
      <c r="AW184" s="1282"/>
      <c r="AX184" s="1282"/>
      <c r="AY184" s="1282"/>
      <c r="AZ184" s="1282"/>
      <c r="BA184" s="1282"/>
      <c r="BB184" s="1282"/>
      <c r="BC184" s="1282"/>
      <c r="BD184" s="1282"/>
      <c r="BE184" s="1282"/>
      <c r="BF184" s="1282"/>
      <c r="BG184" s="1282"/>
      <c r="BH184" s="1282"/>
      <c r="BI184" s="1282"/>
      <c r="BJ184" s="1282"/>
      <c r="BK184" s="1282"/>
      <c r="BL184" s="1282"/>
      <c r="BM184" s="1282"/>
      <c r="BN184" s="1282"/>
      <c r="BO184" s="1282"/>
      <c r="BP184" s="1282"/>
      <c r="BQ184" s="1282"/>
      <c r="BR184" s="1282"/>
      <c r="BS184" s="1282"/>
      <c r="BT184" s="1282"/>
      <c r="BU184" s="1282"/>
      <c r="BV184" s="1282"/>
      <c r="BW184" s="1282"/>
      <c r="BX184" s="1282"/>
      <c r="BY184" s="1282"/>
      <c r="BZ184" s="1282"/>
      <c r="CA184" s="1513"/>
      <c r="CK184" s="1513"/>
      <c r="CL184" s="1513"/>
      <c r="CM184" s="1513"/>
      <c r="CN184" s="1513"/>
      <c r="CO184" s="1513"/>
      <c r="CP184" s="1513"/>
      <c r="CQ184" s="1513"/>
      <c r="CR184" s="1513"/>
      <c r="CS184" s="1513"/>
      <c r="CT184" s="1513"/>
      <c r="CU184" s="1513"/>
      <c r="CV184" s="1513"/>
      <c r="CW184" s="1513"/>
      <c r="CX184" s="1513"/>
      <c r="CY184" s="1513"/>
      <c r="CZ184" s="1513"/>
      <c r="DA184" s="1513"/>
      <c r="DB184" s="1513"/>
      <c r="DC184" s="1513"/>
      <c r="DD184" s="1513"/>
      <c r="DE184" s="1513"/>
      <c r="DF184" s="1513"/>
      <c r="DG184" s="1513"/>
      <c r="DH184" s="1513"/>
      <c r="DI184" s="1513"/>
      <c r="DJ184" s="1513"/>
      <c r="DK184" s="1513"/>
      <c r="DL184" s="1513"/>
      <c r="DM184" s="1513"/>
      <c r="DN184" s="1513"/>
      <c r="DO184" s="1513"/>
      <c r="DP184" s="1513"/>
      <c r="DQ184" s="1513"/>
      <c r="DR184" s="1513"/>
      <c r="DS184" s="1513"/>
      <c r="DT184" s="1513"/>
      <c r="DU184" s="1513"/>
      <c r="DV184" s="1513"/>
      <c r="DW184" s="1513"/>
      <c r="DX184" s="1513"/>
      <c r="DY184" s="1513"/>
      <c r="DZ184" s="1513"/>
      <c r="EA184" s="1513"/>
      <c r="EB184" s="1513"/>
      <c r="EC184" s="1513"/>
      <c r="ED184" s="1513"/>
      <c r="EE184" s="1513"/>
      <c r="EF184" s="1513"/>
      <c r="EG184" s="1513"/>
      <c r="EH184" s="1513"/>
      <c r="EI184" s="1513"/>
      <c r="EJ184" s="1513"/>
      <c r="EK184" s="1513"/>
      <c r="EL184" s="1513"/>
      <c r="EM184" s="1513"/>
      <c r="EN184" s="1513"/>
      <c r="EO184" s="1513"/>
      <c r="EP184" s="1513"/>
      <c r="EQ184" s="1513"/>
      <c r="ER184" s="1513"/>
      <c r="ES184" s="1513"/>
      <c r="ET184" s="1513"/>
      <c r="EU184" s="1513"/>
      <c r="EV184" s="1513"/>
      <c r="EW184" s="1513"/>
      <c r="EX184" s="1513"/>
      <c r="EY184" s="1513"/>
      <c r="EZ184" s="1513"/>
      <c r="FA184" s="1513"/>
      <c r="FB184" s="1513"/>
      <c r="FC184" s="1513"/>
      <c r="FD184" s="1513"/>
      <c r="FE184" s="1513"/>
      <c r="FF184" s="1513"/>
      <c r="FG184" s="1513"/>
      <c r="FH184" s="1513"/>
      <c r="FI184" s="1513"/>
      <c r="FJ184" s="1513"/>
      <c r="FL184" s="1513"/>
    </row>
    <row r="185" spans="1:168" ht="17.100000000000001" customHeight="1" x14ac:dyDescent="0.15">
      <c r="A185" s="1513"/>
      <c r="B185" s="1282"/>
      <c r="C185" s="1282"/>
      <c r="D185" s="1282"/>
      <c r="E185" s="1282"/>
      <c r="F185" s="1282"/>
      <c r="G185" s="1282"/>
      <c r="H185" s="1282"/>
      <c r="I185" s="1282"/>
      <c r="J185" s="1282"/>
      <c r="K185" s="1282"/>
      <c r="L185" s="1282"/>
      <c r="M185" s="1282"/>
      <c r="N185" s="1282"/>
      <c r="O185" s="1282"/>
      <c r="P185" s="1282"/>
      <c r="Q185" s="1282"/>
      <c r="R185" s="1282"/>
      <c r="S185" s="1282"/>
      <c r="T185" s="1282"/>
      <c r="U185" s="1282"/>
      <c r="V185" s="1282"/>
      <c r="W185" s="1282"/>
      <c r="X185" s="1282"/>
      <c r="Y185" s="1282"/>
      <c r="Z185" s="1282"/>
      <c r="AA185" s="1282"/>
      <c r="AB185" s="1282"/>
      <c r="AC185" s="1282"/>
      <c r="AD185" s="1282"/>
      <c r="AE185" s="1282"/>
      <c r="AF185" s="1282"/>
      <c r="AG185" s="1282"/>
      <c r="AH185" s="1282"/>
      <c r="AI185" s="1282"/>
      <c r="AJ185" s="1282"/>
      <c r="AK185" s="1282"/>
      <c r="AL185" s="1282"/>
      <c r="AM185" s="1282"/>
      <c r="AN185" s="1282"/>
      <c r="AO185" s="1282"/>
      <c r="AP185" s="1282"/>
      <c r="AQ185" s="1282"/>
      <c r="AR185" s="1282"/>
      <c r="AS185" s="1282"/>
      <c r="AT185" s="1282"/>
      <c r="AU185" s="1282"/>
      <c r="AV185" s="1282"/>
      <c r="AW185" s="1282"/>
      <c r="AX185" s="1282"/>
      <c r="AY185" s="1282"/>
      <c r="AZ185" s="1282"/>
      <c r="BA185" s="1282"/>
      <c r="BB185" s="1282"/>
      <c r="BC185" s="1282"/>
      <c r="BD185" s="1282"/>
      <c r="BE185" s="1282"/>
      <c r="BF185" s="1282"/>
      <c r="BG185" s="1282"/>
      <c r="BH185" s="1282"/>
      <c r="BI185" s="1282"/>
      <c r="BJ185" s="1282"/>
      <c r="BK185" s="1282"/>
      <c r="BL185" s="1282"/>
      <c r="BM185" s="1282"/>
      <c r="BN185" s="1282"/>
      <c r="BO185" s="1282"/>
      <c r="BP185" s="1282"/>
      <c r="BQ185" s="1282"/>
      <c r="BR185" s="1282"/>
      <c r="BS185" s="1282"/>
      <c r="BT185" s="1282"/>
      <c r="BU185" s="1282"/>
      <c r="BV185" s="1282"/>
      <c r="BW185" s="1282"/>
      <c r="BX185" s="1282"/>
      <c r="BY185" s="1282"/>
      <c r="BZ185" s="1282"/>
      <c r="CA185" s="1513"/>
      <c r="CK185" s="1513"/>
      <c r="CL185" s="1513"/>
      <c r="CM185" s="1513"/>
      <c r="CN185" s="1513"/>
      <c r="CO185" s="1513"/>
      <c r="CP185" s="1513"/>
      <c r="CQ185" s="1513"/>
      <c r="CR185" s="1513"/>
      <c r="CS185" s="1513"/>
      <c r="CT185" s="1513"/>
      <c r="CU185" s="1513"/>
      <c r="CV185" s="1513"/>
      <c r="CW185" s="1513"/>
      <c r="CX185" s="1513"/>
      <c r="CY185" s="1513"/>
      <c r="CZ185" s="1513"/>
      <c r="DA185" s="1513"/>
      <c r="DB185" s="1513"/>
      <c r="DC185" s="1513"/>
      <c r="DD185" s="1513"/>
      <c r="DE185" s="1513"/>
      <c r="DF185" s="1513"/>
      <c r="DG185" s="1513"/>
      <c r="DH185" s="1513"/>
      <c r="DI185" s="1513"/>
      <c r="DJ185" s="1513"/>
      <c r="DK185" s="1513"/>
      <c r="DL185" s="1513"/>
      <c r="DM185" s="1513"/>
      <c r="DN185" s="1513"/>
      <c r="DO185" s="1513"/>
      <c r="DP185" s="1513"/>
      <c r="DQ185" s="1513"/>
      <c r="DR185" s="1513"/>
      <c r="DS185" s="1513"/>
      <c r="DT185" s="1513"/>
      <c r="DU185" s="1513"/>
      <c r="DV185" s="1513"/>
      <c r="DW185" s="1513"/>
      <c r="DX185" s="1513"/>
      <c r="DY185" s="1513"/>
      <c r="DZ185" s="1513"/>
      <c r="EA185" s="1513"/>
      <c r="EB185" s="1513"/>
      <c r="EC185" s="1513"/>
      <c r="ED185" s="1513"/>
      <c r="EE185" s="1513"/>
      <c r="EF185" s="1513"/>
      <c r="EG185" s="1513"/>
      <c r="EH185" s="1513"/>
      <c r="EI185" s="1513"/>
      <c r="EJ185" s="1513"/>
      <c r="EK185" s="1513"/>
      <c r="EL185" s="1513"/>
      <c r="EM185" s="1513"/>
      <c r="EN185" s="1513"/>
      <c r="EO185" s="1513"/>
      <c r="EP185" s="1513"/>
      <c r="EQ185" s="1513"/>
      <c r="ER185" s="1513"/>
      <c r="ES185" s="1513"/>
      <c r="ET185" s="1513"/>
      <c r="EU185" s="1513"/>
      <c r="EV185" s="1513"/>
      <c r="EW185" s="1513"/>
      <c r="EX185" s="1513"/>
      <c r="EY185" s="1513"/>
      <c r="EZ185" s="1513"/>
      <c r="FA185" s="1513"/>
      <c r="FB185" s="1513"/>
      <c r="FC185" s="1513"/>
      <c r="FD185" s="1513"/>
      <c r="FE185" s="1513"/>
      <c r="FF185" s="1513"/>
      <c r="FG185" s="1513"/>
      <c r="FH185" s="1513"/>
      <c r="FI185" s="1513"/>
      <c r="FJ185" s="1513"/>
      <c r="FL185" s="1513"/>
    </row>
    <row r="186" spans="1:168" ht="17.100000000000001" customHeight="1" x14ac:dyDescent="0.15">
      <c r="A186" s="1513"/>
      <c r="B186" s="1282"/>
      <c r="C186" s="1282"/>
      <c r="D186" s="1282"/>
      <c r="E186" s="1282"/>
      <c r="F186" s="1282"/>
      <c r="G186" s="1282"/>
      <c r="H186" s="1282"/>
      <c r="I186" s="1282"/>
      <c r="J186" s="1282"/>
      <c r="K186" s="1282"/>
      <c r="L186" s="1282"/>
      <c r="M186" s="1282"/>
      <c r="N186" s="1282"/>
      <c r="O186" s="1282"/>
      <c r="P186" s="1282"/>
      <c r="Q186" s="1282"/>
      <c r="R186" s="1282"/>
      <c r="S186" s="1282"/>
      <c r="T186" s="1282"/>
      <c r="U186" s="1282"/>
      <c r="V186" s="1282"/>
      <c r="W186" s="1282"/>
      <c r="X186" s="1282"/>
      <c r="Y186" s="1282"/>
      <c r="Z186" s="1282"/>
      <c r="AA186" s="1282"/>
      <c r="AB186" s="1282"/>
      <c r="AC186" s="1282"/>
      <c r="AD186" s="1282"/>
      <c r="AE186" s="1282"/>
      <c r="AF186" s="1282"/>
      <c r="AG186" s="1282"/>
      <c r="AH186" s="1282"/>
      <c r="AI186" s="1282"/>
      <c r="AJ186" s="1282"/>
      <c r="AK186" s="1282"/>
      <c r="AL186" s="1282"/>
      <c r="AM186" s="1282"/>
      <c r="AN186" s="1282"/>
      <c r="AO186" s="1282"/>
      <c r="AP186" s="1282"/>
      <c r="AQ186" s="1282"/>
      <c r="AR186" s="1282"/>
      <c r="AS186" s="1282"/>
      <c r="AT186" s="1282"/>
      <c r="AU186" s="1282"/>
      <c r="AV186" s="1282"/>
      <c r="AW186" s="1282"/>
      <c r="AX186" s="1282"/>
      <c r="AY186" s="1282"/>
      <c r="AZ186" s="1282"/>
      <c r="BA186" s="1282"/>
      <c r="BB186" s="1282"/>
      <c r="BC186" s="1282"/>
      <c r="BD186" s="1282"/>
      <c r="BE186" s="1282"/>
      <c r="BF186" s="1282"/>
      <c r="BG186" s="1282"/>
      <c r="BH186" s="1282"/>
      <c r="BI186" s="1282"/>
      <c r="BJ186" s="1282"/>
      <c r="BK186" s="1282"/>
      <c r="BL186" s="1282"/>
      <c r="BM186" s="1282"/>
      <c r="BN186" s="1282"/>
      <c r="BO186" s="1282"/>
      <c r="BP186" s="1282"/>
      <c r="BQ186" s="1282"/>
      <c r="BR186" s="1282"/>
      <c r="BS186" s="1282"/>
      <c r="BT186" s="1282"/>
      <c r="BU186" s="1282"/>
      <c r="BV186" s="1282"/>
      <c r="BW186" s="1282"/>
      <c r="BX186" s="1282"/>
      <c r="BY186" s="1282"/>
      <c r="BZ186" s="1282"/>
      <c r="CA186" s="1513"/>
      <c r="CK186" s="1513"/>
      <c r="CL186" s="1513"/>
      <c r="CM186" s="1513"/>
      <c r="CN186" s="1513"/>
      <c r="CO186" s="1513"/>
      <c r="CP186" s="1513"/>
      <c r="CQ186" s="1513"/>
      <c r="CR186" s="1513"/>
      <c r="CS186" s="1513"/>
      <c r="CT186" s="1513"/>
      <c r="CU186" s="1513"/>
      <c r="CV186" s="1513"/>
      <c r="CW186" s="1513"/>
      <c r="CX186" s="1513"/>
      <c r="CY186" s="1513"/>
      <c r="CZ186" s="1513"/>
      <c r="DA186" s="1513"/>
      <c r="DB186" s="1513"/>
      <c r="DC186" s="1513"/>
      <c r="DD186" s="1513"/>
      <c r="DE186" s="1513"/>
      <c r="DF186" s="1513"/>
      <c r="DG186" s="1513"/>
      <c r="DH186" s="1513"/>
      <c r="DI186" s="1513"/>
      <c r="DJ186" s="1513"/>
      <c r="DK186" s="1513"/>
      <c r="DL186" s="1513"/>
      <c r="DM186" s="1513"/>
      <c r="DN186" s="1513"/>
      <c r="DO186" s="1513"/>
      <c r="DP186" s="1513"/>
      <c r="DQ186" s="1513"/>
      <c r="DR186" s="1513"/>
      <c r="DS186" s="1513"/>
      <c r="DT186" s="1513"/>
      <c r="DU186" s="1513"/>
      <c r="DV186" s="1513"/>
      <c r="DW186" s="1513"/>
      <c r="DX186" s="1513"/>
      <c r="DY186" s="1513"/>
      <c r="DZ186" s="1513"/>
      <c r="EA186" s="1513"/>
      <c r="EB186" s="1513"/>
      <c r="EC186" s="1513"/>
      <c r="ED186" s="1513"/>
      <c r="EE186" s="1513"/>
      <c r="EF186" s="1513"/>
      <c r="EG186" s="1513"/>
      <c r="EH186" s="1513"/>
      <c r="EI186" s="1513"/>
      <c r="EJ186" s="1513"/>
      <c r="EK186" s="1513"/>
      <c r="EL186" s="1513"/>
      <c r="EM186" s="1513"/>
      <c r="EN186" s="1513"/>
      <c r="EO186" s="1513"/>
      <c r="EP186" s="1513"/>
      <c r="EQ186" s="1513"/>
      <c r="ER186" s="1513"/>
      <c r="ES186" s="1513"/>
      <c r="ET186" s="1513"/>
      <c r="EU186" s="1513"/>
      <c r="EV186" s="1513"/>
      <c r="EW186" s="1513"/>
      <c r="EX186" s="1513"/>
      <c r="EY186" s="1513"/>
      <c r="EZ186" s="1513"/>
      <c r="FA186" s="1513"/>
      <c r="FB186" s="1513"/>
      <c r="FC186" s="1513"/>
      <c r="FD186" s="1513"/>
      <c r="FE186" s="1513"/>
      <c r="FF186" s="1513"/>
      <c r="FG186" s="1513"/>
      <c r="FH186" s="1513"/>
      <c r="FI186" s="1513"/>
      <c r="FJ186" s="1513"/>
      <c r="FL186" s="1513"/>
    </row>
    <row r="187" spans="1:168" ht="17.100000000000001" customHeight="1" x14ac:dyDescent="0.15">
      <c r="A187" s="1513"/>
      <c r="B187" s="1282"/>
      <c r="C187" s="1282"/>
      <c r="D187" s="1282"/>
      <c r="E187" s="1282"/>
      <c r="F187" s="1282"/>
      <c r="G187" s="1282"/>
      <c r="H187" s="1282"/>
      <c r="I187" s="1282"/>
      <c r="J187" s="1282"/>
      <c r="K187" s="1282"/>
      <c r="L187" s="1282"/>
      <c r="M187" s="1282"/>
      <c r="N187" s="1282"/>
      <c r="O187" s="1282"/>
      <c r="P187" s="1282"/>
      <c r="Q187" s="1282"/>
      <c r="R187" s="1282"/>
      <c r="S187" s="1282"/>
      <c r="T187" s="1282"/>
      <c r="U187" s="1282"/>
      <c r="V187" s="1282"/>
      <c r="W187" s="1282"/>
      <c r="X187" s="1282"/>
      <c r="Y187" s="1282"/>
      <c r="Z187" s="1282"/>
      <c r="AA187" s="1282"/>
      <c r="AB187" s="1282"/>
      <c r="AC187" s="1282"/>
      <c r="AD187" s="1282"/>
      <c r="AE187" s="1282"/>
      <c r="AF187" s="1282"/>
      <c r="AG187" s="1282"/>
      <c r="AH187" s="1282"/>
      <c r="AI187" s="1282"/>
      <c r="AJ187" s="1282"/>
      <c r="AK187" s="1282"/>
      <c r="AL187" s="1282"/>
      <c r="AM187" s="1282"/>
      <c r="AN187" s="1282"/>
      <c r="AO187" s="1282"/>
      <c r="AP187" s="1282"/>
      <c r="AQ187" s="1282"/>
      <c r="AR187" s="1282"/>
      <c r="AS187" s="1282"/>
      <c r="AT187" s="1282"/>
      <c r="AU187" s="1282"/>
      <c r="AV187" s="1282"/>
      <c r="AW187" s="1282"/>
      <c r="AX187" s="1282"/>
      <c r="AY187" s="1282"/>
      <c r="AZ187" s="1282"/>
      <c r="BA187" s="1282"/>
      <c r="BB187" s="1282"/>
      <c r="BC187" s="1282"/>
      <c r="BD187" s="1282"/>
      <c r="BE187" s="1282"/>
      <c r="BF187" s="1282"/>
      <c r="BG187" s="1282"/>
      <c r="BH187" s="1282"/>
      <c r="BI187" s="1282"/>
      <c r="BJ187" s="1282"/>
      <c r="BK187" s="1282"/>
      <c r="BL187" s="1282"/>
      <c r="BM187" s="1282"/>
      <c r="BN187" s="1282"/>
      <c r="BO187" s="1282"/>
      <c r="BP187" s="1282"/>
      <c r="BQ187" s="1282"/>
      <c r="BR187" s="1282"/>
      <c r="BS187" s="1282"/>
      <c r="BT187" s="1282"/>
      <c r="BU187" s="1282"/>
      <c r="BV187" s="1282"/>
      <c r="BW187" s="1282"/>
      <c r="BX187" s="1282"/>
      <c r="BY187" s="1282"/>
      <c r="BZ187" s="1282"/>
      <c r="CA187" s="1513"/>
      <c r="CK187" s="1513"/>
      <c r="CL187" s="1513"/>
      <c r="CM187" s="1513"/>
      <c r="CN187" s="1513"/>
      <c r="CO187" s="1513"/>
      <c r="CP187" s="1513"/>
      <c r="CQ187" s="1513"/>
      <c r="CR187" s="1513"/>
      <c r="CS187" s="1513"/>
      <c r="CT187" s="1513"/>
      <c r="CU187" s="1513"/>
      <c r="CV187" s="1513"/>
      <c r="CW187" s="1513"/>
      <c r="CX187" s="1513"/>
      <c r="CY187" s="1513"/>
      <c r="CZ187" s="1513"/>
      <c r="DA187" s="1513"/>
      <c r="DB187" s="1513"/>
      <c r="DC187" s="1513"/>
      <c r="DD187" s="1513"/>
      <c r="DE187" s="1513"/>
      <c r="DF187" s="1513"/>
      <c r="DG187" s="1513"/>
      <c r="DH187" s="1513"/>
      <c r="DI187" s="1513"/>
      <c r="DJ187" s="1513"/>
      <c r="DK187" s="1513"/>
      <c r="DL187" s="1513"/>
      <c r="DM187" s="1513"/>
      <c r="DN187" s="1513"/>
      <c r="DO187" s="1513"/>
      <c r="DP187" s="1513"/>
      <c r="DQ187" s="1513"/>
      <c r="DR187" s="1513"/>
      <c r="DS187" s="1513"/>
      <c r="DT187" s="1513"/>
      <c r="DU187" s="1513"/>
      <c r="DV187" s="1513"/>
      <c r="DW187" s="1513"/>
      <c r="DX187" s="1513"/>
      <c r="DY187" s="1513"/>
      <c r="DZ187" s="1513"/>
      <c r="EA187" s="1513"/>
      <c r="EB187" s="1513"/>
      <c r="EC187" s="1513"/>
      <c r="ED187" s="1513"/>
      <c r="EE187" s="1513"/>
      <c r="EF187" s="1513"/>
      <c r="EG187" s="1513"/>
      <c r="EH187" s="1513"/>
      <c r="EI187" s="1513"/>
      <c r="EJ187" s="1513"/>
      <c r="EK187" s="1513"/>
      <c r="EL187" s="1513"/>
      <c r="EM187" s="1513"/>
      <c r="EN187" s="1513"/>
      <c r="EO187" s="1513"/>
      <c r="EP187" s="1513"/>
      <c r="EQ187" s="1513"/>
      <c r="ER187" s="1513"/>
      <c r="ES187" s="1513"/>
      <c r="ET187" s="1513"/>
      <c r="EU187" s="1513"/>
      <c r="EV187" s="1513"/>
      <c r="EW187" s="1513"/>
      <c r="EX187" s="1513"/>
      <c r="EY187" s="1513"/>
      <c r="EZ187" s="1513"/>
      <c r="FA187" s="1513"/>
      <c r="FB187" s="1513"/>
      <c r="FC187" s="1513"/>
      <c r="FD187" s="1513"/>
      <c r="FE187" s="1513"/>
      <c r="FF187" s="1513"/>
      <c r="FG187" s="1513"/>
      <c r="FH187" s="1513"/>
      <c r="FI187" s="1513"/>
      <c r="FJ187" s="1513"/>
      <c r="FL187" s="1513"/>
    </row>
    <row r="188" spans="1:168" ht="17.100000000000001" customHeight="1" x14ac:dyDescent="0.15">
      <c r="A188" s="1513"/>
      <c r="B188" s="1282"/>
      <c r="C188" s="1282"/>
      <c r="D188" s="1282"/>
      <c r="E188" s="1282"/>
      <c r="F188" s="1282"/>
      <c r="G188" s="1282"/>
      <c r="H188" s="1282"/>
      <c r="I188" s="1282"/>
      <c r="J188" s="1282"/>
      <c r="K188" s="1282"/>
      <c r="L188" s="1282"/>
      <c r="M188" s="1282"/>
      <c r="N188" s="1282"/>
      <c r="O188" s="1282"/>
      <c r="P188" s="1282"/>
      <c r="Q188" s="1282"/>
      <c r="R188" s="1282"/>
      <c r="S188" s="1282"/>
      <c r="T188" s="1282"/>
      <c r="U188" s="1282"/>
      <c r="V188" s="1282"/>
      <c r="W188" s="1282"/>
      <c r="X188" s="1282"/>
      <c r="Y188" s="1282"/>
      <c r="Z188" s="1282"/>
      <c r="AA188" s="1282"/>
      <c r="AB188" s="1282"/>
      <c r="AC188" s="1282"/>
      <c r="AD188" s="1282"/>
      <c r="AE188" s="1282"/>
      <c r="AF188" s="1282"/>
      <c r="AG188" s="1282"/>
      <c r="AH188" s="1282"/>
      <c r="AI188" s="1282"/>
      <c r="AJ188" s="1282"/>
      <c r="AK188" s="1282"/>
      <c r="AL188" s="1282"/>
      <c r="AM188" s="1282"/>
      <c r="AN188" s="1282"/>
      <c r="AO188" s="1282"/>
      <c r="AP188" s="1282"/>
      <c r="AQ188" s="1282"/>
      <c r="AR188" s="1282"/>
      <c r="AS188" s="1282"/>
      <c r="AT188" s="1282"/>
      <c r="AU188" s="1282"/>
      <c r="AV188" s="1282"/>
      <c r="AW188" s="1282"/>
      <c r="AX188" s="1282"/>
      <c r="AY188" s="1282"/>
      <c r="AZ188" s="1282"/>
      <c r="BA188" s="1282"/>
      <c r="BB188" s="1282"/>
      <c r="BC188" s="1282"/>
      <c r="BD188" s="1282"/>
      <c r="BE188" s="1282"/>
      <c r="BF188" s="1282"/>
      <c r="BG188" s="1282"/>
      <c r="BH188" s="1282"/>
      <c r="BI188" s="1282"/>
      <c r="BJ188" s="1282"/>
      <c r="BK188" s="1282"/>
      <c r="BL188" s="1282"/>
      <c r="BM188" s="1282"/>
      <c r="BN188" s="1282"/>
      <c r="BO188" s="1282"/>
      <c r="BP188" s="1282"/>
      <c r="BQ188" s="1282"/>
      <c r="BR188" s="1282"/>
      <c r="BS188" s="1282"/>
      <c r="BT188" s="1282"/>
      <c r="BU188" s="1282"/>
      <c r="BV188" s="1282"/>
      <c r="BW188" s="1282"/>
      <c r="BX188" s="1282"/>
      <c r="BY188" s="1282"/>
      <c r="BZ188" s="1282"/>
      <c r="CA188" s="1513"/>
      <c r="CK188" s="1513"/>
      <c r="CL188" s="1513"/>
      <c r="CM188" s="1513"/>
      <c r="CN188" s="1513"/>
      <c r="CO188" s="1513"/>
      <c r="CP188" s="1513"/>
      <c r="CQ188" s="1513"/>
      <c r="CR188" s="1513"/>
      <c r="CS188" s="1513"/>
      <c r="CT188" s="1513"/>
      <c r="CU188" s="1513"/>
      <c r="CV188" s="1513"/>
      <c r="CW188" s="1513"/>
      <c r="CX188" s="1513"/>
      <c r="CY188" s="1513"/>
      <c r="CZ188" s="1513"/>
      <c r="DA188" s="1513"/>
      <c r="DB188" s="1513"/>
      <c r="DC188" s="1513"/>
      <c r="DD188" s="1513"/>
      <c r="DE188" s="1513"/>
      <c r="DF188" s="1513"/>
      <c r="DG188" s="1513"/>
      <c r="DH188" s="1513"/>
      <c r="DI188" s="1513"/>
      <c r="DJ188" s="1513"/>
      <c r="DK188" s="1513"/>
      <c r="DL188" s="1513"/>
      <c r="DM188" s="1513"/>
      <c r="DN188" s="1513"/>
      <c r="DO188" s="1513"/>
      <c r="DP188" s="1513"/>
      <c r="DQ188" s="1513"/>
      <c r="DR188" s="1513"/>
      <c r="DS188" s="1513"/>
      <c r="DT188" s="1513"/>
      <c r="DU188" s="1513"/>
      <c r="DV188" s="1513"/>
      <c r="DW188" s="1513"/>
      <c r="DX188" s="1513"/>
      <c r="DY188" s="1513"/>
      <c r="DZ188" s="1513"/>
      <c r="EA188" s="1513"/>
      <c r="EB188" s="1513"/>
      <c r="EC188" s="1513"/>
      <c r="ED188" s="1513"/>
      <c r="EE188" s="1513"/>
      <c r="EF188" s="1513"/>
      <c r="EG188" s="1513"/>
      <c r="EH188" s="1513"/>
      <c r="EI188" s="1513"/>
      <c r="EJ188" s="1513"/>
      <c r="EK188" s="1513"/>
      <c r="EL188" s="1513"/>
      <c r="EM188" s="1513"/>
      <c r="EN188" s="1513"/>
      <c r="EO188" s="1513"/>
      <c r="EP188" s="1513"/>
      <c r="EQ188" s="1513"/>
      <c r="ER188" s="1513"/>
      <c r="ES188" s="1513"/>
      <c r="ET188" s="1513"/>
      <c r="EU188" s="1513"/>
      <c r="EV188" s="1513"/>
      <c r="EW188" s="1513"/>
      <c r="EX188" s="1513"/>
      <c r="EY188" s="1513"/>
      <c r="EZ188" s="1513"/>
      <c r="FA188" s="1513"/>
      <c r="FB188" s="1513"/>
      <c r="FC188" s="1513"/>
      <c r="FD188" s="1513"/>
      <c r="FE188" s="1513"/>
      <c r="FF188" s="1513"/>
      <c r="FG188" s="1513"/>
      <c r="FH188" s="1513"/>
      <c r="FI188" s="1513"/>
      <c r="FJ188" s="1513"/>
      <c r="FL188" s="1513"/>
    </row>
    <row r="189" spans="1:168" ht="17.100000000000001" customHeight="1" x14ac:dyDescent="0.15">
      <c r="A189" s="1513"/>
      <c r="B189" s="1282"/>
      <c r="C189" s="1282"/>
      <c r="D189" s="1282"/>
      <c r="E189" s="1282"/>
      <c r="F189" s="1282"/>
      <c r="G189" s="1282"/>
      <c r="H189" s="1282"/>
      <c r="I189" s="1282"/>
      <c r="J189" s="1282"/>
      <c r="K189" s="1282"/>
      <c r="L189" s="1282"/>
      <c r="M189" s="1282"/>
      <c r="N189" s="1282"/>
      <c r="O189" s="1282"/>
      <c r="P189" s="1282"/>
      <c r="Q189" s="1282"/>
      <c r="R189" s="1282"/>
      <c r="S189" s="1282"/>
      <c r="T189" s="1282"/>
      <c r="U189" s="1282"/>
      <c r="V189" s="1282"/>
      <c r="W189" s="1282"/>
      <c r="X189" s="1282"/>
      <c r="Y189" s="1282"/>
      <c r="Z189" s="1282"/>
      <c r="AA189" s="1282"/>
      <c r="AB189" s="1282"/>
      <c r="AC189" s="1282"/>
      <c r="AD189" s="1282"/>
      <c r="AE189" s="1282"/>
      <c r="AF189" s="1282"/>
      <c r="AG189" s="1282"/>
      <c r="AH189" s="1282"/>
      <c r="AI189" s="1282"/>
      <c r="AJ189" s="1282"/>
      <c r="AK189" s="1282"/>
      <c r="AL189" s="1282"/>
      <c r="AM189" s="1282"/>
      <c r="AN189" s="1282"/>
      <c r="AO189" s="1282"/>
      <c r="AP189" s="1282"/>
      <c r="AQ189" s="1282"/>
      <c r="AR189" s="1282"/>
      <c r="AS189" s="1282"/>
      <c r="AT189" s="1282"/>
      <c r="AU189" s="1282"/>
      <c r="AV189" s="1282"/>
      <c r="AW189" s="1282"/>
      <c r="AX189" s="1282"/>
      <c r="AY189" s="1282"/>
      <c r="AZ189" s="1282"/>
      <c r="BA189" s="1282"/>
      <c r="BB189" s="1282"/>
      <c r="BC189" s="1282"/>
      <c r="BD189" s="1282"/>
      <c r="BE189" s="1282"/>
      <c r="BF189" s="1282"/>
      <c r="BG189" s="1282"/>
      <c r="BH189" s="1282"/>
      <c r="BI189" s="1282"/>
      <c r="BJ189" s="1282"/>
      <c r="BK189" s="1282"/>
      <c r="BL189" s="1282"/>
      <c r="BM189" s="1282"/>
      <c r="BN189" s="1282"/>
      <c r="BO189" s="1282"/>
      <c r="BP189" s="1282"/>
      <c r="BQ189" s="1282"/>
      <c r="BR189" s="1282"/>
      <c r="BS189" s="1282"/>
      <c r="BT189" s="1282"/>
      <c r="BU189" s="1282"/>
      <c r="BV189" s="1282"/>
      <c r="BW189" s="1282"/>
      <c r="BX189" s="1282"/>
      <c r="BY189" s="1282"/>
      <c r="BZ189" s="1282"/>
      <c r="CA189" s="1513"/>
      <c r="CK189" s="1513"/>
      <c r="CL189" s="1513"/>
      <c r="CM189" s="1513"/>
      <c r="CN189" s="1513"/>
      <c r="CO189" s="1513"/>
      <c r="CP189" s="1513"/>
      <c r="CQ189" s="1513"/>
      <c r="CR189" s="1513"/>
      <c r="CS189" s="1513"/>
      <c r="CT189" s="1513"/>
      <c r="CU189" s="1513"/>
      <c r="CV189" s="1513"/>
      <c r="CW189" s="1513"/>
      <c r="CX189" s="1513"/>
      <c r="CY189" s="1513"/>
      <c r="CZ189" s="1513"/>
      <c r="DA189" s="1513"/>
      <c r="DB189" s="1513"/>
      <c r="DC189" s="1513"/>
      <c r="DD189" s="1513"/>
      <c r="DE189" s="1513"/>
      <c r="DF189" s="1513"/>
      <c r="DG189" s="1513"/>
      <c r="DH189" s="1513"/>
      <c r="DI189" s="1513"/>
      <c r="DJ189" s="1513"/>
      <c r="DK189" s="1513"/>
      <c r="DL189" s="1513"/>
      <c r="DM189" s="1513"/>
      <c r="DN189" s="1513"/>
      <c r="DO189" s="1513"/>
      <c r="DP189" s="1513"/>
      <c r="DQ189" s="1513"/>
      <c r="DR189" s="1513"/>
      <c r="DS189" s="1513"/>
      <c r="DT189" s="1513"/>
      <c r="DU189" s="1513"/>
      <c r="DV189" s="1513"/>
      <c r="DW189" s="1513"/>
      <c r="DX189" s="1513"/>
      <c r="DY189" s="1513"/>
      <c r="DZ189" s="1513"/>
      <c r="EA189" s="1513"/>
      <c r="EB189" s="1513"/>
      <c r="EC189" s="1513"/>
      <c r="ED189" s="1513"/>
      <c r="EE189" s="1513"/>
      <c r="EF189" s="1513"/>
      <c r="EG189" s="1513"/>
      <c r="EH189" s="1513"/>
      <c r="EI189" s="1513"/>
      <c r="EJ189" s="1513"/>
      <c r="EK189" s="1513"/>
      <c r="EL189" s="1513"/>
      <c r="EM189" s="1513"/>
      <c r="EN189" s="1513"/>
      <c r="EO189" s="1513"/>
      <c r="EP189" s="1513"/>
      <c r="EQ189" s="1513"/>
      <c r="ER189" s="1513"/>
      <c r="ES189" s="1513"/>
      <c r="ET189" s="1513"/>
      <c r="EU189" s="1513"/>
      <c r="EV189" s="1513"/>
      <c r="EW189" s="1513"/>
      <c r="EX189" s="1513"/>
      <c r="EY189" s="1513"/>
      <c r="EZ189" s="1513"/>
      <c r="FA189" s="1513"/>
      <c r="FB189" s="1513"/>
      <c r="FC189" s="1513"/>
      <c r="FD189" s="1513"/>
      <c r="FE189" s="1513"/>
      <c r="FF189" s="1513"/>
      <c r="FG189" s="1513"/>
      <c r="FH189" s="1513"/>
      <c r="FI189" s="1513"/>
      <c r="FJ189" s="1513"/>
      <c r="FL189" s="1513"/>
    </row>
    <row r="190" spans="1:168" ht="17.100000000000001" customHeight="1" x14ac:dyDescent="0.15">
      <c r="A190" s="1513"/>
      <c r="B190" s="1282"/>
      <c r="C190" s="1282"/>
      <c r="D190" s="1282"/>
      <c r="E190" s="1282"/>
      <c r="F190" s="1282"/>
      <c r="G190" s="1282"/>
      <c r="H190" s="1282"/>
      <c r="I190" s="1282"/>
      <c r="J190" s="1282"/>
      <c r="K190" s="1282"/>
      <c r="L190" s="1282"/>
      <c r="M190" s="1282"/>
      <c r="N190" s="1282"/>
      <c r="O190" s="1282"/>
      <c r="P190" s="1282"/>
      <c r="Q190" s="1282"/>
      <c r="R190" s="1282"/>
      <c r="S190" s="1282"/>
      <c r="T190" s="1282"/>
      <c r="U190" s="1282"/>
      <c r="V190" s="1282"/>
      <c r="W190" s="1282"/>
      <c r="X190" s="1282"/>
      <c r="Y190" s="1282"/>
      <c r="Z190" s="1282"/>
      <c r="AA190" s="1282"/>
      <c r="AB190" s="1282"/>
      <c r="AC190" s="1282"/>
      <c r="AD190" s="1282"/>
      <c r="AE190" s="1282"/>
      <c r="AF190" s="1282"/>
      <c r="AG190" s="1282"/>
      <c r="AH190" s="1282"/>
      <c r="AI190" s="1282"/>
      <c r="AJ190" s="1282"/>
      <c r="AK190" s="1282"/>
      <c r="AL190" s="1282"/>
      <c r="AM190" s="1282"/>
      <c r="AN190" s="1282"/>
      <c r="AO190" s="1282"/>
      <c r="AP190" s="1282"/>
      <c r="AQ190" s="1282"/>
      <c r="AR190" s="1282"/>
      <c r="AS190" s="1282"/>
      <c r="AT190" s="1282"/>
      <c r="AU190" s="1282"/>
      <c r="AV190" s="1282"/>
      <c r="AW190" s="1282"/>
      <c r="AX190" s="1282"/>
      <c r="AY190" s="1282"/>
      <c r="AZ190" s="1282"/>
      <c r="BA190" s="1282"/>
      <c r="BB190" s="1282"/>
      <c r="BC190" s="1282"/>
      <c r="BD190" s="1282"/>
      <c r="BE190" s="1282"/>
      <c r="BF190" s="1282"/>
      <c r="BG190" s="1282"/>
      <c r="BH190" s="1282"/>
      <c r="BI190" s="1282"/>
      <c r="BJ190" s="1282"/>
      <c r="BK190" s="1282"/>
      <c r="BL190" s="1282"/>
      <c r="BM190" s="1282"/>
      <c r="BN190" s="1282"/>
      <c r="BO190" s="1282"/>
      <c r="BP190" s="1282"/>
      <c r="BQ190" s="1282"/>
      <c r="BR190" s="1282"/>
      <c r="BS190" s="1282"/>
      <c r="BT190" s="1282"/>
      <c r="BU190" s="1282"/>
      <c r="BV190" s="1282"/>
      <c r="BW190" s="1282"/>
      <c r="BX190" s="1282"/>
      <c r="BY190" s="1282"/>
      <c r="BZ190" s="1282"/>
      <c r="CA190" s="1513"/>
      <c r="CK190" s="1513"/>
      <c r="CL190" s="1513"/>
      <c r="CM190" s="1513"/>
      <c r="CN190" s="1513"/>
      <c r="CO190" s="1513"/>
      <c r="CP190" s="1513"/>
      <c r="CQ190" s="1513"/>
      <c r="CR190" s="1513"/>
      <c r="CS190" s="1513"/>
      <c r="CT190" s="1513"/>
      <c r="CU190" s="1513"/>
      <c r="CV190" s="1513"/>
      <c r="CW190" s="1513"/>
      <c r="CX190" s="1513"/>
      <c r="CY190" s="1513"/>
      <c r="CZ190" s="1513"/>
      <c r="DA190" s="1513"/>
      <c r="DB190" s="1513"/>
      <c r="DC190" s="1513"/>
      <c r="DD190" s="1513"/>
      <c r="DE190" s="1513"/>
      <c r="DF190" s="1513"/>
      <c r="DG190" s="1513"/>
      <c r="DH190" s="1513"/>
      <c r="DI190" s="1513"/>
      <c r="DJ190" s="1513"/>
      <c r="DK190" s="1513"/>
      <c r="DL190" s="1513"/>
      <c r="DM190" s="1513"/>
      <c r="DN190" s="1513"/>
      <c r="DO190" s="1513"/>
      <c r="DP190" s="1513"/>
      <c r="DQ190" s="1513"/>
      <c r="DR190" s="1513"/>
      <c r="DS190" s="1513"/>
      <c r="DT190" s="1513"/>
      <c r="DU190" s="1513"/>
      <c r="DV190" s="1513"/>
      <c r="DW190" s="1513"/>
      <c r="DX190" s="1513"/>
      <c r="DY190" s="1513"/>
      <c r="DZ190" s="1513"/>
      <c r="EA190" s="1513"/>
      <c r="EB190" s="1513"/>
      <c r="EC190" s="1513"/>
      <c r="ED190" s="1513"/>
      <c r="EE190" s="1513"/>
      <c r="EF190" s="1513"/>
      <c r="EG190" s="1513"/>
      <c r="EH190" s="1513"/>
      <c r="EI190" s="1513"/>
      <c r="EJ190" s="1513"/>
      <c r="EK190" s="1513"/>
      <c r="EL190" s="1513"/>
      <c r="EM190" s="1513"/>
      <c r="EN190" s="1513"/>
      <c r="EO190" s="1513"/>
      <c r="EP190" s="1513"/>
      <c r="EQ190" s="1513"/>
      <c r="ER190" s="1513"/>
      <c r="ES190" s="1513"/>
      <c r="ET190" s="1513"/>
      <c r="EU190" s="1513"/>
      <c r="EV190" s="1513"/>
      <c r="EW190" s="1513"/>
      <c r="EX190" s="1513"/>
      <c r="EY190" s="1513"/>
      <c r="EZ190" s="1513"/>
      <c r="FA190" s="1513"/>
      <c r="FB190" s="1513"/>
      <c r="FC190" s="1513"/>
      <c r="FD190" s="1513"/>
      <c r="FE190" s="1513"/>
      <c r="FF190" s="1513"/>
      <c r="FG190" s="1513"/>
      <c r="FH190" s="1513"/>
      <c r="FI190" s="1513"/>
      <c r="FJ190" s="1513"/>
      <c r="FL190" s="1513"/>
    </row>
    <row r="191" spans="1:168" ht="17.100000000000001" customHeight="1" x14ac:dyDescent="0.15">
      <c r="A191" s="1513"/>
      <c r="B191" s="1282"/>
      <c r="C191" s="1282"/>
      <c r="D191" s="1282"/>
      <c r="E191" s="1282"/>
      <c r="F191" s="1282"/>
      <c r="G191" s="1282"/>
      <c r="H191" s="1282"/>
      <c r="I191" s="1282"/>
      <c r="J191" s="1282"/>
      <c r="K191" s="1282"/>
      <c r="L191" s="1282"/>
      <c r="M191" s="1282"/>
      <c r="N191" s="1282"/>
      <c r="O191" s="1282"/>
      <c r="P191" s="1282"/>
      <c r="Q191" s="1282"/>
      <c r="R191" s="1282"/>
      <c r="S191" s="1282"/>
      <c r="T191" s="1282"/>
      <c r="U191" s="1282"/>
      <c r="V191" s="1282"/>
      <c r="W191" s="1282"/>
      <c r="X191" s="1282"/>
      <c r="Y191" s="1282"/>
      <c r="Z191" s="1282"/>
      <c r="AA191" s="1282"/>
      <c r="AB191" s="1282"/>
      <c r="AC191" s="1282"/>
      <c r="AD191" s="1282"/>
      <c r="AE191" s="1282"/>
      <c r="AF191" s="1282"/>
      <c r="AG191" s="1282"/>
      <c r="AH191" s="1282"/>
      <c r="AI191" s="1282"/>
      <c r="AJ191" s="1282"/>
      <c r="AK191" s="1282"/>
      <c r="AL191" s="1282"/>
      <c r="AM191" s="1282"/>
      <c r="AN191" s="1282"/>
      <c r="AO191" s="1282"/>
      <c r="AP191" s="1282"/>
      <c r="AQ191" s="1282"/>
      <c r="AR191" s="1282"/>
      <c r="AS191" s="1282"/>
      <c r="AT191" s="1282"/>
      <c r="AU191" s="1282"/>
      <c r="AV191" s="1282"/>
      <c r="AW191" s="1282"/>
      <c r="AX191" s="1282"/>
      <c r="AY191" s="1282"/>
      <c r="AZ191" s="1282"/>
      <c r="BA191" s="1282"/>
      <c r="BB191" s="1282"/>
      <c r="BC191" s="1282"/>
      <c r="BD191" s="1282"/>
      <c r="BE191" s="1282"/>
      <c r="BF191" s="1282"/>
      <c r="BG191" s="1282"/>
      <c r="BH191" s="1282"/>
      <c r="BI191" s="1282"/>
      <c r="BJ191" s="1282"/>
      <c r="BK191" s="1282"/>
      <c r="BL191" s="1282"/>
      <c r="BM191" s="1282"/>
      <c r="BN191" s="1282"/>
      <c r="BO191" s="1282"/>
      <c r="BP191" s="1282"/>
      <c r="BQ191" s="1282"/>
      <c r="BR191" s="1282"/>
      <c r="BS191" s="1282"/>
      <c r="BT191" s="1282"/>
      <c r="BU191" s="1282"/>
      <c r="BV191" s="1282"/>
      <c r="BW191" s="1282"/>
      <c r="BX191" s="1282"/>
      <c r="BY191" s="1282"/>
      <c r="BZ191" s="1282"/>
      <c r="CA191" s="1513"/>
      <c r="CK191" s="1513"/>
      <c r="CL191" s="1513"/>
      <c r="CM191" s="1513"/>
      <c r="CN191" s="1513"/>
      <c r="CO191" s="1513"/>
      <c r="CP191" s="1513"/>
      <c r="CQ191" s="1513"/>
      <c r="CR191" s="1513"/>
      <c r="CS191" s="1513"/>
      <c r="CT191" s="1513"/>
      <c r="CU191" s="1513"/>
      <c r="CV191" s="1513"/>
      <c r="CW191" s="1513"/>
      <c r="CX191" s="1513"/>
      <c r="CY191" s="1513"/>
      <c r="CZ191" s="1513"/>
      <c r="DA191" s="1513"/>
      <c r="DB191" s="1513"/>
      <c r="DC191" s="1513"/>
      <c r="DD191" s="1513"/>
      <c r="DE191" s="1513"/>
      <c r="DF191" s="1513"/>
      <c r="DG191" s="1513"/>
      <c r="DH191" s="1513"/>
      <c r="DI191" s="1513"/>
      <c r="DJ191" s="1513"/>
      <c r="DK191" s="1513"/>
      <c r="DL191" s="1513"/>
      <c r="DM191" s="1513"/>
      <c r="DN191" s="1513"/>
      <c r="DO191" s="1513"/>
      <c r="DP191" s="1513"/>
      <c r="DQ191" s="1513"/>
      <c r="DR191" s="1513"/>
      <c r="DS191" s="1513"/>
      <c r="DT191" s="1513"/>
      <c r="DU191" s="1513"/>
      <c r="DV191" s="1513"/>
      <c r="DW191" s="1513"/>
      <c r="DX191" s="1513"/>
      <c r="DY191" s="1513"/>
      <c r="DZ191" s="1513"/>
      <c r="EA191" s="1513"/>
      <c r="EB191" s="1513"/>
      <c r="EC191" s="1513"/>
      <c r="ED191" s="1513"/>
      <c r="EE191" s="1513"/>
      <c r="EF191" s="1513"/>
      <c r="EG191" s="1513"/>
      <c r="EH191" s="1513"/>
      <c r="EI191" s="1513"/>
      <c r="EJ191" s="1513"/>
      <c r="EK191" s="1513"/>
      <c r="EL191" s="1513"/>
      <c r="EM191" s="1513"/>
      <c r="EN191" s="1513"/>
      <c r="EO191" s="1513"/>
      <c r="EP191" s="1513"/>
      <c r="EQ191" s="1513"/>
      <c r="ER191" s="1513"/>
      <c r="ES191" s="1513"/>
      <c r="ET191" s="1513"/>
      <c r="EU191" s="1513"/>
      <c r="EV191" s="1513"/>
      <c r="EW191" s="1513"/>
      <c r="EX191" s="1513"/>
      <c r="EY191" s="1513"/>
      <c r="EZ191" s="1513"/>
      <c r="FA191" s="1513"/>
      <c r="FB191" s="1513"/>
      <c r="FC191" s="1513"/>
      <c r="FD191" s="1513"/>
      <c r="FE191" s="1513"/>
      <c r="FF191" s="1513"/>
      <c r="FG191" s="1513"/>
      <c r="FH191" s="1513"/>
      <c r="FI191" s="1513"/>
      <c r="FJ191" s="1513"/>
      <c r="FL191" s="1513"/>
    </row>
    <row r="192" spans="1:168" ht="17.100000000000001" customHeight="1" x14ac:dyDescent="0.15">
      <c r="A192" s="1513"/>
      <c r="B192" s="1282"/>
      <c r="C192" s="1282"/>
      <c r="D192" s="1282"/>
      <c r="E192" s="1282"/>
      <c r="F192" s="1282"/>
      <c r="G192" s="1282"/>
      <c r="H192" s="1282"/>
      <c r="I192" s="1282"/>
      <c r="J192" s="1282"/>
      <c r="K192" s="1282"/>
      <c r="L192" s="1282"/>
      <c r="M192" s="1282"/>
      <c r="N192" s="1282"/>
      <c r="O192" s="1282"/>
      <c r="P192" s="1282"/>
      <c r="Q192" s="1282"/>
      <c r="R192" s="1282"/>
      <c r="S192" s="1282"/>
      <c r="T192" s="1282"/>
      <c r="U192" s="1282"/>
      <c r="V192" s="1282"/>
      <c r="W192" s="1282"/>
      <c r="X192" s="1282"/>
      <c r="Y192" s="1282"/>
      <c r="Z192" s="1282"/>
      <c r="AA192" s="1282"/>
      <c r="AB192" s="1282"/>
      <c r="AC192" s="1282"/>
      <c r="AD192" s="1282"/>
      <c r="AE192" s="1282"/>
      <c r="AF192" s="1282"/>
      <c r="AG192" s="1282"/>
      <c r="AH192" s="1282"/>
      <c r="AI192" s="1282"/>
      <c r="AJ192" s="1282"/>
      <c r="AK192" s="1282"/>
      <c r="AL192" s="1282"/>
      <c r="AM192" s="1282"/>
      <c r="AN192" s="1282"/>
      <c r="AO192" s="1282"/>
      <c r="AP192" s="1282"/>
      <c r="AQ192" s="1282"/>
      <c r="AR192" s="1282"/>
      <c r="AS192" s="1282"/>
      <c r="AT192" s="1282"/>
      <c r="AU192" s="1282"/>
      <c r="AV192" s="1282"/>
      <c r="AW192" s="1282"/>
      <c r="AX192" s="1282"/>
      <c r="AY192" s="1282"/>
      <c r="AZ192" s="1282"/>
      <c r="BA192" s="1282"/>
      <c r="BB192" s="1282"/>
      <c r="BC192" s="1282"/>
      <c r="BD192" s="1282"/>
      <c r="BE192" s="1282"/>
      <c r="BF192" s="1282"/>
      <c r="BG192" s="1282"/>
      <c r="BH192" s="1282"/>
      <c r="BI192" s="1282"/>
      <c r="BJ192" s="1282"/>
      <c r="BK192" s="1282"/>
      <c r="BL192" s="1282"/>
      <c r="BM192" s="1282"/>
      <c r="BN192" s="1282"/>
      <c r="BO192" s="1282"/>
      <c r="BP192" s="1282"/>
      <c r="BQ192" s="1282"/>
      <c r="BR192" s="1282"/>
      <c r="BS192" s="1282"/>
      <c r="BT192" s="1282"/>
      <c r="BU192" s="1282"/>
      <c r="BV192" s="1282"/>
      <c r="BW192" s="1282"/>
      <c r="BX192" s="1282"/>
      <c r="BY192" s="1282"/>
      <c r="BZ192" s="1282"/>
      <c r="CA192" s="1513"/>
      <c r="CK192" s="1513"/>
      <c r="CL192" s="1513"/>
      <c r="CM192" s="1513"/>
      <c r="CN192" s="1513"/>
      <c r="CO192" s="1513"/>
      <c r="CP192" s="1513"/>
      <c r="CQ192" s="1513"/>
      <c r="CR192" s="1513"/>
      <c r="CS192" s="1513"/>
      <c r="CT192" s="1513"/>
      <c r="CU192" s="1513"/>
      <c r="CV192" s="1513"/>
      <c r="CW192" s="1513"/>
      <c r="CX192" s="1513"/>
      <c r="CY192" s="1513"/>
      <c r="CZ192" s="1513"/>
      <c r="DA192" s="1513"/>
      <c r="DB192" s="1513"/>
      <c r="DC192" s="1513"/>
      <c r="DD192" s="1513"/>
      <c r="DE192" s="1513"/>
      <c r="DF192" s="1513"/>
      <c r="DG192" s="1513"/>
      <c r="DH192" s="1513"/>
      <c r="DI192" s="1513"/>
      <c r="DJ192" s="1513"/>
      <c r="DK192" s="1513"/>
      <c r="DL192" s="1513"/>
      <c r="DM192" s="1513"/>
      <c r="DN192" s="1513"/>
      <c r="DO192" s="1513"/>
      <c r="DP192" s="1513"/>
      <c r="DQ192" s="1513"/>
      <c r="DR192" s="1513"/>
      <c r="DS192" s="1513"/>
      <c r="DT192" s="1513"/>
      <c r="DU192" s="1513"/>
      <c r="DV192" s="1513"/>
      <c r="DW192" s="1513"/>
      <c r="DX192" s="1513"/>
      <c r="DY192" s="1513"/>
      <c r="DZ192" s="1513"/>
      <c r="EA192" s="1513"/>
      <c r="EB192" s="1513"/>
      <c r="EC192" s="1513"/>
      <c r="ED192" s="1513"/>
      <c r="EE192" s="1513"/>
      <c r="EF192" s="1513"/>
      <c r="EG192" s="1513"/>
      <c r="EH192" s="1513"/>
      <c r="EI192" s="1513"/>
      <c r="EJ192" s="1513"/>
      <c r="EK192" s="1513"/>
      <c r="EL192" s="1513"/>
      <c r="EM192" s="1513"/>
      <c r="EN192" s="1513"/>
      <c r="EO192" s="1513"/>
      <c r="EP192" s="1513"/>
      <c r="EQ192" s="1513"/>
      <c r="ER192" s="1513"/>
      <c r="ES192" s="1513"/>
      <c r="ET192" s="1513"/>
      <c r="EU192" s="1513"/>
      <c r="EV192" s="1513"/>
      <c r="EW192" s="1513"/>
      <c r="EX192" s="1513"/>
      <c r="EY192" s="1513"/>
      <c r="EZ192" s="1513"/>
      <c r="FA192" s="1513"/>
      <c r="FB192" s="1513"/>
      <c r="FC192" s="1513"/>
      <c r="FD192" s="1513"/>
      <c r="FE192" s="1513"/>
      <c r="FF192" s="1513"/>
      <c r="FG192" s="1513"/>
      <c r="FH192" s="1513"/>
      <c r="FI192" s="1513"/>
      <c r="FJ192" s="1513"/>
      <c r="FL192" s="1513"/>
    </row>
    <row r="193" spans="1:168" ht="17.100000000000001" customHeight="1" x14ac:dyDescent="0.15">
      <c r="A193" s="1513"/>
      <c r="B193" s="1282"/>
      <c r="C193" s="1282"/>
      <c r="D193" s="1282"/>
      <c r="E193" s="1282"/>
      <c r="F193" s="1282"/>
      <c r="G193" s="1282"/>
      <c r="H193" s="1282"/>
      <c r="I193" s="1282"/>
      <c r="J193" s="1282"/>
      <c r="K193" s="1282"/>
      <c r="L193" s="1282"/>
      <c r="M193" s="1282"/>
      <c r="N193" s="1282"/>
      <c r="O193" s="1282"/>
      <c r="P193" s="1282"/>
      <c r="Q193" s="1282"/>
      <c r="R193" s="1282"/>
      <c r="S193" s="1282"/>
      <c r="T193" s="1282"/>
      <c r="U193" s="1282"/>
      <c r="V193" s="1282"/>
      <c r="W193" s="1282"/>
      <c r="X193" s="1282"/>
      <c r="Y193" s="1282"/>
      <c r="Z193" s="1282"/>
      <c r="AA193" s="1282"/>
      <c r="AB193" s="1282"/>
      <c r="AC193" s="1282"/>
      <c r="AD193" s="1282"/>
      <c r="AE193" s="1282"/>
      <c r="AF193" s="1282"/>
      <c r="AG193" s="1282"/>
      <c r="AH193" s="1282"/>
      <c r="AI193" s="1282"/>
      <c r="AJ193" s="1282"/>
      <c r="AK193" s="1282"/>
      <c r="AL193" s="1282"/>
      <c r="AM193" s="1282"/>
      <c r="AN193" s="1282"/>
      <c r="AO193" s="1282"/>
      <c r="AP193" s="1282"/>
      <c r="AQ193" s="1282"/>
      <c r="AR193" s="1282"/>
      <c r="AS193" s="1282"/>
      <c r="AT193" s="1282"/>
      <c r="AU193" s="1282"/>
      <c r="AV193" s="1282"/>
      <c r="AW193" s="1282"/>
      <c r="AX193" s="1282"/>
      <c r="AY193" s="1282"/>
      <c r="AZ193" s="1282"/>
      <c r="BA193" s="1282"/>
      <c r="BB193" s="1282"/>
      <c r="BC193" s="1282"/>
      <c r="BD193" s="1282"/>
      <c r="BE193" s="1282"/>
      <c r="BF193" s="1282"/>
      <c r="BG193" s="1282"/>
      <c r="BH193" s="1282"/>
      <c r="BI193" s="1282"/>
      <c r="BJ193" s="1282"/>
      <c r="BK193" s="1282"/>
      <c r="BL193" s="1282"/>
      <c r="BM193" s="1282"/>
      <c r="BN193" s="1282"/>
      <c r="BO193" s="1282"/>
      <c r="BP193" s="1282"/>
      <c r="BQ193" s="1282"/>
      <c r="BR193" s="1282"/>
      <c r="BS193" s="1282"/>
      <c r="BT193" s="1282"/>
      <c r="BU193" s="1282"/>
      <c r="BV193" s="1282"/>
      <c r="BW193" s="1282"/>
      <c r="BX193" s="1282"/>
      <c r="BY193" s="1282"/>
      <c r="BZ193" s="1282"/>
      <c r="CA193" s="1513"/>
      <c r="CK193" s="1513"/>
      <c r="CL193" s="1513"/>
      <c r="CM193" s="1513"/>
      <c r="CN193" s="1513"/>
      <c r="CO193" s="1513"/>
      <c r="CP193" s="1513"/>
      <c r="CQ193" s="1513"/>
      <c r="CR193" s="1513"/>
      <c r="CS193" s="1513"/>
      <c r="CT193" s="1513"/>
      <c r="CU193" s="1513"/>
      <c r="CV193" s="1513"/>
      <c r="CW193" s="1513"/>
      <c r="CX193" s="1513"/>
      <c r="CY193" s="1513"/>
      <c r="CZ193" s="1513"/>
      <c r="DA193" s="1513"/>
      <c r="DB193" s="1513"/>
      <c r="DC193" s="1513"/>
      <c r="DD193" s="1513"/>
      <c r="DE193" s="1513"/>
      <c r="DF193" s="1513"/>
      <c r="DG193" s="1513"/>
      <c r="DH193" s="1513"/>
      <c r="DI193" s="1513"/>
      <c r="DJ193" s="1513"/>
      <c r="DK193" s="1513"/>
      <c r="DL193" s="1513"/>
      <c r="DM193" s="1513"/>
      <c r="DN193" s="1513"/>
      <c r="DO193" s="1513"/>
      <c r="DP193" s="1513"/>
      <c r="DQ193" s="1513"/>
      <c r="DR193" s="1513"/>
      <c r="DS193" s="1513"/>
      <c r="DT193" s="1513"/>
      <c r="DU193" s="1513"/>
      <c r="DV193" s="1513"/>
      <c r="DW193" s="1513"/>
      <c r="DX193" s="1513"/>
      <c r="DY193" s="1513"/>
      <c r="DZ193" s="1513"/>
      <c r="EA193" s="1513"/>
      <c r="EB193" s="1513"/>
      <c r="EC193" s="1513"/>
      <c r="ED193" s="1513"/>
      <c r="EE193" s="1513"/>
      <c r="EF193" s="1513"/>
      <c r="EG193" s="1513"/>
      <c r="EH193" s="1513"/>
      <c r="EI193" s="1513"/>
      <c r="EJ193" s="1513"/>
      <c r="EK193" s="1513"/>
      <c r="EL193" s="1513"/>
      <c r="EM193" s="1513"/>
      <c r="EN193" s="1513"/>
      <c r="EO193" s="1513"/>
      <c r="EP193" s="1513"/>
      <c r="EQ193" s="1513"/>
      <c r="ER193" s="1513"/>
      <c r="ES193" s="1513"/>
      <c r="ET193" s="1513"/>
      <c r="EU193" s="1513"/>
      <c r="EV193" s="1513"/>
      <c r="EW193" s="1513"/>
      <c r="EX193" s="1513"/>
      <c r="EY193" s="1513"/>
      <c r="EZ193" s="1513"/>
      <c r="FA193" s="1513"/>
      <c r="FB193" s="1513"/>
      <c r="FC193" s="1513"/>
      <c r="FD193" s="1513"/>
      <c r="FE193" s="1513"/>
      <c r="FF193" s="1513"/>
      <c r="FG193" s="1513"/>
      <c r="FH193" s="1513"/>
      <c r="FI193" s="1513"/>
      <c r="FJ193" s="1513"/>
      <c r="FL193" s="1513"/>
    </row>
    <row r="194" spans="1:168" ht="17.100000000000001" customHeight="1" x14ac:dyDescent="0.15">
      <c r="A194" s="1513"/>
      <c r="B194" s="1282"/>
      <c r="C194" s="1282"/>
      <c r="D194" s="1282"/>
      <c r="E194" s="1282"/>
      <c r="F194" s="1282"/>
      <c r="G194" s="1282"/>
      <c r="H194" s="1282"/>
      <c r="I194" s="1282"/>
      <c r="J194" s="1282"/>
      <c r="K194" s="1282"/>
      <c r="L194" s="1282"/>
      <c r="M194" s="1282"/>
      <c r="N194" s="1282"/>
      <c r="O194" s="1282"/>
      <c r="P194" s="1282"/>
      <c r="Q194" s="1282"/>
      <c r="R194" s="1282"/>
      <c r="S194" s="1282"/>
      <c r="T194" s="1282"/>
      <c r="U194" s="1282"/>
      <c r="V194" s="1282"/>
      <c r="W194" s="1282"/>
      <c r="X194" s="1282"/>
      <c r="Y194" s="1282"/>
      <c r="Z194" s="1282"/>
      <c r="AA194" s="1282"/>
      <c r="AB194" s="1282"/>
      <c r="AC194" s="1282"/>
      <c r="AD194" s="1282"/>
      <c r="AE194" s="1282"/>
      <c r="AF194" s="1282"/>
      <c r="AG194" s="1282"/>
      <c r="AH194" s="1282"/>
      <c r="AI194" s="1282"/>
      <c r="AJ194" s="1282"/>
      <c r="AK194" s="1282"/>
      <c r="AL194" s="1282"/>
      <c r="AM194" s="1282"/>
      <c r="AN194" s="1282"/>
      <c r="AO194" s="1282"/>
      <c r="AP194" s="1282"/>
      <c r="AQ194" s="1282"/>
      <c r="AR194" s="1282"/>
      <c r="AS194" s="1282"/>
      <c r="AT194" s="1282"/>
      <c r="AU194" s="1282"/>
      <c r="AV194" s="1282"/>
      <c r="AW194" s="1282"/>
      <c r="AX194" s="1282"/>
      <c r="AY194" s="1282"/>
      <c r="AZ194" s="1282"/>
      <c r="BA194" s="1282"/>
      <c r="BB194" s="1282"/>
      <c r="BC194" s="1282"/>
      <c r="BD194" s="1282"/>
      <c r="BE194" s="1282"/>
      <c r="BF194" s="1282"/>
      <c r="BG194" s="1282"/>
      <c r="BH194" s="1282"/>
      <c r="BI194" s="1282"/>
      <c r="BJ194" s="1282"/>
      <c r="BK194" s="1282"/>
      <c r="BL194" s="1282"/>
      <c r="BM194" s="1282"/>
      <c r="BN194" s="1282"/>
      <c r="BO194" s="1282"/>
      <c r="BP194" s="1282"/>
      <c r="BQ194" s="1282"/>
      <c r="BR194" s="1282"/>
      <c r="BS194" s="1282"/>
      <c r="BT194" s="1282"/>
      <c r="BU194" s="1282"/>
      <c r="BV194" s="1282"/>
      <c r="BW194" s="1282"/>
      <c r="BX194" s="1282"/>
      <c r="BY194" s="1282"/>
      <c r="BZ194" s="1282"/>
      <c r="CA194" s="1513"/>
      <c r="CK194" s="1513"/>
      <c r="CL194" s="1513"/>
      <c r="CM194" s="1513"/>
      <c r="CN194" s="1513"/>
      <c r="CO194" s="1513"/>
      <c r="CP194" s="1513"/>
      <c r="CQ194" s="1513"/>
      <c r="CR194" s="1513"/>
      <c r="CS194" s="1513"/>
      <c r="CT194" s="1513"/>
      <c r="CU194" s="1513"/>
      <c r="CV194" s="1513"/>
      <c r="CW194" s="1513"/>
      <c r="CX194" s="1513"/>
      <c r="CY194" s="1513"/>
      <c r="CZ194" s="1513"/>
      <c r="DA194" s="1513"/>
      <c r="DB194" s="1513"/>
      <c r="DC194" s="1513"/>
      <c r="DD194" s="1513"/>
      <c r="DE194" s="1513"/>
      <c r="DF194" s="1513"/>
      <c r="DG194" s="1513"/>
      <c r="DH194" s="1513"/>
      <c r="DI194" s="1513"/>
      <c r="DJ194" s="1513"/>
      <c r="DK194" s="1513"/>
      <c r="DL194" s="1513"/>
      <c r="DM194" s="1513"/>
      <c r="DN194" s="1513"/>
      <c r="DO194" s="1513"/>
      <c r="DP194" s="1513"/>
      <c r="DQ194" s="1513"/>
      <c r="DR194" s="1513"/>
      <c r="DS194" s="1513"/>
      <c r="DT194" s="1513"/>
      <c r="DU194" s="1513"/>
      <c r="DV194" s="1513"/>
      <c r="DW194" s="1513"/>
      <c r="DX194" s="1513"/>
      <c r="DY194" s="1513"/>
      <c r="DZ194" s="1513"/>
      <c r="EA194" s="1513"/>
      <c r="EB194" s="1513"/>
      <c r="EC194" s="1513"/>
      <c r="ED194" s="1513"/>
      <c r="EE194" s="1513"/>
      <c r="EF194" s="1513"/>
      <c r="EG194" s="1513"/>
      <c r="EH194" s="1513"/>
      <c r="EI194" s="1513"/>
      <c r="EJ194" s="1513"/>
      <c r="EK194" s="1513"/>
      <c r="EL194" s="1513"/>
      <c r="EM194" s="1513"/>
      <c r="EN194" s="1513"/>
      <c r="EO194" s="1513"/>
      <c r="EP194" s="1513"/>
      <c r="EQ194" s="1513"/>
      <c r="ER194" s="1513"/>
      <c r="ES194" s="1513"/>
      <c r="ET194" s="1513"/>
      <c r="EU194" s="1513"/>
      <c r="EV194" s="1513"/>
      <c r="EW194" s="1513"/>
      <c r="EX194" s="1513"/>
      <c r="EY194" s="1513"/>
      <c r="EZ194" s="1513"/>
      <c r="FA194" s="1513"/>
      <c r="FB194" s="1513"/>
      <c r="FC194" s="1513"/>
      <c r="FD194" s="1513"/>
      <c r="FE194" s="1513"/>
      <c r="FF194" s="1513"/>
      <c r="FG194" s="1513"/>
      <c r="FH194" s="1513"/>
      <c r="FI194" s="1513"/>
      <c r="FJ194" s="1513"/>
      <c r="FL194" s="1513"/>
    </row>
    <row r="195" spans="1:168" ht="17.100000000000001" customHeight="1" x14ac:dyDescent="0.15">
      <c r="A195" s="1513"/>
      <c r="B195" s="1282"/>
      <c r="C195" s="1282"/>
      <c r="D195" s="1282"/>
      <c r="E195" s="1282"/>
      <c r="F195" s="1282"/>
      <c r="G195" s="1282"/>
      <c r="H195" s="1282"/>
      <c r="I195" s="1282"/>
      <c r="J195" s="1282"/>
      <c r="K195" s="1282"/>
      <c r="L195" s="1282"/>
      <c r="M195" s="1282"/>
      <c r="N195" s="1282"/>
      <c r="O195" s="1282"/>
      <c r="P195" s="1282"/>
      <c r="Q195" s="1282"/>
      <c r="R195" s="1282"/>
      <c r="S195" s="1282"/>
      <c r="T195" s="1282"/>
      <c r="U195" s="1282"/>
      <c r="V195" s="1282"/>
      <c r="W195" s="1282"/>
      <c r="X195" s="1282"/>
      <c r="Y195" s="1282"/>
      <c r="Z195" s="1282"/>
      <c r="AA195" s="1282"/>
      <c r="AB195" s="1282"/>
      <c r="AC195" s="1282"/>
      <c r="AD195" s="1282"/>
      <c r="AE195" s="1282"/>
      <c r="AF195" s="1282"/>
      <c r="AG195" s="1282"/>
      <c r="AH195" s="1282"/>
      <c r="AI195" s="1282"/>
      <c r="AJ195" s="1282"/>
      <c r="AK195" s="1282"/>
      <c r="AL195" s="1282"/>
      <c r="AM195" s="1282"/>
      <c r="AN195" s="1282"/>
      <c r="AO195" s="1282"/>
      <c r="AP195" s="1282"/>
      <c r="AQ195" s="1282"/>
      <c r="AR195" s="1282"/>
      <c r="AS195" s="1282"/>
      <c r="AT195" s="1282"/>
      <c r="AU195" s="1282"/>
      <c r="AV195" s="1282"/>
      <c r="AW195" s="1282"/>
      <c r="AX195" s="1282"/>
      <c r="AY195" s="1282"/>
      <c r="AZ195" s="1282"/>
      <c r="BA195" s="1282"/>
      <c r="BB195" s="1282"/>
      <c r="BC195" s="1282"/>
      <c r="BD195" s="1282"/>
      <c r="BE195" s="1282"/>
      <c r="BF195" s="1282"/>
      <c r="BG195" s="1282"/>
      <c r="BH195" s="1282"/>
      <c r="BI195" s="1282"/>
      <c r="BJ195" s="1282"/>
      <c r="BK195" s="1282"/>
      <c r="BL195" s="1282"/>
      <c r="BM195" s="1282"/>
      <c r="BN195" s="1282"/>
      <c r="BO195" s="1282"/>
      <c r="BP195" s="1282"/>
      <c r="BQ195" s="1282"/>
      <c r="BR195" s="1282"/>
      <c r="BS195" s="1282"/>
      <c r="BT195" s="1282"/>
      <c r="BU195" s="1282"/>
      <c r="BV195" s="1282"/>
      <c r="BW195" s="1282"/>
      <c r="BX195" s="1282"/>
      <c r="BY195" s="1282"/>
      <c r="BZ195" s="1282"/>
      <c r="CA195" s="1513"/>
      <c r="CK195" s="1513"/>
      <c r="CL195" s="1513"/>
      <c r="CM195" s="1513"/>
      <c r="CN195" s="1513"/>
      <c r="CO195" s="1513"/>
      <c r="CP195" s="1513"/>
      <c r="CQ195" s="1513"/>
      <c r="CR195" s="1513"/>
      <c r="CS195" s="1513"/>
      <c r="CT195" s="1513"/>
      <c r="CU195" s="1513"/>
      <c r="CV195" s="1513"/>
      <c r="CW195" s="1513"/>
      <c r="CX195" s="1513"/>
      <c r="CY195" s="1513"/>
      <c r="CZ195" s="1513"/>
      <c r="DA195" s="1513"/>
      <c r="DB195" s="1513"/>
      <c r="DC195" s="1513"/>
      <c r="DD195" s="1513"/>
      <c r="DE195" s="1513"/>
      <c r="DF195" s="1513"/>
      <c r="DG195" s="1513"/>
      <c r="DH195" s="1513"/>
      <c r="DI195" s="1513"/>
      <c r="DJ195" s="1513"/>
      <c r="DK195" s="1513"/>
      <c r="DL195" s="1513"/>
      <c r="DM195" s="1513"/>
      <c r="DN195" s="1513"/>
      <c r="DO195" s="1513"/>
      <c r="DP195" s="1513"/>
      <c r="DQ195" s="1513"/>
      <c r="DR195" s="1513"/>
      <c r="DS195" s="1513"/>
      <c r="DT195" s="1513"/>
      <c r="DU195" s="1513"/>
      <c r="DV195" s="1513"/>
      <c r="DW195" s="1513"/>
      <c r="DX195" s="1513"/>
      <c r="DY195" s="1513"/>
      <c r="DZ195" s="1513"/>
      <c r="EA195" s="1513"/>
      <c r="EB195" s="1513"/>
      <c r="EC195" s="1513"/>
      <c r="ED195" s="1513"/>
      <c r="EE195" s="1513"/>
      <c r="EF195" s="1513"/>
      <c r="EG195" s="1513"/>
      <c r="EH195" s="1513"/>
      <c r="EI195" s="1513"/>
      <c r="EJ195" s="1513"/>
      <c r="EK195" s="1513"/>
      <c r="EL195" s="1513"/>
      <c r="EM195" s="1513"/>
      <c r="EN195" s="1513"/>
      <c r="EO195" s="1513"/>
      <c r="EP195" s="1513"/>
      <c r="EQ195" s="1513"/>
      <c r="ER195" s="1513"/>
      <c r="ES195" s="1513"/>
      <c r="ET195" s="1513"/>
      <c r="EU195" s="1513"/>
      <c r="EV195" s="1513"/>
      <c r="EW195" s="1513"/>
      <c r="EX195" s="1513"/>
      <c r="EY195" s="1513"/>
      <c r="EZ195" s="1513"/>
      <c r="FA195" s="1513"/>
      <c r="FB195" s="1513"/>
      <c r="FC195" s="1513"/>
      <c r="FD195" s="1513"/>
      <c r="FE195" s="1513"/>
      <c r="FF195" s="1513"/>
      <c r="FG195" s="1513"/>
      <c r="FH195" s="1513"/>
      <c r="FI195" s="1513"/>
      <c r="FJ195" s="1513"/>
      <c r="FL195" s="1513"/>
    </row>
    <row r="196" spans="1:168" ht="17.100000000000001" customHeight="1" x14ac:dyDescent="0.15">
      <c r="A196" s="1513"/>
      <c r="B196" s="1282"/>
      <c r="C196" s="1282"/>
      <c r="D196" s="1282"/>
      <c r="E196" s="1282"/>
      <c r="F196" s="1282"/>
      <c r="G196" s="1282"/>
      <c r="H196" s="1282"/>
      <c r="I196" s="1282"/>
      <c r="J196" s="1282"/>
      <c r="K196" s="1282"/>
      <c r="L196" s="1282"/>
      <c r="M196" s="1282"/>
      <c r="N196" s="1282"/>
      <c r="O196" s="1282"/>
      <c r="P196" s="1282"/>
      <c r="Q196" s="1282"/>
      <c r="R196" s="1282"/>
      <c r="S196" s="1282"/>
      <c r="T196" s="1282"/>
      <c r="U196" s="1282"/>
      <c r="V196" s="1282"/>
      <c r="W196" s="1282"/>
      <c r="X196" s="1282"/>
      <c r="Y196" s="1282"/>
      <c r="Z196" s="1282"/>
      <c r="AA196" s="1282"/>
      <c r="AB196" s="1282"/>
      <c r="AC196" s="1282"/>
      <c r="AD196" s="1282"/>
      <c r="AE196" s="1282"/>
      <c r="AF196" s="1282"/>
      <c r="AG196" s="1282"/>
      <c r="AH196" s="1282"/>
      <c r="AI196" s="1282"/>
      <c r="AJ196" s="1282"/>
      <c r="AK196" s="1282"/>
      <c r="AL196" s="1282"/>
      <c r="AM196" s="1282"/>
      <c r="AN196" s="1282"/>
      <c r="AO196" s="1282"/>
      <c r="AP196" s="1282"/>
      <c r="AQ196" s="1282"/>
      <c r="AR196" s="1282"/>
      <c r="AS196" s="1282"/>
      <c r="AT196" s="1282"/>
      <c r="AU196" s="1282"/>
      <c r="AV196" s="1282"/>
      <c r="AW196" s="1282"/>
      <c r="AX196" s="1282"/>
      <c r="AY196" s="1282"/>
      <c r="AZ196" s="1282"/>
      <c r="BA196" s="1282"/>
      <c r="BB196" s="1282"/>
      <c r="BC196" s="1282"/>
      <c r="BD196" s="1282"/>
      <c r="BE196" s="1282"/>
      <c r="BF196" s="1282"/>
      <c r="BG196" s="1282"/>
      <c r="BH196" s="1282"/>
      <c r="BI196" s="1282"/>
      <c r="BJ196" s="1282"/>
      <c r="BK196" s="1282"/>
      <c r="BL196" s="1282"/>
      <c r="BM196" s="1282"/>
      <c r="BN196" s="1282"/>
      <c r="BO196" s="1282"/>
      <c r="BP196" s="1282"/>
      <c r="BQ196" s="1282"/>
      <c r="BR196" s="1282"/>
      <c r="BS196" s="1282"/>
      <c r="BT196" s="1282"/>
      <c r="BU196" s="1282"/>
      <c r="BV196" s="1282"/>
      <c r="BW196" s="1282"/>
      <c r="BX196" s="1282"/>
      <c r="BY196" s="1282"/>
      <c r="BZ196" s="1282"/>
      <c r="CA196" s="1513"/>
      <c r="CK196" s="1513"/>
      <c r="CL196" s="1513"/>
      <c r="CM196" s="1513"/>
      <c r="CN196" s="1513"/>
      <c r="CO196" s="1513"/>
      <c r="CP196" s="1513"/>
      <c r="CQ196" s="1513"/>
      <c r="CR196" s="1513"/>
      <c r="CS196" s="1513"/>
      <c r="CT196" s="1513"/>
      <c r="CU196" s="1513"/>
      <c r="CV196" s="1513"/>
      <c r="CW196" s="1513"/>
      <c r="CX196" s="1513"/>
      <c r="CY196" s="1513"/>
      <c r="CZ196" s="1513"/>
      <c r="DA196" s="1513"/>
      <c r="DB196" s="1513"/>
      <c r="DC196" s="1513"/>
      <c r="DD196" s="1513"/>
      <c r="DE196" s="1513"/>
      <c r="DF196" s="1513"/>
      <c r="DG196" s="1513"/>
      <c r="DH196" s="1513"/>
      <c r="DI196" s="1513"/>
      <c r="DJ196" s="1513"/>
      <c r="DK196" s="1513"/>
      <c r="DL196" s="1513"/>
      <c r="DM196" s="1513"/>
      <c r="DN196" s="1513"/>
      <c r="DO196" s="1513"/>
      <c r="DP196" s="1513"/>
      <c r="DQ196" s="1513"/>
      <c r="DR196" s="1513"/>
      <c r="DS196" s="1513"/>
      <c r="DT196" s="1513"/>
      <c r="DU196" s="1513"/>
      <c r="DV196" s="1513"/>
      <c r="DW196" s="1513"/>
      <c r="DX196" s="1513"/>
      <c r="DY196" s="1513"/>
      <c r="DZ196" s="1513"/>
      <c r="EA196" s="1513"/>
      <c r="EB196" s="1513"/>
      <c r="EC196" s="1513"/>
      <c r="ED196" s="1513"/>
      <c r="EE196" s="1513"/>
      <c r="EF196" s="1513"/>
      <c r="EG196" s="1513"/>
      <c r="EH196" s="1513"/>
      <c r="EI196" s="1513"/>
      <c r="EJ196" s="1513"/>
      <c r="EK196" s="1513"/>
      <c r="EL196" s="1513"/>
      <c r="EM196" s="1513"/>
      <c r="EN196" s="1513"/>
      <c r="EO196" s="1513"/>
      <c r="EP196" s="1513"/>
      <c r="EQ196" s="1513"/>
      <c r="ER196" s="1513"/>
      <c r="ES196" s="1513"/>
      <c r="ET196" s="1513"/>
      <c r="EU196" s="1513"/>
      <c r="EV196" s="1513"/>
      <c r="EW196" s="1513"/>
      <c r="EX196" s="1513"/>
      <c r="EY196" s="1513"/>
      <c r="EZ196" s="1513"/>
      <c r="FA196" s="1513"/>
      <c r="FB196" s="1513"/>
      <c r="FC196" s="1513"/>
      <c r="FD196" s="1513"/>
      <c r="FE196" s="1513"/>
      <c r="FF196" s="1513"/>
      <c r="FG196" s="1513"/>
      <c r="FH196" s="1513"/>
      <c r="FI196" s="1513"/>
      <c r="FJ196" s="1513"/>
      <c r="FL196" s="1513"/>
    </row>
    <row r="197" spans="1:168" ht="17.100000000000001" customHeight="1" x14ac:dyDescent="0.15">
      <c r="A197" s="1513"/>
      <c r="B197" s="1282"/>
      <c r="C197" s="1282"/>
      <c r="D197" s="1282"/>
      <c r="E197" s="1282"/>
      <c r="F197" s="1282"/>
      <c r="G197" s="1282"/>
      <c r="H197" s="1282"/>
      <c r="I197" s="1282"/>
      <c r="J197" s="1282"/>
      <c r="K197" s="1282"/>
      <c r="L197" s="1282"/>
      <c r="M197" s="1282"/>
      <c r="N197" s="1282"/>
      <c r="O197" s="1282"/>
      <c r="P197" s="1282"/>
      <c r="Q197" s="1282"/>
      <c r="R197" s="1282"/>
      <c r="S197" s="1282"/>
      <c r="T197" s="1282"/>
      <c r="U197" s="1282"/>
      <c r="V197" s="1282"/>
      <c r="W197" s="1282"/>
      <c r="X197" s="1282"/>
      <c r="Y197" s="1282"/>
      <c r="Z197" s="1282"/>
      <c r="AA197" s="1282"/>
      <c r="AB197" s="1282"/>
      <c r="AC197" s="1282"/>
      <c r="AD197" s="1282"/>
      <c r="AE197" s="1282"/>
      <c r="AF197" s="1282"/>
      <c r="AG197" s="1282"/>
      <c r="AH197" s="1282"/>
      <c r="AI197" s="1282"/>
      <c r="AJ197" s="1282"/>
      <c r="AK197" s="1282"/>
      <c r="AL197" s="1282"/>
      <c r="AM197" s="1282"/>
      <c r="AN197" s="1282"/>
      <c r="AO197" s="1282"/>
      <c r="AP197" s="1282"/>
      <c r="AQ197" s="1282"/>
      <c r="AR197" s="1282"/>
      <c r="AS197" s="1282"/>
      <c r="AT197" s="1282"/>
      <c r="AU197" s="1282"/>
      <c r="AV197" s="1282"/>
      <c r="AW197" s="1282"/>
      <c r="AX197" s="1282"/>
      <c r="AY197" s="1282"/>
      <c r="AZ197" s="1282"/>
      <c r="BA197" s="1282"/>
      <c r="BB197" s="1282"/>
      <c r="BC197" s="1282"/>
      <c r="BD197" s="1282"/>
      <c r="BE197" s="1282"/>
      <c r="BF197" s="1282"/>
      <c r="BG197" s="1282"/>
      <c r="BH197" s="1282"/>
      <c r="BI197" s="1282"/>
      <c r="BJ197" s="1282"/>
      <c r="BK197" s="1282"/>
      <c r="BL197" s="1282"/>
      <c r="BM197" s="1282"/>
      <c r="BN197" s="1282"/>
      <c r="BO197" s="1282"/>
      <c r="BP197" s="1282"/>
      <c r="BQ197" s="1282"/>
      <c r="BR197" s="1282"/>
      <c r="BS197" s="1282"/>
      <c r="BT197" s="1282"/>
      <c r="BU197" s="1282"/>
      <c r="BV197" s="1282"/>
      <c r="BW197" s="1282"/>
      <c r="BX197" s="1282"/>
      <c r="BY197" s="1282"/>
      <c r="BZ197" s="1282"/>
      <c r="CA197" s="1513"/>
      <c r="CK197" s="1513"/>
      <c r="CL197" s="1513"/>
      <c r="CM197" s="1513"/>
      <c r="CN197" s="1513"/>
      <c r="CO197" s="1513"/>
      <c r="CP197" s="1513"/>
      <c r="CQ197" s="1513"/>
      <c r="CR197" s="1513"/>
      <c r="CS197" s="1513"/>
      <c r="CT197" s="1513"/>
      <c r="CU197" s="1513"/>
      <c r="CV197" s="1513"/>
      <c r="CW197" s="1513"/>
      <c r="CX197" s="1513"/>
      <c r="CY197" s="1513"/>
      <c r="CZ197" s="1513"/>
      <c r="DA197" s="1513"/>
      <c r="DB197" s="1513"/>
      <c r="DC197" s="1513"/>
      <c r="DD197" s="1513"/>
      <c r="DE197" s="1513"/>
      <c r="DF197" s="1513"/>
      <c r="DG197" s="1513"/>
      <c r="DH197" s="1513"/>
      <c r="DI197" s="1513"/>
      <c r="DJ197" s="1513"/>
      <c r="DK197" s="1513"/>
      <c r="DL197" s="1513"/>
      <c r="DM197" s="1513"/>
      <c r="DN197" s="1513"/>
      <c r="DO197" s="1513"/>
      <c r="DP197" s="1513"/>
      <c r="DQ197" s="1513"/>
      <c r="DR197" s="1513"/>
      <c r="DS197" s="1513"/>
      <c r="DT197" s="1513"/>
      <c r="DU197" s="1513"/>
      <c r="DV197" s="1513"/>
      <c r="DW197" s="1513"/>
      <c r="DX197" s="1513"/>
      <c r="DY197" s="1513"/>
      <c r="DZ197" s="1513"/>
      <c r="EA197" s="1513"/>
      <c r="EB197" s="1513"/>
      <c r="EC197" s="1513"/>
      <c r="ED197" s="1513"/>
      <c r="EE197" s="1513"/>
      <c r="EF197" s="1513"/>
      <c r="EG197" s="1513"/>
      <c r="EH197" s="1513"/>
      <c r="EI197" s="1513"/>
      <c r="EJ197" s="1513"/>
      <c r="EK197" s="1513"/>
      <c r="EL197" s="1513"/>
      <c r="EM197" s="1513"/>
      <c r="EN197" s="1513"/>
      <c r="EO197" s="1513"/>
      <c r="EP197" s="1513"/>
      <c r="EQ197" s="1513"/>
      <c r="ER197" s="1513"/>
      <c r="ES197" s="1513"/>
      <c r="ET197" s="1513"/>
      <c r="EU197" s="1513"/>
      <c r="EV197" s="1513"/>
      <c r="EW197" s="1513"/>
      <c r="EX197" s="1513"/>
      <c r="EY197" s="1513"/>
      <c r="EZ197" s="1513"/>
      <c r="FA197" s="1513"/>
      <c r="FB197" s="1513"/>
      <c r="FC197" s="1513"/>
      <c r="FD197" s="1513"/>
      <c r="FE197" s="1513"/>
      <c r="FF197" s="1513"/>
      <c r="FG197" s="1513"/>
      <c r="FH197" s="1513"/>
      <c r="FI197" s="1513"/>
      <c r="FJ197" s="1513"/>
      <c r="FL197" s="1513"/>
    </row>
    <row r="198" spans="1:168" ht="17.100000000000001" customHeight="1" x14ac:dyDescent="0.15">
      <c r="A198" s="1513"/>
      <c r="B198" s="1282"/>
      <c r="C198" s="1282"/>
      <c r="D198" s="1282"/>
      <c r="E198" s="1282"/>
      <c r="F198" s="1282"/>
      <c r="G198" s="1282"/>
      <c r="H198" s="1282"/>
      <c r="I198" s="1282"/>
      <c r="J198" s="1282"/>
      <c r="K198" s="1282"/>
      <c r="L198" s="1282"/>
      <c r="M198" s="1282"/>
      <c r="N198" s="1282"/>
      <c r="O198" s="1282"/>
      <c r="P198" s="1282"/>
      <c r="Q198" s="1282"/>
      <c r="R198" s="1282"/>
      <c r="S198" s="1282"/>
      <c r="T198" s="1282"/>
      <c r="U198" s="1282"/>
      <c r="V198" s="1282"/>
      <c r="W198" s="1282"/>
      <c r="X198" s="1282"/>
      <c r="Y198" s="1282"/>
      <c r="Z198" s="1282"/>
      <c r="AA198" s="1282"/>
      <c r="AB198" s="1282"/>
      <c r="AC198" s="1282"/>
      <c r="AD198" s="1282"/>
      <c r="AE198" s="1282"/>
      <c r="AF198" s="1282"/>
      <c r="AG198" s="1282"/>
      <c r="AH198" s="1282"/>
      <c r="AI198" s="1282"/>
      <c r="AJ198" s="1282"/>
      <c r="AK198" s="1282"/>
      <c r="AL198" s="1282"/>
      <c r="AM198" s="1282"/>
      <c r="AN198" s="1282"/>
      <c r="AO198" s="1282"/>
      <c r="AP198" s="1282"/>
      <c r="AQ198" s="1282"/>
      <c r="AR198" s="1282"/>
      <c r="AS198" s="1282"/>
      <c r="AT198" s="1282"/>
      <c r="AU198" s="1282"/>
      <c r="AV198" s="1282"/>
      <c r="AW198" s="1282"/>
      <c r="AX198" s="1282"/>
      <c r="AY198" s="1282"/>
      <c r="AZ198" s="1282"/>
      <c r="BA198" s="1282"/>
      <c r="BB198" s="1282"/>
      <c r="BC198" s="1282"/>
      <c r="BD198" s="1282"/>
      <c r="BE198" s="1282"/>
      <c r="BF198" s="1282"/>
      <c r="BG198" s="1282"/>
      <c r="BH198" s="1282"/>
      <c r="BI198" s="1282"/>
      <c r="BJ198" s="1282"/>
      <c r="BK198" s="1282"/>
      <c r="BL198" s="1282"/>
      <c r="BM198" s="1282"/>
      <c r="BN198" s="1282"/>
      <c r="BO198" s="1282"/>
      <c r="BP198" s="1282"/>
      <c r="BQ198" s="1282"/>
      <c r="BR198" s="1282"/>
      <c r="BS198" s="1282"/>
      <c r="BT198" s="1282"/>
      <c r="BU198" s="1282"/>
      <c r="BV198" s="1282"/>
      <c r="BW198" s="1282"/>
      <c r="BX198" s="1282"/>
      <c r="BY198" s="1282"/>
      <c r="BZ198" s="1282"/>
      <c r="CA198" s="1513"/>
      <c r="CK198" s="1513"/>
      <c r="CL198" s="1513"/>
      <c r="CM198" s="1513"/>
      <c r="CN198" s="1513"/>
      <c r="CO198" s="1513"/>
      <c r="CP198" s="1513"/>
      <c r="CQ198" s="1513"/>
      <c r="CR198" s="1513"/>
      <c r="CS198" s="1513"/>
      <c r="CT198" s="1513"/>
      <c r="CU198" s="1513"/>
      <c r="CV198" s="1513"/>
      <c r="CW198" s="1513"/>
      <c r="CX198" s="1513"/>
      <c r="CY198" s="1513"/>
      <c r="CZ198" s="1513"/>
      <c r="DA198" s="1513"/>
      <c r="DB198" s="1513"/>
      <c r="DC198" s="1513"/>
      <c r="DD198" s="1513"/>
      <c r="DE198" s="1513"/>
      <c r="DF198" s="1513"/>
      <c r="DG198" s="1513"/>
      <c r="DH198" s="1513"/>
      <c r="DI198" s="1513"/>
      <c r="DJ198" s="1513"/>
      <c r="DK198" s="1513"/>
      <c r="DL198" s="1513"/>
      <c r="DM198" s="1513"/>
      <c r="DN198" s="1513"/>
      <c r="DO198" s="1513"/>
      <c r="DP198" s="1513"/>
      <c r="DQ198" s="1513"/>
      <c r="DR198" s="1513"/>
      <c r="DS198" s="1513"/>
      <c r="DT198" s="1513"/>
      <c r="DU198" s="1513"/>
      <c r="DV198" s="1513"/>
      <c r="DW198" s="1513"/>
      <c r="DX198" s="1513"/>
      <c r="DY198" s="1513"/>
      <c r="DZ198" s="1513"/>
      <c r="EA198" s="1513"/>
      <c r="EB198" s="1513"/>
      <c r="EC198" s="1513"/>
      <c r="ED198" s="1513"/>
      <c r="EE198" s="1513"/>
      <c r="EF198" s="1513"/>
      <c r="EG198" s="1513"/>
      <c r="EH198" s="1513"/>
      <c r="EI198" s="1513"/>
      <c r="EJ198" s="1513"/>
      <c r="EK198" s="1513"/>
      <c r="EL198" s="1513"/>
      <c r="EM198" s="1513"/>
      <c r="EN198" s="1513"/>
      <c r="EO198" s="1513"/>
      <c r="EP198" s="1513"/>
      <c r="EQ198" s="1513"/>
      <c r="ER198" s="1513"/>
      <c r="ES198" s="1513"/>
      <c r="ET198" s="1513"/>
      <c r="EU198" s="1513"/>
      <c r="EV198" s="1513"/>
      <c r="EW198" s="1513"/>
      <c r="EX198" s="1513"/>
      <c r="EY198" s="1513"/>
      <c r="EZ198" s="1513"/>
      <c r="FA198" s="1513"/>
      <c r="FB198" s="1513"/>
      <c r="FC198" s="1513"/>
      <c r="FD198" s="1513"/>
      <c r="FE198" s="1513"/>
      <c r="FF198" s="1513"/>
      <c r="FG198" s="1513"/>
      <c r="FH198" s="1513"/>
      <c r="FI198" s="1513"/>
      <c r="FJ198" s="1513"/>
      <c r="FL198" s="1513"/>
    </row>
    <row r="199" spans="1:168" ht="17.100000000000001" customHeight="1" x14ac:dyDescent="0.15">
      <c r="A199" s="1513"/>
      <c r="B199" s="1282"/>
      <c r="C199" s="1282"/>
      <c r="D199" s="1282"/>
      <c r="E199" s="1282"/>
      <c r="F199" s="1282"/>
      <c r="G199" s="1282"/>
      <c r="H199" s="1282"/>
      <c r="I199" s="1282"/>
      <c r="J199" s="1282"/>
      <c r="K199" s="1282"/>
      <c r="L199" s="1282"/>
      <c r="M199" s="1282"/>
      <c r="N199" s="1282"/>
      <c r="O199" s="1282"/>
      <c r="P199" s="1282"/>
      <c r="Q199" s="1282"/>
      <c r="R199" s="1282"/>
      <c r="S199" s="1282"/>
      <c r="T199" s="1282"/>
      <c r="U199" s="1282"/>
      <c r="V199" s="1282"/>
      <c r="W199" s="1282"/>
      <c r="X199" s="1282"/>
      <c r="Y199" s="1282"/>
      <c r="Z199" s="1282"/>
      <c r="AA199" s="1282"/>
      <c r="AB199" s="1282"/>
      <c r="AC199" s="1282"/>
      <c r="AD199" s="1282"/>
      <c r="AE199" s="1282"/>
      <c r="AF199" s="1282"/>
      <c r="AG199" s="1282"/>
      <c r="AH199" s="1282"/>
      <c r="AI199" s="1282"/>
      <c r="AJ199" s="1282"/>
      <c r="AK199" s="1282"/>
      <c r="AL199" s="1282"/>
      <c r="AM199" s="1282"/>
      <c r="AN199" s="1282"/>
      <c r="AO199" s="1282"/>
      <c r="AP199" s="1282"/>
      <c r="AQ199" s="1282"/>
      <c r="AR199" s="1282"/>
      <c r="AS199" s="1282"/>
      <c r="AT199" s="1282"/>
      <c r="AU199" s="1282"/>
      <c r="AV199" s="1282"/>
      <c r="AW199" s="1282"/>
      <c r="AX199" s="1282"/>
      <c r="AY199" s="1282"/>
      <c r="AZ199" s="1282"/>
      <c r="BA199" s="1282"/>
      <c r="BB199" s="1282"/>
      <c r="BC199" s="1282"/>
      <c r="BD199" s="1282"/>
      <c r="BE199" s="1282"/>
      <c r="BF199" s="1282"/>
      <c r="BG199" s="1282"/>
      <c r="BH199" s="1282"/>
      <c r="BI199" s="1282"/>
      <c r="BJ199" s="1282"/>
      <c r="BK199" s="1282"/>
      <c r="BL199" s="1282"/>
      <c r="BM199" s="1282"/>
      <c r="BN199" s="1282"/>
      <c r="BO199" s="1282"/>
      <c r="BP199" s="1282"/>
      <c r="BQ199" s="1282"/>
      <c r="BR199" s="1282"/>
      <c r="BS199" s="1282"/>
      <c r="BT199" s="1282"/>
      <c r="BU199" s="1282"/>
      <c r="BV199" s="1282"/>
      <c r="BW199" s="1282"/>
      <c r="BX199" s="1282"/>
      <c r="BY199" s="1282"/>
      <c r="BZ199" s="1282"/>
      <c r="CA199" s="1513"/>
      <c r="CK199" s="1513"/>
      <c r="CL199" s="1513"/>
      <c r="CM199" s="1513"/>
      <c r="CN199" s="1513"/>
      <c r="CO199" s="1513"/>
      <c r="CP199" s="1513"/>
      <c r="CQ199" s="1513"/>
      <c r="CR199" s="1513"/>
      <c r="CS199" s="1513"/>
      <c r="CT199" s="1513"/>
      <c r="CU199" s="1513"/>
      <c r="CV199" s="1513"/>
      <c r="CW199" s="1513"/>
      <c r="CX199" s="1513"/>
      <c r="CY199" s="1513"/>
      <c r="CZ199" s="1513"/>
      <c r="DA199" s="1513"/>
      <c r="DB199" s="1513"/>
      <c r="DC199" s="1513"/>
      <c r="DD199" s="1513"/>
      <c r="DE199" s="1513"/>
      <c r="DF199" s="1513"/>
      <c r="DG199" s="1513"/>
      <c r="DH199" s="1513"/>
      <c r="DI199" s="1513"/>
      <c r="DJ199" s="1513"/>
      <c r="DK199" s="1513"/>
      <c r="DL199" s="1513"/>
      <c r="DM199" s="1513"/>
      <c r="DN199" s="1513"/>
      <c r="DO199" s="1513"/>
      <c r="DP199" s="1513"/>
      <c r="DQ199" s="1513"/>
      <c r="DR199" s="1513"/>
      <c r="DS199" s="1513"/>
      <c r="DT199" s="1513"/>
      <c r="DU199" s="1513"/>
      <c r="DV199" s="1513"/>
      <c r="DW199" s="1513"/>
      <c r="DX199" s="1513"/>
      <c r="DY199" s="1513"/>
      <c r="DZ199" s="1513"/>
      <c r="EA199" s="1513"/>
      <c r="EB199" s="1513"/>
      <c r="EC199" s="1513"/>
      <c r="ED199" s="1513"/>
      <c r="EE199" s="1513"/>
      <c r="EF199" s="1513"/>
      <c r="EG199" s="1513"/>
      <c r="EH199" s="1513"/>
      <c r="EI199" s="1513"/>
      <c r="EJ199" s="1513"/>
      <c r="EK199" s="1513"/>
      <c r="EL199" s="1513"/>
      <c r="EM199" s="1513"/>
      <c r="EN199" s="1513"/>
      <c r="EO199" s="1513"/>
      <c r="EP199" s="1513"/>
      <c r="EQ199" s="1513"/>
      <c r="ER199" s="1513"/>
      <c r="ES199" s="1513"/>
      <c r="ET199" s="1513"/>
      <c r="EU199" s="1513"/>
      <c r="EV199" s="1513"/>
      <c r="EW199" s="1513"/>
      <c r="EX199" s="1513"/>
      <c r="EY199" s="1513"/>
      <c r="EZ199" s="1513"/>
      <c r="FA199" s="1513"/>
      <c r="FB199" s="1513"/>
      <c r="FC199" s="1513"/>
      <c r="FD199" s="1513"/>
      <c r="FE199" s="1513"/>
      <c r="FF199" s="1513"/>
      <c r="FG199" s="1513"/>
      <c r="FH199" s="1513"/>
      <c r="FI199" s="1513"/>
      <c r="FJ199" s="1513"/>
      <c r="FL199" s="1513"/>
    </row>
    <row r="200" spans="1:168" ht="17.100000000000001" customHeight="1" x14ac:dyDescent="0.15">
      <c r="A200" s="1513"/>
      <c r="B200" s="1282"/>
      <c r="C200" s="1282"/>
      <c r="D200" s="1282"/>
      <c r="E200" s="1282"/>
      <c r="F200" s="1282"/>
      <c r="G200" s="1282"/>
      <c r="H200" s="1282"/>
      <c r="I200" s="1282"/>
      <c r="J200" s="1282"/>
      <c r="K200" s="1282"/>
      <c r="L200" s="1282"/>
      <c r="M200" s="1282"/>
      <c r="N200" s="1282"/>
      <c r="O200" s="1282"/>
      <c r="P200" s="1282"/>
      <c r="Q200" s="1282"/>
      <c r="R200" s="1282"/>
      <c r="S200" s="1282"/>
      <c r="T200" s="1282"/>
      <c r="U200" s="1282"/>
      <c r="V200" s="1282"/>
      <c r="W200" s="1282"/>
      <c r="X200" s="1282"/>
      <c r="Y200" s="1282"/>
      <c r="Z200" s="1282"/>
      <c r="AA200" s="1282"/>
      <c r="AB200" s="1282"/>
      <c r="AC200" s="1282"/>
      <c r="AD200" s="1282"/>
      <c r="AE200" s="1282"/>
      <c r="AF200" s="1282"/>
      <c r="AG200" s="1282"/>
      <c r="AH200" s="1282"/>
      <c r="AI200" s="1282"/>
      <c r="AJ200" s="1282"/>
      <c r="AK200" s="1282"/>
      <c r="AL200" s="1282"/>
      <c r="AM200" s="1282"/>
      <c r="AN200" s="1282"/>
      <c r="AO200" s="1282"/>
      <c r="AP200" s="1282"/>
      <c r="AQ200" s="1282"/>
      <c r="AR200" s="1282"/>
      <c r="AS200" s="1282"/>
      <c r="AT200" s="1282"/>
      <c r="AU200" s="1282"/>
      <c r="AV200" s="1282"/>
      <c r="AW200" s="1282"/>
      <c r="AX200" s="1282"/>
      <c r="AY200" s="1282"/>
      <c r="AZ200" s="1282"/>
      <c r="BA200" s="1282"/>
      <c r="BB200" s="1282"/>
      <c r="BC200" s="1282"/>
      <c r="BD200" s="1282"/>
      <c r="BE200" s="1282"/>
      <c r="BF200" s="1282"/>
      <c r="BG200" s="1282"/>
      <c r="BH200" s="1282"/>
      <c r="BI200" s="1282"/>
      <c r="BJ200" s="1282"/>
      <c r="BK200" s="1282"/>
      <c r="BL200" s="1282"/>
      <c r="BM200" s="1282"/>
      <c r="BN200" s="1282"/>
      <c r="BO200" s="1282"/>
      <c r="BP200" s="1282"/>
      <c r="BQ200" s="1282"/>
      <c r="BR200" s="1282"/>
      <c r="BS200" s="1282"/>
      <c r="BT200" s="1282"/>
      <c r="BU200" s="1282"/>
      <c r="BV200" s="1282"/>
      <c r="BW200" s="1282"/>
      <c r="BX200" s="1282"/>
      <c r="BY200" s="1282"/>
      <c r="BZ200" s="1282"/>
      <c r="CA200" s="1513"/>
      <c r="CK200" s="1513"/>
      <c r="CL200" s="1513"/>
      <c r="CM200" s="1513"/>
      <c r="CN200" s="1513"/>
      <c r="CO200" s="1513"/>
      <c r="CP200" s="1513"/>
      <c r="CQ200" s="1513"/>
      <c r="CR200" s="1513"/>
      <c r="CS200" s="1513"/>
      <c r="CT200" s="1513"/>
      <c r="CU200" s="1513"/>
      <c r="CV200" s="1513"/>
      <c r="CW200" s="1513"/>
      <c r="CX200" s="1513"/>
      <c r="CY200" s="1513"/>
      <c r="CZ200" s="1513"/>
      <c r="DA200" s="1513"/>
      <c r="DB200" s="1513"/>
      <c r="DC200" s="1513"/>
      <c r="DD200" s="1513"/>
      <c r="DE200" s="1513"/>
      <c r="DF200" s="1513"/>
      <c r="DG200" s="1513"/>
      <c r="DH200" s="1513"/>
      <c r="DI200" s="1513"/>
      <c r="DJ200" s="1513"/>
      <c r="DK200" s="1513"/>
      <c r="DL200" s="1513"/>
      <c r="DM200" s="1513"/>
      <c r="DN200" s="1513"/>
      <c r="DO200" s="1513"/>
      <c r="DP200" s="1513"/>
      <c r="DQ200" s="1513"/>
      <c r="DR200" s="1513"/>
      <c r="DS200" s="1513"/>
      <c r="DT200" s="1513"/>
      <c r="DU200" s="1513"/>
      <c r="DV200" s="1513"/>
      <c r="DW200" s="1513"/>
      <c r="DX200" s="1513"/>
      <c r="DY200" s="1513"/>
      <c r="DZ200" s="1513"/>
      <c r="EA200" s="1513"/>
      <c r="EB200" s="1513"/>
      <c r="EC200" s="1513"/>
      <c r="ED200" s="1513"/>
      <c r="EE200" s="1513"/>
      <c r="EF200" s="1513"/>
      <c r="EG200" s="1513"/>
      <c r="EH200" s="1513"/>
      <c r="EI200" s="1513"/>
      <c r="EJ200" s="1513"/>
      <c r="EK200" s="1513"/>
      <c r="EL200" s="1513"/>
      <c r="EM200" s="1513"/>
      <c r="EN200" s="1513"/>
      <c r="EO200" s="1513"/>
      <c r="EP200" s="1513"/>
      <c r="EQ200" s="1513"/>
      <c r="ER200" s="1513"/>
      <c r="ES200" s="1513"/>
      <c r="ET200" s="1513"/>
      <c r="EU200" s="1513"/>
      <c r="EV200" s="1513"/>
      <c r="EW200" s="1513"/>
      <c r="EX200" s="1513"/>
      <c r="EY200" s="1513"/>
      <c r="EZ200" s="1513"/>
      <c r="FA200" s="1513"/>
      <c r="FB200" s="1513"/>
      <c r="FC200" s="1513"/>
      <c r="FD200" s="1513"/>
      <c r="FE200" s="1513"/>
      <c r="FF200" s="1513"/>
      <c r="FG200" s="1513"/>
      <c r="FH200" s="1513"/>
      <c r="FI200" s="1513"/>
      <c r="FJ200" s="1513"/>
      <c r="FL200" s="1513"/>
    </row>
    <row r="201" spans="1:168" ht="17.100000000000001" customHeight="1" x14ac:dyDescent="0.15">
      <c r="A201" s="1513"/>
      <c r="B201" s="1282"/>
      <c r="C201" s="1282"/>
      <c r="D201" s="1282"/>
      <c r="E201" s="1282"/>
      <c r="F201" s="1282"/>
      <c r="G201" s="1282"/>
      <c r="H201" s="1282"/>
      <c r="I201" s="1282"/>
      <c r="J201" s="1282"/>
      <c r="K201" s="1282"/>
      <c r="L201" s="1282"/>
      <c r="M201" s="1282"/>
      <c r="N201" s="1282"/>
      <c r="O201" s="1282"/>
      <c r="P201" s="1282"/>
      <c r="Q201" s="1282"/>
      <c r="R201" s="1282"/>
      <c r="S201" s="1282"/>
      <c r="T201" s="1282"/>
      <c r="U201" s="1282"/>
      <c r="V201" s="1282"/>
      <c r="W201" s="1282"/>
      <c r="X201" s="1282"/>
      <c r="Y201" s="1282"/>
      <c r="Z201" s="1282"/>
      <c r="AA201" s="1282"/>
      <c r="AB201" s="1282"/>
      <c r="AC201" s="1282"/>
      <c r="AD201" s="1282"/>
      <c r="AE201" s="1282"/>
      <c r="AF201" s="1282"/>
      <c r="AG201" s="1282"/>
      <c r="AH201" s="1282"/>
      <c r="AI201" s="1282"/>
      <c r="AJ201" s="1282"/>
      <c r="AK201" s="1282"/>
      <c r="AL201" s="1282"/>
      <c r="AM201" s="1282"/>
      <c r="AN201" s="1282"/>
      <c r="AO201" s="1282"/>
      <c r="AP201" s="1282"/>
      <c r="AQ201" s="1282"/>
      <c r="AR201" s="1282"/>
      <c r="AS201" s="1282"/>
      <c r="AT201" s="1282"/>
      <c r="AU201" s="1282"/>
      <c r="AV201" s="1282"/>
      <c r="AW201" s="1282"/>
      <c r="AX201" s="1282"/>
      <c r="AY201" s="1282"/>
      <c r="AZ201" s="1282"/>
      <c r="BA201" s="1282"/>
      <c r="BB201" s="1282"/>
      <c r="BC201" s="1282"/>
      <c r="BD201" s="1282"/>
      <c r="BE201" s="1282"/>
      <c r="BF201" s="1282"/>
      <c r="BG201" s="1282"/>
      <c r="BH201" s="1282"/>
      <c r="BI201" s="1282"/>
      <c r="BJ201" s="1282"/>
      <c r="BK201" s="1282"/>
      <c r="BL201" s="1282"/>
      <c r="BM201" s="1282"/>
      <c r="BN201" s="1282"/>
      <c r="BO201" s="1282"/>
      <c r="BP201" s="1282"/>
      <c r="BQ201" s="1282"/>
      <c r="BR201" s="1282"/>
      <c r="BS201" s="1282"/>
      <c r="BT201" s="1282"/>
      <c r="BU201" s="1282"/>
      <c r="BV201" s="1282"/>
      <c r="BW201" s="1282"/>
      <c r="BX201" s="1282"/>
      <c r="BY201" s="1282"/>
      <c r="BZ201" s="1282"/>
      <c r="CA201" s="1513"/>
      <c r="CK201" s="1513"/>
      <c r="CL201" s="1513"/>
      <c r="CM201" s="1513"/>
      <c r="CN201" s="1513"/>
      <c r="CO201" s="1513"/>
      <c r="CP201" s="1513"/>
      <c r="CQ201" s="1513"/>
      <c r="CR201" s="1513"/>
      <c r="CS201" s="1513"/>
      <c r="CT201" s="1513"/>
      <c r="CU201" s="1513"/>
      <c r="CV201" s="1513"/>
      <c r="CW201" s="1513"/>
      <c r="CX201" s="1513"/>
      <c r="CY201" s="1513"/>
      <c r="CZ201" s="1513"/>
      <c r="DA201" s="1513"/>
      <c r="DB201" s="1513"/>
      <c r="DC201" s="1513"/>
      <c r="DD201" s="1513"/>
      <c r="DE201" s="1513"/>
      <c r="DF201" s="1513"/>
      <c r="DG201" s="1513"/>
      <c r="DH201" s="1513"/>
      <c r="DI201" s="1513"/>
      <c r="DJ201" s="1513"/>
      <c r="DK201" s="1513"/>
      <c r="DL201" s="1513"/>
      <c r="DM201" s="1513"/>
      <c r="DN201" s="1513"/>
      <c r="DO201" s="1513"/>
      <c r="DP201" s="1513"/>
      <c r="DQ201" s="1513"/>
      <c r="DR201" s="1513"/>
      <c r="DS201" s="1513"/>
      <c r="DT201" s="1513"/>
      <c r="DU201" s="1513"/>
      <c r="DV201" s="1513"/>
      <c r="DW201" s="1513"/>
      <c r="DX201" s="1513"/>
      <c r="DY201" s="1513"/>
      <c r="DZ201" s="1513"/>
      <c r="EA201" s="1513"/>
      <c r="EB201" s="1513"/>
      <c r="EC201" s="1513"/>
      <c r="ED201" s="1513"/>
      <c r="EE201" s="1513"/>
      <c r="EF201" s="1513"/>
      <c r="EG201" s="1513"/>
      <c r="EH201" s="1513"/>
      <c r="EI201" s="1513"/>
      <c r="EJ201" s="1513"/>
      <c r="EK201" s="1513"/>
      <c r="EL201" s="1513"/>
      <c r="EM201" s="1513"/>
      <c r="EN201" s="1513"/>
      <c r="EO201" s="1513"/>
      <c r="EP201" s="1513"/>
      <c r="EQ201" s="1513"/>
      <c r="ER201" s="1513"/>
      <c r="ES201" s="1513"/>
      <c r="ET201" s="1513"/>
      <c r="EU201" s="1513"/>
      <c r="EV201" s="1513"/>
      <c r="EW201" s="1513"/>
      <c r="EX201" s="1513"/>
      <c r="EY201" s="1513"/>
      <c r="EZ201" s="1513"/>
      <c r="FA201" s="1513"/>
      <c r="FB201" s="1513"/>
      <c r="FC201" s="1513"/>
      <c r="FD201" s="1513"/>
      <c r="FE201" s="1513"/>
      <c r="FF201" s="1513"/>
      <c r="FG201" s="1513"/>
      <c r="FH201" s="1513"/>
      <c r="FI201" s="1513"/>
      <c r="FJ201" s="1513"/>
      <c r="FL201" s="1513"/>
    </row>
    <row r="202" spans="1:168" ht="17.100000000000001" customHeight="1" x14ac:dyDescent="0.15">
      <c r="A202" s="1513"/>
      <c r="B202" s="1282"/>
      <c r="C202" s="1282"/>
      <c r="D202" s="1282"/>
      <c r="E202" s="1282"/>
      <c r="F202" s="1282"/>
      <c r="G202" s="1282"/>
      <c r="H202" s="1282"/>
      <c r="I202" s="1282"/>
      <c r="J202" s="1282"/>
      <c r="K202" s="1282"/>
      <c r="L202" s="1282"/>
      <c r="M202" s="1282"/>
      <c r="N202" s="1282"/>
      <c r="O202" s="1282"/>
      <c r="P202" s="1282"/>
      <c r="Q202" s="1282"/>
      <c r="R202" s="1282"/>
      <c r="S202" s="1282"/>
      <c r="T202" s="1282"/>
      <c r="U202" s="1282"/>
      <c r="V202" s="1282"/>
      <c r="W202" s="1282"/>
      <c r="X202" s="1282"/>
      <c r="Y202" s="1282"/>
      <c r="Z202" s="1282"/>
      <c r="AA202" s="1282"/>
      <c r="AB202" s="1282"/>
      <c r="AC202" s="1282"/>
      <c r="AD202" s="1282"/>
      <c r="AE202" s="1282"/>
      <c r="AF202" s="1282"/>
      <c r="AG202" s="1282"/>
      <c r="AH202" s="1282"/>
      <c r="AI202" s="1282"/>
      <c r="AJ202" s="1282"/>
      <c r="AK202" s="1282"/>
      <c r="AL202" s="1282"/>
      <c r="AM202" s="1282"/>
      <c r="AN202" s="1282"/>
      <c r="AO202" s="1282"/>
      <c r="AP202" s="1282"/>
      <c r="AQ202" s="1282"/>
      <c r="AR202" s="1282"/>
      <c r="AS202" s="1282"/>
      <c r="AT202" s="1282"/>
      <c r="AU202" s="1282"/>
      <c r="AV202" s="1282"/>
      <c r="AW202" s="1282"/>
      <c r="AX202" s="1282"/>
      <c r="AY202" s="1282"/>
      <c r="AZ202" s="1282"/>
      <c r="BA202" s="1282"/>
      <c r="BB202" s="1282"/>
      <c r="BC202" s="1282"/>
      <c r="BD202" s="1282"/>
      <c r="BE202" s="1282"/>
      <c r="BF202" s="1282"/>
      <c r="BG202" s="1282"/>
      <c r="BH202" s="1282"/>
      <c r="BI202" s="1282"/>
      <c r="BJ202" s="1282"/>
      <c r="BK202" s="1282"/>
      <c r="BL202" s="1282"/>
      <c r="BM202" s="1282"/>
      <c r="BN202" s="1282"/>
      <c r="BO202" s="1282"/>
      <c r="BP202" s="1282"/>
      <c r="BQ202" s="1282"/>
      <c r="BR202" s="1282"/>
      <c r="BS202" s="1282"/>
      <c r="BT202" s="1282"/>
      <c r="BU202" s="1282"/>
      <c r="BV202" s="1282"/>
      <c r="BW202" s="1282"/>
      <c r="BX202" s="1282"/>
      <c r="BY202" s="1282"/>
      <c r="BZ202" s="1282"/>
      <c r="CA202" s="1513"/>
      <c r="CK202" s="1513"/>
      <c r="CL202" s="1513"/>
      <c r="CM202" s="1513"/>
      <c r="CN202" s="1513"/>
      <c r="CO202" s="1513"/>
      <c r="CP202" s="1513"/>
      <c r="CQ202" s="1513"/>
      <c r="CR202" s="1513"/>
      <c r="CS202" s="1513"/>
      <c r="CT202" s="1513"/>
      <c r="CU202" s="1513"/>
      <c r="CV202" s="1513"/>
      <c r="CW202" s="1513"/>
      <c r="CX202" s="1513"/>
      <c r="CY202" s="1513"/>
      <c r="CZ202" s="1513"/>
      <c r="DA202" s="1513"/>
      <c r="DB202" s="1513"/>
      <c r="DC202" s="1513"/>
      <c r="DD202" s="1513"/>
      <c r="DE202" s="1513"/>
      <c r="DF202" s="1513"/>
      <c r="DG202" s="1513"/>
      <c r="DH202" s="1513"/>
      <c r="DI202" s="1513"/>
      <c r="DJ202" s="1513"/>
      <c r="DK202" s="1513"/>
      <c r="DL202" s="1513"/>
      <c r="DM202" s="1513"/>
      <c r="DN202" s="1513"/>
      <c r="DO202" s="1513"/>
      <c r="DP202" s="1513"/>
      <c r="DQ202" s="1513"/>
      <c r="DR202" s="1513"/>
      <c r="DS202" s="1513"/>
      <c r="DT202" s="1513"/>
      <c r="DU202" s="1513"/>
      <c r="DV202" s="1513"/>
      <c r="DW202" s="1513"/>
      <c r="DX202" s="1513"/>
      <c r="DY202" s="1513"/>
      <c r="DZ202" s="1513"/>
      <c r="EA202" s="1513"/>
      <c r="EB202" s="1513"/>
      <c r="EC202" s="1513"/>
      <c r="ED202" s="1513"/>
      <c r="EE202" s="1513"/>
      <c r="EF202" s="1513"/>
      <c r="EG202" s="1513"/>
      <c r="EH202" s="1513"/>
      <c r="EI202" s="1513"/>
      <c r="EJ202" s="1513"/>
      <c r="EK202" s="1513"/>
      <c r="EL202" s="1513"/>
      <c r="EM202" s="1513"/>
      <c r="EN202" s="1513"/>
      <c r="EO202" s="1513"/>
      <c r="EP202" s="1513"/>
      <c r="EQ202" s="1513"/>
      <c r="ER202" s="1513"/>
      <c r="ES202" s="1513"/>
      <c r="ET202" s="1513"/>
      <c r="EU202" s="1513"/>
      <c r="EV202" s="1513"/>
      <c r="EW202" s="1513"/>
      <c r="EX202" s="1513"/>
      <c r="EY202" s="1513"/>
      <c r="EZ202" s="1513"/>
      <c r="FA202" s="1513"/>
      <c r="FB202" s="1513"/>
      <c r="FC202" s="1513"/>
      <c r="FD202" s="1513"/>
      <c r="FE202" s="1513"/>
      <c r="FF202" s="1513"/>
      <c r="FG202" s="1513"/>
      <c r="FH202" s="1513"/>
      <c r="FI202" s="1513"/>
      <c r="FJ202" s="1513"/>
      <c r="FL202" s="1513"/>
    </row>
    <row r="203" spans="1:168" ht="17.100000000000001" customHeight="1" x14ac:dyDescent="0.15">
      <c r="A203" s="1513"/>
      <c r="B203" s="1282"/>
      <c r="C203" s="1282"/>
      <c r="D203" s="1282"/>
      <c r="E203" s="1282"/>
      <c r="F203" s="1282"/>
      <c r="G203" s="1282"/>
      <c r="H203" s="1282"/>
      <c r="I203" s="1282"/>
      <c r="J203" s="1282"/>
      <c r="K203" s="1282"/>
      <c r="L203" s="1282"/>
      <c r="M203" s="1282"/>
      <c r="N203" s="1282"/>
      <c r="O203" s="1282"/>
      <c r="P203" s="1282"/>
      <c r="Q203" s="1282"/>
      <c r="R203" s="1282"/>
      <c r="S203" s="1282"/>
      <c r="T203" s="1282"/>
      <c r="U203" s="1282"/>
      <c r="V203" s="1282"/>
      <c r="W203" s="1282"/>
      <c r="X203" s="1282"/>
      <c r="Y203" s="1282"/>
      <c r="Z203" s="1282"/>
      <c r="AA203" s="1282"/>
      <c r="AB203" s="1282"/>
      <c r="AC203" s="1282"/>
      <c r="AD203" s="1282"/>
      <c r="AE203" s="1282"/>
      <c r="AF203" s="1282"/>
      <c r="AG203" s="1282"/>
      <c r="AH203" s="1282"/>
      <c r="AI203" s="1282"/>
      <c r="AJ203" s="1282"/>
      <c r="AK203" s="1282"/>
      <c r="AL203" s="1282"/>
      <c r="AM203" s="1282"/>
      <c r="AN203" s="1282"/>
      <c r="AO203" s="1282"/>
      <c r="AP203" s="1282"/>
      <c r="AQ203" s="1282"/>
      <c r="AR203" s="1282"/>
      <c r="AS203" s="1282"/>
      <c r="AT203" s="1282"/>
      <c r="AU203" s="1282"/>
      <c r="AV203" s="1282"/>
      <c r="AW203" s="1282"/>
      <c r="AX203" s="1282"/>
      <c r="AY203" s="1282"/>
      <c r="AZ203" s="1282"/>
      <c r="BA203" s="1282"/>
      <c r="BB203" s="1282"/>
      <c r="BC203" s="1282"/>
      <c r="BD203" s="1282"/>
      <c r="BE203" s="1282"/>
      <c r="BF203" s="1282"/>
      <c r="BG203" s="1282"/>
      <c r="BH203" s="1282"/>
      <c r="BI203" s="1282"/>
      <c r="BJ203" s="1282"/>
      <c r="BK203" s="1282"/>
      <c r="BL203" s="1282"/>
      <c r="BM203" s="1282"/>
      <c r="BN203" s="1282"/>
      <c r="BO203" s="1282"/>
      <c r="BP203" s="1282"/>
      <c r="BQ203" s="1282"/>
      <c r="BR203" s="1282"/>
      <c r="BS203" s="1282"/>
      <c r="BT203" s="1282"/>
      <c r="BU203" s="1282"/>
      <c r="BV203" s="1282"/>
      <c r="BW203" s="1282"/>
      <c r="BX203" s="1282"/>
      <c r="BY203" s="1282"/>
      <c r="BZ203" s="1282"/>
      <c r="CA203" s="1513"/>
      <c r="CK203" s="1513"/>
      <c r="CL203" s="1513"/>
      <c r="CM203" s="1513"/>
      <c r="CN203" s="1513"/>
      <c r="CO203" s="1513"/>
      <c r="CP203" s="1513"/>
      <c r="CQ203" s="1513"/>
      <c r="CR203" s="1513"/>
      <c r="CS203" s="1513"/>
      <c r="CT203" s="1513"/>
      <c r="CU203" s="1513"/>
      <c r="CV203" s="1513"/>
      <c r="CW203" s="1513"/>
      <c r="CX203" s="1513"/>
      <c r="CY203" s="1513"/>
      <c r="CZ203" s="1513"/>
      <c r="DA203" s="1513"/>
      <c r="DB203" s="1513"/>
      <c r="DC203" s="1513"/>
      <c r="DD203" s="1513"/>
      <c r="DE203" s="1513"/>
      <c r="DF203" s="1513"/>
      <c r="DG203" s="1513"/>
      <c r="DH203" s="1513"/>
      <c r="DI203" s="1513"/>
      <c r="DJ203" s="1513"/>
      <c r="DK203" s="1513"/>
      <c r="DL203" s="1513"/>
      <c r="DM203" s="1513"/>
      <c r="DN203" s="1513"/>
      <c r="DO203" s="1513"/>
      <c r="DP203" s="1513"/>
      <c r="DQ203" s="1513"/>
      <c r="DR203" s="1513"/>
      <c r="DS203" s="1513"/>
      <c r="DT203" s="1513"/>
      <c r="DU203" s="1513"/>
      <c r="DV203" s="1513"/>
      <c r="DW203" s="1513"/>
      <c r="DX203" s="1513"/>
      <c r="DY203" s="1513"/>
      <c r="DZ203" s="1513"/>
      <c r="EA203" s="1513"/>
      <c r="EB203" s="1513"/>
      <c r="EC203" s="1513"/>
      <c r="ED203" s="1513"/>
      <c r="EE203" s="1513"/>
      <c r="EF203" s="1513"/>
      <c r="EG203" s="1513"/>
      <c r="EH203" s="1513"/>
      <c r="EI203" s="1513"/>
      <c r="EJ203" s="1513"/>
      <c r="EK203" s="1513"/>
      <c r="EL203" s="1513"/>
      <c r="EM203" s="1513"/>
      <c r="EN203" s="1513"/>
      <c r="EO203" s="1513"/>
      <c r="EP203" s="1513"/>
      <c r="EQ203" s="1513"/>
      <c r="ER203" s="1513"/>
      <c r="ES203" s="1513"/>
      <c r="ET203" s="1513"/>
      <c r="EU203" s="1513"/>
      <c r="EV203" s="1513"/>
      <c r="EW203" s="1513"/>
      <c r="EX203" s="1513"/>
      <c r="EY203" s="1513"/>
      <c r="EZ203" s="1513"/>
      <c r="FA203" s="1513"/>
      <c r="FB203" s="1513"/>
      <c r="FC203" s="1513"/>
      <c r="FD203" s="1513"/>
      <c r="FE203" s="1513"/>
      <c r="FF203" s="1513"/>
      <c r="FG203" s="1513"/>
      <c r="FH203" s="1513"/>
      <c r="FI203" s="1513"/>
      <c r="FJ203" s="1513"/>
      <c r="FL203" s="1513"/>
    </row>
    <row r="204" spans="1:168" ht="17.100000000000001" customHeight="1" x14ac:dyDescent="0.15">
      <c r="A204" s="1513"/>
      <c r="B204" s="1282"/>
      <c r="C204" s="1282"/>
      <c r="D204" s="1282"/>
      <c r="E204" s="1282"/>
      <c r="F204" s="1282"/>
      <c r="G204" s="1282"/>
      <c r="H204" s="1282"/>
      <c r="I204" s="1282"/>
      <c r="J204" s="1282"/>
      <c r="K204" s="1282"/>
      <c r="L204" s="1282"/>
      <c r="M204" s="1282"/>
      <c r="N204" s="1282"/>
      <c r="O204" s="1282"/>
      <c r="P204" s="1282"/>
      <c r="Q204" s="1282"/>
      <c r="R204" s="1282"/>
      <c r="S204" s="1282"/>
      <c r="T204" s="1282"/>
      <c r="U204" s="1282"/>
      <c r="V204" s="1282"/>
      <c r="W204" s="1282"/>
      <c r="X204" s="1282"/>
      <c r="Y204" s="1282"/>
      <c r="Z204" s="1282"/>
      <c r="AA204" s="1282"/>
      <c r="AB204" s="1282"/>
      <c r="AC204" s="1282"/>
      <c r="AD204" s="1282"/>
      <c r="AE204" s="1282"/>
      <c r="AF204" s="1282"/>
      <c r="AG204" s="1282"/>
      <c r="AH204" s="1282"/>
      <c r="AI204" s="1282"/>
      <c r="AJ204" s="1282"/>
      <c r="AK204" s="1282"/>
      <c r="AL204" s="1282"/>
      <c r="AM204" s="1282"/>
      <c r="AN204" s="1282"/>
      <c r="AO204" s="1282"/>
      <c r="AP204" s="1282"/>
      <c r="AQ204" s="1282"/>
      <c r="AR204" s="1282"/>
      <c r="AS204" s="1282"/>
      <c r="AT204" s="1282"/>
      <c r="AU204" s="1282"/>
      <c r="AV204" s="1282"/>
      <c r="AW204" s="1282"/>
      <c r="AX204" s="1282"/>
      <c r="AY204" s="1282"/>
      <c r="AZ204" s="1282"/>
      <c r="BA204" s="1282"/>
      <c r="BB204" s="1282"/>
      <c r="BC204" s="1282"/>
      <c r="BD204" s="1282"/>
      <c r="BE204" s="1282"/>
      <c r="BF204" s="1282"/>
      <c r="BG204" s="1282"/>
      <c r="BH204" s="1282"/>
      <c r="BI204" s="1282"/>
      <c r="BJ204" s="1282"/>
      <c r="BK204" s="1282"/>
      <c r="BL204" s="1282"/>
      <c r="BM204" s="1282"/>
      <c r="BN204" s="1282"/>
      <c r="BO204" s="1282"/>
      <c r="BP204" s="1282"/>
      <c r="BQ204" s="1282"/>
      <c r="BR204" s="1282"/>
      <c r="BS204" s="1282"/>
      <c r="BT204" s="1282"/>
      <c r="BU204" s="1282"/>
      <c r="BV204" s="1282"/>
      <c r="BW204" s="1282"/>
      <c r="BX204" s="1282"/>
      <c r="BY204" s="1282"/>
      <c r="BZ204" s="1282"/>
      <c r="CA204" s="1513"/>
      <c r="CK204" s="1513"/>
      <c r="CL204" s="1513"/>
      <c r="CM204" s="1513"/>
      <c r="CN204" s="1513"/>
      <c r="CO204" s="1513"/>
      <c r="CP204" s="1513"/>
      <c r="CQ204" s="1513"/>
      <c r="CR204" s="1513"/>
      <c r="CS204" s="1513"/>
      <c r="CT204" s="1513"/>
      <c r="CU204" s="1513"/>
      <c r="CV204" s="1513"/>
      <c r="CW204" s="1513"/>
      <c r="CX204" s="1513"/>
      <c r="CY204" s="1513"/>
      <c r="CZ204" s="1513"/>
      <c r="DA204" s="1513"/>
      <c r="DB204" s="1513"/>
      <c r="DC204" s="1513"/>
      <c r="DD204" s="1513"/>
      <c r="DE204" s="1513"/>
      <c r="DF204" s="1513"/>
      <c r="DG204" s="1513"/>
      <c r="DH204" s="1513"/>
      <c r="DI204" s="1513"/>
      <c r="DJ204" s="1513"/>
      <c r="DK204" s="1513"/>
      <c r="DL204" s="1513"/>
      <c r="DM204" s="1513"/>
      <c r="DN204" s="1513"/>
      <c r="DO204" s="1513"/>
      <c r="DP204" s="1513"/>
      <c r="DQ204" s="1513"/>
      <c r="DR204" s="1513"/>
      <c r="DS204" s="1513"/>
      <c r="DT204" s="1513"/>
      <c r="DU204" s="1513"/>
      <c r="DV204" s="1513"/>
      <c r="DW204" s="1513"/>
      <c r="DX204" s="1513"/>
      <c r="DY204" s="1513"/>
      <c r="DZ204" s="1513"/>
      <c r="EA204" s="1513"/>
      <c r="EB204" s="1513"/>
      <c r="EC204" s="1513"/>
      <c r="ED204" s="1513"/>
      <c r="EE204" s="1513"/>
      <c r="EF204" s="1513"/>
      <c r="EG204" s="1513"/>
      <c r="EH204" s="1513"/>
      <c r="EI204" s="1513"/>
      <c r="EJ204" s="1513"/>
      <c r="EK204" s="1513"/>
      <c r="EL204" s="1513"/>
      <c r="EM204" s="1513"/>
      <c r="EN204" s="1513"/>
      <c r="EO204" s="1513"/>
      <c r="EP204" s="1513"/>
      <c r="EQ204" s="1513"/>
      <c r="ER204" s="1513"/>
      <c r="ES204" s="1513"/>
      <c r="ET204" s="1513"/>
      <c r="EU204" s="1513"/>
      <c r="EV204" s="1513"/>
      <c r="EW204" s="1513"/>
      <c r="EX204" s="1513"/>
      <c r="EY204" s="1513"/>
      <c r="EZ204" s="1513"/>
      <c r="FA204" s="1513"/>
      <c r="FB204" s="1513"/>
      <c r="FC204" s="1513"/>
      <c r="FD204" s="1513"/>
      <c r="FE204" s="1513"/>
      <c r="FF204" s="1513"/>
      <c r="FG204" s="1513"/>
      <c r="FH204" s="1513"/>
      <c r="FI204" s="1513"/>
      <c r="FJ204" s="1513"/>
      <c r="FL204" s="1513"/>
    </row>
    <row r="205" spans="1:168" ht="17.100000000000001" customHeight="1" x14ac:dyDescent="0.15">
      <c r="A205" s="1513"/>
      <c r="B205" s="1282"/>
      <c r="C205" s="1282"/>
      <c r="D205" s="1282"/>
      <c r="E205" s="1282"/>
      <c r="F205" s="1282"/>
      <c r="G205" s="1282"/>
      <c r="H205" s="1282"/>
      <c r="I205" s="1282"/>
      <c r="J205" s="1282"/>
      <c r="K205" s="1282"/>
      <c r="L205" s="1282"/>
      <c r="M205" s="1282"/>
      <c r="N205" s="1282"/>
      <c r="O205" s="1282"/>
      <c r="P205" s="1282"/>
      <c r="Q205" s="1282"/>
      <c r="R205" s="1282"/>
      <c r="S205" s="1282"/>
      <c r="T205" s="1282"/>
      <c r="U205" s="1282"/>
      <c r="V205" s="1282"/>
      <c r="W205" s="1282"/>
      <c r="X205" s="1282"/>
      <c r="Y205" s="1282"/>
      <c r="Z205" s="1282"/>
      <c r="AA205" s="1282"/>
      <c r="AB205" s="1282"/>
      <c r="AC205" s="1282"/>
      <c r="AD205" s="1282"/>
      <c r="AE205" s="1282"/>
      <c r="AF205" s="1282"/>
      <c r="AG205" s="1282"/>
      <c r="AH205" s="1282"/>
      <c r="AI205" s="1282"/>
      <c r="AJ205" s="1282"/>
      <c r="AK205" s="1282"/>
      <c r="AL205" s="1282"/>
      <c r="AM205" s="1282"/>
      <c r="AN205" s="1282"/>
      <c r="AO205" s="1282"/>
      <c r="AP205" s="1282"/>
      <c r="AQ205" s="1282"/>
      <c r="AR205" s="1282"/>
      <c r="AS205" s="1282"/>
      <c r="AT205" s="1282"/>
      <c r="AU205" s="1282"/>
      <c r="AV205" s="1282"/>
      <c r="AW205" s="1282"/>
      <c r="AX205" s="1282"/>
      <c r="AY205" s="1282"/>
      <c r="AZ205" s="1282"/>
      <c r="BA205" s="1282"/>
      <c r="BB205" s="1282"/>
      <c r="BC205" s="1282"/>
      <c r="BD205" s="1282"/>
      <c r="BE205" s="1282"/>
      <c r="BF205" s="1282"/>
      <c r="BG205" s="1282"/>
      <c r="BH205" s="1282"/>
      <c r="BI205" s="1282"/>
      <c r="BJ205" s="1282"/>
      <c r="BK205" s="1282"/>
      <c r="BL205" s="1282"/>
      <c r="BM205" s="1282"/>
      <c r="BN205" s="1282"/>
      <c r="BO205" s="1282"/>
      <c r="BP205" s="1282"/>
      <c r="BQ205" s="1282"/>
      <c r="BR205" s="1282"/>
      <c r="BS205" s="1282"/>
      <c r="BT205" s="1282"/>
      <c r="BU205" s="1282"/>
      <c r="BV205" s="1282"/>
      <c r="BW205" s="1282"/>
      <c r="BX205" s="1282"/>
      <c r="BY205" s="1282"/>
      <c r="BZ205" s="1282"/>
      <c r="CA205" s="1513"/>
      <c r="CK205" s="1513"/>
      <c r="CL205" s="1513"/>
      <c r="CM205" s="1513"/>
      <c r="CN205" s="1513"/>
      <c r="CO205" s="1513"/>
      <c r="CP205" s="1513"/>
      <c r="CQ205" s="1513"/>
      <c r="CR205" s="1513"/>
      <c r="CS205" s="1513"/>
      <c r="CT205" s="1513"/>
      <c r="CU205" s="1513"/>
      <c r="CV205" s="1513"/>
      <c r="CW205" s="1513"/>
      <c r="CX205" s="1513"/>
      <c r="CY205" s="1513"/>
      <c r="CZ205" s="1513"/>
      <c r="DA205" s="1513"/>
      <c r="DB205" s="1513"/>
      <c r="DC205" s="1513"/>
      <c r="DD205" s="1513"/>
      <c r="DE205" s="1513"/>
      <c r="DF205" s="1513"/>
      <c r="DG205" s="1513"/>
      <c r="DH205" s="1513"/>
      <c r="DI205" s="1513"/>
      <c r="DJ205" s="1513"/>
      <c r="DK205" s="1513"/>
      <c r="DL205" s="1513"/>
      <c r="DM205" s="1513"/>
      <c r="DN205" s="1513"/>
      <c r="DO205" s="1513"/>
      <c r="DP205" s="1513"/>
      <c r="DQ205" s="1513"/>
      <c r="DR205" s="1513"/>
      <c r="DS205" s="1513"/>
      <c r="DT205" s="1513"/>
      <c r="DU205" s="1513"/>
      <c r="DV205" s="1513"/>
      <c r="DW205" s="1513"/>
      <c r="DX205" s="1513"/>
      <c r="DY205" s="1513"/>
      <c r="DZ205" s="1513"/>
      <c r="EA205" s="1513"/>
      <c r="EB205" s="1513"/>
      <c r="EC205" s="1513"/>
      <c r="ED205" s="1513"/>
      <c r="EE205" s="1513"/>
      <c r="EF205" s="1513"/>
      <c r="EG205" s="1513"/>
      <c r="EH205" s="1513"/>
      <c r="EI205" s="1513"/>
      <c r="EJ205" s="1513"/>
      <c r="EK205" s="1513"/>
      <c r="EL205" s="1513"/>
      <c r="EM205" s="1513"/>
      <c r="EN205" s="1513"/>
      <c r="EO205" s="1513"/>
      <c r="EP205" s="1513"/>
      <c r="EQ205" s="1513"/>
      <c r="ER205" s="1513"/>
      <c r="ES205" s="1513"/>
      <c r="ET205" s="1513"/>
      <c r="EU205" s="1513"/>
      <c r="EV205" s="1513"/>
      <c r="EW205" s="1513"/>
      <c r="EX205" s="1513"/>
      <c r="EY205" s="1513"/>
      <c r="EZ205" s="1513"/>
      <c r="FA205" s="1513"/>
      <c r="FB205" s="1513"/>
      <c r="FC205" s="1513"/>
      <c r="FD205" s="1513"/>
      <c r="FE205" s="1513"/>
      <c r="FF205" s="1513"/>
      <c r="FG205" s="1513"/>
      <c r="FH205" s="1513"/>
      <c r="FI205" s="1513"/>
      <c r="FJ205" s="1513"/>
      <c r="FL205" s="1513"/>
    </row>
    <row r="206" spans="1:168" ht="17.100000000000001" customHeight="1" x14ac:dyDescent="0.15">
      <c r="A206" s="1513"/>
      <c r="B206" s="1282"/>
      <c r="C206" s="1282"/>
      <c r="D206" s="1282"/>
      <c r="E206" s="1282"/>
      <c r="F206" s="1282"/>
      <c r="G206" s="1282"/>
      <c r="H206" s="1282"/>
      <c r="I206" s="1282"/>
      <c r="J206" s="1282"/>
      <c r="K206" s="1282"/>
      <c r="L206" s="1282"/>
      <c r="M206" s="1282"/>
      <c r="N206" s="1282"/>
      <c r="O206" s="1282"/>
      <c r="P206" s="1282"/>
      <c r="Q206" s="1282"/>
      <c r="R206" s="1282"/>
      <c r="S206" s="1282"/>
      <c r="T206" s="1282"/>
      <c r="U206" s="1282"/>
      <c r="V206" s="1282"/>
      <c r="W206" s="1282"/>
      <c r="X206" s="1282"/>
      <c r="Y206" s="1282"/>
      <c r="Z206" s="1282"/>
      <c r="AA206" s="1282"/>
      <c r="AB206" s="1282"/>
      <c r="AC206" s="1282"/>
      <c r="AD206" s="1282"/>
      <c r="AE206" s="1282"/>
      <c r="AF206" s="1282"/>
      <c r="AG206" s="1282"/>
      <c r="AH206" s="1282"/>
      <c r="AI206" s="1282"/>
      <c r="AJ206" s="1282"/>
      <c r="AK206" s="1282"/>
      <c r="AL206" s="1282"/>
      <c r="AM206" s="1282"/>
      <c r="AN206" s="1282"/>
      <c r="AO206" s="1282"/>
      <c r="AP206" s="1282"/>
      <c r="AQ206" s="1282"/>
      <c r="AR206" s="1282"/>
      <c r="AS206" s="1282"/>
      <c r="AT206" s="1282"/>
      <c r="AU206" s="1282"/>
      <c r="AV206" s="1282"/>
      <c r="AW206" s="1282"/>
      <c r="AX206" s="1282"/>
      <c r="AY206" s="1282"/>
      <c r="AZ206" s="1282"/>
      <c r="BA206" s="1282"/>
      <c r="BB206" s="1282"/>
      <c r="BC206" s="1282"/>
      <c r="BD206" s="1282"/>
      <c r="BE206" s="1282"/>
      <c r="BF206" s="1282"/>
      <c r="BG206" s="1282"/>
      <c r="BH206" s="1282"/>
      <c r="BI206" s="1282"/>
      <c r="BJ206" s="1282"/>
      <c r="BK206" s="1282"/>
      <c r="BL206" s="1282"/>
      <c r="BM206" s="1282"/>
      <c r="BN206" s="1282"/>
      <c r="BO206" s="1282"/>
      <c r="BP206" s="1282"/>
      <c r="BQ206" s="1282"/>
      <c r="BR206" s="1282"/>
      <c r="BS206" s="1282"/>
      <c r="BT206" s="1282"/>
      <c r="BU206" s="1282"/>
      <c r="BV206" s="1282"/>
      <c r="BW206" s="1282"/>
      <c r="BX206" s="1282"/>
      <c r="BY206" s="1282"/>
      <c r="BZ206" s="1282"/>
      <c r="CA206" s="1513"/>
      <c r="CK206" s="1513"/>
      <c r="CL206" s="1513"/>
      <c r="CM206" s="1513"/>
      <c r="CN206" s="1513"/>
      <c r="CO206" s="1513"/>
      <c r="CP206" s="1513"/>
      <c r="CQ206" s="1513"/>
      <c r="CR206" s="1513"/>
      <c r="CS206" s="1513"/>
      <c r="CT206" s="1513"/>
      <c r="CU206" s="1513"/>
      <c r="CV206" s="1513"/>
      <c r="CW206" s="1513"/>
      <c r="CX206" s="1513"/>
      <c r="CY206" s="1513"/>
      <c r="CZ206" s="1513"/>
      <c r="DA206" s="1513"/>
      <c r="DB206" s="1513"/>
      <c r="DC206" s="1513"/>
      <c r="DD206" s="1513"/>
      <c r="DE206" s="1513"/>
      <c r="DF206" s="1513"/>
      <c r="DG206" s="1513"/>
      <c r="DH206" s="1513"/>
      <c r="DI206" s="1513"/>
      <c r="DJ206" s="1513"/>
      <c r="DK206" s="1513"/>
      <c r="DL206" s="1513"/>
      <c r="DM206" s="1513"/>
      <c r="DN206" s="1513"/>
      <c r="DO206" s="1513"/>
      <c r="DP206" s="1513"/>
      <c r="DQ206" s="1513"/>
      <c r="DR206" s="1513"/>
      <c r="DS206" s="1513"/>
      <c r="DT206" s="1513"/>
      <c r="DU206" s="1513"/>
      <c r="DV206" s="1513"/>
      <c r="DW206" s="1513"/>
      <c r="DX206" s="1513"/>
      <c r="DY206" s="1513"/>
      <c r="DZ206" s="1513"/>
      <c r="EA206" s="1513"/>
      <c r="EB206" s="1513"/>
      <c r="EC206" s="1513"/>
      <c r="ED206" s="1513"/>
      <c r="EE206" s="1513"/>
      <c r="EF206" s="1513"/>
      <c r="EG206" s="1513"/>
      <c r="EH206" s="1513"/>
      <c r="EI206" s="1513"/>
      <c r="EJ206" s="1513"/>
      <c r="EK206" s="1513"/>
      <c r="EL206" s="1513"/>
      <c r="EM206" s="1513"/>
      <c r="EN206" s="1513"/>
      <c r="EO206" s="1513"/>
      <c r="EP206" s="1513"/>
      <c r="EQ206" s="1513"/>
      <c r="ER206" s="1513"/>
      <c r="ES206" s="1513"/>
      <c r="ET206" s="1513"/>
      <c r="EU206" s="1513"/>
      <c r="EV206" s="1513"/>
      <c r="EW206" s="1513"/>
      <c r="EX206" s="1513"/>
      <c r="EY206" s="1513"/>
      <c r="EZ206" s="1513"/>
      <c r="FA206" s="1513"/>
      <c r="FB206" s="1513"/>
      <c r="FC206" s="1513"/>
      <c r="FD206" s="1513"/>
      <c r="FE206" s="1513"/>
      <c r="FF206" s="1513"/>
      <c r="FG206" s="1513"/>
      <c r="FH206" s="1513"/>
      <c r="FI206" s="1513"/>
      <c r="FJ206" s="1513"/>
      <c r="FL206" s="1513"/>
    </row>
    <row r="207" spans="1:168" ht="17.100000000000001" customHeight="1" x14ac:dyDescent="0.15">
      <c r="A207" s="1513"/>
      <c r="B207" s="1282"/>
      <c r="C207" s="1282"/>
      <c r="D207" s="1282"/>
      <c r="E207" s="1282"/>
      <c r="F207" s="1282"/>
      <c r="G207" s="1282"/>
      <c r="H207" s="1282"/>
      <c r="I207" s="1282"/>
      <c r="J207" s="1282"/>
      <c r="K207" s="1282"/>
      <c r="L207" s="1282"/>
      <c r="M207" s="1282"/>
      <c r="N207" s="1282"/>
      <c r="O207" s="1282"/>
      <c r="P207" s="1282"/>
      <c r="Q207" s="1282"/>
      <c r="R207" s="1282"/>
      <c r="S207" s="1282"/>
      <c r="T207" s="1282"/>
      <c r="U207" s="1282"/>
      <c r="V207" s="1282"/>
      <c r="W207" s="1282"/>
      <c r="X207" s="1282"/>
      <c r="Y207" s="1282"/>
      <c r="Z207" s="1282"/>
      <c r="AA207" s="1282"/>
      <c r="AB207" s="1282"/>
      <c r="AC207" s="1282"/>
      <c r="AD207" s="1282"/>
      <c r="AE207" s="1282"/>
      <c r="AF207" s="1282"/>
      <c r="AG207" s="1282"/>
      <c r="AH207" s="1282"/>
      <c r="AI207" s="1282"/>
      <c r="AJ207" s="1282"/>
      <c r="AK207" s="1282"/>
      <c r="AL207" s="1282"/>
      <c r="AM207" s="1282"/>
      <c r="AN207" s="1282"/>
      <c r="AO207" s="1282"/>
      <c r="AP207" s="1282"/>
      <c r="AQ207" s="1282"/>
      <c r="AR207" s="1282"/>
      <c r="AS207" s="1282"/>
      <c r="AT207" s="1282"/>
      <c r="AU207" s="1282"/>
      <c r="AV207" s="1282"/>
      <c r="AW207" s="1282"/>
      <c r="AX207" s="1282"/>
      <c r="AY207" s="1282"/>
      <c r="AZ207" s="1282"/>
      <c r="BA207" s="1282"/>
      <c r="BB207" s="1282"/>
      <c r="BC207" s="1282"/>
      <c r="BD207" s="1282"/>
      <c r="BE207" s="1282"/>
      <c r="BF207" s="1282"/>
      <c r="BG207" s="1282"/>
      <c r="BH207" s="1282"/>
      <c r="BI207" s="1282"/>
      <c r="BJ207" s="1282"/>
      <c r="BK207" s="1282"/>
      <c r="BL207" s="1282"/>
      <c r="BM207" s="1282"/>
      <c r="BN207" s="1282"/>
      <c r="BO207" s="1282"/>
      <c r="BP207" s="1282"/>
      <c r="BQ207" s="1282"/>
      <c r="BR207" s="1282"/>
      <c r="BS207" s="1282"/>
      <c r="BT207" s="1282"/>
      <c r="BU207" s="1282"/>
      <c r="BV207" s="1282"/>
      <c r="BW207" s="1282"/>
      <c r="BX207" s="1282"/>
      <c r="BY207" s="1282"/>
      <c r="BZ207" s="1282"/>
      <c r="CA207" s="1513"/>
      <c r="CK207" s="1513"/>
      <c r="CL207" s="1513"/>
      <c r="CM207" s="1513"/>
      <c r="CN207" s="1513"/>
      <c r="CO207" s="1513"/>
      <c r="CP207" s="1513"/>
      <c r="CQ207" s="1513"/>
      <c r="CR207" s="1513"/>
      <c r="CS207" s="1513"/>
      <c r="CT207" s="1513"/>
      <c r="CU207" s="1513"/>
      <c r="CV207" s="1513"/>
      <c r="CW207" s="1513"/>
      <c r="CX207" s="1513"/>
      <c r="CY207" s="1513"/>
      <c r="CZ207" s="1513"/>
      <c r="DA207" s="1513"/>
      <c r="DB207" s="1513"/>
      <c r="DC207" s="1513"/>
      <c r="DD207" s="1513"/>
      <c r="DE207" s="1513"/>
      <c r="DF207" s="1513"/>
      <c r="DG207" s="1513"/>
      <c r="DH207" s="1513"/>
      <c r="DI207" s="1513"/>
      <c r="DJ207" s="1513"/>
      <c r="DK207" s="1513"/>
      <c r="DL207" s="1513"/>
      <c r="DM207" s="1513"/>
      <c r="DN207" s="1513"/>
      <c r="DO207" s="1513"/>
      <c r="DP207" s="1513"/>
      <c r="DQ207" s="1513"/>
      <c r="DR207" s="1513"/>
      <c r="DS207" s="1513"/>
      <c r="DT207" s="1513"/>
      <c r="DU207" s="1513"/>
      <c r="DV207" s="1513"/>
      <c r="DW207" s="1513"/>
      <c r="DX207" s="1513"/>
      <c r="DY207" s="1513"/>
      <c r="DZ207" s="1513"/>
      <c r="EA207" s="1513"/>
      <c r="EB207" s="1513"/>
      <c r="EC207" s="1513"/>
      <c r="ED207" s="1513"/>
      <c r="EE207" s="1513"/>
      <c r="EF207" s="1513"/>
      <c r="EG207" s="1513"/>
      <c r="EH207" s="1513"/>
      <c r="EI207" s="1513"/>
      <c r="EJ207" s="1513"/>
      <c r="EK207" s="1513"/>
      <c r="EL207" s="1513"/>
      <c r="EM207" s="1513"/>
      <c r="EN207" s="1513"/>
      <c r="EO207" s="1513"/>
      <c r="EP207" s="1513"/>
      <c r="EQ207" s="1513"/>
      <c r="ER207" s="1513"/>
      <c r="ES207" s="1513"/>
      <c r="ET207" s="1513"/>
      <c r="EU207" s="1513"/>
      <c r="EV207" s="1513"/>
      <c r="EW207" s="1513"/>
      <c r="EX207" s="1513"/>
      <c r="EY207" s="1513"/>
      <c r="EZ207" s="1513"/>
      <c r="FA207" s="1513"/>
      <c r="FB207" s="1513"/>
      <c r="FC207" s="1513"/>
      <c r="FD207" s="1513"/>
      <c r="FE207" s="1513"/>
      <c r="FF207" s="1513"/>
      <c r="FG207" s="1513"/>
      <c r="FH207" s="1513"/>
      <c r="FI207" s="1513"/>
      <c r="FJ207" s="1513"/>
      <c r="FL207" s="1513"/>
    </row>
    <row r="208" spans="1:168" ht="17.100000000000001" customHeight="1" x14ac:dyDescent="0.15">
      <c r="A208" s="1513"/>
      <c r="B208" s="1282"/>
      <c r="C208" s="1282"/>
      <c r="D208" s="1282"/>
      <c r="E208" s="1282"/>
      <c r="F208" s="1282"/>
      <c r="G208" s="1282"/>
      <c r="H208" s="1282"/>
      <c r="I208" s="1282"/>
      <c r="J208" s="1282"/>
      <c r="K208" s="1282"/>
      <c r="L208" s="1282"/>
      <c r="M208" s="1282"/>
      <c r="N208" s="1282"/>
      <c r="O208" s="1282"/>
      <c r="P208" s="1282"/>
      <c r="Q208" s="1282"/>
      <c r="R208" s="1282"/>
      <c r="S208" s="1282"/>
      <c r="T208" s="1282"/>
      <c r="U208" s="1282"/>
      <c r="V208" s="1282"/>
      <c r="W208" s="1282"/>
      <c r="X208" s="1282"/>
      <c r="Y208" s="1282"/>
      <c r="Z208" s="1282"/>
      <c r="AA208" s="1282"/>
      <c r="AB208" s="1282"/>
      <c r="AC208" s="1282"/>
      <c r="AD208" s="1282"/>
      <c r="AE208" s="1282"/>
      <c r="AF208" s="1282"/>
      <c r="AG208" s="1282"/>
      <c r="AH208" s="1282"/>
      <c r="AI208" s="1282"/>
      <c r="AJ208" s="1282"/>
      <c r="AK208" s="1282"/>
      <c r="AL208" s="1282"/>
      <c r="AM208" s="1282"/>
      <c r="AN208" s="1282"/>
      <c r="AO208" s="1282"/>
      <c r="AP208" s="1282"/>
      <c r="AQ208" s="1282"/>
      <c r="AR208" s="1282"/>
      <c r="AS208" s="1282"/>
      <c r="AT208" s="1282"/>
      <c r="AU208" s="1282"/>
      <c r="AV208" s="1282"/>
      <c r="AW208" s="1282"/>
      <c r="AX208" s="1282"/>
      <c r="AY208" s="1282"/>
      <c r="AZ208" s="1282"/>
      <c r="BA208" s="1282"/>
      <c r="BB208" s="1282"/>
      <c r="BC208" s="1282"/>
      <c r="BD208" s="1282"/>
      <c r="BE208" s="1282"/>
      <c r="BF208" s="1282"/>
      <c r="BG208" s="1282"/>
      <c r="BH208" s="1282"/>
      <c r="BI208" s="1282"/>
      <c r="BJ208" s="1282"/>
      <c r="BK208" s="1282"/>
      <c r="BL208" s="1282"/>
      <c r="BM208" s="1282"/>
      <c r="BN208" s="1282"/>
      <c r="BO208" s="1282"/>
      <c r="BP208" s="1282"/>
      <c r="BQ208" s="1282"/>
      <c r="BR208" s="1282"/>
      <c r="BS208" s="1282"/>
      <c r="BT208" s="1282"/>
      <c r="BU208" s="1282"/>
      <c r="BV208" s="1282"/>
      <c r="BW208" s="1282"/>
      <c r="BX208" s="1282"/>
      <c r="BY208" s="1282"/>
      <c r="BZ208" s="1282"/>
      <c r="CA208" s="1513"/>
      <c r="CK208" s="1513"/>
      <c r="CL208" s="1513"/>
      <c r="CM208" s="1513"/>
      <c r="CN208" s="1513"/>
      <c r="CO208" s="1513"/>
      <c r="CP208" s="1513"/>
      <c r="CQ208" s="1513"/>
      <c r="CR208" s="1513"/>
      <c r="CS208" s="1513"/>
      <c r="CT208" s="1513"/>
      <c r="CU208" s="1513"/>
      <c r="CV208" s="1513"/>
      <c r="CW208" s="1513"/>
      <c r="CX208" s="1513"/>
      <c r="CY208" s="1513"/>
      <c r="CZ208" s="1513"/>
      <c r="DA208" s="1513"/>
      <c r="DB208" s="1513"/>
      <c r="DC208" s="1513"/>
      <c r="DD208" s="1513"/>
      <c r="DE208" s="1513"/>
      <c r="DF208" s="1513"/>
      <c r="DG208" s="1513"/>
      <c r="DH208" s="1513"/>
      <c r="DI208" s="1513"/>
      <c r="DJ208" s="1513"/>
      <c r="DK208" s="1513"/>
      <c r="DL208" s="1513"/>
      <c r="DM208" s="1513"/>
      <c r="DN208" s="1513"/>
      <c r="DO208" s="1513"/>
      <c r="DP208" s="1513"/>
      <c r="DQ208" s="1513"/>
      <c r="DR208" s="1513"/>
      <c r="DS208" s="1513"/>
      <c r="DT208" s="1513"/>
      <c r="DU208" s="1513"/>
      <c r="DV208" s="1513"/>
      <c r="DW208" s="1513"/>
      <c r="DX208" s="1513"/>
      <c r="DY208" s="1513"/>
      <c r="DZ208" s="1513"/>
      <c r="EA208" s="1513"/>
      <c r="EB208" s="1513"/>
      <c r="EC208" s="1513"/>
      <c r="ED208" s="1513"/>
      <c r="EE208" s="1513"/>
      <c r="EF208" s="1513"/>
      <c r="EG208" s="1513"/>
      <c r="EH208" s="1513"/>
      <c r="EI208" s="1513"/>
      <c r="EJ208" s="1513"/>
      <c r="EK208" s="1513"/>
      <c r="EL208" s="1513"/>
      <c r="EM208" s="1513"/>
      <c r="EN208" s="1513"/>
      <c r="EO208" s="1513"/>
      <c r="EP208" s="1513"/>
      <c r="EQ208" s="1513"/>
      <c r="ER208" s="1513"/>
      <c r="ES208" s="1513"/>
      <c r="ET208" s="1513"/>
      <c r="EU208" s="1513"/>
      <c r="EV208" s="1513"/>
      <c r="EW208" s="1513"/>
      <c r="EX208" s="1513"/>
      <c r="EY208" s="1513"/>
      <c r="EZ208" s="1513"/>
      <c r="FA208" s="1513"/>
      <c r="FB208" s="1513"/>
      <c r="FC208" s="1513"/>
      <c r="FD208" s="1513"/>
      <c r="FE208" s="1513"/>
      <c r="FF208" s="1513"/>
      <c r="FG208" s="1513"/>
      <c r="FH208" s="1513"/>
      <c r="FI208" s="1513"/>
      <c r="FJ208" s="1513"/>
      <c r="FL208" s="1513"/>
    </row>
    <row r="209" spans="1:168" ht="17.100000000000001" customHeight="1" x14ac:dyDescent="0.15">
      <c r="A209" s="1513"/>
      <c r="B209" s="1282"/>
      <c r="C209" s="1282"/>
      <c r="D209" s="1282"/>
      <c r="E209" s="1282"/>
      <c r="F209" s="1282"/>
      <c r="G209" s="1282"/>
      <c r="H209" s="1282"/>
      <c r="I209" s="1282"/>
      <c r="J209" s="1282"/>
      <c r="K209" s="1282"/>
      <c r="L209" s="1282"/>
      <c r="M209" s="1282"/>
      <c r="N209" s="1282"/>
      <c r="O209" s="1282"/>
      <c r="P209" s="1282"/>
      <c r="Q209" s="1282"/>
      <c r="R209" s="1282"/>
      <c r="S209" s="1282"/>
      <c r="T209" s="1282"/>
      <c r="U209" s="1282"/>
      <c r="V209" s="1282"/>
      <c r="W209" s="1282"/>
      <c r="X209" s="1282"/>
      <c r="Y209" s="1282"/>
      <c r="Z209" s="1282"/>
      <c r="AA209" s="1282"/>
      <c r="AB209" s="1282"/>
      <c r="AC209" s="1282"/>
      <c r="AD209" s="1282"/>
      <c r="AE209" s="1282"/>
      <c r="AF209" s="1282"/>
      <c r="AG209" s="1282"/>
      <c r="AH209" s="1282"/>
      <c r="AI209" s="1282"/>
      <c r="AJ209" s="1282"/>
      <c r="AK209" s="1282"/>
      <c r="AL209" s="1282"/>
      <c r="AM209" s="1282"/>
      <c r="AN209" s="1282"/>
      <c r="AO209" s="1282"/>
      <c r="AP209" s="1282"/>
      <c r="AQ209" s="1282"/>
      <c r="AR209" s="1282"/>
      <c r="AS209" s="1282"/>
      <c r="AT209" s="1282"/>
      <c r="AU209" s="1282"/>
      <c r="AV209" s="1282"/>
      <c r="AW209" s="1282"/>
      <c r="AX209" s="1282"/>
      <c r="AY209" s="1282"/>
      <c r="AZ209" s="1282"/>
      <c r="BA209" s="1282"/>
      <c r="BB209" s="1282"/>
      <c r="BC209" s="1282"/>
      <c r="BD209" s="1282"/>
      <c r="BE209" s="1282"/>
      <c r="BF209" s="1282"/>
      <c r="BG209" s="1282"/>
      <c r="BH209" s="1282"/>
      <c r="BI209" s="1282"/>
      <c r="BJ209" s="1282"/>
      <c r="BK209" s="1282"/>
      <c r="BL209" s="1282"/>
      <c r="BM209" s="1282"/>
      <c r="BN209" s="1282"/>
      <c r="BO209" s="1282"/>
      <c r="BP209" s="1282"/>
      <c r="BQ209" s="1282"/>
      <c r="BR209" s="1282"/>
      <c r="BS209" s="1282"/>
      <c r="BT209" s="1282"/>
      <c r="BU209" s="1282"/>
      <c r="BV209" s="1282"/>
      <c r="BW209" s="1282"/>
      <c r="BX209" s="1282"/>
      <c r="BY209" s="1282"/>
      <c r="BZ209" s="1282"/>
      <c r="CA209" s="1513"/>
      <c r="CK209" s="1513"/>
      <c r="CL209" s="1513"/>
      <c r="CM209" s="1513"/>
      <c r="CN209" s="1513"/>
      <c r="CO209" s="1513"/>
      <c r="CP209" s="1513"/>
      <c r="CQ209" s="1513"/>
      <c r="CR209" s="1513"/>
      <c r="CS209" s="1513"/>
      <c r="CT209" s="1513"/>
      <c r="CU209" s="1513"/>
      <c r="CV209" s="1513"/>
      <c r="CW209" s="1513"/>
      <c r="CX209" s="1513"/>
      <c r="CY209" s="1513"/>
      <c r="CZ209" s="1513"/>
      <c r="DA209" s="1513"/>
      <c r="DB209" s="1513"/>
      <c r="DC209" s="1513"/>
      <c r="DD209" s="1513"/>
      <c r="DE209" s="1513"/>
      <c r="DF209" s="1513"/>
      <c r="DG209" s="1513"/>
      <c r="DH209" s="1513"/>
      <c r="DI209" s="1513"/>
      <c r="DJ209" s="1513"/>
      <c r="DK209" s="1513"/>
      <c r="DL209" s="1513"/>
      <c r="DM209" s="1513"/>
      <c r="DN209" s="1513"/>
      <c r="DO209" s="1513"/>
      <c r="DP209" s="1513"/>
      <c r="DQ209" s="1513"/>
      <c r="DR209" s="1513"/>
      <c r="DS209" s="1513"/>
      <c r="DT209" s="1513"/>
      <c r="DU209" s="1513"/>
      <c r="DV209" s="1513"/>
      <c r="DW209" s="1513"/>
      <c r="DX209" s="1513"/>
      <c r="DY209" s="1513"/>
      <c r="DZ209" s="1513"/>
      <c r="EA209" s="1513"/>
      <c r="EB209" s="1513"/>
      <c r="EC209" s="1513"/>
      <c r="ED209" s="1513"/>
      <c r="EE209" s="1513"/>
      <c r="EF209" s="1513"/>
      <c r="EG209" s="1513"/>
      <c r="EH209" s="1513"/>
      <c r="EI209" s="1513"/>
      <c r="EJ209" s="1513"/>
      <c r="EK209" s="1513"/>
      <c r="EL209" s="1513"/>
      <c r="EM209" s="1513"/>
      <c r="EN209" s="1513"/>
      <c r="EO209" s="1513"/>
      <c r="EP209" s="1513"/>
      <c r="EQ209" s="1513"/>
      <c r="ER209" s="1513"/>
      <c r="ES209" s="1513"/>
      <c r="ET209" s="1513"/>
      <c r="EU209" s="1513"/>
      <c r="EV209" s="1513"/>
      <c r="EW209" s="1513"/>
      <c r="EX209" s="1513"/>
      <c r="EY209" s="1513"/>
      <c r="EZ209" s="1513"/>
      <c r="FA209" s="1513"/>
      <c r="FB209" s="1513"/>
      <c r="FC209" s="1513"/>
      <c r="FD209" s="1513"/>
      <c r="FE209" s="1513"/>
      <c r="FF209" s="1513"/>
      <c r="FG209" s="1513"/>
      <c r="FH209" s="1513"/>
      <c r="FI209" s="1513"/>
      <c r="FJ209" s="1513"/>
      <c r="FL209" s="1513"/>
    </row>
    <row r="210" spans="1:168" ht="17.100000000000001" customHeight="1" x14ac:dyDescent="0.15">
      <c r="A210" s="1513"/>
      <c r="B210" s="1282"/>
      <c r="C210" s="1282"/>
      <c r="D210" s="1282"/>
      <c r="E210" s="1282"/>
      <c r="F210" s="1282"/>
      <c r="G210" s="1282"/>
      <c r="H210" s="1282"/>
      <c r="I210" s="1282"/>
      <c r="J210" s="1282"/>
      <c r="K210" s="1282"/>
      <c r="L210" s="1282"/>
      <c r="M210" s="1282"/>
      <c r="N210" s="1282"/>
      <c r="O210" s="1282"/>
      <c r="P210" s="1282"/>
      <c r="Q210" s="1282"/>
      <c r="R210" s="1282"/>
      <c r="S210" s="1282"/>
      <c r="T210" s="1282"/>
      <c r="U210" s="1282"/>
      <c r="V210" s="1282"/>
      <c r="W210" s="1282"/>
      <c r="X210" s="1282"/>
      <c r="Y210" s="1282"/>
      <c r="Z210" s="1282"/>
      <c r="AA210" s="1282"/>
      <c r="AB210" s="1282"/>
      <c r="AC210" s="1282"/>
      <c r="AD210" s="1282"/>
      <c r="AE210" s="1282"/>
      <c r="AF210" s="1282"/>
      <c r="AG210" s="1282"/>
      <c r="AH210" s="1282"/>
      <c r="AI210" s="1282"/>
      <c r="AJ210" s="1282"/>
      <c r="AK210" s="1282"/>
      <c r="AL210" s="1282"/>
      <c r="AM210" s="1282"/>
      <c r="AN210" s="1282"/>
      <c r="AO210" s="1282"/>
      <c r="AP210" s="1282"/>
      <c r="AQ210" s="1282"/>
      <c r="AR210" s="1282"/>
      <c r="AS210" s="1282"/>
      <c r="AT210" s="1282"/>
      <c r="AU210" s="1282"/>
      <c r="AV210" s="1282"/>
      <c r="AW210" s="1282"/>
      <c r="AX210" s="1282"/>
      <c r="AY210" s="1282"/>
      <c r="AZ210" s="1282"/>
      <c r="BA210" s="1282"/>
      <c r="BB210" s="1282"/>
      <c r="BC210" s="1282"/>
      <c r="BD210" s="1282"/>
      <c r="BE210" s="1282"/>
      <c r="BF210" s="1282"/>
      <c r="BG210" s="1282"/>
      <c r="BH210" s="1282"/>
      <c r="BI210" s="1282"/>
      <c r="BJ210" s="1282"/>
      <c r="BK210" s="1282"/>
      <c r="BL210" s="1282"/>
      <c r="BM210" s="1282"/>
      <c r="BN210" s="1282"/>
      <c r="BO210" s="1282"/>
      <c r="BP210" s="1282"/>
      <c r="BQ210" s="1282"/>
      <c r="BR210" s="1282"/>
      <c r="BS210" s="1282"/>
      <c r="BT210" s="1282"/>
      <c r="BU210" s="1282"/>
      <c r="BV210" s="1282"/>
      <c r="BW210" s="1282"/>
      <c r="BX210" s="1282"/>
      <c r="BY210" s="1282"/>
      <c r="BZ210" s="1282"/>
      <c r="CA210" s="1513"/>
      <c r="CK210" s="1513"/>
      <c r="CL210" s="1513"/>
      <c r="CM210" s="1513"/>
      <c r="CN210" s="1513"/>
      <c r="CO210" s="1513"/>
      <c r="CP210" s="1513"/>
      <c r="CQ210" s="1513"/>
      <c r="CR210" s="1513"/>
      <c r="CS210" s="1513"/>
      <c r="CT210" s="1513"/>
      <c r="CU210" s="1513"/>
      <c r="CV210" s="1513"/>
      <c r="CW210" s="1513"/>
      <c r="CX210" s="1513"/>
      <c r="CY210" s="1513"/>
      <c r="CZ210" s="1513"/>
      <c r="DA210" s="1513"/>
      <c r="DB210" s="1513"/>
      <c r="DC210" s="1513"/>
      <c r="DD210" s="1513"/>
      <c r="DE210" s="1513"/>
      <c r="DF210" s="1513"/>
      <c r="DG210" s="1513"/>
      <c r="DH210" s="1513"/>
      <c r="DI210" s="1513"/>
      <c r="DJ210" s="1513"/>
      <c r="DK210" s="1513"/>
      <c r="DL210" s="1513"/>
      <c r="DM210" s="1513"/>
      <c r="DN210" s="1513"/>
      <c r="DO210" s="1513"/>
      <c r="DP210" s="1513"/>
      <c r="DQ210" s="1513"/>
      <c r="DR210" s="1513"/>
      <c r="DS210" s="1513"/>
      <c r="DT210" s="1513"/>
      <c r="DU210" s="1513"/>
      <c r="DV210" s="1513"/>
      <c r="DW210" s="1513"/>
      <c r="DX210" s="1513"/>
      <c r="DY210" s="1513"/>
      <c r="DZ210" s="1513"/>
      <c r="EA210" s="1513"/>
      <c r="EB210" s="1513"/>
      <c r="EC210" s="1513"/>
      <c r="ED210" s="1513"/>
      <c r="EE210" s="1513"/>
      <c r="EF210" s="1513"/>
      <c r="EG210" s="1513"/>
      <c r="EH210" s="1513"/>
      <c r="EI210" s="1513"/>
      <c r="EJ210" s="1513"/>
      <c r="EK210" s="1513"/>
      <c r="EL210" s="1513"/>
      <c r="EM210" s="1513"/>
      <c r="EN210" s="1513"/>
      <c r="EO210" s="1513"/>
      <c r="EP210" s="1513"/>
      <c r="EQ210" s="1513"/>
      <c r="ER210" s="1513"/>
      <c r="ES210" s="1513"/>
      <c r="ET210" s="1513"/>
      <c r="EU210" s="1513"/>
      <c r="EV210" s="1513"/>
      <c r="EW210" s="1513"/>
      <c r="EX210" s="1513"/>
      <c r="EY210" s="1513"/>
      <c r="EZ210" s="1513"/>
      <c r="FA210" s="1513"/>
      <c r="FB210" s="1513"/>
      <c r="FC210" s="1513"/>
      <c r="FD210" s="1513"/>
      <c r="FE210" s="1513"/>
      <c r="FF210" s="1513"/>
      <c r="FG210" s="1513"/>
      <c r="FH210" s="1513"/>
      <c r="FI210" s="1513"/>
      <c r="FJ210" s="1513"/>
      <c r="FL210" s="1513"/>
    </row>
    <row r="211" spans="1:168" ht="17.100000000000001" customHeight="1" x14ac:dyDescent="0.15">
      <c r="A211" s="1513"/>
      <c r="B211" s="1282"/>
      <c r="C211" s="1282"/>
      <c r="D211" s="1282"/>
      <c r="E211" s="1282"/>
      <c r="F211" s="1282"/>
      <c r="G211" s="1282"/>
      <c r="H211" s="1282"/>
      <c r="I211" s="1282"/>
      <c r="J211" s="1282"/>
      <c r="K211" s="1282"/>
      <c r="L211" s="1282"/>
      <c r="M211" s="1282"/>
      <c r="N211" s="1282"/>
      <c r="O211" s="1282"/>
      <c r="P211" s="1282"/>
      <c r="Q211" s="1282"/>
      <c r="R211" s="1282"/>
      <c r="S211" s="1282"/>
      <c r="T211" s="1282"/>
      <c r="U211" s="1282"/>
      <c r="V211" s="1282"/>
      <c r="W211" s="1282"/>
      <c r="X211" s="1282"/>
      <c r="Y211" s="1282"/>
      <c r="Z211" s="1282"/>
      <c r="AA211" s="1282"/>
      <c r="AB211" s="1282"/>
      <c r="AC211" s="1282"/>
      <c r="AD211" s="1282"/>
      <c r="AE211" s="1282"/>
      <c r="AF211" s="1282"/>
      <c r="AG211" s="1282"/>
      <c r="AH211" s="1282"/>
      <c r="AI211" s="1282"/>
      <c r="AJ211" s="1282"/>
      <c r="AK211" s="1282"/>
      <c r="AL211" s="1282"/>
      <c r="AM211" s="1282"/>
      <c r="AN211" s="1282"/>
      <c r="AO211" s="1282"/>
      <c r="AP211" s="1282"/>
      <c r="AQ211" s="1282"/>
      <c r="AR211" s="1282"/>
      <c r="AS211" s="1282"/>
      <c r="AT211" s="1282"/>
      <c r="AU211" s="1282"/>
      <c r="AV211" s="1282"/>
      <c r="AW211" s="1282"/>
      <c r="AX211" s="1282"/>
      <c r="AY211" s="1282"/>
      <c r="AZ211" s="1282"/>
      <c r="BA211" s="1282"/>
      <c r="BB211" s="1282"/>
      <c r="BC211" s="1282"/>
      <c r="BD211" s="1282"/>
      <c r="BE211" s="1282"/>
      <c r="BF211" s="1282"/>
      <c r="BG211" s="1282"/>
      <c r="BH211" s="1282"/>
      <c r="BI211" s="1282"/>
      <c r="BJ211" s="1282"/>
      <c r="BK211" s="1282"/>
      <c r="BL211" s="1282"/>
      <c r="BM211" s="1282"/>
      <c r="BN211" s="1282"/>
      <c r="BO211" s="1282"/>
      <c r="BP211" s="1282"/>
      <c r="BQ211" s="1282"/>
      <c r="BR211" s="1282"/>
      <c r="BS211" s="1282"/>
      <c r="BT211" s="1282"/>
      <c r="BU211" s="1282"/>
      <c r="BV211" s="1282"/>
      <c r="BW211" s="1282"/>
      <c r="BX211" s="1282"/>
      <c r="BY211" s="1282"/>
      <c r="BZ211" s="1282"/>
      <c r="CA211" s="1513"/>
      <c r="CK211" s="1513"/>
      <c r="CL211" s="1513"/>
      <c r="CM211" s="1513"/>
      <c r="CN211" s="1513"/>
      <c r="CO211" s="1513"/>
      <c r="CP211" s="1513"/>
      <c r="CQ211" s="1513"/>
      <c r="CR211" s="1513"/>
      <c r="CS211" s="1513"/>
      <c r="CT211" s="1513"/>
      <c r="CU211" s="1513"/>
      <c r="CV211" s="1513"/>
      <c r="CW211" s="1513"/>
      <c r="CX211" s="1513"/>
      <c r="CY211" s="1513"/>
      <c r="CZ211" s="1513"/>
      <c r="DA211" s="1513"/>
      <c r="DB211" s="1513"/>
      <c r="DC211" s="1513"/>
      <c r="DD211" s="1513"/>
      <c r="DE211" s="1513"/>
      <c r="DF211" s="1513"/>
      <c r="DG211" s="1513"/>
      <c r="DH211" s="1513"/>
      <c r="DI211" s="1513"/>
      <c r="DJ211" s="1513"/>
      <c r="DK211" s="1513"/>
      <c r="DL211" s="1513"/>
      <c r="DM211" s="1513"/>
      <c r="DN211" s="1513"/>
      <c r="DO211" s="1513"/>
      <c r="DP211" s="1513"/>
      <c r="DQ211" s="1513"/>
      <c r="DR211" s="1513"/>
      <c r="DS211" s="1513"/>
      <c r="DT211" s="1513"/>
      <c r="DU211" s="1513"/>
      <c r="DV211" s="1513"/>
      <c r="DW211" s="1513"/>
      <c r="DX211" s="1513"/>
      <c r="DY211" s="1513"/>
      <c r="DZ211" s="1513"/>
      <c r="EA211" s="1513"/>
      <c r="EB211" s="1513"/>
      <c r="EC211" s="1513"/>
      <c r="ED211" s="1513"/>
      <c r="EE211" s="1513"/>
      <c r="EF211" s="1513"/>
      <c r="EG211" s="1513"/>
      <c r="EH211" s="1513"/>
      <c r="EI211" s="1513"/>
      <c r="EJ211" s="1513"/>
      <c r="EK211" s="1513"/>
      <c r="EL211" s="1513"/>
      <c r="EM211" s="1513"/>
      <c r="EN211" s="1513"/>
      <c r="EO211" s="1513"/>
      <c r="EP211" s="1513"/>
      <c r="EQ211" s="1513"/>
      <c r="ER211" s="1513"/>
      <c r="ES211" s="1513"/>
      <c r="ET211" s="1513"/>
      <c r="EU211" s="1513"/>
      <c r="EV211" s="1513"/>
      <c r="EW211" s="1513"/>
      <c r="EX211" s="1513"/>
      <c r="EY211" s="1513"/>
      <c r="EZ211" s="1513"/>
      <c r="FA211" s="1513"/>
      <c r="FB211" s="1513"/>
      <c r="FC211" s="1513"/>
      <c r="FD211" s="1513"/>
      <c r="FE211" s="1513"/>
      <c r="FF211" s="1513"/>
      <c r="FG211" s="1513"/>
      <c r="FH211" s="1513"/>
      <c r="FI211" s="1513"/>
      <c r="FJ211" s="1513"/>
      <c r="FL211" s="1513"/>
    </row>
    <row r="212" spans="1:168" ht="17.100000000000001" customHeight="1" x14ac:dyDescent="0.15">
      <c r="A212" s="1513"/>
      <c r="B212" s="1282"/>
      <c r="C212" s="1282"/>
      <c r="D212" s="1282"/>
      <c r="E212" s="1282"/>
      <c r="F212" s="1282"/>
      <c r="G212" s="1282"/>
      <c r="H212" s="1282"/>
      <c r="I212" s="1282"/>
      <c r="J212" s="1282"/>
      <c r="K212" s="1282"/>
      <c r="L212" s="1282"/>
      <c r="M212" s="1282"/>
      <c r="N212" s="1282"/>
      <c r="O212" s="1282"/>
      <c r="P212" s="1282"/>
      <c r="Q212" s="1282"/>
      <c r="R212" s="1282"/>
      <c r="S212" s="1282"/>
      <c r="T212" s="1282"/>
      <c r="U212" s="1282"/>
      <c r="V212" s="1282"/>
      <c r="W212" s="1282"/>
      <c r="X212" s="1282"/>
      <c r="Y212" s="1282"/>
      <c r="Z212" s="1282"/>
      <c r="AA212" s="1282"/>
      <c r="AB212" s="1282"/>
      <c r="AC212" s="1282"/>
      <c r="AD212" s="1282"/>
      <c r="AE212" s="1282"/>
      <c r="AF212" s="1282"/>
      <c r="AG212" s="1282"/>
      <c r="AH212" s="1282"/>
      <c r="AI212" s="1282"/>
      <c r="AJ212" s="1282"/>
      <c r="AK212" s="1282"/>
      <c r="AL212" s="1282"/>
      <c r="AM212" s="1282"/>
      <c r="AN212" s="1282"/>
      <c r="AO212" s="1282"/>
      <c r="AP212" s="1282"/>
      <c r="AQ212" s="1282"/>
      <c r="AR212" s="1282"/>
      <c r="AS212" s="1282"/>
      <c r="AT212" s="1282"/>
      <c r="AU212" s="1282"/>
      <c r="AV212" s="1282"/>
      <c r="AW212" s="1282"/>
      <c r="AX212" s="1282"/>
      <c r="AY212" s="1282"/>
      <c r="AZ212" s="1282"/>
      <c r="BA212" s="1282"/>
      <c r="BB212" s="1282"/>
      <c r="BC212" s="1282"/>
      <c r="BD212" s="1282"/>
      <c r="BE212" s="1282"/>
      <c r="BF212" s="1282"/>
      <c r="BG212" s="1282"/>
      <c r="BH212" s="1282"/>
      <c r="BI212" s="1282"/>
      <c r="BJ212" s="1282"/>
      <c r="BK212" s="1282"/>
      <c r="BL212" s="1282"/>
      <c r="BM212" s="1282"/>
      <c r="BN212" s="1282"/>
      <c r="BO212" s="1282"/>
      <c r="BP212" s="1282"/>
      <c r="BQ212" s="1282"/>
      <c r="BR212" s="1282"/>
      <c r="BS212" s="1282"/>
      <c r="BT212" s="1282"/>
      <c r="BU212" s="1282"/>
      <c r="BV212" s="1282"/>
      <c r="BW212" s="1282"/>
      <c r="BX212" s="1282"/>
      <c r="BY212" s="1282"/>
      <c r="BZ212" s="1282"/>
      <c r="CA212" s="1513"/>
      <c r="CK212" s="1513"/>
      <c r="CL212" s="1513"/>
      <c r="CM212" s="1513"/>
      <c r="CN212" s="1513"/>
      <c r="CO212" s="1513"/>
      <c r="CP212" s="1513"/>
      <c r="CQ212" s="1513"/>
      <c r="CR212" s="1513"/>
      <c r="CS212" s="1513"/>
      <c r="CT212" s="1513"/>
      <c r="CU212" s="1513"/>
      <c r="CV212" s="1513"/>
      <c r="CW212" s="1513"/>
      <c r="CX212" s="1513"/>
      <c r="CY212" s="1513"/>
      <c r="CZ212" s="1513"/>
      <c r="DA212" s="1513"/>
      <c r="DB212" s="1513"/>
      <c r="DC212" s="1513"/>
      <c r="DD212" s="1513"/>
      <c r="DE212" s="1513"/>
      <c r="DF212" s="1513"/>
      <c r="DG212" s="1513"/>
      <c r="DH212" s="1513"/>
      <c r="DI212" s="1513"/>
      <c r="DJ212" s="1513"/>
      <c r="DK212" s="1513"/>
      <c r="DL212" s="1513"/>
      <c r="DM212" s="1513"/>
      <c r="DN212" s="1513"/>
      <c r="DO212" s="1513"/>
      <c r="DP212" s="1513"/>
      <c r="DQ212" s="1513"/>
      <c r="DR212" s="1513"/>
      <c r="DS212" s="1513"/>
      <c r="DT212" s="1513"/>
      <c r="DU212" s="1513"/>
      <c r="DV212" s="1513"/>
      <c r="DW212" s="1513"/>
      <c r="DX212" s="1513"/>
      <c r="DY212" s="1513"/>
      <c r="DZ212" s="1513"/>
      <c r="EA212" s="1513"/>
      <c r="EB212" s="1513"/>
      <c r="EC212" s="1513"/>
      <c r="ED212" s="1513"/>
      <c r="EE212" s="1513"/>
      <c r="EF212" s="1513"/>
      <c r="EG212" s="1513"/>
      <c r="EH212" s="1513"/>
      <c r="EI212" s="1513"/>
      <c r="EJ212" s="1513"/>
      <c r="EK212" s="1513"/>
      <c r="EL212" s="1513"/>
      <c r="EM212" s="1513"/>
      <c r="EN212" s="1513"/>
      <c r="EO212" s="1513"/>
      <c r="EP212" s="1513"/>
      <c r="EQ212" s="1513"/>
      <c r="ER212" s="1513"/>
      <c r="ES212" s="1513"/>
      <c r="ET212" s="1513"/>
      <c r="EU212" s="1513"/>
      <c r="EV212" s="1513"/>
      <c r="EW212" s="1513"/>
      <c r="EX212" s="1513"/>
      <c r="EY212" s="1513"/>
      <c r="EZ212" s="1513"/>
      <c r="FA212" s="1513"/>
      <c r="FB212" s="1513"/>
      <c r="FC212" s="1513"/>
      <c r="FD212" s="1513"/>
      <c r="FE212" s="1513"/>
      <c r="FF212" s="1513"/>
      <c r="FG212" s="1513"/>
      <c r="FH212" s="1513"/>
      <c r="FI212" s="1513"/>
      <c r="FJ212" s="1513"/>
      <c r="FL212" s="1513"/>
    </row>
    <row r="213" spans="1:168" ht="17.100000000000001" customHeight="1" x14ac:dyDescent="0.15">
      <c r="A213" s="1513"/>
      <c r="B213" s="1282"/>
      <c r="C213" s="1282"/>
      <c r="D213" s="1282"/>
      <c r="E213" s="1282"/>
      <c r="F213" s="1282"/>
      <c r="G213" s="1282"/>
      <c r="H213" s="1282"/>
      <c r="I213" s="1282"/>
      <c r="J213" s="1282"/>
      <c r="K213" s="1282"/>
      <c r="L213" s="1282"/>
      <c r="M213" s="1282"/>
      <c r="N213" s="1282"/>
      <c r="O213" s="1282"/>
      <c r="P213" s="1282"/>
      <c r="Q213" s="1282"/>
      <c r="R213" s="1282"/>
      <c r="S213" s="1282"/>
      <c r="T213" s="1282"/>
      <c r="U213" s="1282"/>
      <c r="V213" s="1282"/>
      <c r="W213" s="1282"/>
      <c r="X213" s="1282"/>
      <c r="Y213" s="1282"/>
      <c r="Z213" s="1282"/>
      <c r="AA213" s="1282"/>
      <c r="AB213" s="1282"/>
      <c r="AC213" s="1282"/>
      <c r="AD213" s="1282"/>
      <c r="AE213" s="1282"/>
      <c r="AF213" s="1282"/>
      <c r="AG213" s="1282"/>
      <c r="AH213" s="1282"/>
      <c r="AI213" s="1282"/>
      <c r="AJ213" s="1282"/>
      <c r="AK213" s="1282"/>
      <c r="AL213" s="1282"/>
      <c r="AM213" s="1282"/>
      <c r="AN213" s="1282"/>
      <c r="AO213" s="1282"/>
      <c r="AP213" s="1282"/>
      <c r="AQ213" s="1282"/>
      <c r="AR213" s="1282"/>
      <c r="AS213" s="1282"/>
      <c r="AT213" s="1282"/>
      <c r="AU213" s="1282"/>
      <c r="AV213" s="1282"/>
      <c r="AW213" s="1282"/>
      <c r="AX213" s="1282"/>
      <c r="AY213" s="1282"/>
      <c r="AZ213" s="1282"/>
      <c r="BA213" s="1282"/>
      <c r="BB213" s="1282"/>
      <c r="BC213" s="1282"/>
      <c r="BD213" s="1282"/>
      <c r="BE213" s="1282"/>
      <c r="BF213" s="1282"/>
      <c r="BG213" s="1282"/>
      <c r="BH213" s="1282"/>
      <c r="BI213" s="1282"/>
      <c r="BJ213" s="1282"/>
      <c r="BK213" s="1282"/>
      <c r="BL213" s="1282"/>
      <c r="BM213" s="1282"/>
      <c r="BN213" s="1282"/>
      <c r="BO213" s="1282"/>
      <c r="BP213" s="1282"/>
      <c r="BQ213" s="1282"/>
      <c r="BR213" s="1282"/>
      <c r="BS213" s="1282"/>
      <c r="BT213" s="1282"/>
      <c r="BU213" s="1282"/>
      <c r="BV213" s="1282"/>
      <c r="BW213" s="1282"/>
      <c r="BX213" s="1282"/>
      <c r="BY213" s="1282"/>
      <c r="BZ213" s="1282"/>
      <c r="CA213" s="1513"/>
      <c r="CK213" s="1513"/>
      <c r="CL213" s="1513"/>
      <c r="CM213" s="1513"/>
      <c r="CN213" s="1513"/>
      <c r="CO213" s="1513"/>
      <c r="CP213" s="1513"/>
      <c r="CQ213" s="1513"/>
      <c r="CR213" s="1513"/>
      <c r="CS213" s="1513"/>
      <c r="CT213" s="1513"/>
      <c r="CU213" s="1513"/>
      <c r="CV213" s="1513"/>
      <c r="CW213" s="1513"/>
      <c r="CX213" s="1513"/>
      <c r="CY213" s="1513"/>
      <c r="CZ213" s="1513"/>
      <c r="DA213" s="1513"/>
      <c r="DB213" s="1513"/>
      <c r="DC213" s="1513"/>
      <c r="DD213" s="1513"/>
      <c r="DE213" s="1513"/>
      <c r="DF213" s="1513"/>
      <c r="DG213" s="1513"/>
      <c r="DH213" s="1513"/>
      <c r="DI213" s="1513"/>
      <c r="DJ213" s="1513"/>
      <c r="DK213" s="1513"/>
      <c r="DL213" s="1513"/>
      <c r="DM213" s="1513"/>
      <c r="DN213" s="1513"/>
      <c r="DO213" s="1513"/>
      <c r="DP213" s="1513"/>
      <c r="DQ213" s="1513"/>
      <c r="DR213" s="1513"/>
      <c r="DS213" s="1513"/>
      <c r="DT213" s="1513"/>
      <c r="DU213" s="1513"/>
      <c r="DV213" s="1513"/>
      <c r="DW213" s="1513"/>
      <c r="DX213" s="1513"/>
      <c r="DY213" s="1513"/>
      <c r="DZ213" s="1513"/>
      <c r="EA213" s="1513"/>
      <c r="EB213" s="1513"/>
      <c r="EC213" s="1513"/>
      <c r="ED213" s="1513"/>
      <c r="EE213" s="1513"/>
      <c r="EF213" s="1513"/>
      <c r="EG213" s="1513"/>
      <c r="EH213" s="1513"/>
      <c r="EI213" s="1513"/>
      <c r="EJ213" s="1513"/>
      <c r="EK213" s="1513"/>
      <c r="EL213" s="1513"/>
      <c r="EM213" s="1513"/>
      <c r="EN213" s="1513"/>
      <c r="EO213" s="1513"/>
      <c r="EP213" s="1513"/>
      <c r="EQ213" s="1513"/>
      <c r="ER213" s="1513"/>
      <c r="ES213" s="1513"/>
      <c r="ET213" s="1513"/>
      <c r="EU213" s="1513"/>
      <c r="EV213" s="1513"/>
      <c r="EW213" s="1513"/>
      <c r="EX213" s="1513"/>
      <c r="EY213" s="1513"/>
      <c r="EZ213" s="1513"/>
      <c r="FA213" s="1513"/>
      <c r="FB213" s="1513"/>
      <c r="FC213" s="1513"/>
      <c r="FD213" s="1513"/>
      <c r="FE213" s="1513"/>
      <c r="FF213" s="1513"/>
      <c r="FG213" s="1513"/>
      <c r="FH213" s="1513"/>
      <c r="FI213" s="1513"/>
      <c r="FJ213" s="1513"/>
      <c r="FL213" s="1513"/>
    </row>
    <row r="214" spans="1:168" ht="17.100000000000001" customHeight="1" x14ac:dyDescent="0.15">
      <c r="A214" s="1513"/>
      <c r="B214" s="1282"/>
      <c r="C214" s="1282"/>
      <c r="D214" s="1282"/>
      <c r="E214" s="1282"/>
      <c r="F214" s="1282"/>
      <c r="G214" s="1282"/>
      <c r="H214" s="1282"/>
      <c r="I214" s="1282"/>
      <c r="J214" s="1282"/>
      <c r="K214" s="1282"/>
      <c r="L214" s="1282"/>
      <c r="M214" s="1282"/>
      <c r="N214" s="1282"/>
      <c r="O214" s="1282"/>
      <c r="P214" s="1282"/>
      <c r="Q214" s="1282"/>
      <c r="R214" s="1282"/>
      <c r="S214" s="1282"/>
      <c r="T214" s="1282"/>
      <c r="U214" s="1282"/>
      <c r="V214" s="1282"/>
      <c r="W214" s="1282"/>
      <c r="X214" s="1282"/>
      <c r="Y214" s="1282"/>
      <c r="Z214" s="1282"/>
      <c r="AA214" s="1282"/>
      <c r="AB214" s="1282"/>
      <c r="AC214" s="1282"/>
      <c r="AD214" s="1282"/>
      <c r="AE214" s="1282"/>
      <c r="AF214" s="1282"/>
      <c r="AG214" s="1282"/>
      <c r="AH214" s="1282"/>
      <c r="AI214" s="1282"/>
      <c r="AJ214" s="1282"/>
      <c r="AK214" s="1282"/>
      <c r="AL214" s="1282"/>
      <c r="AM214" s="1282"/>
      <c r="AN214" s="1282"/>
      <c r="AO214" s="1282"/>
      <c r="AP214" s="1282"/>
      <c r="AQ214" s="1282"/>
      <c r="AR214" s="1282"/>
      <c r="AS214" s="1282"/>
      <c r="AT214" s="1282"/>
      <c r="AU214" s="1282"/>
      <c r="AV214" s="1282"/>
      <c r="AW214" s="1282"/>
      <c r="AX214" s="1282"/>
      <c r="AY214" s="1282"/>
      <c r="AZ214" s="1282"/>
      <c r="BA214" s="1282"/>
      <c r="BB214" s="1282"/>
      <c r="BC214" s="1282"/>
      <c r="BD214" s="1282"/>
      <c r="BE214" s="1282"/>
      <c r="BF214" s="1282"/>
      <c r="BG214" s="1282"/>
      <c r="BH214" s="1282"/>
      <c r="BI214" s="1282"/>
      <c r="BJ214" s="1282"/>
      <c r="BK214" s="1282"/>
      <c r="BL214" s="1282"/>
      <c r="BM214" s="1282"/>
      <c r="BN214" s="1282"/>
      <c r="BO214" s="1282"/>
      <c r="BP214" s="1282"/>
      <c r="BQ214" s="1282"/>
      <c r="BR214" s="1282"/>
      <c r="BS214" s="1282"/>
      <c r="BT214" s="1282"/>
      <c r="BU214" s="1282"/>
      <c r="BV214" s="1282"/>
      <c r="BW214" s="1282"/>
      <c r="BX214" s="1282"/>
      <c r="BY214" s="1282"/>
      <c r="BZ214" s="1282"/>
      <c r="CA214" s="1513"/>
      <c r="CK214" s="1513"/>
      <c r="CL214" s="1513"/>
      <c r="CM214" s="1513"/>
      <c r="CN214" s="1513"/>
      <c r="CO214" s="1513"/>
      <c r="CP214" s="1513"/>
      <c r="CQ214" s="1513"/>
      <c r="CR214" s="1513"/>
      <c r="CS214" s="1513"/>
      <c r="CT214" s="1513"/>
      <c r="CU214" s="1513"/>
      <c r="CV214" s="1513"/>
      <c r="CW214" s="1513"/>
      <c r="CX214" s="1513"/>
      <c r="CY214" s="1513"/>
      <c r="CZ214" s="1513"/>
      <c r="DA214" s="1513"/>
      <c r="DB214" s="1513"/>
      <c r="DC214" s="1513"/>
      <c r="DD214" s="1513"/>
      <c r="DE214" s="1513"/>
      <c r="DF214" s="1513"/>
      <c r="DG214" s="1513"/>
      <c r="DH214" s="1513"/>
      <c r="DI214" s="1513"/>
      <c r="DJ214" s="1513"/>
      <c r="DK214" s="1513"/>
      <c r="DL214" s="1513"/>
      <c r="DM214" s="1513"/>
      <c r="DN214" s="1513"/>
      <c r="DO214" s="1513"/>
      <c r="DP214" s="1513"/>
      <c r="DQ214" s="1513"/>
      <c r="DR214" s="1513"/>
      <c r="DS214" s="1513"/>
      <c r="DT214" s="1513"/>
      <c r="DU214" s="1513"/>
      <c r="DV214" s="1513"/>
      <c r="DW214" s="1513"/>
      <c r="DX214" s="1513"/>
      <c r="DY214" s="1513"/>
      <c r="DZ214" s="1513"/>
      <c r="EA214" s="1513"/>
      <c r="EB214" s="1513"/>
      <c r="EC214" s="1513"/>
      <c r="ED214" s="1513"/>
      <c r="EE214" s="1513"/>
      <c r="EF214" s="1513"/>
      <c r="EG214" s="1513"/>
      <c r="EH214" s="1513"/>
      <c r="EI214" s="1513"/>
      <c r="EJ214" s="1513"/>
      <c r="EK214" s="1513"/>
      <c r="EL214" s="1513"/>
      <c r="EM214" s="1513"/>
      <c r="EN214" s="1513"/>
      <c r="EO214" s="1513"/>
      <c r="EP214" s="1513"/>
      <c r="EQ214" s="1513"/>
      <c r="ER214" s="1513"/>
      <c r="ES214" s="1513"/>
      <c r="ET214" s="1513"/>
      <c r="EU214" s="1513"/>
      <c r="EV214" s="1513"/>
      <c r="EW214" s="1513"/>
      <c r="EX214" s="1513"/>
      <c r="EY214" s="1513"/>
      <c r="EZ214" s="1513"/>
      <c r="FA214" s="1513"/>
      <c r="FB214" s="1513"/>
      <c r="FC214" s="1513"/>
      <c r="FD214" s="1513"/>
      <c r="FE214" s="1513"/>
      <c r="FF214" s="1513"/>
      <c r="FG214" s="1513"/>
      <c r="FH214" s="1513"/>
      <c r="FI214" s="1513"/>
      <c r="FJ214" s="1513"/>
      <c r="FL214" s="1513"/>
    </row>
    <row r="215" spans="1:168" ht="17.100000000000001" customHeight="1" x14ac:dyDescent="0.15">
      <c r="A215" s="1513"/>
      <c r="B215" s="1282"/>
      <c r="C215" s="1282"/>
      <c r="D215" s="1282"/>
      <c r="E215" s="1282"/>
      <c r="F215" s="1282"/>
      <c r="G215" s="1282"/>
      <c r="H215" s="1282"/>
      <c r="I215" s="1282"/>
      <c r="J215" s="1282"/>
      <c r="K215" s="1282"/>
      <c r="L215" s="1282"/>
      <c r="M215" s="1282"/>
      <c r="N215" s="1282"/>
      <c r="O215" s="1282"/>
      <c r="P215" s="1282"/>
      <c r="Q215" s="1282"/>
      <c r="R215" s="1282"/>
      <c r="S215" s="1282"/>
      <c r="T215" s="1282"/>
      <c r="U215" s="1282"/>
      <c r="V215" s="1282"/>
      <c r="W215" s="1282"/>
      <c r="X215" s="1282"/>
      <c r="Y215" s="1282"/>
      <c r="Z215" s="1282"/>
      <c r="AA215" s="1282"/>
      <c r="AB215" s="1282"/>
      <c r="AC215" s="1282"/>
      <c r="AD215" s="1282"/>
      <c r="AE215" s="1282"/>
      <c r="AF215" s="1282"/>
      <c r="AG215" s="1282"/>
      <c r="AH215" s="1282"/>
      <c r="AI215" s="1282"/>
      <c r="AJ215" s="1282"/>
      <c r="AK215" s="1282"/>
      <c r="AL215" s="1282"/>
      <c r="AM215" s="1282"/>
      <c r="AN215" s="1282"/>
      <c r="AO215" s="1282"/>
      <c r="AP215" s="1282"/>
      <c r="AQ215" s="1282"/>
      <c r="AR215" s="1282"/>
      <c r="AS215" s="1282"/>
      <c r="AT215" s="1282"/>
      <c r="AU215" s="1282"/>
      <c r="AV215" s="1282"/>
      <c r="AW215" s="1282"/>
      <c r="AX215" s="1282"/>
      <c r="AY215" s="1282"/>
      <c r="AZ215" s="1282"/>
      <c r="BA215" s="1282"/>
      <c r="BB215" s="1282"/>
      <c r="BC215" s="1282"/>
      <c r="BD215" s="1282"/>
      <c r="BE215" s="1282"/>
      <c r="BF215" s="1282"/>
      <c r="BG215" s="1282"/>
      <c r="BH215" s="1282"/>
      <c r="BI215" s="1282"/>
      <c r="BJ215" s="1282"/>
      <c r="BK215" s="1282"/>
      <c r="BL215" s="1282"/>
      <c r="BM215" s="1282"/>
      <c r="BN215" s="1282"/>
      <c r="BO215" s="1282"/>
      <c r="BP215" s="1282"/>
      <c r="BQ215" s="1282"/>
      <c r="BR215" s="1282"/>
      <c r="BS215" s="1282"/>
      <c r="BT215" s="1282"/>
      <c r="BU215" s="1282"/>
      <c r="BV215" s="1282"/>
      <c r="BW215" s="1282"/>
      <c r="BX215" s="1282"/>
      <c r="BY215" s="1282"/>
      <c r="BZ215" s="1282"/>
      <c r="CA215" s="1513"/>
      <c r="CK215" s="1513"/>
      <c r="CL215" s="1513"/>
      <c r="CM215" s="1513"/>
      <c r="CN215" s="1513"/>
      <c r="CO215" s="1513"/>
      <c r="CP215" s="1513"/>
      <c r="CQ215" s="1513"/>
      <c r="CR215" s="1513"/>
      <c r="CS215" s="1513"/>
      <c r="CT215" s="1513"/>
      <c r="CU215" s="1513"/>
      <c r="CV215" s="1513"/>
      <c r="CW215" s="1513"/>
      <c r="CX215" s="1513"/>
      <c r="CY215" s="1513"/>
      <c r="CZ215" s="1513"/>
      <c r="DA215" s="1513"/>
      <c r="DB215" s="1513"/>
      <c r="DC215" s="1513"/>
      <c r="DD215" s="1513"/>
      <c r="DE215" s="1513"/>
      <c r="DF215" s="1513"/>
      <c r="DG215" s="1513"/>
      <c r="DH215" s="1513"/>
      <c r="DI215" s="1513"/>
      <c r="DJ215" s="1513"/>
      <c r="DK215" s="1513"/>
      <c r="DL215" s="1513"/>
      <c r="DM215" s="1513"/>
      <c r="DN215" s="1513"/>
      <c r="DO215" s="1513"/>
      <c r="DP215" s="1513"/>
      <c r="DQ215" s="1513"/>
      <c r="DR215" s="1513"/>
      <c r="DS215" s="1513"/>
      <c r="DT215" s="1513"/>
      <c r="DU215" s="1513"/>
      <c r="DV215" s="1513"/>
      <c r="DW215" s="1513"/>
      <c r="DX215" s="1513"/>
      <c r="DY215" s="1513"/>
      <c r="DZ215" s="1513"/>
      <c r="EA215" s="1513"/>
      <c r="EB215" s="1513"/>
      <c r="EC215" s="1513"/>
      <c r="ED215" s="1513"/>
      <c r="EE215" s="1513"/>
      <c r="EF215" s="1513"/>
      <c r="EG215" s="1513"/>
      <c r="EH215" s="1513"/>
      <c r="EI215" s="1513"/>
      <c r="EJ215" s="1513"/>
      <c r="EK215" s="1513"/>
      <c r="EL215" s="1513"/>
      <c r="EM215" s="1513"/>
      <c r="EN215" s="1513"/>
      <c r="EO215" s="1513"/>
      <c r="EP215" s="1513"/>
      <c r="EQ215" s="1513"/>
      <c r="ER215" s="1513"/>
      <c r="ES215" s="1513"/>
      <c r="ET215" s="1513"/>
      <c r="EU215" s="1513"/>
      <c r="EV215" s="1513"/>
      <c r="EW215" s="1513"/>
      <c r="EX215" s="1513"/>
      <c r="EY215" s="1513"/>
      <c r="EZ215" s="1513"/>
      <c r="FA215" s="1513"/>
      <c r="FB215" s="1513"/>
      <c r="FC215" s="1513"/>
      <c r="FD215" s="1513"/>
      <c r="FE215" s="1513"/>
      <c r="FF215" s="1513"/>
      <c r="FG215" s="1513"/>
      <c r="FH215" s="1513"/>
      <c r="FI215" s="1513"/>
      <c r="FJ215" s="1513"/>
      <c r="FL215" s="1513"/>
    </row>
    <row r="216" spans="1:168" ht="17.100000000000001" customHeight="1" x14ac:dyDescent="0.15">
      <c r="A216" s="1513"/>
      <c r="B216" s="1282"/>
      <c r="C216" s="1282"/>
      <c r="D216" s="1282"/>
      <c r="E216" s="1282"/>
      <c r="F216" s="1282"/>
      <c r="G216" s="1282"/>
      <c r="H216" s="1282"/>
      <c r="I216" s="1282"/>
      <c r="J216" s="1282"/>
      <c r="K216" s="1282"/>
      <c r="L216" s="1282"/>
      <c r="M216" s="1282"/>
      <c r="N216" s="1282"/>
      <c r="O216" s="1282"/>
      <c r="P216" s="1282"/>
      <c r="Q216" s="1282"/>
      <c r="R216" s="1282"/>
      <c r="S216" s="1282"/>
      <c r="T216" s="1282"/>
      <c r="U216" s="1282"/>
      <c r="V216" s="1282"/>
      <c r="W216" s="1282"/>
      <c r="X216" s="1282"/>
      <c r="Y216" s="1282"/>
      <c r="Z216" s="1282"/>
      <c r="AA216" s="1282"/>
      <c r="AB216" s="1282"/>
      <c r="AC216" s="1282"/>
      <c r="AD216" s="1282"/>
      <c r="AE216" s="1282"/>
      <c r="AF216" s="1282"/>
      <c r="AG216" s="1282"/>
      <c r="AH216" s="1282"/>
      <c r="AI216" s="1282"/>
      <c r="AJ216" s="1282"/>
      <c r="AK216" s="1282"/>
      <c r="AL216" s="1282"/>
      <c r="AM216" s="1282"/>
      <c r="AN216" s="1282"/>
      <c r="AO216" s="1282"/>
      <c r="AP216" s="1282"/>
      <c r="AQ216" s="1282"/>
      <c r="AR216" s="1282"/>
      <c r="AS216" s="1282"/>
      <c r="AT216" s="1282"/>
      <c r="AU216" s="1282"/>
      <c r="AV216" s="1282"/>
      <c r="AW216" s="1282"/>
      <c r="AX216" s="1282"/>
      <c r="AY216" s="1282"/>
      <c r="AZ216" s="1282"/>
      <c r="BA216" s="1282"/>
      <c r="BB216" s="1282"/>
      <c r="BC216" s="1282"/>
      <c r="BD216" s="1282"/>
      <c r="BE216" s="1282"/>
      <c r="BF216" s="1282"/>
      <c r="BG216" s="1282"/>
      <c r="BH216" s="1282"/>
      <c r="BI216" s="1282"/>
      <c r="BJ216" s="1282"/>
      <c r="BK216" s="1282"/>
      <c r="BL216" s="1282"/>
      <c r="BM216" s="1282"/>
      <c r="BN216" s="1282"/>
      <c r="BO216" s="1282"/>
      <c r="BP216" s="1282"/>
      <c r="BQ216" s="1282"/>
      <c r="BR216" s="1282"/>
      <c r="BS216" s="1282"/>
      <c r="BT216" s="1282"/>
      <c r="BU216" s="1282"/>
      <c r="BV216" s="1282"/>
      <c r="BW216" s="1282"/>
      <c r="BX216" s="1282"/>
      <c r="BY216" s="1282"/>
      <c r="BZ216" s="1282"/>
      <c r="CA216" s="1513"/>
      <c r="CK216" s="1513"/>
      <c r="CL216" s="1513"/>
      <c r="CM216" s="1513"/>
      <c r="CN216" s="1513"/>
      <c r="CO216" s="1513"/>
      <c r="CP216" s="1513"/>
      <c r="CQ216" s="1513"/>
      <c r="CR216" s="1513"/>
      <c r="CS216" s="1513"/>
      <c r="CT216" s="1513"/>
      <c r="CU216" s="1513"/>
      <c r="CV216" s="1513"/>
      <c r="CW216" s="1513"/>
      <c r="CX216" s="1513"/>
      <c r="CY216" s="1513"/>
      <c r="CZ216" s="1513"/>
      <c r="DA216" s="1513"/>
      <c r="DB216" s="1513"/>
      <c r="DC216" s="1513"/>
      <c r="DD216" s="1513"/>
      <c r="DE216" s="1513"/>
      <c r="DF216" s="1513"/>
      <c r="DG216" s="1513"/>
      <c r="DH216" s="1513"/>
      <c r="DI216" s="1513"/>
      <c r="DJ216" s="1513"/>
      <c r="DK216" s="1513"/>
      <c r="DL216" s="1513"/>
      <c r="DM216" s="1513"/>
      <c r="DN216" s="1513"/>
      <c r="DO216" s="1513"/>
      <c r="DP216" s="1513"/>
      <c r="DQ216" s="1513"/>
      <c r="DR216" s="1513"/>
      <c r="DS216" s="1513"/>
      <c r="DT216" s="1513"/>
      <c r="DU216" s="1513"/>
      <c r="DV216" s="1513"/>
      <c r="DW216" s="1513"/>
      <c r="DX216" s="1513"/>
      <c r="DY216" s="1513"/>
      <c r="DZ216" s="1513"/>
      <c r="EA216" s="1513"/>
      <c r="EB216" s="1513"/>
      <c r="EC216" s="1513"/>
      <c r="ED216" s="1513"/>
      <c r="EE216" s="1513"/>
      <c r="EF216" s="1513"/>
      <c r="EG216" s="1513"/>
      <c r="EH216" s="1513"/>
      <c r="EI216" s="1513"/>
      <c r="EJ216" s="1513"/>
      <c r="EK216" s="1513"/>
      <c r="EL216" s="1513"/>
      <c r="EM216" s="1513"/>
      <c r="EN216" s="1513"/>
      <c r="EO216" s="1513"/>
      <c r="EP216" s="1513"/>
      <c r="EQ216" s="1513"/>
      <c r="ER216" s="1513"/>
      <c r="ES216" s="1513"/>
      <c r="ET216" s="1513"/>
      <c r="EU216" s="1513"/>
      <c r="EV216" s="1513"/>
      <c r="EW216" s="1513"/>
      <c r="EX216" s="1513"/>
      <c r="EY216" s="1513"/>
      <c r="EZ216" s="1513"/>
      <c r="FA216" s="1513"/>
      <c r="FB216" s="1513"/>
      <c r="FC216" s="1513"/>
      <c r="FD216" s="1513"/>
      <c r="FE216" s="1513"/>
      <c r="FF216" s="1513"/>
      <c r="FG216" s="1513"/>
      <c r="FH216" s="1513"/>
      <c r="FI216" s="1513"/>
      <c r="FJ216" s="1513"/>
      <c r="FL216" s="1513"/>
    </row>
    <row r="217" spans="1:168" ht="17.100000000000001" customHeight="1" x14ac:dyDescent="0.15">
      <c r="A217" s="1513"/>
      <c r="B217" s="1282"/>
      <c r="C217" s="1282"/>
      <c r="D217" s="1282"/>
      <c r="E217" s="1282"/>
      <c r="F217" s="1282"/>
      <c r="G217" s="1282"/>
      <c r="H217" s="1282"/>
      <c r="I217" s="1282"/>
      <c r="J217" s="1282"/>
      <c r="K217" s="1282"/>
      <c r="L217" s="1282"/>
      <c r="M217" s="1282"/>
      <c r="N217" s="1282"/>
      <c r="O217" s="1282"/>
      <c r="P217" s="1282"/>
      <c r="Q217" s="1282"/>
      <c r="R217" s="1282"/>
      <c r="S217" s="1282"/>
      <c r="T217" s="1282"/>
      <c r="U217" s="1282"/>
      <c r="V217" s="1282"/>
      <c r="W217" s="1282"/>
      <c r="X217" s="1282"/>
      <c r="Y217" s="1282"/>
      <c r="Z217" s="1282"/>
      <c r="AA217" s="1282"/>
      <c r="AB217" s="1282"/>
      <c r="AC217" s="1282"/>
      <c r="AD217" s="1282"/>
      <c r="AE217" s="1282"/>
      <c r="AF217" s="1282"/>
      <c r="AG217" s="1282"/>
      <c r="AH217" s="1282"/>
      <c r="AI217" s="1282"/>
      <c r="AJ217" s="1282"/>
      <c r="AK217" s="1282"/>
      <c r="AL217" s="1282"/>
      <c r="AM217" s="1282"/>
      <c r="AN217" s="1282"/>
      <c r="AO217" s="1282"/>
      <c r="AP217" s="1282"/>
      <c r="AQ217" s="1282"/>
      <c r="AR217" s="1282"/>
      <c r="AS217" s="1282"/>
      <c r="AT217" s="1282"/>
      <c r="AU217" s="1282"/>
      <c r="AV217" s="1282"/>
      <c r="AW217" s="1282"/>
      <c r="AX217" s="1282"/>
      <c r="AY217" s="1282"/>
      <c r="AZ217" s="1282"/>
      <c r="BA217" s="1282"/>
      <c r="BB217" s="1282"/>
      <c r="BC217" s="1282"/>
      <c r="BD217" s="1282"/>
      <c r="BE217" s="1282"/>
      <c r="BF217" s="1282"/>
      <c r="BG217" s="1282"/>
      <c r="BH217" s="1282"/>
      <c r="BI217" s="1282"/>
      <c r="BJ217" s="1282"/>
      <c r="BK217" s="1282"/>
      <c r="BL217" s="1282"/>
      <c r="BM217" s="1282"/>
      <c r="BN217" s="1282"/>
      <c r="BO217" s="1282"/>
      <c r="BP217" s="1282"/>
      <c r="BQ217" s="1282"/>
      <c r="BR217" s="1282"/>
      <c r="BS217" s="1282"/>
      <c r="BT217" s="1282"/>
      <c r="BU217" s="1282"/>
      <c r="BV217" s="1282"/>
      <c r="BW217" s="1282"/>
      <c r="BX217" s="1282"/>
      <c r="BY217" s="1282"/>
      <c r="BZ217" s="1282"/>
      <c r="CA217" s="1513"/>
      <c r="CK217" s="1513"/>
      <c r="CL217" s="1513"/>
      <c r="CM217" s="1513"/>
      <c r="CN217" s="1513"/>
      <c r="CO217" s="1513"/>
      <c r="CP217" s="1513"/>
      <c r="CQ217" s="1513"/>
      <c r="CR217" s="1513"/>
      <c r="CS217" s="1513"/>
      <c r="CT217" s="1513"/>
      <c r="CU217" s="1513"/>
      <c r="CV217" s="1513"/>
      <c r="CW217" s="1513"/>
      <c r="CX217" s="1513"/>
      <c r="CY217" s="1513"/>
      <c r="CZ217" s="1513"/>
      <c r="DA217" s="1513"/>
      <c r="DB217" s="1513"/>
      <c r="DC217" s="1513"/>
      <c r="DD217" s="1513"/>
      <c r="DE217" s="1513"/>
      <c r="DF217" s="1513"/>
      <c r="DG217" s="1513"/>
      <c r="DH217" s="1513"/>
      <c r="DI217" s="1513"/>
      <c r="DJ217" s="1513"/>
      <c r="DK217" s="1513"/>
      <c r="DL217" s="1513"/>
      <c r="DM217" s="1513"/>
      <c r="DN217" s="1513"/>
      <c r="DO217" s="1513"/>
      <c r="DP217" s="1513"/>
      <c r="DQ217" s="1513"/>
      <c r="DR217" s="1513"/>
      <c r="DS217" s="1513"/>
      <c r="DT217" s="1513"/>
      <c r="DU217" s="1513"/>
      <c r="DV217" s="1513"/>
      <c r="DW217" s="1513"/>
      <c r="DX217" s="1513"/>
      <c r="DY217" s="1513"/>
      <c r="DZ217" s="1513"/>
      <c r="EA217" s="1513"/>
      <c r="EB217" s="1513"/>
      <c r="EC217" s="1513"/>
      <c r="ED217" s="1513"/>
      <c r="EE217" s="1513"/>
      <c r="EF217" s="1513"/>
      <c r="EG217" s="1513"/>
      <c r="EH217" s="1513"/>
      <c r="EI217" s="1513"/>
      <c r="EJ217" s="1513"/>
      <c r="EK217" s="1513"/>
      <c r="EL217" s="1513"/>
      <c r="EM217" s="1513"/>
      <c r="EN217" s="1513"/>
      <c r="EO217" s="1513"/>
      <c r="EP217" s="1513"/>
      <c r="EQ217" s="1513"/>
      <c r="ER217" s="1513"/>
      <c r="ES217" s="1513"/>
      <c r="ET217" s="1513"/>
      <c r="EU217" s="1513"/>
      <c r="EV217" s="1513"/>
      <c r="EW217" s="1513"/>
      <c r="EX217" s="1513"/>
      <c r="EY217" s="1513"/>
      <c r="EZ217" s="1513"/>
      <c r="FA217" s="1513"/>
      <c r="FB217" s="1513"/>
      <c r="FC217" s="1513"/>
      <c r="FD217" s="1513"/>
      <c r="FE217" s="1513"/>
      <c r="FF217" s="1513"/>
      <c r="FG217" s="1513"/>
      <c r="FH217" s="1513"/>
      <c r="FI217" s="1513"/>
      <c r="FJ217" s="1513"/>
      <c r="FL217" s="1513"/>
    </row>
    <row r="218" spans="1:168" ht="17.100000000000001" customHeight="1" x14ac:dyDescent="0.15">
      <c r="A218" s="1513"/>
      <c r="B218" s="1282"/>
      <c r="C218" s="1282"/>
      <c r="D218" s="1282"/>
      <c r="E218" s="1282"/>
      <c r="F218" s="1282"/>
      <c r="G218" s="1282"/>
      <c r="H218" s="1282"/>
      <c r="I218" s="1282"/>
      <c r="J218" s="1282"/>
      <c r="K218" s="1282"/>
      <c r="L218" s="1282"/>
      <c r="M218" s="1282"/>
      <c r="N218" s="1282"/>
      <c r="O218" s="1282"/>
      <c r="P218" s="1282"/>
      <c r="Q218" s="1282"/>
      <c r="R218" s="1282"/>
      <c r="S218" s="1282"/>
      <c r="T218" s="1282"/>
      <c r="U218" s="1282"/>
      <c r="V218" s="1282"/>
      <c r="W218" s="1282"/>
      <c r="X218" s="1282"/>
      <c r="Y218" s="1282"/>
      <c r="Z218" s="1282"/>
      <c r="AA218" s="1282"/>
      <c r="AB218" s="1282"/>
      <c r="AC218" s="1282"/>
      <c r="AD218" s="1282"/>
      <c r="AE218" s="1282"/>
      <c r="AF218" s="1282"/>
      <c r="AG218" s="1282"/>
      <c r="AH218" s="1282"/>
      <c r="AI218" s="1282"/>
      <c r="AJ218" s="1282"/>
      <c r="AK218" s="1282"/>
      <c r="AL218" s="1282"/>
      <c r="AM218" s="1282"/>
      <c r="AN218" s="1282"/>
      <c r="AO218" s="1282"/>
      <c r="AP218" s="1282"/>
      <c r="AQ218" s="1282"/>
      <c r="AR218" s="1282"/>
      <c r="AS218" s="1282"/>
      <c r="AT218" s="1282"/>
      <c r="AU218" s="1282"/>
      <c r="AV218" s="1282"/>
      <c r="AW218" s="1282"/>
      <c r="AX218" s="1282"/>
      <c r="AY218" s="1282"/>
      <c r="AZ218" s="1282"/>
      <c r="BA218" s="1282"/>
      <c r="BB218" s="1282"/>
      <c r="BC218" s="1282"/>
      <c r="BD218" s="1282"/>
      <c r="BE218" s="1282"/>
      <c r="BF218" s="1282"/>
      <c r="BG218" s="1282"/>
      <c r="BH218" s="1282"/>
      <c r="BI218" s="1282"/>
      <c r="BJ218" s="1282"/>
      <c r="BK218" s="1282"/>
      <c r="BL218" s="1282"/>
      <c r="BM218" s="1282"/>
      <c r="BN218" s="1282"/>
      <c r="BO218" s="1282"/>
      <c r="BP218" s="1282"/>
      <c r="BQ218" s="1282"/>
      <c r="BR218" s="1282"/>
      <c r="BS218" s="1282"/>
      <c r="BT218" s="1282"/>
      <c r="BU218" s="1282"/>
      <c r="BV218" s="1282"/>
      <c r="BW218" s="1282"/>
      <c r="BX218" s="1282"/>
      <c r="BY218" s="1282"/>
      <c r="BZ218" s="1282"/>
      <c r="CA218" s="1513"/>
      <c r="CK218" s="1513"/>
      <c r="CL218" s="1513"/>
      <c r="CM218" s="1513"/>
      <c r="CN218" s="1513"/>
      <c r="CO218" s="1513"/>
      <c r="CP218" s="1513"/>
      <c r="CQ218" s="1513"/>
      <c r="CR218" s="1513"/>
      <c r="CS218" s="1513"/>
      <c r="CT218" s="1513"/>
      <c r="CU218" s="1513"/>
      <c r="CV218" s="1513"/>
      <c r="CW218" s="1513"/>
      <c r="CX218" s="1513"/>
      <c r="CY218" s="1513"/>
      <c r="CZ218" s="1513"/>
      <c r="DA218" s="1513"/>
      <c r="DB218" s="1513"/>
      <c r="DC218" s="1513"/>
      <c r="DD218" s="1513"/>
      <c r="DE218" s="1513"/>
      <c r="DF218" s="1513"/>
      <c r="DG218" s="1513"/>
      <c r="DH218" s="1513"/>
      <c r="DI218" s="1513"/>
      <c r="DJ218" s="1513"/>
      <c r="DK218" s="1513"/>
      <c r="DL218" s="1513"/>
      <c r="DM218" s="1513"/>
      <c r="DN218" s="1513"/>
      <c r="DO218" s="1513"/>
      <c r="DP218" s="1513"/>
      <c r="DQ218" s="1513"/>
      <c r="DR218" s="1513"/>
      <c r="DS218" s="1513"/>
      <c r="DT218" s="1513"/>
      <c r="DU218" s="1513"/>
      <c r="DV218" s="1513"/>
      <c r="DW218" s="1513"/>
      <c r="DX218" s="1513"/>
      <c r="DY218" s="1513"/>
      <c r="DZ218" s="1513"/>
      <c r="EA218" s="1513"/>
      <c r="EB218" s="1513"/>
      <c r="EC218" s="1513"/>
      <c r="ED218" s="1513"/>
      <c r="EE218" s="1513"/>
      <c r="EF218" s="1513"/>
      <c r="EG218" s="1513"/>
      <c r="EH218" s="1513"/>
      <c r="EI218" s="1513"/>
      <c r="EJ218" s="1513"/>
      <c r="EK218" s="1513"/>
      <c r="EL218" s="1513"/>
      <c r="EM218" s="1513"/>
      <c r="EN218" s="1513"/>
      <c r="EO218" s="1513"/>
      <c r="EP218" s="1513"/>
      <c r="EQ218" s="1513"/>
      <c r="ER218" s="1513"/>
      <c r="ES218" s="1513"/>
      <c r="ET218" s="1513"/>
      <c r="EU218" s="1513"/>
      <c r="EV218" s="1513"/>
      <c r="EW218" s="1513"/>
      <c r="EX218" s="1513"/>
      <c r="EY218" s="1513"/>
      <c r="EZ218" s="1513"/>
      <c r="FA218" s="1513"/>
      <c r="FB218" s="1513"/>
      <c r="FC218" s="1513"/>
      <c r="FD218" s="1513"/>
      <c r="FE218" s="1513"/>
      <c r="FF218" s="1513"/>
      <c r="FG218" s="1513"/>
      <c r="FH218" s="1513"/>
      <c r="FI218" s="1513"/>
      <c r="FJ218" s="1513"/>
      <c r="FL218" s="1513"/>
    </row>
    <row r="219" spans="1:168" ht="17.100000000000001" customHeight="1" x14ac:dyDescent="0.15">
      <c r="A219" s="1513"/>
      <c r="B219" s="1513"/>
      <c r="C219" s="1513"/>
      <c r="D219" s="1513"/>
      <c r="E219" s="1513"/>
      <c r="F219" s="1513"/>
      <c r="G219" s="1513"/>
      <c r="H219" s="1513"/>
      <c r="I219" s="1513"/>
      <c r="J219" s="1513"/>
      <c r="K219" s="1513"/>
      <c r="L219" s="1513"/>
      <c r="M219" s="1513"/>
      <c r="N219" s="1513"/>
      <c r="O219" s="1513"/>
      <c r="P219" s="1513"/>
      <c r="Q219" s="1513"/>
      <c r="R219" s="1513"/>
      <c r="S219" s="1513"/>
      <c r="T219" s="1513"/>
      <c r="U219" s="1513"/>
      <c r="V219" s="1513"/>
      <c r="W219" s="1513"/>
      <c r="X219" s="1513"/>
      <c r="Y219" s="1513"/>
      <c r="Z219" s="1513"/>
      <c r="AA219" s="1513"/>
      <c r="AB219" s="1513"/>
      <c r="AC219" s="1513"/>
      <c r="AD219" s="1513"/>
      <c r="AE219" s="1513"/>
      <c r="AF219" s="1513"/>
      <c r="AG219" s="1513"/>
      <c r="AH219" s="1513"/>
      <c r="AI219" s="1513"/>
      <c r="AJ219" s="1513"/>
      <c r="AK219" s="1513"/>
      <c r="AL219" s="1513"/>
      <c r="AM219" s="1513"/>
      <c r="AN219" s="1513"/>
      <c r="AO219" s="1513"/>
      <c r="AP219" s="1513"/>
      <c r="AQ219" s="1513"/>
      <c r="AR219" s="1513"/>
      <c r="AS219" s="1513"/>
      <c r="AT219" s="1513"/>
      <c r="AU219" s="1513"/>
      <c r="AV219" s="1513"/>
      <c r="AW219" s="1513"/>
      <c r="AX219" s="1513"/>
      <c r="AY219" s="1513"/>
      <c r="AZ219" s="1513"/>
      <c r="BA219" s="1513"/>
      <c r="BB219" s="1513"/>
      <c r="BC219" s="1513"/>
      <c r="BD219" s="1513"/>
      <c r="BE219" s="1513"/>
      <c r="BF219" s="1513"/>
      <c r="BG219" s="1513"/>
      <c r="BH219" s="1513"/>
      <c r="BI219" s="1513"/>
      <c r="BJ219" s="1513"/>
      <c r="BK219" s="1513"/>
      <c r="BL219" s="1513"/>
      <c r="BM219" s="1513"/>
      <c r="BN219" s="1513"/>
      <c r="BO219" s="1513"/>
      <c r="BP219" s="1513"/>
      <c r="BQ219" s="1513"/>
      <c r="BR219" s="1513"/>
      <c r="BS219" s="1513"/>
      <c r="BT219" s="1513"/>
      <c r="BU219" s="1513"/>
      <c r="BV219" s="1513"/>
      <c r="BW219" s="1513"/>
      <c r="BX219" s="1513"/>
      <c r="BY219" s="1513"/>
      <c r="BZ219" s="1513"/>
      <c r="CA219" s="1513"/>
      <c r="CK219" s="1513"/>
      <c r="CL219" s="1513"/>
      <c r="CM219" s="1513"/>
      <c r="CN219" s="1513"/>
      <c r="CO219" s="1513"/>
      <c r="CP219" s="1513"/>
      <c r="CQ219" s="1513"/>
      <c r="CR219" s="1513"/>
      <c r="CS219" s="1513"/>
      <c r="CT219" s="1513"/>
      <c r="CU219" s="1513"/>
      <c r="CV219" s="1513"/>
      <c r="CW219" s="1513"/>
      <c r="CX219" s="1513"/>
      <c r="CY219" s="1513"/>
      <c r="CZ219" s="1513"/>
      <c r="DA219" s="1513"/>
      <c r="DB219" s="1513"/>
      <c r="DC219" s="1513"/>
      <c r="DD219" s="1513"/>
      <c r="DE219" s="1513"/>
      <c r="DF219" s="1513"/>
      <c r="DG219" s="1513"/>
      <c r="DH219" s="1513"/>
      <c r="DI219" s="1513"/>
      <c r="DJ219" s="1513"/>
      <c r="DK219" s="1513"/>
      <c r="DL219" s="1513"/>
      <c r="DM219" s="1513"/>
      <c r="DN219" s="1513"/>
      <c r="DO219" s="1513"/>
      <c r="DP219" s="1513"/>
      <c r="DQ219" s="1513"/>
      <c r="DR219" s="1513"/>
      <c r="DS219" s="1513"/>
      <c r="DT219" s="1513"/>
      <c r="DU219" s="1513"/>
      <c r="DV219" s="1513"/>
      <c r="DW219" s="1513"/>
      <c r="DX219" s="1513"/>
      <c r="DY219" s="1513"/>
      <c r="DZ219" s="1513"/>
      <c r="EA219" s="1513"/>
      <c r="EB219" s="1513"/>
      <c r="EC219" s="1513"/>
      <c r="ED219" s="1513"/>
      <c r="EE219" s="1513"/>
      <c r="EF219" s="1513"/>
      <c r="EG219" s="1513"/>
      <c r="EH219" s="1513"/>
      <c r="EI219" s="1513"/>
      <c r="EJ219" s="1513"/>
      <c r="EK219" s="1513"/>
      <c r="EL219" s="1513"/>
      <c r="EM219" s="1513"/>
      <c r="EN219" s="1513"/>
      <c r="EO219" s="1513"/>
      <c r="EP219" s="1513"/>
      <c r="EQ219" s="1513"/>
      <c r="ER219" s="1513"/>
      <c r="ES219" s="1513"/>
      <c r="ET219" s="1513"/>
      <c r="EU219" s="1513"/>
      <c r="EV219" s="1513"/>
      <c r="EW219" s="1513"/>
      <c r="EX219" s="1513"/>
      <c r="EY219" s="1513"/>
      <c r="EZ219" s="1513"/>
      <c r="FA219" s="1513"/>
      <c r="FB219" s="1513"/>
      <c r="FC219" s="1513"/>
      <c r="FD219" s="1513"/>
      <c r="FE219" s="1513"/>
      <c r="FF219" s="1513"/>
      <c r="FG219" s="1513"/>
      <c r="FH219" s="1513"/>
      <c r="FI219" s="1513"/>
      <c r="FJ219" s="1513"/>
      <c r="FL219" s="1513"/>
    </row>
    <row r="220" spans="1:168" ht="17.100000000000001" customHeight="1" x14ac:dyDescent="0.15">
      <c r="A220" s="1513"/>
      <c r="B220" s="1513"/>
      <c r="C220" s="1513"/>
      <c r="D220" s="1513"/>
      <c r="E220" s="1513"/>
      <c r="F220" s="1513"/>
      <c r="G220" s="1513"/>
      <c r="H220" s="1513"/>
      <c r="I220" s="1513"/>
      <c r="J220" s="1513"/>
      <c r="K220" s="1513"/>
      <c r="L220" s="1513"/>
      <c r="M220" s="1513"/>
      <c r="N220" s="1513"/>
      <c r="O220" s="1513"/>
      <c r="P220" s="1513"/>
      <c r="Q220" s="1513"/>
      <c r="R220" s="1513"/>
      <c r="S220" s="1513"/>
      <c r="T220" s="1513"/>
      <c r="U220" s="1513"/>
      <c r="V220" s="1513"/>
      <c r="W220" s="1513"/>
      <c r="X220" s="1513"/>
      <c r="Y220" s="1513"/>
      <c r="Z220" s="1513"/>
      <c r="AA220" s="1513"/>
      <c r="AB220" s="1513"/>
      <c r="AC220" s="1513"/>
      <c r="AD220" s="1513"/>
      <c r="AE220" s="1513"/>
      <c r="AF220" s="1513"/>
      <c r="AG220" s="1513"/>
      <c r="AH220" s="1513"/>
      <c r="AI220" s="1513"/>
      <c r="AJ220" s="1513"/>
      <c r="AK220" s="1513"/>
      <c r="AL220" s="1513"/>
      <c r="AM220" s="1513"/>
      <c r="AN220" s="1513"/>
      <c r="AO220" s="1513"/>
      <c r="AP220" s="1513"/>
      <c r="AQ220" s="1513"/>
      <c r="AR220" s="1513"/>
      <c r="AS220" s="1513"/>
      <c r="AT220" s="1513"/>
      <c r="AU220" s="1513"/>
      <c r="AV220" s="1513"/>
      <c r="AW220" s="1513"/>
      <c r="AX220" s="1513"/>
      <c r="AY220" s="1513"/>
      <c r="AZ220" s="1513"/>
      <c r="BA220" s="1513"/>
      <c r="BB220" s="1513"/>
      <c r="BC220" s="1513"/>
      <c r="BD220" s="1513"/>
      <c r="BE220" s="1513"/>
      <c r="BF220" s="1513"/>
      <c r="BG220" s="1513"/>
      <c r="BH220" s="1513"/>
      <c r="BI220" s="1513"/>
      <c r="BJ220" s="1513"/>
      <c r="BK220" s="1513"/>
      <c r="BL220" s="1513"/>
      <c r="BM220" s="1513"/>
      <c r="BN220" s="1513"/>
      <c r="BO220" s="1513"/>
      <c r="BP220" s="1513"/>
      <c r="BQ220" s="1513"/>
      <c r="BR220" s="1513"/>
      <c r="BS220" s="1513"/>
      <c r="BT220" s="1513"/>
      <c r="BU220" s="1513"/>
      <c r="BV220" s="1513"/>
      <c r="BW220" s="1513"/>
      <c r="BX220" s="1513"/>
      <c r="BY220" s="1513"/>
      <c r="BZ220" s="1513"/>
      <c r="CA220" s="1513"/>
      <c r="CB220" s="1513"/>
      <c r="CC220" s="1513"/>
      <c r="CD220" s="1513"/>
      <c r="CE220" s="1513"/>
      <c r="CF220" s="1513"/>
      <c r="CG220" s="1513"/>
      <c r="CH220" s="1513"/>
      <c r="CI220" s="1513"/>
      <c r="CJ220" s="1513"/>
      <c r="CK220" s="1513"/>
      <c r="CL220" s="1513"/>
      <c r="CM220" s="1513"/>
      <c r="CN220" s="1513"/>
      <c r="CO220" s="1513"/>
      <c r="CP220" s="1513"/>
      <c r="CQ220" s="1513"/>
      <c r="CR220" s="1513"/>
      <c r="CS220" s="1513"/>
      <c r="CT220" s="1513"/>
      <c r="CU220" s="1513"/>
      <c r="CV220" s="1513"/>
      <c r="CW220" s="1513"/>
      <c r="CX220" s="1513"/>
      <c r="CY220" s="1513"/>
      <c r="CZ220" s="1513"/>
      <c r="DA220" s="1513"/>
      <c r="DB220" s="1513"/>
      <c r="DC220" s="1513"/>
      <c r="DD220" s="1513"/>
      <c r="DE220" s="1513"/>
      <c r="DF220" s="1513"/>
      <c r="DG220" s="1513"/>
      <c r="DH220" s="1513"/>
      <c r="DI220" s="1513"/>
      <c r="DJ220" s="1513"/>
      <c r="DK220" s="1513"/>
      <c r="DL220" s="1513"/>
      <c r="DM220" s="1513"/>
      <c r="DN220" s="1513"/>
      <c r="DO220" s="1513"/>
      <c r="DP220" s="1513"/>
      <c r="DQ220" s="1513"/>
      <c r="DR220" s="1513"/>
      <c r="DS220" s="1513"/>
      <c r="DT220" s="1513"/>
      <c r="DU220" s="1513"/>
      <c r="DV220" s="1513"/>
      <c r="DW220" s="1513"/>
      <c r="DX220" s="1513"/>
      <c r="DY220" s="1513"/>
      <c r="DZ220" s="1513"/>
      <c r="EA220" s="1513"/>
      <c r="EB220" s="1513"/>
      <c r="EC220" s="1513"/>
      <c r="ED220" s="1513"/>
      <c r="EE220" s="1513"/>
      <c r="EF220" s="1513"/>
      <c r="EG220" s="1513"/>
      <c r="EH220" s="1513"/>
      <c r="EI220" s="1513"/>
      <c r="EJ220" s="1513"/>
      <c r="EK220" s="1513"/>
      <c r="EL220" s="1513"/>
      <c r="EM220" s="1513"/>
      <c r="EN220" s="1513"/>
      <c r="EO220" s="1513"/>
      <c r="EP220" s="1513"/>
      <c r="EQ220" s="1513"/>
      <c r="ER220" s="1513"/>
      <c r="ES220" s="1513"/>
      <c r="ET220" s="1513"/>
      <c r="EU220" s="1513"/>
      <c r="EV220" s="1513"/>
      <c r="EW220" s="1513"/>
      <c r="EX220" s="1513"/>
      <c r="EY220" s="1513"/>
      <c r="EZ220" s="1513"/>
      <c r="FA220" s="1513"/>
      <c r="FB220" s="1513"/>
      <c r="FC220" s="1513"/>
      <c r="FD220" s="1513"/>
      <c r="FE220" s="1513"/>
      <c r="FF220" s="1513"/>
      <c r="FG220" s="1513"/>
      <c r="FH220" s="1513"/>
      <c r="FI220" s="1513"/>
      <c r="FJ220" s="1513"/>
      <c r="FL220" s="1513"/>
    </row>
    <row r="221" spans="1:168" ht="17.100000000000001" customHeight="1" x14ac:dyDescent="0.15">
      <c r="A221" s="1513"/>
      <c r="B221" s="1513"/>
      <c r="C221" s="1513"/>
      <c r="D221" s="1513"/>
      <c r="E221" s="1513"/>
      <c r="F221" s="1513"/>
      <c r="G221" s="1513"/>
      <c r="H221" s="1513"/>
      <c r="I221" s="1513"/>
      <c r="J221" s="1513"/>
      <c r="K221" s="1513"/>
      <c r="L221" s="1513"/>
      <c r="M221" s="1513"/>
      <c r="N221" s="1513"/>
      <c r="O221" s="1513"/>
      <c r="P221" s="1513"/>
      <c r="Q221" s="1513"/>
      <c r="R221" s="1513"/>
      <c r="S221" s="1513"/>
      <c r="T221" s="1513"/>
      <c r="U221" s="1513"/>
      <c r="V221" s="1513"/>
      <c r="W221" s="1513"/>
      <c r="X221" s="1513"/>
      <c r="Y221" s="1513"/>
      <c r="Z221" s="1513"/>
      <c r="AA221" s="1513"/>
      <c r="AB221" s="1513"/>
      <c r="AC221" s="1513"/>
      <c r="AD221" s="1513"/>
      <c r="AE221" s="1513"/>
      <c r="AF221" s="1513"/>
      <c r="AG221" s="1513"/>
      <c r="AH221" s="1513"/>
      <c r="AI221" s="1513"/>
      <c r="AJ221" s="1513"/>
      <c r="AK221" s="1513"/>
      <c r="AL221" s="1513"/>
      <c r="AM221" s="1513"/>
      <c r="AN221" s="1513"/>
      <c r="AO221" s="1513"/>
      <c r="AP221" s="1513"/>
      <c r="AQ221" s="1513"/>
      <c r="AR221" s="1513"/>
      <c r="AS221" s="1513"/>
      <c r="AT221" s="1513"/>
      <c r="AU221" s="1513"/>
      <c r="AV221" s="1513"/>
      <c r="AW221" s="1513"/>
      <c r="AX221" s="1513"/>
      <c r="AY221" s="1513"/>
      <c r="AZ221" s="1513"/>
      <c r="BA221" s="1513"/>
      <c r="BB221" s="1513"/>
      <c r="BC221" s="1513"/>
      <c r="BD221" s="1513"/>
      <c r="BE221" s="1513"/>
      <c r="BF221" s="1513"/>
      <c r="BG221" s="1513"/>
      <c r="BH221" s="1513"/>
      <c r="BI221" s="1513"/>
      <c r="BJ221" s="1513"/>
      <c r="BK221" s="1513"/>
      <c r="BL221" s="1513"/>
      <c r="BM221" s="1513"/>
      <c r="BN221" s="1513"/>
      <c r="BO221" s="1513"/>
      <c r="BP221" s="1513"/>
      <c r="BQ221" s="1513"/>
      <c r="BR221" s="1513"/>
      <c r="BS221" s="1513"/>
      <c r="BT221" s="1513"/>
      <c r="BU221" s="1513"/>
      <c r="BV221" s="1513"/>
      <c r="BW221" s="1513"/>
      <c r="BX221" s="1513"/>
      <c r="BY221" s="1513"/>
      <c r="BZ221" s="1513"/>
      <c r="CA221" s="1513"/>
      <c r="CB221" s="1513"/>
      <c r="CC221" s="1513"/>
      <c r="CD221" s="1513"/>
      <c r="CE221" s="1513"/>
      <c r="CF221" s="1513"/>
      <c r="CG221" s="1513"/>
      <c r="CH221" s="1513"/>
      <c r="CI221" s="1513"/>
      <c r="CJ221" s="1513"/>
      <c r="CK221" s="1513"/>
      <c r="CL221" s="1513"/>
      <c r="CM221" s="1513"/>
      <c r="CN221" s="1513"/>
      <c r="CO221" s="1513"/>
      <c r="CP221" s="1513"/>
      <c r="CQ221" s="1513"/>
      <c r="CR221" s="1513"/>
      <c r="CS221" s="1513"/>
      <c r="CT221" s="1513"/>
      <c r="CU221" s="1513"/>
      <c r="CV221" s="1513"/>
      <c r="CW221" s="1513"/>
      <c r="CX221" s="1513"/>
      <c r="CY221" s="1513"/>
      <c r="CZ221" s="1513"/>
      <c r="DA221" s="1513"/>
      <c r="DB221" s="1513"/>
      <c r="DC221" s="1513"/>
      <c r="DD221" s="1513"/>
      <c r="DE221" s="1513"/>
      <c r="DF221" s="1513"/>
      <c r="DG221" s="1513"/>
      <c r="DH221" s="1513"/>
      <c r="DI221" s="1513"/>
      <c r="DJ221" s="1513"/>
      <c r="DK221" s="1513"/>
      <c r="DL221" s="1513"/>
      <c r="DM221" s="1513"/>
      <c r="DN221" s="1513"/>
      <c r="DO221" s="1513"/>
      <c r="DP221" s="1513"/>
      <c r="DQ221" s="1513"/>
      <c r="DR221" s="1513"/>
      <c r="DS221" s="1513"/>
      <c r="DT221" s="1513"/>
      <c r="DU221" s="1513"/>
      <c r="DV221" s="1513"/>
      <c r="DW221" s="1513"/>
      <c r="DX221" s="1513"/>
      <c r="DY221" s="1513"/>
      <c r="DZ221" s="1513"/>
      <c r="EA221" s="1513"/>
      <c r="EB221" s="1513"/>
      <c r="EC221" s="1513"/>
      <c r="ED221" s="1513"/>
      <c r="EE221" s="1513"/>
      <c r="EF221" s="1513"/>
      <c r="EG221" s="1513"/>
      <c r="EH221" s="1513"/>
      <c r="EI221" s="1513"/>
      <c r="EJ221" s="1513"/>
      <c r="EK221" s="1513"/>
      <c r="EL221" s="1513"/>
      <c r="EM221" s="1513"/>
      <c r="EN221" s="1513"/>
      <c r="EO221" s="1513"/>
      <c r="EP221" s="1513"/>
      <c r="EQ221" s="1513"/>
      <c r="ER221" s="1513"/>
      <c r="ES221" s="1513"/>
      <c r="ET221" s="1513"/>
      <c r="EU221" s="1513"/>
      <c r="EV221" s="1513"/>
      <c r="EW221" s="1513"/>
      <c r="EX221" s="1513"/>
      <c r="EY221" s="1513"/>
      <c r="EZ221" s="1513"/>
      <c r="FA221" s="1513"/>
      <c r="FB221" s="1513"/>
      <c r="FC221" s="1513"/>
      <c r="FD221" s="1513"/>
      <c r="FE221" s="1513"/>
      <c r="FF221" s="1513"/>
      <c r="FG221" s="1513"/>
      <c r="FH221" s="1513"/>
      <c r="FI221" s="1513"/>
      <c r="FJ221" s="1513"/>
      <c r="FL221" s="1513"/>
    </row>
    <row r="222" spans="1:168" ht="17.100000000000001" customHeight="1" x14ac:dyDescent="0.15">
      <c r="A222" s="1513"/>
      <c r="B222" s="3112"/>
      <c r="C222" s="3112"/>
      <c r="D222" s="3112"/>
      <c r="E222" s="3112"/>
      <c r="F222" s="3112"/>
      <c r="G222" s="3112"/>
      <c r="H222" s="3112"/>
      <c r="I222" s="3112"/>
      <c r="J222" s="3112"/>
      <c r="K222" s="3112"/>
      <c r="L222" s="3112"/>
      <c r="M222" s="3112"/>
      <c r="N222" s="3112"/>
      <c r="O222" s="3112"/>
      <c r="P222" s="3112"/>
      <c r="Q222" s="3112"/>
      <c r="R222" s="3112"/>
      <c r="S222" s="3112"/>
      <c r="T222" s="3112"/>
      <c r="U222" s="3112"/>
      <c r="V222" s="3112"/>
      <c r="W222" s="3112"/>
      <c r="X222" s="3112"/>
      <c r="Y222" s="3112"/>
      <c r="Z222" s="3112"/>
      <c r="AA222" s="3112"/>
      <c r="AB222" s="3112"/>
      <c r="AC222" s="1513"/>
      <c r="AD222" s="1513"/>
      <c r="AE222" s="1513"/>
      <c r="AF222" s="1513"/>
      <c r="AG222" s="1513"/>
      <c r="AH222" s="1513"/>
      <c r="AI222" s="1513"/>
      <c r="AJ222" s="1513"/>
      <c r="AK222" s="1513"/>
      <c r="AL222" s="1513"/>
      <c r="AM222" s="1513"/>
      <c r="AN222" s="1513"/>
      <c r="AO222" s="1513"/>
      <c r="AP222" s="1513"/>
      <c r="AQ222" s="1513"/>
      <c r="AR222" s="1513"/>
      <c r="AS222" s="1513"/>
      <c r="AT222" s="1513"/>
      <c r="AU222" s="1513"/>
      <c r="AV222" s="1513"/>
      <c r="AW222" s="1513"/>
      <c r="AX222" s="1513"/>
      <c r="AY222" s="1513"/>
      <c r="AZ222" s="1513"/>
      <c r="BA222" s="1513"/>
      <c r="BB222" s="1513"/>
      <c r="BC222" s="1513"/>
      <c r="BD222" s="1513"/>
      <c r="BE222" s="1513"/>
      <c r="BF222" s="1513"/>
      <c r="BG222" s="1513"/>
      <c r="BH222" s="1513"/>
      <c r="BI222" s="1513"/>
      <c r="BJ222" s="1513"/>
      <c r="BK222" s="1513"/>
      <c r="BL222" s="1513"/>
      <c r="BM222" s="1513"/>
      <c r="BN222" s="1513"/>
      <c r="BO222" s="1513"/>
      <c r="BP222" s="1513"/>
      <c r="BQ222" s="1513"/>
      <c r="BR222" s="1513"/>
      <c r="BS222" s="1513"/>
      <c r="BT222" s="1513"/>
      <c r="BU222" s="1513"/>
      <c r="BV222" s="1513"/>
      <c r="BW222" s="1513"/>
      <c r="BX222" s="1513"/>
      <c r="BY222" s="1513"/>
      <c r="BZ222" s="1513"/>
      <c r="CA222" s="1513"/>
      <c r="CB222" s="1513"/>
      <c r="CC222" s="1513"/>
      <c r="CD222" s="1513"/>
      <c r="CE222" s="1513"/>
      <c r="CF222" s="1513"/>
      <c r="CG222" s="1513"/>
      <c r="CH222" s="1513"/>
      <c r="CI222" s="1513"/>
      <c r="CJ222" s="1513"/>
      <c r="CK222" s="1513"/>
      <c r="CL222" s="1513"/>
      <c r="CM222" s="1513"/>
      <c r="CN222" s="1513"/>
      <c r="CO222" s="1513"/>
      <c r="CP222" s="1513"/>
      <c r="CQ222" s="1513"/>
      <c r="CR222" s="1513"/>
      <c r="CS222" s="1513"/>
      <c r="CT222" s="1513"/>
      <c r="CU222" s="1513"/>
      <c r="CV222" s="1513"/>
      <c r="CW222" s="1513"/>
      <c r="CX222" s="1513"/>
      <c r="CY222" s="1513"/>
      <c r="CZ222" s="1513"/>
      <c r="DA222" s="1513"/>
      <c r="DB222" s="1513"/>
      <c r="DC222" s="1513"/>
      <c r="DD222" s="1513"/>
      <c r="DE222" s="1513"/>
      <c r="DF222" s="1513"/>
      <c r="DG222" s="1513"/>
      <c r="DH222" s="1513"/>
      <c r="DI222" s="1513"/>
      <c r="DJ222" s="1513"/>
      <c r="DK222" s="1513"/>
      <c r="DL222" s="1513"/>
      <c r="DM222" s="1513"/>
      <c r="DN222" s="1513"/>
      <c r="DO222" s="1513"/>
      <c r="DP222" s="1513"/>
      <c r="DQ222" s="1513"/>
      <c r="DR222" s="1513"/>
      <c r="DS222" s="1513"/>
      <c r="DT222" s="1513"/>
      <c r="DU222" s="1513"/>
      <c r="DV222" s="1513"/>
      <c r="DW222" s="1513"/>
      <c r="DX222" s="1513"/>
      <c r="DY222" s="1513"/>
      <c r="DZ222" s="1513"/>
      <c r="EA222" s="1513"/>
      <c r="EB222" s="1513"/>
      <c r="EC222" s="1513"/>
      <c r="ED222" s="1513"/>
      <c r="EE222" s="1513"/>
      <c r="EF222" s="1513"/>
      <c r="EG222" s="1513"/>
      <c r="EH222" s="1513"/>
      <c r="EI222" s="1513"/>
      <c r="EJ222" s="1513"/>
      <c r="EK222" s="1513"/>
      <c r="EL222" s="1513"/>
      <c r="EM222" s="1513"/>
      <c r="EN222" s="1513"/>
      <c r="EO222" s="1513"/>
      <c r="EP222" s="1513"/>
      <c r="EQ222" s="1513"/>
      <c r="ER222" s="1513"/>
      <c r="ES222" s="1513"/>
      <c r="ET222" s="1513"/>
      <c r="EU222" s="1513"/>
      <c r="EV222" s="1513"/>
      <c r="EW222" s="1513"/>
      <c r="EX222" s="1513"/>
      <c r="EY222" s="1513"/>
      <c r="EZ222" s="1513"/>
      <c r="FA222" s="1513"/>
      <c r="FB222" s="1513"/>
      <c r="FC222" s="1513"/>
      <c r="FD222" s="1513"/>
      <c r="FE222" s="1513"/>
      <c r="FF222" s="1513"/>
      <c r="FG222" s="1513"/>
      <c r="FH222" s="1513"/>
      <c r="FI222" s="1513"/>
      <c r="FJ222" s="1513"/>
      <c r="FL222" s="1513"/>
    </row>
    <row r="223" spans="1:168" ht="17.100000000000001" customHeight="1" x14ac:dyDescent="0.15">
      <c r="A223" s="1513"/>
      <c r="B223" s="3112"/>
      <c r="C223" s="3112"/>
      <c r="D223" s="3112"/>
      <c r="E223" s="3112"/>
      <c r="F223" s="3112"/>
      <c r="G223" s="3112"/>
      <c r="H223" s="3112"/>
      <c r="I223" s="3112"/>
      <c r="J223" s="3112"/>
      <c r="K223" s="3112"/>
      <c r="L223" s="3112"/>
      <c r="M223" s="3112"/>
      <c r="N223" s="3112"/>
      <c r="O223" s="3112"/>
      <c r="P223" s="3112"/>
      <c r="Q223" s="3112"/>
      <c r="R223" s="3112"/>
      <c r="S223" s="3112"/>
      <c r="T223" s="3112"/>
      <c r="U223" s="3112"/>
      <c r="V223" s="3112"/>
      <c r="W223" s="3112"/>
      <c r="X223" s="3112"/>
      <c r="Y223" s="3112"/>
      <c r="Z223" s="3112"/>
      <c r="AA223" s="3112"/>
      <c r="AB223" s="3112"/>
      <c r="AC223" s="1513"/>
      <c r="AD223" s="1513"/>
      <c r="AE223" s="1513"/>
      <c r="AF223" s="1513"/>
      <c r="AG223" s="1513"/>
      <c r="AH223" s="1513"/>
      <c r="AI223" s="1513"/>
      <c r="AJ223" s="1513"/>
      <c r="AK223" s="1513"/>
      <c r="AL223" s="1513"/>
      <c r="AM223" s="1513"/>
      <c r="AN223" s="1513"/>
      <c r="AO223" s="1513"/>
      <c r="AP223" s="1513"/>
      <c r="AQ223" s="1513"/>
      <c r="AR223" s="1513"/>
      <c r="AS223" s="1513"/>
      <c r="AT223" s="1513"/>
      <c r="AU223" s="1513"/>
      <c r="AV223" s="1513"/>
      <c r="AW223" s="1513"/>
      <c r="AX223" s="1513"/>
      <c r="AY223" s="1513"/>
      <c r="AZ223" s="1513"/>
      <c r="BA223" s="1513"/>
      <c r="BB223" s="1513"/>
      <c r="BC223" s="1513"/>
      <c r="BD223" s="1513"/>
      <c r="BE223" s="1513"/>
      <c r="BF223" s="1513"/>
      <c r="BG223" s="1513"/>
      <c r="BH223" s="1513"/>
      <c r="BI223" s="1513"/>
      <c r="BJ223" s="1513"/>
      <c r="BK223" s="1513"/>
      <c r="BL223" s="1513"/>
      <c r="BM223" s="1513"/>
      <c r="BN223" s="1513"/>
      <c r="BO223" s="1513"/>
      <c r="BP223" s="1513"/>
      <c r="BQ223" s="1513"/>
      <c r="BR223" s="1513"/>
      <c r="BS223" s="1513"/>
      <c r="BT223" s="1513"/>
      <c r="BU223" s="1513"/>
      <c r="BV223" s="1513"/>
      <c r="BW223" s="1513"/>
      <c r="BX223" s="1513"/>
      <c r="BY223" s="1513"/>
      <c r="BZ223" s="1513"/>
      <c r="CA223" s="1513"/>
      <c r="CB223" s="1513"/>
      <c r="CC223" s="1513"/>
      <c r="CD223" s="1513"/>
      <c r="CE223" s="1513"/>
      <c r="CF223" s="1513"/>
      <c r="CG223" s="1513"/>
      <c r="CH223" s="1513"/>
      <c r="CI223" s="1513"/>
      <c r="CJ223" s="1513"/>
      <c r="CK223" s="1513"/>
      <c r="CL223" s="1513"/>
      <c r="CM223" s="1513"/>
      <c r="CN223" s="1513"/>
      <c r="CO223" s="1513"/>
      <c r="CP223" s="1513"/>
      <c r="CQ223" s="1513"/>
      <c r="CR223" s="1513"/>
      <c r="CS223" s="1513"/>
      <c r="CT223" s="1513"/>
      <c r="CU223" s="1513"/>
      <c r="CV223" s="1513"/>
      <c r="CW223" s="1513"/>
      <c r="CX223" s="1513"/>
      <c r="CY223" s="1513"/>
      <c r="CZ223" s="1513"/>
      <c r="DA223" s="1513"/>
      <c r="DB223" s="1513"/>
      <c r="DC223" s="1513"/>
      <c r="DD223" s="1513"/>
      <c r="DE223" s="1513"/>
      <c r="DF223" s="1513"/>
      <c r="DG223" s="1513"/>
      <c r="DH223" s="1513"/>
      <c r="DI223" s="1513"/>
      <c r="DJ223" s="1513"/>
      <c r="DK223" s="1513"/>
      <c r="DL223" s="1513"/>
      <c r="DM223" s="1513"/>
      <c r="DN223" s="1513"/>
      <c r="DO223" s="1513"/>
      <c r="DP223" s="1513"/>
      <c r="DQ223" s="1513"/>
      <c r="DR223" s="1513"/>
      <c r="DS223" s="1513"/>
      <c r="DT223" s="1513"/>
      <c r="DU223" s="1513"/>
      <c r="DV223" s="1513"/>
      <c r="DW223" s="1513"/>
      <c r="DX223" s="1513"/>
      <c r="DY223" s="1513"/>
      <c r="DZ223" s="1513"/>
      <c r="EA223" s="1513"/>
      <c r="EB223" s="1513"/>
      <c r="EC223" s="1513"/>
      <c r="ED223" s="1513"/>
      <c r="EE223" s="1513"/>
      <c r="EF223" s="1513"/>
      <c r="EG223" s="1513"/>
      <c r="EH223" s="1513"/>
      <c r="EI223" s="1513"/>
      <c r="EJ223" s="1513"/>
      <c r="EK223" s="1513"/>
      <c r="EL223" s="1513"/>
      <c r="EM223" s="1513"/>
      <c r="EN223" s="1513"/>
      <c r="EO223" s="1513"/>
      <c r="EP223" s="1513"/>
      <c r="EQ223" s="1513"/>
      <c r="ER223" s="1513"/>
      <c r="ES223" s="1513"/>
      <c r="ET223" s="1513"/>
      <c r="EU223" s="1513"/>
      <c r="EV223" s="1513"/>
      <c r="EW223" s="1513"/>
      <c r="EX223" s="1513"/>
      <c r="EY223" s="1513"/>
      <c r="EZ223" s="1513"/>
      <c r="FA223" s="1513"/>
      <c r="FB223" s="1513"/>
      <c r="FC223" s="1513"/>
      <c r="FD223" s="1513"/>
      <c r="FE223" s="1513"/>
      <c r="FF223" s="1513"/>
      <c r="FG223" s="1513"/>
      <c r="FH223" s="1513"/>
      <c r="FI223" s="1513"/>
      <c r="FJ223" s="1513"/>
      <c r="FL223" s="1513"/>
    </row>
    <row r="224" spans="1:168" ht="17.100000000000001" customHeight="1" x14ac:dyDescent="0.15">
      <c r="A224" s="1513"/>
      <c r="B224" s="3112"/>
      <c r="C224" s="3112"/>
      <c r="D224" s="3112"/>
      <c r="E224" s="3112"/>
      <c r="F224" s="3112"/>
      <c r="G224" s="3112"/>
      <c r="H224" s="3112"/>
      <c r="I224" s="3112"/>
      <c r="J224" s="3112"/>
      <c r="K224" s="3112"/>
      <c r="L224" s="3112"/>
      <c r="M224" s="3112"/>
      <c r="N224" s="3112"/>
      <c r="O224" s="3112"/>
      <c r="P224" s="3112"/>
      <c r="Q224" s="3112"/>
      <c r="R224" s="3112"/>
      <c r="S224" s="3112"/>
      <c r="T224" s="3112"/>
      <c r="U224" s="3112"/>
      <c r="V224" s="3112"/>
      <c r="W224" s="3112"/>
      <c r="X224" s="3112"/>
      <c r="Y224" s="3112"/>
      <c r="Z224" s="3112"/>
      <c r="AA224" s="3112"/>
      <c r="AB224" s="3112"/>
      <c r="AC224" s="1513"/>
      <c r="AD224" s="1513"/>
      <c r="AE224" s="1513"/>
      <c r="AF224" s="1513"/>
      <c r="AG224" s="1513"/>
      <c r="AH224" s="1513"/>
      <c r="AI224" s="1513"/>
      <c r="AJ224" s="1513"/>
      <c r="AK224" s="1513"/>
      <c r="AL224" s="1513"/>
      <c r="AM224" s="1513"/>
      <c r="AN224" s="1513"/>
      <c r="AO224" s="1513"/>
      <c r="AP224" s="1513"/>
      <c r="AQ224" s="1513"/>
      <c r="AR224" s="1513"/>
      <c r="AS224" s="1513"/>
      <c r="AT224" s="1513"/>
      <c r="AU224" s="1513"/>
      <c r="AV224" s="1513"/>
      <c r="AW224" s="1513"/>
      <c r="AX224" s="1513"/>
      <c r="AY224" s="1513"/>
      <c r="AZ224" s="1513"/>
      <c r="BA224" s="1513"/>
      <c r="BB224" s="1513"/>
      <c r="BC224" s="1513"/>
      <c r="BD224" s="1513"/>
      <c r="BE224" s="1513"/>
      <c r="BF224" s="1513"/>
      <c r="BG224" s="1513"/>
      <c r="BH224" s="1513"/>
      <c r="BI224" s="1513"/>
      <c r="BJ224" s="1513"/>
      <c r="BK224" s="1513"/>
      <c r="BL224" s="1513"/>
      <c r="BM224" s="1513"/>
      <c r="BN224" s="1513"/>
      <c r="BO224" s="1513"/>
      <c r="BP224" s="1513"/>
      <c r="BQ224" s="1513"/>
      <c r="BR224" s="1513"/>
      <c r="BS224" s="1513"/>
      <c r="BT224" s="1513"/>
      <c r="BU224" s="1513"/>
      <c r="BV224" s="1513"/>
      <c r="BW224" s="1513"/>
      <c r="BX224" s="1513"/>
      <c r="BY224" s="1513"/>
      <c r="BZ224" s="1513"/>
      <c r="CA224" s="1513"/>
      <c r="CB224" s="1513"/>
      <c r="CC224" s="1513"/>
      <c r="CD224" s="1513"/>
      <c r="CE224" s="1513"/>
      <c r="CF224" s="1513"/>
      <c r="CG224" s="1513"/>
      <c r="CH224" s="1513"/>
      <c r="CI224" s="1513"/>
      <c r="CJ224" s="1513"/>
      <c r="CK224" s="1513"/>
      <c r="CL224" s="1513"/>
      <c r="CM224" s="1513"/>
      <c r="CN224" s="1513"/>
      <c r="CO224" s="1513"/>
      <c r="CP224" s="1513"/>
      <c r="CQ224" s="1513"/>
      <c r="CR224" s="1513"/>
      <c r="CS224" s="1513"/>
      <c r="CT224" s="1513"/>
      <c r="CU224" s="1513"/>
      <c r="CV224" s="1513"/>
      <c r="CW224" s="1513"/>
      <c r="CX224" s="1513"/>
      <c r="CY224" s="1513"/>
      <c r="CZ224" s="1513"/>
      <c r="DA224" s="1513"/>
      <c r="DB224" s="1513"/>
      <c r="DC224" s="1513"/>
      <c r="DD224" s="1513"/>
      <c r="DE224" s="1513"/>
      <c r="DF224" s="1513"/>
      <c r="DG224" s="1513"/>
      <c r="DH224" s="1513"/>
      <c r="DI224" s="1513"/>
      <c r="DJ224" s="1513"/>
      <c r="DK224" s="1513"/>
      <c r="DL224" s="1513"/>
      <c r="DM224" s="1513"/>
      <c r="DN224" s="1513"/>
      <c r="DO224" s="1513"/>
      <c r="DP224" s="1513"/>
      <c r="DQ224" s="1513"/>
      <c r="DR224" s="1513"/>
      <c r="DS224" s="1513"/>
      <c r="DT224" s="1513"/>
      <c r="DU224" s="1513"/>
      <c r="DV224" s="1513"/>
      <c r="DW224" s="1513"/>
      <c r="DX224" s="1513"/>
      <c r="DY224" s="1513"/>
      <c r="DZ224" s="1513"/>
      <c r="EA224" s="1513"/>
      <c r="EB224" s="1513"/>
      <c r="EC224" s="1513"/>
      <c r="ED224" s="1513"/>
      <c r="EE224" s="1513"/>
      <c r="EF224" s="1513"/>
      <c r="EG224" s="1513"/>
      <c r="EH224" s="1513"/>
      <c r="EI224" s="1513"/>
      <c r="EJ224" s="1513"/>
      <c r="EK224" s="1513"/>
      <c r="EL224" s="1513"/>
      <c r="EM224" s="1513"/>
      <c r="EN224" s="1513"/>
      <c r="EO224" s="1513"/>
      <c r="EP224" s="1513"/>
      <c r="EQ224" s="1513"/>
      <c r="ER224" s="1513"/>
      <c r="ES224" s="1513"/>
      <c r="ET224" s="1513"/>
      <c r="EU224" s="1513"/>
      <c r="EV224" s="1513"/>
      <c r="EW224" s="1513"/>
      <c r="EX224" s="1513"/>
      <c r="EY224" s="1513"/>
      <c r="EZ224" s="1513"/>
      <c r="FA224" s="1513"/>
      <c r="FB224" s="1513"/>
      <c r="FC224" s="1513"/>
      <c r="FD224" s="1513"/>
      <c r="FE224" s="1513"/>
      <c r="FF224" s="1513"/>
      <c r="FG224" s="1513"/>
      <c r="FH224" s="1513"/>
      <c r="FI224" s="1513"/>
      <c r="FJ224" s="1513"/>
      <c r="FL224" s="1513"/>
    </row>
    <row r="225" spans="1:166" ht="17.100000000000001" customHeight="1" x14ac:dyDescent="0.15">
      <c r="A225" s="1513"/>
      <c r="B225" s="3112"/>
      <c r="C225" s="3112"/>
      <c r="D225" s="3112"/>
      <c r="E225" s="3112"/>
      <c r="F225" s="3112"/>
      <c r="G225" s="3112"/>
      <c r="H225" s="3112"/>
      <c r="I225" s="3112"/>
      <c r="J225" s="3112"/>
      <c r="K225" s="3112"/>
      <c r="L225" s="3112"/>
      <c r="M225" s="3112"/>
      <c r="N225" s="3112"/>
      <c r="O225" s="3112"/>
      <c r="P225" s="3112"/>
      <c r="Q225" s="3112"/>
      <c r="R225" s="3112"/>
      <c r="S225" s="3112"/>
      <c r="T225" s="3112"/>
      <c r="U225" s="3112"/>
      <c r="V225" s="3112"/>
      <c r="W225" s="3112"/>
      <c r="X225" s="3112"/>
      <c r="Y225" s="3112"/>
      <c r="Z225" s="3112"/>
      <c r="AA225" s="3112"/>
      <c r="AB225" s="3112"/>
      <c r="AC225" s="1513"/>
      <c r="AD225" s="1513"/>
      <c r="AE225" s="1513"/>
      <c r="AF225" s="1513"/>
      <c r="AG225" s="1513"/>
      <c r="AH225" s="1513"/>
      <c r="AI225" s="1513"/>
      <c r="AJ225" s="1513"/>
      <c r="AK225" s="1513"/>
      <c r="AL225" s="1513"/>
      <c r="AM225" s="1513"/>
      <c r="AN225" s="1513"/>
      <c r="AO225" s="1513"/>
      <c r="AP225" s="1513"/>
      <c r="AQ225" s="1513"/>
      <c r="AR225" s="1513"/>
      <c r="AS225" s="1513"/>
      <c r="AT225" s="1513"/>
      <c r="AU225" s="1513"/>
      <c r="AV225" s="1513"/>
      <c r="AW225" s="1513"/>
      <c r="AX225" s="1513"/>
      <c r="AY225" s="1513"/>
      <c r="AZ225" s="1513"/>
      <c r="BA225" s="1513"/>
      <c r="BB225" s="1513"/>
      <c r="BC225" s="1513"/>
      <c r="BD225" s="1513"/>
      <c r="BE225" s="1513"/>
      <c r="BF225" s="1513"/>
      <c r="BG225" s="1513"/>
      <c r="BH225" s="1513"/>
      <c r="BI225" s="1513"/>
      <c r="BJ225" s="1513"/>
      <c r="BK225" s="1513"/>
      <c r="BL225" s="1513"/>
      <c r="BM225" s="1513"/>
      <c r="BN225" s="1513"/>
      <c r="BO225" s="1513"/>
      <c r="BP225" s="1513"/>
      <c r="BQ225" s="1513"/>
      <c r="BR225" s="1513"/>
      <c r="BS225" s="1513"/>
      <c r="BT225" s="1513"/>
      <c r="BU225" s="1513"/>
      <c r="BV225" s="1513"/>
      <c r="BW225" s="1513"/>
      <c r="BX225" s="1513"/>
      <c r="BY225" s="1513"/>
      <c r="BZ225" s="1513"/>
      <c r="CA225" s="1513"/>
      <c r="CB225" s="1513"/>
      <c r="CC225" s="1513"/>
      <c r="CD225" s="1513"/>
      <c r="CE225" s="1513"/>
      <c r="CF225" s="1513"/>
      <c r="CG225" s="1513"/>
      <c r="CH225" s="1513"/>
      <c r="CI225" s="1513"/>
      <c r="CJ225" s="1513"/>
      <c r="CK225" s="1513"/>
      <c r="CL225" s="1513"/>
      <c r="CM225" s="1513"/>
      <c r="CN225" s="1513"/>
      <c r="CO225" s="1513"/>
      <c r="CP225" s="1513"/>
      <c r="CQ225" s="1513"/>
      <c r="CR225" s="1513"/>
      <c r="CS225" s="1513"/>
      <c r="CT225" s="1513"/>
      <c r="CU225" s="1513"/>
      <c r="CV225" s="1513"/>
      <c r="CW225" s="1513"/>
      <c r="CX225" s="1513"/>
      <c r="CY225" s="1513"/>
      <c r="CZ225" s="1513"/>
      <c r="DA225" s="1513"/>
      <c r="DB225" s="1513"/>
      <c r="DC225" s="1513"/>
      <c r="DD225" s="1513"/>
      <c r="DE225" s="1513"/>
      <c r="DF225" s="1513"/>
      <c r="DG225" s="1513"/>
      <c r="DH225" s="1513"/>
      <c r="DI225" s="1513"/>
      <c r="DJ225" s="1513"/>
      <c r="DK225" s="1513"/>
      <c r="DL225" s="1513"/>
      <c r="DM225" s="1513"/>
      <c r="DN225" s="1513"/>
      <c r="DO225" s="1513"/>
      <c r="DP225" s="1513"/>
      <c r="DQ225" s="1513"/>
      <c r="DR225" s="1513"/>
      <c r="DS225" s="1513"/>
      <c r="DT225" s="1513"/>
      <c r="DU225" s="1513"/>
      <c r="DV225" s="1513"/>
      <c r="DW225" s="1513"/>
      <c r="DX225" s="1513"/>
      <c r="DY225" s="1513"/>
      <c r="DZ225" s="1513"/>
      <c r="EA225" s="1513"/>
      <c r="EB225" s="1513"/>
      <c r="EC225" s="1513"/>
      <c r="ED225" s="1513"/>
      <c r="EE225" s="1513"/>
      <c r="EF225" s="1513"/>
      <c r="EG225" s="1513"/>
      <c r="EH225" s="1513"/>
      <c r="EI225" s="1513"/>
      <c r="EJ225" s="1513"/>
      <c r="EK225" s="1513"/>
      <c r="EL225" s="1513"/>
      <c r="EM225" s="1513"/>
      <c r="EN225" s="1513"/>
      <c r="EO225" s="1513"/>
      <c r="EP225" s="1513"/>
      <c r="EQ225" s="1513"/>
      <c r="ER225" s="1513"/>
      <c r="ES225" s="1513"/>
      <c r="ET225" s="1513"/>
      <c r="EU225" s="1513"/>
      <c r="EV225" s="1513"/>
      <c r="EW225" s="1513"/>
      <c r="EX225" s="1513"/>
      <c r="EY225" s="1513"/>
      <c r="EZ225" s="1513"/>
      <c r="FA225" s="1513"/>
      <c r="FB225" s="1513"/>
      <c r="FC225" s="1513"/>
      <c r="FD225" s="1513"/>
      <c r="FE225" s="1513"/>
      <c r="FF225" s="1513"/>
      <c r="FG225" s="1513"/>
      <c r="FH225" s="1513"/>
      <c r="FI225" s="1513"/>
      <c r="FJ225" s="1513"/>
    </row>
    <row r="226" spans="1:166" ht="17.100000000000001" customHeight="1" x14ac:dyDescent="0.15">
      <c r="A226" s="1513"/>
      <c r="B226" s="3112"/>
      <c r="C226" s="3112"/>
      <c r="D226" s="3112"/>
      <c r="E226" s="3112"/>
      <c r="F226" s="3112"/>
      <c r="G226" s="3112"/>
      <c r="H226" s="3112"/>
      <c r="I226" s="3112"/>
      <c r="J226" s="3112"/>
      <c r="K226" s="3112"/>
      <c r="L226" s="3112"/>
      <c r="M226" s="3112"/>
      <c r="N226" s="3112"/>
      <c r="O226" s="3112"/>
      <c r="P226" s="3112"/>
      <c r="Q226" s="3112"/>
      <c r="R226" s="3112"/>
      <c r="S226" s="3112"/>
      <c r="T226" s="3112"/>
      <c r="U226" s="3112"/>
      <c r="V226" s="3112"/>
      <c r="W226" s="3112"/>
      <c r="X226" s="3112"/>
      <c r="Y226" s="3112"/>
      <c r="Z226" s="3112"/>
      <c r="AA226" s="3112"/>
      <c r="AB226" s="3112"/>
      <c r="AC226" s="1513"/>
      <c r="AD226" s="1513"/>
      <c r="AE226" s="1513"/>
      <c r="AF226" s="1513"/>
      <c r="AG226" s="1513"/>
      <c r="AH226" s="1513"/>
      <c r="AI226" s="1513"/>
      <c r="AJ226" s="1513"/>
      <c r="AK226" s="1513"/>
      <c r="AL226" s="1513"/>
      <c r="AM226" s="1513"/>
      <c r="AN226" s="1513"/>
      <c r="AO226" s="1513"/>
      <c r="AP226" s="1513"/>
      <c r="AQ226" s="1513"/>
      <c r="AR226" s="1513"/>
      <c r="AS226" s="1513"/>
      <c r="AT226" s="1513"/>
      <c r="AU226" s="1513"/>
      <c r="AV226" s="1513"/>
      <c r="AW226" s="1513"/>
      <c r="AX226" s="1513"/>
      <c r="AY226" s="1513"/>
      <c r="AZ226" s="1513"/>
      <c r="BA226" s="1513"/>
      <c r="BB226" s="1513"/>
      <c r="BC226" s="1513"/>
      <c r="BD226" s="1513"/>
      <c r="BE226" s="1513"/>
      <c r="BF226" s="1513"/>
      <c r="BG226" s="1513"/>
      <c r="BH226" s="1513"/>
      <c r="BI226" s="1513"/>
      <c r="BJ226" s="1513"/>
      <c r="BK226" s="1513"/>
      <c r="BL226" s="1513"/>
      <c r="BM226" s="1513"/>
      <c r="BN226" s="1513"/>
      <c r="BO226" s="1513"/>
      <c r="BP226" s="1513"/>
      <c r="BQ226" s="1513"/>
      <c r="BR226" s="1513"/>
      <c r="BS226" s="1513"/>
      <c r="BT226" s="1513"/>
      <c r="BU226" s="1513"/>
      <c r="BV226" s="1513"/>
      <c r="BW226" s="1513"/>
      <c r="BX226" s="1513"/>
      <c r="BY226" s="1513"/>
      <c r="BZ226" s="1513"/>
      <c r="CA226" s="1513"/>
      <c r="CB226" s="1513"/>
      <c r="CC226" s="1513"/>
      <c r="CD226" s="1513"/>
      <c r="CE226" s="1513"/>
      <c r="CF226" s="1513"/>
      <c r="CG226" s="1513"/>
      <c r="CH226" s="1513"/>
      <c r="CI226" s="1513"/>
      <c r="CJ226" s="1513"/>
      <c r="CK226" s="1513"/>
      <c r="CL226" s="1513"/>
      <c r="CM226" s="1513"/>
      <c r="CN226" s="1513"/>
      <c r="CO226" s="1513"/>
      <c r="CP226" s="1513"/>
      <c r="CQ226" s="1513"/>
      <c r="CR226" s="1513"/>
      <c r="CS226" s="1513"/>
      <c r="CT226" s="1513"/>
      <c r="CU226" s="1513"/>
      <c r="CV226" s="1513"/>
      <c r="CW226" s="1513"/>
      <c r="CX226" s="1513"/>
      <c r="CY226" s="1513"/>
      <c r="CZ226" s="1513"/>
      <c r="DA226" s="1513"/>
      <c r="DB226" s="1513"/>
      <c r="DC226" s="1513"/>
      <c r="DD226" s="1513"/>
      <c r="DE226" s="1513"/>
      <c r="DF226" s="1513"/>
      <c r="DG226" s="1513"/>
      <c r="DH226" s="1513"/>
      <c r="DI226" s="1513"/>
      <c r="DJ226" s="1513"/>
      <c r="DK226" s="1513"/>
      <c r="DL226" s="1513"/>
      <c r="DM226" s="1513"/>
      <c r="DN226" s="1513"/>
      <c r="DO226" s="1513"/>
      <c r="DP226" s="1513"/>
      <c r="DQ226" s="1513"/>
      <c r="DR226" s="1513"/>
      <c r="DS226" s="1513"/>
      <c r="DT226" s="1513"/>
      <c r="DU226" s="1513"/>
      <c r="DV226" s="1513"/>
      <c r="DW226" s="1513"/>
      <c r="DX226" s="1513"/>
      <c r="DY226" s="1513"/>
      <c r="DZ226" s="1513"/>
      <c r="EA226" s="1513"/>
      <c r="EB226" s="1513"/>
      <c r="EC226" s="1513"/>
      <c r="ED226" s="1513"/>
      <c r="EE226" s="1513"/>
      <c r="EF226" s="1513"/>
      <c r="EG226" s="1513"/>
      <c r="EH226" s="1513"/>
      <c r="EI226" s="1513"/>
      <c r="EJ226" s="1513"/>
      <c r="EK226" s="1513"/>
      <c r="EL226" s="1513"/>
      <c r="EM226" s="1513"/>
      <c r="EN226" s="1513"/>
      <c r="EO226" s="1513"/>
      <c r="EP226" s="1513"/>
      <c r="EQ226" s="1513"/>
      <c r="ER226" s="1513"/>
      <c r="ES226" s="1513"/>
      <c r="ET226" s="1513"/>
      <c r="EU226" s="1513"/>
      <c r="EV226" s="1513"/>
      <c r="EW226" s="1513"/>
      <c r="EX226" s="1513"/>
      <c r="EY226" s="1513"/>
      <c r="EZ226" s="1513"/>
      <c r="FA226" s="1513"/>
      <c r="FB226" s="1513"/>
      <c r="FC226" s="1513"/>
      <c r="FD226" s="1513"/>
      <c r="FE226" s="1513"/>
      <c r="FF226" s="1513"/>
      <c r="FG226" s="1513"/>
      <c r="FH226" s="1513"/>
      <c r="FI226" s="1513"/>
      <c r="FJ226" s="1513"/>
    </row>
    <row r="227" spans="1:166" ht="17.100000000000001" customHeight="1" x14ac:dyDescent="0.15">
      <c r="A227" s="1513"/>
      <c r="B227" s="3112"/>
      <c r="C227" s="3112"/>
      <c r="D227" s="3112"/>
      <c r="E227" s="3112"/>
      <c r="F227" s="3112"/>
      <c r="G227" s="3112"/>
      <c r="H227" s="3112"/>
      <c r="I227" s="3112"/>
      <c r="J227" s="3112"/>
      <c r="K227" s="3112"/>
      <c r="L227" s="3112"/>
      <c r="M227" s="3112"/>
      <c r="N227" s="3112"/>
      <c r="O227" s="3112"/>
      <c r="P227" s="3112"/>
      <c r="Q227" s="3112"/>
      <c r="R227" s="3112"/>
      <c r="S227" s="3112"/>
      <c r="T227" s="3112"/>
      <c r="U227" s="3112"/>
      <c r="V227" s="3112"/>
      <c r="W227" s="3112"/>
      <c r="X227" s="3112"/>
      <c r="Y227" s="3112"/>
      <c r="Z227" s="3112"/>
      <c r="AA227" s="3112"/>
      <c r="AB227" s="3112"/>
      <c r="AC227" s="1513"/>
      <c r="AD227" s="1513"/>
      <c r="AE227" s="1513"/>
      <c r="AF227" s="1513"/>
      <c r="AG227" s="1513"/>
      <c r="AH227" s="1513"/>
      <c r="AI227" s="1513"/>
      <c r="AJ227" s="1513"/>
      <c r="AK227" s="1513"/>
      <c r="AL227" s="1513"/>
      <c r="AM227" s="1513"/>
      <c r="AN227" s="1513"/>
      <c r="AO227" s="1513"/>
      <c r="AP227" s="1513"/>
      <c r="AQ227" s="1513"/>
      <c r="AR227" s="1513"/>
      <c r="AS227" s="1513"/>
      <c r="AT227" s="1513"/>
      <c r="AU227" s="1513"/>
      <c r="AV227" s="1513"/>
      <c r="AW227" s="1513"/>
      <c r="AX227" s="1513"/>
      <c r="AY227" s="1513"/>
      <c r="AZ227" s="1513"/>
      <c r="BA227" s="1513"/>
      <c r="BB227" s="1513"/>
      <c r="BC227" s="1513"/>
      <c r="BD227" s="1513"/>
      <c r="BE227" s="1513"/>
      <c r="BF227" s="1513"/>
      <c r="BG227" s="1513"/>
      <c r="BH227" s="1513"/>
      <c r="BI227" s="1513"/>
      <c r="BJ227" s="1513"/>
      <c r="BK227" s="1513"/>
      <c r="BL227" s="1513"/>
      <c r="BM227" s="1513"/>
      <c r="BN227" s="1513"/>
      <c r="BO227" s="1513"/>
      <c r="BP227" s="1513"/>
      <c r="BQ227" s="1513"/>
      <c r="BR227" s="1513"/>
      <c r="BS227" s="1513"/>
      <c r="BT227" s="1513"/>
      <c r="BU227" s="1513"/>
      <c r="BV227" s="1513"/>
      <c r="BW227" s="1513"/>
      <c r="BX227" s="1513"/>
      <c r="BY227" s="1513"/>
      <c r="BZ227" s="1513"/>
      <c r="CA227" s="1513"/>
      <c r="CB227" s="1513"/>
      <c r="CC227" s="1513"/>
      <c r="CD227" s="1513"/>
      <c r="CE227" s="1513"/>
      <c r="CF227" s="1513"/>
      <c r="CG227" s="1513"/>
      <c r="CH227" s="1513"/>
      <c r="CI227" s="1513"/>
      <c r="CJ227" s="1513"/>
      <c r="CK227" s="1513"/>
      <c r="CL227" s="1513"/>
      <c r="CM227" s="1513"/>
      <c r="CN227" s="1513"/>
      <c r="CO227" s="1513"/>
      <c r="CP227" s="1513"/>
      <c r="CQ227" s="1513"/>
      <c r="CR227" s="1513"/>
      <c r="CS227" s="1513"/>
      <c r="CT227" s="1513"/>
      <c r="CU227" s="1513"/>
      <c r="CV227" s="1513"/>
      <c r="CW227" s="1513"/>
      <c r="CX227" s="1513"/>
      <c r="CY227" s="1513"/>
      <c r="CZ227" s="1513"/>
      <c r="DA227" s="1513"/>
      <c r="DB227" s="1513"/>
      <c r="DC227" s="1513"/>
      <c r="DD227" s="1513"/>
      <c r="DE227" s="1513"/>
      <c r="DF227" s="1513"/>
      <c r="DG227" s="1513"/>
      <c r="DH227" s="1513"/>
      <c r="DI227" s="1513"/>
      <c r="DJ227" s="1513"/>
      <c r="DK227" s="1513"/>
      <c r="DL227" s="1513"/>
      <c r="DM227" s="1513"/>
      <c r="DN227" s="1513"/>
      <c r="DO227" s="1513"/>
      <c r="DP227" s="1513"/>
      <c r="DQ227" s="1513"/>
      <c r="DR227" s="1513"/>
      <c r="DS227" s="1513"/>
      <c r="DT227" s="1513"/>
      <c r="DU227" s="1513"/>
      <c r="DV227" s="1513"/>
      <c r="DW227" s="1513"/>
      <c r="DX227" s="1513"/>
      <c r="DY227" s="1513"/>
      <c r="DZ227" s="1513"/>
      <c r="EA227" s="1513"/>
      <c r="EB227" s="1513"/>
      <c r="EC227" s="1513"/>
      <c r="ED227" s="1513"/>
      <c r="EE227" s="1513"/>
      <c r="EF227" s="1513"/>
      <c r="EG227" s="1513"/>
      <c r="EH227" s="1513"/>
      <c r="EI227" s="1513"/>
      <c r="EJ227" s="1513"/>
      <c r="EK227" s="1513"/>
      <c r="EL227" s="1513"/>
      <c r="EM227" s="1513"/>
      <c r="EN227" s="1513"/>
      <c r="EO227" s="1513"/>
      <c r="EP227" s="1513"/>
      <c r="EQ227" s="1513"/>
      <c r="ER227" s="1513"/>
      <c r="ES227" s="1513"/>
      <c r="ET227" s="1513"/>
      <c r="EU227" s="1513"/>
      <c r="EV227" s="1513"/>
      <c r="EW227" s="1513"/>
      <c r="EX227" s="1513"/>
      <c r="EY227" s="1513"/>
      <c r="EZ227" s="1513"/>
      <c r="FA227" s="1513"/>
      <c r="FB227" s="1513"/>
      <c r="FC227" s="1513"/>
      <c r="FD227" s="1513"/>
      <c r="FE227" s="1513"/>
      <c r="FF227" s="1513"/>
      <c r="FG227" s="1513"/>
      <c r="FH227" s="1513"/>
      <c r="FI227" s="1513"/>
      <c r="FJ227" s="1513"/>
    </row>
    <row r="228" spans="1:166" ht="17.100000000000001" customHeight="1" x14ac:dyDescent="0.15">
      <c r="A228" s="1513"/>
      <c r="B228" s="3112"/>
      <c r="C228" s="3112"/>
      <c r="D228" s="3112"/>
      <c r="E228" s="3112"/>
      <c r="F228" s="3112"/>
      <c r="G228" s="3112"/>
      <c r="H228" s="3112"/>
      <c r="I228" s="3112"/>
      <c r="J228" s="3112"/>
      <c r="K228" s="3112"/>
      <c r="L228" s="3112"/>
      <c r="M228" s="3112"/>
      <c r="N228" s="3112"/>
      <c r="O228" s="3112"/>
      <c r="P228" s="3112"/>
      <c r="Q228" s="3112"/>
      <c r="R228" s="3112"/>
      <c r="S228" s="3112"/>
      <c r="T228" s="3112"/>
      <c r="U228" s="3112"/>
      <c r="V228" s="3112"/>
      <c r="W228" s="3112"/>
      <c r="X228" s="3112"/>
      <c r="Y228" s="3112"/>
      <c r="Z228" s="3112"/>
      <c r="AA228" s="3112"/>
      <c r="AB228" s="3112"/>
      <c r="AC228" s="3112"/>
      <c r="AD228" s="3112"/>
      <c r="AE228" s="3112"/>
      <c r="AF228" s="3112"/>
      <c r="AG228" s="3112"/>
      <c r="AH228" s="3112"/>
      <c r="AI228" s="3112"/>
      <c r="AJ228" s="3112"/>
      <c r="AK228" s="3112"/>
      <c r="AL228" s="3112"/>
      <c r="AM228" s="3112"/>
      <c r="AN228" s="3112"/>
      <c r="AO228" s="1513"/>
      <c r="AP228" s="1513"/>
      <c r="AQ228" s="1513"/>
      <c r="AR228" s="1513"/>
      <c r="AS228" s="1513"/>
      <c r="AT228" s="1513"/>
      <c r="AU228" s="1513"/>
      <c r="AV228" s="1513"/>
      <c r="AW228" s="1513"/>
      <c r="AX228" s="1513"/>
      <c r="AY228" s="1513"/>
      <c r="AZ228" s="1513"/>
      <c r="BA228" s="1513"/>
      <c r="BB228" s="1513"/>
      <c r="BC228" s="1513"/>
      <c r="BD228" s="1513"/>
      <c r="BE228" s="1513"/>
      <c r="BF228" s="1513"/>
      <c r="BG228" s="1513"/>
      <c r="BH228" s="1513"/>
      <c r="BI228" s="1513"/>
      <c r="BJ228" s="1513"/>
      <c r="BK228" s="1513"/>
      <c r="BL228" s="1513"/>
      <c r="BM228" s="1513"/>
      <c r="BN228" s="1513"/>
      <c r="BO228" s="1513"/>
      <c r="BP228" s="1513"/>
      <c r="BQ228" s="1513"/>
      <c r="BR228" s="1513"/>
      <c r="BS228" s="1513"/>
      <c r="BT228" s="1513"/>
      <c r="BU228" s="1513"/>
      <c r="BV228" s="1513"/>
      <c r="BW228" s="1513"/>
      <c r="BX228" s="1513"/>
      <c r="BY228" s="1513"/>
      <c r="BZ228" s="1513"/>
      <c r="CA228" s="1513"/>
      <c r="CB228" s="1513"/>
      <c r="CC228" s="1513"/>
      <c r="CD228" s="1513"/>
      <c r="CE228" s="1513"/>
      <c r="CF228" s="1513"/>
      <c r="CG228" s="1513"/>
      <c r="CH228" s="1513"/>
      <c r="CI228" s="1513"/>
      <c r="CJ228" s="1513"/>
      <c r="CK228" s="1513"/>
      <c r="CL228" s="1513"/>
      <c r="CM228" s="1513"/>
      <c r="CN228" s="1513"/>
      <c r="CO228" s="1513"/>
      <c r="CP228" s="1513"/>
      <c r="CQ228" s="1513"/>
      <c r="CR228" s="1513"/>
      <c r="CS228" s="1513"/>
      <c r="CT228" s="1513"/>
      <c r="CU228" s="1513"/>
      <c r="CV228" s="1513"/>
      <c r="CW228" s="1513"/>
      <c r="CX228" s="1513"/>
      <c r="CY228" s="1513"/>
      <c r="CZ228" s="1513"/>
      <c r="DA228" s="1513"/>
      <c r="DB228" s="1513"/>
      <c r="DC228" s="1513"/>
      <c r="DD228" s="1513"/>
      <c r="DE228" s="1513"/>
      <c r="DF228" s="1513"/>
      <c r="DG228" s="1513"/>
      <c r="DH228" s="1513"/>
      <c r="DI228" s="1513"/>
      <c r="DJ228" s="1513"/>
      <c r="DK228" s="1513"/>
      <c r="DL228" s="1513"/>
      <c r="DM228" s="1513"/>
      <c r="DN228" s="1513"/>
      <c r="DO228" s="1513"/>
      <c r="DP228" s="1513"/>
      <c r="DQ228" s="1513"/>
      <c r="DR228" s="1513"/>
      <c r="DS228" s="1513"/>
      <c r="DT228" s="1513"/>
      <c r="DU228" s="1513"/>
      <c r="DV228" s="1513"/>
      <c r="DW228" s="1513"/>
      <c r="DX228" s="1513"/>
      <c r="DY228" s="1513"/>
      <c r="DZ228" s="1513"/>
      <c r="EA228" s="1513"/>
      <c r="EB228" s="1513"/>
      <c r="EC228" s="1513"/>
      <c r="ED228" s="1513"/>
      <c r="EE228" s="1513"/>
      <c r="EF228" s="1513"/>
      <c r="EG228" s="1513"/>
      <c r="EH228" s="1513"/>
      <c r="EI228" s="1513"/>
      <c r="EJ228" s="1513"/>
      <c r="EK228" s="1513"/>
      <c r="EL228" s="1513"/>
      <c r="EM228" s="1513"/>
      <c r="EN228" s="1513"/>
      <c r="EO228" s="1513"/>
      <c r="EP228" s="1513"/>
      <c r="EQ228" s="1513"/>
      <c r="ER228" s="1513"/>
      <c r="ES228" s="1513"/>
      <c r="ET228" s="1513"/>
      <c r="EU228" s="1513"/>
      <c r="EV228" s="1513"/>
      <c r="EW228" s="1513"/>
      <c r="EX228" s="1513"/>
      <c r="EY228" s="1513"/>
      <c r="EZ228" s="1513"/>
      <c r="FA228" s="1513"/>
      <c r="FB228" s="1513"/>
      <c r="FC228" s="1513"/>
      <c r="FD228" s="1513"/>
      <c r="FE228" s="1513"/>
      <c r="FF228" s="1513"/>
      <c r="FG228" s="1513"/>
      <c r="FH228" s="1513"/>
      <c r="FI228" s="1513"/>
      <c r="FJ228" s="1513"/>
    </row>
    <row r="229" spans="1:166" ht="17.100000000000001" customHeight="1" x14ac:dyDescent="0.15">
      <c r="A229" s="1513"/>
      <c r="B229" s="1513"/>
      <c r="C229" s="1513"/>
      <c r="D229" s="1513"/>
      <c r="E229" s="1513"/>
      <c r="F229" s="1513"/>
      <c r="G229" s="1513"/>
      <c r="H229" s="1513"/>
      <c r="I229" s="1513"/>
      <c r="J229" s="1513"/>
      <c r="K229" s="1513"/>
      <c r="L229" s="1513"/>
      <c r="M229" s="1513"/>
      <c r="N229" s="1513"/>
      <c r="O229" s="1513"/>
      <c r="P229" s="1513"/>
      <c r="Q229" s="1513"/>
      <c r="R229" s="1513"/>
      <c r="S229" s="1513"/>
      <c r="T229" s="1513"/>
      <c r="U229" s="3112"/>
      <c r="V229" s="3112"/>
      <c r="W229" s="3112"/>
      <c r="X229" s="3112"/>
      <c r="Y229" s="3112"/>
      <c r="Z229" s="3112"/>
      <c r="AA229" s="3112"/>
      <c r="AB229" s="3112"/>
      <c r="AC229" s="3112"/>
      <c r="AD229" s="3112"/>
      <c r="AE229" s="3112"/>
      <c r="AF229" s="3112"/>
      <c r="AG229" s="3112"/>
      <c r="AH229" s="3112"/>
      <c r="AI229" s="3112"/>
      <c r="AJ229" s="3112"/>
      <c r="AK229" s="3112"/>
      <c r="AL229" s="3112"/>
      <c r="AM229" s="3112"/>
      <c r="AN229" s="3112"/>
      <c r="AO229" s="1513"/>
      <c r="AP229" s="1513"/>
      <c r="AQ229" s="1513"/>
      <c r="AR229" s="1513"/>
      <c r="AS229" s="1513"/>
      <c r="AT229" s="1513"/>
      <c r="AU229" s="1513"/>
      <c r="AV229" s="1513"/>
      <c r="AW229" s="1513"/>
      <c r="AX229" s="1513"/>
      <c r="AY229" s="1513"/>
      <c r="AZ229" s="1513"/>
      <c r="BA229" s="1513"/>
      <c r="BB229" s="1513"/>
      <c r="BC229" s="1513"/>
      <c r="BD229" s="1513"/>
      <c r="BE229" s="1513"/>
      <c r="BF229" s="1513"/>
      <c r="BG229" s="1513"/>
      <c r="BH229" s="1513"/>
      <c r="BI229" s="1513"/>
      <c r="BJ229" s="1513"/>
      <c r="BK229" s="1513"/>
      <c r="BL229" s="1513"/>
      <c r="BM229" s="1513"/>
      <c r="BN229" s="1513"/>
      <c r="BO229" s="1513"/>
      <c r="BP229" s="1513"/>
      <c r="BQ229" s="1513"/>
      <c r="BR229" s="1513"/>
      <c r="BS229" s="1513"/>
      <c r="BT229" s="1513"/>
      <c r="BU229" s="1513"/>
      <c r="BV229" s="1513"/>
      <c r="BW229" s="1513"/>
      <c r="BX229" s="1513"/>
      <c r="BY229" s="1513"/>
      <c r="BZ229" s="1513"/>
      <c r="CA229" s="1513"/>
      <c r="CB229" s="1513"/>
      <c r="CC229" s="1513"/>
      <c r="CD229" s="1513"/>
      <c r="CE229" s="1513"/>
      <c r="CF229" s="1513"/>
      <c r="CG229" s="1513"/>
      <c r="CH229" s="1513"/>
      <c r="CI229" s="1513"/>
      <c r="CJ229" s="1513"/>
      <c r="CK229" s="1513"/>
      <c r="CL229" s="1513"/>
      <c r="CM229" s="1513"/>
      <c r="CN229" s="1513"/>
      <c r="CO229" s="1513"/>
      <c r="CP229" s="1513"/>
      <c r="CQ229" s="1513"/>
      <c r="CR229" s="1513"/>
      <c r="CS229" s="1513"/>
      <c r="CT229" s="1513"/>
      <c r="CU229" s="1513"/>
      <c r="CV229" s="1513"/>
      <c r="CW229" s="1513"/>
      <c r="CX229" s="1513"/>
      <c r="CY229" s="1513"/>
      <c r="CZ229" s="1513"/>
      <c r="DA229" s="1513"/>
      <c r="DB229" s="1513"/>
      <c r="DC229" s="1513"/>
      <c r="DD229" s="1513"/>
      <c r="DE229" s="1513"/>
      <c r="DF229" s="1513"/>
      <c r="DG229" s="1513"/>
      <c r="DH229" s="1513"/>
      <c r="DI229" s="1513"/>
      <c r="DJ229" s="1513"/>
      <c r="DK229" s="1513"/>
      <c r="DL229" s="1513"/>
      <c r="DM229" s="1513"/>
      <c r="DN229" s="1513"/>
      <c r="DO229" s="1513"/>
      <c r="DP229" s="1513"/>
      <c r="DQ229" s="1513"/>
      <c r="DR229" s="1513"/>
      <c r="DS229" s="1513"/>
      <c r="DT229" s="1513"/>
      <c r="DU229" s="1513"/>
      <c r="DV229" s="1513"/>
      <c r="DW229" s="1513"/>
      <c r="DX229" s="1513"/>
      <c r="DY229" s="1513"/>
      <c r="DZ229" s="1513"/>
      <c r="EA229" s="1513"/>
      <c r="EB229" s="1513"/>
      <c r="EC229" s="1513"/>
      <c r="ED229" s="1513"/>
      <c r="EE229" s="1513"/>
      <c r="EF229" s="1513"/>
      <c r="EG229" s="1513"/>
      <c r="EH229" s="1513"/>
      <c r="EI229" s="1513"/>
      <c r="EJ229" s="1513"/>
      <c r="EK229" s="1513"/>
      <c r="EL229" s="1513"/>
      <c r="EM229" s="1513"/>
      <c r="EN229" s="1513"/>
      <c r="EO229" s="1513"/>
      <c r="EP229" s="1513"/>
      <c r="EQ229" s="1513"/>
      <c r="ER229" s="1513"/>
      <c r="ES229" s="1513"/>
      <c r="ET229" s="1513"/>
      <c r="EU229" s="1513"/>
      <c r="EV229" s="1513"/>
      <c r="EW229" s="1513"/>
      <c r="EX229" s="1513"/>
      <c r="EY229" s="1513"/>
      <c r="EZ229" s="1513"/>
      <c r="FA229" s="1513"/>
      <c r="FB229" s="1513"/>
      <c r="FC229" s="1513"/>
      <c r="FD229" s="1513"/>
      <c r="FE229" s="1513"/>
      <c r="FF229" s="1513"/>
      <c r="FG229" s="1513"/>
      <c r="FH229" s="1513"/>
      <c r="FI229" s="1513"/>
      <c r="FJ229" s="1513"/>
    </row>
    <row r="230" spans="1:166" ht="17.100000000000001" customHeight="1" x14ac:dyDescent="0.15">
      <c r="A230" s="1513"/>
      <c r="B230" s="1513"/>
      <c r="C230" s="1513"/>
      <c r="D230" s="1513"/>
      <c r="E230" s="1513"/>
      <c r="F230" s="1513"/>
      <c r="G230" s="1513"/>
      <c r="H230" s="1513"/>
      <c r="I230" s="1513"/>
      <c r="J230" s="1513"/>
      <c r="K230" s="1513"/>
      <c r="L230" s="1513"/>
      <c r="M230" s="1513"/>
      <c r="N230" s="1513"/>
      <c r="O230" s="1513"/>
      <c r="P230" s="1513"/>
      <c r="Q230" s="1513"/>
      <c r="R230" s="1513"/>
      <c r="S230" s="1513"/>
      <c r="T230" s="1513"/>
      <c r="U230" s="3112"/>
      <c r="V230" s="3112"/>
      <c r="W230" s="3112"/>
      <c r="X230" s="3112"/>
      <c r="Y230" s="3112"/>
      <c r="Z230" s="3112"/>
      <c r="AA230" s="3112"/>
      <c r="AB230" s="3112"/>
      <c r="AC230" s="3112"/>
      <c r="AD230" s="3112"/>
      <c r="AE230" s="3112"/>
      <c r="AF230" s="3112"/>
      <c r="AG230" s="3112"/>
      <c r="AH230" s="3112"/>
      <c r="AI230" s="3112"/>
      <c r="AJ230" s="3112"/>
      <c r="AK230" s="3112"/>
      <c r="AL230" s="3112"/>
      <c r="AM230" s="3112"/>
      <c r="AN230" s="3112"/>
      <c r="AO230" s="1513"/>
      <c r="AP230" s="1513"/>
      <c r="AQ230" s="1513"/>
      <c r="AR230" s="1513"/>
      <c r="AS230" s="1513"/>
      <c r="AT230" s="1513"/>
      <c r="AU230" s="1513"/>
      <c r="AV230" s="1513"/>
      <c r="AW230" s="1513"/>
      <c r="AX230" s="1513"/>
      <c r="AY230" s="1513"/>
      <c r="AZ230" s="1513"/>
      <c r="BA230" s="1513"/>
      <c r="BB230" s="1513"/>
      <c r="BC230" s="1513"/>
      <c r="BD230" s="1513"/>
      <c r="BE230" s="1513"/>
      <c r="BF230" s="1513"/>
      <c r="BG230" s="1513"/>
      <c r="BH230" s="1513"/>
      <c r="BI230" s="1513"/>
      <c r="BJ230" s="1513"/>
      <c r="BK230" s="1513"/>
      <c r="BL230" s="1513"/>
      <c r="BM230" s="1513"/>
      <c r="BN230" s="1513"/>
      <c r="BO230" s="1513"/>
      <c r="BP230" s="1513"/>
      <c r="BQ230" s="1513"/>
      <c r="BR230" s="1513"/>
      <c r="BS230" s="1513"/>
      <c r="BT230" s="1513"/>
      <c r="BU230" s="1513"/>
      <c r="BV230" s="1513"/>
      <c r="BW230" s="1513"/>
      <c r="BX230" s="1513"/>
      <c r="BY230" s="1513"/>
      <c r="BZ230" s="1513"/>
      <c r="CA230" s="1513"/>
      <c r="CB230" s="1513"/>
      <c r="CC230" s="1513"/>
      <c r="CD230" s="1513"/>
      <c r="CE230" s="1513"/>
      <c r="CF230" s="1513"/>
      <c r="CG230" s="1513"/>
      <c r="CH230" s="1513"/>
      <c r="CI230" s="1513"/>
      <c r="CJ230" s="1513"/>
      <c r="CK230" s="1513"/>
      <c r="CL230" s="1513"/>
      <c r="CM230" s="1513"/>
      <c r="CN230" s="1513"/>
      <c r="CO230" s="1513"/>
      <c r="CP230" s="1513"/>
      <c r="CQ230" s="1513"/>
      <c r="CR230" s="1513"/>
      <c r="CS230" s="1513"/>
      <c r="CT230" s="1513"/>
      <c r="CU230" s="1513"/>
      <c r="CV230" s="1513"/>
      <c r="CW230" s="1513"/>
      <c r="CX230" s="1513"/>
      <c r="CY230" s="1513"/>
      <c r="CZ230" s="1513"/>
      <c r="DA230" s="1513"/>
      <c r="DB230" s="1513"/>
      <c r="DC230" s="1513"/>
      <c r="DD230" s="1513"/>
      <c r="DE230" s="1513"/>
      <c r="DF230" s="1513"/>
      <c r="DG230" s="1513"/>
      <c r="DH230" s="1513"/>
      <c r="DI230" s="1513"/>
      <c r="DJ230" s="1513"/>
      <c r="DK230" s="1513"/>
      <c r="DL230" s="1513"/>
      <c r="DM230" s="1513"/>
      <c r="DN230" s="1513"/>
      <c r="DO230" s="1513"/>
      <c r="DP230" s="1513"/>
      <c r="DQ230" s="1513"/>
      <c r="DR230" s="1513"/>
      <c r="DS230" s="1513"/>
      <c r="DT230" s="1513"/>
      <c r="DU230" s="1513"/>
      <c r="DV230" s="1513"/>
      <c r="DW230" s="1513"/>
      <c r="DX230" s="1513"/>
      <c r="DY230" s="1513"/>
      <c r="DZ230" s="1513"/>
      <c r="EA230" s="1513"/>
      <c r="EB230" s="1513"/>
      <c r="EC230" s="1513"/>
      <c r="ED230" s="1513"/>
      <c r="EE230" s="1513"/>
      <c r="EF230" s="1513"/>
      <c r="EG230" s="1513"/>
      <c r="EH230" s="1513"/>
      <c r="EI230" s="1513"/>
      <c r="EJ230" s="1513"/>
      <c r="EK230" s="1513"/>
      <c r="EL230" s="1513"/>
      <c r="EM230" s="1513"/>
      <c r="EN230" s="1513"/>
      <c r="EO230" s="1513"/>
      <c r="EP230" s="1513"/>
      <c r="EQ230" s="1513"/>
      <c r="ER230" s="1513"/>
      <c r="ES230" s="1513"/>
      <c r="ET230" s="1513"/>
      <c r="EU230" s="1513"/>
      <c r="EV230" s="1513"/>
      <c r="EW230" s="1513"/>
      <c r="EX230" s="1513"/>
      <c r="EY230" s="1513"/>
      <c r="EZ230" s="1513"/>
      <c r="FA230" s="1513"/>
      <c r="FB230" s="1513"/>
      <c r="FC230" s="1513"/>
      <c r="FD230" s="1513"/>
      <c r="FE230" s="1513"/>
      <c r="FF230" s="1513"/>
      <c r="FG230" s="1513"/>
      <c r="FH230" s="1513"/>
      <c r="FI230" s="1513"/>
      <c r="FJ230" s="1513"/>
    </row>
    <row r="231" spans="1:166" ht="17.100000000000001" customHeight="1" x14ac:dyDescent="0.15">
      <c r="A231" s="1513"/>
      <c r="B231" s="1513"/>
      <c r="C231" s="1513"/>
      <c r="D231" s="1513"/>
      <c r="E231" s="1513"/>
      <c r="F231" s="1513"/>
      <c r="G231" s="1513"/>
      <c r="H231" s="1513"/>
      <c r="I231" s="1513"/>
      <c r="J231" s="1513"/>
      <c r="K231" s="1513"/>
      <c r="L231" s="1513"/>
      <c r="M231" s="1513"/>
      <c r="N231" s="1513"/>
      <c r="O231" s="1513"/>
      <c r="P231" s="1513"/>
      <c r="Q231" s="1513"/>
      <c r="R231" s="1513"/>
      <c r="S231" s="1513"/>
      <c r="T231" s="1513"/>
      <c r="U231" s="3112"/>
      <c r="V231" s="3112"/>
      <c r="W231" s="3112"/>
      <c r="X231" s="3112"/>
      <c r="Y231" s="3112"/>
      <c r="Z231" s="3112"/>
      <c r="AA231" s="3112"/>
      <c r="AB231" s="3112"/>
      <c r="AC231" s="3112"/>
      <c r="AD231" s="3112"/>
      <c r="AE231" s="3112"/>
      <c r="AF231" s="3112"/>
      <c r="AG231" s="3112"/>
      <c r="AH231" s="3112"/>
      <c r="AI231" s="3112"/>
      <c r="AJ231" s="3112"/>
      <c r="AK231" s="3112"/>
      <c r="AL231" s="3112"/>
      <c r="AM231" s="3112"/>
      <c r="AN231" s="3112"/>
      <c r="AO231" s="1513"/>
      <c r="AP231" s="1513"/>
      <c r="AQ231" s="1513"/>
      <c r="AR231" s="1513"/>
      <c r="AS231" s="1513"/>
      <c r="AT231" s="1513"/>
      <c r="AU231" s="1513"/>
      <c r="AV231" s="1513"/>
      <c r="AW231" s="1513"/>
      <c r="AX231" s="1513"/>
      <c r="AY231" s="1513"/>
      <c r="AZ231" s="1513"/>
      <c r="BA231" s="1513"/>
      <c r="BB231" s="1513"/>
      <c r="BC231" s="1513"/>
      <c r="BD231" s="1513"/>
      <c r="BE231" s="1513"/>
      <c r="BF231" s="1513"/>
      <c r="BG231" s="1513"/>
      <c r="BH231" s="1513"/>
      <c r="BI231" s="1513"/>
      <c r="BJ231" s="1513"/>
      <c r="BK231" s="1513"/>
      <c r="BL231" s="1513"/>
      <c r="BM231" s="1513"/>
      <c r="BN231" s="1513"/>
      <c r="BO231" s="1513"/>
      <c r="BP231" s="1513"/>
      <c r="BQ231" s="1513"/>
      <c r="BR231" s="1513"/>
      <c r="BS231" s="1513"/>
      <c r="BT231" s="1513"/>
      <c r="BU231" s="1513"/>
      <c r="BV231" s="1513"/>
      <c r="BW231" s="1513"/>
      <c r="BX231" s="1513"/>
      <c r="BY231" s="1513"/>
      <c r="BZ231" s="1513"/>
      <c r="CA231" s="1513"/>
      <c r="CB231" s="1513"/>
      <c r="CC231" s="1513"/>
      <c r="CD231" s="1513"/>
      <c r="CE231" s="1513"/>
      <c r="CF231" s="1513"/>
      <c r="CG231" s="1513"/>
      <c r="CH231" s="1513"/>
      <c r="CI231" s="1513"/>
      <c r="CJ231" s="1513"/>
      <c r="CK231" s="1513"/>
      <c r="CL231" s="1513"/>
      <c r="CM231" s="1513"/>
      <c r="CN231" s="1513"/>
      <c r="CO231" s="1513"/>
      <c r="CP231" s="1513"/>
      <c r="CQ231" s="1513"/>
      <c r="CR231" s="1513"/>
      <c r="CS231" s="1513"/>
      <c r="CT231" s="1513"/>
      <c r="CU231" s="1513"/>
      <c r="CV231" s="1513"/>
      <c r="CW231" s="1513"/>
      <c r="CX231" s="1513"/>
      <c r="CY231" s="1513"/>
      <c r="CZ231" s="1513"/>
      <c r="DA231" s="1513"/>
      <c r="DB231" s="1513"/>
      <c r="DC231" s="1513"/>
      <c r="DD231" s="1513"/>
      <c r="DE231" s="1513"/>
      <c r="DF231" s="1513"/>
      <c r="DG231" s="1513"/>
      <c r="DH231" s="1513"/>
      <c r="DI231" s="1513"/>
      <c r="DJ231" s="1513"/>
      <c r="DK231" s="1513"/>
      <c r="DL231" s="1513"/>
      <c r="DM231" s="1513"/>
      <c r="DN231" s="1513"/>
      <c r="DO231" s="1513"/>
      <c r="DP231" s="1513"/>
      <c r="DQ231" s="1513"/>
      <c r="DR231" s="1513"/>
      <c r="DS231" s="1513"/>
      <c r="DT231" s="1513"/>
      <c r="DU231" s="1513"/>
      <c r="DV231" s="1513"/>
      <c r="DW231" s="1513"/>
      <c r="DX231" s="1513"/>
      <c r="DY231" s="1513"/>
      <c r="DZ231" s="1513"/>
      <c r="EA231" s="1513"/>
      <c r="EB231" s="1513"/>
      <c r="EC231" s="1513"/>
      <c r="ED231" s="1513"/>
      <c r="EE231" s="1513"/>
      <c r="EF231" s="1513"/>
      <c r="EG231" s="1513"/>
      <c r="EH231" s="1513"/>
      <c r="EI231" s="1513"/>
      <c r="EJ231" s="1513"/>
      <c r="EK231" s="1513"/>
      <c r="EL231" s="1513"/>
      <c r="EM231" s="1513"/>
      <c r="EN231" s="1513"/>
      <c r="EO231" s="1513"/>
      <c r="EP231" s="1513"/>
      <c r="EQ231" s="1513"/>
      <c r="ER231" s="1513"/>
      <c r="ES231" s="1513"/>
      <c r="ET231" s="1513"/>
      <c r="EU231" s="1513"/>
      <c r="EV231" s="1513"/>
      <c r="EW231" s="1513"/>
      <c r="EX231" s="1513"/>
      <c r="EY231" s="1513"/>
      <c r="EZ231" s="1513"/>
      <c r="FA231" s="1513"/>
      <c r="FB231" s="1513"/>
      <c r="FC231" s="1513"/>
      <c r="FD231" s="1513"/>
      <c r="FE231" s="1513"/>
      <c r="FF231" s="1513"/>
      <c r="FG231" s="1513"/>
      <c r="FH231" s="1513"/>
      <c r="FI231" s="1513"/>
      <c r="FJ231" s="1513"/>
    </row>
    <row r="232" spans="1:166" ht="17.100000000000001" customHeight="1" x14ac:dyDescent="0.15">
      <c r="A232" s="1513"/>
      <c r="B232" s="1513"/>
      <c r="C232" s="1513"/>
      <c r="D232" s="1513"/>
      <c r="E232" s="1513"/>
      <c r="F232" s="1513"/>
      <c r="G232" s="1513"/>
      <c r="H232" s="1513"/>
      <c r="I232" s="1513"/>
      <c r="J232" s="1513"/>
      <c r="K232" s="1513"/>
      <c r="L232" s="1513"/>
      <c r="M232" s="1513"/>
      <c r="N232" s="1513"/>
      <c r="O232" s="1513"/>
      <c r="P232" s="1513"/>
      <c r="Q232" s="1513"/>
      <c r="R232" s="1513"/>
      <c r="S232" s="1513"/>
      <c r="T232" s="1513"/>
      <c r="U232" s="3112"/>
      <c r="V232" s="3112"/>
      <c r="W232" s="3112"/>
      <c r="X232" s="3112"/>
      <c r="Y232" s="3112"/>
      <c r="Z232" s="3112"/>
      <c r="AA232" s="3112"/>
      <c r="AB232" s="3112"/>
      <c r="AC232" s="3112"/>
      <c r="AD232" s="3112"/>
      <c r="AE232" s="3112"/>
      <c r="AF232" s="3112"/>
      <c r="AG232" s="3112"/>
      <c r="AH232" s="3112"/>
      <c r="AI232" s="3112"/>
      <c r="AJ232" s="3112"/>
      <c r="AK232" s="3112"/>
      <c r="AL232" s="3112"/>
      <c r="AM232" s="3112"/>
      <c r="AN232" s="3112"/>
      <c r="AO232" s="1513"/>
      <c r="AP232" s="1513"/>
      <c r="AQ232" s="1513"/>
      <c r="AR232" s="1513"/>
      <c r="AS232" s="1513"/>
      <c r="AT232" s="1513"/>
      <c r="AU232" s="1513"/>
      <c r="AV232" s="1513"/>
      <c r="AW232" s="1513"/>
      <c r="AX232" s="1513"/>
      <c r="AY232" s="1513"/>
      <c r="AZ232" s="1513"/>
      <c r="BA232" s="1513"/>
      <c r="BB232" s="1513"/>
      <c r="BC232" s="1513"/>
      <c r="BD232" s="1513"/>
      <c r="BE232" s="1513"/>
      <c r="BF232" s="1513"/>
      <c r="BG232" s="1513"/>
      <c r="BH232" s="1513"/>
      <c r="BI232" s="1513"/>
      <c r="BJ232" s="1513"/>
      <c r="BK232" s="1513"/>
      <c r="BL232" s="1513"/>
      <c r="BM232" s="1513"/>
      <c r="BN232" s="1513"/>
      <c r="BO232" s="1513"/>
      <c r="BP232" s="1513"/>
      <c r="BQ232" s="1513"/>
      <c r="BR232" s="1513"/>
      <c r="BS232" s="1513"/>
      <c r="BT232" s="1513"/>
      <c r="BU232" s="1513"/>
      <c r="BV232" s="1513"/>
      <c r="BW232" s="1513"/>
      <c r="BX232" s="1513"/>
      <c r="BY232" s="1513"/>
      <c r="BZ232" s="1513"/>
      <c r="CA232" s="1513"/>
      <c r="CB232" s="1513"/>
      <c r="CC232" s="1513"/>
      <c r="CD232" s="1513"/>
      <c r="CE232" s="1513"/>
      <c r="CF232" s="1513"/>
      <c r="CG232" s="1513"/>
      <c r="CH232" s="1513"/>
      <c r="CI232" s="1513"/>
      <c r="CJ232" s="1513"/>
      <c r="CK232" s="1513"/>
      <c r="CL232" s="1513"/>
      <c r="CM232" s="1513"/>
      <c r="CN232" s="1513"/>
      <c r="CO232" s="1513"/>
      <c r="CP232" s="1513"/>
      <c r="CQ232" s="1513"/>
      <c r="CR232" s="1513"/>
      <c r="CS232" s="1513"/>
      <c r="CT232" s="1513"/>
      <c r="CU232" s="1513"/>
      <c r="CV232" s="1513"/>
      <c r="CW232" s="1513"/>
      <c r="CX232" s="1513"/>
      <c r="CY232" s="1513"/>
      <c r="CZ232" s="1513"/>
      <c r="DA232" s="1513"/>
      <c r="DB232" s="1513"/>
      <c r="DC232" s="1513"/>
      <c r="DD232" s="1513"/>
      <c r="DE232" s="1513"/>
      <c r="DF232" s="1513"/>
      <c r="DG232" s="1513"/>
      <c r="DH232" s="1513"/>
      <c r="DI232" s="1513"/>
      <c r="DJ232" s="1513"/>
      <c r="DK232" s="1513"/>
      <c r="DL232" s="1513"/>
      <c r="DM232" s="1513"/>
      <c r="DN232" s="1513"/>
      <c r="DO232" s="1513"/>
      <c r="DP232" s="1513"/>
      <c r="DQ232" s="1513"/>
      <c r="DR232" s="1513"/>
      <c r="DS232" s="1513"/>
      <c r="DT232" s="1513"/>
      <c r="DU232" s="1513"/>
      <c r="DV232" s="1513"/>
      <c r="DW232" s="1513"/>
      <c r="DX232" s="1513"/>
      <c r="DY232" s="1513"/>
      <c r="DZ232" s="1513"/>
      <c r="EA232" s="1513"/>
      <c r="EB232" s="1513"/>
      <c r="EC232" s="1513"/>
      <c r="ED232" s="1513"/>
      <c r="EE232" s="1513"/>
      <c r="EF232" s="1513"/>
      <c r="EG232" s="1513"/>
      <c r="EH232" s="1513"/>
      <c r="EI232" s="1513"/>
      <c r="EJ232" s="1513"/>
      <c r="EK232" s="1513"/>
      <c r="EL232" s="1513"/>
      <c r="EM232" s="1513"/>
      <c r="EN232" s="1513"/>
      <c r="EO232" s="1513"/>
      <c r="EP232" s="1513"/>
      <c r="EQ232" s="1513"/>
      <c r="ER232" s="1513"/>
      <c r="ES232" s="1513"/>
      <c r="ET232" s="1513"/>
      <c r="EU232" s="1513"/>
      <c r="EV232" s="1513"/>
      <c r="EW232" s="1513"/>
      <c r="EX232" s="1513"/>
      <c r="EY232" s="1513"/>
      <c r="EZ232" s="1513"/>
      <c r="FA232" s="1513"/>
      <c r="FB232" s="1513"/>
      <c r="FC232" s="1513"/>
      <c r="FD232" s="1513"/>
      <c r="FE232" s="1513"/>
      <c r="FF232" s="1513"/>
      <c r="FG232" s="1513"/>
      <c r="FH232" s="1513"/>
      <c r="FI232" s="1513"/>
      <c r="FJ232" s="1513"/>
    </row>
    <row r="233" spans="1:166" ht="17.100000000000001" customHeight="1" x14ac:dyDescent="0.15">
      <c r="A233" s="1513"/>
      <c r="B233" s="1513"/>
      <c r="C233" s="1513"/>
      <c r="D233" s="1513"/>
      <c r="E233" s="1513"/>
      <c r="F233" s="1513"/>
      <c r="G233" s="1513"/>
      <c r="H233" s="1513"/>
      <c r="I233" s="1513"/>
      <c r="J233" s="1513"/>
      <c r="K233" s="1513"/>
      <c r="L233" s="1513"/>
      <c r="M233" s="1513"/>
      <c r="N233" s="1513"/>
      <c r="O233" s="1513"/>
      <c r="P233" s="1513"/>
      <c r="Q233" s="1513"/>
      <c r="R233" s="1513"/>
      <c r="S233" s="1513"/>
      <c r="T233" s="1513"/>
      <c r="U233" s="3112"/>
      <c r="V233" s="3112"/>
      <c r="W233" s="3112"/>
      <c r="X233" s="3112"/>
      <c r="Y233" s="3112"/>
      <c r="Z233" s="3112"/>
      <c r="AA233" s="3112"/>
      <c r="AB233" s="3112"/>
      <c r="AC233" s="3112"/>
      <c r="AD233" s="3112"/>
      <c r="AE233" s="3112"/>
      <c r="AF233" s="3112"/>
      <c r="AG233" s="3112"/>
      <c r="AH233" s="3112"/>
      <c r="AI233" s="3112"/>
      <c r="AJ233" s="3112"/>
      <c r="AK233" s="3112"/>
      <c r="AL233" s="3112"/>
      <c r="AM233" s="3112"/>
      <c r="AN233" s="3112"/>
      <c r="AO233" s="1513"/>
      <c r="AP233" s="1513"/>
      <c r="AQ233" s="1513"/>
      <c r="AR233" s="1513"/>
      <c r="AS233" s="1513"/>
      <c r="AT233" s="1513"/>
      <c r="AU233" s="1513"/>
      <c r="AV233" s="1513"/>
      <c r="AW233" s="1513"/>
      <c r="AX233" s="1513"/>
      <c r="AY233" s="1513"/>
      <c r="AZ233" s="1513"/>
      <c r="BA233" s="1513"/>
      <c r="BB233" s="1513"/>
      <c r="BC233" s="1513"/>
      <c r="BD233" s="1513"/>
      <c r="BE233" s="1513"/>
      <c r="BF233" s="1513"/>
      <c r="BG233" s="1513"/>
      <c r="BH233" s="1513"/>
      <c r="BI233" s="1513"/>
      <c r="BJ233" s="1513"/>
      <c r="BK233" s="1513"/>
      <c r="BL233" s="1513"/>
      <c r="BM233" s="1513"/>
      <c r="BN233" s="1513"/>
      <c r="BO233" s="1513"/>
      <c r="BP233" s="1513"/>
      <c r="BQ233" s="1513"/>
      <c r="BR233" s="1513"/>
      <c r="BS233" s="1513"/>
      <c r="BT233" s="1513"/>
      <c r="BU233" s="1513"/>
      <c r="BV233" s="1513"/>
      <c r="BW233" s="1513"/>
      <c r="BX233" s="1513"/>
      <c r="BY233" s="1513"/>
      <c r="BZ233" s="1513"/>
      <c r="CA233" s="1513"/>
      <c r="CB233" s="1513"/>
      <c r="CC233" s="1513"/>
      <c r="CD233" s="1513"/>
      <c r="CE233" s="1513"/>
      <c r="CF233" s="1513"/>
      <c r="CG233" s="1513"/>
      <c r="CH233" s="1513"/>
      <c r="CI233" s="1513"/>
      <c r="CJ233" s="1513"/>
      <c r="CK233" s="1513"/>
      <c r="CL233" s="1513"/>
      <c r="CM233" s="1513"/>
      <c r="CN233" s="1513"/>
      <c r="CO233" s="1513"/>
      <c r="CP233" s="1513"/>
      <c r="CQ233" s="1513"/>
      <c r="CR233" s="1513"/>
      <c r="CS233" s="1513"/>
      <c r="CT233" s="1513"/>
      <c r="CU233" s="1513"/>
      <c r="CV233" s="1513"/>
      <c r="CW233" s="1513"/>
      <c r="CX233" s="1513"/>
      <c r="CY233" s="1513"/>
      <c r="CZ233" s="1513"/>
      <c r="DA233" s="1513"/>
      <c r="DB233" s="1513"/>
      <c r="DC233" s="1513"/>
      <c r="DD233" s="1513"/>
      <c r="DE233" s="1513"/>
      <c r="DF233" s="1513"/>
      <c r="DG233" s="1513"/>
      <c r="DH233" s="1513"/>
      <c r="DI233" s="1513"/>
      <c r="DJ233" s="1513"/>
      <c r="DK233" s="1513"/>
      <c r="DL233" s="1513"/>
      <c r="DM233" s="1513"/>
      <c r="DN233" s="1513"/>
      <c r="DO233" s="1513"/>
      <c r="DP233" s="1513"/>
      <c r="DQ233" s="1513"/>
      <c r="DR233" s="1513"/>
      <c r="DS233" s="1513"/>
      <c r="DT233" s="1513"/>
      <c r="DU233" s="1513"/>
      <c r="DV233" s="1513"/>
      <c r="DW233" s="1513"/>
      <c r="DX233" s="1513"/>
      <c r="DY233" s="1513"/>
      <c r="DZ233" s="1513"/>
      <c r="EA233" s="1513"/>
      <c r="EB233" s="1513"/>
      <c r="EC233" s="1513"/>
      <c r="ED233" s="1513"/>
      <c r="EE233" s="1513"/>
      <c r="EF233" s="1513"/>
      <c r="EG233" s="1513"/>
      <c r="EH233" s="1513"/>
      <c r="EI233" s="1513"/>
      <c r="EJ233" s="1513"/>
      <c r="EK233" s="1513"/>
      <c r="EL233" s="1513"/>
      <c r="EM233" s="1513"/>
      <c r="EN233" s="1513"/>
      <c r="EO233" s="1513"/>
      <c r="EP233" s="1513"/>
      <c r="EQ233" s="1513"/>
      <c r="ER233" s="1513"/>
      <c r="ES233" s="1513"/>
      <c r="ET233" s="1513"/>
      <c r="EU233" s="1513"/>
      <c r="EV233" s="1513"/>
      <c r="EW233" s="1513"/>
      <c r="EX233" s="1513"/>
      <c r="EY233" s="1513"/>
      <c r="EZ233" s="1513"/>
      <c r="FA233" s="1513"/>
      <c r="FB233" s="1513"/>
      <c r="FC233" s="1513"/>
      <c r="FD233" s="1513"/>
      <c r="FE233" s="1513"/>
      <c r="FF233" s="1513"/>
      <c r="FG233" s="1513"/>
      <c r="FH233" s="1513"/>
      <c r="FI233" s="1513"/>
      <c r="FJ233" s="1513"/>
    </row>
    <row r="234" spans="1:166" ht="17.100000000000001" customHeight="1" x14ac:dyDescent="0.15">
      <c r="A234" s="1513"/>
      <c r="B234" s="1513"/>
      <c r="C234" s="1513"/>
      <c r="D234" s="1513"/>
      <c r="E234" s="1513"/>
      <c r="F234" s="1513"/>
      <c r="G234" s="1513"/>
      <c r="H234" s="1513"/>
      <c r="I234" s="1513"/>
      <c r="J234" s="1513"/>
      <c r="K234" s="1513"/>
      <c r="L234" s="1513"/>
      <c r="M234" s="1513"/>
      <c r="N234" s="1513"/>
      <c r="O234" s="1513"/>
      <c r="P234" s="1513"/>
      <c r="Q234" s="1513"/>
      <c r="R234" s="1513"/>
      <c r="S234" s="1513"/>
      <c r="T234" s="1513"/>
      <c r="U234" s="3112"/>
      <c r="V234" s="3112"/>
      <c r="W234" s="3112"/>
      <c r="X234" s="3112"/>
      <c r="Y234" s="3112"/>
      <c r="Z234" s="3112"/>
      <c r="AA234" s="3112"/>
      <c r="AB234" s="3112"/>
      <c r="AC234" s="3112"/>
      <c r="AD234" s="3112"/>
      <c r="AE234" s="3112"/>
      <c r="AF234" s="3112"/>
      <c r="AG234" s="3112"/>
      <c r="AH234" s="3112"/>
      <c r="AI234" s="3112"/>
      <c r="AJ234" s="3112"/>
      <c r="AK234" s="3112"/>
      <c r="AL234" s="3112"/>
      <c r="AM234" s="3112"/>
      <c r="AN234" s="3112"/>
      <c r="AO234" s="1513"/>
      <c r="AP234" s="1513"/>
      <c r="AQ234" s="1513"/>
      <c r="AR234" s="1513"/>
      <c r="AS234" s="1513"/>
      <c r="AT234" s="1513"/>
      <c r="AU234" s="1513"/>
      <c r="AV234" s="1513"/>
      <c r="AW234" s="1513"/>
      <c r="AX234" s="1513"/>
      <c r="AY234" s="1513"/>
      <c r="AZ234" s="1513"/>
      <c r="BA234" s="1513"/>
      <c r="BB234" s="1513"/>
      <c r="BC234" s="1513"/>
      <c r="BD234" s="1513"/>
      <c r="BE234" s="1513"/>
      <c r="BF234" s="1513"/>
      <c r="BG234" s="1513"/>
      <c r="BH234" s="1513"/>
      <c r="BI234" s="1513"/>
      <c r="BJ234" s="1513"/>
      <c r="BK234" s="1513"/>
      <c r="BL234" s="1513"/>
      <c r="BM234" s="1513"/>
      <c r="BN234" s="1513"/>
      <c r="BO234" s="1513"/>
      <c r="BP234" s="1513"/>
      <c r="BQ234" s="1513"/>
      <c r="BR234" s="1513"/>
      <c r="BS234" s="1513"/>
      <c r="BT234" s="1513"/>
      <c r="BU234" s="1513"/>
      <c r="BV234" s="1513"/>
      <c r="BW234" s="1513"/>
      <c r="BX234" s="1513"/>
      <c r="BY234" s="1513"/>
      <c r="BZ234" s="1513"/>
      <c r="CA234" s="1513"/>
      <c r="CB234" s="1513"/>
      <c r="CC234" s="1513"/>
      <c r="CD234" s="1513"/>
      <c r="CE234" s="1513"/>
      <c r="CF234" s="1513"/>
      <c r="CG234" s="1513"/>
      <c r="CH234" s="1513"/>
      <c r="CI234" s="1513"/>
      <c r="CJ234" s="1513"/>
      <c r="CK234" s="1513"/>
      <c r="CL234" s="1513"/>
      <c r="CM234" s="1513"/>
      <c r="CN234" s="1513"/>
      <c r="CO234" s="1513"/>
      <c r="CP234" s="1513"/>
      <c r="CQ234" s="1513"/>
      <c r="CR234" s="1513"/>
      <c r="CS234" s="1513"/>
      <c r="CT234" s="1513"/>
      <c r="CU234" s="1513"/>
      <c r="CV234" s="1513"/>
      <c r="CW234" s="1513"/>
      <c r="CX234" s="1513"/>
      <c r="CY234" s="1513"/>
      <c r="CZ234" s="1513"/>
      <c r="DA234" s="1513"/>
      <c r="DB234" s="1513"/>
      <c r="DC234" s="1513"/>
      <c r="DD234" s="1513"/>
      <c r="DE234" s="1513"/>
      <c r="DF234" s="1513"/>
      <c r="DG234" s="1513"/>
      <c r="DH234" s="1513"/>
      <c r="DI234" s="1513"/>
      <c r="DJ234" s="1513"/>
      <c r="DK234" s="1513"/>
      <c r="DL234" s="1513"/>
      <c r="DM234" s="1513"/>
      <c r="DN234" s="1513"/>
      <c r="DO234" s="1513"/>
      <c r="DP234" s="1513"/>
      <c r="DQ234" s="1513"/>
      <c r="DR234" s="1513"/>
      <c r="DS234" s="1513"/>
      <c r="DT234" s="1513"/>
      <c r="DU234" s="1513"/>
      <c r="DV234" s="1513"/>
      <c r="DW234" s="1513"/>
      <c r="DX234" s="1513"/>
      <c r="DY234" s="1513"/>
      <c r="DZ234" s="1513"/>
      <c r="EA234" s="1513"/>
      <c r="EB234" s="1513"/>
      <c r="EC234" s="1513"/>
      <c r="ED234" s="1513"/>
      <c r="EE234" s="1513"/>
      <c r="EF234" s="1513"/>
      <c r="EG234" s="1513"/>
      <c r="EH234" s="1513"/>
      <c r="EI234" s="1513"/>
      <c r="EJ234" s="1513"/>
      <c r="EK234" s="1513"/>
      <c r="EL234" s="1513"/>
      <c r="EM234" s="1513"/>
      <c r="EN234" s="1513"/>
      <c r="EO234" s="1513"/>
      <c r="EP234" s="1513"/>
      <c r="EQ234" s="1513"/>
      <c r="ER234" s="1513"/>
      <c r="ES234" s="1513"/>
      <c r="ET234" s="1513"/>
      <c r="EU234" s="1513"/>
      <c r="EV234" s="1513"/>
      <c r="EW234" s="1513"/>
      <c r="EX234" s="1513"/>
      <c r="EY234" s="1513"/>
      <c r="EZ234" s="1513"/>
      <c r="FA234" s="1513"/>
      <c r="FB234" s="1513"/>
      <c r="FC234" s="1513"/>
      <c r="FD234" s="1513"/>
      <c r="FE234" s="1513"/>
      <c r="FF234" s="1513"/>
      <c r="FG234" s="1513"/>
      <c r="FH234" s="1513"/>
      <c r="FI234" s="1513"/>
      <c r="FJ234" s="1513"/>
    </row>
    <row r="235" spans="1:166" ht="17.100000000000001" customHeight="1" x14ac:dyDescent="0.15">
      <c r="A235" s="1513"/>
      <c r="B235" s="1513"/>
      <c r="C235" s="1513"/>
      <c r="D235" s="1513"/>
      <c r="E235" s="1513"/>
      <c r="F235" s="1513"/>
      <c r="G235" s="1513"/>
      <c r="H235" s="1513"/>
      <c r="I235" s="1513"/>
      <c r="J235" s="1513"/>
      <c r="K235" s="1513"/>
      <c r="L235" s="1513"/>
      <c r="M235" s="1513"/>
      <c r="N235" s="1513"/>
      <c r="O235" s="1513"/>
      <c r="P235" s="1513"/>
      <c r="Q235" s="1513"/>
      <c r="R235" s="1513"/>
      <c r="S235" s="1513"/>
      <c r="T235" s="1513"/>
      <c r="U235" s="1513"/>
      <c r="V235" s="1513"/>
      <c r="W235" s="1513"/>
      <c r="X235" s="1513"/>
      <c r="Y235" s="1513"/>
      <c r="Z235" s="1513"/>
      <c r="AA235" s="1513"/>
      <c r="AB235" s="1513"/>
      <c r="AC235" s="1513"/>
      <c r="AD235" s="1513"/>
      <c r="AE235" s="1513"/>
      <c r="AF235" s="1513"/>
      <c r="AG235" s="1513"/>
      <c r="AH235" s="1513"/>
      <c r="AI235" s="1513"/>
      <c r="AJ235" s="1513"/>
      <c r="AK235" s="1513"/>
      <c r="AL235" s="1513"/>
      <c r="AM235" s="1513"/>
      <c r="AN235" s="1513"/>
      <c r="AO235" s="1513"/>
      <c r="AP235" s="1513"/>
      <c r="AQ235" s="1513"/>
      <c r="AR235" s="1513"/>
      <c r="AS235" s="1513"/>
      <c r="AT235" s="1513"/>
      <c r="AU235" s="1513"/>
      <c r="AV235" s="1513"/>
      <c r="AW235" s="1513"/>
      <c r="AX235" s="1513"/>
      <c r="AY235" s="1513"/>
      <c r="AZ235" s="1513"/>
      <c r="BA235" s="1513"/>
      <c r="BB235" s="1513"/>
      <c r="BC235" s="1513"/>
      <c r="BD235" s="1513"/>
      <c r="BE235" s="1513"/>
      <c r="BF235" s="1513"/>
      <c r="BG235" s="1513"/>
      <c r="BH235" s="1513"/>
      <c r="BI235" s="1513"/>
      <c r="BJ235" s="1513"/>
      <c r="BK235" s="1513"/>
      <c r="BL235" s="1513"/>
      <c r="BM235" s="1513"/>
      <c r="BN235" s="1513"/>
      <c r="BO235" s="1513"/>
      <c r="BP235" s="1513"/>
      <c r="BQ235" s="1513"/>
      <c r="BR235" s="1513"/>
      <c r="BS235" s="1513"/>
      <c r="BT235" s="1513"/>
      <c r="BU235" s="1513"/>
      <c r="BV235" s="1513"/>
      <c r="BW235" s="1513"/>
      <c r="BX235" s="1513"/>
      <c r="BY235" s="1513"/>
      <c r="BZ235" s="1513"/>
      <c r="CA235" s="1513"/>
      <c r="CB235" s="1513"/>
      <c r="CC235" s="1513"/>
      <c r="CD235" s="1513"/>
      <c r="CE235" s="1513"/>
      <c r="CF235" s="1513"/>
      <c r="CG235" s="1513"/>
      <c r="CH235" s="1513"/>
      <c r="CI235" s="1513"/>
      <c r="CJ235" s="1513"/>
      <c r="CK235" s="1513"/>
      <c r="CL235" s="1513"/>
      <c r="CM235" s="1513"/>
      <c r="CN235" s="1513"/>
      <c r="CO235" s="1513"/>
      <c r="CP235" s="1513"/>
      <c r="CQ235" s="1513"/>
      <c r="CR235" s="1513"/>
      <c r="CS235" s="1513"/>
      <c r="CT235" s="1513"/>
      <c r="CU235" s="1513"/>
      <c r="CV235" s="1513"/>
      <c r="CW235" s="1513"/>
      <c r="CX235" s="1513"/>
      <c r="CY235" s="1513"/>
      <c r="CZ235" s="1513"/>
      <c r="DA235" s="1513"/>
      <c r="DB235" s="1513"/>
      <c r="DC235" s="1513"/>
      <c r="DD235" s="1513"/>
      <c r="DE235" s="1513"/>
      <c r="DF235" s="1513"/>
      <c r="DG235" s="1513"/>
      <c r="DH235" s="1513"/>
      <c r="DI235" s="1513"/>
      <c r="DJ235" s="1513"/>
      <c r="DK235" s="1513"/>
      <c r="DL235" s="1513"/>
      <c r="DM235" s="1513"/>
      <c r="DN235" s="1513"/>
      <c r="DO235" s="1513"/>
      <c r="DP235" s="1513"/>
      <c r="DQ235" s="1513"/>
      <c r="DR235" s="1513"/>
      <c r="DS235" s="1513"/>
      <c r="DT235" s="1513"/>
      <c r="DU235" s="1513"/>
      <c r="DV235" s="1513"/>
      <c r="DW235" s="1513"/>
      <c r="DX235" s="1513"/>
      <c r="DY235" s="1513"/>
      <c r="DZ235" s="1513"/>
      <c r="EA235" s="1513"/>
      <c r="EB235" s="1513"/>
      <c r="EC235" s="1513"/>
      <c r="ED235" s="1513"/>
      <c r="EE235" s="1513"/>
      <c r="EF235" s="1513"/>
      <c r="EG235" s="1513"/>
      <c r="EH235" s="1513"/>
      <c r="EI235" s="1513"/>
      <c r="EJ235" s="1513"/>
      <c r="EK235" s="1513"/>
      <c r="EL235" s="1513"/>
      <c r="EM235" s="1513"/>
      <c r="EN235" s="1513"/>
      <c r="EO235" s="1513"/>
      <c r="EP235" s="1513"/>
      <c r="EQ235" s="1513"/>
      <c r="ER235" s="1513"/>
      <c r="ES235" s="1513"/>
      <c r="ET235" s="1513"/>
      <c r="EU235" s="1513"/>
      <c r="EV235" s="1513"/>
      <c r="EW235" s="1513"/>
      <c r="EX235" s="1513"/>
      <c r="EY235" s="1513"/>
      <c r="EZ235" s="1513"/>
      <c r="FA235" s="1513"/>
      <c r="FB235" s="1513"/>
      <c r="FC235" s="1513"/>
      <c r="FD235" s="1513"/>
      <c r="FE235" s="1513"/>
      <c r="FF235" s="1513"/>
      <c r="FG235" s="1513"/>
      <c r="FH235" s="1513"/>
      <c r="FI235" s="1513"/>
      <c r="FJ235" s="1513"/>
    </row>
    <row r="236" spans="1:166" ht="17.100000000000001" customHeight="1" x14ac:dyDescent="0.15">
      <c r="A236" s="1513"/>
      <c r="B236" s="1513"/>
      <c r="C236" s="1513"/>
      <c r="D236" s="1513"/>
      <c r="E236" s="1513"/>
      <c r="F236" s="1513"/>
      <c r="G236" s="1513"/>
      <c r="H236" s="1513"/>
      <c r="I236" s="1513"/>
      <c r="J236" s="1513"/>
      <c r="K236" s="1513"/>
      <c r="L236" s="1513"/>
      <c r="M236" s="1513"/>
      <c r="N236" s="1513"/>
      <c r="O236" s="1513"/>
      <c r="P236" s="1513"/>
      <c r="Q236" s="1513"/>
      <c r="R236" s="1513"/>
      <c r="S236" s="1513"/>
      <c r="T236" s="1513"/>
      <c r="U236" s="1513"/>
      <c r="V236" s="1513"/>
      <c r="W236" s="1513"/>
      <c r="X236" s="1513"/>
      <c r="Y236" s="1513"/>
      <c r="Z236" s="1513"/>
      <c r="AA236" s="1513"/>
      <c r="AB236" s="1513"/>
      <c r="AC236" s="1513"/>
      <c r="AD236" s="1513"/>
      <c r="AE236" s="1513"/>
      <c r="AF236" s="1513"/>
      <c r="AG236" s="1513"/>
      <c r="AH236" s="1513"/>
      <c r="AI236" s="1513"/>
      <c r="AJ236" s="1513"/>
      <c r="AK236" s="1513"/>
      <c r="AL236" s="1513"/>
      <c r="AM236" s="1513"/>
      <c r="AN236" s="1513"/>
      <c r="AO236" s="1513"/>
      <c r="AP236" s="1513"/>
      <c r="AQ236" s="1513"/>
      <c r="AR236" s="1513"/>
      <c r="AS236" s="1513"/>
      <c r="AT236" s="1513"/>
      <c r="AU236" s="1513"/>
      <c r="AV236" s="1513"/>
      <c r="AW236" s="1513"/>
      <c r="AX236" s="1513"/>
      <c r="AY236" s="1513"/>
      <c r="AZ236" s="1513"/>
      <c r="BA236" s="1513"/>
      <c r="BB236" s="1513"/>
      <c r="BC236" s="1513"/>
      <c r="BD236" s="1513"/>
      <c r="BE236" s="1513"/>
      <c r="BF236" s="1513"/>
      <c r="BG236" s="1513"/>
      <c r="BH236" s="1513"/>
      <c r="BI236" s="1513"/>
      <c r="BJ236" s="1513"/>
      <c r="BK236" s="1513"/>
      <c r="BL236" s="1513"/>
      <c r="BM236" s="1513"/>
      <c r="BN236" s="1513"/>
      <c r="BO236" s="1513"/>
      <c r="BP236" s="1513"/>
      <c r="BQ236" s="1513"/>
      <c r="BR236" s="1513"/>
      <c r="BS236" s="1513"/>
      <c r="BT236" s="1513"/>
      <c r="BU236" s="1513"/>
      <c r="BV236" s="1513"/>
      <c r="BW236" s="1513"/>
      <c r="BX236" s="1513"/>
      <c r="BY236" s="1513"/>
      <c r="BZ236" s="1513"/>
      <c r="CA236" s="1513"/>
      <c r="CB236" s="1513"/>
      <c r="CC236" s="1513"/>
      <c r="CD236" s="1513"/>
      <c r="CE236" s="1513"/>
      <c r="CF236" s="1513"/>
      <c r="CG236" s="1513"/>
      <c r="CH236" s="1513"/>
      <c r="CI236" s="1513"/>
      <c r="CJ236" s="1513"/>
      <c r="CK236" s="1513"/>
      <c r="CL236" s="1513"/>
      <c r="CM236" s="1513"/>
      <c r="CN236" s="1513"/>
      <c r="CO236" s="1513"/>
      <c r="CP236" s="1513"/>
      <c r="CQ236" s="1513"/>
      <c r="CR236" s="1513"/>
      <c r="CS236" s="1513"/>
      <c r="CT236" s="1513"/>
      <c r="CU236" s="1513"/>
      <c r="CV236" s="1513"/>
      <c r="CW236" s="1513"/>
      <c r="CX236" s="1513"/>
      <c r="CY236" s="1513"/>
      <c r="CZ236" s="1513"/>
      <c r="DA236" s="1513"/>
      <c r="DB236" s="1513"/>
      <c r="DC236" s="1513"/>
      <c r="DD236" s="1513"/>
      <c r="DE236" s="1513"/>
      <c r="DF236" s="1513"/>
      <c r="DG236" s="1513"/>
      <c r="DH236" s="1513"/>
      <c r="DI236" s="1513"/>
      <c r="DJ236" s="1513"/>
      <c r="DK236" s="1513"/>
      <c r="DL236" s="1513"/>
      <c r="DM236" s="1513"/>
      <c r="DN236" s="1513"/>
      <c r="DO236" s="1513"/>
      <c r="DP236" s="1513"/>
      <c r="DQ236" s="1513"/>
      <c r="DR236" s="1513"/>
      <c r="DS236" s="1513"/>
      <c r="DT236" s="1513"/>
      <c r="DU236" s="1513"/>
      <c r="DV236" s="1513"/>
      <c r="DW236" s="1513"/>
      <c r="DX236" s="1513"/>
      <c r="DY236" s="1513"/>
      <c r="DZ236" s="1513"/>
      <c r="EA236" s="1513"/>
      <c r="EB236" s="1513"/>
      <c r="EC236" s="1513"/>
      <c r="ED236" s="1513"/>
      <c r="EE236" s="1513"/>
      <c r="EF236" s="1513"/>
      <c r="EG236" s="1513"/>
      <c r="EH236" s="1513"/>
      <c r="EI236" s="1513"/>
      <c r="EJ236" s="1513"/>
      <c r="EK236" s="1513"/>
      <c r="EL236" s="1513"/>
      <c r="EM236" s="1513"/>
      <c r="EN236" s="1513"/>
      <c r="EO236" s="1513"/>
      <c r="EP236" s="1513"/>
      <c r="EQ236" s="1513"/>
      <c r="ER236" s="1513"/>
      <c r="ES236" s="1513"/>
      <c r="ET236" s="1513"/>
      <c r="EU236" s="1513"/>
      <c r="EV236" s="1513"/>
      <c r="EW236" s="1513"/>
      <c r="EX236" s="1513"/>
      <c r="EY236" s="1513"/>
      <c r="EZ236" s="1513"/>
      <c r="FA236" s="1513"/>
      <c r="FB236" s="1513"/>
      <c r="FC236" s="1513"/>
      <c r="FD236" s="1513"/>
      <c r="FE236" s="1513"/>
      <c r="FF236" s="1513"/>
      <c r="FG236" s="1513"/>
      <c r="FH236" s="1513"/>
      <c r="FI236" s="1513"/>
      <c r="FJ236" s="1513"/>
    </row>
    <row r="237" spans="1:166" ht="17.100000000000001" customHeight="1" x14ac:dyDescent="0.15">
      <c r="A237" s="1513"/>
      <c r="B237" s="1513"/>
      <c r="C237" s="1513"/>
      <c r="D237" s="1513"/>
      <c r="E237" s="1513"/>
      <c r="F237" s="1513"/>
      <c r="G237" s="1513"/>
      <c r="H237" s="1513"/>
      <c r="I237" s="1513"/>
      <c r="J237" s="1513"/>
      <c r="K237" s="1513"/>
      <c r="L237" s="1513"/>
      <c r="M237" s="1513"/>
      <c r="N237" s="1513"/>
      <c r="O237" s="1513"/>
      <c r="P237" s="1513"/>
      <c r="Q237" s="1513"/>
      <c r="R237" s="1513"/>
      <c r="S237" s="1513"/>
      <c r="T237" s="1513"/>
      <c r="U237" s="1513"/>
      <c r="V237" s="1513"/>
      <c r="W237" s="1513"/>
      <c r="X237" s="1513"/>
      <c r="Y237" s="1513"/>
      <c r="Z237" s="1513"/>
      <c r="AA237" s="1513"/>
      <c r="AB237" s="1513"/>
      <c r="AC237" s="1513"/>
      <c r="AD237" s="1513"/>
      <c r="AE237" s="1513"/>
      <c r="AF237" s="1513"/>
      <c r="AG237" s="1513"/>
      <c r="AH237" s="1513"/>
      <c r="AI237" s="1513"/>
      <c r="AJ237" s="1513"/>
      <c r="AK237" s="1513"/>
      <c r="AL237" s="1513"/>
      <c r="AM237" s="1513"/>
      <c r="AN237" s="1513"/>
      <c r="AO237" s="1513"/>
      <c r="AP237" s="1513"/>
      <c r="AQ237" s="1513"/>
      <c r="AR237" s="1513"/>
      <c r="AS237" s="1513"/>
      <c r="AT237" s="1513"/>
      <c r="AU237" s="1513"/>
      <c r="AV237" s="1513"/>
      <c r="AW237" s="1513"/>
      <c r="AX237" s="1513"/>
      <c r="AY237" s="1513"/>
      <c r="AZ237" s="1513"/>
      <c r="BA237" s="1513"/>
      <c r="BB237" s="1513"/>
      <c r="BC237" s="1513"/>
      <c r="BD237" s="1513"/>
      <c r="BE237" s="1513"/>
      <c r="BF237" s="1513"/>
      <c r="BG237" s="1513"/>
      <c r="BH237" s="1513"/>
      <c r="BI237" s="1513"/>
      <c r="BJ237" s="1513"/>
      <c r="BK237" s="1513"/>
      <c r="BL237" s="1513"/>
      <c r="BM237" s="1513"/>
      <c r="BN237" s="1513"/>
      <c r="BO237" s="1513"/>
      <c r="BP237" s="1513"/>
      <c r="BQ237" s="1513"/>
      <c r="BR237" s="1513"/>
      <c r="BS237" s="1513"/>
      <c r="BT237" s="1513"/>
      <c r="BU237" s="1513"/>
      <c r="BV237" s="1513"/>
      <c r="BW237" s="1513"/>
      <c r="BX237" s="1513"/>
      <c r="BY237" s="1513"/>
      <c r="BZ237" s="1513"/>
      <c r="CA237" s="1513"/>
      <c r="CB237" s="1513"/>
      <c r="CC237" s="1513"/>
      <c r="CD237" s="1513"/>
      <c r="CE237" s="1513"/>
      <c r="CF237" s="1513"/>
      <c r="CG237" s="1513"/>
      <c r="CH237" s="1513"/>
      <c r="CI237" s="1513"/>
      <c r="CJ237" s="1513"/>
      <c r="CK237" s="1513"/>
      <c r="CL237" s="1513"/>
      <c r="CM237" s="1513"/>
      <c r="CN237" s="1513"/>
      <c r="CO237" s="1513"/>
      <c r="CP237" s="1513"/>
      <c r="CQ237" s="1513"/>
      <c r="CR237" s="1513"/>
      <c r="CS237" s="1513"/>
      <c r="CT237" s="1513"/>
      <c r="CU237" s="1513"/>
      <c r="CV237" s="1513"/>
      <c r="CW237" s="1513"/>
      <c r="CX237" s="1513"/>
      <c r="CY237" s="1513"/>
      <c r="CZ237" s="1513"/>
      <c r="DA237" s="1513"/>
      <c r="DB237" s="1513"/>
      <c r="DC237" s="1513"/>
      <c r="DD237" s="1513"/>
      <c r="DE237" s="1513"/>
      <c r="DF237" s="1513"/>
      <c r="DG237" s="1513"/>
      <c r="DH237" s="1513"/>
      <c r="DI237" s="1513"/>
      <c r="DJ237" s="1513"/>
      <c r="DK237" s="1513"/>
      <c r="DL237" s="1513"/>
      <c r="DM237" s="1513"/>
      <c r="DN237" s="1513"/>
      <c r="DO237" s="1513"/>
      <c r="DP237" s="1513"/>
      <c r="DQ237" s="1513"/>
      <c r="DR237" s="1513"/>
      <c r="DS237" s="1513"/>
      <c r="DT237" s="1513"/>
      <c r="DU237" s="1513"/>
      <c r="DV237" s="1513"/>
      <c r="DW237" s="1513"/>
      <c r="DX237" s="1513"/>
      <c r="DY237" s="1513"/>
      <c r="DZ237" s="1513"/>
      <c r="EA237" s="1513"/>
      <c r="EB237" s="1513"/>
      <c r="EC237" s="1513"/>
      <c r="ED237" s="1513"/>
      <c r="EE237" s="1513"/>
      <c r="EF237" s="1513"/>
      <c r="EG237" s="1513"/>
      <c r="EH237" s="1513"/>
      <c r="EI237" s="1513"/>
      <c r="EJ237" s="1513"/>
      <c r="EK237" s="1513"/>
      <c r="EL237" s="1513"/>
      <c r="EM237" s="1513"/>
      <c r="EN237" s="1513"/>
      <c r="EO237" s="1513"/>
      <c r="EP237" s="1513"/>
      <c r="EQ237" s="1513"/>
      <c r="ER237" s="1513"/>
      <c r="ES237" s="1513"/>
      <c r="ET237" s="1513"/>
      <c r="EU237" s="1513"/>
      <c r="EV237" s="1513"/>
      <c r="EW237" s="1513"/>
      <c r="EX237" s="1513"/>
      <c r="EY237" s="1513"/>
      <c r="EZ237" s="1513"/>
      <c r="FA237" s="1513"/>
      <c r="FB237" s="1513"/>
      <c r="FC237" s="1513"/>
      <c r="FD237" s="1513"/>
      <c r="FE237" s="1513"/>
      <c r="FF237" s="1513"/>
      <c r="FG237" s="1513"/>
      <c r="FH237" s="1513"/>
      <c r="FI237" s="1513"/>
      <c r="FJ237" s="1513"/>
    </row>
    <row r="238" spans="1:166" ht="17.100000000000001" customHeight="1" x14ac:dyDescent="0.15">
      <c r="A238" s="1513"/>
      <c r="B238" s="1513"/>
      <c r="C238" s="1513"/>
      <c r="D238" s="1513"/>
      <c r="E238" s="1513"/>
      <c r="F238" s="1513"/>
      <c r="G238" s="1513"/>
      <c r="H238" s="1513"/>
      <c r="I238" s="1513"/>
      <c r="J238" s="1513"/>
      <c r="K238" s="1513"/>
      <c r="L238" s="1513"/>
      <c r="M238" s="1513"/>
      <c r="N238" s="1513"/>
      <c r="O238" s="1513"/>
      <c r="P238" s="1513"/>
      <c r="Q238" s="1513"/>
      <c r="R238" s="1513"/>
      <c r="S238" s="1513"/>
      <c r="T238" s="1513"/>
      <c r="U238" s="1513"/>
      <c r="V238" s="1513"/>
      <c r="W238" s="1513"/>
      <c r="X238" s="1513"/>
      <c r="Y238" s="1513"/>
      <c r="Z238" s="1513"/>
      <c r="AA238" s="1513"/>
      <c r="AB238" s="1513"/>
      <c r="AC238" s="1513"/>
      <c r="AD238" s="1513"/>
      <c r="AE238" s="1513"/>
      <c r="AF238" s="1513"/>
      <c r="AG238" s="1513"/>
      <c r="AH238" s="1513"/>
      <c r="AI238" s="1513"/>
      <c r="AJ238" s="1513"/>
      <c r="AK238" s="1513"/>
      <c r="AL238" s="1513"/>
      <c r="AM238" s="1513"/>
      <c r="AN238" s="1513"/>
      <c r="AO238" s="1513"/>
      <c r="AP238" s="1513"/>
      <c r="AQ238" s="1513"/>
      <c r="AR238" s="1513"/>
      <c r="AS238" s="1513"/>
      <c r="AT238" s="1513"/>
      <c r="AU238" s="1513"/>
      <c r="AV238" s="1513"/>
      <c r="AW238" s="1513"/>
      <c r="AX238" s="1513"/>
      <c r="AY238" s="1513"/>
      <c r="AZ238" s="1513"/>
      <c r="BA238" s="1513"/>
      <c r="BB238" s="1513"/>
      <c r="BC238" s="1513"/>
      <c r="BD238" s="1513"/>
      <c r="BE238" s="1513"/>
      <c r="BF238" s="1513"/>
      <c r="BG238" s="1513"/>
      <c r="BH238" s="1513"/>
      <c r="BI238" s="1513"/>
      <c r="BJ238" s="1513"/>
      <c r="BK238" s="1513"/>
      <c r="BL238" s="1513"/>
      <c r="BM238" s="1513"/>
      <c r="BN238" s="1513"/>
      <c r="BO238" s="1513"/>
      <c r="BP238" s="1513"/>
      <c r="BQ238" s="1513"/>
      <c r="BR238" s="1513"/>
      <c r="BS238" s="1513"/>
      <c r="BT238" s="1513"/>
      <c r="BU238" s="1513"/>
      <c r="BV238" s="1513"/>
      <c r="BW238" s="1513"/>
      <c r="BX238" s="1513"/>
      <c r="BY238" s="1513"/>
      <c r="BZ238" s="1513"/>
      <c r="CA238" s="1513"/>
      <c r="CB238" s="1513"/>
      <c r="CC238" s="1513"/>
      <c r="CD238" s="1513"/>
      <c r="CE238" s="1513"/>
      <c r="CF238" s="1513"/>
      <c r="CG238" s="1513"/>
      <c r="CH238" s="1513"/>
      <c r="CI238" s="1513"/>
      <c r="CJ238" s="1513"/>
      <c r="CK238" s="1513"/>
      <c r="CL238" s="1513"/>
      <c r="CM238" s="1513"/>
      <c r="CN238" s="1513"/>
      <c r="CO238" s="1513"/>
      <c r="CP238" s="1513"/>
      <c r="CQ238" s="1513"/>
      <c r="CR238" s="1513"/>
      <c r="CS238" s="1513"/>
      <c r="CT238" s="1513"/>
      <c r="CU238" s="1513"/>
      <c r="CV238" s="1513"/>
      <c r="CW238" s="1513"/>
      <c r="CX238" s="1513"/>
      <c r="CY238" s="1513"/>
      <c r="CZ238" s="1513"/>
      <c r="DA238" s="1513"/>
      <c r="DB238" s="1513"/>
      <c r="DC238" s="1513"/>
      <c r="DD238" s="1513"/>
      <c r="DE238" s="1513"/>
      <c r="DF238" s="1513"/>
      <c r="DG238" s="1513"/>
      <c r="DH238" s="1513"/>
      <c r="DI238" s="1513"/>
      <c r="DJ238" s="1513"/>
      <c r="DK238" s="1513"/>
      <c r="DL238" s="1513"/>
      <c r="DM238" s="1513"/>
      <c r="DN238" s="1513"/>
      <c r="DO238" s="1513"/>
      <c r="DP238" s="1513"/>
      <c r="DQ238" s="1513"/>
      <c r="DR238" s="1513"/>
      <c r="DS238" s="1513"/>
      <c r="DT238" s="1513"/>
      <c r="DU238" s="1513"/>
      <c r="DV238" s="1513"/>
      <c r="DW238" s="1513"/>
      <c r="DX238" s="1513"/>
      <c r="DY238" s="1513"/>
      <c r="DZ238" s="1513"/>
      <c r="EA238" s="1513"/>
      <c r="EB238" s="1513"/>
      <c r="EC238" s="1513"/>
      <c r="ED238" s="1513"/>
      <c r="EE238" s="1513"/>
      <c r="EF238" s="1513"/>
      <c r="EG238" s="1513"/>
      <c r="EH238" s="1513"/>
      <c r="EI238" s="1513"/>
      <c r="EJ238" s="1513"/>
      <c r="EK238" s="1513"/>
      <c r="EL238" s="1513"/>
      <c r="EM238" s="1513"/>
      <c r="EN238" s="1513"/>
      <c r="EO238" s="1513"/>
      <c r="EP238" s="1513"/>
      <c r="EQ238" s="1513"/>
      <c r="ER238" s="1513"/>
      <c r="ES238" s="1513"/>
      <c r="ET238" s="1513"/>
      <c r="EU238" s="1513"/>
      <c r="EV238" s="1513"/>
      <c r="EW238" s="1513"/>
      <c r="EX238" s="1513"/>
      <c r="EY238" s="1513"/>
      <c r="EZ238" s="1513"/>
      <c r="FA238" s="1513"/>
      <c r="FB238" s="1513"/>
      <c r="FC238" s="1513"/>
      <c r="FD238" s="1513"/>
      <c r="FE238" s="1513"/>
      <c r="FF238" s="1513"/>
      <c r="FG238" s="1513"/>
      <c r="FH238" s="1513"/>
      <c r="FI238" s="1513"/>
      <c r="FJ238" s="1513"/>
    </row>
    <row r="239" spans="1:166" ht="17.100000000000001" customHeight="1" x14ac:dyDescent="0.15">
      <c r="A239" s="1513"/>
      <c r="B239" s="1513"/>
      <c r="C239" s="1513"/>
      <c r="D239" s="1513"/>
      <c r="E239" s="1513"/>
      <c r="F239" s="1513"/>
      <c r="G239" s="1513"/>
      <c r="H239" s="1513"/>
      <c r="I239" s="1513"/>
      <c r="J239" s="1513"/>
      <c r="K239" s="1513"/>
      <c r="L239" s="1513"/>
      <c r="M239" s="1513"/>
      <c r="N239" s="1513"/>
      <c r="O239" s="1513"/>
      <c r="P239" s="1513"/>
      <c r="Q239" s="1513"/>
      <c r="R239" s="1513"/>
      <c r="S239" s="1513"/>
      <c r="T239" s="1513"/>
      <c r="U239" s="1513"/>
      <c r="V239" s="1513"/>
      <c r="W239" s="1513"/>
      <c r="X239" s="1513"/>
      <c r="Y239" s="1513"/>
      <c r="Z239" s="1513"/>
      <c r="AA239" s="1513"/>
      <c r="AB239" s="1513"/>
      <c r="AC239" s="1513"/>
      <c r="AD239" s="1513"/>
      <c r="AE239" s="1513"/>
      <c r="AF239" s="1513"/>
      <c r="AG239" s="1513"/>
      <c r="AH239" s="1513"/>
      <c r="AI239" s="1513"/>
      <c r="AJ239" s="1513"/>
      <c r="AK239" s="1513"/>
      <c r="AL239" s="1513"/>
      <c r="AM239" s="1513"/>
      <c r="AN239" s="1513"/>
      <c r="AO239" s="1513"/>
      <c r="AP239" s="1513"/>
      <c r="AQ239" s="1513"/>
      <c r="AR239" s="1513"/>
      <c r="AS239" s="1513"/>
      <c r="AT239" s="1513"/>
      <c r="AU239" s="1513"/>
      <c r="AV239" s="1513"/>
      <c r="AW239" s="1513"/>
      <c r="AX239" s="1513"/>
      <c r="AY239" s="1513"/>
      <c r="AZ239" s="1513"/>
      <c r="BA239" s="1513"/>
      <c r="BB239" s="1513"/>
      <c r="BC239" s="1513"/>
      <c r="BD239" s="1513"/>
      <c r="BE239" s="1513"/>
      <c r="BF239" s="1513"/>
      <c r="BG239" s="1513"/>
      <c r="BH239" s="1513"/>
      <c r="BI239" s="1513"/>
      <c r="BJ239" s="1513"/>
      <c r="BK239" s="1513"/>
      <c r="BL239" s="1513"/>
      <c r="BM239" s="1513"/>
      <c r="BN239" s="1513"/>
      <c r="BO239" s="1513"/>
      <c r="BP239" s="1513"/>
      <c r="BQ239" s="1513"/>
      <c r="BR239" s="1513"/>
      <c r="BS239" s="1513"/>
      <c r="BT239" s="1513"/>
      <c r="BU239" s="1513"/>
      <c r="BV239" s="1513"/>
      <c r="BW239" s="1513"/>
      <c r="BX239" s="1513"/>
      <c r="BY239" s="1513"/>
      <c r="BZ239" s="1513"/>
      <c r="CA239" s="1513"/>
      <c r="CB239" s="1513"/>
      <c r="CC239" s="1513"/>
      <c r="CD239" s="1513"/>
      <c r="CE239" s="1513"/>
      <c r="CF239" s="1513"/>
      <c r="CG239" s="1513"/>
      <c r="CH239" s="1513"/>
      <c r="CI239" s="1513"/>
      <c r="CJ239" s="1513"/>
      <c r="CK239" s="1513"/>
      <c r="CL239" s="1513"/>
      <c r="CM239" s="1513"/>
      <c r="CN239" s="1513"/>
      <c r="CO239" s="1513"/>
      <c r="CP239" s="1513"/>
      <c r="CQ239" s="1513"/>
      <c r="CR239" s="1513"/>
      <c r="CS239" s="1513"/>
      <c r="CT239" s="1513"/>
      <c r="CU239" s="1513"/>
      <c r="CV239" s="1513"/>
      <c r="CW239" s="1513"/>
      <c r="CX239" s="1513"/>
      <c r="CY239" s="1513"/>
      <c r="CZ239" s="1513"/>
      <c r="DA239" s="1513"/>
      <c r="DB239" s="1513"/>
      <c r="DC239" s="1513"/>
      <c r="DD239" s="1513"/>
      <c r="DE239" s="1513"/>
      <c r="DF239" s="1513"/>
      <c r="DG239" s="1513"/>
      <c r="DH239" s="1513"/>
      <c r="DI239" s="1513"/>
      <c r="DJ239" s="1513"/>
      <c r="DK239" s="1513"/>
      <c r="DL239" s="1513"/>
      <c r="DM239" s="1513"/>
      <c r="DN239" s="1513"/>
      <c r="DO239" s="1513"/>
      <c r="DP239" s="1513"/>
      <c r="DQ239" s="1513"/>
      <c r="DR239" s="1513"/>
      <c r="DS239" s="1513"/>
      <c r="DT239" s="1513"/>
      <c r="DU239" s="1513"/>
      <c r="DV239" s="1513"/>
      <c r="DW239" s="1513"/>
      <c r="DX239" s="1513"/>
      <c r="DY239" s="1513"/>
      <c r="DZ239" s="1513"/>
      <c r="EA239" s="1513"/>
      <c r="EB239" s="1513"/>
      <c r="EC239" s="1513"/>
      <c r="ED239" s="1513"/>
      <c r="EE239" s="1513"/>
      <c r="EF239" s="1513"/>
      <c r="EG239" s="1513"/>
      <c r="EH239" s="1513"/>
      <c r="EI239" s="1513"/>
      <c r="EJ239" s="1513"/>
      <c r="EK239" s="1513"/>
      <c r="EL239" s="1513"/>
      <c r="EM239" s="1513"/>
      <c r="EN239" s="1513"/>
      <c r="EO239" s="1513"/>
      <c r="EP239" s="1513"/>
      <c r="EQ239" s="1513"/>
      <c r="ER239" s="1513"/>
      <c r="ES239" s="1513"/>
      <c r="ET239" s="1513"/>
      <c r="EU239" s="1513"/>
      <c r="EV239" s="1513"/>
      <c r="EW239" s="1513"/>
      <c r="EX239" s="1513"/>
      <c r="EY239" s="1513"/>
      <c r="EZ239" s="1513"/>
      <c r="FA239" s="1513"/>
      <c r="FB239" s="1513"/>
      <c r="FC239" s="1513"/>
      <c r="FD239" s="1513"/>
      <c r="FE239" s="1513"/>
      <c r="FF239" s="1513"/>
      <c r="FG239" s="1513"/>
      <c r="FH239" s="1513"/>
      <c r="FI239" s="1513"/>
      <c r="FJ239" s="1513"/>
    </row>
    <row r="240" spans="1:166" ht="17.100000000000001" customHeight="1" x14ac:dyDescent="0.15">
      <c r="A240" s="1513"/>
      <c r="B240" s="1513"/>
      <c r="C240" s="1513"/>
      <c r="D240" s="1513"/>
      <c r="E240" s="1513"/>
      <c r="F240" s="1513"/>
      <c r="G240" s="1513"/>
      <c r="H240" s="1513"/>
      <c r="I240" s="1513"/>
      <c r="J240" s="1513"/>
      <c r="K240" s="1513"/>
      <c r="L240" s="1513"/>
      <c r="M240" s="1513"/>
      <c r="N240" s="1513"/>
      <c r="O240" s="1513"/>
      <c r="P240" s="1513"/>
      <c r="Q240" s="1513"/>
      <c r="R240" s="1513"/>
      <c r="S240" s="1513"/>
      <c r="T240" s="1513"/>
      <c r="U240" s="1513"/>
      <c r="V240" s="1513"/>
      <c r="W240" s="1513"/>
      <c r="X240" s="1513"/>
      <c r="Y240" s="1513"/>
      <c r="Z240" s="1513"/>
      <c r="AA240" s="1513"/>
      <c r="AB240" s="1513"/>
      <c r="AC240" s="1513"/>
      <c r="AD240" s="1513"/>
      <c r="AE240" s="1513"/>
      <c r="AF240" s="1513"/>
      <c r="AG240" s="1513"/>
      <c r="AH240" s="1513"/>
      <c r="AI240" s="1513"/>
      <c r="AJ240" s="1513"/>
      <c r="AK240" s="1513"/>
      <c r="AL240" s="1513"/>
      <c r="AM240" s="1513"/>
      <c r="AN240" s="1513"/>
      <c r="AO240" s="1513"/>
      <c r="AP240" s="1513"/>
      <c r="AQ240" s="1513"/>
      <c r="AR240" s="1513"/>
      <c r="AS240" s="1513"/>
      <c r="AT240" s="1513"/>
      <c r="AU240" s="1513"/>
      <c r="AV240" s="1513"/>
      <c r="AW240" s="1513"/>
      <c r="AX240" s="1513"/>
      <c r="AY240" s="1513"/>
      <c r="AZ240" s="1513"/>
      <c r="BA240" s="1513"/>
      <c r="BB240" s="1513"/>
      <c r="BC240" s="1513"/>
      <c r="BD240" s="1513"/>
      <c r="BE240" s="1513"/>
      <c r="BF240" s="1513"/>
      <c r="BG240" s="1513"/>
      <c r="BH240" s="1513"/>
      <c r="BI240" s="1513"/>
      <c r="BJ240" s="1513"/>
      <c r="BK240" s="1513"/>
      <c r="BL240" s="1513"/>
      <c r="BM240" s="1513"/>
      <c r="BN240" s="1513"/>
      <c r="BO240" s="1513"/>
      <c r="BP240" s="1513"/>
      <c r="BQ240" s="1513"/>
      <c r="BR240" s="1513"/>
      <c r="BS240" s="1513"/>
      <c r="BT240" s="1513"/>
      <c r="BU240" s="1513"/>
      <c r="BV240" s="1513"/>
      <c r="BW240" s="1513"/>
      <c r="BX240" s="1513"/>
      <c r="BY240" s="1513"/>
      <c r="BZ240" s="1513"/>
      <c r="CA240" s="1513"/>
      <c r="CB240" s="1513"/>
      <c r="CC240" s="1513"/>
      <c r="CD240" s="1513"/>
      <c r="CE240" s="1513"/>
      <c r="CF240" s="1513"/>
      <c r="CG240" s="1513"/>
      <c r="CH240" s="1513"/>
      <c r="CI240" s="1513"/>
      <c r="CJ240" s="1513"/>
      <c r="CK240" s="1513"/>
      <c r="CL240" s="1513"/>
      <c r="CM240" s="1513"/>
      <c r="CN240" s="1513"/>
      <c r="CO240" s="1513"/>
      <c r="CP240" s="1513"/>
      <c r="CQ240" s="1513"/>
      <c r="CR240" s="1513"/>
      <c r="CS240" s="1513"/>
      <c r="CT240" s="1513"/>
      <c r="CU240" s="1513"/>
      <c r="CV240" s="1513"/>
      <c r="CW240" s="1513"/>
      <c r="CX240" s="1513"/>
      <c r="CY240" s="1513"/>
      <c r="CZ240" s="1513"/>
      <c r="DA240" s="1513"/>
      <c r="DB240" s="1513"/>
      <c r="DC240" s="1513"/>
      <c r="DD240" s="1513"/>
      <c r="DE240" s="1513"/>
      <c r="DF240" s="1513"/>
      <c r="DG240" s="1513"/>
      <c r="DH240" s="1513"/>
      <c r="DI240" s="1513"/>
      <c r="DJ240" s="1513"/>
      <c r="DK240" s="1513"/>
      <c r="DL240" s="1513"/>
      <c r="DM240" s="1513"/>
      <c r="DN240" s="1513"/>
      <c r="DO240" s="1513"/>
      <c r="DP240" s="1513"/>
      <c r="DQ240" s="1513"/>
      <c r="DR240" s="1513"/>
      <c r="DS240" s="1513"/>
      <c r="DT240" s="1513"/>
      <c r="DU240" s="1513"/>
      <c r="DV240" s="1513"/>
      <c r="DW240" s="1513"/>
      <c r="DX240" s="1513"/>
      <c r="DY240" s="1513"/>
      <c r="DZ240" s="1513"/>
      <c r="EA240" s="1513"/>
      <c r="EB240" s="1513"/>
      <c r="EC240" s="1513"/>
      <c r="ED240" s="1513"/>
      <c r="EE240" s="1513"/>
      <c r="EF240" s="1513"/>
      <c r="EG240" s="1513"/>
      <c r="EH240" s="1513"/>
      <c r="EI240" s="1513"/>
      <c r="EJ240" s="1513"/>
      <c r="EK240" s="1513"/>
      <c r="EL240" s="1513"/>
      <c r="EM240" s="1513"/>
      <c r="EN240" s="1513"/>
      <c r="EO240" s="1513"/>
      <c r="EP240" s="1513"/>
      <c r="EQ240" s="1513"/>
      <c r="ER240" s="1513"/>
      <c r="ES240" s="1513"/>
      <c r="ET240" s="1513"/>
      <c r="EU240" s="1513"/>
      <c r="EV240" s="1513"/>
      <c r="EW240" s="1513"/>
      <c r="EX240" s="1513"/>
      <c r="EY240" s="1513"/>
      <c r="EZ240" s="1513"/>
      <c r="FA240" s="1513"/>
      <c r="FB240" s="1513"/>
      <c r="FC240" s="1513"/>
      <c r="FD240" s="1513"/>
      <c r="FE240" s="1513"/>
      <c r="FF240" s="1513"/>
      <c r="FG240" s="1513"/>
      <c r="FH240" s="1513"/>
      <c r="FI240" s="1513"/>
      <c r="FJ240" s="1513"/>
    </row>
    <row r="241" spans="1:166" ht="17.100000000000001" customHeight="1" x14ac:dyDescent="0.15">
      <c r="A241" s="1513"/>
      <c r="B241" s="1513"/>
      <c r="C241" s="1513"/>
      <c r="D241" s="1513"/>
      <c r="E241" s="1513"/>
      <c r="F241" s="1513"/>
      <c r="G241" s="1513"/>
      <c r="H241" s="1513"/>
      <c r="I241" s="1513"/>
      <c r="J241" s="1513"/>
      <c r="K241" s="1513"/>
      <c r="L241" s="1513"/>
      <c r="M241" s="1513"/>
      <c r="N241" s="1513"/>
      <c r="O241" s="1513"/>
      <c r="P241" s="1513"/>
      <c r="Q241" s="1513"/>
      <c r="R241" s="1513"/>
      <c r="S241" s="1513"/>
      <c r="T241" s="1513"/>
      <c r="U241" s="1513"/>
      <c r="V241" s="1513"/>
      <c r="W241" s="1513"/>
      <c r="X241" s="1513"/>
      <c r="Y241" s="1513"/>
      <c r="Z241" s="1513"/>
      <c r="AA241" s="1513"/>
      <c r="AB241" s="1513"/>
      <c r="AC241" s="1513"/>
      <c r="AD241" s="1513"/>
      <c r="AE241" s="1513"/>
      <c r="AF241" s="1513"/>
      <c r="AG241" s="1513"/>
      <c r="AH241" s="1513"/>
      <c r="AI241" s="1513"/>
      <c r="AJ241" s="1513"/>
      <c r="AK241" s="1513"/>
      <c r="AL241" s="1513"/>
      <c r="AM241" s="1513"/>
      <c r="AN241" s="1513"/>
      <c r="AO241" s="1513"/>
      <c r="AP241" s="1513"/>
      <c r="AQ241" s="1513"/>
      <c r="AR241" s="1513"/>
      <c r="AS241" s="1513"/>
      <c r="AT241" s="1513"/>
      <c r="AU241" s="1513"/>
      <c r="AV241" s="1513"/>
      <c r="AW241" s="1513"/>
      <c r="AX241" s="1513"/>
      <c r="AY241" s="1513"/>
      <c r="AZ241" s="1513"/>
      <c r="BA241" s="1513"/>
      <c r="BB241" s="1513"/>
      <c r="BC241" s="1513"/>
      <c r="BD241" s="1513"/>
      <c r="BE241" s="1513"/>
      <c r="BF241" s="1513"/>
      <c r="BG241" s="1513"/>
      <c r="BH241" s="1513"/>
      <c r="BI241" s="1513"/>
      <c r="BJ241" s="1513"/>
      <c r="BK241" s="1513"/>
      <c r="BL241" s="1513"/>
      <c r="BM241" s="1513"/>
      <c r="BN241" s="1513"/>
      <c r="BO241" s="1513"/>
      <c r="BP241" s="1513"/>
      <c r="BQ241" s="1513"/>
      <c r="BR241" s="1513"/>
      <c r="BS241" s="1513"/>
      <c r="BT241" s="1513"/>
      <c r="BU241" s="1513"/>
      <c r="BV241" s="1513"/>
      <c r="BW241" s="1513"/>
      <c r="BX241" s="1513"/>
      <c r="BY241" s="1513"/>
      <c r="BZ241" s="1513"/>
      <c r="CA241" s="1513"/>
      <c r="CB241" s="1513"/>
      <c r="CC241" s="1513"/>
      <c r="CD241" s="1513"/>
      <c r="CE241" s="1513"/>
      <c r="CF241" s="1513"/>
      <c r="CG241" s="1513"/>
      <c r="CH241" s="1513"/>
      <c r="CI241" s="1513"/>
      <c r="CJ241" s="1513"/>
      <c r="CK241" s="1513"/>
      <c r="CL241" s="1513"/>
      <c r="CM241" s="1513"/>
      <c r="CN241" s="1513"/>
      <c r="CO241" s="1513"/>
      <c r="CP241" s="1513"/>
      <c r="CQ241" s="1513"/>
      <c r="CR241" s="1513"/>
      <c r="CS241" s="1513"/>
      <c r="CT241" s="1513"/>
      <c r="CU241" s="1513"/>
      <c r="CV241" s="1513"/>
      <c r="CW241" s="1513"/>
      <c r="CX241" s="1513"/>
      <c r="CY241" s="1513"/>
      <c r="CZ241" s="1513"/>
      <c r="DA241" s="1513"/>
      <c r="DB241" s="1513"/>
      <c r="DC241" s="1513"/>
      <c r="DD241" s="1513"/>
      <c r="DE241" s="1513"/>
      <c r="DF241" s="1513"/>
      <c r="DG241" s="1513"/>
      <c r="DH241" s="1513"/>
      <c r="DI241" s="1513"/>
      <c r="DJ241" s="1513"/>
      <c r="DK241" s="1513"/>
      <c r="DL241" s="1513"/>
      <c r="DM241" s="1513"/>
      <c r="DN241" s="1513"/>
      <c r="DO241" s="1513"/>
      <c r="DP241" s="1513"/>
      <c r="DQ241" s="1513"/>
      <c r="DR241" s="1513"/>
      <c r="DS241" s="1513"/>
      <c r="DT241" s="1513"/>
      <c r="DU241" s="1513"/>
      <c r="DV241" s="1513"/>
      <c r="DW241" s="1513"/>
      <c r="DX241" s="1513"/>
      <c r="DY241" s="1513"/>
      <c r="DZ241" s="1513"/>
      <c r="EA241" s="1513"/>
      <c r="EB241" s="1513"/>
      <c r="EC241" s="1513"/>
      <c r="ED241" s="1513"/>
      <c r="EE241" s="1513"/>
      <c r="EF241" s="1513"/>
      <c r="EG241" s="1513"/>
      <c r="EH241" s="1513"/>
      <c r="EI241" s="1513"/>
      <c r="EJ241" s="1513"/>
      <c r="EK241" s="1513"/>
      <c r="EL241" s="1513"/>
      <c r="EM241" s="1513"/>
      <c r="EN241" s="1513"/>
      <c r="EO241" s="1513"/>
      <c r="EP241" s="1513"/>
      <c r="EQ241" s="1513"/>
      <c r="ER241" s="1513"/>
      <c r="ES241" s="1513"/>
      <c r="ET241" s="1513"/>
      <c r="EU241" s="1513"/>
      <c r="EV241" s="1513"/>
      <c r="EW241" s="1513"/>
      <c r="EX241" s="1513"/>
      <c r="EY241" s="1513"/>
      <c r="EZ241" s="1513"/>
      <c r="FA241" s="1513"/>
      <c r="FB241" s="1513"/>
      <c r="FC241" s="1513"/>
      <c r="FD241" s="1513"/>
      <c r="FE241" s="1513"/>
      <c r="FF241" s="1513"/>
      <c r="FG241" s="1513"/>
      <c r="FH241" s="1513"/>
      <c r="FI241" s="1513"/>
      <c r="FJ241" s="1513"/>
    </row>
    <row r="242" spans="1:166" ht="17.100000000000001" customHeight="1" x14ac:dyDescent="0.15">
      <c r="A242" s="1513"/>
      <c r="B242" s="1513"/>
      <c r="C242" s="1513"/>
      <c r="D242" s="1513"/>
      <c r="E242" s="1513"/>
      <c r="F242" s="1513"/>
      <c r="G242" s="1513"/>
      <c r="H242" s="1513"/>
      <c r="I242" s="1513"/>
      <c r="J242" s="1513"/>
      <c r="K242" s="1513"/>
      <c r="L242" s="1513"/>
      <c r="M242" s="1513"/>
      <c r="N242" s="1513"/>
      <c r="O242" s="1513"/>
      <c r="P242" s="1513"/>
      <c r="Q242" s="1513"/>
      <c r="R242" s="1513"/>
      <c r="S242" s="1513"/>
      <c r="T242" s="1513"/>
      <c r="U242" s="1513"/>
      <c r="V242" s="1513"/>
      <c r="W242" s="1513"/>
      <c r="X242" s="1513"/>
      <c r="Y242" s="1513"/>
      <c r="Z242" s="1513"/>
      <c r="AA242" s="1513"/>
      <c r="AB242" s="1513"/>
      <c r="AC242" s="1513"/>
      <c r="AD242" s="1513"/>
      <c r="AE242" s="1513"/>
      <c r="AF242" s="1513"/>
      <c r="AG242" s="1513"/>
      <c r="AH242" s="1513"/>
      <c r="AI242" s="1513"/>
      <c r="AJ242" s="1513"/>
      <c r="AK242" s="1513"/>
      <c r="AL242" s="1513"/>
      <c r="AM242" s="1513"/>
      <c r="AN242" s="1513"/>
      <c r="AO242" s="1513"/>
      <c r="AP242" s="1513"/>
      <c r="AQ242" s="1513"/>
      <c r="AR242" s="1513"/>
      <c r="AS242" s="1513"/>
      <c r="AT242" s="1513"/>
      <c r="AU242" s="1513"/>
      <c r="AV242" s="1513"/>
      <c r="AW242" s="1513"/>
      <c r="AX242" s="1513"/>
      <c r="AY242" s="1513"/>
      <c r="AZ242" s="1513"/>
      <c r="BA242" s="1513"/>
      <c r="BB242" s="1513"/>
      <c r="BC242" s="1513"/>
      <c r="BD242" s="1513"/>
      <c r="BE242" s="1513"/>
      <c r="BF242" s="1513"/>
      <c r="BG242" s="1513"/>
      <c r="BH242" s="1513"/>
      <c r="BI242" s="1513"/>
      <c r="BJ242" s="1513"/>
      <c r="BK242" s="1513"/>
      <c r="BL242" s="1513"/>
      <c r="BM242" s="1513"/>
      <c r="BN242" s="1513"/>
      <c r="BO242" s="1513"/>
      <c r="BP242" s="1513"/>
      <c r="BQ242" s="1513"/>
      <c r="BR242" s="1513"/>
      <c r="BS242" s="1513"/>
      <c r="BT242" s="1513"/>
      <c r="BU242" s="1513"/>
      <c r="BV242" s="1513"/>
      <c r="BW242" s="1513"/>
      <c r="BX242" s="1513"/>
      <c r="BY242" s="1513"/>
      <c r="BZ242" s="1513"/>
      <c r="CA242" s="1513"/>
      <c r="CB242" s="1513"/>
      <c r="CC242" s="1513"/>
      <c r="CD242" s="1513"/>
      <c r="CE242" s="1513"/>
      <c r="CF242" s="1513"/>
      <c r="CG242" s="1513"/>
      <c r="CH242" s="1513"/>
      <c r="CI242" s="1513"/>
      <c r="CJ242" s="1513"/>
      <c r="CK242" s="1513"/>
      <c r="CL242" s="1513"/>
      <c r="CM242" s="1513"/>
      <c r="CN242" s="1513"/>
      <c r="CO242" s="1513"/>
      <c r="CP242" s="1513"/>
      <c r="CQ242" s="1513"/>
      <c r="CR242" s="1513"/>
      <c r="CS242" s="1513"/>
      <c r="CT242" s="1513"/>
      <c r="CU242" s="1513"/>
      <c r="CV242" s="1513"/>
      <c r="CW242" s="1513"/>
      <c r="CX242" s="1513"/>
      <c r="CY242" s="1513"/>
      <c r="CZ242" s="1513"/>
      <c r="DA242" s="1513"/>
      <c r="DB242" s="1513"/>
      <c r="DC242" s="1513"/>
      <c r="DD242" s="1513"/>
      <c r="DE242" s="1513"/>
      <c r="DF242" s="1513"/>
      <c r="DG242" s="1513"/>
      <c r="DH242" s="1513"/>
      <c r="DI242" s="1513"/>
      <c r="DJ242" s="1513"/>
      <c r="DK242" s="1513"/>
      <c r="DL242" s="1513"/>
      <c r="DM242" s="1513"/>
      <c r="DN242" s="1513"/>
      <c r="DO242" s="1513"/>
      <c r="DP242" s="1513"/>
      <c r="DQ242" s="1513"/>
      <c r="DR242" s="1513"/>
      <c r="DS242" s="1513"/>
      <c r="DT242" s="1513"/>
      <c r="DU242" s="1513"/>
      <c r="DV242" s="1513"/>
      <c r="DW242" s="1513"/>
      <c r="DX242" s="1513"/>
      <c r="DY242" s="1513"/>
      <c r="DZ242" s="1513"/>
      <c r="EA242" s="1513"/>
      <c r="EB242" s="1513"/>
      <c r="EC242" s="1513"/>
      <c r="ED242" s="1513"/>
      <c r="EE242" s="1513"/>
      <c r="EF242" s="1513"/>
      <c r="EG242" s="1513"/>
      <c r="EH242" s="1513"/>
      <c r="EI242" s="1513"/>
      <c r="EJ242" s="1513"/>
      <c r="EK242" s="1513"/>
      <c r="EL242" s="1513"/>
      <c r="EM242" s="1513"/>
      <c r="EN242" s="1513"/>
      <c r="EO242" s="1513"/>
      <c r="EP242" s="1513"/>
      <c r="EQ242" s="1513"/>
      <c r="ER242" s="1513"/>
      <c r="ES242" s="1513"/>
      <c r="ET242" s="1513"/>
      <c r="EU242" s="1513"/>
      <c r="EV242" s="1513"/>
      <c r="EW242" s="1513"/>
      <c r="EX242" s="1513"/>
      <c r="EY242" s="1513"/>
      <c r="EZ242" s="1513"/>
      <c r="FA242" s="1513"/>
      <c r="FB242" s="1513"/>
      <c r="FC242" s="1513"/>
      <c r="FD242" s="1513"/>
      <c r="FE242" s="1513"/>
      <c r="FF242" s="1513"/>
      <c r="FG242" s="1513"/>
      <c r="FH242" s="1513"/>
      <c r="FI242" s="1513"/>
      <c r="FJ242" s="1513"/>
    </row>
    <row r="243" spans="1:166" ht="17.100000000000001" customHeight="1" x14ac:dyDescent="0.15">
      <c r="A243" s="1513"/>
      <c r="B243" s="1513"/>
      <c r="C243" s="1513"/>
      <c r="D243" s="1513"/>
      <c r="E243" s="1513"/>
      <c r="F243" s="1513"/>
      <c r="G243" s="1513"/>
      <c r="H243" s="1513"/>
      <c r="I243" s="1513"/>
      <c r="J243" s="1513"/>
      <c r="K243" s="1513"/>
      <c r="L243" s="1513"/>
      <c r="M243" s="1513"/>
      <c r="N243" s="1513"/>
      <c r="O243" s="1513"/>
      <c r="P243" s="1513"/>
      <c r="Q243" s="1513"/>
      <c r="R243" s="1513"/>
      <c r="S243" s="1513"/>
      <c r="T243" s="1513"/>
      <c r="U243" s="1513"/>
      <c r="V243" s="1513"/>
      <c r="W243" s="1513"/>
      <c r="X243" s="1513"/>
      <c r="Y243" s="1513"/>
      <c r="Z243" s="1513"/>
      <c r="AA243" s="1513"/>
      <c r="AB243" s="1513"/>
      <c r="AC243" s="1513"/>
      <c r="AD243" s="1513"/>
      <c r="AE243" s="1513"/>
      <c r="AF243" s="1513"/>
      <c r="AG243" s="1513"/>
      <c r="AH243" s="1513"/>
      <c r="AI243" s="1513"/>
      <c r="AJ243" s="1513"/>
      <c r="AK243" s="1513"/>
      <c r="AL243" s="1513"/>
      <c r="AM243" s="1513"/>
      <c r="AN243" s="1513"/>
      <c r="AO243" s="1513"/>
      <c r="AP243" s="1513"/>
      <c r="AQ243" s="1513"/>
      <c r="AR243" s="1513"/>
      <c r="AS243" s="1513"/>
      <c r="AT243" s="1513"/>
      <c r="AU243" s="1513"/>
      <c r="AV243" s="1513"/>
      <c r="AW243" s="1513"/>
      <c r="AX243" s="1513"/>
      <c r="AY243" s="1513"/>
      <c r="AZ243" s="1513"/>
      <c r="BA243" s="1513"/>
      <c r="BB243" s="1513"/>
      <c r="BC243" s="1513"/>
      <c r="BD243" s="1513"/>
      <c r="BE243" s="1513"/>
      <c r="BF243" s="1513"/>
      <c r="BG243" s="1513"/>
      <c r="BH243" s="1513"/>
      <c r="BI243" s="1513"/>
      <c r="BJ243" s="1513"/>
      <c r="BK243" s="1513"/>
      <c r="BL243" s="1513"/>
      <c r="BM243" s="1513"/>
      <c r="BN243" s="1513"/>
      <c r="BO243" s="1513"/>
      <c r="BP243" s="1513"/>
      <c r="BQ243" s="1513"/>
      <c r="BR243" s="1513"/>
      <c r="BS243" s="1513"/>
      <c r="BT243" s="1513"/>
      <c r="BU243" s="1513"/>
      <c r="BV243" s="1513"/>
      <c r="BW243" s="1513"/>
      <c r="BX243" s="1513"/>
      <c r="BY243" s="1513"/>
      <c r="BZ243" s="1513"/>
      <c r="CA243" s="1513"/>
      <c r="CB243" s="1513"/>
      <c r="CC243" s="1513"/>
      <c r="CD243" s="1513"/>
      <c r="CE243" s="1513"/>
      <c r="CF243" s="1513"/>
      <c r="CG243" s="1513"/>
      <c r="CH243" s="1513"/>
      <c r="CI243" s="1513"/>
      <c r="CJ243" s="1513"/>
      <c r="CK243" s="1513"/>
      <c r="CL243" s="1513"/>
      <c r="CM243" s="1513"/>
      <c r="CN243" s="1513"/>
      <c r="CO243" s="1513"/>
      <c r="CP243" s="1513"/>
      <c r="CQ243" s="1513"/>
      <c r="CR243" s="1513"/>
      <c r="CS243" s="1513"/>
      <c r="CT243" s="1513"/>
      <c r="CU243" s="1513"/>
      <c r="CV243" s="1513"/>
      <c r="CW243" s="1513"/>
      <c r="CX243" s="1513"/>
      <c r="CY243" s="1513"/>
      <c r="CZ243" s="1513"/>
      <c r="DA243" s="1513"/>
      <c r="DB243" s="1513"/>
      <c r="DC243" s="1513"/>
      <c r="DD243" s="1513"/>
      <c r="DE243" s="1513"/>
      <c r="DF243" s="1513"/>
      <c r="DG243" s="1513"/>
      <c r="DH243" s="1513"/>
      <c r="DI243" s="1513"/>
      <c r="DJ243" s="1513"/>
      <c r="DK243" s="1513"/>
      <c r="DL243" s="1513"/>
      <c r="DM243" s="1513"/>
      <c r="DN243" s="1513"/>
      <c r="DO243" s="1513"/>
      <c r="DP243" s="1513"/>
      <c r="DQ243" s="1513"/>
      <c r="DR243" s="1513"/>
      <c r="DS243" s="1513"/>
      <c r="DT243" s="1513"/>
      <c r="DU243" s="1513"/>
      <c r="DV243" s="1513"/>
      <c r="DW243" s="1513"/>
      <c r="DX243" s="1513"/>
      <c r="DY243" s="1513"/>
      <c r="DZ243" s="1513"/>
      <c r="EA243" s="1513"/>
      <c r="EB243" s="1513"/>
      <c r="EC243" s="1513"/>
      <c r="ED243" s="1513"/>
      <c r="EE243" s="1513"/>
      <c r="EF243" s="1513"/>
      <c r="EG243" s="1513"/>
      <c r="EH243" s="1513"/>
      <c r="EI243" s="1513"/>
      <c r="EJ243" s="1513"/>
      <c r="EK243" s="1513"/>
      <c r="EL243" s="1513"/>
      <c r="EM243" s="1513"/>
      <c r="EN243" s="1513"/>
      <c r="EO243" s="1513"/>
      <c r="EP243" s="1513"/>
      <c r="EQ243" s="1513"/>
      <c r="ER243" s="1513"/>
      <c r="ES243" s="1513"/>
      <c r="ET243" s="1513"/>
      <c r="EU243" s="1513"/>
      <c r="EV243" s="1513"/>
      <c r="EW243" s="1513"/>
      <c r="EX243" s="1513"/>
      <c r="EY243" s="1513"/>
      <c r="EZ243" s="1513"/>
      <c r="FA243" s="1513"/>
      <c r="FB243" s="1513"/>
      <c r="FC243" s="1513"/>
      <c r="FD243" s="1513"/>
      <c r="FE243" s="1513"/>
      <c r="FF243" s="1513"/>
      <c r="FG243" s="1513"/>
      <c r="FH243" s="1513"/>
      <c r="FI243" s="1513"/>
      <c r="FJ243" s="1513"/>
    </row>
    <row r="244" spans="1:166" ht="17.100000000000001" customHeight="1" x14ac:dyDescent="0.15">
      <c r="A244" s="1513"/>
      <c r="B244" s="1513"/>
      <c r="C244" s="1513"/>
      <c r="D244" s="1513"/>
      <c r="E244" s="1513"/>
      <c r="F244" s="1513"/>
      <c r="G244" s="1513"/>
      <c r="H244" s="1513"/>
      <c r="I244" s="1513"/>
      <c r="J244" s="1513"/>
      <c r="K244" s="1513"/>
      <c r="L244" s="1513"/>
      <c r="M244" s="1513"/>
      <c r="N244" s="1513"/>
      <c r="O244" s="1513"/>
      <c r="P244" s="1513"/>
      <c r="Q244" s="1513"/>
      <c r="R244" s="1513"/>
      <c r="S244" s="1513"/>
      <c r="T244" s="1513"/>
      <c r="U244" s="1513"/>
      <c r="V244" s="1513"/>
      <c r="W244" s="1513"/>
      <c r="X244" s="1513"/>
      <c r="Y244" s="1513"/>
      <c r="Z244" s="1513"/>
      <c r="AA244" s="1513"/>
      <c r="AB244" s="1513"/>
      <c r="AC244" s="1513"/>
      <c r="AD244" s="1513"/>
      <c r="AE244" s="1513"/>
      <c r="AF244" s="1513"/>
      <c r="AG244" s="1513"/>
      <c r="AH244" s="1513"/>
      <c r="AI244" s="1513"/>
      <c r="AJ244" s="1513"/>
      <c r="AK244" s="1513"/>
      <c r="AL244" s="1513"/>
      <c r="AM244" s="1513"/>
      <c r="AN244" s="1513"/>
      <c r="AO244" s="1513"/>
      <c r="AP244" s="1513"/>
      <c r="AQ244" s="1513"/>
      <c r="AR244" s="1513"/>
      <c r="AS244" s="1513"/>
      <c r="AT244" s="1513"/>
      <c r="AU244" s="1513"/>
      <c r="AV244" s="1513"/>
      <c r="AW244" s="1513"/>
      <c r="AX244" s="1513"/>
      <c r="AY244" s="1513"/>
      <c r="AZ244" s="1513"/>
      <c r="BA244" s="1513"/>
      <c r="BB244" s="1513"/>
      <c r="BC244" s="1513"/>
      <c r="BD244" s="1513"/>
      <c r="BE244" s="1513"/>
      <c r="BF244" s="1513"/>
      <c r="BG244" s="1513"/>
      <c r="BH244" s="1513"/>
      <c r="BI244" s="1513"/>
      <c r="BJ244" s="1513"/>
      <c r="BK244" s="1513"/>
      <c r="BL244" s="1513"/>
      <c r="BM244" s="1513"/>
      <c r="BN244" s="1513"/>
      <c r="BO244" s="1513"/>
      <c r="BP244" s="1513"/>
      <c r="BQ244" s="1513"/>
      <c r="BR244" s="1513"/>
      <c r="BS244" s="1513"/>
      <c r="BT244" s="1513"/>
      <c r="BU244" s="1513"/>
      <c r="BV244" s="1513"/>
      <c r="BW244" s="1513"/>
      <c r="BX244" s="1513"/>
      <c r="BY244" s="1513"/>
      <c r="BZ244" s="1513"/>
      <c r="CA244" s="1513"/>
      <c r="CB244" s="1513"/>
      <c r="CC244" s="1513"/>
      <c r="CD244" s="1513"/>
      <c r="CE244" s="1513"/>
      <c r="CF244" s="1513"/>
      <c r="CG244" s="1513"/>
      <c r="CH244" s="1513"/>
      <c r="CI244" s="1513"/>
      <c r="CJ244" s="1513"/>
      <c r="CK244" s="1513"/>
      <c r="CL244" s="1513"/>
      <c r="CM244" s="1513"/>
      <c r="CN244" s="1513"/>
      <c r="CO244" s="1513"/>
      <c r="CP244" s="1513"/>
      <c r="CQ244" s="1513"/>
      <c r="CR244" s="1513"/>
      <c r="CS244" s="1513"/>
      <c r="CT244" s="1513"/>
      <c r="CU244" s="1513"/>
      <c r="CV244" s="1513"/>
      <c r="CW244" s="1513"/>
      <c r="CX244" s="1513"/>
      <c r="CY244" s="1513"/>
      <c r="CZ244" s="1513"/>
      <c r="DA244" s="1513"/>
      <c r="DB244" s="1513"/>
      <c r="DC244" s="1513"/>
      <c r="DD244" s="1513"/>
      <c r="DE244" s="1513"/>
      <c r="DF244" s="1513"/>
      <c r="DG244" s="1513"/>
      <c r="DH244" s="1513"/>
      <c r="DI244" s="1513"/>
      <c r="DJ244" s="1513"/>
      <c r="DK244" s="1513"/>
      <c r="DL244" s="1513"/>
      <c r="DM244" s="1513"/>
      <c r="DN244" s="1513"/>
      <c r="DO244" s="1513"/>
      <c r="DP244" s="1513"/>
      <c r="DQ244" s="1513"/>
      <c r="DR244" s="1513"/>
      <c r="DS244" s="1513"/>
      <c r="DT244" s="1513"/>
      <c r="DU244" s="1513"/>
      <c r="DV244" s="1513"/>
      <c r="DW244" s="1513"/>
      <c r="DX244" s="1513"/>
      <c r="DY244" s="1513"/>
      <c r="DZ244" s="1513"/>
      <c r="EA244" s="1513"/>
      <c r="EB244" s="1513"/>
      <c r="EC244" s="1513"/>
      <c r="ED244" s="1513"/>
      <c r="EE244" s="1513"/>
      <c r="EF244" s="1513"/>
      <c r="EG244" s="1513"/>
      <c r="EH244" s="1513"/>
      <c r="EI244" s="1513"/>
      <c r="EJ244" s="1513"/>
      <c r="EK244" s="1513"/>
      <c r="EL244" s="1513"/>
      <c r="EM244" s="1513"/>
      <c r="EN244" s="1513"/>
      <c r="EO244" s="1513"/>
      <c r="EP244" s="1513"/>
      <c r="EQ244" s="1513"/>
      <c r="ER244" s="1513"/>
      <c r="ES244" s="1513"/>
      <c r="ET244" s="1513"/>
      <c r="EU244" s="1513"/>
      <c r="EV244" s="1513"/>
      <c r="EW244" s="1513"/>
      <c r="EX244" s="1513"/>
      <c r="EY244" s="1513"/>
      <c r="EZ244" s="1513"/>
      <c r="FA244" s="1513"/>
      <c r="FB244" s="1513"/>
      <c r="FC244" s="1513"/>
      <c r="FD244" s="1513"/>
      <c r="FE244" s="1513"/>
      <c r="FF244" s="1513"/>
      <c r="FG244" s="1513"/>
      <c r="FH244" s="1513"/>
      <c r="FI244" s="1513"/>
      <c r="FJ244" s="1513"/>
    </row>
    <row r="245" spans="1:166" ht="17.100000000000001" customHeight="1" x14ac:dyDescent="0.15">
      <c r="A245" s="1513"/>
      <c r="B245" s="1513"/>
      <c r="C245" s="1513"/>
      <c r="D245" s="1513"/>
      <c r="E245" s="1513"/>
      <c r="F245" s="1513"/>
      <c r="G245" s="1513"/>
      <c r="H245" s="1513"/>
      <c r="I245" s="1513"/>
      <c r="J245" s="1513"/>
      <c r="K245" s="1513"/>
      <c r="L245" s="1513"/>
      <c r="M245" s="1513"/>
      <c r="N245" s="1513"/>
      <c r="O245" s="1513"/>
      <c r="P245" s="1513"/>
      <c r="Q245" s="1513"/>
      <c r="R245" s="1513"/>
      <c r="S245" s="1513"/>
      <c r="T245" s="1513"/>
      <c r="U245" s="1513"/>
      <c r="V245" s="1513"/>
      <c r="W245" s="1513"/>
      <c r="X245" s="1513"/>
      <c r="Y245" s="1513"/>
      <c r="Z245" s="1513"/>
      <c r="AA245" s="1513"/>
      <c r="AB245" s="1513"/>
      <c r="AC245" s="1513"/>
      <c r="AD245" s="1513"/>
      <c r="AE245" s="1513"/>
      <c r="AF245" s="1513"/>
      <c r="AG245" s="1513"/>
      <c r="AH245" s="1513"/>
      <c r="AI245" s="1513"/>
      <c r="AJ245" s="1513"/>
      <c r="AK245" s="1513"/>
      <c r="AL245" s="1513"/>
      <c r="AM245" s="1513"/>
      <c r="AN245" s="1513"/>
      <c r="AO245" s="1513"/>
      <c r="AP245" s="1513"/>
      <c r="AQ245" s="1513"/>
      <c r="AR245" s="1513"/>
      <c r="AS245" s="1513"/>
      <c r="AT245" s="1513"/>
      <c r="AU245" s="1513"/>
      <c r="AV245" s="1513"/>
      <c r="AW245" s="1513"/>
      <c r="AX245" s="1513"/>
      <c r="AY245" s="1513"/>
      <c r="AZ245" s="1513"/>
      <c r="BA245" s="1513"/>
      <c r="BB245" s="1513"/>
      <c r="BC245" s="1513"/>
      <c r="BD245" s="1513"/>
      <c r="BE245" s="1513"/>
      <c r="BF245" s="1513"/>
      <c r="BG245" s="1513"/>
      <c r="BH245" s="1513"/>
      <c r="BI245" s="1513"/>
      <c r="BJ245" s="1513"/>
      <c r="BK245" s="1513"/>
      <c r="BL245" s="1513"/>
      <c r="BM245" s="1513"/>
      <c r="BN245" s="1513"/>
      <c r="BO245" s="1513"/>
      <c r="BP245" s="1513"/>
      <c r="BQ245" s="1513"/>
      <c r="BR245" s="1513"/>
      <c r="BS245" s="1513"/>
      <c r="BT245" s="1513"/>
      <c r="BU245" s="1513"/>
      <c r="BV245" s="1513"/>
      <c r="BW245" s="1513"/>
      <c r="BX245" s="1513"/>
      <c r="BY245" s="1513"/>
      <c r="BZ245" s="1513"/>
      <c r="CA245" s="1513"/>
      <c r="CB245" s="1513"/>
      <c r="CC245" s="1513"/>
      <c r="CD245" s="1513"/>
      <c r="CE245" s="1513"/>
      <c r="CF245" s="1513"/>
      <c r="CG245" s="1513"/>
      <c r="CH245" s="1513"/>
      <c r="CI245" s="1513"/>
      <c r="CJ245" s="1513"/>
      <c r="CK245" s="1513"/>
      <c r="CL245" s="1513"/>
      <c r="CM245" s="1513"/>
      <c r="CN245" s="1513"/>
      <c r="CO245" s="1513"/>
      <c r="CP245" s="1513"/>
      <c r="CQ245" s="1513"/>
      <c r="CR245" s="1513"/>
      <c r="CS245" s="1513"/>
      <c r="CT245" s="1513"/>
      <c r="CU245" s="1513"/>
      <c r="CV245" s="1513"/>
      <c r="CW245" s="1513"/>
      <c r="CX245" s="1513"/>
      <c r="CY245" s="1513"/>
      <c r="CZ245" s="1513"/>
      <c r="DA245" s="1513"/>
      <c r="DB245" s="1513"/>
      <c r="DC245" s="1513"/>
      <c r="DD245" s="1513"/>
      <c r="DE245" s="1513"/>
      <c r="DF245" s="1513"/>
      <c r="DG245" s="1513"/>
      <c r="DH245" s="1513"/>
      <c r="DI245" s="1513"/>
      <c r="DJ245" s="1513"/>
      <c r="DK245" s="1513"/>
      <c r="DL245" s="1513"/>
      <c r="DM245" s="1513"/>
      <c r="DN245" s="1513"/>
      <c r="DO245" s="1513"/>
      <c r="DP245" s="1513"/>
      <c r="DQ245" s="1513"/>
      <c r="DR245" s="1513"/>
      <c r="DS245" s="1513"/>
      <c r="DT245" s="1513"/>
      <c r="DU245" s="1513"/>
      <c r="DV245" s="1513"/>
      <c r="DW245" s="1513"/>
      <c r="DX245" s="1513"/>
      <c r="DY245" s="1513"/>
      <c r="DZ245" s="1513"/>
      <c r="EA245" s="1513"/>
      <c r="EB245" s="1513"/>
      <c r="EC245" s="1513"/>
      <c r="ED245" s="1513"/>
      <c r="EE245" s="1513"/>
      <c r="EF245" s="1513"/>
      <c r="EG245" s="1513"/>
      <c r="EH245" s="1513"/>
      <c r="EI245" s="1513"/>
      <c r="EJ245" s="1513"/>
      <c r="EK245" s="1513"/>
      <c r="EL245" s="1513"/>
      <c r="EM245" s="1513"/>
      <c r="EN245" s="1513"/>
      <c r="EO245" s="1513"/>
      <c r="EP245" s="1513"/>
      <c r="EQ245" s="1513"/>
      <c r="ER245" s="1513"/>
      <c r="ES245" s="1513"/>
      <c r="ET245" s="1513"/>
      <c r="EU245" s="1513"/>
      <c r="EV245" s="1513"/>
      <c r="EW245" s="1513"/>
      <c r="EX245" s="1513"/>
      <c r="EY245" s="1513"/>
      <c r="EZ245" s="1513"/>
      <c r="FA245" s="1513"/>
      <c r="FB245" s="1513"/>
      <c r="FC245" s="1513"/>
      <c r="FD245" s="1513"/>
      <c r="FE245" s="1513"/>
      <c r="FF245" s="1513"/>
      <c r="FG245" s="1513"/>
      <c r="FH245" s="1513"/>
      <c r="FI245" s="1513"/>
      <c r="FJ245" s="1513"/>
    </row>
    <row r="246" spans="1:166" ht="17.100000000000001" customHeight="1" x14ac:dyDescent="0.15">
      <c r="A246" s="1513"/>
      <c r="B246" s="1513"/>
      <c r="C246" s="1513"/>
      <c r="D246" s="1513"/>
      <c r="E246" s="1513"/>
      <c r="F246" s="1513"/>
      <c r="G246" s="1513"/>
      <c r="H246" s="1513"/>
      <c r="I246" s="1513"/>
      <c r="J246" s="1513"/>
      <c r="K246" s="1513"/>
      <c r="L246" s="1513"/>
      <c r="M246" s="1513"/>
      <c r="N246" s="1513"/>
      <c r="O246" s="1513"/>
      <c r="P246" s="1513"/>
      <c r="Q246" s="1513"/>
      <c r="R246" s="1513"/>
      <c r="S246" s="1513"/>
      <c r="T246" s="1513"/>
      <c r="U246" s="1513"/>
      <c r="V246" s="1513"/>
      <c r="W246" s="1513"/>
      <c r="X246" s="1513"/>
      <c r="Y246" s="1513"/>
      <c r="Z246" s="1513"/>
      <c r="AA246" s="1513"/>
      <c r="AB246" s="1513"/>
      <c r="AC246" s="1513"/>
      <c r="AD246" s="1513"/>
      <c r="AE246" s="1513"/>
      <c r="AF246" s="1513"/>
      <c r="AG246" s="1513"/>
      <c r="AH246" s="1513"/>
      <c r="AI246" s="1513"/>
      <c r="AJ246" s="1513"/>
      <c r="AK246" s="1513"/>
      <c r="AL246" s="1513"/>
      <c r="AM246" s="1513"/>
      <c r="AN246" s="1513"/>
      <c r="AO246" s="1513"/>
      <c r="AP246" s="1513"/>
      <c r="AQ246" s="1513"/>
      <c r="AR246" s="1513"/>
      <c r="AS246" s="1513"/>
      <c r="AT246" s="1513"/>
      <c r="AU246" s="1513"/>
      <c r="AV246" s="1513"/>
      <c r="AW246" s="1513"/>
      <c r="AX246" s="1513"/>
      <c r="AY246" s="1513"/>
      <c r="AZ246" s="1513"/>
      <c r="BA246" s="1513"/>
      <c r="BB246" s="1513"/>
      <c r="BC246" s="1513"/>
      <c r="BD246" s="1513"/>
      <c r="BE246" s="1513"/>
      <c r="BF246" s="1513"/>
      <c r="BG246" s="1513"/>
      <c r="BH246" s="1513"/>
      <c r="BI246" s="1513"/>
      <c r="BJ246" s="1513"/>
      <c r="BK246" s="1513"/>
      <c r="BL246" s="1513"/>
      <c r="BM246" s="1513"/>
      <c r="BN246" s="1513"/>
      <c r="BO246" s="1513"/>
      <c r="BP246" s="1513"/>
      <c r="BQ246" s="1513"/>
      <c r="BR246" s="1513"/>
      <c r="BS246" s="1513"/>
      <c r="BT246" s="1513"/>
      <c r="BU246" s="1513"/>
      <c r="BV246" s="1513"/>
      <c r="BW246" s="1513"/>
      <c r="BX246" s="1513"/>
      <c r="BY246" s="1513"/>
      <c r="BZ246" s="1513"/>
      <c r="CA246" s="1513"/>
      <c r="CB246" s="1513"/>
      <c r="CC246" s="1513"/>
      <c r="CD246" s="1513"/>
      <c r="CE246" s="1513"/>
      <c r="CF246" s="1513"/>
      <c r="CG246" s="1513"/>
      <c r="CH246" s="1513"/>
      <c r="CI246" s="1513"/>
      <c r="CJ246" s="1513"/>
      <c r="CK246" s="1513"/>
      <c r="CL246" s="1513"/>
      <c r="CM246" s="1513"/>
      <c r="CN246" s="1513"/>
      <c r="CO246" s="1513"/>
      <c r="CP246" s="1513"/>
      <c r="CQ246" s="1513"/>
      <c r="CR246" s="1513"/>
      <c r="CS246" s="1513"/>
      <c r="CT246" s="1513"/>
      <c r="CU246" s="1513"/>
      <c r="CV246" s="1513"/>
      <c r="CW246" s="1513"/>
      <c r="CX246" s="1513"/>
      <c r="CY246" s="1513"/>
      <c r="CZ246" s="1513"/>
      <c r="DA246" s="1513"/>
      <c r="DB246" s="1513"/>
      <c r="DC246" s="1513"/>
      <c r="DD246" s="1513"/>
      <c r="DE246" s="1513"/>
      <c r="DF246" s="1513"/>
      <c r="DG246" s="1513"/>
      <c r="DH246" s="1513"/>
      <c r="DI246" s="1513"/>
      <c r="DJ246" s="1513"/>
      <c r="DK246" s="1513"/>
      <c r="DL246" s="1513"/>
      <c r="DM246" s="1513"/>
      <c r="DN246" s="1513"/>
      <c r="DO246" s="1513"/>
      <c r="DP246" s="1513"/>
      <c r="DQ246" s="1513"/>
      <c r="DR246" s="1513"/>
      <c r="DS246" s="1513"/>
      <c r="DT246" s="1513"/>
      <c r="DU246" s="1513"/>
      <c r="DV246" s="1513"/>
      <c r="DW246" s="1513"/>
      <c r="DX246" s="1513"/>
      <c r="DY246" s="1513"/>
      <c r="DZ246" s="1513"/>
      <c r="EA246" s="1513"/>
      <c r="EB246" s="1513"/>
      <c r="EC246" s="1513"/>
      <c r="ED246" s="1513"/>
      <c r="EE246" s="1513"/>
      <c r="EF246" s="1513"/>
      <c r="EG246" s="1513"/>
      <c r="EH246" s="1513"/>
      <c r="EI246" s="1513"/>
      <c r="EJ246" s="1513"/>
      <c r="EK246" s="1513"/>
      <c r="EL246" s="1513"/>
      <c r="EM246" s="1513"/>
      <c r="EN246" s="1513"/>
      <c r="EO246" s="1513"/>
      <c r="EP246" s="1513"/>
      <c r="EQ246" s="1513"/>
      <c r="ER246" s="1513"/>
      <c r="ES246" s="1513"/>
      <c r="ET246" s="1513"/>
      <c r="EU246" s="1513"/>
      <c r="EV246" s="1513"/>
      <c r="EW246" s="1513"/>
      <c r="EX246" s="1513"/>
      <c r="EY246" s="1513"/>
      <c r="EZ246" s="1513"/>
      <c r="FA246" s="1513"/>
      <c r="FB246" s="1513"/>
      <c r="FC246" s="1513"/>
      <c r="FD246" s="1513"/>
      <c r="FE246" s="1513"/>
      <c r="FF246" s="1513"/>
      <c r="FG246" s="1513"/>
      <c r="FH246" s="1513"/>
      <c r="FI246" s="1513"/>
      <c r="FJ246" s="1513"/>
    </row>
    <row r="247" spans="1:166" ht="17.100000000000001" customHeight="1" x14ac:dyDescent="0.15">
      <c r="A247" s="1513"/>
      <c r="B247" s="1513"/>
      <c r="C247" s="1513"/>
      <c r="D247" s="1513"/>
      <c r="E247" s="1513"/>
      <c r="F247" s="1513"/>
      <c r="G247" s="1513"/>
      <c r="H247" s="1513"/>
      <c r="I247" s="1513"/>
      <c r="J247" s="1513"/>
      <c r="K247" s="1513"/>
      <c r="L247" s="1513"/>
      <c r="M247" s="1513"/>
      <c r="N247" s="1513"/>
      <c r="O247" s="1513"/>
      <c r="P247" s="1513"/>
      <c r="Q247" s="1513"/>
      <c r="R247" s="1513"/>
      <c r="S247" s="1513"/>
      <c r="T247" s="1513"/>
      <c r="U247" s="1513"/>
      <c r="V247" s="1513"/>
      <c r="W247" s="1513"/>
      <c r="X247" s="1513"/>
      <c r="Y247" s="1513"/>
      <c r="Z247" s="1513"/>
      <c r="AA247" s="1513"/>
      <c r="AB247" s="1513"/>
      <c r="AC247" s="1513"/>
      <c r="AD247" s="1513"/>
      <c r="AE247" s="1513"/>
      <c r="AF247" s="1513"/>
      <c r="AG247" s="1513"/>
      <c r="AH247" s="1513"/>
      <c r="AI247" s="1513"/>
      <c r="AJ247" s="1513"/>
      <c r="AK247" s="1513"/>
      <c r="AL247" s="1513"/>
      <c r="AM247" s="1513"/>
      <c r="AN247" s="1513"/>
      <c r="AO247" s="1513"/>
      <c r="AP247" s="1513"/>
      <c r="AQ247" s="1513"/>
      <c r="AR247" s="1513"/>
      <c r="AS247" s="1513"/>
      <c r="AT247" s="1513"/>
      <c r="AU247" s="1513"/>
      <c r="AV247" s="1513"/>
      <c r="AW247" s="1513"/>
      <c r="AX247" s="1513"/>
      <c r="AY247" s="1513"/>
      <c r="AZ247" s="1513"/>
      <c r="BA247" s="1513"/>
      <c r="BB247" s="1513"/>
      <c r="BC247" s="1513"/>
      <c r="BD247" s="1513"/>
      <c r="BE247" s="1513"/>
      <c r="BF247" s="1513"/>
      <c r="BG247" s="1513"/>
      <c r="BH247" s="1513"/>
      <c r="BI247" s="1513"/>
      <c r="BJ247" s="1513"/>
      <c r="BK247" s="1513"/>
      <c r="BL247" s="1513"/>
      <c r="BM247" s="1513"/>
      <c r="BN247" s="1513"/>
      <c r="BO247" s="1513"/>
      <c r="BP247" s="1513"/>
      <c r="BQ247" s="1513"/>
      <c r="BR247" s="1513"/>
      <c r="BS247" s="1513"/>
      <c r="BT247" s="1513"/>
      <c r="BU247" s="1513"/>
      <c r="BV247" s="1513"/>
      <c r="BW247" s="1513"/>
      <c r="BX247" s="1513"/>
      <c r="BY247" s="1513"/>
      <c r="BZ247" s="1513"/>
      <c r="CA247" s="1513"/>
      <c r="CB247" s="1513"/>
      <c r="CC247" s="1513"/>
      <c r="CD247" s="1513"/>
      <c r="CE247" s="1513"/>
      <c r="CF247" s="1513"/>
      <c r="CG247" s="1513"/>
      <c r="CH247" s="1513"/>
      <c r="CI247" s="1513"/>
      <c r="CJ247" s="1513"/>
      <c r="CK247" s="1513"/>
      <c r="CL247" s="1513"/>
      <c r="CM247" s="1513"/>
      <c r="CN247" s="1513"/>
      <c r="CO247" s="1513"/>
      <c r="CP247" s="1513"/>
      <c r="CQ247" s="1513"/>
      <c r="CR247" s="1513"/>
      <c r="CS247" s="1513"/>
      <c r="CT247" s="1513"/>
      <c r="CU247" s="1513"/>
      <c r="CV247" s="1513"/>
      <c r="CW247" s="1513"/>
      <c r="CX247" s="1513"/>
      <c r="CY247" s="1513"/>
      <c r="CZ247" s="1513"/>
      <c r="DA247" s="1513"/>
      <c r="DB247" s="1513"/>
      <c r="DC247" s="1513"/>
      <c r="DD247" s="1513"/>
      <c r="DE247" s="1513"/>
      <c r="DF247" s="1513"/>
      <c r="DG247" s="1513"/>
      <c r="DH247" s="1513"/>
      <c r="DI247" s="1513"/>
      <c r="DJ247" s="1513"/>
      <c r="DK247" s="1513"/>
      <c r="DL247" s="1513"/>
      <c r="DM247" s="1513"/>
      <c r="DN247" s="1513"/>
      <c r="DO247" s="1513"/>
      <c r="DP247" s="1513"/>
      <c r="DQ247" s="1513"/>
      <c r="DR247" s="1513"/>
      <c r="DS247" s="1513"/>
      <c r="DT247" s="1513"/>
      <c r="DU247" s="1513"/>
      <c r="DV247" s="1513"/>
      <c r="DW247" s="1513"/>
      <c r="DX247" s="1513"/>
      <c r="DY247" s="1513"/>
      <c r="DZ247" s="1513"/>
      <c r="EA247" s="1513"/>
      <c r="EB247" s="1513"/>
      <c r="EC247" s="1513"/>
      <c r="ED247" s="1513"/>
      <c r="EE247" s="1513"/>
      <c r="EF247" s="1513"/>
      <c r="EG247" s="1513"/>
      <c r="EH247" s="1513"/>
      <c r="EI247" s="1513"/>
      <c r="EJ247" s="1513"/>
      <c r="EK247" s="1513"/>
      <c r="EL247" s="1513"/>
      <c r="EM247" s="1513"/>
      <c r="EN247" s="1513"/>
      <c r="EO247" s="1513"/>
      <c r="EP247" s="1513"/>
      <c r="EQ247" s="1513"/>
      <c r="ER247" s="1513"/>
      <c r="ES247" s="1513"/>
      <c r="ET247" s="1513"/>
      <c r="EU247" s="1513"/>
      <c r="EV247" s="1513"/>
      <c r="EW247" s="1513"/>
      <c r="EX247" s="1513"/>
      <c r="EY247" s="1513"/>
      <c r="EZ247" s="1513"/>
      <c r="FA247" s="1513"/>
      <c r="FB247" s="1513"/>
      <c r="FC247" s="1513"/>
      <c r="FD247" s="1513"/>
      <c r="FE247" s="1513"/>
      <c r="FF247" s="1513"/>
      <c r="FG247" s="1513"/>
      <c r="FH247" s="1513"/>
      <c r="FI247" s="1513"/>
      <c r="FJ247" s="1513"/>
    </row>
    <row r="248" spans="1:166" ht="17.100000000000001" customHeight="1" x14ac:dyDescent="0.15">
      <c r="A248" s="1513"/>
      <c r="B248" s="1513"/>
      <c r="C248" s="1513"/>
      <c r="D248" s="1513"/>
      <c r="E248" s="1513"/>
      <c r="F248" s="1513"/>
      <c r="G248" s="1513"/>
      <c r="H248" s="1513"/>
      <c r="I248" s="1513"/>
      <c r="J248" s="1513"/>
      <c r="K248" s="1513"/>
      <c r="L248" s="1513"/>
      <c r="M248" s="1513"/>
      <c r="N248" s="1513"/>
      <c r="O248" s="1513"/>
      <c r="P248" s="1513"/>
      <c r="Q248" s="1513"/>
      <c r="R248" s="1513"/>
      <c r="S248" s="1513"/>
      <c r="T248" s="1513"/>
      <c r="U248" s="1513"/>
      <c r="V248" s="1513"/>
      <c r="W248" s="1513"/>
      <c r="X248" s="1513"/>
      <c r="Y248" s="1513"/>
      <c r="Z248" s="1513"/>
      <c r="AA248" s="1513"/>
      <c r="AB248" s="1513"/>
      <c r="AC248" s="1513"/>
      <c r="AD248" s="1513"/>
      <c r="AE248" s="1513"/>
      <c r="AF248" s="1513"/>
      <c r="AG248" s="1513"/>
      <c r="AH248" s="1513"/>
      <c r="AI248" s="1513"/>
      <c r="AJ248" s="1513"/>
      <c r="AK248" s="1513"/>
      <c r="AL248" s="1513"/>
      <c r="AM248" s="1513"/>
      <c r="AN248" s="1513"/>
      <c r="AO248" s="1513"/>
      <c r="AP248" s="1513"/>
      <c r="AQ248" s="1513"/>
      <c r="AR248" s="1513"/>
      <c r="AS248" s="1513"/>
      <c r="AT248" s="1513"/>
      <c r="AU248" s="1513"/>
      <c r="AV248" s="1513"/>
      <c r="AW248" s="1513"/>
      <c r="AX248" s="1513"/>
      <c r="AY248" s="1513"/>
      <c r="AZ248" s="1513"/>
      <c r="BA248" s="1513"/>
      <c r="BB248" s="1513"/>
      <c r="BC248" s="1513"/>
      <c r="BD248" s="1513"/>
      <c r="BE248" s="1513"/>
      <c r="BF248" s="1513"/>
      <c r="BG248" s="1513"/>
      <c r="BH248" s="1513"/>
      <c r="BI248" s="1513"/>
      <c r="BJ248" s="1513"/>
      <c r="BK248" s="1513"/>
      <c r="BL248" s="1513"/>
      <c r="BM248" s="1513"/>
      <c r="BN248" s="1513"/>
      <c r="BO248" s="1513"/>
      <c r="BP248" s="1513"/>
      <c r="BQ248" s="1513"/>
      <c r="BR248" s="1513"/>
      <c r="BS248" s="1513"/>
      <c r="BT248" s="1513"/>
      <c r="BU248" s="1513"/>
      <c r="BV248" s="1513"/>
      <c r="BW248" s="1513"/>
      <c r="BX248" s="1513"/>
      <c r="BY248" s="1513"/>
      <c r="BZ248" s="1513"/>
      <c r="CA248" s="1513"/>
      <c r="CB248" s="1513"/>
      <c r="CC248" s="1513"/>
      <c r="CD248" s="1513"/>
      <c r="CE248" s="1513"/>
      <c r="CF248" s="1513"/>
      <c r="CG248" s="1513"/>
      <c r="CH248" s="1513"/>
      <c r="CI248" s="1513"/>
      <c r="CJ248" s="1513"/>
      <c r="CK248" s="1513"/>
      <c r="CL248" s="1513"/>
      <c r="CM248" s="1513"/>
      <c r="CN248" s="1513"/>
      <c r="CO248" s="1513"/>
      <c r="CP248" s="1513"/>
      <c r="CQ248" s="1513"/>
      <c r="CR248" s="1513"/>
      <c r="CS248" s="1513"/>
      <c r="CT248" s="1513"/>
      <c r="CU248" s="1513"/>
      <c r="CV248" s="1513"/>
      <c r="CW248" s="1513"/>
      <c r="CX248" s="1513"/>
      <c r="CY248" s="1513"/>
      <c r="CZ248" s="1513"/>
      <c r="DA248" s="1513"/>
      <c r="DB248" s="1513"/>
      <c r="DC248" s="1513"/>
      <c r="DD248" s="1513"/>
      <c r="DE248" s="1513"/>
      <c r="DF248" s="1513"/>
      <c r="DG248" s="1513"/>
      <c r="DH248" s="1513"/>
      <c r="DI248" s="1513"/>
      <c r="DJ248" s="1513"/>
      <c r="DK248" s="1513"/>
      <c r="DL248" s="1513"/>
      <c r="DM248" s="1513"/>
      <c r="DN248" s="1513"/>
      <c r="DO248" s="1513"/>
      <c r="DP248" s="1513"/>
      <c r="DQ248" s="1513"/>
      <c r="DR248" s="1513"/>
      <c r="DS248" s="1513"/>
      <c r="DT248" s="1513"/>
      <c r="DU248" s="1513"/>
      <c r="DV248" s="1513"/>
      <c r="DW248" s="1513"/>
      <c r="DX248" s="1513"/>
      <c r="DY248" s="1513"/>
      <c r="DZ248" s="1513"/>
      <c r="EA248" s="1513"/>
      <c r="EB248" s="1513"/>
      <c r="EC248" s="1513"/>
      <c r="ED248" s="1513"/>
      <c r="EE248" s="1513"/>
      <c r="EF248" s="1513"/>
      <c r="EG248" s="1513"/>
      <c r="EH248" s="1513"/>
      <c r="EI248" s="1513"/>
      <c r="EJ248" s="1513"/>
      <c r="EK248" s="1513"/>
      <c r="EL248" s="1513"/>
      <c r="EM248" s="1513"/>
      <c r="EN248" s="1513"/>
      <c r="EO248" s="1513"/>
      <c r="EP248" s="1513"/>
      <c r="EQ248" s="1513"/>
      <c r="ER248" s="1513"/>
      <c r="ES248" s="1513"/>
      <c r="ET248" s="1513"/>
      <c r="EU248" s="1513"/>
      <c r="EV248" s="1513"/>
      <c r="EW248" s="1513"/>
      <c r="EX248" s="1513"/>
      <c r="EY248" s="1513"/>
      <c r="EZ248" s="1513"/>
      <c r="FA248" s="1513"/>
      <c r="FB248" s="1513"/>
      <c r="FC248" s="1513"/>
      <c r="FD248" s="1513"/>
      <c r="FE248" s="1513"/>
      <c r="FF248" s="1513"/>
      <c r="FG248" s="1513"/>
      <c r="FH248" s="1513"/>
      <c r="FI248" s="1513"/>
      <c r="FJ248" s="1513"/>
    </row>
    <row r="249" spans="1:166" ht="17.100000000000001" customHeight="1" x14ac:dyDescent="0.15">
      <c r="A249" s="1513"/>
      <c r="B249" s="1513"/>
      <c r="C249" s="1513"/>
      <c r="D249" s="1513"/>
      <c r="E249" s="1513"/>
      <c r="F249" s="1513"/>
      <c r="G249" s="1513"/>
      <c r="H249" s="1513"/>
      <c r="I249" s="1513"/>
      <c r="J249" s="1513"/>
      <c r="K249" s="1513"/>
      <c r="L249" s="1513"/>
      <c r="M249" s="1513"/>
      <c r="N249" s="1513"/>
      <c r="O249" s="1513"/>
      <c r="P249" s="1513"/>
      <c r="Q249" s="1513"/>
      <c r="R249" s="1513"/>
      <c r="S249" s="1513"/>
      <c r="T249" s="1513"/>
      <c r="U249" s="1513"/>
      <c r="V249" s="1513"/>
      <c r="W249" s="1513"/>
      <c r="X249" s="1513"/>
      <c r="Y249" s="1513"/>
      <c r="Z249" s="1513"/>
      <c r="AA249" s="1513"/>
      <c r="AB249" s="1513"/>
      <c r="AC249" s="1513"/>
      <c r="AD249" s="1513"/>
      <c r="AE249" s="1513"/>
      <c r="AF249" s="1513"/>
      <c r="AG249" s="1513"/>
      <c r="AH249" s="1513"/>
      <c r="AI249" s="1513"/>
      <c r="AJ249" s="1513"/>
      <c r="AK249" s="1513"/>
      <c r="AL249" s="1513"/>
      <c r="AM249" s="1513"/>
      <c r="AN249" s="1513"/>
      <c r="AO249" s="1513"/>
      <c r="AP249" s="1513"/>
      <c r="AQ249" s="1513"/>
      <c r="AR249" s="1513"/>
      <c r="AS249" s="1513"/>
      <c r="AT249" s="1513"/>
      <c r="AU249" s="1513"/>
      <c r="AV249" s="1513"/>
      <c r="AW249" s="1513"/>
      <c r="AX249" s="1513"/>
      <c r="AY249" s="1513"/>
      <c r="AZ249" s="1513"/>
      <c r="BA249" s="1513"/>
      <c r="BB249" s="1513"/>
      <c r="BC249" s="1513"/>
      <c r="BD249" s="1513"/>
      <c r="BE249" s="1513"/>
      <c r="BF249" s="1513"/>
      <c r="BG249" s="1513"/>
      <c r="BH249" s="1513"/>
      <c r="BI249" s="1513"/>
      <c r="BJ249" s="1513"/>
      <c r="BK249" s="1513"/>
      <c r="BL249" s="1513"/>
      <c r="BM249" s="1513"/>
      <c r="BN249" s="1513"/>
      <c r="BO249" s="1513"/>
      <c r="BP249" s="1513"/>
      <c r="BQ249" s="1513"/>
      <c r="BR249" s="1513"/>
      <c r="BS249" s="1513"/>
      <c r="BT249" s="1513"/>
      <c r="BU249" s="1513"/>
      <c r="BV249" s="1513"/>
      <c r="BW249" s="1513"/>
      <c r="BX249" s="1513"/>
      <c r="BY249" s="1513"/>
      <c r="BZ249" s="1513"/>
      <c r="CA249" s="1513"/>
      <c r="CB249" s="1513"/>
      <c r="CC249" s="1513"/>
      <c r="CD249" s="1513"/>
      <c r="CE249" s="1513"/>
      <c r="CF249" s="1513"/>
      <c r="CG249" s="1513"/>
      <c r="CH249" s="1513"/>
      <c r="CI249" s="1513"/>
      <c r="CJ249" s="1513"/>
      <c r="CK249" s="1513"/>
      <c r="CL249" s="1513"/>
      <c r="CM249" s="1513"/>
      <c r="CN249" s="1513"/>
      <c r="CO249" s="1513"/>
      <c r="CP249" s="1513"/>
      <c r="CQ249" s="1513"/>
      <c r="CR249" s="1513"/>
      <c r="CS249" s="1513"/>
      <c r="CT249" s="1513"/>
      <c r="CU249" s="1513"/>
      <c r="CV249" s="1513"/>
      <c r="CW249" s="1513"/>
      <c r="CX249" s="1513"/>
      <c r="CY249" s="1513"/>
      <c r="CZ249" s="1513"/>
      <c r="DA249" s="1513"/>
      <c r="DB249" s="1513"/>
      <c r="DC249" s="1513"/>
      <c r="DD249" s="1513"/>
      <c r="DE249" s="1513"/>
      <c r="DF249" s="1513"/>
      <c r="DG249" s="1513"/>
      <c r="DH249" s="1513"/>
      <c r="DI249" s="1513"/>
      <c r="DJ249" s="1513"/>
      <c r="DK249" s="1513"/>
      <c r="DL249" s="1513"/>
      <c r="DM249" s="1513"/>
      <c r="DN249" s="1513"/>
      <c r="DO249" s="1513"/>
      <c r="DP249" s="1513"/>
      <c r="DQ249" s="1513"/>
      <c r="DR249" s="1513"/>
      <c r="DS249" s="1513"/>
      <c r="DT249" s="1513"/>
      <c r="DU249" s="1513"/>
      <c r="DV249" s="1513"/>
      <c r="DW249" s="1513"/>
      <c r="DX249" s="1513"/>
      <c r="DY249" s="1513"/>
      <c r="DZ249" s="1513"/>
      <c r="EA249" s="1513"/>
      <c r="EB249" s="1513"/>
      <c r="EC249" s="1513"/>
      <c r="ED249" s="1513"/>
      <c r="EE249" s="1513"/>
      <c r="EF249" s="1513"/>
      <c r="EG249" s="1513"/>
      <c r="EH249" s="1513"/>
      <c r="EI249" s="1513"/>
      <c r="EJ249" s="1513"/>
      <c r="EK249" s="1513"/>
      <c r="EL249" s="1513"/>
      <c r="EM249" s="1513"/>
      <c r="EN249" s="1513"/>
      <c r="EO249" s="1513"/>
      <c r="EP249" s="1513"/>
      <c r="EQ249" s="1513"/>
      <c r="ER249" s="1513"/>
      <c r="ES249" s="1513"/>
      <c r="ET249" s="1513"/>
      <c r="EU249" s="1513"/>
      <c r="EV249" s="1513"/>
      <c r="EW249" s="1513"/>
      <c r="EX249" s="1513"/>
      <c r="EY249" s="1513"/>
      <c r="EZ249" s="1513"/>
      <c r="FA249" s="1513"/>
      <c r="FB249" s="1513"/>
      <c r="FC249" s="1513"/>
      <c r="FD249" s="1513"/>
      <c r="FE249" s="1513"/>
      <c r="FF249" s="1513"/>
      <c r="FG249" s="1513"/>
      <c r="FH249" s="1513"/>
      <c r="FI249" s="1513"/>
      <c r="FJ249" s="1513"/>
    </row>
    <row r="250" spans="1:166" ht="17.100000000000001" customHeight="1" x14ac:dyDescent="0.15">
      <c r="A250" s="1513"/>
      <c r="B250" s="1513"/>
      <c r="C250" s="1513"/>
      <c r="D250" s="1513"/>
      <c r="E250" s="1513"/>
      <c r="F250" s="1513"/>
      <c r="G250" s="1513"/>
      <c r="H250" s="1513"/>
      <c r="I250" s="1513"/>
      <c r="J250" s="1513"/>
      <c r="K250" s="1513"/>
      <c r="L250" s="1513"/>
      <c r="M250" s="1513"/>
      <c r="N250" s="1513"/>
      <c r="O250" s="1513"/>
      <c r="P250" s="1513"/>
      <c r="Q250" s="1513"/>
      <c r="R250" s="1513"/>
      <c r="S250" s="1513"/>
      <c r="T250" s="1513"/>
      <c r="U250" s="1513"/>
      <c r="V250" s="1513"/>
      <c r="W250" s="1513"/>
      <c r="X250" s="1513"/>
      <c r="Y250" s="1513"/>
      <c r="Z250" s="1513"/>
      <c r="AA250" s="1513"/>
      <c r="AB250" s="1513"/>
      <c r="AC250" s="1513"/>
      <c r="AD250" s="1513"/>
      <c r="AE250" s="1513"/>
      <c r="AF250" s="1513"/>
      <c r="AG250" s="1513"/>
      <c r="AH250" s="1513"/>
      <c r="AI250" s="1513"/>
      <c r="AJ250" s="1513"/>
      <c r="AK250" s="1513"/>
      <c r="AL250" s="1513"/>
      <c r="AM250" s="1513"/>
      <c r="AN250" s="1513"/>
      <c r="AO250" s="1513"/>
      <c r="AP250" s="1513"/>
      <c r="AQ250" s="1513"/>
      <c r="AR250" s="1513"/>
      <c r="AS250" s="1513"/>
      <c r="AT250" s="1513"/>
      <c r="AU250" s="1513"/>
      <c r="AV250" s="1513"/>
      <c r="AW250" s="1513"/>
      <c r="AX250" s="1513"/>
      <c r="AY250" s="1513"/>
      <c r="AZ250" s="1513"/>
      <c r="BA250" s="1513"/>
      <c r="BB250" s="1513"/>
      <c r="BC250" s="1513"/>
      <c r="BD250" s="1513"/>
      <c r="BE250" s="1513"/>
      <c r="BF250" s="1513"/>
      <c r="BG250" s="1513"/>
      <c r="BH250" s="1513"/>
      <c r="BI250" s="1513"/>
      <c r="BJ250" s="1513"/>
      <c r="BK250" s="1513"/>
      <c r="BL250" s="1513"/>
      <c r="BM250" s="1513"/>
      <c r="BN250" s="1513"/>
      <c r="BO250" s="1513"/>
      <c r="BP250" s="1513"/>
      <c r="BQ250" s="1513"/>
      <c r="BR250" s="1513"/>
      <c r="BS250" s="1513"/>
      <c r="BT250" s="1513"/>
      <c r="BU250" s="1513"/>
      <c r="BV250" s="1513"/>
      <c r="BW250" s="1513"/>
      <c r="BX250" s="1513"/>
      <c r="BY250" s="1513"/>
      <c r="BZ250" s="1513"/>
      <c r="CA250" s="1513"/>
      <c r="CB250" s="1513"/>
      <c r="CC250" s="1513"/>
      <c r="CD250" s="1513"/>
      <c r="CE250" s="1513"/>
      <c r="CF250" s="1513"/>
      <c r="CG250" s="1513"/>
      <c r="CH250" s="1513"/>
      <c r="CI250" s="1513"/>
      <c r="CJ250" s="1513"/>
      <c r="CK250" s="1513"/>
      <c r="CL250" s="1513"/>
      <c r="CM250" s="1513"/>
      <c r="CN250" s="1513"/>
      <c r="CO250" s="1513"/>
      <c r="CP250" s="1513"/>
      <c r="CQ250" s="1513"/>
      <c r="CR250" s="1513"/>
      <c r="CS250" s="1513"/>
      <c r="CT250" s="1513"/>
      <c r="CU250" s="1513"/>
      <c r="CV250" s="1513"/>
      <c r="CW250" s="1513"/>
      <c r="CX250" s="1513"/>
      <c r="CY250" s="1513"/>
      <c r="CZ250" s="1513"/>
      <c r="DA250" s="1513"/>
      <c r="DB250" s="1513"/>
      <c r="DC250" s="1513"/>
      <c r="DD250" s="1513"/>
      <c r="DE250" s="1513"/>
      <c r="DF250" s="1513"/>
      <c r="DG250" s="1513"/>
      <c r="DH250" s="1513"/>
      <c r="DI250" s="1513"/>
      <c r="DJ250" s="1513"/>
      <c r="DK250" s="1513"/>
      <c r="DL250" s="1513"/>
      <c r="DM250" s="1513"/>
      <c r="DN250" s="1513"/>
      <c r="DO250" s="1513"/>
      <c r="DP250" s="1513"/>
      <c r="DQ250" s="1513"/>
      <c r="DR250" s="1513"/>
      <c r="DS250" s="1513"/>
      <c r="DT250" s="1513"/>
      <c r="DU250" s="1513"/>
      <c r="DV250" s="1513"/>
      <c r="DW250" s="1513"/>
      <c r="DX250" s="1513"/>
      <c r="DY250" s="1513"/>
      <c r="DZ250" s="1513"/>
      <c r="EA250" s="1513"/>
      <c r="EB250" s="1513"/>
      <c r="EC250" s="1513"/>
      <c r="ED250" s="1513"/>
      <c r="EE250" s="1513"/>
      <c r="EF250" s="1513"/>
      <c r="EG250" s="1513"/>
      <c r="EH250" s="1513"/>
      <c r="EI250" s="1513"/>
      <c r="EJ250" s="1513"/>
      <c r="EK250" s="1513"/>
      <c r="EL250" s="1513"/>
      <c r="EM250" s="1513"/>
      <c r="EN250" s="1513"/>
      <c r="EO250" s="1513"/>
      <c r="EP250" s="1513"/>
      <c r="EQ250" s="1513"/>
      <c r="ER250" s="1513"/>
      <c r="ES250" s="1513"/>
      <c r="ET250" s="1513"/>
      <c r="EU250" s="1513"/>
      <c r="EV250" s="1513"/>
      <c r="EW250" s="1513"/>
      <c r="EX250" s="1513"/>
      <c r="EY250" s="1513"/>
      <c r="EZ250" s="1513"/>
      <c r="FA250" s="1513"/>
      <c r="FB250" s="1513"/>
      <c r="FC250" s="1513"/>
      <c r="FD250" s="1513"/>
      <c r="FE250" s="1513"/>
      <c r="FF250" s="1513"/>
      <c r="FG250" s="1513"/>
      <c r="FH250" s="1513"/>
      <c r="FI250" s="1513"/>
      <c r="FJ250" s="1513"/>
    </row>
    <row r="251" spans="1:166" ht="17.100000000000001" customHeight="1" x14ac:dyDescent="0.15">
      <c r="A251" s="1513"/>
      <c r="B251" s="1513"/>
      <c r="C251" s="1513"/>
      <c r="D251" s="1513"/>
      <c r="E251" s="1513"/>
      <c r="F251" s="1513"/>
      <c r="G251" s="1513"/>
      <c r="H251" s="1513"/>
      <c r="I251" s="1513"/>
      <c r="J251" s="1513"/>
      <c r="K251" s="1513"/>
      <c r="L251" s="1513"/>
      <c r="M251" s="1513"/>
      <c r="N251" s="1513"/>
      <c r="O251" s="1513"/>
      <c r="P251" s="1513"/>
      <c r="Q251" s="1513"/>
      <c r="R251" s="1513"/>
      <c r="S251" s="1513"/>
      <c r="T251" s="1513"/>
      <c r="U251" s="1513"/>
      <c r="V251" s="1513"/>
      <c r="W251" s="1513"/>
      <c r="X251" s="1513"/>
      <c r="Y251" s="1513"/>
      <c r="Z251" s="1513"/>
      <c r="AA251" s="1513"/>
      <c r="AB251" s="1513"/>
      <c r="AC251" s="1513"/>
      <c r="AD251" s="1513"/>
      <c r="AE251" s="1513"/>
      <c r="AF251" s="1513"/>
      <c r="AG251" s="1513"/>
      <c r="AH251" s="1513"/>
      <c r="AI251" s="1513"/>
      <c r="AJ251" s="1513"/>
      <c r="AK251" s="1513"/>
      <c r="AL251" s="1513"/>
      <c r="AM251" s="1513"/>
      <c r="AN251" s="1513"/>
      <c r="AO251" s="1513"/>
      <c r="AP251" s="1513"/>
      <c r="AQ251" s="1513"/>
      <c r="AR251" s="1513"/>
      <c r="AS251" s="1513"/>
      <c r="AT251" s="1513"/>
      <c r="AU251" s="1513"/>
      <c r="AV251" s="1513"/>
      <c r="AW251" s="1513"/>
      <c r="AX251" s="1513"/>
      <c r="AY251" s="1513"/>
      <c r="AZ251" s="1513"/>
      <c r="BA251" s="1513"/>
      <c r="BB251" s="1513"/>
      <c r="BC251" s="1513"/>
      <c r="BD251" s="1513"/>
      <c r="BE251" s="1513"/>
      <c r="BF251" s="1513"/>
      <c r="BG251" s="1513"/>
      <c r="BH251" s="1513"/>
      <c r="BI251" s="1513"/>
      <c r="BJ251" s="1513"/>
      <c r="BK251" s="1513"/>
      <c r="BL251" s="1513"/>
      <c r="BM251" s="1513"/>
      <c r="BN251" s="1513"/>
      <c r="BO251" s="1513"/>
      <c r="BP251" s="1513"/>
      <c r="BQ251" s="1513"/>
      <c r="BR251" s="1513"/>
      <c r="BS251" s="1513"/>
      <c r="BT251" s="1513"/>
      <c r="BU251" s="1513"/>
      <c r="BV251" s="1513"/>
      <c r="BW251" s="1513"/>
      <c r="BX251" s="1513"/>
      <c r="BY251" s="1513"/>
      <c r="BZ251" s="1513"/>
      <c r="CA251" s="1513"/>
      <c r="CB251" s="1513"/>
      <c r="CC251" s="1513"/>
      <c r="CD251" s="1513"/>
      <c r="CE251" s="1513"/>
      <c r="CF251" s="1513"/>
      <c r="CG251" s="1513"/>
      <c r="CH251" s="1513"/>
      <c r="CI251" s="1513"/>
      <c r="CJ251" s="1513"/>
      <c r="CK251" s="1513"/>
      <c r="CL251" s="1513"/>
      <c r="CM251" s="1513"/>
      <c r="CN251" s="1513"/>
      <c r="CO251" s="1513"/>
      <c r="CP251" s="1513"/>
      <c r="CQ251" s="1513"/>
      <c r="CR251" s="1513"/>
      <c r="CS251" s="1513"/>
      <c r="CT251" s="1513"/>
      <c r="CU251" s="1513"/>
      <c r="CV251" s="1513"/>
      <c r="CW251" s="1513"/>
      <c r="CX251" s="1513"/>
      <c r="CY251" s="1513"/>
      <c r="CZ251" s="1513"/>
      <c r="DA251" s="1513"/>
      <c r="DB251" s="1513"/>
      <c r="DC251" s="1513"/>
      <c r="DD251" s="1513"/>
      <c r="DE251" s="1513"/>
      <c r="DF251" s="1513"/>
      <c r="DG251" s="1513"/>
      <c r="DH251" s="1513"/>
      <c r="DI251" s="1513"/>
      <c r="DJ251" s="1513"/>
      <c r="DK251" s="1513"/>
      <c r="DL251" s="1513"/>
      <c r="DM251" s="1513"/>
      <c r="DN251" s="1513"/>
      <c r="DO251" s="1513"/>
      <c r="DP251" s="1513"/>
      <c r="DQ251" s="1513"/>
      <c r="DR251" s="1513"/>
      <c r="DS251" s="1513"/>
      <c r="DT251" s="1513"/>
      <c r="DU251" s="1513"/>
      <c r="DV251" s="1513"/>
      <c r="DW251" s="1513"/>
      <c r="DX251" s="1513"/>
      <c r="DY251" s="1513"/>
      <c r="DZ251" s="1513"/>
      <c r="EA251" s="1513"/>
      <c r="EB251" s="1513"/>
      <c r="EC251" s="1513"/>
      <c r="ED251" s="1513"/>
      <c r="EE251" s="1513"/>
      <c r="EF251" s="1513"/>
      <c r="EG251" s="1513"/>
      <c r="EH251" s="1513"/>
      <c r="EI251" s="1513"/>
      <c r="EJ251" s="1513"/>
      <c r="EK251" s="1513"/>
      <c r="EL251" s="1513"/>
      <c r="EM251" s="1513"/>
      <c r="EN251" s="1513"/>
      <c r="EO251" s="1513"/>
      <c r="EP251" s="1513"/>
      <c r="EQ251" s="1513"/>
      <c r="ER251" s="1513"/>
      <c r="ES251" s="1513"/>
      <c r="ET251" s="1513"/>
      <c r="EU251" s="1513"/>
      <c r="EV251" s="1513"/>
      <c r="EW251" s="1513"/>
      <c r="EX251" s="1513"/>
      <c r="EY251" s="1513"/>
      <c r="EZ251" s="1513"/>
      <c r="FA251" s="1513"/>
      <c r="FB251" s="1513"/>
      <c r="FC251" s="1513"/>
      <c r="FD251" s="1513"/>
      <c r="FE251" s="1513"/>
      <c r="FF251" s="1513"/>
      <c r="FG251" s="1513"/>
      <c r="FH251" s="1513"/>
      <c r="FI251" s="1513"/>
      <c r="FJ251" s="1513"/>
    </row>
    <row r="252" spans="1:166" ht="17.100000000000001" customHeight="1" x14ac:dyDescent="0.15">
      <c r="A252" s="1513"/>
      <c r="B252" s="1513"/>
      <c r="C252" s="1513"/>
      <c r="D252" s="1513"/>
      <c r="E252" s="1513"/>
      <c r="F252" s="1513"/>
      <c r="G252" s="1513"/>
      <c r="H252" s="1513"/>
      <c r="I252" s="1513"/>
      <c r="J252" s="1513"/>
      <c r="K252" s="1513"/>
      <c r="L252" s="1513"/>
      <c r="M252" s="1513"/>
      <c r="N252" s="1513"/>
      <c r="O252" s="1513"/>
      <c r="P252" s="1513"/>
      <c r="Q252" s="1513"/>
      <c r="R252" s="1513"/>
      <c r="S252" s="1513"/>
      <c r="T252" s="1513"/>
      <c r="U252" s="1513"/>
      <c r="V252" s="1513"/>
      <c r="W252" s="1513"/>
      <c r="X252" s="1513"/>
      <c r="Y252" s="1513"/>
      <c r="Z252" s="1513"/>
      <c r="AA252" s="1513"/>
      <c r="AB252" s="1513"/>
      <c r="AC252" s="1513"/>
      <c r="AD252" s="1513"/>
      <c r="AE252" s="1513"/>
      <c r="AF252" s="1513"/>
      <c r="AG252" s="1513"/>
      <c r="AH252" s="1513"/>
      <c r="AI252" s="1513"/>
      <c r="AJ252" s="1513"/>
      <c r="AK252" s="1513"/>
      <c r="AL252" s="1513"/>
      <c r="AM252" s="1513"/>
      <c r="AN252" s="1513"/>
      <c r="AO252" s="1513"/>
      <c r="AP252" s="1513"/>
      <c r="AQ252" s="1513"/>
      <c r="AR252" s="1513"/>
      <c r="AS252" s="1513"/>
      <c r="AT252" s="1513"/>
      <c r="AU252" s="1513"/>
      <c r="AV252" s="1513"/>
      <c r="AW252" s="1513"/>
      <c r="AX252" s="1513"/>
      <c r="AY252" s="1513"/>
      <c r="AZ252" s="1513"/>
      <c r="BA252" s="1513"/>
      <c r="BB252" s="1513"/>
      <c r="BC252" s="1513"/>
      <c r="BD252" s="1513"/>
      <c r="BE252" s="1513"/>
      <c r="BF252" s="1513"/>
      <c r="BG252" s="1513"/>
      <c r="BH252" s="1513"/>
      <c r="BI252" s="1513"/>
      <c r="BJ252" s="1513"/>
      <c r="BK252" s="1513"/>
      <c r="BL252" s="1513"/>
      <c r="BM252" s="1513"/>
      <c r="BN252" s="1513"/>
      <c r="BO252" s="1513"/>
      <c r="BP252" s="1513"/>
      <c r="BQ252" s="1513"/>
      <c r="BR252" s="1513"/>
      <c r="BS252" s="1513"/>
      <c r="BT252" s="1513"/>
      <c r="BU252" s="1513"/>
      <c r="BV252" s="1513"/>
      <c r="BW252" s="1513"/>
      <c r="BX252" s="1513"/>
      <c r="BY252" s="1513"/>
      <c r="BZ252" s="1513"/>
      <c r="CA252" s="1513"/>
      <c r="CB252" s="1513"/>
      <c r="CC252" s="1513"/>
      <c r="CD252" s="1513"/>
      <c r="CE252" s="1513"/>
      <c r="CF252" s="1513"/>
      <c r="CG252" s="1513"/>
      <c r="CH252" s="1513"/>
      <c r="CI252" s="1513"/>
      <c r="CJ252" s="1513"/>
      <c r="CK252" s="1513"/>
      <c r="CL252" s="1513"/>
      <c r="CM252" s="1513"/>
      <c r="CN252" s="1513"/>
      <c r="CO252" s="1513"/>
      <c r="CP252" s="1513"/>
      <c r="CQ252" s="1513"/>
      <c r="CR252" s="1513"/>
      <c r="CS252" s="1513"/>
      <c r="CT252" s="1513"/>
      <c r="CU252" s="1513"/>
      <c r="CV252" s="1513"/>
      <c r="CW252" s="1513"/>
      <c r="CX252" s="1513"/>
      <c r="CY252" s="1513"/>
      <c r="CZ252" s="1513"/>
      <c r="DA252" s="1513"/>
      <c r="DB252" s="1513"/>
      <c r="DC252" s="1513"/>
      <c r="DD252" s="1513"/>
      <c r="DE252" s="1513"/>
      <c r="DF252" s="1513"/>
      <c r="DG252" s="1513"/>
      <c r="DH252" s="1513"/>
      <c r="DI252" s="1513"/>
      <c r="DJ252" s="1513"/>
      <c r="DK252" s="1513"/>
      <c r="DL252" s="1513"/>
      <c r="DM252" s="1513"/>
      <c r="DN252" s="1513"/>
      <c r="DO252" s="1513"/>
      <c r="DP252" s="1513"/>
      <c r="DQ252" s="1513"/>
      <c r="DR252" s="1513"/>
      <c r="DS252" s="1513"/>
      <c r="DT252" s="1513"/>
      <c r="DU252" s="1513"/>
      <c r="DV252" s="1513"/>
      <c r="DW252" s="1513"/>
      <c r="DX252" s="1513"/>
      <c r="DY252" s="1513"/>
      <c r="DZ252" s="1513"/>
      <c r="EA252" s="1513"/>
      <c r="EB252" s="1513"/>
      <c r="EC252" s="1513"/>
      <c r="ED252" s="1513"/>
      <c r="EE252" s="1513"/>
      <c r="EF252" s="1513"/>
      <c r="EG252" s="1513"/>
      <c r="EH252" s="1513"/>
      <c r="EI252" s="1513"/>
      <c r="EJ252" s="1513"/>
      <c r="EK252" s="1513"/>
      <c r="EL252" s="1513"/>
      <c r="EM252" s="1513"/>
      <c r="EN252" s="1513"/>
      <c r="EO252" s="1513"/>
      <c r="EP252" s="1513"/>
      <c r="EQ252" s="1513"/>
      <c r="ER252" s="1513"/>
      <c r="ES252" s="1513"/>
      <c r="ET252" s="1513"/>
      <c r="EU252" s="1513"/>
      <c r="EV252" s="1513"/>
      <c r="EW252" s="1513"/>
      <c r="EX252" s="1513"/>
      <c r="EY252" s="1513"/>
      <c r="EZ252" s="1513"/>
      <c r="FA252" s="1513"/>
      <c r="FB252" s="1513"/>
      <c r="FC252" s="1513"/>
      <c r="FD252" s="1513"/>
      <c r="FE252" s="1513"/>
      <c r="FF252" s="1513"/>
      <c r="FG252" s="1513"/>
      <c r="FH252" s="1513"/>
      <c r="FI252" s="1513"/>
      <c r="FJ252" s="1513"/>
    </row>
    <row r="253" spans="1:166" ht="17.100000000000001" customHeight="1" x14ac:dyDescent="0.15">
      <c r="A253" s="1513"/>
      <c r="B253" s="1513"/>
      <c r="C253" s="1513"/>
      <c r="D253" s="1513"/>
      <c r="E253" s="1513"/>
      <c r="F253" s="1513"/>
      <c r="G253" s="1513"/>
      <c r="H253" s="1513"/>
      <c r="I253" s="1513"/>
      <c r="J253" s="1513"/>
      <c r="K253" s="1513"/>
      <c r="L253" s="1513"/>
      <c r="M253" s="1513"/>
      <c r="N253" s="1513"/>
      <c r="O253" s="1513"/>
      <c r="P253" s="1513"/>
      <c r="Q253" s="1513"/>
      <c r="R253" s="1513"/>
      <c r="S253" s="1513"/>
      <c r="T253" s="1513"/>
      <c r="U253" s="1513"/>
      <c r="V253" s="1513"/>
      <c r="W253" s="1513"/>
      <c r="X253" s="1513"/>
      <c r="Y253" s="1513"/>
      <c r="Z253" s="1513"/>
      <c r="AA253" s="1513"/>
      <c r="AB253" s="1513"/>
      <c r="AC253" s="1513"/>
      <c r="AD253" s="1513"/>
      <c r="AE253" s="1513"/>
      <c r="AF253" s="1513"/>
      <c r="AG253" s="1513"/>
      <c r="AH253" s="1513"/>
      <c r="AI253" s="1513"/>
      <c r="AJ253" s="1513"/>
      <c r="AK253" s="1513"/>
      <c r="AL253" s="1513"/>
      <c r="AM253" s="1513"/>
      <c r="AN253" s="1513"/>
      <c r="AO253" s="1513"/>
      <c r="AP253" s="1513"/>
      <c r="AQ253" s="1513"/>
      <c r="AR253" s="1513"/>
      <c r="AS253" s="1513"/>
      <c r="AT253" s="1513"/>
      <c r="AU253" s="1513"/>
      <c r="AV253" s="1513"/>
      <c r="AW253" s="1513"/>
      <c r="AX253" s="1513"/>
      <c r="AY253" s="1513"/>
      <c r="AZ253" s="1513"/>
      <c r="BA253" s="1513"/>
      <c r="BB253" s="1513"/>
      <c r="BC253" s="1513"/>
      <c r="BD253" s="1513"/>
      <c r="BE253" s="1513"/>
      <c r="BF253" s="1513"/>
      <c r="BG253" s="1513"/>
      <c r="BH253" s="1513"/>
      <c r="BI253" s="1513"/>
      <c r="BJ253" s="1513"/>
      <c r="BK253" s="1513"/>
      <c r="BL253" s="1513"/>
      <c r="BM253" s="1513"/>
      <c r="BN253" s="1513"/>
      <c r="BO253" s="1513"/>
      <c r="BP253" s="1513"/>
      <c r="BQ253" s="1513"/>
      <c r="BR253" s="1513"/>
      <c r="BS253" s="1513"/>
      <c r="BT253" s="1513"/>
      <c r="BU253" s="1513"/>
      <c r="BV253" s="1513"/>
      <c r="BW253" s="1513"/>
      <c r="BX253" s="1513"/>
      <c r="BY253" s="1513"/>
      <c r="BZ253" s="1513"/>
      <c r="CA253" s="1513"/>
      <c r="CB253" s="1513"/>
      <c r="CC253" s="1513"/>
      <c r="CD253" s="1513"/>
      <c r="CE253" s="1513"/>
      <c r="CF253" s="1513"/>
      <c r="CG253" s="1513"/>
      <c r="CH253" s="1513"/>
      <c r="CI253" s="1513"/>
      <c r="CJ253" s="1513"/>
      <c r="CK253" s="1513"/>
      <c r="CL253" s="1513"/>
      <c r="CM253" s="1513"/>
      <c r="CN253" s="1513"/>
      <c r="CO253" s="1513"/>
      <c r="CP253" s="1513"/>
      <c r="CQ253" s="1513"/>
      <c r="CR253" s="1513"/>
      <c r="CS253" s="1513"/>
      <c r="CT253" s="1513"/>
      <c r="CU253" s="1513"/>
      <c r="CV253" s="1513"/>
      <c r="CW253" s="1513"/>
      <c r="CX253" s="1513"/>
      <c r="CY253" s="1513"/>
      <c r="CZ253" s="1513"/>
      <c r="DA253" s="1513"/>
      <c r="DB253" s="1513"/>
      <c r="DC253" s="1513"/>
      <c r="DD253" s="1513"/>
      <c r="DE253" s="1513"/>
      <c r="DF253" s="1513"/>
      <c r="DG253" s="1513"/>
      <c r="DH253" s="1513"/>
      <c r="DI253" s="1513"/>
      <c r="DJ253" s="1513"/>
      <c r="DK253" s="1513"/>
      <c r="DL253" s="1513"/>
      <c r="DM253" s="1513"/>
      <c r="DN253" s="1513"/>
      <c r="DO253" s="1513"/>
      <c r="DP253" s="1513"/>
      <c r="DQ253" s="1513"/>
      <c r="DR253" s="1513"/>
      <c r="DS253" s="1513"/>
      <c r="DT253" s="1513"/>
      <c r="DU253" s="1513"/>
      <c r="DV253" s="1513"/>
      <c r="DW253" s="1513"/>
      <c r="DX253" s="1513"/>
      <c r="DY253" s="1513"/>
      <c r="DZ253" s="1513"/>
      <c r="EA253" s="1513"/>
      <c r="EB253" s="1513"/>
      <c r="EC253" s="1513"/>
      <c r="ED253" s="1513"/>
      <c r="EE253" s="1513"/>
      <c r="EF253" s="1513"/>
      <c r="EG253" s="1513"/>
      <c r="EH253" s="1513"/>
      <c r="EI253" s="1513"/>
      <c r="EJ253" s="1513"/>
      <c r="EK253" s="1513"/>
      <c r="EL253" s="1513"/>
      <c r="EM253" s="1513"/>
      <c r="EN253" s="1513"/>
      <c r="EO253" s="1513"/>
      <c r="EP253" s="1513"/>
      <c r="EQ253" s="1513"/>
      <c r="ER253" s="1513"/>
      <c r="ES253" s="1513"/>
      <c r="ET253" s="1513"/>
      <c r="EU253" s="1513"/>
      <c r="EV253" s="1513"/>
      <c r="EW253" s="1513"/>
      <c r="EX253" s="1513"/>
      <c r="EY253" s="1513"/>
      <c r="EZ253" s="1513"/>
      <c r="FA253" s="1513"/>
      <c r="FB253" s="1513"/>
      <c r="FC253" s="1513"/>
      <c r="FD253" s="1513"/>
      <c r="FE253" s="1513"/>
      <c r="FF253" s="1513"/>
      <c r="FG253" s="1513"/>
      <c r="FH253" s="1513"/>
      <c r="FI253" s="1513"/>
      <c r="FJ253" s="1513"/>
    </row>
    <row r="254" spans="1:166" ht="17.100000000000001" customHeight="1" x14ac:dyDescent="0.15">
      <c r="A254" s="1513"/>
      <c r="B254" s="1513"/>
      <c r="C254" s="1513"/>
      <c r="D254" s="1513"/>
      <c r="E254" s="1513"/>
      <c r="F254" s="1513"/>
      <c r="G254" s="1513"/>
      <c r="H254" s="1513"/>
      <c r="I254" s="1513"/>
      <c r="J254" s="1513"/>
      <c r="K254" s="1513"/>
      <c r="L254" s="1513"/>
      <c r="M254" s="1513"/>
      <c r="N254" s="1513"/>
      <c r="O254" s="1513"/>
      <c r="P254" s="1513"/>
      <c r="Q254" s="1513"/>
      <c r="R254" s="1513"/>
      <c r="S254" s="1513"/>
      <c r="T254" s="1513"/>
      <c r="U254" s="1513"/>
      <c r="V254" s="1513"/>
      <c r="W254" s="1513"/>
      <c r="X254" s="1513"/>
      <c r="Y254" s="1513"/>
      <c r="Z254" s="1513"/>
      <c r="AA254" s="1513"/>
      <c r="AB254" s="1513"/>
      <c r="AC254" s="1513"/>
      <c r="AD254" s="1513"/>
      <c r="AE254" s="1513"/>
      <c r="AF254" s="1513"/>
      <c r="AG254" s="1513"/>
      <c r="AH254" s="1513"/>
      <c r="AI254" s="1513"/>
      <c r="AJ254" s="1513"/>
      <c r="AK254" s="1513"/>
      <c r="AL254" s="1513"/>
      <c r="AM254" s="1513"/>
      <c r="AN254" s="1513"/>
      <c r="AO254" s="1513"/>
      <c r="AP254" s="1513"/>
      <c r="AQ254" s="1513"/>
      <c r="AR254" s="1513"/>
      <c r="AS254" s="1513"/>
      <c r="AT254" s="1513"/>
      <c r="AU254" s="1513"/>
      <c r="AV254" s="1513"/>
      <c r="AW254" s="1513"/>
      <c r="AX254" s="1513"/>
      <c r="AY254" s="1513"/>
      <c r="AZ254" s="1513"/>
      <c r="BA254" s="1513"/>
      <c r="BB254" s="1513"/>
      <c r="BC254" s="1513"/>
      <c r="BD254" s="1513"/>
      <c r="BE254" s="1513"/>
      <c r="BF254" s="1513"/>
      <c r="BG254" s="1513"/>
      <c r="BH254" s="1513"/>
      <c r="BI254" s="1513"/>
      <c r="BJ254" s="1513"/>
      <c r="BK254" s="1513"/>
      <c r="BL254" s="1513"/>
      <c r="BM254" s="1513"/>
      <c r="BN254" s="1513"/>
      <c r="BO254" s="1513"/>
      <c r="BP254" s="1513"/>
      <c r="BQ254" s="1513"/>
      <c r="BR254" s="1513"/>
      <c r="BS254" s="1513"/>
      <c r="BT254" s="1513"/>
      <c r="BU254" s="1513"/>
      <c r="BV254" s="1513"/>
      <c r="BW254" s="1513"/>
      <c r="BX254" s="1513"/>
      <c r="BY254" s="1513"/>
      <c r="BZ254" s="1513"/>
      <c r="CA254" s="1513"/>
      <c r="CB254" s="1513"/>
      <c r="CC254" s="1513"/>
      <c r="CD254" s="1513"/>
      <c r="CE254" s="1513"/>
      <c r="CF254" s="1513"/>
      <c r="CG254" s="1513"/>
      <c r="CH254" s="1513"/>
      <c r="CI254" s="1513"/>
      <c r="CJ254" s="1513"/>
      <c r="CK254" s="1513"/>
      <c r="CL254" s="1513"/>
      <c r="CM254" s="1513"/>
      <c r="CN254" s="1513"/>
      <c r="CO254" s="1513"/>
      <c r="CP254" s="1513"/>
      <c r="CQ254" s="1513"/>
      <c r="CR254" s="1513"/>
      <c r="CS254" s="1513"/>
      <c r="CT254" s="1513"/>
      <c r="CU254" s="1513"/>
      <c r="CV254" s="1513"/>
      <c r="CW254" s="1513"/>
      <c r="CX254" s="1513"/>
      <c r="CY254" s="1513"/>
      <c r="CZ254" s="1513"/>
      <c r="DA254" s="1513"/>
      <c r="DB254" s="1513"/>
      <c r="DC254" s="1513"/>
      <c r="DD254" s="1513"/>
      <c r="DE254" s="1513"/>
      <c r="DF254" s="1513"/>
      <c r="DG254" s="1513"/>
      <c r="DH254" s="1513"/>
      <c r="DI254" s="1513"/>
      <c r="DJ254" s="1513"/>
      <c r="DK254" s="1513"/>
      <c r="DL254" s="1513"/>
      <c r="DM254" s="1513"/>
      <c r="DN254" s="1513"/>
      <c r="DO254" s="1513"/>
      <c r="DP254" s="1513"/>
      <c r="DQ254" s="1513"/>
      <c r="DR254" s="1513"/>
      <c r="DS254" s="1513"/>
      <c r="DT254" s="1513"/>
      <c r="DU254" s="1513"/>
      <c r="DV254" s="1513"/>
      <c r="DW254" s="1513"/>
      <c r="DX254" s="1513"/>
      <c r="DY254" s="1513"/>
      <c r="DZ254" s="1513"/>
      <c r="EA254" s="1513"/>
      <c r="EB254" s="1513"/>
      <c r="EC254" s="1513"/>
      <c r="ED254" s="1513"/>
      <c r="EE254" s="1513"/>
      <c r="EF254" s="1513"/>
      <c r="EG254" s="1513"/>
      <c r="EH254" s="1513"/>
      <c r="EI254" s="1513"/>
      <c r="EJ254" s="1513"/>
      <c r="EK254" s="1513"/>
      <c r="EL254" s="1513"/>
      <c r="EM254" s="1513"/>
      <c r="EN254" s="1513"/>
      <c r="EO254" s="1513"/>
      <c r="EP254" s="1513"/>
      <c r="EQ254" s="1513"/>
      <c r="ER254" s="1513"/>
      <c r="ES254" s="1513"/>
      <c r="ET254" s="1513"/>
      <c r="EU254" s="1513"/>
      <c r="EV254" s="1513"/>
      <c r="EW254" s="1513"/>
      <c r="EX254" s="1513"/>
      <c r="EY254" s="1513"/>
      <c r="EZ254" s="1513"/>
      <c r="FA254" s="1513"/>
      <c r="FB254" s="1513"/>
      <c r="FC254" s="1513"/>
      <c r="FD254" s="1513"/>
      <c r="FE254" s="1513"/>
      <c r="FF254" s="1513"/>
      <c r="FG254" s="1513"/>
      <c r="FH254" s="1513"/>
      <c r="FI254" s="1513"/>
      <c r="FJ254" s="1513"/>
    </row>
    <row r="255" spans="1:166" ht="17.100000000000001" customHeight="1" x14ac:dyDescent="0.15">
      <c r="A255" s="1513"/>
      <c r="B255" s="1513"/>
      <c r="C255" s="1513"/>
      <c r="D255" s="1513"/>
      <c r="E255" s="1513"/>
      <c r="F255" s="1513"/>
      <c r="G255" s="1513"/>
      <c r="H255" s="1513"/>
      <c r="I255" s="1513"/>
      <c r="J255" s="1513"/>
      <c r="K255" s="1513"/>
      <c r="L255" s="1513"/>
      <c r="M255" s="1513"/>
      <c r="N255" s="1513"/>
      <c r="O255" s="1513"/>
      <c r="P255" s="1513"/>
      <c r="Q255" s="1513"/>
      <c r="R255" s="1513"/>
      <c r="S255" s="1513"/>
      <c r="T255" s="1513"/>
      <c r="U255" s="1513"/>
      <c r="V255" s="1513"/>
      <c r="W255" s="1513"/>
      <c r="X255" s="1513"/>
      <c r="Y255" s="1513"/>
      <c r="Z255" s="1513"/>
      <c r="AA255" s="1513"/>
      <c r="AB255" s="1513"/>
      <c r="AC255" s="1513"/>
      <c r="AD255" s="1513"/>
      <c r="AE255" s="1513"/>
      <c r="AF255" s="1513"/>
      <c r="AG255" s="1513"/>
      <c r="AH255" s="1513"/>
      <c r="AI255" s="1513"/>
      <c r="AJ255" s="1513"/>
      <c r="AK255" s="1513"/>
      <c r="AL255" s="1513"/>
      <c r="AM255" s="1513"/>
      <c r="AN255" s="1513"/>
      <c r="AO255" s="1513"/>
      <c r="AP255" s="1513"/>
      <c r="AQ255" s="1513"/>
      <c r="AR255" s="1513"/>
      <c r="AS255" s="1513"/>
      <c r="AT255" s="1513"/>
      <c r="AU255" s="1513"/>
      <c r="AV255" s="1513"/>
      <c r="AW255" s="1513"/>
      <c r="AX255" s="1513"/>
      <c r="AY255" s="1513"/>
      <c r="AZ255" s="1513"/>
      <c r="BA255" s="1513"/>
      <c r="BB255" s="1513"/>
      <c r="BC255" s="1513"/>
      <c r="BD255" s="1513"/>
      <c r="BE255" s="1513"/>
      <c r="BF255" s="1513"/>
      <c r="BG255" s="1513"/>
      <c r="BH255" s="1513"/>
      <c r="BI255" s="1513"/>
      <c r="BJ255" s="1513"/>
      <c r="BK255" s="1513"/>
      <c r="BL255" s="1513"/>
      <c r="BM255" s="1513"/>
      <c r="BN255" s="1513"/>
      <c r="BO255" s="1513"/>
      <c r="BP255" s="1513"/>
      <c r="BQ255" s="1513"/>
      <c r="BR255" s="1513"/>
      <c r="BS255" s="1513"/>
      <c r="BT255" s="1513"/>
      <c r="BU255" s="1513"/>
      <c r="BV255" s="1513"/>
      <c r="BW255" s="1513"/>
      <c r="BX255" s="1513"/>
      <c r="BY255" s="1513"/>
      <c r="BZ255" s="1513"/>
      <c r="CA255" s="1513"/>
      <c r="CB255" s="1513"/>
      <c r="CC255" s="1513"/>
      <c r="CD255" s="1513"/>
      <c r="CE255" s="1513"/>
      <c r="CF255" s="1513"/>
      <c r="CG255" s="1513"/>
      <c r="CH255" s="1513"/>
      <c r="CI255" s="1513"/>
      <c r="CJ255" s="1513"/>
      <c r="CK255" s="1513"/>
      <c r="CL255" s="1513"/>
      <c r="CM255" s="1513"/>
      <c r="CN255" s="1513"/>
      <c r="CO255" s="1513"/>
      <c r="CP255" s="1513"/>
      <c r="CQ255" s="1513"/>
      <c r="CR255" s="1513"/>
      <c r="CS255" s="1513"/>
      <c r="CT255" s="1513"/>
      <c r="CU255" s="1513"/>
      <c r="CV255" s="1513"/>
      <c r="CW255" s="1513"/>
      <c r="CX255" s="1513"/>
      <c r="CY255" s="1513"/>
      <c r="CZ255" s="1513"/>
      <c r="DA255" s="1513"/>
      <c r="DB255" s="1513"/>
      <c r="DC255" s="1513"/>
      <c r="DD255" s="1513"/>
      <c r="DE255" s="1513"/>
      <c r="DF255" s="1513"/>
      <c r="DG255" s="1513"/>
      <c r="DH255" s="1513"/>
      <c r="DI255" s="1513"/>
      <c r="DJ255" s="1513"/>
      <c r="DK255" s="1513"/>
      <c r="DL255" s="1513"/>
      <c r="DM255" s="1513"/>
      <c r="DN255" s="1513"/>
      <c r="DO255" s="1513"/>
      <c r="DP255" s="1513"/>
      <c r="DQ255" s="1513"/>
      <c r="DR255" s="1513"/>
      <c r="DS255" s="1513"/>
      <c r="DT255" s="1513"/>
      <c r="DU255" s="1513"/>
      <c r="DV255" s="1513"/>
      <c r="DW255" s="1513"/>
      <c r="DX255" s="1513"/>
      <c r="DY255" s="1513"/>
      <c r="DZ255" s="1513"/>
      <c r="EA255" s="1513"/>
      <c r="EB255" s="1513"/>
      <c r="EC255" s="1513"/>
      <c r="ED255" s="1513"/>
      <c r="EE255" s="1513"/>
      <c r="EF255" s="1513"/>
      <c r="EG255" s="1513"/>
      <c r="EH255" s="1513"/>
      <c r="EI255" s="1513"/>
      <c r="EJ255" s="1513"/>
      <c r="EK255" s="1513"/>
      <c r="EL255" s="1513"/>
      <c r="EM255" s="1513"/>
      <c r="EN255" s="1513"/>
      <c r="EO255" s="1513"/>
      <c r="EP255" s="1513"/>
      <c r="EQ255" s="1513"/>
      <c r="ER255" s="1513"/>
      <c r="ES255" s="1513"/>
      <c r="ET255" s="1513"/>
      <c r="EU255" s="1513"/>
      <c r="EV255" s="1513"/>
      <c r="EW255" s="1513"/>
      <c r="EX255" s="1513"/>
      <c r="EY255" s="1513"/>
      <c r="EZ255" s="1513"/>
      <c r="FA255" s="1513"/>
      <c r="FB255" s="1513"/>
      <c r="FC255" s="1513"/>
      <c r="FD255" s="1513"/>
      <c r="FE255" s="1513"/>
      <c r="FF255" s="1513"/>
      <c r="FG255" s="1513"/>
      <c r="FH255" s="1513"/>
      <c r="FI255" s="1513"/>
      <c r="FJ255" s="1513"/>
    </row>
    <row r="256" spans="1:166" ht="17.100000000000001" customHeight="1" x14ac:dyDescent="0.15">
      <c r="A256" s="1513"/>
      <c r="B256" s="1513"/>
      <c r="C256" s="1513"/>
      <c r="D256" s="1513"/>
      <c r="E256" s="1513"/>
      <c r="F256" s="1513"/>
      <c r="G256" s="1513"/>
      <c r="H256" s="1513"/>
      <c r="I256" s="1513"/>
      <c r="J256" s="1513"/>
      <c r="K256" s="1513"/>
      <c r="L256" s="1513"/>
      <c r="M256" s="1513"/>
      <c r="N256" s="1513"/>
      <c r="O256" s="1513"/>
      <c r="P256" s="1513"/>
      <c r="Q256" s="1513"/>
      <c r="R256" s="1513"/>
      <c r="S256" s="1513"/>
      <c r="T256" s="1513"/>
      <c r="U256" s="1513"/>
      <c r="V256" s="1513"/>
      <c r="W256" s="1513"/>
      <c r="X256" s="1513"/>
      <c r="Y256" s="1513"/>
      <c r="Z256" s="1513"/>
      <c r="AA256" s="1513"/>
      <c r="AB256" s="1513"/>
      <c r="AC256" s="1513"/>
      <c r="AD256" s="1513"/>
      <c r="AE256" s="1513"/>
      <c r="AF256" s="1513"/>
      <c r="AG256" s="1513"/>
      <c r="AH256" s="1513"/>
      <c r="AI256" s="1513"/>
      <c r="AJ256" s="1513"/>
      <c r="AK256" s="1513"/>
      <c r="AL256" s="1513"/>
      <c r="AM256" s="1513"/>
      <c r="AN256" s="1513"/>
      <c r="AO256" s="1513"/>
      <c r="AP256" s="1513"/>
      <c r="AQ256" s="1513"/>
      <c r="AR256" s="1513"/>
      <c r="AS256" s="1513"/>
      <c r="AT256" s="1513"/>
      <c r="AU256" s="1513"/>
      <c r="AV256" s="1513"/>
      <c r="AW256" s="1513"/>
      <c r="AX256" s="1513"/>
      <c r="AY256" s="1513"/>
      <c r="AZ256" s="1513"/>
      <c r="BA256" s="1513"/>
      <c r="BB256" s="1513"/>
      <c r="BC256" s="1513"/>
      <c r="BD256" s="1513"/>
      <c r="BE256" s="1513"/>
      <c r="BF256" s="1513"/>
      <c r="BG256" s="1513"/>
      <c r="BH256" s="1513"/>
      <c r="BI256" s="1513"/>
      <c r="BJ256" s="1513"/>
      <c r="BK256" s="1513"/>
      <c r="BL256" s="1513"/>
      <c r="BM256" s="1513"/>
      <c r="BN256" s="1513"/>
      <c r="BO256" s="1513"/>
      <c r="BP256" s="1513"/>
      <c r="BQ256" s="1513"/>
      <c r="BR256" s="1513"/>
      <c r="BS256" s="1513"/>
      <c r="BT256" s="1513"/>
      <c r="BU256" s="1513"/>
      <c r="BV256" s="1513"/>
      <c r="BW256" s="1513"/>
      <c r="BX256" s="1513"/>
      <c r="BY256" s="1513"/>
      <c r="BZ256" s="1513"/>
      <c r="CA256" s="1513"/>
      <c r="CB256" s="1513"/>
      <c r="CC256" s="1513"/>
      <c r="CD256" s="1513"/>
      <c r="CE256" s="1513"/>
      <c r="CF256" s="1513"/>
      <c r="CG256" s="1513"/>
      <c r="CH256" s="1513"/>
      <c r="CI256" s="1513"/>
      <c r="CJ256" s="1513"/>
      <c r="CK256" s="1513"/>
      <c r="CL256" s="1513"/>
      <c r="CM256" s="1513"/>
      <c r="CN256" s="1513"/>
      <c r="CO256" s="1513"/>
      <c r="CP256" s="1513"/>
      <c r="CQ256" s="1513"/>
      <c r="CR256" s="1513"/>
      <c r="CS256" s="1513"/>
      <c r="CT256" s="1513"/>
      <c r="CU256" s="1513"/>
      <c r="CV256" s="1513"/>
      <c r="CW256" s="1513"/>
      <c r="CX256" s="1513"/>
      <c r="CY256" s="1513"/>
      <c r="CZ256" s="1513"/>
      <c r="DA256" s="1513"/>
      <c r="DB256" s="1513"/>
      <c r="DC256" s="1513"/>
      <c r="DD256" s="1513"/>
      <c r="DE256" s="1513"/>
      <c r="DF256" s="1513"/>
      <c r="DG256" s="1513"/>
      <c r="DH256" s="1513"/>
      <c r="DI256" s="1513"/>
      <c r="DJ256" s="1513"/>
      <c r="DK256" s="1513"/>
      <c r="DL256" s="1513"/>
      <c r="DM256" s="1513"/>
      <c r="DN256" s="1513"/>
      <c r="DO256" s="1513"/>
      <c r="DP256" s="1513"/>
      <c r="DQ256" s="1513"/>
      <c r="DR256" s="1513"/>
      <c r="DS256" s="1513"/>
      <c r="DT256" s="1513"/>
      <c r="DU256" s="1513"/>
      <c r="DV256" s="1513"/>
      <c r="DW256" s="1513"/>
      <c r="DX256" s="1513"/>
      <c r="DY256" s="1513"/>
      <c r="DZ256" s="1513"/>
      <c r="EA256" s="1513"/>
      <c r="EB256" s="1513"/>
      <c r="EC256" s="1513"/>
      <c r="ED256" s="1513"/>
      <c r="EE256" s="1513"/>
      <c r="EF256" s="1513"/>
      <c r="EG256" s="1513"/>
      <c r="EH256" s="1513"/>
      <c r="EI256" s="1513"/>
      <c r="EJ256" s="1513"/>
      <c r="EK256" s="1513"/>
      <c r="EL256" s="1513"/>
      <c r="EM256" s="1513"/>
      <c r="EN256" s="1513"/>
      <c r="EO256" s="1513"/>
      <c r="EP256" s="1513"/>
      <c r="EQ256" s="1513"/>
      <c r="ER256" s="1513"/>
      <c r="ES256" s="1513"/>
      <c r="ET256" s="1513"/>
      <c r="EU256" s="1513"/>
      <c r="EV256" s="1513"/>
      <c r="EW256" s="1513"/>
      <c r="EX256" s="1513"/>
      <c r="EY256" s="1513"/>
      <c r="EZ256" s="1513"/>
      <c r="FA256" s="1513"/>
      <c r="FB256" s="1513"/>
      <c r="FC256" s="1513"/>
      <c r="FD256" s="1513"/>
      <c r="FE256" s="1513"/>
      <c r="FF256" s="1513"/>
      <c r="FG256" s="1513"/>
      <c r="FH256" s="1513"/>
      <c r="FI256" s="1513"/>
      <c r="FJ256" s="1513"/>
    </row>
    <row r="257" spans="1:168" ht="17.100000000000001" customHeight="1" x14ac:dyDescent="0.15">
      <c r="A257" s="1513"/>
      <c r="B257" s="1513"/>
      <c r="C257" s="1513"/>
      <c r="D257" s="1513"/>
      <c r="E257" s="1513"/>
      <c r="F257" s="1513"/>
      <c r="G257" s="1513"/>
      <c r="H257" s="1513"/>
      <c r="I257" s="1513"/>
      <c r="J257" s="1513"/>
      <c r="K257" s="1513"/>
      <c r="L257" s="1513"/>
      <c r="M257" s="1513"/>
      <c r="N257" s="1513"/>
      <c r="O257" s="1513"/>
      <c r="P257" s="1513"/>
      <c r="Q257" s="1513"/>
      <c r="R257" s="1513"/>
      <c r="S257" s="1513"/>
      <c r="T257" s="1513"/>
      <c r="U257" s="1513"/>
      <c r="V257" s="1513"/>
      <c r="W257" s="1513"/>
      <c r="X257" s="1513"/>
      <c r="Y257" s="1513"/>
      <c r="Z257" s="1513"/>
      <c r="AA257" s="1513"/>
      <c r="AB257" s="1513"/>
      <c r="AC257" s="1513"/>
      <c r="AD257" s="1513"/>
      <c r="AE257" s="1513"/>
      <c r="AF257" s="1513"/>
      <c r="AG257" s="1513"/>
      <c r="AH257" s="1513"/>
      <c r="AI257" s="1513"/>
      <c r="AJ257" s="1513"/>
      <c r="AK257" s="1513"/>
      <c r="AL257" s="1513"/>
      <c r="AM257" s="1513"/>
      <c r="AN257" s="1513"/>
      <c r="AO257" s="1513"/>
      <c r="AP257" s="1513"/>
      <c r="AQ257" s="1513"/>
      <c r="AR257" s="1513"/>
      <c r="AS257" s="1513"/>
      <c r="AT257" s="1513"/>
      <c r="AU257" s="1513"/>
      <c r="AV257" s="1513"/>
      <c r="AW257" s="1513"/>
      <c r="AX257" s="1513"/>
      <c r="AY257" s="1513"/>
      <c r="AZ257" s="1513"/>
      <c r="BA257" s="1513"/>
      <c r="BB257" s="1513"/>
      <c r="BC257" s="1513"/>
      <c r="BD257" s="1513"/>
      <c r="BE257" s="1513"/>
      <c r="BF257" s="1513"/>
      <c r="BG257" s="1513"/>
      <c r="BH257" s="1513"/>
      <c r="BI257" s="1513"/>
      <c r="BJ257" s="1513"/>
      <c r="BK257" s="1513"/>
      <c r="BL257" s="1513"/>
      <c r="BM257" s="1513"/>
      <c r="BN257" s="1513"/>
      <c r="BO257" s="1513"/>
      <c r="BP257" s="1513"/>
      <c r="BQ257" s="1513"/>
      <c r="BR257" s="1513"/>
      <c r="BS257" s="1513"/>
      <c r="BT257" s="1513"/>
      <c r="BU257" s="1513"/>
      <c r="BV257" s="1513"/>
      <c r="BW257" s="1513"/>
      <c r="BX257" s="1513"/>
      <c r="BY257" s="1513"/>
      <c r="BZ257" s="1513"/>
      <c r="CA257" s="1513"/>
      <c r="CB257" s="1513"/>
      <c r="CC257" s="1513"/>
      <c r="CD257" s="1513"/>
      <c r="CE257" s="1513"/>
      <c r="CF257" s="1513"/>
      <c r="CG257" s="1513"/>
      <c r="CH257" s="1513"/>
      <c r="CI257" s="1513"/>
      <c r="CJ257" s="1513"/>
      <c r="CK257" s="1513"/>
      <c r="CL257" s="1513"/>
      <c r="CM257" s="1513"/>
      <c r="CN257" s="1513"/>
      <c r="CO257" s="1513"/>
      <c r="CP257" s="1513"/>
      <c r="CQ257" s="1513"/>
      <c r="CR257" s="1513"/>
      <c r="CS257" s="1513"/>
      <c r="CT257" s="1513"/>
      <c r="CU257" s="1513"/>
      <c r="CV257" s="1513"/>
      <c r="CW257" s="1513"/>
      <c r="CX257" s="1513"/>
      <c r="CY257" s="1513"/>
      <c r="CZ257" s="1513"/>
      <c r="DA257" s="1513"/>
      <c r="DB257" s="1513"/>
      <c r="DC257" s="1513"/>
      <c r="DD257" s="1513"/>
      <c r="DE257" s="1513"/>
      <c r="DF257" s="1513"/>
      <c r="DG257" s="1513"/>
      <c r="DH257" s="1513"/>
      <c r="DI257" s="1513"/>
      <c r="DJ257" s="1513"/>
      <c r="DK257" s="1513"/>
      <c r="DL257" s="1513"/>
      <c r="DM257" s="1513"/>
      <c r="DN257" s="1513"/>
      <c r="DO257" s="1513"/>
      <c r="DP257" s="1513"/>
      <c r="DQ257" s="1513"/>
      <c r="DR257" s="1513"/>
      <c r="DS257" s="1513"/>
      <c r="DT257" s="1513"/>
      <c r="DU257" s="1513"/>
      <c r="DV257" s="1513"/>
      <c r="DW257" s="1513"/>
      <c r="DX257" s="1513"/>
      <c r="DY257" s="1513"/>
      <c r="DZ257" s="1513"/>
      <c r="EA257" s="1513"/>
      <c r="EB257" s="1513"/>
      <c r="EC257" s="1513"/>
      <c r="ED257" s="1513"/>
      <c r="EE257" s="1513"/>
      <c r="EF257" s="1513"/>
      <c r="EG257" s="1513"/>
      <c r="EH257" s="1513"/>
      <c r="EI257" s="1513"/>
      <c r="EJ257" s="1513"/>
      <c r="EK257" s="1513"/>
      <c r="EL257" s="1513"/>
      <c r="EM257" s="1513"/>
      <c r="EN257" s="1513"/>
      <c r="EO257" s="1513"/>
      <c r="EP257" s="1513"/>
      <c r="EQ257" s="1513"/>
      <c r="ER257" s="1513"/>
      <c r="ES257" s="1513"/>
      <c r="ET257" s="1513"/>
      <c r="EU257" s="1513"/>
      <c r="EV257" s="1513"/>
      <c r="EW257" s="1513"/>
      <c r="EX257" s="1513"/>
      <c r="EY257" s="1513"/>
      <c r="EZ257" s="1513"/>
      <c r="FA257" s="1513"/>
      <c r="FB257" s="1513"/>
      <c r="FC257" s="1513"/>
      <c r="FD257" s="1513"/>
      <c r="FE257" s="1513"/>
      <c r="FF257" s="1513"/>
      <c r="FG257" s="1513"/>
      <c r="FH257" s="1513"/>
      <c r="FI257" s="1513"/>
      <c r="FJ257" s="1513"/>
    </row>
    <row r="258" spans="1:168" ht="17.100000000000001" customHeight="1" x14ac:dyDescent="0.15">
      <c r="A258" s="1513"/>
      <c r="B258" s="1513"/>
      <c r="C258" s="1513"/>
      <c r="D258" s="1513"/>
      <c r="E258" s="1513"/>
      <c r="F258" s="1513"/>
      <c r="G258" s="1513"/>
      <c r="H258" s="1513"/>
      <c r="I258" s="1513"/>
      <c r="J258" s="1513"/>
      <c r="K258" s="1513"/>
      <c r="L258" s="1513"/>
      <c r="M258" s="1513"/>
      <c r="N258" s="1513"/>
      <c r="O258" s="1513"/>
      <c r="P258" s="1513"/>
      <c r="Q258" s="1513"/>
      <c r="R258" s="1513"/>
      <c r="S258" s="1513"/>
      <c r="T258" s="1513"/>
      <c r="U258" s="1513"/>
      <c r="V258" s="1513"/>
      <c r="W258" s="1513"/>
      <c r="X258" s="1513"/>
      <c r="Y258" s="1513"/>
      <c r="Z258" s="1513"/>
      <c r="AA258" s="1513"/>
      <c r="AB258" s="1513"/>
      <c r="AC258" s="1513"/>
      <c r="AD258" s="1513"/>
      <c r="AE258" s="1513"/>
      <c r="AF258" s="1513"/>
      <c r="AG258" s="1513"/>
      <c r="AH258" s="1513"/>
      <c r="AI258" s="1513"/>
      <c r="AJ258" s="1513"/>
      <c r="AK258" s="1513"/>
      <c r="AL258" s="1513"/>
      <c r="AM258" s="1513"/>
      <c r="AN258" s="1513"/>
      <c r="AO258" s="1513"/>
      <c r="AP258" s="1513"/>
      <c r="AQ258" s="1513"/>
      <c r="AR258" s="1513"/>
      <c r="AS258" s="1513"/>
      <c r="AT258" s="1513"/>
      <c r="AU258" s="1513"/>
      <c r="AV258" s="1513"/>
      <c r="AW258" s="1513"/>
      <c r="AX258" s="1513"/>
      <c r="AY258" s="1513"/>
      <c r="AZ258" s="1513"/>
      <c r="BA258" s="1513"/>
      <c r="BB258" s="1513"/>
      <c r="BC258" s="1513"/>
      <c r="BD258" s="1513"/>
      <c r="BE258" s="1513"/>
      <c r="BF258" s="1513"/>
      <c r="BG258" s="1513"/>
      <c r="BH258" s="1513"/>
      <c r="BI258" s="1513"/>
      <c r="BJ258" s="1513"/>
      <c r="BK258" s="1513"/>
      <c r="BL258" s="1513"/>
      <c r="BM258" s="1513"/>
      <c r="BN258" s="1513"/>
      <c r="BO258" s="1513"/>
      <c r="BP258" s="1513"/>
      <c r="BQ258" s="1513"/>
      <c r="BR258" s="1513"/>
      <c r="BS258" s="1513"/>
      <c r="BT258" s="1513"/>
      <c r="BU258" s="1513"/>
      <c r="BV258" s="1513"/>
      <c r="BW258" s="1513"/>
      <c r="BX258" s="1513"/>
      <c r="BY258" s="1513"/>
      <c r="BZ258" s="1513"/>
      <c r="CA258" s="1513"/>
      <c r="CB258" s="1513"/>
      <c r="CC258" s="1513"/>
      <c r="CD258" s="1513"/>
      <c r="CE258" s="1513"/>
      <c r="CF258" s="1513"/>
      <c r="CG258" s="1513"/>
      <c r="CH258" s="1513"/>
      <c r="CI258" s="1513"/>
      <c r="CJ258" s="1513"/>
      <c r="CK258" s="1513"/>
      <c r="CL258" s="1513"/>
      <c r="CM258" s="1513"/>
      <c r="CN258" s="1513"/>
      <c r="CO258" s="1513"/>
      <c r="CP258" s="1513"/>
      <c r="CQ258" s="1513"/>
      <c r="CR258" s="1513"/>
      <c r="CS258" s="1513"/>
      <c r="CT258" s="1513"/>
      <c r="CU258" s="1513"/>
      <c r="CV258" s="1513"/>
      <c r="CW258" s="1513"/>
      <c r="CX258" s="1513"/>
      <c r="CY258" s="1513"/>
      <c r="CZ258" s="1513"/>
      <c r="DA258" s="1513"/>
      <c r="DB258" s="1513"/>
      <c r="DC258" s="1513"/>
      <c r="DD258" s="1513"/>
      <c r="DE258" s="1513"/>
      <c r="DF258" s="1513"/>
      <c r="DG258" s="1513"/>
      <c r="DH258" s="1513"/>
      <c r="DI258" s="1513"/>
      <c r="DJ258" s="1513"/>
      <c r="DK258" s="1513"/>
      <c r="DL258" s="1513"/>
      <c r="DM258" s="1513"/>
      <c r="DN258" s="1513"/>
      <c r="DO258" s="1513"/>
      <c r="DP258" s="1513"/>
      <c r="DQ258" s="1513"/>
      <c r="DR258" s="1513"/>
      <c r="DS258" s="1513"/>
      <c r="DT258" s="1513"/>
      <c r="DU258" s="1513"/>
      <c r="DV258" s="1513"/>
      <c r="DW258" s="1513"/>
      <c r="DX258" s="1513"/>
      <c r="DY258" s="1513"/>
      <c r="DZ258" s="1513"/>
      <c r="EA258" s="1513"/>
      <c r="EB258" s="1513"/>
      <c r="EC258" s="1513"/>
      <c r="ED258" s="1513"/>
      <c r="EE258" s="1513"/>
      <c r="EF258" s="1513"/>
      <c r="EG258" s="1513"/>
      <c r="EH258" s="1513"/>
      <c r="EI258" s="1513"/>
      <c r="EJ258" s="1513"/>
      <c r="EK258" s="1513"/>
      <c r="EL258" s="1513"/>
      <c r="EM258" s="1513"/>
      <c r="EN258" s="1513"/>
      <c r="EO258" s="1513"/>
      <c r="EP258" s="1513"/>
      <c r="EQ258" s="1513"/>
      <c r="ER258" s="1513"/>
      <c r="ES258" s="1513"/>
      <c r="ET258" s="1513"/>
      <c r="EU258" s="1513"/>
      <c r="EV258" s="1513"/>
      <c r="EW258" s="1513"/>
      <c r="EX258" s="1513"/>
      <c r="EY258" s="1513"/>
      <c r="EZ258" s="1513"/>
      <c r="FA258" s="1513"/>
      <c r="FB258" s="1513"/>
      <c r="FC258" s="1513"/>
      <c r="FD258" s="1513"/>
      <c r="FE258" s="1513"/>
      <c r="FF258" s="1513"/>
      <c r="FG258" s="1513"/>
      <c r="FH258" s="1513"/>
      <c r="FI258" s="1513"/>
      <c r="FJ258" s="1513"/>
    </row>
    <row r="259" spans="1:168" ht="17.100000000000001" customHeight="1" x14ac:dyDescent="0.15">
      <c r="A259" s="1513"/>
      <c r="B259" s="1513"/>
      <c r="C259" s="1513"/>
      <c r="D259" s="1513"/>
      <c r="E259" s="1513"/>
      <c r="F259" s="1513"/>
      <c r="G259" s="1513"/>
      <c r="H259" s="1513"/>
      <c r="I259" s="1513"/>
      <c r="J259" s="1513"/>
      <c r="K259" s="1513"/>
      <c r="L259" s="1513"/>
      <c r="M259" s="1513"/>
      <c r="N259" s="1513"/>
      <c r="O259" s="1513"/>
      <c r="P259" s="1513"/>
      <c r="Q259" s="1513"/>
      <c r="R259" s="1513"/>
      <c r="S259" s="1513"/>
      <c r="T259" s="1513"/>
      <c r="U259" s="1513"/>
      <c r="V259" s="1513"/>
      <c r="W259" s="1513"/>
      <c r="X259" s="1513"/>
      <c r="Y259" s="1513"/>
      <c r="Z259" s="1513"/>
      <c r="AA259" s="1513"/>
      <c r="AB259" s="1513"/>
      <c r="AC259" s="1513"/>
      <c r="AD259" s="1513"/>
      <c r="AE259" s="1513"/>
      <c r="AF259" s="1513"/>
      <c r="AG259" s="1513"/>
      <c r="AH259" s="1513"/>
      <c r="AI259" s="1513"/>
      <c r="AJ259" s="1513"/>
      <c r="AK259" s="1513"/>
      <c r="AL259" s="1513"/>
      <c r="AM259" s="1513"/>
      <c r="AN259" s="1513"/>
      <c r="AO259" s="1513"/>
      <c r="AP259" s="1513"/>
      <c r="AQ259" s="1513"/>
      <c r="AR259" s="1513"/>
      <c r="AS259" s="1513"/>
      <c r="AT259" s="1513"/>
      <c r="AU259" s="1513"/>
      <c r="AV259" s="1513"/>
      <c r="AW259" s="1513"/>
      <c r="AX259" s="1513"/>
      <c r="AY259" s="1513"/>
      <c r="AZ259" s="1513"/>
      <c r="BA259" s="1513"/>
      <c r="BB259" s="1513"/>
      <c r="BC259" s="1513"/>
      <c r="BD259" s="1513"/>
      <c r="BE259" s="1513"/>
      <c r="BF259" s="1513"/>
      <c r="BG259" s="1513"/>
      <c r="BH259" s="1513"/>
      <c r="BI259" s="1513"/>
      <c r="BJ259" s="1513"/>
      <c r="BK259" s="1513"/>
      <c r="BL259" s="1513"/>
      <c r="BM259" s="1513"/>
      <c r="BN259" s="1513"/>
      <c r="BO259" s="1513"/>
      <c r="BP259" s="1513"/>
      <c r="BQ259" s="1513"/>
      <c r="BR259" s="1513"/>
      <c r="BS259" s="1513"/>
      <c r="BT259" s="1513"/>
      <c r="BU259" s="1513"/>
      <c r="BV259" s="1513"/>
      <c r="BW259" s="1513"/>
      <c r="BX259" s="1513"/>
      <c r="BY259" s="1513"/>
      <c r="BZ259" s="1513"/>
      <c r="CA259" s="1513"/>
      <c r="CB259" s="1513"/>
      <c r="CC259" s="1513"/>
      <c r="CD259" s="1513"/>
      <c r="CE259" s="1513"/>
      <c r="CF259" s="1513"/>
      <c r="CG259" s="1513"/>
      <c r="CH259" s="1513"/>
      <c r="CI259" s="1513"/>
      <c r="CJ259" s="1513"/>
      <c r="CK259" s="1513"/>
      <c r="CL259" s="1513"/>
      <c r="CM259" s="1513"/>
      <c r="CN259" s="1513"/>
      <c r="CO259" s="1513"/>
      <c r="CP259" s="1513"/>
      <c r="CQ259" s="1513"/>
      <c r="CR259" s="1513"/>
      <c r="CS259" s="1513"/>
      <c r="CT259" s="1513"/>
      <c r="CU259" s="1513"/>
      <c r="CV259" s="1513"/>
      <c r="CW259" s="1513"/>
      <c r="CX259" s="1513"/>
      <c r="CY259" s="1513"/>
      <c r="CZ259" s="1513"/>
      <c r="DA259" s="1513"/>
      <c r="DB259" s="1513"/>
      <c r="DC259" s="1513"/>
      <c r="DD259" s="1513"/>
      <c r="DE259" s="1513"/>
      <c r="DF259" s="1513"/>
      <c r="DG259" s="1513"/>
      <c r="DH259" s="1513"/>
      <c r="DI259" s="1513"/>
      <c r="DJ259" s="1513"/>
      <c r="DK259" s="1513"/>
      <c r="DL259" s="1513"/>
      <c r="DM259" s="1513"/>
      <c r="DN259" s="1513"/>
      <c r="DO259" s="1513"/>
      <c r="DP259" s="1513"/>
      <c r="DQ259" s="1513"/>
      <c r="DR259" s="1513"/>
      <c r="DS259" s="1513"/>
      <c r="DT259" s="1513"/>
      <c r="DU259" s="1513"/>
      <c r="DV259" s="1513"/>
      <c r="DW259" s="1513"/>
      <c r="DX259" s="1513"/>
      <c r="DY259" s="1513"/>
      <c r="DZ259" s="1513"/>
      <c r="EA259" s="1513"/>
      <c r="EB259" s="1513"/>
      <c r="EC259" s="1513"/>
      <c r="ED259" s="1513"/>
      <c r="EE259" s="1513"/>
      <c r="EF259" s="1513"/>
      <c r="EG259" s="1513"/>
      <c r="EH259" s="1513"/>
      <c r="EI259" s="1513"/>
      <c r="EJ259" s="1513"/>
      <c r="EK259" s="1513"/>
      <c r="EL259" s="1513"/>
      <c r="EM259" s="1513"/>
      <c r="EN259" s="1513"/>
      <c r="EO259" s="1513"/>
      <c r="EP259" s="1513"/>
      <c r="EQ259" s="1513"/>
      <c r="ER259" s="1513"/>
      <c r="ES259" s="1513"/>
      <c r="ET259" s="1513"/>
      <c r="EU259" s="1513"/>
      <c r="EV259" s="1513"/>
      <c r="EW259" s="1513"/>
      <c r="EX259" s="1513"/>
      <c r="EY259" s="1513"/>
      <c r="EZ259" s="1513"/>
      <c r="FA259" s="1513"/>
      <c r="FB259" s="1513"/>
      <c r="FC259" s="1513"/>
      <c r="FD259" s="1513"/>
      <c r="FE259" s="1513"/>
      <c r="FF259" s="1513"/>
      <c r="FG259" s="1513"/>
      <c r="FH259" s="1513"/>
      <c r="FI259" s="1513"/>
      <c r="FJ259" s="1513"/>
    </row>
    <row r="260" spans="1:168" ht="17.100000000000001" customHeight="1" x14ac:dyDescent="0.15">
      <c r="A260" s="1513"/>
      <c r="B260" s="1513"/>
      <c r="C260" s="1513"/>
      <c r="D260" s="1513"/>
      <c r="E260" s="1513"/>
      <c r="F260" s="1513"/>
      <c r="G260" s="1513"/>
      <c r="H260" s="1513"/>
      <c r="I260" s="1513"/>
      <c r="J260" s="1513"/>
      <c r="K260" s="1513"/>
      <c r="L260" s="1513"/>
      <c r="M260" s="1513"/>
      <c r="N260" s="1513"/>
      <c r="O260" s="1513"/>
      <c r="P260" s="1513"/>
      <c r="Q260" s="1513"/>
      <c r="R260" s="1513"/>
      <c r="S260" s="1513"/>
      <c r="T260" s="1513"/>
      <c r="U260" s="1513"/>
      <c r="V260" s="1513"/>
      <c r="W260" s="1513"/>
      <c r="X260" s="1513"/>
      <c r="Y260" s="1513"/>
      <c r="Z260" s="1513"/>
      <c r="AA260" s="1513"/>
      <c r="AB260" s="1513"/>
      <c r="AC260" s="1513"/>
      <c r="AD260" s="1513"/>
      <c r="AE260" s="1513"/>
      <c r="AF260" s="1513"/>
      <c r="AG260" s="1513"/>
      <c r="AH260" s="1513"/>
      <c r="AI260" s="1513"/>
      <c r="AJ260" s="1513"/>
      <c r="AK260" s="1513"/>
      <c r="AL260" s="1513"/>
      <c r="AM260" s="1513"/>
      <c r="AN260" s="1513"/>
      <c r="AO260" s="1513"/>
      <c r="AP260" s="1513"/>
      <c r="AQ260" s="1513"/>
      <c r="AR260" s="1513"/>
      <c r="AS260" s="1513"/>
      <c r="AT260" s="1513"/>
      <c r="AU260" s="1513"/>
      <c r="AV260" s="1513"/>
      <c r="AW260" s="1513"/>
      <c r="AX260" s="1513"/>
      <c r="AY260" s="1513"/>
      <c r="AZ260" s="1513"/>
      <c r="BA260" s="1513"/>
      <c r="BB260" s="1513"/>
      <c r="BC260" s="1513"/>
      <c r="BD260" s="1513"/>
      <c r="BE260" s="1513"/>
      <c r="BF260" s="1513"/>
      <c r="BG260" s="1513"/>
      <c r="BH260" s="1513"/>
      <c r="BI260" s="1513"/>
      <c r="BJ260" s="1513"/>
      <c r="BK260" s="1513"/>
      <c r="BL260" s="1513"/>
      <c r="BM260" s="1513"/>
      <c r="BN260" s="1513"/>
      <c r="BO260" s="1513"/>
      <c r="BP260" s="1513"/>
      <c r="BQ260" s="1513"/>
      <c r="BR260" s="1513"/>
      <c r="BS260" s="1513"/>
      <c r="BT260" s="1513"/>
      <c r="BU260" s="1513"/>
      <c r="BV260" s="1513"/>
      <c r="BW260" s="1513"/>
      <c r="BX260" s="1513"/>
      <c r="BY260" s="1513"/>
      <c r="BZ260" s="1513"/>
      <c r="CA260" s="1513"/>
      <c r="CB260" s="1513"/>
      <c r="CC260" s="1513"/>
      <c r="CD260" s="1513"/>
      <c r="CE260" s="1513"/>
      <c r="CF260" s="1513"/>
      <c r="CG260" s="1513"/>
      <c r="CH260" s="1513"/>
      <c r="CI260" s="1513"/>
      <c r="CJ260" s="1513"/>
      <c r="CK260" s="1513"/>
      <c r="CL260" s="1513"/>
      <c r="CM260" s="1513"/>
      <c r="CN260" s="1513"/>
      <c r="CO260" s="1513"/>
      <c r="CP260" s="1513"/>
      <c r="CQ260" s="1513"/>
      <c r="CR260" s="1513"/>
      <c r="CS260" s="1513"/>
      <c r="CT260" s="1513"/>
      <c r="CU260" s="1513"/>
      <c r="CV260" s="1513"/>
      <c r="CW260" s="1513"/>
      <c r="CX260" s="1513"/>
      <c r="CY260" s="1513"/>
      <c r="CZ260" s="1513"/>
      <c r="DA260" s="1513"/>
      <c r="DB260" s="1513"/>
      <c r="DC260" s="1513"/>
      <c r="DD260" s="1513"/>
      <c r="DE260" s="1513"/>
      <c r="DF260" s="1513"/>
      <c r="DG260" s="1513"/>
      <c r="DH260" s="1513"/>
      <c r="DI260" s="1513"/>
      <c r="DJ260" s="1513"/>
      <c r="DK260" s="1513"/>
      <c r="DL260" s="1513"/>
      <c r="DM260" s="1513"/>
      <c r="DN260" s="1513"/>
      <c r="DO260" s="1513"/>
      <c r="DP260" s="1513"/>
      <c r="DQ260" s="1513"/>
      <c r="DR260" s="1513"/>
      <c r="DS260" s="1513"/>
      <c r="DT260" s="1513"/>
      <c r="DU260" s="1513"/>
      <c r="DV260" s="1513"/>
      <c r="DW260" s="1513"/>
      <c r="DX260" s="1513"/>
      <c r="DY260" s="1513"/>
      <c r="DZ260" s="1513"/>
      <c r="EA260" s="1513"/>
      <c r="EB260" s="1513"/>
      <c r="EC260" s="1513"/>
      <c r="ED260" s="1513"/>
      <c r="EE260" s="1513"/>
      <c r="EF260" s="1513"/>
      <c r="EG260" s="1513"/>
      <c r="EH260" s="1513"/>
      <c r="EI260" s="1513"/>
      <c r="EJ260" s="1513"/>
      <c r="EK260" s="1513"/>
      <c r="EL260" s="1513"/>
      <c r="EM260" s="1513"/>
      <c r="EN260" s="1513"/>
      <c r="EO260" s="1513"/>
      <c r="EP260" s="1513"/>
      <c r="EQ260" s="1513"/>
      <c r="ER260" s="1513"/>
      <c r="ES260" s="1513"/>
      <c r="ET260" s="1513"/>
      <c r="EU260" s="1513"/>
      <c r="EV260" s="1513"/>
      <c r="EW260" s="1513"/>
      <c r="EX260" s="1513"/>
      <c r="EY260" s="1513"/>
      <c r="EZ260" s="1513"/>
      <c r="FA260" s="1513"/>
      <c r="FB260" s="1513"/>
      <c r="FC260" s="1513"/>
      <c r="FD260" s="1513"/>
      <c r="FE260" s="1513"/>
      <c r="FF260" s="1513"/>
      <c r="FG260" s="1513"/>
      <c r="FH260" s="1513"/>
      <c r="FI260" s="1513"/>
      <c r="FJ260" s="1513"/>
      <c r="FL260" s="1513"/>
    </row>
    <row r="261" spans="1:168" ht="17.100000000000001" customHeight="1" x14ac:dyDescent="0.15">
      <c r="A261" s="1513"/>
      <c r="B261" s="1513"/>
      <c r="C261" s="1513"/>
      <c r="D261" s="1513"/>
      <c r="E261" s="1513"/>
      <c r="F261" s="1513"/>
      <c r="G261" s="1513"/>
      <c r="H261" s="1513"/>
      <c r="I261" s="1513"/>
      <c r="J261" s="1513"/>
      <c r="K261" s="1513"/>
      <c r="L261" s="1513"/>
      <c r="M261" s="1513"/>
      <c r="N261" s="1513"/>
      <c r="O261" s="1513"/>
      <c r="P261" s="1513"/>
      <c r="Q261" s="1513"/>
      <c r="R261" s="1513"/>
      <c r="S261" s="1513"/>
      <c r="T261" s="1513"/>
      <c r="U261" s="1513"/>
      <c r="V261" s="1513"/>
      <c r="W261" s="1513"/>
      <c r="X261" s="1513"/>
      <c r="Y261" s="1513"/>
      <c r="Z261" s="1513"/>
      <c r="AA261" s="1513"/>
      <c r="AB261" s="1513"/>
      <c r="AC261" s="1513"/>
      <c r="AD261" s="1513"/>
      <c r="AE261" s="1513"/>
      <c r="AF261" s="1513"/>
      <c r="AG261" s="1513"/>
      <c r="AH261" s="1513"/>
      <c r="AI261" s="1513"/>
      <c r="AJ261" s="1513"/>
      <c r="AK261" s="1513"/>
      <c r="AL261" s="1513"/>
      <c r="AM261" s="1513"/>
      <c r="AN261" s="1513"/>
      <c r="AO261" s="1513"/>
      <c r="AP261" s="1513"/>
      <c r="AQ261" s="1513"/>
      <c r="AR261" s="1513"/>
      <c r="AS261" s="1513"/>
      <c r="AT261" s="1513"/>
      <c r="AU261" s="1513"/>
      <c r="AV261" s="1513"/>
      <c r="AW261" s="1513"/>
      <c r="AX261" s="1513"/>
      <c r="AY261" s="1513"/>
      <c r="AZ261" s="1513"/>
      <c r="BA261" s="1513"/>
      <c r="BB261" s="1513"/>
      <c r="BC261" s="1513"/>
      <c r="BD261" s="1513"/>
      <c r="BE261" s="1513"/>
      <c r="BF261" s="1513"/>
      <c r="BG261" s="1513"/>
      <c r="BH261" s="1513"/>
      <c r="BI261" s="1513"/>
      <c r="BJ261" s="1513"/>
      <c r="BK261" s="1513"/>
      <c r="BL261" s="1513"/>
      <c r="BM261" s="1513"/>
      <c r="BN261" s="1513"/>
      <c r="BO261" s="1513"/>
      <c r="BP261" s="1513"/>
      <c r="BQ261" s="1513"/>
      <c r="BR261" s="1513"/>
      <c r="BS261" s="1513"/>
      <c r="BT261" s="1513"/>
      <c r="BU261" s="1513"/>
      <c r="BV261" s="1513"/>
      <c r="BW261" s="1513"/>
      <c r="BX261" s="1513"/>
      <c r="BY261" s="1513"/>
      <c r="BZ261" s="1513"/>
      <c r="CA261" s="1513"/>
      <c r="CB261" s="1513"/>
      <c r="CC261" s="1513"/>
      <c r="CD261" s="1513"/>
      <c r="CE261" s="1513"/>
      <c r="CF261" s="1513"/>
      <c r="CG261" s="1513"/>
      <c r="CH261" s="1513"/>
      <c r="CI261" s="1513"/>
      <c r="CJ261" s="1513"/>
      <c r="CK261" s="1513"/>
      <c r="CL261" s="1513"/>
      <c r="CM261" s="1513"/>
      <c r="CN261" s="1513"/>
      <c r="CO261" s="1513"/>
      <c r="CP261" s="1513"/>
      <c r="CQ261" s="1513"/>
      <c r="CR261" s="1513"/>
      <c r="CS261" s="1513"/>
      <c r="CT261" s="1513"/>
      <c r="CU261" s="1513"/>
      <c r="CV261" s="1513"/>
      <c r="CW261" s="1513"/>
      <c r="CX261" s="1513"/>
      <c r="CY261" s="1513"/>
      <c r="CZ261" s="1513"/>
      <c r="DA261" s="1513"/>
      <c r="DB261" s="1513"/>
      <c r="DC261" s="1513"/>
      <c r="DD261" s="1513"/>
      <c r="DE261" s="1513"/>
      <c r="DF261" s="1513"/>
      <c r="DG261" s="1513"/>
      <c r="DH261" s="1513"/>
      <c r="DI261" s="1513"/>
      <c r="DJ261" s="1513"/>
      <c r="DK261" s="1513"/>
      <c r="DL261" s="1513"/>
      <c r="DM261" s="1513"/>
      <c r="DN261" s="1513"/>
      <c r="DO261" s="1513"/>
      <c r="DP261" s="1513"/>
      <c r="DQ261" s="1513"/>
      <c r="DR261" s="1513"/>
      <c r="DS261" s="1513"/>
      <c r="DT261" s="1513"/>
      <c r="DU261" s="1513"/>
      <c r="DV261" s="1513"/>
      <c r="DW261" s="1513"/>
      <c r="DX261" s="1513"/>
      <c r="DY261" s="1513"/>
      <c r="DZ261" s="1513"/>
      <c r="EA261" s="1513"/>
      <c r="EB261" s="1513"/>
      <c r="EC261" s="1513"/>
      <c r="ED261" s="1513"/>
      <c r="EE261" s="1513"/>
      <c r="EF261" s="1513"/>
      <c r="EG261" s="1513"/>
      <c r="EH261" s="1513"/>
      <c r="EI261" s="1513"/>
      <c r="EJ261" s="1513"/>
      <c r="EK261" s="1513"/>
      <c r="EL261" s="1513"/>
      <c r="EM261" s="1513"/>
      <c r="EN261" s="1513"/>
      <c r="EO261" s="1513"/>
      <c r="EP261" s="1513"/>
      <c r="EQ261" s="1513"/>
      <c r="ER261" s="1513"/>
      <c r="ES261" s="1513"/>
      <c r="ET261" s="1513"/>
      <c r="EU261" s="1513"/>
      <c r="EV261" s="1513"/>
      <c r="EW261" s="1513"/>
      <c r="EX261" s="1513"/>
      <c r="EY261" s="1513"/>
      <c r="EZ261" s="1513"/>
      <c r="FA261" s="1513"/>
      <c r="FB261" s="1513"/>
      <c r="FC261" s="1513"/>
      <c r="FD261" s="1513"/>
      <c r="FE261" s="1513"/>
      <c r="FF261" s="1513"/>
      <c r="FG261" s="1513"/>
      <c r="FH261" s="1513"/>
      <c r="FI261" s="1513"/>
      <c r="FJ261" s="1513"/>
      <c r="FL261" s="1513"/>
    </row>
    <row r="262" spans="1:168" ht="17.100000000000001" customHeight="1" x14ac:dyDescent="0.15">
      <c r="A262" s="1513"/>
      <c r="B262" s="1513"/>
      <c r="C262" s="1513"/>
      <c r="D262" s="1513"/>
      <c r="E262" s="1513"/>
      <c r="F262" s="1513"/>
      <c r="G262" s="1513"/>
      <c r="H262" s="1513"/>
      <c r="I262" s="1513"/>
      <c r="J262" s="1513"/>
      <c r="K262" s="1513"/>
      <c r="L262" s="1513"/>
      <c r="M262" s="1513"/>
      <c r="N262" s="1513"/>
      <c r="O262" s="1513"/>
      <c r="P262" s="1513"/>
      <c r="Q262" s="1513"/>
      <c r="R262" s="1513"/>
      <c r="S262" s="1513"/>
      <c r="T262" s="1513"/>
      <c r="U262" s="1513"/>
      <c r="V262" s="1513"/>
      <c r="W262" s="1513"/>
      <c r="X262" s="1513"/>
      <c r="Y262" s="1513"/>
      <c r="Z262" s="1513"/>
      <c r="AA262" s="1513"/>
      <c r="AB262" s="1513"/>
      <c r="AC262" s="1513"/>
      <c r="AD262" s="1513"/>
      <c r="AE262" s="1513"/>
      <c r="AF262" s="1513"/>
      <c r="AG262" s="1513"/>
      <c r="AH262" s="1513"/>
      <c r="AI262" s="1513"/>
      <c r="AJ262" s="1513"/>
      <c r="AK262" s="1513"/>
      <c r="AL262" s="1513"/>
      <c r="AM262" s="1513"/>
      <c r="AN262" s="1513"/>
      <c r="AO262" s="1513"/>
      <c r="AP262" s="1513"/>
      <c r="AQ262" s="1513"/>
      <c r="AR262" s="1513"/>
      <c r="AS262" s="1513"/>
      <c r="AT262" s="1513"/>
      <c r="AU262" s="1513"/>
      <c r="AV262" s="1513"/>
      <c r="AW262" s="1513"/>
      <c r="AX262" s="1513"/>
      <c r="AY262" s="1513"/>
      <c r="AZ262" s="1513"/>
      <c r="BA262" s="1513"/>
      <c r="BB262" s="1513"/>
      <c r="BC262" s="1513"/>
      <c r="BD262" s="1513"/>
      <c r="BE262" s="1513"/>
      <c r="BF262" s="1513"/>
      <c r="BG262" s="1513"/>
      <c r="BH262" s="1513"/>
      <c r="BI262" s="1513"/>
      <c r="BJ262" s="1513"/>
      <c r="BK262" s="1513"/>
      <c r="BL262" s="1513"/>
      <c r="BM262" s="1513"/>
      <c r="BN262" s="1513"/>
      <c r="BO262" s="1513"/>
      <c r="BP262" s="1513"/>
      <c r="BQ262" s="1513"/>
      <c r="BR262" s="1513"/>
      <c r="BS262" s="1513"/>
      <c r="BT262" s="1513"/>
      <c r="BU262" s="1513"/>
      <c r="BV262" s="1513"/>
      <c r="BW262" s="1513"/>
      <c r="BX262" s="1513"/>
      <c r="BY262" s="1513"/>
      <c r="BZ262" s="1513"/>
      <c r="CA262" s="1513"/>
      <c r="CB262" s="1513"/>
      <c r="CC262" s="1513"/>
      <c r="CD262" s="1513"/>
      <c r="CE262" s="1513"/>
      <c r="CF262" s="1513"/>
      <c r="CG262" s="1513"/>
      <c r="CH262" s="1513"/>
      <c r="CI262" s="1513"/>
      <c r="CJ262" s="1513"/>
      <c r="CK262" s="1513"/>
      <c r="CL262" s="1513"/>
      <c r="CM262" s="1513"/>
      <c r="CN262" s="1513"/>
      <c r="CO262" s="1513"/>
      <c r="CP262" s="1513"/>
      <c r="CQ262" s="1513"/>
      <c r="CR262" s="1513"/>
      <c r="CS262" s="1513"/>
      <c r="CT262" s="1513"/>
      <c r="CU262" s="1513"/>
      <c r="CV262" s="1513"/>
      <c r="CW262" s="1513"/>
      <c r="CX262" s="1513"/>
      <c r="CY262" s="1513"/>
      <c r="CZ262" s="1513"/>
      <c r="DA262" s="1513"/>
      <c r="DB262" s="1513"/>
      <c r="DC262" s="1513"/>
      <c r="DD262" s="1513"/>
      <c r="DE262" s="1513"/>
      <c r="DF262" s="1513"/>
      <c r="DG262" s="1513"/>
      <c r="DH262" s="1513"/>
      <c r="DI262" s="1513"/>
      <c r="DJ262" s="1513"/>
      <c r="DK262" s="1513"/>
      <c r="DL262" s="1513"/>
      <c r="DM262" s="1513"/>
      <c r="DN262" s="1513"/>
      <c r="DO262" s="1513"/>
      <c r="DP262" s="1513"/>
      <c r="DQ262" s="1513"/>
      <c r="DR262" s="1513"/>
      <c r="DS262" s="1513"/>
      <c r="DT262" s="1513"/>
      <c r="DU262" s="1513"/>
      <c r="DV262" s="1513"/>
      <c r="DW262" s="1513"/>
      <c r="DX262" s="1513"/>
      <c r="DY262" s="1513"/>
      <c r="DZ262" s="1513"/>
      <c r="EA262" s="1513"/>
      <c r="EB262" s="1513"/>
      <c r="EC262" s="1513"/>
      <c r="ED262" s="1513"/>
      <c r="EE262" s="1513"/>
      <c r="EF262" s="1513"/>
      <c r="EG262" s="1513"/>
      <c r="EH262" s="1513"/>
      <c r="EI262" s="1513"/>
      <c r="EJ262" s="1513"/>
      <c r="EK262" s="1513"/>
      <c r="EL262" s="1513"/>
      <c r="EM262" s="1513"/>
      <c r="EN262" s="1513"/>
      <c r="EO262" s="1513"/>
      <c r="EP262" s="1513"/>
      <c r="EQ262" s="1513"/>
      <c r="ER262" s="1513"/>
      <c r="ES262" s="1513"/>
      <c r="ET262" s="1513"/>
      <c r="EU262" s="1513"/>
      <c r="EV262" s="1513"/>
      <c r="EW262" s="1513"/>
      <c r="EX262" s="1513"/>
      <c r="EY262" s="1513"/>
      <c r="EZ262" s="1513"/>
      <c r="FA262" s="1513"/>
      <c r="FB262" s="1513"/>
      <c r="FC262" s="1513"/>
      <c r="FD262" s="1513"/>
      <c r="FE262" s="1513"/>
      <c r="FF262" s="1513"/>
      <c r="FG262" s="1513"/>
      <c r="FH262" s="1513"/>
      <c r="FI262" s="1513"/>
      <c r="FJ262" s="1513"/>
    </row>
    <row r="263" spans="1:168" ht="17.100000000000001" customHeight="1" x14ac:dyDescent="0.15">
      <c r="A263" s="1513"/>
      <c r="B263" s="1513"/>
      <c r="C263" s="1513"/>
      <c r="D263" s="1513"/>
      <c r="E263" s="1513"/>
      <c r="F263" s="1513"/>
      <c r="G263" s="1513"/>
      <c r="H263" s="1513"/>
      <c r="I263" s="1513"/>
      <c r="J263" s="1513"/>
      <c r="K263" s="1513"/>
      <c r="L263" s="1513"/>
      <c r="M263" s="1513"/>
      <c r="N263" s="1513"/>
      <c r="O263" s="1513"/>
      <c r="P263" s="1513"/>
      <c r="Q263" s="1513"/>
      <c r="R263" s="1513"/>
      <c r="S263" s="1513"/>
      <c r="T263" s="1513"/>
      <c r="U263" s="1513"/>
      <c r="V263" s="1513"/>
      <c r="W263" s="1513"/>
      <c r="X263" s="1513"/>
      <c r="Y263" s="1513"/>
      <c r="Z263" s="1513"/>
      <c r="AA263" s="1513"/>
      <c r="AB263" s="1513"/>
      <c r="AC263" s="1513"/>
      <c r="AD263" s="1513"/>
      <c r="AE263" s="1513"/>
      <c r="AF263" s="1513"/>
      <c r="AG263" s="1513"/>
      <c r="AH263" s="1513"/>
      <c r="AI263" s="1513"/>
      <c r="AJ263" s="1513"/>
      <c r="AK263" s="1513"/>
      <c r="AL263" s="1513"/>
      <c r="AM263" s="1513"/>
      <c r="AN263" s="1513"/>
      <c r="AO263" s="1513"/>
      <c r="AP263" s="1513"/>
      <c r="AQ263" s="1513"/>
      <c r="AR263" s="1513"/>
      <c r="AS263" s="1513"/>
      <c r="AT263" s="1513"/>
      <c r="AU263" s="1513"/>
      <c r="AV263" s="1513"/>
      <c r="AW263" s="1513"/>
      <c r="AX263" s="1513"/>
      <c r="AY263" s="1513"/>
      <c r="AZ263" s="1513"/>
      <c r="BA263" s="1513"/>
      <c r="BB263" s="1513"/>
      <c r="BC263" s="1513"/>
      <c r="BD263" s="1513"/>
      <c r="BE263" s="1513"/>
      <c r="BF263" s="1513"/>
      <c r="BG263" s="1513"/>
      <c r="BH263" s="1513"/>
      <c r="BI263" s="1513"/>
      <c r="BJ263" s="1513"/>
      <c r="BK263" s="1513"/>
      <c r="BL263" s="1513"/>
      <c r="BM263" s="1513"/>
      <c r="BN263" s="1513"/>
      <c r="BO263" s="1513"/>
      <c r="BP263" s="1513"/>
      <c r="BQ263" s="1513"/>
      <c r="BR263" s="1513"/>
      <c r="BS263" s="1513"/>
      <c r="BT263" s="1513"/>
      <c r="BU263" s="1513"/>
      <c r="BV263" s="1513"/>
      <c r="BW263" s="1513"/>
      <c r="BX263" s="1513"/>
      <c r="BY263" s="1513"/>
      <c r="BZ263" s="1513"/>
      <c r="CA263" s="1513"/>
      <c r="CB263" s="1513"/>
      <c r="CC263" s="1513"/>
      <c r="CD263" s="1513"/>
      <c r="CE263" s="1513"/>
      <c r="CF263" s="1513"/>
      <c r="CG263" s="1513"/>
      <c r="CH263" s="1513"/>
      <c r="CI263" s="1513"/>
      <c r="CJ263" s="1513"/>
      <c r="CK263" s="1513"/>
      <c r="CL263" s="1513"/>
      <c r="CM263" s="1513"/>
      <c r="CN263" s="1513"/>
      <c r="CO263" s="1513"/>
      <c r="CP263" s="1513"/>
      <c r="CQ263" s="1513"/>
      <c r="CR263" s="1513"/>
      <c r="CS263" s="1513"/>
      <c r="CT263" s="1513"/>
      <c r="CU263" s="1513"/>
      <c r="CV263" s="1513"/>
      <c r="CW263" s="1513"/>
      <c r="CX263" s="1513"/>
      <c r="CY263" s="1513"/>
      <c r="CZ263" s="1513"/>
      <c r="DA263" s="1513"/>
      <c r="DB263" s="1513"/>
      <c r="DC263" s="1513"/>
      <c r="DD263" s="1513"/>
      <c r="DE263" s="1513"/>
      <c r="DF263" s="1513"/>
      <c r="DG263" s="1513"/>
      <c r="DH263" s="1513"/>
      <c r="DI263" s="1513"/>
      <c r="DJ263" s="1513"/>
      <c r="DK263" s="1513"/>
      <c r="DL263" s="1513"/>
      <c r="DM263" s="1513"/>
      <c r="DN263" s="1513"/>
      <c r="DO263" s="1513"/>
      <c r="DP263" s="1513"/>
      <c r="DQ263" s="1513"/>
      <c r="DR263" s="1513"/>
      <c r="DS263" s="1513"/>
      <c r="DT263" s="1513"/>
      <c r="DU263" s="1513"/>
      <c r="DV263" s="1513"/>
      <c r="DW263" s="1513"/>
      <c r="DX263" s="1513"/>
      <c r="DY263" s="1513"/>
      <c r="DZ263" s="1513"/>
      <c r="EA263" s="1513"/>
      <c r="EB263" s="1513"/>
      <c r="EC263" s="1513"/>
      <c r="ED263" s="1513"/>
      <c r="EE263" s="1513"/>
      <c r="EF263" s="1513"/>
      <c r="EG263" s="1513"/>
      <c r="EH263" s="1513"/>
      <c r="EI263" s="1513"/>
      <c r="EJ263" s="1513"/>
      <c r="EK263" s="1513"/>
      <c r="EL263" s="1513"/>
      <c r="EM263" s="1513"/>
      <c r="EN263" s="1513"/>
      <c r="EO263" s="1513"/>
      <c r="EP263" s="1513"/>
      <c r="EQ263" s="1513"/>
      <c r="ER263" s="1513"/>
      <c r="ES263" s="1513"/>
      <c r="ET263" s="1513"/>
      <c r="EU263" s="1513"/>
      <c r="EV263" s="1513"/>
      <c r="EW263" s="1513"/>
      <c r="EX263" s="1513"/>
      <c r="EY263" s="1513"/>
      <c r="EZ263" s="1513"/>
      <c r="FA263" s="1513"/>
      <c r="FB263" s="1513"/>
      <c r="FC263" s="1513"/>
      <c r="FD263" s="1513"/>
      <c r="FE263" s="1513"/>
      <c r="FF263" s="1513"/>
      <c r="FG263" s="1513"/>
      <c r="FH263" s="1513"/>
      <c r="FI263" s="1513"/>
      <c r="FJ263" s="1513"/>
    </row>
    <row r="264" spans="1:168" ht="17.100000000000001" customHeight="1" x14ac:dyDescent="0.15">
      <c r="A264" s="1513"/>
      <c r="B264" s="1513"/>
      <c r="C264" s="1513"/>
      <c r="D264" s="1513"/>
      <c r="E264" s="1513"/>
      <c r="F264" s="1513"/>
      <c r="G264" s="1513"/>
      <c r="H264" s="1513"/>
      <c r="I264" s="1513"/>
      <c r="J264" s="1513"/>
      <c r="K264" s="1513"/>
      <c r="L264" s="1513"/>
      <c r="M264" s="1513"/>
      <c r="N264" s="1513"/>
      <c r="O264" s="1513"/>
      <c r="P264" s="1513"/>
      <c r="Q264" s="1513"/>
      <c r="R264" s="1513"/>
      <c r="S264" s="1513"/>
      <c r="T264" s="1513"/>
      <c r="U264" s="1513"/>
      <c r="V264" s="1513"/>
      <c r="W264" s="1513"/>
      <c r="X264" s="1513"/>
      <c r="Y264" s="1513"/>
      <c r="Z264" s="1513"/>
      <c r="AA264" s="1513"/>
      <c r="AB264" s="1513"/>
      <c r="AC264" s="1513"/>
      <c r="AD264" s="1513"/>
      <c r="AE264" s="1513"/>
      <c r="AF264" s="1513"/>
      <c r="AG264" s="1513"/>
      <c r="AH264" s="1513"/>
      <c r="AI264" s="1513"/>
      <c r="AJ264" s="1513"/>
      <c r="AK264" s="1513"/>
      <c r="AL264" s="1513"/>
      <c r="AM264" s="1513"/>
      <c r="AN264" s="1513"/>
      <c r="AO264" s="1513"/>
      <c r="AP264" s="1513"/>
      <c r="AQ264" s="1513"/>
      <c r="AR264" s="1513"/>
      <c r="AS264" s="1513"/>
      <c r="AT264" s="1513"/>
      <c r="AU264" s="1513"/>
      <c r="AV264" s="1513"/>
      <c r="AW264" s="1513"/>
      <c r="AX264" s="1513"/>
      <c r="AY264" s="1513"/>
      <c r="AZ264" s="1513"/>
      <c r="BA264" s="1513"/>
      <c r="BB264" s="1513"/>
      <c r="BC264" s="1513"/>
      <c r="BD264" s="1513"/>
      <c r="BE264" s="1513"/>
      <c r="BF264" s="1513"/>
      <c r="BG264" s="1513"/>
      <c r="BH264" s="1513"/>
      <c r="BI264" s="1513"/>
      <c r="BJ264" s="1513"/>
      <c r="BK264" s="1513"/>
      <c r="BL264" s="1513"/>
      <c r="BM264" s="1513"/>
      <c r="BN264" s="1513"/>
      <c r="BO264" s="1513"/>
      <c r="BP264" s="1513"/>
      <c r="BQ264" s="1513"/>
      <c r="BR264" s="1513"/>
      <c r="BS264" s="1513"/>
      <c r="BT264" s="1513"/>
      <c r="BU264" s="1513"/>
      <c r="BV264" s="1513"/>
      <c r="BW264" s="1513"/>
      <c r="BX264" s="1513"/>
      <c r="BY264" s="1513"/>
      <c r="BZ264" s="1513"/>
      <c r="CA264" s="1513"/>
      <c r="CB264" s="1513"/>
      <c r="CC264" s="1513"/>
      <c r="CD264" s="1513"/>
      <c r="CE264" s="1513"/>
      <c r="CF264" s="1513"/>
      <c r="CG264" s="1513"/>
      <c r="CH264" s="1513"/>
      <c r="CI264" s="1513"/>
      <c r="CJ264" s="1513"/>
      <c r="CK264" s="1513"/>
      <c r="CL264" s="1513"/>
      <c r="CM264" s="1513"/>
      <c r="CN264" s="1513"/>
      <c r="CO264" s="1513"/>
      <c r="CP264" s="1513"/>
      <c r="CQ264" s="1513"/>
      <c r="CR264" s="1513"/>
      <c r="CS264" s="1513"/>
      <c r="CT264" s="1513"/>
      <c r="CU264" s="1513"/>
      <c r="CV264" s="1513"/>
      <c r="CW264" s="1513"/>
      <c r="CX264" s="1513"/>
      <c r="CY264" s="1513"/>
      <c r="CZ264" s="1513"/>
      <c r="DA264" s="1513"/>
      <c r="DB264" s="1513"/>
      <c r="DC264" s="1513"/>
      <c r="DD264" s="1513"/>
      <c r="DE264" s="1513"/>
      <c r="DF264" s="1513"/>
      <c r="DG264" s="1513"/>
      <c r="DH264" s="1513"/>
      <c r="DI264" s="1513"/>
      <c r="DJ264" s="1513"/>
      <c r="DK264" s="1513"/>
      <c r="DL264" s="1513"/>
      <c r="DM264" s="1513"/>
      <c r="DN264" s="1513"/>
      <c r="DO264" s="1513"/>
      <c r="DP264" s="1513"/>
      <c r="DQ264" s="1513"/>
      <c r="DR264" s="1513"/>
      <c r="DS264" s="1513"/>
      <c r="DT264" s="1513"/>
      <c r="DU264" s="1513"/>
      <c r="DV264" s="1513"/>
      <c r="DW264" s="1513"/>
      <c r="DX264" s="1513"/>
      <c r="DY264" s="1513"/>
      <c r="DZ264" s="1513"/>
      <c r="EA264" s="1513"/>
      <c r="EB264" s="1513"/>
      <c r="EC264" s="1513"/>
      <c r="ED264" s="1513"/>
      <c r="EE264" s="1513"/>
      <c r="EF264" s="1513"/>
      <c r="EG264" s="1513"/>
      <c r="EH264" s="1513"/>
      <c r="EI264" s="1513"/>
      <c r="EJ264" s="1513"/>
      <c r="EK264" s="1513"/>
      <c r="EL264" s="1513"/>
      <c r="EM264" s="1513"/>
      <c r="EN264" s="1513"/>
      <c r="EO264" s="1513"/>
      <c r="EP264" s="1513"/>
      <c r="EQ264" s="1513"/>
      <c r="ER264" s="1513"/>
      <c r="ES264" s="1513"/>
      <c r="ET264" s="1513"/>
      <c r="EU264" s="1513"/>
      <c r="EV264" s="1513"/>
      <c r="EW264" s="1513"/>
      <c r="EX264" s="1513"/>
      <c r="EY264" s="1513"/>
      <c r="EZ264" s="1513"/>
      <c r="FA264" s="1513"/>
      <c r="FB264" s="1513"/>
      <c r="FC264" s="1513"/>
      <c r="FD264" s="1513"/>
      <c r="FE264" s="1513"/>
      <c r="FF264" s="1513"/>
      <c r="FG264" s="1513"/>
      <c r="FH264" s="1513"/>
      <c r="FI264" s="1513"/>
      <c r="FJ264" s="1513"/>
    </row>
    <row r="265" spans="1:168" ht="17.100000000000001" customHeight="1" x14ac:dyDescent="0.15">
      <c r="A265" s="1513"/>
      <c r="B265" s="1513"/>
      <c r="C265" s="1513"/>
      <c r="D265" s="1513"/>
      <c r="E265" s="1513"/>
      <c r="F265" s="1513"/>
      <c r="G265" s="1513"/>
      <c r="H265" s="1513"/>
      <c r="I265" s="1513"/>
      <c r="J265" s="1513"/>
      <c r="K265" s="1513"/>
      <c r="L265" s="1513"/>
      <c r="M265" s="1513"/>
      <c r="N265" s="1513"/>
      <c r="O265" s="1513"/>
      <c r="P265" s="1513"/>
      <c r="Q265" s="1513"/>
      <c r="R265" s="1513"/>
      <c r="S265" s="1513"/>
      <c r="T265" s="1513"/>
      <c r="U265" s="1513"/>
      <c r="V265" s="1513"/>
      <c r="W265" s="1513"/>
      <c r="X265" s="1513"/>
      <c r="Y265" s="1513"/>
      <c r="Z265" s="1513"/>
      <c r="AA265" s="1513"/>
      <c r="AB265" s="1513"/>
      <c r="AC265" s="1513"/>
      <c r="AD265" s="1513"/>
      <c r="AE265" s="1513"/>
      <c r="AF265" s="1513"/>
      <c r="AG265" s="1513"/>
      <c r="AH265" s="1513"/>
      <c r="AI265" s="1513"/>
      <c r="AJ265" s="1513"/>
      <c r="AK265" s="1513"/>
      <c r="AL265" s="1513"/>
      <c r="AM265" s="1513"/>
      <c r="AN265" s="1513"/>
      <c r="AO265" s="1513"/>
      <c r="AP265" s="1513"/>
      <c r="AQ265" s="1513"/>
      <c r="AR265" s="1513"/>
      <c r="AS265" s="1513"/>
      <c r="AT265" s="1513"/>
      <c r="AU265" s="1513"/>
      <c r="AV265" s="1513"/>
      <c r="AW265" s="1513"/>
      <c r="AX265" s="1513"/>
      <c r="AY265" s="1513"/>
      <c r="AZ265" s="1513"/>
      <c r="BA265" s="1513"/>
      <c r="BB265" s="1513"/>
      <c r="BC265" s="1513"/>
      <c r="BD265" s="1513"/>
      <c r="BE265" s="1513"/>
      <c r="BF265" s="1513"/>
      <c r="BG265" s="1513"/>
      <c r="BH265" s="1513"/>
      <c r="BI265" s="1513"/>
      <c r="BJ265" s="1513"/>
      <c r="BK265" s="1513"/>
      <c r="BL265" s="1513"/>
      <c r="BM265" s="1513"/>
      <c r="BN265" s="1513"/>
      <c r="BO265" s="1513"/>
      <c r="BP265" s="1513"/>
      <c r="BQ265" s="1513"/>
      <c r="BR265" s="1513"/>
      <c r="BS265" s="1513"/>
      <c r="BT265" s="1513"/>
      <c r="BU265" s="1513"/>
      <c r="BV265" s="1513"/>
      <c r="BW265" s="1513"/>
      <c r="BX265" s="1513"/>
      <c r="BY265" s="1513"/>
      <c r="BZ265" s="1513"/>
      <c r="CA265" s="1513"/>
      <c r="CB265" s="1513"/>
      <c r="CC265" s="1513"/>
      <c r="CD265" s="1513"/>
      <c r="CE265" s="1513"/>
      <c r="CF265" s="1513"/>
      <c r="CG265" s="1513"/>
      <c r="CH265" s="1513"/>
      <c r="CI265" s="1513"/>
      <c r="CJ265" s="1513"/>
      <c r="CK265" s="1513"/>
      <c r="CL265" s="1513"/>
      <c r="CM265" s="1513"/>
      <c r="CN265" s="1513"/>
      <c r="CO265" s="1513"/>
      <c r="CP265" s="1513"/>
      <c r="CQ265" s="1513"/>
      <c r="CR265" s="1513"/>
      <c r="CS265" s="1513"/>
      <c r="CT265" s="1513"/>
      <c r="CU265" s="1513"/>
      <c r="CV265" s="1513"/>
      <c r="CW265" s="1513"/>
      <c r="CX265" s="1513"/>
      <c r="CY265" s="1513"/>
      <c r="CZ265" s="1513"/>
      <c r="DA265" s="1513"/>
      <c r="DB265" s="1513"/>
      <c r="DC265" s="1513"/>
      <c r="DD265" s="1513"/>
      <c r="DE265" s="1513"/>
      <c r="DF265" s="1513"/>
      <c r="DG265" s="1513"/>
      <c r="DH265" s="1513"/>
      <c r="DI265" s="1513"/>
      <c r="DJ265" s="1513"/>
      <c r="DK265" s="1513"/>
      <c r="DL265" s="1513"/>
      <c r="DM265" s="1513"/>
      <c r="DN265" s="1513"/>
      <c r="DO265" s="1513"/>
      <c r="DP265" s="1513"/>
      <c r="DQ265" s="1513"/>
      <c r="DR265" s="1513"/>
      <c r="DS265" s="1513"/>
      <c r="DT265" s="1513"/>
      <c r="DU265" s="1513"/>
      <c r="DV265" s="1513"/>
      <c r="DW265" s="1513"/>
      <c r="DX265" s="1513"/>
      <c r="DY265" s="1513"/>
      <c r="DZ265" s="1513"/>
      <c r="EA265" s="1513"/>
      <c r="EB265" s="1513"/>
      <c r="EC265" s="1513"/>
      <c r="ED265" s="1513"/>
      <c r="EE265" s="1513"/>
      <c r="EF265" s="1513"/>
      <c r="EG265" s="1513"/>
      <c r="EH265" s="1513"/>
      <c r="EI265" s="1513"/>
      <c r="EJ265" s="1513"/>
      <c r="EK265" s="1513"/>
      <c r="EL265" s="1513"/>
      <c r="EM265" s="1513"/>
      <c r="EN265" s="1513"/>
      <c r="EO265" s="1513"/>
      <c r="EP265" s="1513"/>
      <c r="EQ265" s="1513"/>
      <c r="ER265" s="1513"/>
      <c r="ES265" s="1513"/>
      <c r="ET265" s="1513"/>
      <c r="EU265" s="1513"/>
      <c r="EV265" s="1513"/>
      <c r="EW265" s="1513"/>
      <c r="EX265" s="1513"/>
      <c r="EY265" s="1513"/>
      <c r="EZ265" s="1513"/>
      <c r="FA265" s="1513"/>
      <c r="FB265" s="1513"/>
      <c r="FC265" s="1513"/>
      <c r="FD265" s="1513"/>
      <c r="FE265" s="1513"/>
      <c r="FF265" s="1513"/>
      <c r="FG265" s="1513"/>
      <c r="FH265" s="1513"/>
      <c r="FI265" s="1513"/>
      <c r="FJ265" s="1513"/>
    </row>
    <row r="266" spans="1:168" ht="17.100000000000001" customHeight="1" x14ac:dyDescent="0.15">
      <c r="A266" s="1513"/>
      <c r="B266" s="1513"/>
      <c r="C266" s="1513"/>
      <c r="D266" s="1513"/>
      <c r="E266" s="1513"/>
      <c r="F266" s="1513"/>
      <c r="G266" s="1513"/>
      <c r="H266" s="1513"/>
      <c r="I266" s="1513"/>
      <c r="J266" s="1513"/>
      <c r="K266" s="1513"/>
      <c r="L266" s="1513"/>
      <c r="M266" s="1513"/>
      <c r="N266" s="1513"/>
      <c r="O266" s="1513"/>
      <c r="P266" s="1513"/>
      <c r="Q266" s="1513"/>
      <c r="R266" s="1513"/>
      <c r="S266" s="1513"/>
      <c r="T266" s="1513"/>
      <c r="U266" s="1513"/>
      <c r="V266" s="1513"/>
      <c r="W266" s="1513"/>
      <c r="X266" s="1513"/>
      <c r="Y266" s="1513"/>
      <c r="Z266" s="1513"/>
      <c r="AA266" s="1513"/>
      <c r="AB266" s="1513"/>
      <c r="AC266" s="1513"/>
      <c r="AD266" s="1513"/>
      <c r="AE266" s="1513"/>
      <c r="AF266" s="1513"/>
      <c r="AG266" s="1513"/>
      <c r="AH266" s="1513"/>
      <c r="AI266" s="1513"/>
      <c r="AJ266" s="1513"/>
      <c r="AK266" s="1513"/>
      <c r="AL266" s="1513"/>
      <c r="AM266" s="1513"/>
      <c r="AN266" s="1513"/>
      <c r="AO266" s="1513"/>
      <c r="AP266" s="1513"/>
      <c r="AQ266" s="1513"/>
      <c r="AR266" s="1513"/>
      <c r="AS266" s="1513"/>
      <c r="AT266" s="1513"/>
      <c r="AU266" s="1513"/>
      <c r="AV266" s="1513"/>
      <c r="AW266" s="1513"/>
      <c r="AX266" s="1513"/>
      <c r="AY266" s="1513"/>
      <c r="AZ266" s="1513"/>
      <c r="BA266" s="1513"/>
      <c r="BB266" s="1513"/>
      <c r="BC266" s="1513"/>
      <c r="BD266" s="1513"/>
      <c r="BE266" s="1513"/>
      <c r="BF266" s="1513"/>
      <c r="BG266" s="1513"/>
      <c r="BH266" s="1513"/>
      <c r="BI266" s="1513"/>
      <c r="BJ266" s="1513"/>
      <c r="BK266" s="1513"/>
      <c r="BL266" s="1513"/>
      <c r="BM266" s="1513"/>
      <c r="BN266" s="1513"/>
      <c r="BO266" s="1513"/>
      <c r="BP266" s="1513"/>
      <c r="BQ266" s="1513"/>
      <c r="BR266" s="1513"/>
      <c r="BS266" s="1513"/>
      <c r="BT266" s="1513"/>
      <c r="BU266" s="1513"/>
      <c r="BV266" s="1513"/>
      <c r="BW266" s="1513"/>
      <c r="BX266" s="1513"/>
      <c r="BY266" s="1513"/>
      <c r="BZ266" s="1513"/>
      <c r="CA266" s="1513"/>
      <c r="CB266" s="1513"/>
      <c r="CC266" s="1513"/>
      <c r="CD266" s="1513"/>
      <c r="CE266" s="1513"/>
      <c r="CF266" s="1513"/>
      <c r="CG266" s="1513"/>
      <c r="CH266" s="1513"/>
      <c r="CI266" s="1513"/>
      <c r="CJ266" s="1513"/>
      <c r="CK266" s="1513"/>
      <c r="CL266" s="1513"/>
      <c r="CM266" s="1513"/>
      <c r="CN266" s="1513"/>
      <c r="CO266" s="1513"/>
      <c r="CP266" s="1513"/>
      <c r="CQ266" s="1513"/>
      <c r="CR266" s="1513"/>
      <c r="CS266" s="1513"/>
      <c r="CT266" s="1513"/>
      <c r="CU266" s="1513"/>
      <c r="CV266" s="1513"/>
      <c r="CW266" s="1513"/>
      <c r="CX266" s="1513"/>
      <c r="CY266" s="1513"/>
      <c r="CZ266" s="1513"/>
      <c r="DA266" s="1513"/>
      <c r="DB266" s="1513"/>
      <c r="DC266" s="1513"/>
      <c r="DD266" s="1513"/>
      <c r="DE266" s="1513"/>
      <c r="DF266" s="1513"/>
      <c r="DG266" s="1513"/>
      <c r="DH266" s="1513"/>
      <c r="DI266" s="1513"/>
      <c r="DJ266" s="1513"/>
      <c r="DK266" s="1513"/>
      <c r="DL266" s="1513"/>
      <c r="DM266" s="1513"/>
      <c r="DN266" s="1513"/>
      <c r="DO266" s="1513"/>
      <c r="DP266" s="1513"/>
      <c r="DQ266" s="1513"/>
      <c r="DR266" s="1513"/>
      <c r="DS266" s="1513"/>
      <c r="DT266" s="1513"/>
      <c r="DU266" s="1513"/>
      <c r="DV266" s="1513"/>
      <c r="DW266" s="1513"/>
      <c r="DX266" s="1513"/>
      <c r="DY266" s="1513"/>
      <c r="DZ266" s="1513"/>
      <c r="EA266" s="1513"/>
      <c r="EB266" s="1513"/>
      <c r="EC266" s="1513"/>
      <c r="ED266" s="1513"/>
      <c r="EE266" s="1513"/>
      <c r="EF266" s="1513"/>
      <c r="EG266" s="1513"/>
      <c r="EH266" s="1513"/>
      <c r="EI266" s="1513"/>
      <c r="EJ266" s="1513"/>
      <c r="EK266" s="1513"/>
      <c r="EL266" s="1513"/>
      <c r="EM266" s="1513"/>
      <c r="EN266" s="1513"/>
      <c r="EO266" s="1513"/>
      <c r="EP266" s="1513"/>
      <c r="EQ266" s="1513"/>
      <c r="ER266" s="1513"/>
      <c r="ES266" s="1513"/>
      <c r="ET266" s="1513"/>
      <c r="EU266" s="1513"/>
      <c r="EV266" s="1513"/>
      <c r="EW266" s="1513"/>
      <c r="EX266" s="1513"/>
      <c r="EY266" s="1513"/>
      <c r="EZ266" s="1513"/>
      <c r="FA266" s="1513"/>
      <c r="FB266" s="1513"/>
      <c r="FC266" s="1513"/>
      <c r="FD266" s="1513"/>
      <c r="FE266" s="1513"/>
      <c r="FF266" s="1513"/>
      <c r="FG266" s="1513"/>
      <c r="FH266" s="1513"/>
      <c r="FI266" s="1513"/>
      <c r="FJ266" s="1513"/>
    </row>
    <row r="267" spans="1:168" ht="17.100000000000001" customHeight="1" x14ac:dyDescent="0.15">
      <c r="A267" s="1513"/>
      <c r="B267" s="1513"/>
      <c r="C267" s="1513"/>
      <c r="D267" s="1513"/>
      <c r="E267" s="1513"/>
      <c r="F267" s="1513"/>
      <c r="G267" s="1513"/>
      <c r="H267" s="1513"/>
      <c r="I267" s="1513"/>
      <c r="J267" s="1513"/>
      <c r="K267" s="1513"/>
      <c r="L267" s="1513"/>
      <c r="M267" s="1513"/>
      <c r="N267" s="1513"/>
      <c r="O267" s="1513"/>
      <c r="P267" s="1513"/>
      <c r="Q267" s="1513"/>
      <c r="R267" s="1513"/>
      <c r="S267" s="1513"/>
      <c r="T267" s="1513"/>
      <c r="U267" s="1513"/>
      <c r="V267" s="1513"/>
      <c r="W267" s="1513"/>
      <c r="X267" s="1513"/>
      <c r="Y267" s="1513"/>
      <c r="Z267" s="1513"/>
      <c r="AA267" s="1513"/>
      <c r="AB267" s="1513"/>
      <c r="AC267" s="1513"/>
      <c r="AD267" s="1513"/>
      <c r="AE267" s="1513"/>
      <c r="AF267" s="1513"/>
      <c r="AG267" s="1513"/>
      <c r="AH267" s="1513"/>
      <c r="AI267" s="1513"/>
      <c r="AJ267" s="1513"/>
      <c r="AK267" s="1513"/>
      <c r="AL267" s="1513"/>
      <c r="AM267" s="1513"/>
      <c r="AN267" s="1513"/>
      <c r="AO267" s="1513"/>
      <c r="AP267" s="1513"/>
      <c r="AQ267" s="1513"/>
      <c r="AR267" s="1513"/>
      <c r="AS267" s="1513"/>
      <c r="AT267" s="1513"/>
      <c r="AU267" s="1513"/>
      <c r="AV267" s="1513"/>
      <c r="AW267" s="1513"/>
      <c r="AX267" s="1513"/>
      <c r="AY267" s="1513"/>
      <c r="AZ267" s="1513"/>
      <c r="BA267" s="1513"/>
      <c r="BB267" s="1513"/>
      <c r="BC267" s="1513"/>
      <c r="BD267" s="1513"/>
      <c r="BE267" s="1513"/>
      <c r="BF267" s="1513"/>
      <c r="BG267" s="1513"/>
      <c r="BH267" s="1513"/>
      <c r="BI267" s="1513"/>
      <c r="BJ267" s="1513"/>
      <c r="BK267" s="1513"/>
      <c r="BL267" s="1513"/>
      <c r="BM267" s="1513"/>
      <c r="BN267" s="1513"/>
      <c r="BO267" s="1513"/>
      <c r="BP267" s="1513"/>
      <c r="BQ267" s="1513"/>
      <c r="BR267" s="1513"/>
      <c r="BS267" s="1513"/>
      <c r="BT267" s="1513"/>
      <c r="BU267" s="1513"/>
      <c r="BV267" s="1513"/>
      <c r="BW267" s="1513"/>
      <c r="BX267" s="1513"/>
      <c r="BY267" s="1513"/>
      <c r="BZ267" s="1513"/>
      <c r="CA267" s="1513"/>
      <c r="CB267" s="1513"/>
      <c r="CC267" s="1513"/>
      <c r="CD267" s="1513"/>
      <c r="CE267" s="1513"/>
      <c r="CF267" s="1513"/>
      <c r="CG267" s="1513"/>
      <c r="CH267" s="1513"/>
      <c r="CI267" s="1513"/>
      <c r="CJ267" s="1513"/>
      <c r="CK267" s="1513"/>
      <c r="CL267" s="1513"/>
      <c r="CM267" s="1513"/>
      <c r="CN267" s="1513"/>
      <c r="CO267" s="1513"/>
      <c r="CP267" s="1513"/>
      <c r="CQ267" s="1513"/>
      <c r="CR267" s="1513"/>
      <c r="CS267" s="1513"/>
      <c r="CT267" s="1513"/>
      <c r="CU267" s="1513"/>
      <c r="CV267" s="1513"/>
      <c r="CW267" s="1513"/>
      <c r="CX267" s="1513"/>
      <c r="CY267" s="1513"/>
      <c r="CZ267" s="1513"/>
      <c r="DA267" s="1513"/>
      <c r="DB267" s="1513"/>
      <c r="DC267" s="1513"/>
      <c r="DD267" s="1513"/>
      <c r="DE267" s="1513"/>
      <c r="DF267" s="1513"/>
      <c r="DG267" s="1513"/>
      <c r="DH267" s="1513"/>
      <c r="DI267" s="1513"/>
      <c r="DJ267" s="1513"/>
      <c r="DK267" s="1513"/>
      <c r="DL267" s="1513"/>
      <c r="DM267" s="1513"/>
      <c r="DN267" s="1513"/>
      <c r="DO267" s="1513"/>
      <c r="DP267" s="1513"/>
      <c r="DQ267" s="1513"/>
      <c r="DR267" s="1513"/>
      <c r="DS267" s="1513"/>
      <c r="DT267" s="1513"/>
      <c r="DU267" s="1513"/>
      <c r="DV267" s="1513"/>
      <c r="DW267" s="1513"/>
      <c r="DX267" s="1513"/>
      <c r="DY267" s="1513"/>
      <c r="DZ267" s="1513"/>
      <c r="EA267" s="1513"/>
      <c r="EB267" s="1513"/>
      <c r="EC267" s="1513"/>
      <c r="ED267" s="1513"/>
      <c r="EE267" s="1513"/>
      <c r="EF267" s="1513"/>
      <c r="EG267" s="1513"/>
      <c r="EH267" s="1513"/>
      <c r="EI267" s="1513"/>
      <c r="EJ267" s="1513"/>
      <c r="EK267" s="1513"/>
      <c r="EL267" s="1513"/>
      <c r="EM267" s="1513"/>
      <c r="EN267" s="1513"/>
      <c r="EO267" s="1513"/>
      <c r="EP267" s="1513"/>
      <c r="EQ267" s="1513"/>
      <c r="ER267" s="1513"/>
      <c r="ES267" s="1513"/>
      <c r="ET267" s="1513"/>
      <c r="EU267" s="1513"/>
      <c r="EV267" s="1513"/>
      <c r="EW267" s="1513"/>
      <c r="EX267" s="1513"/>
      <c r="EY267" s="1513"/>
      <c r="EZ267" s="1513"/>
      <c r="FA267" s="1513"/>
      <c r="FB267" s="1513"/>
      <c r="FC267" s="1513"/>
      <c r="FD267" s="1513"/>
      <c r="FE267" s="1513"/>
      <c r="FF267" s="1513"/>
      <c r="FG267" s="1513"/>
      <c r="FH267" s="1513"/>
      <c r="FI267" s="1513"/>
      <c r="FJ267" s="1513"/>
    </row>
    <row r="268" spans="1:168" ht="17.100000000000001" customHeight="1" x14ac:dyDescent="0.15">
      <c r="A268" s="1513"/>
      <c r="B268" s="1513"/>
      <c r="C268" s="1513"/>
      <c r="D268" s="1513"/>
      <c r="E268" s="1513"/>
      <c r="F268" s="1513"/>
      <c r="G268" s="1513"/>
      <c r="H268" s="1513"/>
      <c r="I268" s="1513"/>
      <c r="J268" s="1513"/>
      <c r="K268" s="1513"/>
      <c r="L268" s="1513"/>
      <c r="M268" s="1513"/>
      <c r="N268" s="1513"/>
      <c r="O268" s="1513"/>
      <c r="P268" s="1513"/>
      <c r="Q268" s="1513"/>
      <c r="R268" s="1513"/>
      <c r="S268" s="1513"/>
      <c r="T268" s="1513"/>
      <c r="U268" s="1513"/>
      <c r="V268" s="1513"/>
      <c r="W268" s="1513"/>
      <c r="X268" s="1513"/>
      <c r="Y268" s="1513"/>
      <c r="Z268" s="1513"/>
      <c r="AA268" s="1513"/>
      <c r="AB268" s="1513"/>
      <c r="AC268" s="1513"/>
      <c r="AD268" s="1513"/>
      <c r="AE268" s="1513"/>
      <c r="AF268" s="1513"/>
      <c r="AG268" s="1513"/>
      <c r="AH268" s="1513"/>
      <c r="AI268" s="1513"/>
      <c r="AJ268" s="1513"/>
      <c r="AK268" s="1513"/>
      <c r="AL268" s="1513"/>
      <c r="AM268" s="1513"/>
      <c r="AN268" s="1513"/>
      <c r="AO268" s="1513"/>
      <c r="AP268" s="1513"/>
      <c r="AQ268" s="1513"/>
      <c r="AR268" s="1513"/>
      <c r="AS268" s="1513"/>
      <c r="AT268" s="1513"/>
      <c r="AU268" s="1513"/>
      <c r="AV268" s="1513"/>
      <c r="AW268" s="1513"/>
      <c r="AX268" s="1513"/>
      <c r="AY268" s="1513"/>
      <c r="AZ268" s="1513"/>
      <c r="BA268" s="1513"/>
      <c r="BB268" s="1513"/>
      <c r="BC268" s="1513"/>
      <c r="BD268" s="1513"/>
      <c r="BE268" s="1513"/>
      <c r="BF268" s="1513"/>
      <c r="BG268" s="1513"/>
      <c r="BH268" s="1513"/>
      <c r="BI268" s="1513"/>
      <c r="BJ268" s="1513"/>
      <c r="BK268" s="1513"/>
      <c r="BL268" s="1513"/>
      <c r="BM268" s="1513"/>
      <c r="BN268" s="1513"/>
      <c r="BO268" s="1513"/>
      <c r="BP268" s="1513"/>
      <c r="BQ268" s="1513"/>
      <c r="BR268" s="1513"/>
      <c r="BS268" s="1513"/>
      <c r="BT268" s="1513"/>
      <c r="BU268" s="1513"/>
      <c r="BV268" s="1513"/>
      <c r="BW268" s="1513"/>
      <c r="BX268" s="1513"/>
      <c r="BY268" s="1513"/>
      <c r="BZ268" s="1513"/>
      <c r="CA268" s="1513"/>
      <c r="CB268" s="1513"/>
      <c r="CC268" s="1513"/>
      <c r="CD268" s="1513"/>
      <c r="CE268" s="1513"/>
      <c r="CF268" s="1513"/>
      <c r="CG268" s="1513"/>
      <c r="CH268" s="1513"/>
      <c r="CI268" s="1513"/>
      <c r="CJ268" s="1513"/>
      <c r="CK268" s="1513"/>
      <c r="CL268" s="1513"/>
      <c r="CM268" s="1513"/>
      <c r="CN268" s="1513"/>
      <c r="CO268" s="1513"/>
      <c r="CP268" s="1513"/>
      <c r="CQ268" s="1513"/>
      <c r="CR268" s="1513"/>
      <c r="CS268" s="1513"/>
      <c r="CT268" s="1513"/>
      <c r="CU268" s="1513"/>
      <c r="CV268" s="1513"/>
      <c r="CW268" s="1513"/>
      <c r="CX268" s="1513"/>
      <c r="CY268" s="1513"/>
      <c r="CZ268" s="1513"/>
      <c r="DA268" s="1513"/>
      <c r="DB268" s="1513"/>
      <c r="DC268" s="1513"/>
      <c r="DD268" s="1513"/>
      <c r="DE268" s="1513"/>
      <c r="DF268" s="1513"/>
      <c r="DG268" s="1513"/>
      <c r="DH268" s="1513"/>
      <c r="DI268" s="1513"/>
      <c r="DJ268" s="1513"/>
      <c r="DK268" s="1513"/>
      <c r="DL268" s="1513"/>
      <c r="DM268" s="1513"/>
      <c r="DN268" s="1513"/>
      <c r="DO268" s="1513"/>
      <c r="DP268" s="1513"/>
      <c r="DQ268" s="1513"/>
      <c r="DR268" s="1513"/>
      <c r="DS268" s="1513"/>
      <c r="DT268" s="1513"/>
      <c r="DU268" s="1513"/>
      <c r="DV268" s="1513"/>
      <c r="DW268" s="1513"/>
      <c r="DX268" s="1513"/>
      <c r="DY268" s="1513"/>
      <c r="DZ268" s="1513"/>
      <c r="EA268" s="1513"/>
      <c r="EB268" s="1513"/>
      <c r="EC268" s="1513"/>
      <c r="ED268" s="1513"/>
      <c r="EE268" s="1513"/>
      <c r="EF268" s="1513"/>
      <c r="EG268" s="1513"/>
      <c r="EH268" s="1513"/>
      <c r="EI268" s="1513"/>
      <c r="EJ268" s="1513"/>
      <c r="EK268" s="1513"/>
      <c r="EL268" s="1513"/>
      <c r="EM268" s="1513"/>
      <c r="EN268" s="1513"/>
      <c r="EO268" s="1513"/>
      <c r="EP268" s="1513"/>
      <c r="EQ268" s="1513"/>
      <c r="ER268" s="1513"/>
      <c r="ES268" s="1513"/>
      <c r="ET268" s="1513"/>
      <c r="EU268" s="1513"/>
      <c r="EV268" s="1513"/>
      <c r="EW268" s="1513"/>
      <c r="EX268" s="1513"/>
      <c r="EY268" s="1513"/>
      <c r="EZ268" s="1513"/>
      <c r="FA268" s="1513"/>
      <c r="FB268" s="1513"/>
      <c r="FC268" s="1513"/>
      <c r="FD268" s="1513"/>
      <c r="FE268" s="1513"/>
      <c r="FF268" s="1513"/>
      <c r="FG268" s="1513"/>
      <c r="FH268" s="1513"/>
      <c r="FI268" s="1513"/>
      <c r="FJ268" s="1513"/>
    </row>
    <row r="269" spans="1:168" ht="17.100000000000001" customHeight="1" x14ac:dyDescent="0.15">
      <c r="A269" s="1513"/>
      <c r="B269" s="1513"/>
      <c r="C269" s="1513"/>
      <c r="D269" s="1513"/>
      <c r="E269" s="1513"/>
      <c r="F269" s="1513"/>
      <c r="G269" s="1513"/>
      <c r="H269" s="1513"/>
      <c r="I269" s="1513"/>
      <c r="J269" s="1513"/>
      <c r="K269" s="1513"/>
      <c r="L269" s="1513"/>
      <c r="M269" s="1513"/>
      <c r="N269" s="1513"/>
      <c r="O269" s="1513"/>
      <c r="P269" s="1513"/>
      <c r="Q269" s="1513"/>
      <c r="R269" s="1513"/>
      <c r="S269" s="1513"/>
      <c r="T269" s="1513"/>
      <c r="U269" s="1513"/>
      <c r="V269" s="1513"/>
      <c r="W269" s="1513"/>
      <c r="X269" s="1513"/>
      <c r="Y269" s="1513"/>
      <c r="Z269" s="1513"/>
      <c r="AA269" s="1513"/>
      <c r="AB269" s="1513"/>
      <c r="AC269" s="1513"/>
      <c r="AD269" s="1513"/>
      <c r="AE269" s="1513"/>
      <c r="AF269" s="1513"/>
      <c r="AG269" s="1513"/>
      <c r="AH269" s="1513"/>
      <c r="AI269" s="1513"/>
      <c r="AJ269" s="1513"/>
      <c r="AK269" s="1513"/>
      <c r="AL269" s="1513"/>
      <c r="AM269" s="1513"/>
      <c r="AN269" s="1513"/>
      <c r="AO269" s="1513"/>
      <c r="AP269" s="1513"/>
      <c r="AQ269" s="1513"/>
      <c r="AR269" s="1513"/>
      <c r="AS269" s="1513"/>
      <c r="AT269" s="1513"/>
      <c r="AU269" s="1513"/>
      <c r="AV269" s="1513"/>
      <c r="AW269" s="1513"/>
      <c r="AX269" s="1513"/>
      <c r="AY269" s="1513"/>
      <c r="AZ269" s="1513"/>
      <c r="BA269" s="1513"/>
      <c r="BB269" s="1513"/>
      <c r="BC269" s="1513"/>
      <c r="BD269" s="1513"/>
      <c r="BE269" s="1513"/>
      <c r="BF269" s="1513"/>
      <c r="BG269" s="1513"/>
      <c r="BH269" s="1513"/>
      <c r="BI269" s="1513"/>
      <c r="BJ269" s="1513"/>
      <c r="BK269" s="1513"/>
      <c r="BL269" s="1513"/>
      <c r="BM269" s="1513"/>
      <c r="BN269" s="1513"/>
      <c r="BO269" s="1513"/>
      <c r="BP269" s="1513"/>
      <c r="BQ269" s="1513"/>
      <c r="BR269" s="1513"/>
      <c r="BS269" s="1513"/>
      <c r="BT269" s="1513"/>
      <c r="BU269" s="1513"/>
      <c r="BV269" s="1513"/>
      <c r="BW269" s="1513"/>
      <c r="BX269" s="1513"/>
      <c r="BY269" s="1513"/>
      <c r="BZ269" s="1513"/>
      <c r="CA269" s="1513"/>
      <c r="CB269" s="1513"/>
      <c r="CC269" s="1513"/>
      <c r="CD269" s="1513"/>
      <c r="CE269" s="1513"/>
      <c r="CF269" s="1513"/>
      <c r="CG269" s="1513"/>
      <c r="CH269" s="1513"/>
      <c r="CI269" s="1513"/>
      <c r="CJ269" s="1513"/>
      <c r="CK269" s="1513"/>
      <c r="CL269" s="1513"/>
      <c r="CM269" s="1513"/>
      <c r="CN269" s="1513"/>
      <c r="CO269" s="1513"/>
      <c r="CP269" s="1513"/>
      <c r="CQ269" s="1513"/>
      <c r="CR269" s="1513"/>
      <c r="CS269" s="1513"/>
      <c r="CT269" s="1513"/>
      <c r="CU269" s="1513"/>
      <c r="CV269" s="1513"/>
      <c r="CW269" s="1513"/>
      <c r="CX269" s="1513"/>
      <c r="CY269" s="1513"/>
      <c r="CZ269" s="1513"/>
      <c r="DA269" s="1513"/>
      <c r="DB269" s="1513"/>
      <c r="DC269" s="1513"/>
      <c r="DD269" s="1513"/>
      <c r="DE269" s="1513"/>
      <c r="DF269" s="1513"/>
      <c r="DG269" s="1513"/>
      <c r="DH269" s="1513"/>
      <c r="DI269" s="1513"/>
      <c r="DJ269" s="1513"/>
      <c r="DK269" s="1513"/>
      <c r="DL269" s="1513"/>
      <c r="DM269" s="1513"/>
      <c r="DN269" s="1513"/>
      <c r="DO269" s="1513"/>
      <c r="DP269" s="1513"/>
      <c r="DQ269" s="1513"/>
      <c r="DR269" s="1513"/>
      <c r="DS269" s="1513"/>
      <c r="DT269" s="1513"/>
      <c r="DU269" s="1513"/>
      <c r="DV269" s="1513"/>
      <c r="DW269" s="1513"/>
      <c r="DX269" s="1513"/>
      <c r="DY269" s="1513"/>
      <c r="DZ269" s="1513"/>
      <c r="EA269" s="1513"/>
      <c r="EB269" s="1513"/>
      <c r="EC269" s="1513"/>
      <c r="ED269" s="1513"/>
      <c r="EE269" s="1513"/>
      <c r="EF269" s="1513"/>
      <c r="EG269" s="1513"/>
      <c r="EH269" s="1513"/>
      <c r="EI269" s="1513"/>
      <c r="EJ269" s="1513"/>
      <c r="EK269" s="1513"/>
      <c r="EL269" s="1513"/>
      <c r="EM269" s="1513"/>
      <c r="EN269" s="1513"/>
      <c r="EO269" s="1513"/>
      <c r="EP269" s="1513"/>
      <c r="EQ269" s="1513"/>
      <c r="ER269" s="1513"/>
      <c r="ES269" s="1513"/>
      <c r="ET269" s="1513"/>
      <c r="EU269" s="1513"/>
      <c r="EV269" s="1513"/>
      <c r="EW269" s="1513"/>
      <c r="EX269" s="1513"/>
      <c r="EY269" s="1513"/>
      <c r="EZ269" s="1513"/>
      <c r="FA269" s="1513"/>
      <c r="FB269" s="1513"/>
      <c r="FC269" s="1513"/>
      <c r="FD269" s="1513"/>
      <c r="FE269" s="1513"/>
      <c r="FF269" s="1513"/>
      <c r="FG269" s="1513"/>
      <c r="FH269" s="1513"/>
      <c r="FI269" s="1513"/>
      <c r="FJ269" s="1513"/>
    </row>
    <row r="270" spans="1:168" ht="17.100000000000001" customHeight="1" x14ac:dyDescent="0.15">
      <c r="A270" s="1513"/>
      <c r="B270" s="1513"/>
      <c r="C270" s="1513"/>
      <c r="D270" s="1513"/>
      <c r="E270" s="1513"/>
      <c r="F270" s="1513"/>
      <c r="G270" s="1513"/>
      <c r="H270" s="1513"/>
      <c r="I270" s="1513"/>
      <c r="J270" s="1513"/>
      <c r="K270" s="1513"/>
      <c r="L270" s="1513"/>
      <c r="M270" s="1513"/>
      <c r="N270" s="1513"/>
      <c r="O270" s="1513"/>
      <c r="P270" s="1513"/>
      <c r="Q270" s="1513"/>
      <c r="R270" s="1513"/>
      <c r="S270" s="1513"/>
      <c r="T270" s="1513"/>
      <c r="U270" s="1513"/>
      <c r="V270" s="1513"/>
      <c r="W270" s="1513"/>
      <c r="X270" s="1513"/>
      <c r="Y270" s="1513"/>
      <c r="Z270" s="1513"/>
      <c r="AA270" s="1513"/>
      <c r="AB270" s="1513"/>
      <c r="AC270" s="1513"/>
      <c r="AD270" s="1513"/>
      <c r="AE270" s="1513"/>
      <c r="AF270" s="1513"/>
      <c r="AG270" s="1513"/>
      <c r="AH270" s="1513"/>
      <c r="AI270" s="1513"/>
      <c r="AJ270" s="1513"/>
      <c r="AK270" s="1513"/>
      <c r="AL270" s="1513"/>
      <c r="AM270" s="1513"/>
      <c r="AN270" s="1513"/>
      <c r="AO270" s="1513"/>
      <c r="AP270" s="1513"/>
      <c r="AQ270" s="1513"/>
      <c r="AR270" s="1513"/>
      <c r="AS270" s="1513"/>
      <c r="AT270" s="1513"/>
      <c r="AU270" s="1513"/>
      <c r="AV270" s="1513"/>
      <c r="AW270" s="1513"/>
      <c r="AX270" s="1513"/>
      <c r="AY270" s="1513"/>
      <c r="AZ270" s="1513"/>
      <c r="BA270" s="1513"/>
      <c r="BB270" s="1513"/>
      <c r="BC270" s="1513"/>
      <c r="BD270" s="1513"/>
      <c r="BE270" s="1513"/>
      <c r="BF270" s="1513"/>
      <c r="BG270" s="1513"/>
      <c r="BH270" s="1513"/>
      <c r="BI270" s="1513"/>
      <c r="BJ270" s="1513"/>
      <c r="BK270" s="1513"/>
      <c r="BL270" s="1513"/>
      <c r="BM270" s="1513"/>
      <c r="BN270" s="1513"/>
      <c r="BO270" s="1513"/>
      <c r="BP270" s="1513"/>
      <c r="BQ270" s="1513"/>
      <c r="BR270" s="1513"/>
      <c r="BS270" s="1513"/>
      <c r="BT270" s="1513"/>
      <c r="BU270" s="1513"/>
      <c r="BV270" s="1513"/>
      <c r="BW270" s="1513"/>
      <c r="BX270" s="1513"/>
      <c r="BY270" s="1513"/>
      <c r="BZ270" s="1513"/>
      <c r="CA270" s="1513"/>
      <c r="CB270" s="1513"/>
      <c r="CC270" s="1513"/>
      <c r="CD270" s="1513"/>
      <c r="CE270" s="1513"/>
      <c r="CF270" s="1513"/>
      <c r="CG270" s="1513"/>
      <c r="CH270" s="1513"/>
      <c r="CI270" s="1513"/>
      <c r="CJ270" s="1513"/>
      <c r="CK270" s="1513"/>
      <c r="CL270" s="1513"/>
      <c r="CM270" s="1513"/>
      <c r="CN270" s="1513"/>
      <c r="CO270" s="1513"/>
      <c r="CP270" s="1513"/>
      <c r="CQ270" s="1513"/>
      <c r="CR270" s="1513"/>
      <c r="CS270" s="1513"/>
      <c r="CT270" s="1513"/>
      <c r="CU270" s="1513"/>
      <c r="CV270" s="1513"/>
      <c r="CW270" s="1513"/>
      <c r="CX270" s="1513"/>
      <c r="CY270" s="1513"/>
      <c r="CZ270" s="1513"/>
      <c r="DA270" s="1513"/>
      <c r="DB270" s="1513"/>
      <c r="DC270" s="1513"/>
      <c r="DD270" s="1513"/>
      <c r="DE270" s="1513"/>
      <c r="DF270" s="1513"/>
      <c r="DG270" s="1513"/>
      <c r="DH270" s="1513"/>
      <c r="DI270" s="1513"/>
      <c r="DJ270" s="1513"/>
      <c r="DK270" s="1513"/>
      <c r="DL270" s="1513"/>
      <c r="DM270" s="1513"/>
      <c r="DN270" s="1513"/>
      <c r="DO270" s="1513"/>
      <c r="DP270" s="1513"/>
      <c r="DQ270" s="1513"/>
      <c r="DR270" s="1513"/>
      <c r="DS270" s="1513"/>
      <c r="DT270" s="1513"/>
      <c r="DU270" s="1513"/>
      <c r="DV270" s="1513"/>
      <c r="DW270" s="1513"/>
      <c r="DX270" s="1513"/>
      <c r="DY270" s="1513"/>
      <c r="DZ270" s="1513"/>
      <c r="EA270" s="1513"/>
      <c r="EB270" s="1513"/>
      <c r="EC270" s="1513"/>
      <c r="ED270" s="1513"/>
      <c r="EE270" s="1513"/>
      <c r="EF270" s="1513"/>
      <c r="EG270" s="1513"/>
      <c r="EH270" s="1513"/>
      <c r="EI270" s="1513"/>
      <c r="EJ270" s="1513"/>
      <c r="EK270" s="1513"/>
      <c r="EL270" s="1513"/>
      <c r="EM270" s="1513"/>
      <c r="EN270" s="1513"/>
      <c r="EO270" s="1513"/>
      <c r="EP270" s="1513"/>
      <c r="EQ270" s="1513"/>
      <c r="ER270" s="1513"/>
      <c r="ES270" s="1513"/>
      <c r="ET270" s="1513"/>
      <c r="EU270" s="1513"/>
      <c r="EV270" s="1513"/>
      <c r="EW270" s="1513"/>
      <c r="EX270" s="1513"/>
      <c r="EY270" s="1513"/>
      <c r="EZ270" s="1513"/>
      <c r="FA270" s="1513"/>
      <c r="FB270" s="1513"/>
      <c r="FC270" s="1513"/>
      <c r="FD270" s="1513"/>
      <c r="FE270" s="1513"/>
      <c r="FF270" s="1513"/>
      <c r="FG270" s="1513"/>
      <c r="FH270" s="1513"/>
      <c r="FI270" s="1513"/>
      <c r="FJ270" s="1513"/>
    </row>
    <row r="271" spans="1:168" ht="17.100000000000001" customHeight="1" x14ac:dyDescent="0.15">
      <c r="A271" s="1513"/>
      <c r="B271" s="1513"/>
      <c r="C271" s="1513"/>
      <c r="D271" s="1513"/>
      <c r="E271" s="1513"/>
      <c r="F271" s="1513"/>
      <c r="G271" s="1513"/>
      <c r="H271" s="1513"/>
      <c r="I271" s="1513"/>
      <c r="J271" s="1513"/>
      <c r="K271" s="1513"/>
      <c r="L271" s="1513"/>
      <c r="M271" s="1513"/>
      <c r="N271" s="1513"/>
      <c r="O271" s="1513"/>
      <c r="P271" s="1513"/>
      <c r="Q271" s="1513"/>
      <c r="R271" s="1513"/>
      <c r="S271" s="1513"/>
      <c r="T271" s="1513"/>
      <c r="U271" s="1513"/>
      <c r="V271" s="1513"/>
      <c r="W271" s="1513"/>
      <c r="X271" s="1513"/>
      <c r="Y271" s="1513"/>
      <c r="Z271" s="1513"/>
      <c r="AA271" s="1513"/>
      <c r="AB271" s="1513"/>
      <c r="AC271" s="1513"/>
      <c r="AD271" s="1513"/>
      <c r="AE271" s="1513"/>
      <c r="AF271" s="1513"/>
      <c r="AG271" s="1513"/>
      <c r="AH271" s="1513"/>
      <c r="AI271" s="1513"/>
      <c r="AJ271" s="1513"/>
      <c r="AK271" s="1513"/>
      <c r="AL271" s="1513"/>
      <c r="AM271" s="1513"/>
      <c r="AN271" s="1513"/>
      <c r="AO271" s="1513"/>
      <c r="AP271" s="1513"/>
      <c r="AQ271" s="1513"/>
      <c r="AR271" s="1513"/>
      <c r="AS271" s="1513"/>
      <c r="AT271" s="1513"/>
      <c r="AU271" s="1513"/>
      <c r="AV271" s="1513"/>
      <c r="AW271" s="1513"/>
      <c r="AX271" s="1513"/>
      <c r="AY271" s="1513"/>
      <c r="AZ271" s="1513"/>
      <c r="BA271" s="1513"/>
      <c r="BB271" s="1513"/>
      <c r="BC271" s="1513"/>
      <c r="BD271" s="1513"/>
      <c r="BE271" s="1513"/>
      <c r="BF271" s="1513"/>
      <c r="BG271" s="1513"/>
      <c r="BH271" s="1513"/>
      <c r="BI271" s="1513"/>
      <c r="BJ271" s="1513"/>
      <c r="BK271" s="1513"/>
      <c r="BL271" s="1513"/>
      <c r="BM271" s="1513"/>
      <c r="BN271" s="1513"/>
      <c r="BO271" s="1513"/>
      <c r="BP271" s="1513"/>
      <c r="BQ271" s="1513"/>
      <c r="BR271" s="1513"/>
      <c r="BS271" s="1513"/>
      <c r="BT271" s="1513"/>
      <c r="BU271" s="1513"/>
      <c r="BV271" s="1513"/>
      <c r="BW271" s="1513"/>
      <c r="BX271" s="1513"/>
      <c r="BY271" s="1513"/>
      <c r="BZ271" s="1513"/>
      <c r="CA271" s="1513"/>
      <c r="CB271" s="1513"/>
      <c r="CC271" s="1513"/>
      <c r="CD271" s="1513"/>
      <c r="CE271" s="1513"/>
      <c r="CF271" s="1513"/>
      <c r="CG271" s="1513"/>
      <c r="CH271" s="1513"/>
      <c r="CI271" s="1513"/>
      <c r="CJ271" s="1513"/>
      <c r="CK271" s="1513"/>
      <c r="CL271" s="1513"/>
      <c r="CM271" s="1513"/>
      <c r="CN271" s="1513"/>
      <c r="CO271" s="1513"/>
      <c r="CP271" s="1513"/>
      <c r="CQ271" s="1513"/>
      <c r="CR271" s="1513"/>
      <c r="CS271" s="1513"/>
      <c r="CT271" s="1513"/>
      <c r="CU271" s="1513"/>
      <c r="CV271" s="1513"/>
      <c r="CW271" s="1513"/>
      <c r="CX271" s="1513"/>
      <c r="CY271" s="1513"/>
      <c r="CZ271" s="1513"/>
      <c r="DA271" s="1513"/>
      <c r="DB271" s="1513"/>
      <c r="DC271" s="1513"/>
      <c r="DD271" s="1513"/>
      <c r="DE271" s="1513"/>
      <c r="DF271" s="1513"/>
      <c r="DG271" s="1513"/>
      <c r="DH271" s="1513"/>
      <c r="DI271" s="1513"/>
      <c r="DJ271" s="1513"/>
      <c r="DK271" s="1513"/>
      <c r="DL271" s="1513"/>
      <c r="DM271" s="1513"/>
      <c r="DN271" s="1513"/>
      <c r="DO271" s="1513"/>
      <c r="DP271" s="1513"/>
      <c r="DQ271" s="1513"/>
      <c r="DR271" s="1513"/>
      <c r="DS271" s="1513"/>
      <c r="DT271" s="1513"/>
      <c r="DU271" s="1513"/>
      <c r="DV271" s="1513"/>
      <c r="DW271" s="1513"/>
      <c r="DX271" s="1513"/>
      <c r="DY271" s="1513"/>
      <c r="DZ271" s="1513"/>
      <c r="EA271" s="1513"/>
      <c r="EB271" s="1513"/>
      <c r="EC271" s="1513"/>
      <c r="ED271" s="1513"/>
      <c r="EE271" s="1513"/>
      <c r="EF271" s="1513"/>
      <c r="EG271" s="1513"/>
      <c r="EH271" s="1513"/>
      <c r="EI271" s="1513"/>
      <c r="EJ271" s="1513"/>
      <c r="EK271" s="1513"/>
      <c r="EL271" s="1513"/>
      <c r="EM271" s="1513"/>
      <c r="EN271" s="1513"/>
      <c r="EO271" s="1513"/>
      <c r="EP271" s="1513"/>
      <c r="EQ271" s="1513"/>
      <c r="ER271" s="1513"/>
      <c r="ES271" s="1513"/>
      <c r="ET271" s="1513"/>
      <c r="EU271" s="1513"/>
      <c r="EV271" s="1513"/>
      <c r="EW271" s="1513"/>
      <c r="EX271" s="1513"/>
      <c r="EY271" s="1513"/>
      <c r="EZ271" s="1513"/>
      <c r="FA271" s="1513"/>
      <c r="FB271" s="1513"/>
      <c r="FC271" s="1513"/>
      <c r="FD271" s="1513"/>
      <c r="FE271" s="1513"/>
      <c r="FF271" s="1513"/>
      <c r="FG271" s="1513"/>
      <c r="FH271" s="1513"/>
      <c r="FI271" s="1513"/>
      <c r="FJ271" s="1513"/>
    </row>
    <row r="272" spans="1:168" ht="17.100000000000001" customHeight="1" x14ac:dyDescent="0.15">
      <c r="A272" s="1513"/>
      <c r="B272" s="1513"/>
      <c r="C272" s="1513"/>
      <c r="D272" s="1513"/>
      <c r="E272" s="1513"/>
      <c r="F272" s="1513"/>
      <c r="G272" s="1513"/>
      <c r="H272" s="1513"/>
      <c r="I272" s="1513"/>
      <c r="J272" s="1513"/>
      <c r="K272" s="1513"/>
      <c r="L272" s="1513"/>
      <c r="M272" s="1513"/>
      <c r="N272" s="1513"/>
      <c r="O272" s="1513"/>
      <c r="P272" s="1513"/>
      <c r="Q272" s="1513"/>
      <c r="R272" s="1513"/>
      <c r="S272" s="1513"/>
      <c r="T272" s="1513"/>
      <c r="U272" s="1513"/>
      <c r="V272" s="1513"/>
      <c r="W272" s="1513"/>
      <c r="X272" s="1513"/>
      <c r="Y272" s="1513"/>
      <c r="Z272" s="1513"/>
      <c r="AA272" s="1513"/>
      <c r="AB272" s="1513"/>
      <c r="AC272" s="1513"/>
      <c r="AD272" s="1513"/>
      <c r="AE272" s="1513"/>
      <c r="AF272" s="1513"/>
      <c r="AG272" s="1513"/>
      <c r="AH272" s="1513"/>
      <c r="AI272" s="1513"/>
      <c r="AJ272" s="1513"/>
      <c r="AK272" s="1513"/>
      <c r="AL272" s="1513"/>
      <c r="AM272" s="1513"/>
      <c r="AN272" s="1513"/>
      <c r="AO272" s="1513"/>
      <c r="AP272" s="1513"/>
      <c r="AQ272" s="1513"/>
      <c r="AR272" s="1513"/>
      <c r="AS272" s="1513"/>
      <c r="AT272" s="1513"/>
      <c r="AU272" s="1513"/>
      <c r="AV272" s="1513"/>
      <c r="AW272" s="1513"/>
      <c r="AX272" s="1513"/>
      <c r="AY272" s="1513"/>
      <c r="AZ272" s="1513"/>
      <c r="BA272" s="1513"/>
      <c r="BB272" s="1513"/>
      <c r="BC272" s="1513"/>
      <c r="BD272" s="1513"/>
      <c r="BE272" s="1513"/>
      <c r="BF272" s="1513"/>
      <c r="BG272" s="1513"/>
      <c r="BH272" s="1513"/>
      <c r="BI272" s="1513"/>
      <c r="BJ272" s="1513"/>
      <c r="BK272" s="1513"/>
      <c r="BL272" s="1513"/>
      <c r="BM272" s="1513"/>
      <c r="BN272" s="1513"/>
      <c r="BO272" s="1513"/>
      <c r="BP272" s="1513"/>
      <c r="BQ272" s="1513"/>
      <c r="BR272" s="1513"/>
      <c r="BS272" s="1513"/>
      <c r="BT272" s="1513"/>
      <c r="BU272" s="1513"/>
      <c r="BV272" s="1513"/>
      <c r="BW272" s="1513"/>
      <c r="BX272" s="1513"/>
      <c r="BY272" s="1513"/>
      <c r="BZ272" s="1513"/>
      <c r="CA272" s="1513"/>
      <c r="CB272" s="1513"/>
      <c r="CC272" s="1513"/>
      <c r="CD272" s="1513"/>
      <c r="CE272" s="1513"/>
      <c r="CF272" s="1513"/>
      <c r="CG272" s="1513"/>
      <c r="CH272" s="1513"/>
      <c r="CI272" s="1513"/>
      <c r="CJ272" s="1513"/>
      <c r="CK272" s="1513"/>
      <c r="CL272" s="1513"/>
      <c r="CM272" s="1513"/>
      <c r="CN272" s="1513"/>
      <c r="CO272" s="1513"/>
      <c r="CP272" s="1513"/>
      <c r="CQ272" s="1513"/>
      <c r="CR272" s="1513"/>
      <c r="CS272" s="1513"/>
      <c r="CT272" s="1513"/>
      <c r="CU272" s="1513"/>
      <c r="CV272" s="1513"/>
      <c r="CW272" s="1513"/>
      <c r="CX272" s="1513"/>
      <c r="CY272" s="1513"/>
      <c r="CZ272" s="1513"/>
      <c r="DA272" s="1513"/>
      <c r="DB272" s="1513"/>
      <c r="DC272" s="1513"/>
      <c r="DD272" s="1513"/>
      <c r="DE272" s="1513"/>
      <c r="DF272" s="1513"/>
      <c r="DG272" s="1513"/>
      <c r="DH272" s="1513"/>
      <c r="DI272" s="1513"/>
      <c r="DJ272" s="1513"/>
      <c r="DK272" s="1513"/>
      <c r="DL272" s="1513"/>
      <c r="DM272" s="1513"/>
      <c r="DN272" s="1513"/>
      <c r="DO272" s="1513"/>
      <c r="DP272" s="1513"/>
      <c r="DQ272" s="1513"/>
      <c r="DR272" s="1513"/>
      <c r="DS272" s="1513"/>
      <c r="DT272" s="1513"/>
      <c r="DU272" s="1513"/>
      <c r="DV272" s="1513"/>
      <c r="DW272" s="1513"/>
      <c r="DX272" s="1513"/>
      <c r="DY272" s="1513"/>
      <c r="DZ272" s="1513"/>
      <c r="EA272" s="1513"/>
      <c r="EB272" s="1513"/>
      <c r="EC272" s="1513"/>
      <c r="ED272" s="1513"/>
      <c r="EE272" s="1513"/>
      <c r="EF272" s="1513"/>
      <c r="EG272" s="1513"/>
      <c r="EH272" s="1513"/>
      <c r="EI272" s="1513"/>
      <c r="EJ272" s="1513"/>
      <c r="EK272" s="1513"/>
      <c r="EL272" s="1513"/>
      <c r="EM272" s="1513"/>
      <c r="EN272" s="1513"/>
      <c r="EO272" s="1513"/>
      <c r="EP272" s="1513"/>
      <c r="EQ272" s="1513"/>
      <c r="ER272" s="1513"/>
      <c r="ES272" s="1513"/>
      <c r="ET272" s="1513"/>
      <c r="EU272" s="1513"/>
      <c r="EV272" s="1513"/>
      <c r="EW272" s="1513"/>
      <c r="EX272" s="1513"/>
      <c r="EY272" s="1513"/>
      <c r="EZ272" s="1513"/>
      <c r="FA272" s="1513"/>
      <c r="FB272" s="1513"/>
      <c r="FC272" s="1513"/>
      <c r="FD272" s="1513"/>
      <c r="FE272" s="1513"/>
      <c r="FF272" s="1513"/>
      <c r="FG272" s="1513"/>
      <c r="FH272" s="1513"/>
      <c r="FI272" s="1513"/>
      <c r="FJ272" s="1513"/>
    </row>
    <row r="273" spans="1:166" ht="17.100000000000001" customHeight="1" x14ac:dyDescent="0.15">
      <c r="A273" s="1513"/>
      <c r="B273" s="1513"/>
      <c r="C273" s="1513"/>
      <c r="D273" s="1513"/>
      <c r="E273" s="1513"/>
      <c r="F273" s="1513"/>
      <c r="G273" s="1513"/>
      <c r="H273" s="1513"/>
      <c r="I273" s="1513"/>
      <c r="J273" s="1513"/>
      <c r="K273" s="1513"/>
      <c r="L273" s="1513"/>
      <c r="M273" s="1513"/>
      <c r="N273" s="1513"/>
      <c r="O273" s="1513"/>
      <c r="P273" s="1513"/>
      <c r="Q273" s="1513"/>
      <c r="R273" s="1513"/>
      <c r="S273" s="1513"/>
      <c r="T273" s="1513"/>
      <c r="U273" s="1513"/>
      <c r="V273" s="1513"/>
      <c r="W273" s="1513"/>
      <c r="X273" s="1513"/>
      <c r="Y273" s="1513"/>
      <c r="Z273" s="1513"/>
      <c r="AA273" s="1513"/>
      <c r="AB273" s="1513"/>
      <c r="AC273" s="1513"/>
      <c r="AD273" s="1513"/>
      <c r="AE273" s="1513"/>
      <c r="AF273" s="1513"/>
      <c r="AG273" s="1513"/>
      <c r="AH273" s="1513"/>
      <c r="AI273" s="1513"/>
      <c r="AJ273" s="1513"/>
      <c r="AK273" s="1513"/>
      <c r="AL273" s="1513"/>
      <c r="AM273" s="1513"/>
      <c r="AN273" s="1513"/>
      <c r="AO273" s="1513"/>
      <c r="AP273" s="1513"/>
      <c r="AQ273" s="1513"/>
      <c r="AR273" s="1513"/>
      <c r="AS273" s="1513"/>
      <c r="AT273" s="1513"/>
      <c r="AU273" s="1513"/>
      <c r="AV273" s="1513"/>
      <c r="AW273" s="1513"/>
      <c r="AX273" s="1513"/>
      <c r="AY273" s="1513"/>
      <c r="AZ273" s="1513"/>
      <c r="BA273" s="1513"/>
      <c r="BB273" s="1513"/>
      <c r="BC273" s="1513"/>
      <c r="BD273" s="1513"/>
      <c r="BE273" s="1513"/>
      <c r="BF273" s="1513"/>
      <c r="BG273" s="1513"/>
      <c r="BH273" s="1513"/>
      <c r="BI273" s="1513"/>
      <c r="BJ273" s="1513"/>
      <c r="BK273" s="1513"/>
      <c r="BL273" s="1513"/>
      <c r="BM273" s="1513"/>
      <c r="BN273" s="1513"/>
      <c r="BO273" s="1513"/>
      <c r="BP273" s="1513"/>
      <c r="BQ273" s="1513"/>
      <c r="BR273" s="1513"/>
      <c r="BS273" s="1513"/>
      <c r="BT273" s="1513"/>
      <c r="BU273" s="1513"/>
      <c r="BV273" s="1513"/>
      <c r="BW273" s="1513"/>
      <c r="BX273" s="1513"/>
      <c r="BY273" s="1513"/>
      <c r="BZ273" s="1513"/>
      <c r="CA273" s="1513"/>
      <c r="CB273" s="1513"/>
      <c r="CC273" s="1513"/>
      <c r="CD273" s="1513"/>
      <c r="CE273" s="1513"/>
      <c r="CF273" s="1513"/>
      <c r="CG273" s="1513"/>
      <c r="CH273" s="1513"/>
      <c r="CI273" s="1513"/>
      <c r="CJ273" s="1513"/>
      <c r="CK273" s="1513"/>
      <c r="CL273" s="1513"/>
      <c r="CM273" s="1513"/>
      <c r="CN273" s="1513"/>
      <c r="CO273" s="1513"/>
      <c r="CP273" s="1513"/>
      <c r="CQ273" s="1513"/>
      <c r="CR273" s="1513"/>
      <c r="CS273" s="1513"/>
      <c r="CT273" s="1513"/>
      <c r="CU273" s="1513"/>
      <c r="CV273" s="1513"/>
      <c r="CW273" s="1513"/>
      <c r="CX273" s="1513"/>
      <c r="CY273" s="1513"/>
      <c r="CZ273" s="1513"/>
      <c r="DA273" s="1513"/>
      <c r="DB273" s="1513"/>
      <c r="DC273" s="1513"/>
      <c r="DD273" s="1513"/>
      <c r="DE273" s="1513"/>
      <c r="DF273" s="1513"/>
      <c r="DG273" s="1513"/>
      <c r="DH273" s="1513"/>
      <c r="DI273" s="1513"/>
      <c r="DJ273" s="1513"/>
      <c r="DK273" s="1513"/>
      <c r="DL273" s="1513"/>
      <c r="DM273" s="1513"/>
      <c r="DN273" s="1513"/>
      <c r="DO273" s="1513"/>
      <c r="DP273" s="1513"/>
      <c r="DQ273" s="1513"/>
      <c r="DR273" s="1513"/>
      <c r="DS273" s="1513"/>
      <c r="DT273" s="1513"/>
      <c r="DU273" s="1513"/>
      <c r="DV273" s="1513"/>
      <c r="DW273" s="1513"/>
      <c r="DX273" s="1513"/>
      <c r="DY273" s="1513"/>
      <c r="DZ273" s="1513"/>
      <c r="EA273" s="1513"/>
      <c r="EB273" s="1513"/>
      <c r="EC273" s="1513"/>
      <c r="ED273" s="1513"/>
      <c r="EE273" s="1513"/>
      <c r="EF273" s="1513"/>
      <c r="EG273" s="1513"/>
      <c r="EH273" s="1513"/>
      <c r="EI273" s="1513"/>
      <c r="EJ273" s="1513"/>
      <c r="EK273" s="1513"/>
      <c r="EL273" s="1513"/>
      <c r="EM273" s="1513"/>
      <c r="EN273" s="1513"/>
      <c r="EO273" s="1513"/>
      <c r="EP273" s="1513"/>
      <c r="EQ273" s="1513"/>
      <c r="ER273" s="1513"/>
      <c r="ES273" s="1513"/>
      <c r="ET273" s="1513"/>
      <c r="EU273" s="1513"/>
      <c r="EV273" s="1513"/>
      <c r="EW273" s="1513"/>
      <c r="EX273" s="1513"/>
      <c r="EY273" s="1513"/>
      <c r="EZ273" s="1513"/>
      <c r="FA273" s="1513"/>
      <c r="FB273" s="1513"/>
      <c r="FC273" s="1513"/>
      <c r="FD273" s="1513"/>
      <c r="FE273" s="1513"/>
      <c r="FF273" s="1513"/>
      <c r="FG273" s="1513"/>
      <c r="FH273" s="1513"/>
      <c r="FI273" s="1513"/>
      <c r="FJ273" s="1513"/>
    </row>
    <row r="274" spans="1:166" ht="17.100000000000001" customHeight="1" x14ac:dyDescent="0.15">
      <c r="A274" s="1513"/>
      <c r="B274" s="1513"/>
      <c r="C274" s="1513"/>
      <c r="D274" s="1513"/>
      <c r="E274" s="1513"/>
      <c r="F274" s="1513"/>
      <c r="G274" s="1513"/>
      <c r="H274" s="1513"/>
      <c r="I274" s="1513"/>
      <c r="J274" s="1513"/>
      <c r="K274" s="1513"/>
      <c r="L274" s="1513"/>
      <c r="M274" s="1513"/>
      <c r="N274" s="1513"/>
      <c r="O274" s="1513"/>
      <c r="P274" s="1513"/>
      <c r="Q274" s="1513"/>
      <c r="R274" s="1513"/>
      <c r="S274" s="1513"/>
      <c r="T274" s="1513"/>
      <c r="U274" s="1513"/>
      <c r="V274" s="1513"/>
      <c r="W274" s="1513"/>
      <c r="X274" s="1513"/>
      <c r="Y274" s="1513"/>
      <c r="Z274" s="1513"/>
      <c r="AA274" s="1513"/>
      <c r="AB274" s="1513"/>
      <c r="AC274" s="1513"/>
      <c r="AD274" s="1513"/>
      <c r="AE274" s="1513"/>
      <c r="AF274" s="1513"/>
      <c r="AG274" s="1513"/>
      <c r="AH274" s="1513"/>
      <c r="AI274" s="1513"/>
      <c r="AJ274" s="1513"/>
      <c r="AK274" s="1513"/>
      <c r="AL274" s="1513"/>
      <c r="AM274" s="1513"/>
      <c r="AN274" s="1513"/>
      <c r="AO274" s="1513"/>
      <c r="AP274" s="1513"/>
      <c r="AQ274" s="1513"/>
      <c r="AR274" s="1513"/>
      <c r="AS274" s="1513"/>
      <c r="AT274" s="1513"/>
      <c r="AU274" s="1513"/>
      <c r="AV274" s="1513"/>
      <c r="AW274" s="1513"/>
      <c r="AX274" s="1513"/>
      <c r="AY274" s="1513"/>
      <c r="AZ274" s="1513"/>
      <c r="BA274" s="1513"/>
      <c r="BB274" s="1513"/>
      <c r="BC274" s="1513"/>
      <c r="BD274" s="1513"/>
      <c r="BE274" s="1513"/>
      <c r="BF274" s="1513"/>
      <c r="BG274" s="1513"/>
      <c r="BH274" s="1513"/>
      <c r="BI274" s="1513"/>
      <c r="BJ274" s="1513"/>
      <c r="BK274" s="1513"/>
      <c r="BL274" s="1513"/>
      <c r="BM274" s="1513"/>
      <c r="BN274" s="1513"/>
      <c r="BO274" s="1513"/>
      <c r="BP274" s="1513"/>
      <c r="BQ274" s="1513"/>
      <c r="BR274" s="1513"/>
      <c r="BS274" s="1513"/>
      <c r="BT274" s="1513"/>
      <c r="BU274" s="1513"/>
      <c r="BV274" s="1513"/>
      <c r="BW274" s="1513"/>
      <c r="BX274" s="1513"/>
      <c r="BY274" s="1513"/>
      <c r="BZ274" s="1513"/>
      <c r="CA274" s="1513"/>
      <c r="CB274" s="1513"/>
      <c r="CC274" s="1513"/>
      <c r="CD274" s="1513"/>
      <c r="CE274" s="1513"/>
      <c r="CF274" s="1513"/>
      <c r="CG274" s="1513"/>
      <c r="CH274" s="1513"/>
      <c r="CI274" s="1513"/>
      <c r="CJ274" s="1513"/>
      <c r="CK274" s="1513"/>
      <c r="CL274" s="1513"/>
      <c r="CM274" s="1513"/>
      <c r="CN274" s="1513"/>
      <c r="CO274" s="1513"/>
      <c r="CP274" s="1513"/>
      <c r="CQ274" s="1513"/>
      <c r="CR274" s="1513"/>
      <c r="CS274" s="1513"/>
      <c r="CT274" s="1513"/>
      <c r="CU274" s="1513"/>
      <c r="CV274" s="1513"/>
      <c r="CW274" s="1513"/>
      <c r="CX274" s="1513"/>
      <c r="CY274" s="1513"/>
      <c r="CZ274" s="1513"/>
      <c r="DA274" s="1513"/>
      <c r="DB274" s="1513"/>
      <c r="DC274" s="1513"/>
      <c r="DD274" s="1513"/>
      <c r="DE274" s="1513"/>
      <c r="DF274" s="1513"/>
      <c r="DG274" s="1513"/>
      <c r="DH274" s="1513"/>
      <c r="DI274" s="1513"/>
      <c r="DJ274" s="1513"/>
      <c r="DK274" s="1513"/>
      <c r="DL274" s="1513"/>
      <c r="DM274" s="1513"/>
      <c r="DN274" s="1513"/>
      <c r="DO274" s="1513"/>
      <c r="DP274" s="1513"/>
      <c r="DQ274" s="1513"/>
      <c r="DR274" s="1513"/>
      <c r="DS274" s="1513"/>
      <c r="DT274" s="1513"/>
      <c r="DU274" s="1513"/>
      <c r="DV274" s="1513"/>
      <c r="DW274" s="1513"/>
      <c r="DX274" s="1513"/>
      <c r="DY274" s="1513"/>
      <c r="DZ274" s="1513"/>
      <c r="EA274" s="1513"/>
      <c r="EB274" s="1513"/>
      <c r="EC274" s="1513"/>
      <c r="ED274" s="1513"/>
      <c r="EE274" s="1513"/>
      <c r="EF274" s="1513"/>
      <c r="EG274" s="1513"/>
      <c r="EH274" s="1513"/>
      <c r="EI274" s="1513"/>
      <c r="EJ274" s="1513"/>
      <c r="EK274" s="1513"/>
      <c r="EL274" s="1513"/>
      <c r="EM274" s="1513"/>
      <c r="EN274" s="1513"/>
      <c r="EO274" s="1513"/>
      <c r="EP274" s="1513"/>
      <c r="EQ274" s="1513"/>
      <c r="ER274" s="1513"/>
      <c r="ES274" s="1513"/>
      <c r="ET274" s="1513"/>
      <c r="EU274" s="1513"/>
      <c r="EV274" s="1513"/>
      <c r="EW274" s="1513"/>
      <c r="EX274" s="1513"/>
      <c r="EY274" s="1513"/>
      <c r="EZ274" s="1513"/>
      <c r="FA274" s="1513"/>
      <c r="FB274" s="1513"/>
      <c r="FC274" s="1513"/>
      <c r="FD274" s="1513"/>
      <c r="FE274" s="1513"/>
      <c r="FF274" s="1513"/>
      <c r="FG274" s="1513"/>
      <c r="FH274" s="1513"/>
      <c r="FI274" s="1513"/>
      <c r="FJ274" s="1513"/>
    </row>
    <row r="275" spans="1:166" ht="17.100000000000001" customHeight="1" x14ac:dyDescent="0.15">
      <c r="A275" s="1513"/>
      <c r="B275" s="1513"/>
      <c r="C275" s="1513"/>
      <c r="D275" s="1513"/>
      <c r="E275" s="1513"/>
      <c r="F275" s="1513"/>
      <c r="G275" s="1513"/>
      <c r="H275" s="1513"/>
      <c r="I275" s="1513"/>
      <c r="J275" s="1513"/>
      <c r="K275" s="1513"/>
      <c r="L275" s="1513"/>
      <c r="M275" s="1513"/>
      <c r="N275" s="1513"/>
      <c r="O275" s="1513"/>
      <c r="P275" s="1513"/>
      <c r="Q275" s="1513"/>
      <c r="R275" s="1513"/>
      <c r="S275" s="1513"/>
      <c r="T275" s="1513"/>
      <c r="U275" s="1513"/>
      <c r="V275" s="1513"/>
      <c r="W275" s="1513"/>
      <c r="X275" s="1513"/>
      <c r="Y275" s="1513"/>
      <c r="Z275" s="1513"/>
      <c r="AA275" s="1513"/>
      <c r="AB275" s="1513"/>
      <c r="AC275" s="1513"/>
      <c r="AD275" s="1513"/>
      <c r="AE275" s="1513"/>
      <c r="AF275" s="1513"/>
      <c r="AG275" s="1513"/>
      <c r="AH275" s="1513"/>
      <c r="AI275" s="1513"/>
      <c r="AJ275" s="1513"/>
      <c r="AK275" s="1513"/>
      <c r="AL275" s="1513"/>
      <c r="AM275" s="1513"/>
      <c r="AN275" s="1513"/>
      <c r="AO275" s="1513"/>
      <c r="AP275" s="1513"/>
      <c r="AQ275" s="1513"/>
      <c r="AR275" s="1513"/>
      <c r="AS275" s="1513"/>
      <c r="AT275" s="1513"/>
      <c r="AU275" s="1513"/>
      <c r="AV275" s="1513"/>
      <c r="AW275" s="1513"/>
      <c r="AX275" s="1513"/>
      <c r="AY275" s="1513"/>
      <c r="AZ275" s="1513"/>
      <c r="BA275" s="1513"/>
      <c r="BB275" s="1513"/>
      <c r="BC275" s="1513"/>
      <c r="BD275" s="1513"/>
      <c r="BE275" s="1513"/>
      <c r="BF275" s="1513"/>
      <c r="BG275" s="1513"/>
      <c r="BH275" s="1513"/>
      <c r="BI275" s="1513"/>
      <c r="BJ275" s="1513"/>
      <c r="BK275" s="1513"/>
      <c r="BL275" s="1513"/>
      <c r="BM275" s="1513"/>
      <c r="BN275" s="1513"/>
      <c r="BO275" s="1513"/>
      <c r="BP275" s="1513"/>
      <c r="BQ275" s="1513"/>
      <c r="BR275" s="1513"/>
      <c r="BS275" s="1513"/>
      <c r="BT275" s="1513"/>
      <c r="BU275" s="1513"/>
      <c r="BV275" s="1513"/>
      <c r="BW275" s="1513"/>
      <c r="BX275" s="1513"/>
      <c r="BY275" s="1513"/>
      <c r="BZ275" s="1513"/>
      <c r="CA275" s="1513"/>
      <c r="CB275" s="1513"/>
      <c r="CC275" s="1513"/>
      <c r="CD275" s="1513"/>
      <c r="CE275" s="1513"/>
      <c r="CF275" s="1513"/>
      <c r="CG275" s="1513"/>
      <c r="CH275" s="1513"/>
      <c r="CI275" s="1513"/>
      <c r="CJ275" s="1513"/>
      <c r="CK275" s="1513"/>
      <c r="CL275" s="1513"/>
      <c r="CM275" s="1513"/>
      <c r="CN275" s="1513"/>
      <c r="CO275" s="1513"/>
      <c r="CP275" s="1513"/>
      <c r="CQ275" s="1513"/>
      <c r="CR275" s="1513"/>
      <c r="CS275" s="1513"/>
      <c r="CT275" s="1513"/>
      <c r="CU275" s="1513"/>
      <c r="CV275" s="1513"/>
      <c r="CW275" s="1513"/>
      <c r="CX275" s="1513"/>
      <c r="CY275" s="1513"/>
      <c r="CZ275" s="1513"/>
      <c r="DA275" s="1513"/>
      <c r="DB275" s="1513"/>
      <c r="DC275" s="1513"/>
      <c r="DD275" s="1513"/>
      <c r="DE275" s="1513"/>
      <c r="DF275" s="1513"/>
      <c r="DG275" s="1513"/>
      <c r="DH275" s="1513"/>
      <c r="DI275" s="1513"/>
      <c r="DJ275" s="1513"/>
      <c r="DK275" s="1513"/>
      <c r="DL275" s="1513"/>
      <c r="DM275" s="1513"/>
      <c r="DN275" s="1513"/>
      <c r="DO275" s="1513"/>
      <c r="DP275" s="1513"/>
      <c r="DQ275" s="1513"/>
      <c r="DR275" s="1513"/>
      <c r="DS275" s="1513"/>
      <c r="DT275" s="1513"/>
      <c r="DU275" s="1513"/>
      <c r="DV275" s="1513"/>
      <c r="DW275" s="1513"/>
      <c r="DX275" s="1513"/>
      <c r="DY275" s="1513"/>
      <c r="DZ275" s="1513"/>
      <c r="EA275" s="1513"/>
      <c r="EB275" s="1513"/>
      <c r="EC275" s="1513"/>
      <c r="ED275" s="1513"/>
      <c r="EE275" s="1513"/>
      <c r="EF275" s="1513"/>
      <c r="EG275" s="1513"/>
      <c r="EH275" s="1513"/>
      <c r="EI275" s="1513"/>
      <c r="EJ275" s="1513"/>
      <c r="EK275" s="1513"/>
      <c r="EL275" s="1513"/>
      <c r="EM275" s="1513"/>
      <c r="EN275" s="1513"/>
      <c r="EO275" s="1513"/>
      <c r="EP275" s="1513"/>
      <c r="EQ275" s="1513"/>
      <c r="ER275" s="1513"/>
      <c r="ES275" s="1513"/>
      <c r="ET275" s="1513"/>
      <c r="EU275" s="1513"/>
      <c r="EV275" s="1513"/>
      <c r="EW275" s="1513"/>
      <c r="EX275" s="1513"/>
      <c r="EY275" s="1513"/>
      <c r="EZ275" s="1513"/>
      <c r="FA275" s="1513"/>
      <c r="FB275" s="1513"/>
      <c r="FC275" s="1513"/>
      <c r="FD275" s="1513"/>
      <c r="FE275" s="1513"/>
      <c r="FF275" s="1513"/>
      <c r="FG275" s="1513"/>
      <c r="FH275" s="1513"/>
      <c r="FI275" s="1513"/>
      <c r="FJ275" s="1513"/>
    </row>
    <row r="276" spans="1:166" ht="17.100000000000001" customHeight="1" x14ac:dyDescent="0.15">
      <c r="A276" s="1513"/>
      <c r="B276" s="1513"/>
      <c r="C276" s="1513"/>
      <c r="D276" s="1513"/>
      <c r="E276" s="1513"/>
      <c r="F276" s="1513"/>
      <c r="G276" s="1513"/>
      <c r="H276" s="1513"/>
      <c r="I276" s="1513"/>
      <c r="J276" s="1513"/>
      <c r="K276" s="1513"/>
      <c r="L276" s="1513"/>
      <c r="M276" s="1513"/>
      <c r="N276" s="1513"/>
      <c r="O276" s="1513"/>
      <c r="P276" s="1513"/>
      <c r="Q276" s="1513"/>
      <c r="R276" s="1513"/>
      <c r="S276" s="1513"/>
      <c r="T276" s="1513"/>
      <c r="U276" s="1513"/>
      <c r="V276" s="1513"/>
      <c r="W276" s="1513"/>
      <c r="X276" s="1513"/>
      <c r="Y276" s="1513"/>
      <c r="Z276" s="1513"/>
      <c r="AA276" s="1513"/>
      <c r="AB276" s="1513"/>
      <c r="AC276" s="1513"/>
      <c r="AD276" s="1513"/>
      <c r="AE276" s="1513"/>
      <c r="AF276" s="1513"/>
      <c r="AG276" s="1513"/>
      <c r="AH276" s="1513"/>
      <c r="AI276" s="1513"/>
      <c r="AJ276" s="1513"/>
      <c r="AK276" s="1513"/>
      <c r="AL276" s="1513"/>
      <c r="AM276" s="1513"/>
      <c r="AN276" s="1513"/>
      <c r="AO276" s="1513"/>
      <c r="AP276" s="1513"/>
      <c r="AQ276" s="1513"/>
      <c r="AR276" s="1513"/>
      <c r="AS276" s="1513"/>
      <c r="AT276" s="1513"/>
      <c r="AU276" s="1513"/>
      <c r="AV276" s="1513"/>
      <c r="AW276" s="1513"/>
      <c r="AX276" s="1513"/>
      <c r="AY276" s="1513"/>
      <c r="AZ276" s="1513"/>
      <c r="BA276" s="1513"/>
      <c r="BB276" s="1513"/>
      <c r="BC276" s="1513"/>
      <c r="BD276" s="1513"/>
      <c r="BE276" s="1513"/>
      <c r="BF276" s="1513"/>
      <c r="BG276" s="1513"/>
      <c r="BH276" s="1513"/>
      <c r="BI276" s="1513"/>
      <c r="BJ276" s="1513"/>
      <c r="BK276" s="1513"/>
      <c r="BL276" s="1513"/>
      <c r="BM276" s="1513"/>
      <c r="BN276" s="1513"/>
      <c r="BO276" s="1513"/>
      <c r="BP276" s="1513"/>
      <c r="BQ276" s="1513"/>
      <c r="BR276" s="1513"/>
      <c r="BS276" s="1513"/>
      <c r="BT276" s="1513"/>
      <c r="BU276" s="1513"/>
      <c r="BV276" s="1513"/>
      <c r="BW276" s="1513"/>
      <c r="BX276" s="1513"/>
      <c r="BY276" s="1513"/>
      <c r="BZ276" s="1513"/>
      <c r="CA276" s="1513"/>
      <c r="CB276" s="1513"/>
      <c r="CC276" s="1513"/>
      <c r="CD276" s="1513"/>
      <c r="CE276" s="1513"/>
      <c r="CF276" s="1513"/>
      <c r="CG276" s="1513"/>
      <c r="CH276" s="1513"/>
      <c r="CI276" s="1513"/>
      <c r="CJ276" s="1513"/>
      <c r="CK276" s="1513"/>
      <c r="CL276" s="1513"/>
      <c r="CM276" s="1513"/>
      <c r="CN276" s="1513"/>
      <c r="CO276" s="1513"/>
      <c r="CP276" s="1513"/>
      <c r="CQ276" s="1513"/>
      <c r="CR276" s="1513"/>
      <c r="CS276" s="1513"/>
      <c r="CT276" s="1513"/>
      <c r="CU276" s="1513"/>
      <c r="CV276" s="1513"/>
      <c r="CW276" s="1513"/>
      <c r="CX276" s="1513"/>
      <c r="CY276" s="1513"/>
      <c r="CZ276" s="1513"/>
      <c r="DA276" s="1513"/>
      <c r="DB276" s="1513"/>
      <c r="DC276" s="1513"/>
      <c r="DD276" s="1513"/>
      <c r="DE276" s="1513"/>
      <c r="DF276" s="1513"/>
      <c r="DG276" s="1513"/>
      <c r="DH276" s="1513"/>
      <c r="DI276" s="1513"/>
      <c r="DJ276" s="1513"/>
      <c r="DK276" s="1513"/>
      <c r="DL276" s="1513"/>
      <c r="DM276" s="1513"/>
      <c r="DN276" s="1513"/>
      <c r="DO276" s="1513"/>
      <c r="DP276" s="1513"/>
      <c r="DQ276" s="1513"/>
      <c r="DR276" s="1513"/>
      <c r="DS276" s="1513"/>
      <c r="DT276" s="1513"/>
      <c r="DU276" s="1513"/>
      <c r="DV276" s="1513"/>
      <c r="DW276" s="1513"/>
      <c r="DX276" s="1513"/>
      <c r="DY276" s="1513"/>
      <c r="DZ276" s="1513"/>
      <c r="EA276" s="1513"/>
      <c r="EB276" s="1513"/>
      <c r="EC276" s="1513"/>
      <c r="ED276" s="1513"/>
      <c r="EE276" s="1513"/>
      <c r="EF276" s="1513"/>
      <c r="EG276" s="1513"/>
      <c r="EH276" s="1513"/>
      <c r="EI276" s="1513"/>
      <c r="EJ276" s="1513"/>
      <c r="EK276" s="1513"/>
      <c r="EL276" s="1513"/>
      <c r="EM276" s="1513"/>
      <c r="EN276" s="1513"/>
      <c r="EO276" s="1513"/>
      <c r="EP276" s="1513"/>
      <c r="EQ276" s="1513"/>
      <c r="ER276" s="1513"/>
      <c r="ES276" s="1513"/>
      <c r="ET276" s="1513"/>
      <c r="EU276" s="1513"/>
      <c r="EV276" s="1513"/>
      <c r="EW276" s="1513"/>
      <c r="EX276" s="1513"/>
      <c r="EY276" s="1513"/>
      <c r="EZ276" s="1513"/>
      <c r="FA276" s="1513"/>
      <c r="FB276" s="1513"/>
      <c r="FC276" s="1513"/>
      <c r="FD276" s="1513"/>
      <c r="FE276" s="1513"/>
      <c r="FF276" s="1513"/>
      <c r="FG276" s="1513"/>
      <c r="FH276" s="1513"/>
      <c r="FI276" s="1513"/>
      <c r="FJ276" s="1513"/>
    </row>
    <row r="277" spans="1:166" ht="17.100000000000001" customHeight="1" x14ac:dyDescent="0.15">
      <c r="A277" s="1513"/>
      <c r="B277" s="1513"/>
      <c r="C277" s="1513"/>
      <c r="D277" s="1513"/>
      <c r="E277" s="1513"/>
      <c r="F277" s="1513"/>
      <c r="G277" s="1513"/>
      <c r="H277" s="1513"/>
      <c r="I277" s="1513"/>
      <c r="J277" s="1513"/>
      <c r="K277" s="1513"/>
      <c r="L277" s="1513"/>
      <c r="M277" s="1513"/>
      <c r="N277" s="1513"/>
      <c r="O277" s="1513"/>
      <c r="P277" s="1513"/>
      <c r="Q277" s="1513"/>
      <c r="R277" s="1513"/>
      <c r="S277" s="1513"/>
      <c r="T277" s="1513"/>
      <c r="U277" s="1513"/>
      <c r="V277" s="1513"/>
      <c r="W277" s="1513"/>
      <c r="X277" s="1513"/>
      <c r="Y277" s="1513"/>
      <c r="Z277" s="1513"/>
      <c r="AA277" s="1513"/>
      <c r="AB277" s="1513"/>
      <c r="AC277" s="1513"/>
      <c r="AD277" s="1513"/>
      <c r="AE277" s="1513"/>
      <c r="AF277" s="1513"/>
      <c r="AG277" s="1513"/>
      <c r="AH277" s="1513"/>
      <c r="AI277" s="1513"/>
      <c r="AJ277" s="1513"/>
      <c r="AK277" s="1513"/>
      <c r="AL277" s="1513"/>
      <c r="AM277" s="1513"/>
      <c r="AN277" s="1513"/>
      <c r="AO277" s="1513"/>
      <c r="AP277" s="1513"/>
      <c r="AQ277" s="1513"/>
      <c r="AR277" s="1513"/>
      <c r="AS277" s="1513"/>
      <c r="AT277" s="1513"/>
      <c r="AU277" s="1513"/>
      <c r="AV277" s="1513"/>
      <c r="AW277" s="1513"/>
      <c r="AX277" s="1513"/>
      <c r="AY277" s="1513"/>
      <c r="AZ277" s="1513"/>
      <c r="BA277" s="1513"/>
      <c r="BB277" s="1513"/>
      <c r="BC277" s="1513"/>
      <c r="BD277" s="1513"/>
      <c r="BE277" s="1513"/>
      <c r="BF277" s="1513"/>
      <c r="BG277" s="1513"/>
      <c r="BH277" s="1513"/>
      <c r="BI277" s="1513"/>
      <c r="BJ277" s="1513"/>
      <c r="BK277" s="1513"/>
      <c r="BL277" s="1513"/>
      <c r="BM277" s="1513"/>
      <c r="BN277" s="1513"/>
      <c r="BO277" s="1513"/>
      <c r="BP277" s="1513"/>
      <c r="BQ277" s="1513"/>
      <c r="BR277" s="1513"/>
      <c r="BS277" s="1513"/>
      <c r="BT277" s="1513"/>
      <c r="BU277" s="1513"/>
      <c r="BV277" s="1513"/>
      <c r="BW277" s="1513"/>
      <c r="BX277" s="1513"/>
      <c r="BY277" s="1513"/>
      <c r="BZ277" s="1513"/>
      <c r="CA277" s="1513"/>
      <c r="CB277" s="1513"/>
      <c r="CC277" s="1513"/>
      <c r="CD277" s="1513"/>
      <c r="CE277" s="1513"/>
      <c r="CF277" s="1513"/>
      <c r="CG277" s="1513"/>
      <c r="CH277" s="1513"/>
      <c r="CI277" s="1513"/>
      <c r="CJ277" s="1513"/>
      <c r="CK277" s="1513"/>
      <c r="CL277" s="1513"/>
      <c r="CM277" s="1513"/>
      <c r="CN277" s="1513"/>
      <c r="CO277" s="1513"/>
      <c r="CP277" s="1513"/>
      <c r="CQ277" s="1513"/>
      <c r="CR277" s="1513"/>
      <c r="CS277" s="1513"/>
      <c r="CT277" s="1513"/>
      <c r="CU277" s="1513"/>
      <c r="CV277" s="1513"/>
      <c r="CW277" s="1513"/>
      <c r="CX277" s="1513"/>
      <c r="CY277" s="1513"/>
      <c r="CZ277" s="1513"/>
      <c r="DA277" s="1513"/>
      <c r="DB277" s="1513"/>
      <c r="DC277" s="1513"/>
      <c r="DD277" s="1513"/>
      <c r="DE277" s="1513"/>
      <c r="DF277" s="1513"/>
      <c r="DG277" s="1513"/>
      <c r="DH277" s="1513"/>
      <c r="DI277" s="1513"/>
      <c r="DJ277" s="1513"/>
      <c r="DK277" s="1513"/>
      <c r="DL277" s="1513"/>
      <c r="DM277" s="1513"/>
      <c r="DN277" s="1513"/>
      <c r="DO277" s="1513"/>
      <c r="DP277" s="1513"/>
      <c r="DQ277" s="1513"/>
      <c r="DR277" s="1513"/>
      <c r="DS277" s="1513"/>
      <c r="DT277" s="1513"/>
      <c r="DU277" s="1513"/>
      <c r="DV277" s="1513"/>
      <c r="DW277" s="1513"/>
      <c r="DX277" s="1513"/>
      <c r="DY277" s="1513"/>
      <c r="DZ277" s="1513"/>
      <c r="EA277" s="1513"/>
      <c r="EB277" s="1513"/>
      <c r="EC277" s="1513"/>
      <c r="ED277" s="1513"/>
      <c r="EE277" s="1513"/>
      <c r="EF277" s="1513"/>
      <c r="EG277" s="1513"/>
      <c r="EH277" s="1513"/>
      <c r="EI277" s="1513"/>
      <c r="EJ277" s="1513"/>
      <c r="EK277" s="1513"/>
      <c r="EL277" s="1513"/>
      <c r="EM277" s="1513"/>
      <c r="EN277" s="1513"/>
      <c r="EO277" s="1513"/>
      <c r="EP277" s="1513"/>
      <c r="EQ277" s="1513"/>
      <c r="ER277" s="1513"/>
      <c r="ES277" s="1513"/>
      <c r="ET277" s="1513"/>
      <c r="EU277" s="1513"/>
      <c r="EV277" s="1513"/>
      <c r="EW277" s="1513"/>
      <c r="EX277" s="1513"/>
      <c r="EY277" s="1513"/>
      <c r="EZ277" s="1513"/>
      <c r="FA277" s="1513"/>
      <c r="FB277" s="1513"/>
      <c r="FC277" s="1513"/>
      <c r="FD277" s="1513"/>
      <c r="FE277" s="1513"/>
      <c r="FF277" s="1513"/>
      <c r="FG277" s="1513"/>
      <c r="FH277" s="1513"/>
      <c r="FI277" s="1513"/>
      <c r="FJ277" s="1513"/>
    </row>
    <row r="278" spans="1:166" ht="17.100000000000001" customHeight="1" x14ac:dyDescent="0.15">
      <c r="A278" s="1513"/>
      <c r="B278" s="1513"/>
      <c r="C278" s="1513"/>
      <c r="D278" s="1513"/>
      <c r="E278" s="1513"/>
      <c r="F278" s="1513"/>
      <c r="G278" s="1513"/>
      <c r="H278" s="1513"/>
      <c r="I278" s="1513"/>
      <c r="J278" s="1513"/>
      <c r="K278" s="1513"/>
      <c r="L278" s="1513"/>
      <c r="M278" s="1513"/>
      <c r="N278" s="1513"/>
      <c r="O278" s="1513"/>
      <c r="P278" s="1513"/>
      <c r="Q278" s="1513"/>
      <c r="R278" s="1513"/>
      <c r="S278" s="1513"/>
      <c r="T278" s="1513"/>
      <c r="U278" s="1513"/>
      <c r="V278" s="1513"/>
      <c r="W278" s="1513"/>
      <c r="X278" s="1513"/>
      <c r="Y278" s="1513"/>
      <c r="Z278" s="1513"/>
      <c r="AA278" s="1513"/>
      <c r="AB278" s="1513"/>
      <c r="AC278" s="1513"/>
      <c r="AD278" s="1513"/>
      <c r="AE278" s="1513"/>
      <c r="AF278" s="1513"/>
      <c r="AG278" s="1513"/>
      <c r="AH278" s="1513"/>
      <c r="AI278" s="1513"/>
      <c r="AJ278" s="1513"/>
      <c r="AK278" s="1513"/>
      <c r="AL278" s="1513"/>
      <c r="AM278" s="1513"/>
      <c r="AN278" s="1513"/>
      <c r="AO278" s="1513"/>
      <c r="AP278" s="1513"/>
      <c r="AQ278" s="1513"/>
      <c r="AR278" s="1513"/>
      <c r="AS278" s="1513"/>
      <c r="AT278" s="1513"/>
      <c r="AU278" s="1513"/>
      <c r="AV278" s="1513"/>
      <c r="AW278" s="1513"/>
      <c r="AX278" s="1513"/>
      <c r="AY278" s="1513"/>
      <c r="AZ278" s="1513"/>
      <c r="BA278" s="1513"/>
      <c r="BB278" s="1513"/>
      <c r="BC278" s="1513"/>
      <c r="BD278" s="1513"/>
      <c r="BE278" s="1513"/>
      <c r="BF278" s="1513"/>
      <c r="BG278" s="1513"/>
      <c r="BH278" s="1513"/>
      <c r="BI278" s="1513"/>
      <c r="BJ278" s="1513"/>
      <c r="BK278" s="1513"/>
      <c r="BL278" s="1513"/>
      <c r="BM278" s="1513"/>
      <c r="BN278" s="1513"/>
      <c r="BO278" s="1513"/>
      <c r="BP278" s="1513"/>
      <c r="BQ278" s="1513"/>
      <c r="BR278" s="1513"/>
      <c r="BS278" s="1513"/>
      <c r="BT278" s="1513"/>
      <c r="BU278" s="1513"/>
      <c r="BV278" s="1513"/>
      <c r="BW278" s="1513"/>
      <c r="BX278" s="1513"/>
      <c r="BY278" s="1513"/>
      <c r="BZ278" s="1513"/>
      <c r="CA278" s="1513"/>
      <c r="CB278" s="1513"/>
      <c r="CC278" s="1513"/>
      <c r="CD278" s="1513"/>
      <c r="CE278" s="1513"/>
      <c r="CF278" s="1513"/>
      <c r="CG278" s="1513"/>
      <c r="CH278" s="1513"/>
      <c r="CI278" s="1513"/>
      <c r="CJ278" s="1513"/>
      <c r="CK278" s="1513"/>
      <c r="CL278" s="1513"/>
      <c r="CM278" s="1513"/>
      <c r="CN278" s="1513"/>
      <c r="CO278" s="1513"/>
      <c r="CP278" s="1513"/>
      <c r="CQ278" s="1513"/>
      <c r="CR278" s="1513"/>
      <c r="CS278" s="1513"/>
      <c r="CT278" s="1513"/>
      <c r="CU278" s="1513"/>
      <c r="CV278" s="1513"/>
      <c r="CW278" s="1513"/>
      <c r="CX278" s="1513"/>
      <c r="CY278" s="1513"/>
      <c r="CZ278" s="1513"/>
      <c r="DA278" s="1513"/>
      <c r="DB278" s="1513"/>
      <c r="DC278" s="1513"/>
      <c r="DD278" s="1513"/>
      <c r="DE278" s="1513"/>
      <c r="DF278" s="1513"/>
      <c r="DG278" s="1513"/>
      <c r="DH278" s="1513"/>
      <c r="DI278" s="1513"/>
      <c r="DJ278" s="1513"/>
      <c r="DK278" s="1513"/>
      <c r="DL278" s="1513"/>
      <c r="DM278" s="1513"/>
      <c r="DN278" s="1513"/>
      <c r="DO278" s="1513"/>
      <c r="DP278" s="1513"/>
      <c r="DQ278" s="1513"/>
      <c r="DR278" s="1513"/>
      <c r="DS278" s="1513"/>
      <c r="DT278" s="1513"/>
      <c r="DU278" s="1513"/>
      <c r="DV278" s="1513"/>
      <c r="DW278" s="1513"/>
      <c r="DX278" s="1513"/>
      <c r="DY278" s="1513"/>
      <c r="DZ278" s="1513"/>
      <c r="EA278" s="1513"/>
      <c r="EB278" s="1513"/>
      <c r="EC278" s="1513"/>
      <c r="ED278" s="1513"/>
      <c r="EE278" s="1513"/>
      <c r="EF278" s="1513"/>
      <c r="EG278" s="1513"/>
      <c r="EH278" s="1513"/>
      <c r="EI278" s="1513"/>
      <c r="EJ278" s="1513"/>
      <c r="EK278" s="1513"/>
      <c r="EL278" s="1513"/>
      <c r="EM278" s="1513"/>
      <c r="EN278" s="1513"/>
      <c r="EO278" s="1513"/>
      <c r="EP278" s="1513"/>
      <c r="EQ278" s="1513"/>
      <c r="ER278" s="1513"/>
      <c r="ES278" s="1513"/>
      <c r="ET278" s="1513"/>
      <c r="EU278" s="1513"/>
      <c r="EV278" s="1513"/>
      <c r="EW278" s="1513"/>
      <c r="EX278" s="1513"/>
      <c r="EY278" s="1513"/>
      <c r="EZ278" s="1513"/>
      <c r="FA278" s="1513"/>
      <c r="FB278" s="1513"/>
      <c r="FC278" s="1513"/>
      <c r="FD278" s="1513"/>
      <c r="FE278" s="1513"/>
      <c r="FF278" s="1513"/>
      <c r="FG278" s="1513"/>
      <c r="FH278" s="1513"/>
      <c r="FI278" s="1513"/>
      <c r="FJ278" s="1513"/>
    </row>
    <row r="279" spans="1:166" ht="17.100000000000001" customHeight="1" x14ac:dyDescent="0.15">
      <c r="A279" s="1513"/>
      <c r="B279" s="1513"/>
      <c r="C279" s="1513"/>
      <c r="D279" s="1513"/>
      <c r="E279" s="1513"/>
      <c r="F279" s="1513"/>
      <c r="G279" s="1513"/>
      <c r="H279" s="1513"/>
      <c r="I279" s="1513"/>
      <c r="J279" s="1513"/>
      <c r="K279" s="1513"/>
      <c r="L279" s="1513"/>
      <c r="M279" s="1513"/>
      <c r="N279" s="1513"/>
      <c r="O279" s="1513"/>
      <c r="P279" s="1513"/>
      <c r="Q279" s="1513"/>
      <c r="R279" s="1513"/>
      <c r="S279" s="1513"/>
      <c r="T279" s="1513"/>
      <c r="U279" s="1513"/>
      <c r="V279" s="1513"/>
      <c r="W279" s="1513"/>
      <c r="X279" s="1513"/>
      <c r="Y279" s="1513"/>
      <c r="Z279" s="1513"/>
      <c r="AA279" s="1513"/>
      <c r="AB279" s="1513"/>
      <c r="AC279" s="1513"/>
      <c r="AD279" s="1513"/>
      <c r="AE279" s="1513"/>
      <c r="AF279" s="1513"/>
      <c r="AG279" s="1513"/>
      <c r="AH279" s="1513"/>
      <c r="AI279" s="1513"/>
      <c r="AJ279" s="1513"/>
      <c r="AK279" s="1513"/>
      <c r="AL279" s="1513"/>
      <c r="AM279" s="1513"/>
      <c r="AN279" s="1513"/>
      <c r="AO279" s="1513"/>
      <c r="AP279" s="1513"/>
      <c r="AQ279" s="1513"/>
      <c r="AR279" s="1513"/>
      <c r="AS279" s="1513"/>
      <c r="AT279" s="1513"/>
      <c r="AU279" s="1513"/>
      <c r="AV279" s="1513"/>
      <c r="AW279" s="1513"/>
      <c r="AX279" s="1513"/>
      <c r="AY279" s="1513"/>
      <c r="AZ279" s="1513"/>
      <c r="BA279" s="1513"/>
      <c r="BB279" s="1513"/>
      <c r="BC279" s="1513"/>
      <c r="BD279" s="1513"/>
      <c r="BE279" s="1513"/>
      <c r="BF279" s="1513"/>
      <c r="BG279" s="1513"/>
      <c r="BH279" s="1513"/>
      <c r="BI279" s="1513"/>
      <c r="BJ279" s="1513"/>
      <c r="BK279" s="1513"/>
      <c r="BL279" s="1513"/>
      <c r="BM279" s="1513"/>
      <c r="BN279" s="1513"/>
      <c r="BO279" s="1513"/>
      <c r="BP279" s="1513"/>
      <c r="BQ279" s="1513"/>
      <c r="BR279" s="1513"/>
      <c r="BS279" s="1513"/>
      <c r="BT279" s="1513"/>
      <c r="BU279" s="1513"/>
      <c r="BV279" s="1513"/>
      <c r="BW279" s="1513"/>
      <c r="BX279" s="1513"/>
      <c r="BY279" s="1513"/>
      <c r="BZ279" s="1513"/>
      <c r="CA279" s="1513"/>
      <c r="CB279" s="1513"/>
      <c r="CC279" s="1513"/>
      <c r="CD279" s="1513"/>
      <c r="CE279" s="1513"/>
      <c r="CF279" s="1513"/>
      <c r="CG279" s="1513"/>
      <c r="CH279" s="1513"/>
      <c r="CI279" s="1513"/>
      <c r="CJ279" s="1513"/>
      <c r="CK279" s="1513"/>
      <c r="CL279" s="1513"/>
      <c r="CM279" s="1513"/>
      <c r="CN279" s="1513"/>
      <c r="CO279" s="1513"/>
      <c r="CP279" s="1513"/>
      <c r="CQ279" s="1513"/>
      <c r="CR279" s="1513"/>
      <c r="CS279" s="1513"/>
      <c r="CT279" s="1513"/>
      <c r="CU279" s="1513"/>
      <c r="CV279" s="1513"/>
      <c r="CW279" s="1513"/>
      <c r="CX279" s="1513"/>
      <c r="CY279" s="1513"/>
      <c r="CZ279" s="1513"/>
      <c r="DA279" s="1513"/>
      <c r="DB279" s="1513"/>
      <c r="DC279" s="1513"/>
      <c r="DD279" s="1513"/>
      <c r="DE279" s="1513"/>
      <c r="DF279" s="1513"/>
      <c r="DG279" s="1513"/>
      <c r="DH279" s="1513"/>
      <c r="DI279" s="1513"/>
      <c r="DJ279" s="1513"/>
      <c r="DK279" s="1513"/>
      <c r="DL279" s="1513"/>
      <c r="DM279" s="1513"/>
      <c r="DN279" s="1513"/>
      <c r="DO279" s="1513"/>
      <c r="DP279" s="1513"/>
      <c r="DQ279" s="1513"/>
      <c r="DR279" s="1513"/>
      <c r="DS279" s="1513"/>
      <c r="DT279" s="1513"/>
      <c r="DU279" s="1513"/>
      <c r="DV279" s="1513"/>
      <c r="DW279" s="1513"/>
      <c r="DX279" s="1513"/>
      <c r="DY279" s="1513"/>
      <c r="DZ279" s="1513"/>
      <c r="EA279" s="1513"/>
      <c r="EB279" s="1513"/>
      <c r="EC279" s="1513"/>
      <c r="ED279" s="1513"/>
      <c r="EE279" s="1513"/>
      <c r="EF279" s="1513"/>
      <c r="EG279" s="1513"/>
      <c r="EH279" s="1513"/>
      <c r="EI279" s="1513"/>
      <c r="EJ279" s="1513"/>
      <c r="EK279" s="1513"/>
      <c r="EL279" s="1513"/>
      <c r="EM279" s="1513"/>
      <c r="EN279" s="1513"/>
      <c r="EO279" s="1513"/>
      <c r="EP279" s="1513"/>
      <c r="EQ279" s="1513"/>
      <c r="ER279" s="1513"/>
      <c r="ES279" s="1513"/>
      <c r="ET279" s="1513"/>
      <c r="EU279" s="1513"/>
      <c r="EV279" s="1513"/>
      <c r="EW279" s="1513"/>
      <c r="EX279" s="1513"/>
      <c r="EY279" s="1513"/>
      <c r="EZ279" s="1513"/>
      <c r="FA279" s="1513"/>
      <c r="FB279" s="1513"/>
      <c r="FC279" s="1513"/>
      <c r="FD279" s="1513"/>
      <c r="FE279" s="1513"/>
      <c r="FF279" s="1513"/>
      <c r="FG279" s="1513"/>
      <c r="FH279" s="1513"/>
      <c r="FI279" s="1513"/>
      <c r="FJ279" s="1513"/>
    </row>
    <row r="280" spans="1:166" ht="17.100000000000001" customHeight="1" x14ac:dyDescent="0.15">
      <c r="A280" s="1513"/>
      <c r="B280" s="1513"/>
      <c r="C280" s="1513"/>
      <c r="D280" s="1513"/>
      <c r="E280" s="1513"/>
      <c r="F280" s="1513"/>
      <c r="G280" s="1513"/>
      <c r="H280" s="1513"/>
      <c r="I280" s="1513"/>
      <c r="J280" s="1513"/>
      <c r="K280" s="1513"/>
      <c r="L280" s="1513"/>
      <c r="M280" s="1513"/>
      <c r="N280" s="1513"/>
      <c r="O280" s="1513"/>
      <c r="P280" s="1513"/>
      <c r="Q280" s="1513"/>
      <c r="R280" s="1513"/>
      <c r="S280" s="1513"/>
      <c r="T280" s="1513"/>
      <c r="U280" s="1513"/>
      <c r="V280" s="1513"/>
      <c r="W280" s="1513"/>
      <c r="X280" s="1513"/>
      <c r="Y280" s="1513"/>
      <c r="Z280" s="1513"/>
      <c r="AA280" s="1513"/>
      <c r="AB280" s="1513"/>
      <c r="AC280" s="1513"/>
      <c r="AD280" s="1513"/>
      <c r="AE280" s="1513"/>
      <c r="AF280" s="1513"/>
      <c r="AG280" s="1513"/>
      <c r="AH280" s="1513"/>
      <c r="AI280" s="1513"/>
      <c r="AJ280" s="1513"/>
      <c r="AK280" s="1513"/>
      <c r="AL280" s="1513"/>
      <c r="AM280" s="1513"/>
      <c r="AN280" s="1513"/>
      <c r="AO280" s="1513"/>
      <c r="AP280" s="1513"/>
      <c r="AQ280" s="1513"/>
      <c r="AR280" s="1513"/>
      <c r="AS280" s="1513"/>
      <c r="AT280" s="1513"/>
      <c r="AU280" s="1513"/>
      <c r="AV280" s="1513"/>
      <c r="AW280" s="1513"/>
      <c r="AX280" s="1513"/>
      <c r="AY280" s="1513"/>
      <c r="AZ280" s="1513"/>
      <c r="BA280" s="1513"/>
      <c r="BB280" s="1513"/>
      <c r="BC280" s="1513"/>
      <c r="BD280" s="1513"/>
      <c r="BE280" s="1513"/>
      <c r="BF280" s="1513"/>
      <c r="BG280" s="1513"/>
      <c r="BH280" s="1513"/>
      <c r="BI280" s="1513"/>
      <c r="BJ280" s="1513"/>
      <c r="BK280" s="1513"/>
      <c r="BL280" s="1513"/>
      <c r="BM280" s="1513"/>
      <c r="BN280" s="1513"/>
      <c r="BO280" s="1513"/>
      <c r="BP280" s="1513"/>
      <c r="BQ280" s="1513"/>
      <c r="BR280" s="1513"/>
      <c r="BS280" s="1513"/>
      <c r="BT280" s="1513"/>
      <c r="BU280" s="1513"/>
      <c r="BV280" s="1513"/>
      <c r="BW280" s="1513"/>
      <c r="BX280" s="1513"/>
      <c r="BY280" s="1513"/>
      <c r="BZ280" s="1513"/>
      <c r="CA280" s="1513"/>
      <c r="CB280" s="1513"/>
      <c r="CC280" s="1513"/>
      <c r="CD280" s="1513"/>
      <c r="CE280" s="1513"/>
      <c r="CF280" s="1513"/>
      <c r="CG280" s="1513"/>
      <c r="CH280" s="1513"/>
      <c r="CI280" s="1513"/>
      <c r="CJ280" s="1513"/>
      <c r="CK280" s="1513"/>
      <c r="CL280" s="1513"/>
      <c r="CM280" s="1513"/>
      <c r="CN280" s="1513"/>
      <c r="CO280" s="1513"/>
      <c r="CP280" s="1513"/>
      <c r="CQ280" s="1513"/>
      <c r="CR280" s="1513"/>
      <c r="CS280" s="1513"/>
      <c r="CT280" s="1513"/>
      <c r="CU280" s="1513"/>
      <c r="CV280" s="1513"/>
      <c r="CW280" s="1513"/>
      <c r="CX280" s="1513"/>
      <c r="CY280" s="1513"/>
      <c r="CZ280" s="1513"/>
      <c r="DA280" s="1513"/>
      <c r="DB280" s="1513"/>
      <c r="DC280" s="1513"/>
      <c r="DD280" s="1513"/>
      <c r="DE280" s="1513"/>
      <c r="DF280" s="1513"/>
      <c r="DG280" s="1513"/>
      <c r="DH280" s="1513"/>
      <c r="DI280" s="1513"/>
      <c r="DJ280" s="1513"/>
      <c r="DK280" s="1513"/>
      <c r="DL280" s="1513"/>
      <c r="DM280" s="1513"/>
      <c r="DN280" s="1513"/>
      <c r="DO280" s="1513"/>
      <c r="DP280" s="1513"/>
      <c r="DQ280" s="1513"/>
      <c r="DR280" s="1513"/>
      <c r="DS280" s="1513"/>
      <c r="DT280" s="1513"/>
      <c r="DU280" s="1513"/>
      <c r="DV280" s="1513"/>
      <c r="DW280" s="1513"/>
      <c r="DX280" s="1513"/>
      <c r="DY280" s="1513"/>
      <c r="DZ280" s="1513"/>
      <c r="EA280" s="1513"/>
      <c r="EB280" s="1513"/>
      <c r="EC280" s="1513"/>
      <c r="ED280" s="1513"/>
      <c r="EE280" s="1513"/>
      <c r="EF280" s="1513"/>
      <c r="EG280" s="1513"/>
      <c r="EH280" s="1513"/>
      <c r="EI280" s="1513"/>
      <c r="EJ280" s="1513"/>
      <c r="EK280" s="1513"/>
      <c r="EL280" s="1513"/>
      <c r="EM280" s="1513"/>
      <c r="EN280" s="1513"/>
      <c r="EO280" s="1513"/>
      <c r="EP280" s="1513"/>
      <c r="EQ280" s="1513"/>
      <c r="ER280" s="1513"/>
      <c r="ES280" s="1513"/>
      <c r="ET280" s="1513"/>
      <c r="EU280" s="1513"/>
      <c r="EV280" s="1513"/>
      <c r="EW280" s="1513"/>
      <c r="EX280" s="1513"/>
      <c r="EY280" s="1513"/>
      <c r="EZ280" s="1513"/>
      <c r="FA280" s="1513"/>
      <c r="FB280" s="1513"/>
      <c r="FC280" s="1513"/>
      <c r="FD280" s="1513"/>
      <c r="FE280" s="1513"/>
      <c r="FF280" s="1513"/>
      <c r="FG280" s="1513"/>
      <c r="FH280" s="1513"/>
      <c r="FI280" s="1513"/>
      <c r="FJ280" s="1513"/>
    </row>
    <row r="281" spans="1:166" ht="17.100000000000001" customHeight="1" x14ac:dyDescent="0.15">
      <c r="A281" s="1513"/>
      <c r="B281" s="1513"/>
      <c r="C281" s="1513"/>
      <c r="D281" s="1513"/>
      <c r="E281" s="1513"/>
      <c r="F281" s="1513"/>
      <c r="G281" s="1513"/>
      <c r="H281" s="1513"/>
      <c r="I281" s="1513"/>
      <c r="J281" s="1513"/>
      <c r="K281" s="1513"/>
      <c r="L281" s="1513"/>
      <c r="M281" s="1513"/>
      <c r="N281" s="1513"/>
      <c r="O281" s="1513"/>
      <c r="P281" s="1513"/>
      <c r="Q281" s="1513"/>
      <c r="R281" s="1513"/>
      <c r="S281" s="1513"/>
      <c r="T281" s="1513"/>
      <c r="U281" s="1513"/>
      <c r="V281" s="1513"/>
      <c r="W281" s="1513"/>
      <c r="X281" s="1513"/>
      <c r="Y281" s="1513"/>
      <c r="Z281" s="1513"/>
      <c r="AA281" s="1513"/>
      <c r="AB281" s="1513"/>
      <c r="AC281" s="1513"/>
      <c r="AD281" s="1513"/>
      <c r="AE281" s="1513"/>
      <c r="AF281" s="1513"/>
      <c r="AG281" s="1513"/>
      <c r="AH281" s="1513"/>
      <c r="AI281" s="1513"/>
      <c r="AJ281" s="1513"/>
      <c r="AK281" s="1513"/>
      <c r="AL281" s="1513"/>
      <c r="AM281" s="1513"/>
      <c r="AN281" s="1513"/>
      <c r="AO281" s="1513"/>
      <c r="AP281" s="1513"/>
      <c r="AQ281" s="1513"/>
      <c r="AR281" s="1513"/>
      <c r="AS281" s="1513"/>
      <c r="AT281" s="1513"/>
      <c r="AU281" s="1513"/>
      <c r="AV281" s="1513"/>
      <c r="AW281" s="1513"/>
      <c r="AX281" s="1513"/>
      <c r="AY281" s="1513"/>
      <c r="AZ281" s="1513"/>
      <c r="BA281" s="1513"/>
      <c r="BB281" s="1513"/>
      <c r="BC281" s="1513"/>
      <c r="BD281" s="1513"/>
      <c r="BE281" s="1513"/>
      <c r="BF281" s="1513"/>
      <c r="BG281" s="1513"/>
      <c r="BH281" s="1513"/>
      <c r="BI281" s="1513"/>
      <c r="BJ281" s="1513"/>
      <c r="BK281" s="1513"/>
      <c r="BL281" s="1513"/>
      <c r="BM281" s="1513"/>
      <c r="BN281" s="1513"/>
      <c r="BO281" s="1513"/>
      <c r="BP281" s="1513"/>
      <c r="BQ281" s="1513"/>
      <c r="BR281" s="1513"/>
      <c r="BS281" s="1513"/>
      <c r="BT281" s="1513"/>
      <c r="BU281" s="1513"/>
      <c r="BV281" s="1513"/>
      <c r="BW281" s="1513"/>
      <c r="BX281" s="1513"/>
      <c r="BY281" s="1513"/>
      <c r="BZ281" s="1513"/>
      <c r="CA281" s="1513"/>
      <c r="CB281" s="1513"/>
      <c r="CC281" s="1513"/>
      <c r="CD281" s="1513"/>
      <c r="CE281" s="1513"/>
      <c r="CF281" s="1513"/>
      <c r="CG281" s="1513"/>
      <c r="CH281" s="1513"/>
      <c r="CI281" s="1513"/>
      <c r="CJ281" s="1513"/>
      <c r="CK281" s="1513"/>
      <c r="CL281" s="1513"/>
      <c r="CM281" s="1513"/>
      <c r="CN281" s="1513"/>
      <c r="CO281" s="1513"/>
      <c r="CP281" s="1513"/>
      <c r="CQ281" s="1513"/>
      <c r="CR281" s="1513"/>
      <c r="CS281" s="1513"/>
      <c r="CT281" s="1513"/>
      <c r="CU281" s="1513"/>
      <c r="CV281" s="1513"/>
      <c r="CW281" s="1513"/>
      <c r="CX281" s="1513"/>
      <c r="CY281" s="1513"/>
      <c r="CZ281" s="1513"/>
      <c r="DA281" s="1513"/>
      <c r="DB281" s="1513"/>
      <c r="DC281" s="1513"/>
      <c r="DD281" s="1513"/>
      <c r="DE281" s="1513"/>
      <c r="DF281" s="1513"/>
      <c r="DG281" s="1513"/>
      <c r="DH281" s="1513"/>
      <c r="DI281" s="1513"/>
      <c r="DJ281" s="1513"/>
      <c r="DK281" s="1513"/>
      <c r="DL281" s="1513"/>
      <c r="DM281" s="1513"/>
      <c r="DN281" s="1513"/>
      <c r="DO281" s="1513"/>
      <c r="DP281" s="1513"/>
      <c r="DQ281" s="1513"/>
      <c r="DR281" s="1513"/>
      <c r="DS281" s="1513"/>
      <c r="DT281" s="1513"/>
      <c r="DU281" s="1513"/>
      <c r="DV281" s="1513"/>
      <c r="DW281" s="1513"/>
      <c r="DX281" s="1513"/>
      <c r="DY281" s="1513"/>
      <c r="DZ281" s="1513"/>
      <c r="EA281" s="1513"/>
      <c r="EB281" s="1513"/>
      <c r="EC281" s="1513"/>
      <c r="ED281" s="1513"/>
      <c r="EE281" s="1513"/>
      <c r="EF281" s="1513"/>
      <c r="EG281" s="1513"/>
      <c r="EH281" s="1513"/>
      <c r="EI281" s="1513"/>
      <c r="EJ281" s="1513"/>
      <c r="EK281" s="1513"/>
      <c r="EL281" s="1513"/>
      <c r="EM281" s="1513"/>
      <c r="EN281" s="1513"/>
      <c r="EO281" s="1513"/>
      <c r="EP281" s="1513"/>
      <c r="EQ281" s="1513"/>
      <c r="ER281" s="1513"/>
      <c r="ES281" s="1513"/>
      <c r="ET281" s="1513"/>
      <c r="EU281" s="1513"/>
      <c r="EV281" s="1513"/>
      <c r="EW281" s="1513"/>
      <c r="EX281" s="1513"/>
      <c r="EY281" s="1513"/>
      <c r="EZ281" s="1513"/>
      <c r="FA281" s="1513"/>
      <c r="FB281" s="1513"/>
      <c r="FC281" s="1513"/>
      <c r="FD281" s="1513"/>
      <c r="FE281" s="1513"/>
      <c r="FF281" s="1513"/>
      <c r="FG281" s="1513"/>
      <c r="FH281" s="1513"/>
      <c r="FI281" s="1513"/>
      <c r="FJ281" s="1513"/>
    </row>
    <row r="282" spans="1:166" ht="17.100000000000001" customHeight="1" x14ac:dyDescent="0.15">
      <c r="A282" s="1513"/>
      <c r="B282" s="1513"/>
      <c r="C282" s="1513"/>
      <c r="D282" s="1513"/>
      <c r="E282" s="1513"/>
      <c r="F282" s="1513"/>
      <c r="G282" s="1513"/>
      <c r="H282" s="1513"/>
      <c r="I282" s="1513"/>
      <c r="J282" s="1513"/>
      <c r="K282" s="1513"/>
      <c r="L282" s="1513"/>
      <c r="M282" s="1513"/>
      <c r="N282" s="1513"/>
      <c r="O282" s="1513"/>
      <c r="P282" s="1513"/>
      <c r="Q282" s="1513"/>
      <c r="R282" s="1513"/>
      <c r="S282" s="1513"/>
      <c r="T282" s="1513"/>
      <c r="U282" s="1513"/>
      <c r="V282" s="1513"/>
      <c r="W282" s="1513"/>
      <c r="X282" s="1513"/>
      <c r="Y282" s="1513"/>
      <c r="Z282" s="1513"/>
      <c r="AA282" s="1513"/>
      <c r="AB282" s="1513"/>
      <c r="AC282" s="1513"/>
      <c r="AD282" s="1513"/>
      <c r="AE282" s="1513"/>
      <c r="AF282" s="1513"/>
      <c r="AG282" s="1513"/>
      <c r="AH282" s="1513"/>
      <c r="AI282" s="1513"/>
      <c r="AJ282" s="1513"/>
      <c r="AK282" s="1513"/>
      <c r="AL282" s="1513"/>
      <c r="AM282" s="1513"/>
      <c r="AN282" s="1513"/>
      <c r="AO282" s="1513"/>
      <c r="AP282" s="1513"/>
      <c r="AQ282" s="1513"/>
      <c r="AR282" s="1513"/>
      <c r="AS282" s="1513"/>
      <c r="AT282" s="1513"/>
      <c r="AU282" s="1513"/>
      <c r="AV282" s="1513"/>
      <c r="AW282" s="1513"/>
      <c r="AX282" s="1513"/>
      <c r="AY282" s="1513"/>
      <c r="AZ282" s="1513"/>
      <c r="BA282" s="1513"/>
      <c r="BB282" s="1513"/>
      <c r="BC282" s="1513"/>
      <c r="BD282" s="1513"/>
      <c r="BE282" s="1513"/>
      <c r="BF282" s="1513"/>
      <c r="BG282" s="1513"/>
      <c r="BH282" s="1513"/>
      <c r="BI282" s="1513"/>
      <c r="BJ282" s="1513"/>
      <c r="BK282" s="1513"/>
      <c r="BL282" s="1513"/>
      <c r="BM282" s="1513"/>
      <c r="BN282" s="1513"/>
      <c r="BO282" s="1513"/>
      <c r="BP282" s="1513"/>
      <c r="BQ282" s="1513"/>
      <c r="BR282" s="1513"/>
      <c r="BS282" s="1513"/>
      <c r="BT282" s="1513"/>
      <c r="BU282" s="1513"/>
      <c r="BV282" s="1513"/>
      <c r="BW282" s="1513"/>
      <c r="BX282" s="1513"/>
      <c r="BY282" s="1513"/>
      <c r="BZ282" s="1513"/>
      <c r="CA282" s="1513"/>
      <c r="CB282" s="1513"/>
      <c r="CC282" s="1513"/>
      <c r="CD282" s="1513"/>
      <c r="CE282" s="1513"/>
      <c r="CF282" s="1513"/>
      <c r="CG282" s="1513"/>
      <c r="CH282" s="1513"/>
      <c r="CI282" s="1513"/>
      <c r="CJ282" s="1513"/>
      <c r="CK282" s="1513"/>
      <c r="CL282" s="1513"/>
      <c r="CM282" s="1513"/>
      <c r="CN282" s="1513"/>
      <c r="CO282" s="1513"/>
      <c r="CP282" s="1513"/>
      <c r="CQ282" s="1513"/>
      <c r="CR282" s="1513"/>
      <c r="CS282" s="1513"/>
      <c r="CT282" s="1513"/>
      <c r="CU282" s="1513"/>
      <c r="CV282" s="1513"/>
      <c r="CW282" s="1513"/>
      <c r="CX282" s="1513"/>
      <c r="CY282" s="1513"/>
      <c r="CZ282" s="1513"/>
      <c r="DA282" s="1513"/>
      <c r="DB282" s="1513"/>
      <c r="DC282" s="1513"/>
      <c r="DD282" s="1513"/>
      <c r="DE282" s="1513"/>
      <c r="DF282" s="1513"/>
      <c r="DG282" s="1513"/>
      <c r="DH282" s="1513"/>
      <c r="DI282" s="1513"/>
      <c r="DJ282" s="1513"/>
      <c r="DK282" s="1513"/>
      <c r="DL282" s="1513"/>
      <c r="DM282" s="1513"/>
      <c r="DN282" s="1513"/>
      <c r="DO282" s="1513"/>
      <c r="DP282" s="1513"/>
      <c r="DQ282" s="1513"/>
      <c r="DR282" s="1513"/>
      <c r="DS282" s="1513"/>
      <c r="DT282" s="1513"/>
      <c r="DU282" s="1513"/>
      <c r="DV282" s="1513"/>
      <c r="DW282" s="1513"/>
      <c r="DX282" s="1513"/>
      <c r="DY282" s="1513"/>
      <c r="DZ282" s="1513"/>
      <c r="EA282" s="1513"/>
      <c r="EB282" s="1513"/>
      <c r="EC282" s="1513"/>
      <c r="ED282" s="1513"/>
      <c r="EE282" s="1513"/>
      <c r="EF282" s="1513"/>
      <c r="EG282" s="1513"/>
      <c r="EH282" s="1513"/>
      <c r="EI282" s="1513"/>
      <c r="EJ282" s="1513"/>
      <c r="EK282" s="1513"/>
      <c r="EL282" s="1513"/>
      <c r="EM282" s="1513"/>
      <c r="EN282" s="1513"/>
      <c r="EO282" s="1513"/>
      <c r="EP282" s="1513"/>
      <c r="EQ282" s="1513"/>
      <c r="ER282" s="1513"/>
      <c r="ES282" s="1513"/>
      <c r="ET282" s="1513"/>
      <c r="EU282" s="1513"/>
      <c r="EV282" s="1513"/>
      <c r="EW282" s="1513"/>
      <c r="EX282" s="1513"/>
      <c r="EY282" s="1513"/>
      <c r="EZ282" s="1513"/>
      <c r="FA282" s="1513"/>
      <c r="FB282" s="1513"/>
      <c r="FC282" s="1513"/>
      <c r="FD282" s="1513"/>
      <c r="FE282" s="1513"/>
      <c r="FF282" s="1513"/>
      <c r="FG282" s="1513"/>
      <c r="FH282" s="1513"/>
      <c r="FI282" s="1513"/>
      <c r="FJ282" s="1513"/>
    </row>
    <row r="283" spans="1:166" ht="17.100000000000001" customHeight="1" x14ac:dyDescent="0.15">
      <c r="A283" s="1513"/>
      <c r="B283" s="1513"/>
      <c r="C283" s="1513"/>
      <c r="D283" s="1513"/>
      <c r="E283" s="1513"/>
      <c r="F283" s="1513"/>
      <c r="G283" s="1513"/>
      <c r="H283" s="1513"/>
      <c r="I283" s="1513"/>
      <c r="J283" s="1513"/>
      <c r="K283" s="1513"/>
      <c r="L283" s="1513"/>
      <c r="M283" s="1513"/>
      <c r="N283" s="1513"/>
      <c r="O283" s="1513"/>
      <c r="P283" s="1513"/>
      <c r="Q283" s="1513"/>
      <c r="R283" s="1513"/>
      <c r="S283" s="1513"/>
      <c r="T283" s="1513"/>
      <c r="U283" s="1513"/>
      <c r="V283" s="1513"/>
      <c r="W283" s="1513"/>
      <c r="X283" s="1513"/>
      <c r="Y283" s="1513"/>
      <c r="Z283" s="1513"/>
      <c r="AA283" s="1513"/>
      <c r="AB283" s="1513"/>
      <c r="AC283" s="1513"/>
      <c r="AD283" s="1513"/>
      <c r="AE283" s="1513"/>
      <c r="AF283" s="1513"/>
      <c r="AG283" s="1513"/>
      <c r="AH283" s="1513"/>
      <c r="AI283" s="1513"/>
      <c r="AJ283" s="1513"/>
      <c r="AK283" s="1513"/>
      <c r="AL283" s="1513"/>
      <c r="AM283" s="1513"/>
      <c r="AN283" s="1513"/>
      <c r="AO283" s="1513"/>
      <c r="AP283" s="1513"/>
      <c r="AQ283" s="1513"/>
      <c r="AR283" s="1513"/>
      <c r="AS283" s="1513"/>
      <c r="AT283" s="1513"/>
      <c r="AU283" s="1513"/>
      <c r="AV283" s="1513"/>
      <c r="AW283" s="1513"/>
      <c r="AX283" s="1513"/>
      <c r="AY283" s="1513"/>
      <c r="AZ283" s="1513"/>
      <c r="BA283" s="1513"/>
      <c r="BB283" s="1513"/>
      <c r="BC283" s="1513"/>
      <c r="BD283" s="1513"/>
      <c r="BE283" s="1513"/>
      <c r="BF283" s="1513"/>
      <c r="BG283" s="1513"/>
      <c r="BH283" s="1513"/>
      <c r="BI283" s="1513"/>
      <c r="BJ283" s="1513"/>
      <c r="BK283" s="1513"/>
      <c r="BL283" s="1513"/>
      <c r="BM283" s="1513"/>
      <c r="BN283" s="1513"/>
      <c r="BO283" s="1513"/>
      <c r="BP283" s="1513"/>
      <c r="BQ283" s="1513"/>
      <c r="BR283" s="1513"/>
      <c r="BS283" s="1513"/>
      <c r="BT283" s="1513"/>
      <c r="BU283" s="1513"/>
      <c r="BV283" s="1513"/>
      <c r="BW283" s="1513"/>
      <c r="BX283" s="1513"/>
      <c r="BY283" s="1513"/>
      <c r="BZ283" s="1513"/>
      <c r="CA283" s="1513"/>
      <c r="CB283" s="1513"/>
      <c r="CC283" s="1513"/>
      <c r="CD283" s="1513"/>
      <c r="CE283" s="1513"/>
      <c r="CF283" s="1513"/>
      <c r="CG283" s="1513"/>
      <c r="CH283" s="1513"/>
      <c r="CI283" s="1513"/>
      <c r="CJ283" s="1513"/>
      <c r="CK283" s="1513"/>
      <c r="CL283" s="1513"/>
      <c r="CM283" s="1513"/>
      <c r="CN283" s="1513"/>
      <c r="CO283" s="1513"/>
      <c r="CP283" s="1513"/>
      <c r="CQ283" s="1513"/>
      <c r="CR283" s="1513"/>
      <c r="CS283" s="1513"/>
      <c r="CT283" s="1513"/>
      <c r="CU283" s="1513"/>
      <c r="CV283" s="1513"/>
      <c r="CW283" s="1513"/>
      <c r="CX283" s="1513"/>
      <c r="CY283" s="1513"/>
      <c r="CZ283" s="1513"/>
      <c r="DA283" s="1513"/>
      <c r="DB283" s="1513"/>
      <c r="DC283" s="1513"/>
      <c r="DD283" s="1513"/>
      <c r="DE283" s="1513"/>
      <c r="DF283" s="1513"/>
      <c r="DG283" s="1513"/>
      <c r="DH283" s="1513"/>
      <c r="DI283" s="1513"/>
      <c r="DJ283" s="1513"/>
      <c r="DK283" s="1513"/>
      <c r="DL283" s="1513"/>
      <c r="DM283" s="1513"/>
      <c r="DN283" s="1513"/>
      <c r="DO283" s="1513"/>
      <c r="DP283" s="1513"/>
      <c r="DQ283" s="1513"/>
      <c r="DR283" s="1513"/>
      <c r="DS283" s="1513"/>
      <c r="DT283" s="1513"/>
      <c r="DU283" s="1513"/>
      <c r="DV283" s="1513"/>
      <c r="DW283" s="1513"/>
      <c r="DX283" s="1513"/>
      <c r="DY283" s="1513"/>
      <c r="DZ283" s="1513"/>
      <c r="EA283" s="1513"/>
      <c r="EB283" s="1513"/>
      <c r="EC283" s="1513"/>
      <c r="ED283" s="1513"/>
      <c r="EE283" s="1513"/>
      <c r="EF283" s="1513"/>
      <c r="EG283" s="1513"/>
      <c r="EH283" s="1513"/>
      <c r="EI283" s="1513"/>
      <c r="EJ283" s="1513"/>
      <c r="EK283" s="1513"/>
      <c r="EL283" s="1513"/>
      <c r="EM283" s="1513"/>
      <c r="EN283" s="1513"/>
      <c r="EO283" s="1513"/>
      <c r="EP283" s="1513"/>
      <c r="EQ283" s="1513"/>
      <c r="ER283" s="1513"/>
      <c r="ES283" s="1513"/>
      <c r="ET283" s="1513"/>
      <c r="EU283" s="1513"/>
      <c r="EV283" s="1513"/>
      <c r="EW283" s="1513"/>
      <c r="EX283" s="1513"/>
      <c r="EY283" s="1513"/>
      <c r="EZ283" s="1513"/>
      <c r="FA283" s="1513"/>
      <c r="FB283" s="1513"/>
      <c r="FC283" s="1513"/>
      <c r="FD283" s="1513"/>
      <c r="FE283" s="1513"/>
      <c r="FF283" s="1513"/>
      <c r="FG283" s="1513"/>
      <c r="FH283" s="1513"/>
      <c r="FI283" s="1513"/>
      <c r="FJ283" s="1513"/>
    </row>
    <row r="284" spans="1:166" ht="17.100000000000001" customHeight="1" x14ac:dyDescent="0.15">
      <c r="A284" s="1513"/>
      <c r="B284" s="1513"/>
      <c r="C284" s="1513"/>
      <c r="D284" s="1513"/>
      <c r="E284" s="1513"/>
      <c r="F284" s="1513"/>
      <c r="G284" s="1513"/>
      <c r="H284" s="1513"/>
      <c r="I284" s="1513"/>
      <c r="J284" s="1513"/>
      <c r="K284" s="1513"/>
      <c r="L284" s="1513"/>
      <c r="M284" s="1513"/>
      <c r="N284" s="1513"/>
      <c r="O284" s="1513"/>
      <c r="P284" s="1513"/>
      <c r="Q284" s="1513"/>
      <c r="R284" s="1513"/>
      <c r="S284" s="1513"/>
      <c r="T284" s="1513"/>
      <c r="U284" s="1513"/>
      <c r="V284" s="1513"/>
      <c r="W284" s="1513"/>
      <c r="X284" s="1513"/>
      <c r="Y284" s="1513"/>
      <c r="Z284" s="1513"/>
      <c r="AA284" s="1513"/>
      <c r="AB284" s="1513"/>
      <c r="AC284" s="1513"/>
      <c r="AD284" s="1513"/>
      <c r="AE284" s="1513"/>
      <c r="AF284" s="1513"/>
      <c r="AG284" s="1513"/>
      <c r="AH284" s="1513"/>
      <c r="AI284" s="1513"/>
      <c r="AJ284" s="1513"/>
      <c r="AK284" s="1513"/>
      <c r="AL284" s="1513"/>
      <c r="AM284" s="1513"/>
      <c r="AN284" s="1513"/>
      <c r="AO284" s="1513"/>
      <c r="AP284" s="1513"/>
      <c r="AQ284" s="1513"/>
      <c r="AR284" s="1513"/>
      <c r="AS284" s="1513"/>
      <c r="AT284" s="1513"/>
      <c r="AU284" s="1513"/>
      <c r="AV284" s="1513"/>
      <c r="AW284" s="1513"/>
      <c r="AX284" s="1513"/>
      <c r="AY284" s="1513"/>
      <c r="AZ284" s="1513"/>
      <c r="BA284" s="1513"/>
      <c r="BB284" s="1513"/>
      <c r="BC284" s="1513"/>
      <c r="BD284" s="1513"/>
      <c r="BE284" s="1513"/>
      <c r="BF284" s="1513"/>
      <c r="BG284" s="1513"/>
      <c r="BH284" s="1513"/>
      <c r="BI284" s="1513"/>
      <c r="BJ284" s="1513"/>
      <c r="BK284" s="1513"/>
      <c r="BL284" s="1513"/>
      <c r="BM284" s="1513"/>
      <c r="BN284" s="1513"/>
      <c r="BO284" s="1513"/>
      <c r="BP284" s="1513"/>
      <c r="BQ284" s="1513"/>
      <c r="BR284" s="1513"/>
      <c r="BS284" s="1513"/>
      <c r="BT284" s="1513"/>
      <c r="BU284" s="1513"/>
      <c r="BV284" s="1513"/>
      <c r="BW284" s="1513"/>
      <c r="BX284" s="1513"/>
      <c r="BY284" s="1513"/>
      <c r="BZ284" s="1513"/>
      <c r="CA284" s="1513"/>
      <c r="CB284" s="1513"/>
      <c r="CC284" s="1513"/>
      <c r="CD284" s="1513"/>
      <c r="CE284" s="1513"/>
      <c r="CF284" s="1513"/>
      <c r="CG284" s="1513"/>
      <c r="CH284" s="1513"/>
      <c r="CI284" s="1513"/>
      <c r="CJ284" s="1513"/>
      <c r="CK284" s="1513"/>
      <c r="CL284" s="1513"/>
      <c r="CM284" s="1513"/>
      <c r="CN284" s="1513"/>
      <c r="CO284" s="1513"/>
      <c r="CP284" s="1513"/>
      <c r="CQ284" s="1513"/>
      <c r="CR284" s="1513"/>
      <c r="CS284" s="1513"/>
      <c r="CT284" s="1513"/>
      <c r="CU284" s="1513"/>
      <c r="CV284" s="1513"/>
      <c r="CW284" s="1513"/>
      <c r="CX284" s="1513"/>
      <c r="CY284" s="1513"/>
      <c r="CZ284" s="1513"/>
      <c r="DA284" s="1513"/>
      <c r="DB284" s="1513"/>
      <c r="DC284" s="1513"/>
      <c r="DD284" s="1513"/>
      <c r="DE284" s="1513"/>
      <c r="DF284" s="1513"/>
      <c r="DG284" s="1513"/>
      <c r="DH284" s="1513"/>
      <c r="DI284" s="1513"/>
      <c r="DJ284" s="1513"/>
      <c r="DK284" s="1513"/>
      <c r="DL284" s="1513"/>
      <c r="DM284" s="1513"/>
      <c r="DN284" s="1513"/>
      <c r="DO284" s="1513"/>
      <c r="DP284" s="1513"/>
      <c r="DQ284" s="1513"/>
      <c r="DR284" s="1513"/>
      <c r="DS284" s="1513"/>
      <c r="DT284" s="1513"/>
      <c r="DU284" s="1513"/>
      <c r="DV284" s="1513"/>
      <c r="DW284" s="1513"/>
      <c r="DX284" s="1513"/>
      <c r="DY284" s="1513"/>
      <c r="DZ284" s="1513"/>
      <c r="EA284" s="1513"/>
      <c r="EB284" s="1513"/>
      <c r="EC284" s="1513"/>
      <c r="ED284" s="1513"/>
      <c r="EE284" s="1513"/>
      <c r="EF284" s="1513"/>
      <c r="EG284" s="1513"/>
      <c r="EH284" s="1513"/>
      <c r="EI284" s="1513"/>
      <c r="EJ284" s="1513"/>
      <c r="EK284" s="1513"/>
      <c r="EL284" s="1513"/>
      <c r="EM284" s="1513"/>
      <c r="EN284" s="1513"/>
      <c r="EO284" s="1513"/>
      <c r="EP284" s="1513"/>
      <c r="EQ284" s="1513"/>
      <c r="ER284" s="1513"/>
      <c r="ES284" s="1513"/>
      <c r="ET284" s="1513"/>
      <c r="EU284" s="1513"/>
      <c r="EV284" s="1513"/>
      <c r="EW284" s="1513"/>
      <c r="EX284" s="1513"/>
      <c r="EY284" s="1513"/>
      <c r="EZ284" s="1513"/>
      <c r="FA284" s="1513"/>
      <c r="FB284" s="1513"/>
      <c r="FC284" s="1513"/>
      <c r="FD284" s="1513"/>
      <c r="FE284" s="1513"/>
      <c r="FF284" s="1513"/>
      <c r="FG284" s="1513"/>
      <c r="FH284" s="1513"/>
      <c r="FI284" s="1513"/>
      <c r="FJ284" s="1513"/>
    </row>
    <row r="285" spans="1:166" ht="17.100000000000001" customHeight="1" x14ac:dyDescent="0.15">
      <c r="A285" s="1513"/>
      <c r="B285" s="1513"/>
      <c r="C285" s="1513"/>
      <c r="D285" s="1513"/>
      <c r="E285" s="1513"/>
      <c r="F285" s="1513"/>
      <c r="G285" s="1513"/>
      <c r="H285" s="1513"/>
      <c r="I285" s="1513"/>
      <c r="J285" s="1513"/>
      <c r="K285" s="1513"/>
      <c r="L285" s="1513"/>
      <c r="M285" s="1513"/>
      <c r="N285" s="1513"/>
      <c r="O285" s="1513"/>
      <c r="P285" s="1513"/>
      <c r="Q285" s="1513"/>
      <c r="R285" s="1513"/>
      <c r="S285" s="1513"/>
      <c r="T285" s="1513"/>
      <c r="U285" s="1513"/>
      <c r="V285" s="1513"/>
      <c r="W285" s="1513"/>
      <c r="X285" s="1513"/>
      <c r="Y285" s="1513"/>
      <c r="Z285" s="1513"/>
      <c r="AA285" s="1513"/>
      <c r="AB285" s="1513"/>
      <c r="AC285" s="1513"/>
      <c r="AD285" s="1513"/>
      <c r="AE285" s="1513"/>
      <c r="AF285" s="1513"/>
      <c r="AG285" s="1513"/>
      <c r="AH285" s="1513"/>
      <c r="AI285" s="1513"/>
      <c r="AJ285" s="1513"/>
      <c r="AK285" s="1513"/>
      <c r="AL285" s="1513"/>
      <c r="AM285" s="1513"/>
      <c r="AN285" s="1513"/>
      <c r="AO285" s="1513"/>
      <c r="AP285" s="1513"/>
      <c r="AQ285" s="1513"/>
      <c r="AR285" s="1513"/>
      <c r="AS285" s="1513"/>
      <c r="AT285" s="1513"/>
      <c r="AU285" s="1513"/>
      <c r="AV285" s="1513"/>
      <c r="AW285" s="1513"/>
      <c r="AX285" s="1513"/>
      <c r="AY285" s="1513"/>
      <c r="AZ285" s="1513"/>
      <c r="BA285" s="1513"/>
      <c r="BB285" s="1513"/>
      <c r="BC285" s="1513"/>
      <c r="BD285" s="1513"/>
      <c r="BE285" s="1513"/>
      <c r="BF285" s="1513"/>
      <c r="BG285" s="1513"/>
      <c r="BH285" s="1513"/>
      <c r="BI285" s="1513"/>
      <c r="BJ285" s="1513"/>
      <c r="BK285" s="1513"/>
      <c r="BL285" s="1513"/>
      <c r="BM285" s="1513"/>
      <c r="BN285" s="1513"/>
      <c r="BO285" s="1513"/>
      <c r="BP285" s="1513"/>
      <c r="BQ285" s="1513"/>
      <c r="BR285" s="1513"/>
      <c r="BS285" s="1513"/>
      <c r="BT285" s="1513"/>
      <c r="BU285" s="1513"/>
      <c r="BV285" s="1513"/>
      <c r="BW285" s="1513"/>
      <c r="BX285" s="1513"/>
      <c r="BY285" s="1513"/>
      <c r="BZ285" s="1513"/>
      <c r="CA285" s="1513"/>
      <c r="CB285" s="1513"/>
      <c r="CC285" s="1513"/>
      <c r="CD285" s="1513"/>
      <c r="CE285" s="1513"/>
      <c r="CF285" s="1513"/>
      <c r="CG285" s="1513"/>
      <c r="CH285" s="1513"/>
      <c r="CI285" s="1513"/>
      <c r="CJ285" s="1513"/>
      <c r="CK285" s="1513"/>
      <c r="CL285" s="1513"/>
      <c r="CM285" s="1513"/>
      <c r="CN285" s="1513"/>
      <c r="CO285" s="1513"/>
      <c r="CP285" s="1513"/>
      <c r="CQ285" s="1513"/>
      <c r="CR285" s="1513"/>
      <c r="CS285" s="1513"/>
      <c r="CT285" s="1513"/>
      <c r="CU285" s="1513"/>
      <c r="CV285" s="1513"/>
      <c r="CW285" s="1513"/>
      <c r="CX285" s="1513"/>
      <c r="CY285" s="1513"/>
      <c r="CZ285" s="1513"/>
      <c r="DA285" s="1513"/>
      <c r="DB285" s="1513"/>
      <c r="DC285" s="1513"/>
      <c r="DD285" s="1513"/>
      <c r="DE285" s="1513"/>
      <c r="DF285" s="1513"/>
      <c r="DG285" s="1513"/>
      <c r="DH285" s="1513"/>
      <c r="DI285" s="1513"/>
      <c r="DJ285" s="1513"/>
      <c r="DK285" s="1513"/>
      <c r="DL285" s="1513"/>
      <c r="DM285" s="1513"/>
      <c r="DN285" s="1513"/>
      <c r="DO285" s="1513"/>
      <c r="DP285" s="1513"/>
      <c r="DQ285" s="1513"/>
      <c r="DR285" s="1513"/>
      <c r="DS285" s="1513"/>
      <c r="DT285" s="1513"/>
      <c r="DU285" s="1513"/>
      <c r="DV285" s="1513"/>
      <c r="DW285" s="1513"/>
      <c r="DX285" s="1513"/>
      <c r="DY285" s="1513"/>
      <c r="DZ285" s="1513"/>
      <c r="EA285" s="1513"/>
      <c r="EB285" s="1513"/>
      <c r="EC285" s="1513"/>
      <c r="ED285" s="1513"/>
      <c r="EE285" s="1513"/>
      <c r="EF285" s="1513"/>
      <c r="EG285" s="1513"/>
      <c r="EH285" s="1513"/>
      <c r="EI285" s="1513"/>
      <c r="EJ285" s="1513"/>
      <c r="EK285" s="1513"/>
      <c r="EL285" s="1513"/>
      <c r="EM285" s="1513"/>
      <c r="EN285" s="1513"/>
      <c r="EO285" s="1513"/>
      <c r="EP285" s="1513"/>
      <c r="EQ285" s="1513"/>
      <c r="ER285" s="1513"/>
      <c r="ES285" s="1513"/>
      <c r="ET285" s="1513"/>
      <c r="EU285" s="1513"/>
      <c r="EV285" s="1513"/>
      <c r="EW285" s="1513"/>
      <c r="EX285" s="1513"/>
      <c r="EY285" s="1513"/>
      <c r="EZ285" s="1513"/>
      <c r="FA285" s="1513"/>
      <c r="FB285" s="1513"/>
      <c r="FC285" s="1513"/>
      <c r="FD285" s="1513"/>
      <c r="FE285" s="1513"/>
      <c r="FF285" s="1513"/>
      <c r="FG285" s="1513"/>
      <c r="FH285" s="1513"/>
      <c r="FI285" s="1513"/>
      <c r="FJ285" s="1513"/>
    </row>
    <row r="286" spans="1:166" ht="17.100000000000001" customHeight="1" x14ac:dyDescent="0.15">
      <c r="A286" s="1513"/>
      <c r="B286" s="1513"/>
      <c r="C286" s="1513"/>
      <c r="D286" s="1513"/>
      <c r="E286" s="1513"/>
      <c r="F286" s="1513"/>
      <c r="G286" s="1513"/>
      <c r="H286" s="1513"/>
      <c r="I286" s="1513"/>
      <c r="J286" s="1513"/>
      <c r="K286" s="1513"/>
      <c r="L286" s="1513"/>
      <c r="M286" s="1513"/>
      <c r="N286" s="1513"/>
      <c r="O286" s="1513"/>
      <c r="P286" s="1513"/>
      <c r="Q286" s="1513"/>
      <c r="R286" s="1513"/>
      <c r="S286" s="1513"/>
      <c r="T286" s="1513"/>
      <c r="U286" s="1513"/>
      <c r="V286" s="1513"/>
      <c r="W286" s="1513"/>
      <c r="X286" s="1513"/>
      <c r="Y286" s="1513"/>
      <c r="Z286" s="1513"/>
      <c r="AA286" s="1513"/>
      <c r="AB286" s="1513"/>
      <c r="AC286" s="1513"/>
      <c r="AD286" s="1513"/>
      <c r="AE286" s="1513"/>
      <c r="AF286" s="1513"/>
      <c r="AG286" s="1513"/>
      <c r="AH286" s="1513"/>
      <c r="AI286" s="1513"/>
      <c r="AJ286" s="1513"/>
      <c r="AK286" s="1513"/>
      <c r="AL286" s="1513"/>
      <c r="AM286" s="1513"/>
      <c r="AN286" s="1513"/>
      <c r="AO286" s="1513"/>
      <c r="AP286" s="1513"/>
      <c r="AQ286" s="1513"/>
      <c r="AR286" s="1513"/>
      <c r="AS286" s="1513"/>
      <c r="AT286" s="1513"/>
      <c r="AU286" s="1513"/>
      <c r="AV286" s="1513"/>
      <c r="AW286" s="1513"/>
      <c r="AX286" s="1513"/>
      <c r="AY286" s="1513"/>
      <c r="AZ286" s="1513"/>
      <c r="BA286" s="1513"/>
      <c r="BB286" s="1513"/>
      <c r="BC286" s="1513"/>
      <c r="BD286" s="1513"/>
      <c r="BE286" s="1513"/>
      <c r="BF286" s="1513"/>
      <c r="BG286" s="1513"/>
      <c r="BH286" s="1513"/>
      <c r="BI286" s="1513"/>
      <c r="BJ286" s="1513"/>
      <c r="BK286" s="1513"/>
      <c r="BL286" s="1513"/>
      <c r="BM286" s="1513"/>
      <c r="BN286" s="1513"/>
      <c r="BO286" s="1513"/>
      <c r="BP286" s="1513"/>
      <c r="BQ286" s="1513"/>
      <c r="BR286" s="1513"/>
      <c r="BS286" s="1513"/>
      <c r="BT286" s="1513"/>
      <c r="BU286" s="1513"/>
      <c r="BV286" s="1513"/>
      <c r="BW286" s="1513"/>
      <c r="BX286" s="1513"/>
      <c r="BY286" s="1513"/>
      <c r="BZ286" s="1513"/>
      <c r="CA286" s="1513"/>
      <c r="CB286" s="1513"/>
      <c r="CC286" s="1513"/>
      <c r="CD286" s="1513"/>
      <c r="CE286" s="1513"/>
      <c r="CF286" s="1513"/>
      <c r="CG286" s="1513"/>
      <c r="CH286" s="1513"/>
      <c r="CI286" s="1513"/>
      <c r="CJ286" s="1513"/>
      <c r="CK286" s="1513"/>
      <c r="CL286" s="1513"/>
      <c r="CM286" s="1513"/>
      <c r="CN286" s="1513"/>
      <c r="CO286" s="1513"/>
      <c r="CP286" s="1513"/>
      <c r="CQ286" s="1513"/>
      <c r="CR286" s="1513"/>
      <c r="CS286" s="1513"/>
      <c r="CT286" s="1513"/>
      <c r="CU286" s="1513"/>
      <c r="CV286" s="1513"/>
      <c r="CW286" s="1513"/>
      <c r="CX286" s="1513"/>
      <c r="CY286" s="1513"/>
      <c r="CZ286" s="1513"/>
      <c r="DA286" s="1513"/>
      <c r="DB286" s="1513"/>
      <c r="DC286" s="1513"/>
      <c r="DD286" s="1513"/>
      <c r="DE286" s="1513"/>
      <c r="DF286" s="1513"/>
      <c r="DG286" s="1513"/>
      <c r="DH286" s="1513"/>
      <c r="DI286" s="1513"/>
      <c r="DJ286" s="1513"/>
      <c r="DK286" s="1513"/>
      <c r="DL286" s="1513"/>
      <c r="DM286" s="1513"/>
      <c r="DN286" s="1513"/>
      <c r="DO286" s="1513"/>
      <c r="DP286" s="1513"/>
      <c r="DQ286" s="1513"/>
      <c r="DR286" s="1513"/>
      <c r="DS286" s="1513"/>
      <c r="DT286" s="1513"/>
      <c r="DU286" s="1513"/>
      <c r="DV286" s="1513"/>
      <c r="DW286" s="1513"/>
      <c r="DX286" s="1513"/>
      <c r="DY286" s="1513"/>
      <c r="DZ286" s="1513"/>
      <c r="EA286" s="1513"/>
      <c r="EB286" s="1513"/>
      <c r="EC286" s="1513"/>
      <c r="ED286" s="1513"/>
      <c r="EE286" s="1513"/>
      <c r="EF286" s="1513"/>
      <c r="EG286" s="1513"/>
      <c r="EH286" s="1513"/>
      <c r="EI286" s="1513"/>
      <c r="EJ286" s="1513"/>
      <c r="EK286" s="1513"/>
      <c r="EL286" s="1513"/>
      <c r="EM286" s="1513"/>
      <c r="EN286" s="1513"/>
      <c r="EO286" s="1513"/>
      <c r="EP286" s="1513"/>
      <c r="EQ286" s="1513"/>
      <c r="ER286" s="1513"/>
      <c r="ES286" s="1513"/>
      <c r="ET286" s="1513"/>
      <c r="EU286" s="1513"/>
      <c r="EV286" s="1513"/>
      <c r="EW286" s="1513"/>
      <c r="EX286" s="1513"/>
      <c r="EY286" s="1513"/>
      <c r="EZ286" s="1513"/>
      <c r="FA286" s="1513"/>
      <c r="FB286" s="1513"/>
      <c r="FC286" s="1513"/>
      <c r="FD286" s="1513"/>
      <c r="FE286" s="1513"/>
      <c r="FF286" s="1513"/>
      <c r="FG286" s="1513"/>
      <c r="FH286" s="1513"/>
      <c r="FI286" s="1513"/>
      <c r="FJ286" s="1513"/>
    </row>
    <row r="287" spans="1:166" ht="17.100000000000001" customHeight="1" x14ac:dyDescent="0.15">
      <c r="A287" s="1513"/>
      <c r="B287" s="1513"/>
      <c r="C287" s="1513"/>
      <c r="D287" s="1513"/>
      <c r="E287" s="1513"/>
      <c r="F287" s="1513"/>
      <c r="G287" s="1513"/>
      <c r="H287" s="1513"/>
      <c r="I287" s="1513"/>
      <c r="J287" s="1513"/>
      <c r="K287" s="1513"/>
      <c r="L287" s="1513"/>
      <c r="M287" s="1513"/>
      <c r="N287" s="1513"/>
      <c r="O287" s="1513"/>
      <c r="P287" s="1513"/>
      <c r="Q287" s="1513"/>
      <c r="R287" s="1513"/>
      <c r="S287" s="1513"/>
      <c r="T287" s="1513"/>
      <c r="U287" s="1513"/>
      <c r="V287" s="1513"/>
      <c r="W287" s="1513"/>
      <c r="X287" s="1513"/>
      <c r="Y287" s="1513"/>
      <c r="Z287" s="1513"/>
      <c r="AA287" s="1513"/>
      <c r="AB287" s="1513"/>
      <c r="AC287" s="1513"/>
      <c r="AD287" s="1513"/>
      <c r="AE287" s="1513"/>
      <c r="AF287" s="1513"/>
      <c r="AG287" s="1513"/>
      <c r="AH287" s="1513"/>
      <c r="AI287" s="1513"/>
      <c r="AJ287" s="1513"/>
      <c r="AK287" s="1513"/>
      <c r="AL287" s="1513"/>
      <c r="AM287" s="1513"/>
      <c r="AN287" s="1513"/>
      <c r="AO287" s="1513"/>
      <c r="AP287" s="1513"/>
      <c r="AQ287" s="1513"/>
      <c r="AR287" s="1513"/>
      <c r="AS287" s="1513"/>
      <c r="AT287" s="1513"/>
      <c r="AU287" s="1513"/>
      <c r="AV287" s="1513"/>
      <c r="AW287" s="1513"/>
      <c r="AX287" s="1513"/>
      <c r="AY287" s="1513"/>
      <c r="AZ287" s="1513"/>
      <c r="BA287" s="1513"/>
      <c r="BB287" s="1513"/>
      <c r="BC287" s="1513"/>
      <c r="BD287" s="1513"/>
      <c r="BE287" s="1513"/>
      <c r="BF287" s="1513"/>
      <c r="BG287" s="1513"/>
      <c r="BH287" s="1513"/>
      <c r="BI287" s="1513"/>
      <c r="BJ287" s="1513"/>
      <c r="BK287" s="1513"/>
      <c r="BL287" s="1513"/>
      <c r="BM287" s="1513"/>
      <c r="BN287" s="1513"/>
      <c r="BO287" s="1513"/>
      <c r="BP287" s="1513"/>
      <c r="BQ287" s="1513"/>
      <c r="BR287" s="1513"/>
      <c r="BS287" s="1513"/>
      <c r="BT287" s="1513"/>
      <c r="BU287" s="1513"/>
      <c r="BV287" s="1513"/>
      <c r="BW287" s="1513"/>
      <c r="BX287" s="1513"/>
      <c r="BY287" s="1513"/>
      <c r="BZ287" s="1513"/>
      <c r="CA287" s="1513"/>
      <c r="CB287" s="1513"/>
      <c r="CC287" s="1513"/>
      <c r="CD287" s="1513"/>
      <c r="CE287" s="1513"/>
      <c r="CF287" s="1513"/>
      <c r="CG287" s="1513"/>
      <c r="CH287" s="1513"/>
      <c r="CI287" s="1513"/>
      <c r="CJ287" s="1513"/>
      <c r="CK287" s="1513"/>
      <c r="CL287" s="1513"/>
      <c r="CM287" s="1513"/>
      <c r="CN287" s="1513"/>
      <c r="CO287" s="1513"/>
      <c r="CP287" s="1513"/>
      <c r="CQ287" s="1513"/>
      <c r="CR287" s="1513"/>
      <c r="CS287" s="1513"/>
      <c r="CT287" s="1513"/>
      <c r="CU287" s="1513"/>
      <c r="CV287" s="1513"/>
      <c r="CW287" s="1513"/>
      <c r="CX287" s="1513"/>
      <c r="CY287" s="1513"/>
      <c r="CZ287" s="1513"/>
      <c r="DA287" s="1513"/>
      <c r="DB287" s="1513"/>
      <c r="DC287" s="1513"/>
      <c r="DD287" s="1513"/>
      <c r="DE287" s="1513"/>
      <c r="DF287" s="1513"/>
      <c r="DG287" s="1513"/>
      <c r="DH287" s="1513"/>
      <c r="DI287" s="1513"/>
      <c r="DJ287" s="1513"/>
      <c r="DK287" s="1513"/>
      <c r="DL287" s="1513"/>
      <c r="DM287" s="1513"/>
      <c r="DN287" s="1513"/>
      <c r="DO287" s="1513"/>
      <c r="DP287" s="1513"/>
      <c r="DQ287" s="1513"/>
      <c r="DR287" s="1513"/>
      <c r="DS287" s="1513"/>
      <c r="DT287" s="1513"/>
      <c r="DU287" s="1513"/>
      <c r="DV287" s="1513"/>
      <c r="DW287" s="1513"/>
      <c r="DX287" s="1513"/>
      <c r="DY287" s="1513"/>
      <c r="DZ287" s="1513"/>
      <c r="EA287" s="1513"/>
      <c r="EB287" s="1513"/>
      <c r="EC287" s="1513"/>
      <c r="ED287" s="1513"/>
      <c r="EE287" s="1513"/>
      <c r="EF287" s="1513"/>
      <c r="EG287" s="1513"/>
      <c r="EH287" s="1513"/>
      <c r="EI287" s="1513"/>
      <c r="EJ287" s="1513"/>
      <c r="EK287" s="1513"/>
      <c r="EL287" s="1513"/>
      <c r="EM287" s="1513"/>
      <c r="EN287" s="1513"/>
      <c r="EO287" s="1513"/>
      <c r="EP287" s="1513"/>
      <c r="EQ287" s="1513"/>
      <c r="ER287" s="1513"/>
      <c r="ES287" s="1513"/>
      <c r="ET287" s="1513"/>
      <c r="EU287" s="1513"/>
      <c r="EV287" s="1513"/>
      <c r="EW287" s="1513"/>
      <c r="EX287" s="1513"/>
      <c r="EY287" s="1513"/>
      <c r="EZ287" s="1513"/>
      <c r="FA287" s="1513"/>
      <c r="FB287" s="1513"/>
      <c r="FC287" s="1513"/>
      <c r="FD287" s="1513"/>
      <c r="FE287" s="1513"/>
      <c r="FF287" s="1513"/>
      <c r="FG287" s="1513"/>
      <c r="FH287" s="1513"/>
      <c r="FI287" s="1513"/>
      <c r="FJ287" s="1513"/>
    </row>
    <row r="288" spans="1:166" ht="17.100000000000001" customHeight="1" x14ac:dyDescent="0.15">
      <c r="A288" s="1513"/>
      <c r="B288" s="1513"/>
      <c r="C288" s="1513"/>
      <c r="D288" s="1513"/>
      <c r="E288" s="1513"/>
      <c r="F288" s="1513"/>
      <c r="G288" s="1513"/>
      <c r="H288" s="1513"/>
      <c r="I288" s="1513"/>
      <c r="J288" s="1513"/>
      <c r="K288" s="1513"/>
      <c r="L288" s="1513"/>
      <c r="M288" s="1513"/>
      <c r="N288" s="1513"/>
      <c r="O288" s="1513"/>
      <c r="P288" s="1513"/>
      <c r="Q288" s="1513"/>
      <c r="R288" s="1513"/>
      <c r="S288" s="1513"/>
      <c r="T288" s="1513"/>
      <c r="U288" s="1513"/>
      <c r="V288" s="1513"/>
      <c r="W288" s="1513"/>
      <c r="X288" s="1513"/>
      <c r="Y288" s="1513"/>
      <c r="Z288" s="1513"/>
      <c r="AA288" s="1513"/>
      <c r="AB288" s="1513"/>
      <c r="AC288" s="1513"/>
      <c r="AD288" s="1513"/>
      <c r="AE288" s="1513"/>
      <c r="AF288" s="1513"/>
      <c r="AG288" s="1513"/>
      <c r="AH288" s="1513"/>
      <c r="AI288" s="1513"/>
      <c r="AJ288" s="1513"/>
      <c r="AK288" s="1513"/>
      <c r="AL288" s="1513"/>
      <c r="AM288" s="1513"/>
      <c r="AN288" s="1513"/>
      <c r="AO288" s="1513"/>
      <c r="AP288" s="1513"/>
      <c r="AQ288" s="1513"/>
      <c r="AR288" s="1513"/>
      <c r="AS288" s="1513"/>
      <c r="AT288" s="1513"/>
      <c r="AU288" s="1513"/>
      <c r="AV288" s="1513"/>
      <c r="AW288" s="1513"/>
      <c r="AX288" s="1513"/>
      <c r="AY288" s="1513"/>
      <c r="AZ288" s="1513"/>
      <c r="BA288" s="1513"/>
      <c r="BB288" s="1513"/>
      <c r="BC288" s="1513"/>
      <c r="BD288" s="1513"/>
      <c r="BE288" s="1513"/>
      <c r="BF288" s="1513"/>
      <c r="BG288" s="1513"/>
      <c r="BH288" s="1513"/>
      <c r="BI288" s="1513"/>
      <c r="BJ288" s="1513"/>
      <c r="BK288" s="1513"/>
      <c r="BL288" s="1513"/>
      <c r="BM288" s="1513"/>
      <c r="BN288" s="1513"/>
      <c r="BO288" s="1513"/>
      <c r="BP288" s="1513"/>
      <c r="BQ288" s="1513"/>
      <c r="BR288" s="1513"/>
      <c r="BS288" s="1513"/>
      <c r="BT288" s="1513"/>
      <c r="BU288" s="1513"/>
      <c r="BV288" s="1513"/>
      <c r="BW288" s="1513"/>
      <c r="BX288" s="1513"/>
      <c r="BY288" s="1513"/>
      <c r="BZ288" s="1513"/>
      <c r="CA288" s="1513"/>
      <c r="CB288" s="1513"/>
      <c r="CC288" s="1513"/>
      <c r="CD288" s="1513"/>
      <c r="CE288" s="1513"/>
      <c r="CF288" s="1513"/>
      <c r="CG288" s="1513"/>
      <c r="CH288" s="1513"/>
      <c r="CI288" s="1513"/>
      <c r="CJ288" s="1513"/>
      <c r="CK288" s="1513"/>
      <c r="CL288" s="1513"/>
      <c r="CM288" s="1513"/>
      <c r="CN288" s="1513"/>
      <c r="CO288" s="1513"/>
      <c r="CP288" s="1513"/>
      <c r="CQ288" s="1513"/>
      <c r="CR288" s="1513"/>
      <c r="CS288" s="1513"/>
      <c r="CT288" s="1513"/>
      <c r="CU288" s="1513"/>
      <c r="CV288" s="1513"/>
      <c r="CW288" s="1513"/>
      <c r="CX288" s="1513"/>
      <c r="CY288" s="1513"/>
      <c r="CZ288" s="1513"/>
      <c r="DA288" s="1513"/>
      <c r="DB288" s="1513"/>
      <c r="DC288" s="1513"/>
      <c r="DD288" s="1513"/>
      <c r="DE288" s="1513"/>
      <c r="DF288" s="1513"/>
      <c r="DG288" s="1513"/>
      <c r="DH288" s="1513"/>
      <c r="DI288" s="1513"/>
      <c r="DJ288" s="1513"/>
      <c r="DK288" s="1513"/>
      <c r="DL288" s="1513"/>
      <c r="DM288" s="1513"/>
      <c r="DN288" s="1513"/>
      <c r="DO288" s="1513"/>
      <c r="DP288" s="1513"/>
      <c r="DQ288" s="1513"/>
      <c r="DR288" s="1513"/>
      <c r="DS288" s="1513"/>
      <c r="DT288" s="1513"/>
      <c r="DU288" s="1513"/>
      <c r="DV288" s="1513"/>
      <c r="DW288" s="1513"/>
      <c r="DX288" s="1513"/>
      <c r="DY288" s="1513"/>
      <c r="DZ288" s="1513"/>
      <c r="EA288" s="1513"/>
      <c r="EB288" s="1513"/>
      <c r="EC288" s="1513"/>
      <c r="ED288" s="1513"/>
      <c r="EE288" s="1513"/>
      <c r="EF288" s="1513"/>
      <c r="EG288" s="1513"/>
      <c r="EH288" s="1513"/>
      <c r="EI288" s="1513"/>
      <c r="EJ288" s="1513"/>
      <c r="EK288" s="1513"/>
      <c r="EL288" s="1513"/>
      <c r="EM288" s="1513"/>
      <c r="EN288" s="1513"/>
      <c r="EO288" s="1513"/>
      <c r="EP288" s="1513"/>
      <c r="EQ288" s="1513"/>
      <c r="ER288" s="1513"/>
      <c r="ES288" s="1513"/>
      <c r="ET288" s="1513"/>
      <c r="EU288" s="1513"/>
      <c r="EV288" s="1513"/>
      <c r="EW288" s="1513"/>
      <c r="EX288" s="1513"/>
      <c r="EY288" s="1513"/>
      <c r="EZ288" s="1513"/>
      <c r="FA288" s="1513"/>
      <c r="FB288" s="1513"/>
      <c r="FC288" s="1513"/>
      <c r="FD288" s="1513"/>
      <c r="FE288" s="1513"/>
      <c r="FF288" s="1513"/>
      <c r="FG288" s="1513"/>
      <c r="FH288" s="1513"/>
      <c r="FI288" s="1513"/>
      <c r="FJ288" s="1513"/>
    </row>
    <row r="289" spans="1:166" ht="17.100000000000001" customHeight="1" x14ac:dyDescent="0.15">
      <c r="A289" s="1513"/>
      <c r="B289" s="1513"/>
      <c r="C289" s="1513"/>
      <c r="D289" s="1513"/>
      <c r="E289" s="1513"/>
      <c r="F289" s="1513"/>
      <c r="G289" s="1513"/>
      <c r="H289" s="1513"/>
      <c r="I289" s="1513"/>
      <c r="J289" s="1513"/>
      <c r="K289" s="1513"/>
      <c r="L289" s="1513"/>
      <c r="M289" s="1513"/>
      <c r="N289" s="1513"/>
      <c r="O289" s="1513"/>
      <c r="P289" s="1513"/>
      <c r="Q289" s="1513"/>
      <c r="R289" s="1513"/>
      <c r="S289" s="1513"/>
      <c r="T289" s="1513"/>
      <c r="U289" s="1513"/>
      <c r="V289" s="1513"/>
      <c r="W289" s="1513"/>
      <c r="X289" s="1513"/>
      <c r="Y289" s="1513"/>
      <c r="Z289" s="1513"/>
      <c r="AA289" s="1513"/>
      <c r="AB289" s="1513"/>
      <c r="AC289" s="1513"/>
      <c r="AD289" s="1513"/>
      <c r="AE289" s="1513"/>
      <c r="AF289" s="1513"/>
      <c r="AG289" s="1513"/>
      <c r="AH289" s="1513"/>
      <c r="AI289" s="1513"/>
      <c r="AJ289" s="1513"/>
      <c r="AK289" s="1513"/>
      <c r="AL289" s="1513"/>
      <c r="AM289" s="1513"/>
      <c r="AN289" s="1513"/>
      <c r="AO289" s="1513"/>
      <c r="AP289" s="1513"/>
      <c r="AQ289" s="1513"/>
      <c r="AR289" s="1513"/>
      <c r="AS289" s="1513"/>
      <c r="AT289" s="1513"/>
      <c r="AU289" s="1513"/>
      <c r="AV289" s="1513"/>
      <c r="AW289" s="1513"/>
      <c r="AX289" s="1513"/>
      <c r="AY289" s="1513"/>
      <c r="AZ289" s="1513"/>
      <c r="BA289" s="1513"/>
      <c r="BB289" s="1513"/>
      <c r="BC289" s="1513"/>
      <c r="BD289" s="1513"/>
      <c r="BE289" s="1513"/>
      <c r="BF289" s="1513"/>
      <c r="BG289" s="1513"/>
      <c r="BH289" s="1513"/>
      <c r="BI289" s="1513"/>
      <c r="BJ289" s="1513"/>
      <c r="BK289" s="1513"/>
      <c r="BL289" s="1513"/>
      <c r="BM289" s="1513"/>
      <c r="BN289" s="1513"/>
      <c r="BO289" s="1513"/>
      <c r="BP289" s="1513"/>
      <c r="BQ289" s="1513"/>
      <c r="BR289" s="1513"/>
      <c r="BS289" s="1513"/>
      <c r="BT289" s="1513"/>
      <c r="BU289" s="1513"/>
      <c r="BV289" s="1513"/>
      <c r="BW289" s="1513"/>
      <c r="BX289" s="1513"/>
      <c r="BY289" s="1513"/>
      <c r="BZ289" s="1513"/>
      <c r="CA289" s="1513"/>
      <c r="CB289" s="1513"/>
      <c r="CC289" s="1513"/>
      <c r="CD289" s="1513"/>
      <c r="CE289" s="1513"/>
      <c r="CF289" s="1513"/>
      <c r="CG289" s="1513"/>
      <c r="CH289" s="1513"/>
      <c r="CI289" s="1513"/>
      <c r="CJ289" s="1513"/>
      <c r="CK289" s="1513"/>
      <c r="CL289" s="1513"/>
      <c r="CM289" s="1513"/>
      <c r="CN289" s="1513"/>
      <c r="CO289" s="1513"/>
      <c r="CP289" s="1513"/>
      <c r="CQ289" s="1513"/>
      <c r="CR289" s="1513"/>
      <c r="CS289" s="1513"/>
      <c r="CT289" s="1513"/>
      <c r="CU289" s="1513"/>
      <c r="CV289" s="1513"/>
      <c r="CW289" s="1513"/>
      <c r="CX289" s="1513"/>
      <c r="CY289" s="1513"/>
      <c r="CZ289" s="1513"/>
      <c r="DA289" s="1513"/>
      <c r="DB289" s="1513"/>
      <c r="DC289" s="1513"/>
      <c r="DD289" s="1513"/>
      <c r="DE289" s="1513"/>
      <c r="DF289" s="1513"/>
      <c r="DG289" s="1513"/>
      <c r="DH289" s="1513"/>
      <c r="DI289" s="1513"/>
      <c r="DJ289" s="1513"/>
      <c r="DK289" s="1513"/>
      <c r="DL289" s="1513"/>
      <c r="DM289" s="1513"/>
      <c r="DN289" s="1513"/>
      <c r="DO289" s="1513"/>
      <c r="DP289" s="1513"/>
      <c r="DQ289" s="1513"/>
      <c r="DR289" s="1513"/>
      <c r="DS289" s="1513"/>
      <c r="DT289" s="1513"/>
      <c r="DU289" s="1513"/>
      <c r="DV289" s="1513"/>
      <c r="DW289" s="1513"/>
      <c r="DX289" s="1513"/>
      <c r="DY289" s="1513"/>
      <c r="DZ289" s="1513"/>
      <c r="EA289" s="1513"/>
      <c r="EB289" s="1513"/>
      <c r="EC289" s="1513"/>
      <c r="ED289" s="1513"/>
      <c r="EE289" s="1513"/>
      <c r="EF289" s="1513"/>
      <c r="EG289" s="1513"/>
      <c r="EH289" s="1513"/>
      <c r="EI289" s="1513"/>
      <c r="EJ289" s="1513"/>
      <c r="EK289" s="1513"/>
      <c r="EL289" s="1513"/>
      <c r="EM289" s="1513"/>
      <c r="EN289" s="1513"/>
      <c r="EO289" s="1513"/>
      <c r="EP289" s="1513"/>
      <c r="EQ289" s="1513"/>
      <c r="ER289" s="1513"/>
      <c r="ES289" s="1513"/>
      <c r="ET289" s="1513"/>
      <c r="EU289" s="1513"/>
      <c r="EV289" s="1513"/>
      <c r="EW289" s="1513"/>
      <c r="EX289" s="1513"/>
      <c r="EY289" s="1513"/>
      <c r="EZ289" s="1513"/>
      <c r="FA289" s="1513"/>
      <c r="FB289" s="1513"/>
      <c r="FC289" s="1513"/>
      <c r="FD289" s="1513"/>
      <c r="FE289" s="1513"/>
      <c r="FF289" s="1513"/>
      <c r="FG289" s="1513"/>
      <c r="FH289" s="1513"/>
      <c r="FI289" s="1513"/>
      <c r="FJ289" s="1513"/>
    </row>
    <row r="290" spans="1:166" ht="17.100000000000001" customHeight="1" x14ac:dyDescent="0.15">
      <c r="A290" s="1513"/>
      <c r="B290" s="1513"/>
      <c r="C290" s="1513"/>
      <c r="D290" s="1513"/>
      <c r="E290" s="1513"/>
      <c r="F290" s="1513"/>
      <c r="G290" s="1513"/>
      <c r="H290" s="1513"/>
      <c r="I290" s="1513"/>
      <c r="J290" s="1513"/>
      <c r="K290" s="1513"/>
      <c r="L290" s="1513"/>
      <c r="M290" s="1513"/>
      <c r="N290" s="1513"/>
      <c r="O290" s="1513"/>
      <c r="P290" s="1513"/>
      <c r="Q290" s="1513"/>
      <c r="R290" s="1513"/>
      <c r="S290" s="1513"/>
      <c r="T290" s="1513"/>
      <c r="U290" s="1513"/>
      <c r="V290" s="1513"/>
      <c r="W290" s="1513"/>
      <c r="X290" s="1513"/>
      <c r="Y290" s="1513"/>
      <c r="Z290" s="1513"/>
      <c r="AA290" s="1513"/>
      <c r="AB290" s="1513"/>
      <c r="AC290" s="1513"/>
      <c r="AD290" s="1513"/>
      <c r="AE290" s="1513"/>
      <c r="AF290" s="1513"/>
      <c r="AG290" s="1513"/>
      <c r="AH290" s="1513"/>
      <c r="AI290" s="1513"/>
      <c r="AJ290" s="1513"/>
      <c r="AK290" s="1513"/>
      <c r="AL290" s="1513"/>
      <c r="AM290" s="1513"/>
      <c r="AN290" s="1513"/>
      <c r="AO290" s="1513"/>
      <c r="AP290" s="1513"/>
      <c r="AQ290" s="1513"/>
      <c r="AR290" s="1513"/>
      <c r="AS290" s="1513"/>
      <c r="AT290" s="1513"/>
      <c r="AU290" s="1513"/>
      <c r="AV290" s="1513"/>
      <c r="AW290" s="1513"/>
      <c r="AX290" s="1513"/>
      <c r="AY290" s="1513"/>
      <c r="AZ290" s="1513"/>
      <c r="BA290" s="1513"/>
      <c r="BB290" s="1513"/>
      <c r="BC290" s="1513"/>
      <c r="BD290" s="1513"/>
      <c r="BE290" s="1513"/>
      <c r="BF290" s="1513"/>
      <c r="BG290" s="1513"/>
      <c r="BH290" s="1513"/>
      <c r="BI290" s="1513"/>
      <c r="BJ290" s="1513"/>
      <c r="BK290" s="1513"/>
      <c r="BL290" s="1513"/>
      <c r="BM290" s="1513"/>
      <c r="BN290" s="1513"/>
      <c r="BO290" s="1513"/>
      <c r="BP290" s="1513"/>
      <c r="BQ290" s="1513"/>
      <c r="BR290" s="1513"/>
      <c r="BS290" s="1513"/>
      <c r="BT290" s="1513"/>
      <c r="BU290" s="1513"/>
      <c r="BV290" s="1513"/>
      <c r="BW290" s="1513"/>
      <c r="BX290" s="1513"/>
      <c r="BY290" s="1513"/>
      <c r="BZ290" s="1513"/>
      <c r="CA290" s="1513"/>
      <c r="CB290" s="1513"/>
      <c r="CC290" s="1513"/>
      <c r="CD290" s="1513"/>
      <c r="CE290" s="1513"/>
      <c r="CF290" s="1513"/>
      <c r="CG290" s="1513"/>
      <c r="CH290" s="1513"/>
      <c r="CI290" s="1513"/>
      <c r="CJ290" s="1513"/>
      <c r="CK290" s="1513"/>
      <c r="CL290" s="1513"/>
      <c r="CM290" s="1513"/>
      <c r="CN290" s="1513"/>
      <c r="CO290" s="1513"/>
      <c r="CP290" s="1513"/>
      <c r="CQ290" s="1513"/>
      <c r="CR290" s="1513"/>
      <c r="CS290" s="1513"/>
      <c r="CT290" s="1513"/>
      <c r="CU290" s="1513"/>
      <c r="CV290" s="1513"/>
      <c r="CW290" s="1513"/>
      <c r="CX290" s="1513"/>
      <c r="CY290" s="1513"/>
      <c r="CZ290" s="1513"/>
      <c r="DA290" s="1513"/>
      <c r="DB290" s="1513"/>
      <c r="DC290" s="1513"/>
      <c r="DD290" s="1513"/>
      <c r="DE290" s="1513"/>
      <c r="DF290" s="1513"/>
      <c r="DG290" s="1513"/>
      <c r="DH290" s="1513"/>
      <c r="DI290" s="1513"/>
      <c r="DJ290" s="1513"/>
      <c r="DK290" s="1513"/>
      <c r="DL290" s="1513"/>
      <c r="DM290" s="1513"/>
      <c r="DN290" s="1513"/>
      <c r="DO290" s="1513"/>
      <c r="DP290" s="1513"/>
      <c r="DQ290" s="1513"/>
      <c r="DR290" s="1513"/>
      <c r="DS290" s="1513"/>
      <c r="DT290" s="1513"/>
      <c r="DU290" s="1513"/>
      <c r="DV290" s="1513"/>
      <c r="DW290" s="1513"/>
      <c r="DX290" s="1513"/>
      <c r="DY290" s="1513"/>
      <c r="DZ290" s="1513"/>
      <c r="EA290" s="1513"/>
      <c r="EB290" s="1513"/>
      <c r="EC290" s="1513"/>
      <c r="ED290" s="1513"/>
      <c r="EE290" s="1513"/>
      <c r="EF290" s="1513"/>
      <c r="EG290" s="1513"/>
      <c r="EH290" s="1513"/>
      <c r="EI290" s="1513"/>
      <c r="EJ290" s="1513"/>
      <c r="EK290" s="1513"/>
      <c r="EL290" s="1513"/>
      <c r="EM290" s="1513"/>
      <c r="EN290" s="1513"/>
      <c r="EO290" s="1513"/>
      <c r="EP290" s="1513"/>
      <c r="EQ290" s="1513"/>
      <c r="ER290" s="1513"/>
      <c r="ES290" s="1513"/>
      <c r="ET290" s="1513"/>
      <c r="EU290" s="1513"/>
      <c r="EV290" s="1513"/>
      <c r="EW290" s="1513"/>
      <c r="EX290" s="1513"/>
      <c r="EY290" s="1513"/>
      <c r="EZ290" s="1513"/>
      <c r="FA290" s="1513"/>
      <c r="FB290" s="1513"/>
      <c r="FC290" s="1513"/>
      <c r="FD290" s="1513"/>
      <c r="FE290" s="1513"/>
      <c r="FF290" s="1513"/>
      <c r="FG290" s="1513"/>
      <c r="FH290" s="1513"/>
      <c r="FI290" s="1513"/>
      <c r="FJ290" s="1513"/>
    </row>
    <row r="291" spans="1:166" ht="17.100000000000001" customHeight="1" x14ac:dyDescent="0.15">
      <c r="A291" s="1513"/>
      <c r="B291" s="1513"/>
      <c r="C291" s="1513"/>
      <c r="D291" s="1513"/>
      <c r="E291" s="1513"/>
      <c r="F291" s="1513"/>
      <c r="G291" s="1513"/>
      <c r="H291" s="1513"/>
      <c r="I291" s="1513"/>
      <c r="J291" s="1513"/>
      <c r="K291" s="1513"/>
      <c r="L291" s="1513"/>
      <c r="M291" s="1513"/>
      <c r="N291" s="1513"/>
      <c r="O291" s="1513"/>
      <c r="P291" s="1513"/>
      <c r="Q291" s="1513"/>
      <c r="R291" s="1513"/>
      <c r="S291" s="1513"/>
      <c r="T291" s="1513"/>
      <c r="U291" s="1513"/>
      <c r="V291" s="1513"/>
      <c r="W291" s="1513"/>
      <c r="X291" s="1513"/>
      <c r="Y291" s="1513"/>
      <c r="Z291" s="1513"/>
      <c r="AA291" s="1513"/>
      <c r="AB291" s="1513"/>
      <c r="AC291" s="1513"/>
      <c r="AD291" s="1513"/>
      <c r="AE291" s="1513"/>
      <c r="AF291" s="1513"/>
      <c r="AG291" s="1513"/>
      <c r="AH291" s="1513"/>
      <c r="AI291" s="1513"/>
      <c r="AJ291" s="1513"/>
      <c r="AK291" s="1513"/>
      <c r="AL291" s="1513"/>
      <c r="AM291" s="1513"/>
      <c r="AN291" s="1513"/>
      <c r="AO291" s="1513"/>
      <c r="AP291" s="1513"/>
      <c r="AQ291" s="1513"/>
      <c r="AR291" s="1513"/>
      <c r="AS291" s="1513"/>
      <c r="AT291" s="1513"/>
      <c r="AU291" s="1513"/>
      <c r="AV291" s="1513"/>
      <c r="AW291" s="1513"/>
      <c r="AX291" s="1513"/>
      <c r="AY291" s="1513"/>
      <c r="AZ291" s="1513"/>
      <c r="BA291" s="1513"/>
      <c r="BB291" s="1513"/>
      <c r="BC291" s="1513"/>
      <c r="BD291" s="1513"/>
      <c r="BE291" s="1513"/>
      <c r="BF291" s="1513"/>
      <c r="BG291" s="1513"/>
      <c r="BH291" s="1513"/>
      <c r="BI291" s="1513"/>
      <c r="BJ291" s="1513"/>
      <c r="BK291" s="1513"/>
      <c r="BL291" s="1513"/>
      <c r="BM291" s="1513"/>
      <c r="BN291" s="1513"/>
      <c r="BO291" s="1513"/>
      <c r="BP291" s="1513"/>
      <c r="BQ291" s="1513"/>
      <c r="BR291" s="1513"/>
      <c r="BS291" s="1513"/>
      <c r="BT291" s="1513"/>
      <c r="BU291" s="1513"/>
      <c r="BV291" s="1513"/>
      <c r="BW291" s="1513"/>
      <c r="BX291" s="1513"/>
      <c r="BY291" s="1513"/>
      <c r="BZ291" s="1513"/>
      <c r="CA291" s="1513"/>
      <c r="CB291" s="1513"/>
      <c r="CC291" s="1513"/>
      <c r="CD291" s="1513"/>
      <c r="CE291" s="1513"/>
      <c r="CF291" s="1513"/>
      <c r="CG291" s="1513"/>
      <c r="CH291" s="1513"/>
      <c r="CI291" s="1513"/>
      <c r="CJ291" s="1513"/>
      <c r="CK291" s="1513"/>
      <c r="CL291" s="1513"/>
      <c r="CM291" s="1513"/>
      <c r="CN291" s="1513"/>
      <c r="CO291" s="1513"/>
      <c r="CP291" s="1513"/>
      <c r="CQ291" s="1513"/>
      <c r="CR291" s="1513"/>
      <c r="CS291" s="1513"/>
      <c r="CT291" s="1513"/>
      <c r="CU291" s="1513"/>
      <c r="CV291" s="1513"/>
      <c r="CW291" s="1513"/>
      <c r="CX291" s="1513"/>
      <c r="CY291" s="1513"/>
      <c r="CZ291" s="1513"/>
      <c r="DA291" s="1513"/>
      <c r="DB291" s="1513"/>
      <c r="DC291" s="1513"/>
      <c r="DD291" s="1513"/>
      <c r="DE291" s="1513"/>
      <c r="DF291" s="1513"/>
      <c r="DG291" s="1513"/>
      <c r="DH291" s="1513"/>
      <c r="DI291" s="1513"/>
      <c r="DJ291" s="1513"/>
      <c r="DK291" s="1513"/>
      <c r="DL291" s="1513"/>
      <c r="DM291" s="1513"/>
      <c r="DN291" s="1513"/>
      <c r="DO291" s="1513"/>
      <c r="DP291" s="1513"/>
      <c r="DQ291" s="1513"/>
      <c r="DR291" s="1513"/>
      <c r="DS291" s="1513"/>
      <c r="DT291" s="1513"/>
      <c r="DU291" s="1513"/>
      <c r="DV291" s="1513"/>
      <c r="DW291" s="1513"/>
      <c r="DX291" s="1513"/>
      <c r="DY291" s="1513"/>
      <c r="DZ291" s="1513"/>
      <c r="EA291" s="1513"/>
      <c r="EB291" s="1513"/>
      <c r="EC291" s="1513"/>
      <c r="ED291" s="1513"/>
      <c r="EE291" s="1513"/>
      <c r="EF291" s="1513"/>
      <c r="EG291" s="1513"/>
      <c r="EH291" s="1513"/>
      <c r="EI291" s="1513"/>
      <c r="EJ291" s="1513"/>
      <c r="EK291" s="1513"/>
      <c r="EL291" s="1513"/>
      <c r="EM291" s="1513"/>
      <c r="EN291" s="1513"/>
      <c r="EO291" s="1513"/>
      <c r="EP291" s="1513"/>
      <c r="EQ291" s="1513"/>
      <c r="ER291" s="1513"/>
      <c r="ES291" s="1513"/>
      <c r="ET291" s="1513"/>
      <c r="EU291" s="1513"/>
      <c r="EV291" s="1513"/>
      <c r="EW291" s="1513"/>
      <c r="EX291" s="1513"/>
      <c r="EY291" s="1513"/>
      <c r="EZ291" s="1513"/>
      <c r="FA291" s="1513"/>
      <c r="FB291" s="1513"/>
      <c r="FC291" s="1513"/>
      <c r="FD291" s="1513"/>
      <c r="FE291" s="1513"/>
      <c r="FF291" s="1513"/>
      <c r="FG291" s="1513"/>
      <c r="FH291" s="1513"/>
      <c r="FI291" s="1513"/>
      <c r="FJ291" s="1513"/>
    </row>
    <row r="292" spans="1:166" ht="17.100000000000001" customHeight="1" x14ac:dyDescent="0.15">
      <c r="A292" s="1513"/>
      <c r="B292" s="1513"/>
      <c r="C292" s="1513"/>
      <c r="D292" s="1513"/>
      <c r="E292" s="1513"/>
      <c r="F292" s="1513"/>
      <c r="G292" s="1513"/>
      <c r="H292" s="1513"/>
      <c r="I292" s="1513"/>
      <c r="J292" s="1513"/>
      <c r="K292" s="1513"/>
      <c r="L292" s="1513"/>
      <c r="M292" s="1513"/>
      <c r="N292" s="1513"/>
      <c r="O292" s="1513"/>
      <c r="P292" s="1513"/>
      <c r="Q292" s="1513"/>
      <c r="R292" s="1513"/>
      <c r="S292" s="1513"/>
      <c r="T292" s="1513"/>
      <c r="U292" s="1513"/>
      <c r="V292" s="1513"/>
      <c r="W292" s="1513"/>
      <c r="X292" s="1513"/>
      <c r="Y292" s="1513"/>
      <c r="Z292" s="1513"/>
      <c r="AA292" s="1513"/>
      <c r="AB292" s="1513"/>
      <c r="AC292" s="1513"/>
      <c r="AD292" s="1513"/>
      <c r="AE292" s="1513"/>
      <c r="AF292" s="1513"/>
      <c r="AG292" s="1513"/>
      <c r="AH292" s="1513"/>
      <c r="AI292" s="1513"/>
      <c r="AJ292" s="1513"/>
      <c r="AK292" s="1513"/>
      <c r="AL292" s="1513"/>
      <c r="AM292" s="1513"/>
      <c r="AN292" s="1513"/>
      <c r="AO292" s="1513"/>
      <c r="AP292" s="1513"/>
      <c r="AQ292" s="1513"/>
      <c r="AR292" s="1513"/>
      <c r="AS292" s="1513"/>
      <c r="AT292" s="1513"/>
      <c r="AU292" s="1513"/>
      <c r="AV292" s="1513"/>
      <c r="AW292" s="1513"/>
      <c r="AX292" s="1513"/>
      <c r="AY292" s="1513"/>
      <c r="AZ292" s="1513"/>
      <c r="BA292" s="1513"/>
      <c r="BB292" s="1513"/>
      <c r="BC292" s="1513"/>
      <c r="BD292" s="1513"/>
      <c r="BE292" s="1513"/>
      <c r="BF292" s="1513"/>
      <c r="BG292" s="1513"/>
      <c r="BH292" s="1513"/>
      <c r="BI292" s="1513"/>
      <c r="BJ292" s="1513"/>
      <c r="BK292" s="1513"/>
      <c r="BL292" s="1513"/>
      <c r="BM292" s="1513"/>
      <c r="BN292" s="1513"/>
      <c r="BO292" s="1513"/>
      <c r="BP292" s="1513"/>
      <c r="BQ292" s="1513"/>
      <c r="BR292" s="1513"/>
      <c r="BS292" s="1513"/>
      <c r="BT292" s="1513"/>
      <c r="BU292" s="1513"/>
      <c r="BV292" s="1513"/>
      <c r="BW292" s="1513"/>
      <c r="BX292" s="1513"/>
      <c r="BY292" s="1513"/>
      <c r="BZ292" s="1513"/>
      <c r="CA292" s="1513"/>
      <c r="CB292" s="1513"/>
      <c r="CC292" s="1513"/>
      <c r="CD292" s="1513"/>
      <c r="CE292" s="1513"/>
      <c r="CF292" s="1513"/>
      <c r="CG292" s="1513"/>
      <c r="CH292" s="1513"/>
      <c r="CI292" s="1513"/>
      <c r="CJ292" s="1513"/>
      <c r="CK292" s="1513"/>
      <c r="CL292" s="1513"/>
      <c r="CM292" s="1513"/>
      <c r="CN292" s="1513"/>
      <c r="CO292" s="1513"/>
      <c r="CP292" s="1513"/>
      <c r="CQ292" s="1513"/>
      <c r="CR292" s="1513"/>
      <c r="CS292" s="1513"/>
      <c r="CT292" s="1513"/>
      <c r="CU292" s="1513"/>
      <c r="CV292" s="1513"/>
      <c r="CW292" s="1513"/>
      <c r="CX292" s="1513"/>
      <c r="CY292" s="1513"/>
      <c r="CZ292" s="1513"/>
      <c r="DA292" s="1513"/>
      <c r="DB292" s="1513"/>
      <c r="DC292" s="1513"/>
      <c r="DD292" s="1513"/>
      <c r="DE292" s="1513"/>
      <c r="DF292" s="1513"/>
      <c r="DG292" s="1513"/>
      <c r="DH292" s="1513"/>
      <c r="DI292" s="1513"/>
      <c r="DJ292" s="1513"/>
      <c r="DK292" s="1513"/>
      <c r="DL292" s="1513"/>
      <c r="DM292" s="1513"/>
      <c r="DN292" s="1513"/>
      <c r="DO292" s="1513"/>
      <c r="DP292" s="1513"/>
      <c r="DQ292" s="1513"/>
      <c r="DR292" s="1513"/>
      <c r="DS292" s="1513"/>
      <c r="DT292" s="1513"/>
      <c r="DU292" s="1513"/>
      <c r="DV292" s="1513"/>
      <c r="DW292" s="1513"/>
      <c r="DX292" s="1513"/>
      <c r="DY292" s="1513"/>
      <c r="DZ292" s="1513"/>
      <c r="EA292" s="1513"/>
      <c r="EB292" s="1513"/>
      <c r="EC292" s="1513"/>
      <c r="ED292" s="1513"/>
      <c r="EE292" s="1513"/>
      <c r="EF292" s="1513"/>
      <c r="EG292" s="1513"/>
      <c r="EH292" s="1513"/>
      <c r="EI292" s="1513"/>
      <c r="EJ292" s="1513"/>
      <c r="EK292" s="1513"/>
      <c r="EL292" s="1513"/>
      <c r="EM292" s="1513"/>
      <c r="EN292" s="1513"/>
      <c r="EO292" s="1513"/>
      <c r="EP292" s="1513"/>
      <c r="EQ292" s="1513"/>
      <c r="ER292" s="1513"/>
      <c r="ES292" s="1513"/>
      <c r="ET292" s="1513"/>
      <c r="EU292" s="1513"/>
      <c r="EV292" s="1513"/>
      <c r="EW292" s="1513"/>
      <c r="EX292" s="1513"/>
      <c r="EY292" s="1513"/>
      <c r="EZ292" s="1513"/>
      <c r="FA292" s="1513"/>
      <c r="FB292" s="1513"/>
      <c r="FC292" s="1513"/>
      <c r="FD292" s="1513"/>
      <c r="FE292" s="1513"/>
      <c r="FF292" s="1513"/>
      <c r="FG292" s="1513"/>
      <c r="FH292" s="1513"/>
      <c r="FI292" s="1513"/>
      <c r="FJ292" s="1513"/>
    </row>
    <row r="293" spans="1:166" ht="17.100000000000001" customHeight="1" x14ac:dyDescent="0.15">
      <c r="A293" s="1513"/>
      <c r="B293" s="1513"/>
      <c r="C293" s="1513"/>
      <c r="D293" s="1513"/>
      <c r="E293" s="1513"/>
      <c r="F293" s="1513"/>
      <c r="G293" s="1513"/>
      <c r="H293" s="1513"/>
      <c r="I293" s="1513"/>
      <c r="J293" s="1513"/>
      <c r="K293" s="1513"/>
      <c r="L293" s="1513"/>
      <c r="M293" s="1513"/>
      <c r="N293" s="1513"/>
      <c r="O293" s="1513"/>
      <c r="P293" s="1513"/>
      <c r="Q293" s="1513"/>
      <c r="R293" s="1513"/>
      <c r="S293" s="1513"/>
      <c r="T293" s="1513"/>
      <c r="U293" s="1513"/>
      <c r="V293" s="1513"/>
      <c r="W293" s="1513"/>
      <c r="X293" s="1513"/>
      <c r="Y293" s="1513"/>
      <c r="Z293" s="1513"/>
      <c r="AA293" s="1513"/>
      <c r="AB293" s="1513"/>
      <c r="AC293" s="1513"/>
      <c r="AD293" s="1513"/>
      <c r="AE293" s="1513"/>
      <c r="AF293" s="1513"/>
      <c r="AG293" s="1513"/>
      <c r="AH293" s="1513"/>
      <c r="AI293" s="1513"/>
      <c r="AJ293" s="1513"/>
      <c r="AK293" s="1513"/>
      <c r="AL293" s="1513"/>
      <c r="AM293" s="1513"/>
      <c r="AN293" s="1513"/>
      <c r="AO293" s="1513"/>
      <c r="AP293" s="1513"/>
      <c r="AQ293" s="1513"/>
      <c r="AR293" s="1513"/>
      <c r="AS293" s="1513"/>
      <c r="AT293" s="1513"/>
      <c r="AU293" s="1513"/>
      <c r="AV293" s="1513"/>
      <c r="AW293" s="1513"/>
      <c r="AX293" s="1513"/>
      <c r="AY293" s="1513"/>
      <c r="AZ293" s="1513"/>
      <c r="BA293" s="1513"/>
      <c r="BB293" s="1513"/>
      <c r="BC293" s="1513"/>
      <c r="BD293" s="1513"/>
      <c r="BE293" s="1513"/>
      <c r="BF293" s="1513"/>
      <c r="BG293" s="1513"/>
      <c r="BH293" s="1513"/>
      <c r="BI293" s="1513"/>
      <c r="BJ293" s="1513"/>
      <c r="BK293" s="1513"/>
      <c r="BL293" s="1513"/>
      <c r="BM293" s="1513"/>
      <c r="BN293" s="1513"/>
      <c r="BO293" s="1513"/>
      <c r="BP293" s="1513"/>
      <c r="BQ293" s="1513"/>
      <c r="BR293" s="1513"/>
      <c r="BS293" s="1513"/>
      <c r="BT293" s="1513"/>
      <c r="BU293" s="1513"/>
      <c r="BV293" s="1513"/>
      <c r="BW293" s="1513"/>
      <c r="BX293" s="1513"/>
      <c r="BY293" s="1513"/>
      <c r="BZ293" s="1513"/>
      <c r="CA293" s="1513"/>
      <c r="CB293" s="1513"/>
      <c r="CC293" s="1513"/>
      <c r="CD293" s="1513"/>
      <c r="CE293" s="1513"/>
      <c r="CF293" s="1513"/>
      <c r="CG293" s="1513"/>
      <c r="CH293" s="1513"/>
      <c r="CI293" s="1513"/>
      <c r="CJ293" s="1513"/>
      <c r="CK293" s="1513"/>
      <c r="CL293" s="1513"/>
      <c r="CM293" s="1513"/>
      <c r="CN293" s="1513"/>
      <c r="CO293" s="1513"/>
      <c r="CP293" s="1513"/>
      <c r="CQ293" s="1513"/>
      <c r="CR293" s="1513"/>
      <c r="CS293" s="1513"/>
      <c r="CT293" s="1513"/>
      <c r="CU293" s="1513"/>
      <c r="CV293" s="1513"/>
      <c r="CW293" s="1513"/>
      <c r="CX293" s="1513"/>
      <c r="CY293" s="1513"/>
      <c r="CZ293" s="1513"/>
      <c r="DA293" s="1513"/>
      <c r="DB293" s="1513"/>
      <c r="DC293" s="1513"/>
      <c r="DD293" s="1513"/>
      <c r="DE293" s="1513"/>
      <c r="DF293" s="1513"/>
      <c r="DG293" s="1513"/>
      <c r="DH293" s="1513"/>
      <c r="DI293" s="1513"/>
      <c r="DJ293" s="1513"/>
      <c r="DK293" s="1513"/>
      <c r="DL293" s="1513"/>
      <c r="DM293" s="1513"/>
      <c r="DN293" s="1513"/>
      <c r="DO293" s="1513"/>
      <c r="DP293" s="1513"/>
      <c r="DQ293" s="1513"/>
      <c r="DR293" s="1513"/>
      <c r="DS293" s="1513"/>
      <c r="DT293" s="1513"/>
      <c r="DU293" s="1513"/>
      <c r="DV293" s="1513"/>
      <c r="DW293" s="1513"/>
      <c r="DX293" s="1513"/>
      <c r="DY293" s="1513"/>
      <c r="DZ293" s="1513"/>
      <c r="EA293" s="1513"/>
      <c r="EB293" s="1513"/>
      <c r="EC293" s="1513"/>
      <c r="ED293" s="1513"/>
      <c r="EE293" s="1513"/>
      <c r="EF293" s="1513"/>
      <c r="EG293" s="1513"/>
      <c r="EH293" s="1513"/>
      <c r="EI293" s="1513"/>
      <c r="EJ293" s="1513"/>
      <c r="EK293" s="1513"/>
      <c r="EL293" s="1513"/>
      <c r="EM293" s="1513"/>
      <c r="EN293" s="1513"/>
      <c r="EO293" s="1513"/>
      <c r="EP293" s="1513"/>
      <c r="EQ293" s="1513"/>
      <c r="ER293" s="1513"/>
      <c r="ES293" s="1513"/>
      <c r="ET293" s="1513"/>
      <c r="EU293" s="1513"/>
      <c r="EV293" s="1513"/>
      <c r="EW293" s="1513"/>
      <c r="EX293" s="1513"/>
      <c r="EY293" s="1513"/>
      <c r="EZ293" s="1513"/>
      <c r="FA293" s="1513"/>
      <c r="FB293" s="1513"/>
      <c r="FC293" s="1513"/>
      <c r="FD293" s="1513"/>
      <c r="FE293" s="1513"/>
      <c r="FF293" s="1513"/>
      <c r="FG293" s="1513"/>
      <c r="FH293" s="1513"/>
      <c r="FI293" s="1513"/>
      <c r="FJ293" s="1513"/>
    </row>
    <row r="294" spans="1:166" ht="17.100000000000001" customHeight="1" x14ac:dyDescent="0.15">
      <c r="A294" s="1513"/>
      <c r="B294" s="1513"/>
      <c r="C294" s="1513"/>
      <c r="D294" s="1513"/>
      <c r="E294" s="1513"/>
      <c r="F294" s="1513"/>
      <c r="G294" s="1513"/>
      <c r="H294" s="1513"/>
      <c r="I294" s="1513"/>
      <c r="J294" s="1513"/>
      <c r="K294" s="1513"/>
      <c r="L294" s="1513"/>
      <c r="M294" s="1513"/>
      <c r="N294" s="1513"/>
      <c r="O294" s="1513"/>
      <c r="P294" s="1513"/>
      <c r="Q294" s="1513"/>
      <c r="R294" s="1513"/>
      <c r="S294" s="1513"/>
      <c r="T294" s="1513"/>
      <c r="U294" s="1513"/>
      <c r="V294" s="1513"/>
      <c r="W294" s="1513"/>
      <c r="X294" s="1513"/>
      <c r="Y294" s="1513"/>
      <c r="Z294" s="1513"/>
      <c r="AA294" s="1513"/>
      <c r="AB294" s="1513"/>
      <c r="AC294" s="1513"/>
      <c r="AD294" s="1513"/>
      <c r="AE294" s="1513"/>
      <c r="AF294" s="1513"/>
      <c r="AG294" s="1513"/>
      <c r="AH294" s="1513"/>
      <c r="AI294" s="1513"/>
      <c r="AJ294" s="1513"/>
      <c r="AK294" s="1513"/>
      <c r="AL294" s="1513"/>
      <c r="AM294" s="1513"/>
      <c r="AN294" s="1513"/>
      <c r="AO294" s="1513"/>
      <c r="AP294" s="1513"/>
      <c r="AQ294" s="1513"/>
      <c r="AR294" s="1513"/>
      <c r="AS294" s="1513"/>
      <c r="AT294" s="1513"/>
      <c r="AU294" s="1513"/>
      <c r="AV294" s="1513"/>
      <c r="AW294" s="1513"/>
      <c r="AX294" s="1513"/>
      <c r="AY294" s="1513"/>
      <c r="AZ294" s="1513"/>
      <c r="BA294" s="1513"/>
      <c r="BB294" s="1513"/>
      <c r="BC294" s="1513"/>
      <c r="BD294" s="1513"/>
      <c r="BE294" s="1513"/>
      <c r="BF294" s="1513"/>
      <c r="BG294" s="1513"/>
      <c r="BH294" s="1513"/>
      <c r="BI294" s="1513"/>
      <c r="BJ294" s="1513"/>
      <c r="BK294" s="1513"/>
      <c r="BL294" s="1513"/>
      <c r="BM294" s="1513"/>
      <c r="BN294" s="1513"/>
      <c r="BO294" s="1513"/>
      <c r="BP294" s="1513"/>
      <c r="BQ294" s="1513"/>
      <c r="BR294" s="1513"/>
      <c r="BS294" s="1513"/>
      <c r="BT294" s="1513"/>
      <c r="BU294" s="1513"/>
      <c r="BV294" s="1513"/>
      <c r="BW294" s="1513"/>
      <c r="BX294" s="1513"/>
      <c r="BY294" s="1513"/>
      <c r="BZ294" s="1513"/>
      <c r="CA294" s="1513"/>
      <c r="CB294" s="1513"/>
      <c r="CC294" s="1513"/>
      <c r="CD294" s="1513"/>
      <c r="CE294" s="1513"/>
      <c r="CF294" s="1513"/>
      <c r="CG294" s="1513"/>
      <c r="CH294" s="1513"/>
      <c r="CI294" s="1513"/>
      <c r="CJ294" s="1513"/>
      <c r="CK294" s="1513"/>
      <c r="CL294" s="1513"/>
      <c r="CM294" s="1513"/>
      <c r="CN294" s="1513"/>
      <c r="CO294" s="1513"/>
      <c r="CP294" s="1513"/>
      <c r="CQ294" s="1513"/>
      <c r="CR294" s="1513"/>
      <c r="CS294" s="1513"/>
      <c r="CT294" s="1513"/>
      <c r="CU294" s="1513"/>
      <c r="CV294" s="1513"/>
      <c r="CW294" s="1513"/>
      <c r="CX294" s="1513"/>
      <c r="CY294" s="1513"/>
      <c r="CZ294" s="1513"/>
      <c r="DA294" s="1513"/>
      <c r="DB294" s="1513"/>
      <c r="DC294" s="1513"/>
      <c r="DD294" s="1513"/>
      <c r="DE294" s="1513"/>
      <c r="DF294" s="1513"/>
      <c r="DG294" s="1513"/>
      <c r="DH294" s="1513"/>
      <c r="DI294" s="1513"/>
      <c r="DJ294" s="1513"/>
      <c r="DK294" s="1513"/>
      <c r="DL294" s="1513"/>
      <c r="DM294" s="1513"/>
      <c r="DN294" s="1513"/>
      <c r="DO294" s="1513"/>
      <c r="DP294" s="1513"/>
      <c r="DQ294" s="1513"/>
      <c r="DR294" s="1513"/>
      <c r="DS294" s="1513"/>
      <c r="DT294" s="1513"/>
      <c r="DU294" s="1513"/>
      <c r="DV294" s="1513"/>
      <c r="DW294" s="1513"/>
      <c r="DX294" s="1513"/>
      <c r="DY294" s="1513"/>
      <c r="DZ294" s="1513"/>
      <c r="EA294" s="1513"/>
      <c r="EB294" s="1513"/>
      <c r="EC294" s="1513"/>
      <c r="ED294" s="1513"/>
      <c r="EE294" s="1513"/>
      <c r="EF294" s="1513"/>
      <c r="EG294" s="1513"/>
      <c r="EH294" s="1513"/>
      <c r="EI294" s="1513"/>
      <c r="EJ294" s="1513"/>
      <c r="EK294" s="1513"/>
      <c r="EL294" s="1513"/>
      <c r="EM294" s="1513"/>
      <c r="EN294" s="1513"/>
      <c r="EO294" s="1513"/>
      <c r="EP294" s="1513"/>
      <c r="EQ294" s="1513"/>
      <c r="ER294" s="1513"/>
      <c r="ES294" s="1513"/>
      <c r="ET294" s="1513"/>
      <c r="EU294" s="1513"/>
      <c r="EV294" s="1513"/>
      <c r="EW294" s="1513"/>
      <c r="EX294" s="1513"/>
      <c r="EY294" s="1513"/>
      <c r="EZ294" s="1513"/>
      <c r="FA294" s="1513"/>
      <c r="FB294" s="1513"/>
      <c r="FC294" s="1513"/>
      <c r="FD294" s="1513"/>
      <c r="FE294" s="1513"/>
      <c r="FF294" s="1513"/>
      <c r="FG294" s="1513"/>
      <c r="FH294" s="1513"/>
      <c r="FI294" s="1513"/>
      <c r="FJ294" s="1513"/>
    </row>
    <row r="295" spans="1:166" ht="17.100000000000001" customHeight="1" x14ac:dyDescent="0.15">
      <c r="A295" s="1513"/>
      <c r="B295" s="1513"/>
      <c r="C295" s="1513"/>
      <c r="D295" s="1513"/>
      <c r="E295" s="1513"/>
      <c r="F295" s="1513"/>
      <c r="G295" s="1513"/>
      <c r="H295" s="1513"/>
      <c r="I295" s="1513"/>
      <c r="J295" s="1513"/>
      <c r="K295" s="1513"/>
      <c r="L295" s="1513"/>
      <c r="M295" s="1513"/>
      <c r="N295" s="1513"/>
      <c r="O295" s="1513"/>
      <c r="P295" s="1513"/>
      <c r="Q295" s="1513"/>
      <c r="R295" s="1513"/>
      <c r="S295" s="1513"/>
      <c r="T295" s="1513"/>
      <c r="U295" s="1513"/>
      <c r="V295" s="1513"/>
      <c r="W295" s="1513"/>
      <c r="X295" s="1513"/>
      <c r="Y295" s="1513"/>
      <c r="Z295" s="1513"/>
      <c r="AA295" s="1513"/>
      <c r="AB295" s="1513"/>
      <c r="AC295" s="1513"/>
      <c r="AD295" s="1513"/>
      <c r="AE295" s="1513"/>
      <c r="AF295" s="1513"/>
      <c r="AG295" s="1513"/>
      <c r="AH295" s="1513"/>
      <c r="AI295" s="1513"/>
      <c r="AJ295" s="1513"/>
      <c r="AK295" s="1513"/>
      <c r="AL295" s="1513"/>
      <c r="AM295" s="1513"/>
      <c r="AN295" s="1513"/>
      <c r="AO295" s="1513"/>
      <c r="AP295" s="1513"/>
      <c r="AQ295" s="1513"/>
      <c r="AR295" s="1513"/>
      <c r="AS295" s="1513"/>
      <c r="AT295" s="1513"/>
      <c r="AU295" s="1513"/>
      <c r="AV295" s="1513"/>
      <c r="AW295" s="1513"/>
      <c r="AX295" s="1513"/>
      <c r="AY295" s="1513"/>
      <c r="AZ295" s="1513"/>
      <c r="BA295" s="1513"/>
      <c r="BB295" s="1513"/>
      <c r="BC295" s="1513"/>
      <c r="BD295" s="1513"/>
      <c r="BE295" s="1513"/>
      <c r="BF295" s="1513"/>
      <c r="BG295" s="1513"/>
      <c r="BH295" s="1513"/>
      <c r="BI295" s="1513"/>
      <c r="BJ295" s="1513"/>
      <c r="BK295" s="1513"/>
      <c r="BL295" s="1513"/>
      <c r="BM295" s="1513"/>
      <c r="BN295" s="1513"/>
      <c r="BO295" s="1513"/>
      <c r="BP295" s="1513"/>
      <c r="BQ295" s="1513"/>
      <c r="BR295" s="1513"/>
      <c r="BS295" s="1513"/>
      <c r="BT295" s="1513"/>
      <c r="BU295" s="1513"/>
      <c r="BV295" s="1513"/>
      <c r="BW295" s="1513"/>
      <c r="BX295" s="1513"/>
      <c r="BY295" s="1513"/>
      <c r="BZ295" s="1513"/>
      <c r="CA295" s="1513"/>
      <c r="CB295" s="1513"/>
      <c r="CC295" s="1513"/>
      <c r="CD295" s="1513"/>
      <c r="CE295" s="1513"/>
      <c r="CF295" s="1513"/>
      <c r="CG295" s="1513"/>
      <c r="CH295" s="1513"/>
      <c r="CI295" s="1513"/>
      <c r="CJ295" s="1513"/>
      <c r="CK295" s="1513"/>
      <c r="CL295" s="1513"/>
      <c r="CM295" s="1513"/>
      <c r="CN295" s="1513"/>
      <c r="CO295" s="1513"/>
      <c r="CP295" s="1513"/>
      <c r="CQ295" s="1513"/>
      <c r="CR295" s="1513"/>
      <c r="CS295" s="1513"/>
      <c r="CT295" s="1513"/>
      <c r="CU295" s="1513"/>
      <c r="CV295" s="1513"/>
      <c r="CW295" s="1513"/>
      <c r="CX295" s="1513"/>
      <c r="CY295" s="1513"/>
      <c r="CZ295" s="1513"/>
      <c r="DA295" s="1513"/>
      <c r="DB295" s="1513"/>
      <c r="DC295" s="1513"/>
      <c r="DD295" s="1513"/>
      <c r="DE295" s="1513"/>
      <c r="DF295" s="1513"/>
      <c r="DG295" s="1513"/>
      <c r="DH295" s="1513"/>
      <c r="DI295" s="1513"/>
      <c r="DJ295" s="1513"/>
      <c r="DK295" s="1513"/>
      <c r="DL295" s="1513"/>
      <c r="DM295" s="1513"/>
      <c r="DN295" s="1513"/>
      <c r="DO295" s="1513"/>
      <c r="DP295" s="1513"/>
      <c r="DQ295" s="1513"/>
      <c r="DR295" s="1513"/>
      <c r="DS295" s="1513"/>
      <c r="DT295" s="1513"/>
      <c r="DU295" s="1513"/>
      <c r="DV295" s="1513"/>
      <c r="DW295" s="1513"/>
      <c r="DX295" s="1513"/>
      <c r="DY295" s="1513"/>
      <c r="DZ295" s="1513"/>
      <c r="EA295" s="1513"/>
      <c r="EB295" s="1513"/>
      <c r="EC295" s="1513"/>
      <c r="ED295" s="1513"/>
      <c r="EE295" s="1513"/>
      <c r="EF295" s="1513"/>
      <c r="EG295" s="1513"/>
      <c r="EH295" s="1513"/>
      <c r="EI295" s="1513"/>
      <c r="EJ295" s="1513"/>
      <c r="EK295" s="1513"/>
      <c r="EL295" s="1513"/>
      <c r="EM295" s="1513"/>
      <c r="EN295" s="1513"/>
      <c r="EO295" s="1513"/>
      <c r="EP295" s="1513"/>
      <c r="EQ295" s="1513"/>
      <c r="ER295" s="1513"/>
      <c r="ES295" s="1513"/>
      <c r="ET295" s="1513"/>
      <c r="EU295" s="1513"/>
      <c r="EV295" s="1513"/>
      <c r="EW295" s="1513"/>
      <c r="EX295" s="1513"/>
      <c r="EY295" s="1513"/>
      <c r="EZ295" s="1513"/>
      <c r="FA295" s="1513"/>
      <c r="FB295" s="1513"/>
      <c r="FC295" s="1513"/>
      <c r="FD295" s="1513"/>
      <c r="FE295" s="1513"/>
      <c r="FF295" s="1513"/>
      <c r="FG295" s="1513"/>
      <c r="FH295" s="1513"/>
      <c r="FI295" s="1513"/>
      <c r="FJ295" s="1513"/>
    </row>
    <row r="296" spans="1:166" ht="17.100000000000001" customHeight="1" x14ac:dyDescent="0.15">
      <c r="A296" s="1513"/>
      <c r="B296" s="1513"/>
      <c r="C296" s="1513"/>
      <c r="D296" s="1513"/>
      <c r="E296" s="1513"/>
      <c r="F296" s="1513"/>
      <c r="G296" s="1513"/>
      <c r="H296" s="1513"/>
      <c r="I296" s="1513"/>
      <c r="J296" s="1513"/>
      <c r="K296" s="1513"/>
      <c r="L296" s="1513"/>
      <c r="M296" s="1513"/>
      <c r="N296" s="1513"/>
      <c r="O296" s="1513"/>
      <c r="P296" s="1513"/>
      <c r="Q296" s="1513"/>
      <c r="R296" s="1513"/>
      <c r="S296" s="1513"/>
      <c r="T296" s="1513"/>
      <c r="U296" s="1513"/>
      <c r="V296" s="1513"/>
      <c r="W296" s="1513"/>
      <c r="X296" s="1513"/>
      <c r="Y296" s="1513"/>
      <c r="Z296" s="1513"/>
      <c r="AA296" s="1513"/>
      <c r="AB296" s="1513"/>
      <c r="AC296" s="1513"/>
      <c r="AD296" s="1513"/>
      <c r="AE296" s="1513"/>
      <c r="AF296" s="1513"/>
      <c r="AG296" s="1513"/>
      <c r="AH296" s="1513"/>
      <c r="AI296" s="1513"/>
      <c r="AJ296" s="1513"/>
      <c r="AK296" s="1513"/>
      <c r="AL296" s="1513"/>
      <c r="AM296" s="1513"/>
      <c r="AN296" s="1513"/>
      <c r="AO296" s="1513"/>
      <c r="AP296" s="1513"/>
      <c r="AQ296" s="1513"/>
      <c r="AR296" s="1513"/>
      <c r="AS296" s="1513"/>
      <c r="AT296" s="1513"/>
      <c r="AU296" s="1513"/>
      <c r="AV296" s="1513"/>
      <c r="AW296" s="1513"/>
      <c r="AX296" s="1513"/>
      <c r="AY296" s="1513"/>
      <c r="AZ296" s="1513"/>
      <c r="BA296" s="1513"/>
      <c r="BB296" s="1513"/>
      <c r="BC296" s="1513"/>
      <c r="BD296" s="1513"/>
      <c r="BE296" s="1513"/>
      <c r="BF296" s="1513"/>
      <c r="BG296" s="1513"/>
      <c r="BH296" s="1513"/>
      <c r="BI296" s="1513"/>
      <c r="BJ296" s="1513"/>
      <c r="BK296" s="1513"/>
      <c r="BL296" s="1513"/>
      <c r="BM296" s="1513"/>
      <c r="BN296" s="1513"/>
      <c r="BO296" s="1513"/>
      <c r="BP296" s="1513"/>
      <c r="BQ296" s="1513"/>
      <c r="BR296" s="1513"/>
      <c r="BS296" s="1513"/>
      <c r="BT296" s="1513"/>
      <c r="BU296" s="1513"/>
      <c r="BV296" s="1513"/>
      <c r="BW296" s="1513"/>
      <c r="BX296" s="1513"/>
      <c r="BY296" s="1513"/>
      <c r="BZ296" s="1513"/>
      <c r="CA296" s="1513"/>
      <c r="CB296" s="1513"/>
      <c r="CC296" s="1513"/>
      <c r="CD296" s="1513"/>
      <c r="CE296" s="1513"/>
      <c r="CF296" s="1513"/>
      <c r="CG296" s="1513"/>
      <c r="CH296" s="1513"/>
      <c r="CI296" s="1513"/>
      <c r="CJ296" s="1513"/>
      <c r="CK296" s="1513"/>
      <c r="CL296" s="1513"/>
      <c r="CM296" s="1513"/>
      <c r="CN296" s="1513"/>
      <c r="CO296" s="1513"/>
      <c r="CP296" s="1513"/>
      <c r="CQ296" s="1513"/>
      <c r="CR296" s="1513"/>
      <c r="CS296" s="1513"/>
      <c r="CT296" s="1513"/>
      <c r="CU296" s="1513"/>
      <c r="CV296" s="1513"/>
      <c r="CW296" s="1513"/>
      <c r="CX296" s="1513"/>
      <c r="CY296" s="1513"/>
      <c r="CZ296" s="1513"/>
      <c r="DA296" s="1513"/>
      <c r="DB296" s="1513"/>
      <c r="DC296" s="1513"/>
      <c r="DD296" s="1513"/>
      <c r="DE296" s="1513"/>
      <c r="DF296" s="1513"/>
      <c r="DG296" s="1513"/>
      <c r="DH296" s="1513"/>
      <c r="DI296" s="1513"/>
      <c r="DJ296" s="1513"/>
      <c r="DK296" s="1513"/>
      <c r="DL296" s="1513"/>
      <c r="DM296" s="1513"/>
      <c r="DN296" s="1513"/>
      <c r="DO296" s="1513"/>
      <c r="DP296" s="1513"/>
      <c r="DQ296" s="1513"/>
      <c r="DR296" s="1513"/>
      <c r="DS296" s="1513"/>
      <c r="DT296" s="1513"/>
      <c r="DU296" s="1513"/>
      <c r="DV296" s="1513"/>
      <c r="DW296" s="1513"/>
      <c r="DX296" s="1513"/>
      <c r="DY296" s="1513"/>
      <c r="DZ296" s="1513"/>
      <c r="EA296" s="1513"/>
      <c r="EB296" s="1513"/>
      <c r="EC296" s="1513"/>
      <c r="ED296" s="1513"/>
      <c r="EE296" s="1513"/>
      <c r="EF296" s="1513"/>
      <c r="EG296" s="1513"/>
      <c r="EH296" s="1513"/>
      <c r="EI296" s="1513"/>
      <c r="EJ296" s="1513"/>
      <c r="EK296" s="1513"/>
      <c r="EL296" s="1513"/>
      <c r="EM296" s="1513"/>
      <c r="EN296" s="1513"/>
      <c r="EO296" s="1513"/>
      <c r="EP296" s="1513"/>
      <c r="EQ296" s="1513"/>
      <c r="ER296" s="1513"/>
      <c r="ES296" s="1513"/>
      <c r="ET296" s="1513"/>
      <c r="EU296" s="1513"/>
      <c r="EV296" s="1513"/>
      <c r="EW296" s="1513"/>
      <c r="EX296" s="1513"/>
      <c r="EY296" s="1513"/>
      <c r="EZ296" s="1513"/>
      <c r="FA296" s="1513"/>
      <c r="FB296" s="1513"/>
      <c r="FC296" s="1513"/>
      <c r="FD296" s="1513"/>
      <c r="FE296" s="1513"/>
      <c r="FF296" s="1513"/>
      <c r="FG296" s="1513"/>
      <c r="FH296" s="1513"/>
      <c r="FI296" s="1513"/>
      <c r="FJ296" s="1513"/>
    </row>
    <row r="297" spans="1:166" ht="17.100000000000001" customHeight="1" x14ac:dyDescent="0.15">
      <c r="A297" s="1513"/>
      <c r="B297" s="1513"/>
      <c r="C297" s="1513"/>
      <c r="D297" s="1513"/>
      <c r="E297" s="1513"/>
      <c r="F297" s="1513"/>
      <c r="G297" s="1513"/>
      <c r="H297" s="1513"/>
      <c r="I297" s="1513"/>
      <c r="J297" s="1513"/>
      <c r="K297" s="1513"/>
      <c r="L297" s="1513"/>
      <c r="M297" s="1513"/>
      <c r="N297" s="1513"/>
      <c r="O297" s="1513"/>
      <c r="P297" s="1513"/>
      <c r="Q297" s="1513"/>
      <c r="R297" s="1513"/>
      <c r="S297" s="1513"/>
      <c r="T297" s="1513"/>
      <c r="U297" s="1513"/>
      <c r="V297" s="1513"/>
      <c r="W297" s="1513"/>
      <c r="X297" s="1513"/>
      <c r="Y297" s="1513"/>
      <c r="Z297" s="1513"/>
      <c r="AA297" s="1513"/>
      <c r="AB297" s="1513"/>
      <c r="AC297" s="1513"/>
      <c r="AD297" s="1513"/>
      <c r="AE297" s="1513"/>
      <c r="AF297" s="1513"/>
      <c r="AG297" s="1513"/>
      <c r="AH297" s="1513"/>
      <c r="AI297" s="1513"/>
      <c r="AJ297" s="1513"/>
      <c r="AK297" s="1513"/>
      <c r="AL297" s="1513"/>
      <c r="AM297" s="1513"/>
      <c r="AN297" s="1513"/>
      <c r="AO297" s="1513"/>
      <c r="AP297" s="1513"/>
      <c r="AQ297" s="1513"/>
      <c r="AR297" s="1513"/>
      <c r="AS297" s="1513"/>
      <c r="AT297" s="1513"/>
      <c r="AU297" s="1513"/>
      <c r="AV297" s="1513"/>
      <c r="AW297" s="1513"/>
      <c r="AX297" s="1513"/>
      <c r="AY297" s="1513"/>
      <c r="AZ297" s="1513"/>
      <c r="BA297" s="1513"/>
      <c r="BB297" s="1513"/>
      <c r="BC297" s="1513"/>
      <c r="BD297" s="1513"/>
      <c r="BE297" s="1513"/>
      <c r="BF297" s="1513"/>
      <c r="BG297" s="1513"/>
      <c r="BH297" s="1513"/>
      <c r="BI297" s="1513"/>
      <c r="BJ297" s="1513"/>
      <c r="BK297" s="1513"/>
      <c r="BL297" s="1513"/>
      <c r="BM297" s="1513"/>
      <c r="BN297" s="1513"/>
      <c r="BO297" s="1513"/>
      <c r="BP297" s="1513"/>
      <c r="BQ297" s="1513"/>
      <c r="BR297" s="1513"/>
      <c r="BS297" s="1513"/>
      <c r="BT297" s="1513"/>
      <c r="BU297" s="1513"/>
      <c r="BV297" s="1513"/>
      <c r="BW297" s="1513"/>
      <c r="BX297" s="1513"/>
      <c r="BY297" s="1513"/>
      <c r="BZ297" s="1513"/>
      <c r="CA297" s="1513"/>
      <c r="CB297" s="1513"/>
      <c r="CC297" s="1513"/>
      <c r="CD297" s="1513"/>
      <c r="CE297" s="1513"/>
      <c r="CF297" s="1513"/>
      <c r="CG297" s="1513"/>
      <c r="CH297" s="1513"/>
      <c r="CI297" s="1513"/>
      <c r="CJ297" s="1513"/>
      <c r="CK297" s="1513"/>
      <c r="CL297" s="1513"/>
      <c r="CM297" s="1513"/>
      <c r="CN297" s="1513"/>
      <c r="CO297" s="1513"/>
      <c r="CP297" s="1513"/>
      <c r="CQ297" s="1513"/>
      <c r="CR297" s="1513"/>
      <c r="CS297" s="1513"/>
      <c r="CT297" s="1513"/>
      <c r="CU297" s="1513"/>
      <c r="CV297" s="1513"/>
      <c r="CW297" s="1513"/>
      <c r="CX297" s="1513"/>
      <c r="CY297" s="1513"/>
      <c r="CZ297" s="1513"/>
      <c r="DA297" s="1513"/>
      <c r="DB297" s="1513"/>
      <c r="DC297" s="1513"/>
      <c r="DD297" s="1513"/>
      <c r="DE297" s="1513"/>
      <c r="DF297" s="1513"/>
      <c r="DG297" s="1513"/>
      <c r="DH297" s="1513"/>
      <c r="DI297" s="1513"/>
      <c r="DJ297" s="1513"/>
      <c r="DK297" s="1513"/>
      <c r="DL297" s="1513"/>
      <c r="DM297" s="1513"/>
      <c r="DN297" s="1513"/>
      <c r="DO297" s="1513"/>
      <c r="DP297" s="1513"/>
      <c r="DQ297" s="1513"/>
      <c r="DR297" s="1513"/>
      <c r="DS297" s="1513"/>
      <c r="DT297" s="1513"/>
      <c r="DU297" s="1513"/>
      <c r="DV297" s="1513"/>
      <c r="DW297" s="1513"/>
      <c r="DX297" s="1513"/>
      <c r="DY297" s="1513"/>
      <c r="DZ297" s="1513"/>
      <c r="EA297" s="1513"/>
      <c r="EB297" s="1513"/>
      <c r="EC297" s="1513"/>
      <c r="ED297" s="1513"/>
      <c r="EE297" s="1513"/>
      <c r="EF297" s="1513"/>
      <c r="EG297" s="1513"/>
      <c r="EH297" s="1513"/>
      <c r="EI297" s="1513"/>
      <c r="EJ297" s="1513"/>
      <c r="EK297" s="1513"/>
      <c r="EL297" s="1513"/>
      <c r="EM297" s="1513"/>
      <c r="EN297" s="1513"/>
      <c r="EO297" s="1513"/>
      <c r="EP297" s="1513"/>
      <c r="EQ297" s="1513"/>
      <c r="ER297" s="1513"/>
      <c r="ES297" s="1513"/>
      <c r="ET297" s="1513"/>
      <c r="EU297" s="1513"/>
      <c r="EV297" s="1513"/>
      <c r="EW297" s="1513"/>
      <c r="EX297" s="1513"/>
      <c r="EY297" s="1513"/>
      <c r="EZ297" s="1513"/>
      <c r="FA297" s="1513"/>
      <c r="FB297" s="1513"/>
      <c r="FC297" s="1513"/>
      <c r="FD297" s="1513"/>
      <c r="FE297" s="1513"/>
      <c r="FF297" s="1513"/>
      <c r="FG297" s="1513"/>
      <c r="FH297" s="1513"/>
      <c r="FI297" s="1513"/>
      <c r="FJ297" s="1513"/>
    </row>
    <row r="298" spans="1:166" ht="17.100000000000001" customHeight="1" x14ac:dyDescent="0.15">
      <c r="A298" s="1513"/>
      <c r="B298" s="1513"/>
      <c r="C298" s="1513"/>
      <c r="D298" s="1513"/>
      <c r="E298" s="1513"/>
      <c r="F298" s="1513"/>
      <c r="G298" s="1513"/>
      <c r="H298" s="1513"/>
      <c r="I298" s="1513"/>
      <c r="J298" s="1513"/>
      <c r="K298" s="1513"/>
      <c r="L298" s="1513"/>
      <c r="M298" s="1513"/>
      <c r="N298" s="1513"/>
      <c r="O298" s="1513"/>
      <c r="P298" s="1513"/>
      <c r="Q298" s="1513"/>
      <c r="R298" s="1513"/>
      <c r="S298" s="1513"/>
      <c r="T298" s="1513"/>
      <c r="U298" s="1513"/>
      <c r="V298" s="1513"/>
      <c r="W298" s="1513"/>
      <c r="X298" s="1513"/>
      <c r="Y298" s="1513"/>
      <c r="Z298" s="1513"/>
      <c r="AA298" s="1513"/>
      <c r="AB298" s="1513"/>
      <c r="AC298" s="1513"/>
      <c r="AD298" s="1513"/>
      <c r="AE298" s="1513"/>
      <c r="AF298" s="1513"/>
      <c r="AG298" s="1513"/>
      <c r="AH298" s="1513"/>
      <c r="AI298" s="1513"/>
      <c r="AJ298" s="1513"/>
      <c r="AK298" s="1513"/>
      <c r="AL298" s="1513"/>
      <c r="AM298" s="1513"/>
      <c r="AN298" s="1513"/>
      <c r="AO298" s="1513"/>
      <c r="AP298" s="1513"/>
      <c r="AQ298" s="1513"/>
      <c r="AR298" s="1513"/>
      <c r="AS298" s="1513"/>
      <c r="AT298" s="1513"/>
      <c r="AU298" s="1513"/>
      <c r="AV298" s="1513"/>
      <c r="AW298" s="1513"/>
      <c r="AX298" s="1513"/>
      <c r="AY298" s="1513"/>
      <c r="AZ298" s="1513"/>
      <c r="BA298" s="1513"/>
      <c r="BB298" s="1513"/>
      <c r="BC298" s="1513"/>
      <c r="BD298" s="1513"/>
      <c r="BE298" s="1513"/>
      <c r="BF298" s="1513"/>
      <c r="BG298" s="1513"/>
      <c r="BH298" s="1513"/>
      <c r="BI298" s="1513"/>
      <c r="BJ298" s="1513"/>
      <c r="BK298" s="1513"/>
      <c r="BL298" s="1513"/>
      <c r="BM298" s="1513"/>
      <c r="BN298" s="1513"/>
      <c r="BO298" s="1513"/>
      <c r="BP298" s="1513"/>
      <c r="BQ298" s="1513"/>
      <c r="BR298" s="1513"/>
      <c r="BS298" s="1513"/>
      <c r="BT298" s="1513"/>
      <c r="BU298" s="1513"/>
      <c r="BV298" s="1513"/>
      <c r="BW298" s="1513"/>
      <c r="BX298" s="1513"/>
      <c r="BY298" s="1513"/>
      <c r="BZ298" s="1513"/>
      <c r="CA298" s="1513"/>
      <c r="CB298" s="1513"/>
      <c r="CC298" s="1513"/>
      <c r="CD298" s="1513"/>
      <c r="CE298" s="1513"/>
      <c r="CF298" s="1513"/>
      <c r="CG298" s="1513"/>
      <c r="CH298" s="1513"/>
      <c r="CI298" s="1513"/>
      <c r="CJ298" s="1513"/>
      <c r="CK298" s="1513"/>
      <c r="CL298" s="1513"/>
      <c r="CM298" s="1513"/>
      <c r="CN298" s="1513"/>
      <c r="CO298" s="1513"/>
      <c r="CP298" s="1513"/>
      <c r="CQ298" s="1513"/>
      <c r="CR298" s="1513"/>
      <c r="CS298" s="1513"/>
      <c r="CT298" s="1513"/>
      <c r="CU298" s="1513"/>
      <c r="CV298" s="1513"/>
      <c r="CW298" s="1513"/>
      <c r="CX298" s="1513"/>
      <c r="CY298" s="1513"/>
      <c r="CZ298" s="1513"/>
      <c r="DA298" s="1513"/>
      <c r="DB298" s="1513"/>
      <c r="DC298" s="1513"/>
      <c r="DD298" s="1513"/>
      <c r="DE298" s="1513"/>
      <c r="DF298" s="1513"/>
      <c r="DG298" s="1513"/>
      <c r="DH298" s="1513"/>
      <c r="DI298" s="1513"/>
      <c r="DJ298" s="1513"/>
      <c r="DK298" s="1513"/>
      <c r="DL298" s="1513"/>
      <c r="DM298" s="1513"/>
      <c r="DN298" s="1513"/>
      <c r="DO298" s="1513"/>
      <c r="DP298" s="1513"/>
      <c r="DQ298" s="1513"/>
      <c r="DR298" s="1513"/>
      <c r="DS298" s="1513"/>
      <c r="DT298" s="1513"/>
      <c r="DU298" s="1513"/>
      <c r="DV298" s="1513"/>
      <c r="DW298" s="1513"/>
      <c r="DX298" s="1513"/>
      <c r="DY298" s="1513"/>
      <c r="DZ298" s="1513"/>
      <c r="EA298" s="1513"/>
      <c r="EB298" s="1513"/>
      <c r="EC298" s="1513"/>
      <c r="ED298" s="1513"/>
      <c r="EE298" s="1513"/>
      <c r="EF298" s="1513"/>
      <c r="EG298" s="1513"/>
      <c r="EH298" s="1513"/>
      <c r="EI298" s="1513"/>
      <c r="EJ298" s="1513"/>
      <c r="EK298" s="1513"/>
      <c r="EL298" s="1513"/>
      <c r="EM298" s="1513"/>
      <c r="EN298" s="1513"/>
      <c r="EO298" s="1513"/>
      <c r="EP298" s="1513"/>
      <c r="EQ298" s="1513"/>
      <c r="ER298" s="1513"/>
      <c r="ES298" s="1513"/>
      <c r="ET298" s="1513"/>
      <c r="EU298" s="1513"/>
      <c r="EV298" s="1513"/>
      <c r="EW298" s="1513"/>
      <c r="EX298" s="1513"/>
      <c r="EY298" s="1513"/>
      <c r="EZ298" s="1513"/>
      <c r="FA298" s="1513"/>
      <c r="FB298" s="1513"/>
      <c r="FC298" s="1513"/>
      <c r="FD298" s="1513"/>
      <c r="FE298" s="1513"/>
      <c r="FF298" s="1513"/>
      <c r="FG298" s="1513"/>
      <c r="FH298" s="1513"/>
      <c r="FI298" s="1513"/>
      <c r="FJ298" s="1513"/>
    </row>
    <row r="299" spans="1:166" ht="17.100000000000001" customHeight="1" x14ac:dyDescent="0.15">
      <c r="A299" s="1513"/>
      <c r="B299" s="1513"/>
      <c r="C299" s="1513"/>
      <c r="D299" s="1513"/>
      <c r="E299" s="1513"/>
      <c r="F299" s="1513"/>
      <c r="G299" s="1513"/>
      <c r="H299" s="1513"/>
      <c r="I299" s="1513"/>
      <c r="J299" s="1513"/>
      <c r="K299" s="1513"/>
      <c r="L299" s="1513"/>
      <c r="M299" s="1513"/>
      <c r="N299" s="1513"/>
      <c r="O299" s="1513"/>
      <c r="P299" s="1513"/>
      <c r="Q299" s="1513"/>
      <c r="R299" s="1513"/>
      <c r="S299" s="1513"/>
      <c r="T299" s="1513"/>
      <c r="U299" s="1513"/>
      <c r="V299" s="1513"/>
      <c r="W299" s="1513"/>
      <c r="X299" s="1513"/>
      <c r="Y299" s="1513"/>
      <c r="Z299" s="1513"/>
      <c r="AA299" s="1513"/>
      <c r="AB299" s="1513"/>
      <c r="AC299" s="1513"/>
      <c r="AD299" s="1513"/>
      <c r="AE299" s="1513"/>
      <c r="AF299" s="1513"/>
      <c r="AG299" s="1513"/>
      <c r="AH299" s="1513"/>
      <c r="AI299" s="1513"/>
      <c r="AJ299" s="1513"/>
      <c r="AK299" s="1513"/>
      <c r="AL299" s="1513"/>
      <c r="AM299" s="1513"/>
      <c r="AN299" s="1513"/>
      <c r="AO299" s="1513"/>
      <c r="AP299" s="1513"/>
      <c r="AQ299" s="1513"/>
      <c r="AR299" s="1513"/>
      <c r="AS299" s="1513"/>
      <c r="AT299" s="1513"/>
      <c r="AU299" s="1513"/>
      <c r="AV299" s="1513"/>
      <c r="AW299" s="1513"/>
      <c r="AX299" s="1513"/>
      <c r="AY299" s="1513"/>
      <c r="AZ299" s="1513"/>
      <c r="BA299" s="1513"/>
      <c r="BB299" s="1513"/>
      <c r="BC299" s="1513"/>
      <c r="BD299" s="1513"/>
      <c r="BE299" s="1513"/>
      <c r="BF299" s="1513"/>
      <c r="BG299" s="1513"/>
      <c r="BH299" s="1513"/>
      <c r="BI299" s="1513"/>
      <c r="BJ299" s="1513"/>
      <c r="BK299" s="1513"/>
      <c r="BL299" s="1513"/>
      <c r="BM299" s="1513"/>
      <c r="BN299" s="1513"/>
      <c r="BO299" s="1513"/>
      <c r="BP299" s="1513"/>
      <c r="BQ299" s="1513"/>
      <c r="BR299" s="1513"/>
      <c r="BS299" s="1513"/>
      <c r="BT299" s="1513"/>
      <c r="BU299" s="1513"/>
      <c r="BV299" s="1513"/>
      <c r="BW299" s="1513"/>
      <c r="BX299" s="1513"/>
      <c r="BY299" s="1513"/>
      <c r="BZ299" s="1513"/>
      <c r="CA299" s="1513"/>
      <c r="CB299" s="1513"/>
      <c r="CC299" s="1513"/>
      <c r="CD299" s="1513"/>
      <c r="CE299" s="1513"/>
      <c r="CF299" s="1513"/>
      <c r="CG299" s="1513"/>
      <c r="CH299" s="1513"/>
      <c r="CI299" s="1513"/>
      <c r="CJ299" s="1513"/>
      <c r="CK299" s="1513"/>
      <c r="CL299" s="1513"/>
      <c r="CM299" s="1513"/>
      <c r="CN299" s="1513"/>
      <c r="CO299" s="1513"/>
      <c r="CP299" s="1513"/>
      <c r="CQ299" s="1513"/>
      <c r="CR299" s="1513"/>
      <c r="CS299" s="1513"/>
      <c r="CT299" s="1513"/>
      <c r="CU299" s="1513"/>
      <c r="CV299" s="1513"/>
      <c r="CW299" s="1513"/>
      <c r="CX299" s="1513"/>
      <c r="CY299" s="1513"/>
      <c r="CZ299" s="1513"/>
      <c r="DA299" s="1513"/>
      <c r="DB299" s="1513"/>
      <c r="DC299" s="1513"/>
      <c r="DD299" s="1513"/>
      <c r="DE299" s="1513"/>
      <c r="DF299" s="1513"/>
      <c r="DG299" s="1513"/>
      <c r="DH299" s="1513"/>
      <c r="DI299" s="1513"/>
      <c r="DJ299" s="1513"/>
      <c r="DK299" s="1513"/>
      <c r="DL299" s="1513"/>
      <c r="DM299" s="1513"/>
      <c r="DN299" s="1513"/>
      <c r="DO299" s="1513"/>
      <c r="DP299" s="1513"/>
      <c r="DQ299" s="1513"/>
      <c r="DR299" s="1513"/>
      <c r="DS299" s="1513"/>
      <c r="DT299" s="1513"/>
      <c r="DU299" s="1513"/>
      <c r="DV299" s="1513"/>
      <c r="DW299" s="1513"/>
      <c r="DX299" s="1513"/>
      <c r="DY299" s="1513"/>
      <c r="DZ299" s="1513"/>
      <c r="EA299" s="1513"/>
      <c r="EB299" s="1513"/>
      <c r="EC299" s="1513"/>
      <c r="ED299" s="1513"/>
      <c r="EE299" s="1513"/>
      <c r="EF299" s="1513"/>
      <c r="EG299" s="1513"/>
      <c r="EH299" s="1513"/>
      <c r="EI299" s="1513"/>
      <c r="EJ299" s="1513"/>
      <c r="EK299" s="1513"/>
      <c r="EL299" s="1513"/>
      <c r="EM299" s="1513"/>
      <c r="EN299" s="1513"/>
      <c r="EO299" s="1513"/>
      <c r="EP299" s="1513"/>
      <c r="EQ299" s="1513"/>
      <c r="ER299" s="1513"/>
      <c r="ES299" s="1513"/>
      <c r="ET299" s="1513"/>
      <c r="EU299" s="1513"/>
      <c r="EV299" s="1513"/>
      <c r="EW299" s="1513"/>
      <c r="EX299" s="1513"/>
      <c r="EY299" s="1513"/>
      <c r="EZ299" s="1513"/>
      <c r="FA299" s="1513"/>
      <c r="FB299" s="1513"/>
      <c r="FC299" s="1513"/>
      <c r="FD299" s="1513"/>
      <c r="FE299" s="1513"/>
      <c r="FF299" s="1513"/>
      <c r="FG299" s="1513"/>
      <c r="FH299" s="1513"/>
      <c r="FI299" s="1513"/>
      <c r="FJ299" s="1513"/>
    </row>
    <row r="300" spans="1:166" ht="17.100000000000001" customHeight="1" x14ac:dyDescent="0.15">
      <c r="A300" s="1513"/>
      <c r="B300" s="1513"/>
      <c r="C300" s="1513"/>
      <c r="D300" s="1513"/>
      <c r="E300" s="1513"/>
      <c r="F300" s="1513"/>
      <c r="G300" s="1513"/>
      <c r="H300" s="1513"/>
      <c r="I300" s="1513"/>
      <c r="J300" s="1513"/>
      <c r="K300" s="1513"/>
      <c r="L300" s="1513"/>
      <c r="M300" s="1513"/>
      <c r="N300" s="1513"/>
      <c r="O300" s="1513"/>
      <c r="P300" s="1513"/>
      <c r="Q300" s="1513"/>
      <c r="R300" s="1513"/>
      <c r="S300" s="1513"/>
      <c r="T300" s="1513"/>
      <c r="U300" s="1513"/>
      <c r="V300" s="1513"/>
      <c r="W300" s="1513"/>
      <c r="X300" s="1513"/>
      <c r="Y300" s="1513"/>
      <c r="Z300" s="1513"/>
      <c r="AA300" s="1513"/>
      <c r="AB300" s="1513"/>
      <c r="AC300" s="1513"/>
      <c r="AD300" s="1513"/>
      <c r="AE300" s="1513"/>
      <c r="AF300" s="1513"/>
      <c r="AG300" s="1513"/>
      <c r="AH300" s="1513"/>
      <c r="AI300" s="1513"/>
      <c r="AJ300" s="1513"/>
      <c r="AK300" s="1513"/>
      <c r="AL300" s="1513"/>
      <c r="AM300" s="1513"/>
      <c r="AN300" s="1513"/>
      <c r="AO300" s="1513"/>
      <c r="AP300" s="1513"/>
      <c r="AQ300" s="1513"/>
      <c r="AR300" s="1513"/>
      <c r="AS300" s="1513"/>
      <c r="AT300" s="1513"/>
      <c r="AU300" s="1513"/>
      <c r="AV300" s="1513"/>
      <c r="AW300" s="1513"/>
      <c r="AX300" s="1513"/>
      <c r="AY300" s="1513"/>
      <c r="AZ300" s="1513"/>
      <c r="BA300" s="1513"/>
      <c r="BB300" s="1513"/>
      <c r="BC300" s="1513"/>
      <c r="BD300" s="1513"/>
      <c r="BE300" s="1513"/>
      <c r="BF300" s="1513"/>
      <c r="BG300" s="1513"/>
      <c r="BH300" s="1513"/>
      <c r="BI300" s="1513"/>
      <c r="BJ300" s="1513"/>
      <c r="BK300" s="1513"/>
      <c r="BL300" s="1513"/>
      <c r="BM300" s="1513"/>
      <c r="BN300" s="1513"/>
      <c r="BO300" s="1513"/>
      <c r="BP300" s="1513"/>
      <c r="BQ300" s="1513"/>
      <c r="BR300" s="1513"/>
      <c r="BS300" s="1513"/>
      <c r="BT300" s="1513"/>
      <c r="BU300" s="1513"/>
      <c r="BV300" s="1513"/>
      <c r="BW300" s="1513"/>
      <c r="BX300" s="1513"/>
      <c r="BY300" s="1513"/>
      <c r="BZ300" s="1513"/>
      <c r="CA300" s="1513"/>
      <c r="CB300" s="1513"/>
      <c r="CC300" s="1513"/>
      <c r="CD300" s="1513"/>
      <c r="CE300" s="1513"/>
      <c r="CF300" s="1513"/>
      <c r="CG300" s="1513"/>
      <c r="CH300" s="1513"/>
      <c r="CI300" s="1513"/>
      <c r="CJ300" s="1513"/>
      <c r="CK300" s="1513"/>
      <c r="CL300" s="1513"/>
      <c r="CM300" s="1513"/>
      <c r="CN300" s="1513"/>
      <c r="CO300" s="1513"/>
      <c r="CP300" s="1513"/>
      <c r="CQ300" s="1513"/>
      <c r="CR300" s="1513"/>
      <c r="CS300" s="1513"/>
      <c r="CT300" s="1513"/>
      <c r="CU300" s="1513"/>
      <c r="CV300" s="1513"/>
      <c r="CW300" s="1513"/>
      <c r="CX300" s="1513"/>
      <c r="CY300" s="1513"/>
      <c r="CZ300" s="1513"/>
      <c r="DA300" s="1513"/>
      <c r="DB300" s="1513"/>
      <c r="DC300" s="1513"/>
      <c r="DD300" s="1513"/>
      <c r="DE300" s="1513"/>
      <c r="DF300" s="1513"/>
      <c r="DG300" s="1513"/>
      <c r="DH300" s="1513"/>
      <c r="DI300" s="1513"/>
      <c r="DJ300" s="1513"/>
      <c r="DK300" s="1513"/>
      <c r="DL300" s="1513"/>
      <c r="DM300" s="1513"/>
      <c r="DN300" s="1513"/>
      <c r="DO300" s="1513"/>
      <c r="DP300" s="1513"/>
      <c r="DQ300" s="1513"/>
      <c r="DR300" s="1513"/>
      <c r="DS300" s="1513"/>
      <c r="DT300" s="1513"/>
      <c r="DU300" s="1513"/>
      <c r="DV300" s="1513"/>
      <c r="DW300" s="1513"/>
      <c r="DX300" s="1513"/>
      <c r="DY300" s="1513"/>
      <c r="DZ300" s="1513"/>
      <c r="EA300" s="1513"/>
      <c r="EB300" s="1513"/>
      <c r="EC300" s="1513"/>
      <c r="ED300" s="1513"/>
      <c r="EE300" s="1513"/>
      <c r="EF300" s="1513"/>
      <c r="EG300" s="1513"/>
      <c r="EH300" s="1513"/>
      <c r="EI300" s="1513"/>
      <c r="EJ300" s="1513"/>
      <c r="EK300" s="1513"/>
      <c r="EL300" s="1513"/>
      <c r="EM300" s="1513"/>
      <c r="EN300" s="1513"/>
      <c r="EO300" s="1513"/>
      <c r="EP300" s="1513"/>
      <c r="EQ300" s="1513"/>
      <c r="ER300" s="1513"/>
      <c r="ES300" s="1513"/>
      <c r="ET300" s="1513"/>
      <c r="EU300" s="1513"/>
      <c r="EV300" s="1513"/>
      <c r="EW300" s="1513"/>
      <c r="EX300" s="1513"/>
      <c r="EY300" s="1513"/>
      <c r="EZ300" s="1513"/>
      <c r="FA300" s="1513"/>
      <c r="FB300" s="1513"/>
      <c r="FC300" s="1513"/>
      <c r="FD300" s="1513"/>
      <c r="FE300" s="1513"/>
      <c r="FF300" s="1513"/>
      <c r="FG300" s="1513"/>
      <c r="FH300" s="1513"/>
      <c r="FI300" s="1513"/>
      <c r="FJ300" s="1513"/>
    </row>
    <row r="301" spans="1:166" ht="17.100000000000001" customHeight="1" x14ac:dyDescent="0.15">
      <c r="A301" s="1513"/>
      <c r="B301" s="1513"/>
      <c r="C301" s="1513"/>
      <c r="D301" s="1513"/>
      <c r="E301" s="1513"/>
      <c r="F301" s="1513"/>
      <c r="G301" s="1513"/>
      <c r="H301" s="1513"/>
      <c r="I301" s="1513"/>
      <c r="J301" s="1513"/>
      <c r="K301" s="1513"/>
      <c r="L301" s="1513"/>
      <c r="M301" s="1513"/>
      <c r="N301" s="1513"/>
      <c r="O301" s="1513"/>
      <c r="P301" s="1513"/>
      <c r="Q301" s="1513"/>
      <c r="R301" s="1513"/>
      <c r="S301" s="1513"/>
      <c r="T301" s="1513"/>
      <c r="U301" s="1513"/>
      <c r="V301" s="1513"/>
      <c r="W301" s="1513"/>
      <c r="X301" s="1513"/>
      <c r="Y301" s="1513"/>
      <c r="Z301" s="1513"/>
      <c r="AA301" s="1513"/>
      <c r="AB301" s="1513"/>
      <c r="AC301" s="1513"/>
      <c r="AD301" s="1513"/>
      <c r="AE301" s="1513"/>
      <c r="AF301" s="1513"/>
      <c r="AG301" s="1513"/>
      <c r="AH301" s="1513"/>
      <c r="AI301" s="1513"/>
      <c r="AJ301" s="1513"/>
      <c r="AK301" s="1513"/>
      <c r="AL301" s="1513"/>
      <c r="AM301" s="1513"/>
      <c r="AN301" s="1513"/>
      <c r="AO301" s="1513"/>
      <c r="AP301" s="1513"/>
      <c r="AQ301" s="1513"/>
      <c r="AR301" s="1513"/>
      <c r="AS301" s="1513"/>
      <c r="AT301" s="1513"/>
      <c r="AU301" s="1513"/>
      <c r="AV301" s="1513"/>
      <c r="AW301" s="1513"/>
      <c r="AX301" s="1513"/>
      <c r="AY301" s="1513"/>
      <c r="AZ301" s="1513"/>
      <c r="BA301" s="1513"/>
      <c r="BB301" s="1513"/>
      <c r="BC301" s="1513"/>
      <c r="BD301" s="1513"/>
      <c r="BE301" s="1513"/>
      <c r="BF301" s="1513"/>
      <c r="BG301" s="1513"/>
      <c r="BH301" s="1513"/>
      <c r="BI301" s="1513"/>
      <c r="BJ301" s="1513"/>
      <c r="BK301" s="1513"/>
      <c r="BL301" s="1513"/>
      <c r="BM301" s="1513"/>
      <c r="BN301" s="1513"/>
      <c r="BO301" s="1513"/>
      <c r="BP301" s="1513"/>
      <c r="BQ301" s="1513"/>
      <c r="BR301" s="1513"/>
      <c r="BS301" s="1513"/>
      <c r="BT301" s="1513"/>
      <c r="BU301" s="1513"/>
      <c r="BV301" s="1513"/>
      <c r="BW301" s="1513"/>
      <c r="BX301" s="1513"/>
      <c r="BY301" s="1513"/>
      <c r="BZ301" s="1513"/>
      <c r="CA301" s="1513"/>
      <c r="CB301" s="1513"/>
      <c r="CC301" s="1513"/>
      <c r="CD301" s="1513"/>
      <c r="CE301" s="1513"/>
      <c r="CF301" s="1513"/>
      <c r="CG301" s="1513"/>
      <c r="CH301" s="1513"/>
      <c r="CI301" s="1513"/>
      <c r="CJ301" s="1513"/>
      <c r="CK301" s="1513"/>
      <c r="CL301" s="1513"/>
      <c r="CM301" s="1513"/>
      <c r="CN301" s="1513"/>
      <c r="CO301" s="1513"/>
      <c r="CP301" s="1513"/>
      <c r="CQ301" s="1513"/>
      <c r="CR301" s="1513"/>
      <c r="CS301" s="1513"/>
      <c r="CT301" s="1513"/>
      <c r="CU301" s="1513"/>
      <c r="CV301" s="1513"/>
      <c r="CW301" s="1513"/>
      <c r="CX301" s="1513"/>
      <c r="CY301" s="1513"/>
      <c r="CZ301" s="1513"/>
      <c r="DA301" s="1513"/>
      <c r="DB301" s="1513"/>
      <c r="DC301" s="1513"/>
      <c r="DD301" s="1513"/>
      <c r="DE301" s="1513"/>
      <c r="DF301" s="1513"/>
      <c r="DG301" s="1513"/>
      <c r="DH301" s="1513"/>
      <c r="DI301" s="1513"/>
      <c r="DJ301" s="1513"/>
      <c r="DK301" s="1513"/>
      <c r="DL301" s="1513"/>
      <c r="DM301" s="1513"/>
      <c r="DN301" s="1513"/>
      <c r="DO301" s="1513"/>
      <c r="DP301" s="1513"/>
      <c r="DQ301" s="1513"/>
      <c r="DR301" s="1513"/>
      <c r="DS301" s="1513"/>
      <c r="DT301" s="1513"/>
      <c r="DU301" s="1513"/>
      <c r="DV301" s="1513"/>
      <c r="DW301" s="1513"/>
      <c r="DX301" s="1513"/>
      <c r="DY301" s="1513"/>
      <c r="DZ301" s="1513"/>
      <c r="EA301" s="1513"/>
      <c r="EB301" s="1513"/>
      <c r="EC301" s="1513"/>
      <c r="ED301" s="1513"/>
      <c r="EE301" s="1513"/>
      <c r="EF301" s="1513"/>
      <c r="EG301" s="1513"/>
      <c r="EH301" s="1513"/>
      <c r="EI301" s="1513"/>
      <c r="EJ301" s="1513"/>
      <c r="EK301" s="1513"/>
      <c r="EL301" s="1513"/>
      <c r="EM301" s="1513"/>
      <c r="EN301" s="1513"/>
      <c r="EO301" s="1513"/>
      <c r="EP301" s="1513"/>
      <c r="EQ301" s="1513"/>
      <c r="ER301" s="1513"/>
      <c r="ES301" s="1513"/>
      <c r="ET301" s="1513"/>
      <c r="EU301" s="1513"/>
      <c r="EV301" s="1513"/>
      <c r="EW301" s="1513"/>
      <c r="EX301" s="1513"/>
      <c r="EY301" s="1513"/>
      <c r="EZ301" s="1513"/>
      <c r="FA301" s="1513"/>
      <c r="FB301" s="1513"/>
      <c r="FC301" s="1513"/>
      <c r="FD301" s="1513"/>
      <c r="FE301" s="1513"/>
      <c r="FF301" s="1513"/>
      <c r="FG301" s="1513"/>
      <c r="FH301" s="1513"/>
      <c r="FI301" s="1513"/>
      <c r="FJ301" s="1513"/>
    </row>
    <row r="302" spans="1:166" ht="17.100000000000001" customHeight="1" x14ac:dyDescent="0.15">
      <c r="A302" s="1513"/>
      <c r="B302" s="1513"/>
      <c r="C302" s="1513"/>
      <c r="D302" s="1513"/>
      <c r="E302" s="1513"/>
      <c r="F302" s="1513"/>
      <c r="G302" s="1513"/>
      <c r="H302" s="1513"/>
      <c r="I302" s="1513"/>
      <c r="J302" s="1513"/>
      <c r="K302" s="1513"/>
      <c r="L302" s="1513"/>
      <c r="M302" s="1513"/>
      <c r="N302" s="1513"/>
      <c r="O302" s="1513"/>
      <c r="P302" s="1513"/>
      <c r="Q302" s="1513"/>
      <c r="R302" s="1513"/>
      <c r="S302" s="1513"/>
      <c r="T302" s="1513"/>
      <c r="U302" s="1513"/>
      <c r="V302" s="1513"/>
      <c r="W302" s="1513"/>
      <c r="X302" s="1513"/>
      <c r="Y302" s="1513"/>
      <c r="Z302" s="1513"/>
      <c r="AA302" s="1513"/>
      <c r="AB302" s="1513"/>
      <c r="AC302" s="1513"/>
      <c r="AD302" s="1513"/>
      <c r="AE302" s="1513"/>
      <c r="AF302" s="1513"/>
      <c r="AG302" s="1513"/>
      <c r="AH302" s="1513"/>
      <c r="AI302" s="1513"/>
      <c r="AJ302" s="1513"/>
      <c r="AK302" s="1513"/>
      <c r="AL302" s="1513"/>
      <c r="AM302" s="1513"/>
      <c r="AN302" s="1513"/>
      <c r="AO302" s="1513"/>
      <c r="AP302" s="1513"/>
      <c r="AQ302" s="1513"/>
      <c r="AR302" s="1513"/>
      <c r="AS302" s="1513"/>
      <c r="AT302" s="1513"/>
      <c r="AU302" s="1513"/>
      <c r="AV302" s="1513"/>
      <c r="AW302" s="1513"/>
      <c r="AX302" s="1513"/>
      <c r="AY302" s="1513"/>
      <c r="AZ302" s="1513"/>
      <c r="BA302" s="1513"/>
      <c r="BB302" s="1513"/>
      <c r="BC302" s="1513"/>
      <c r="BD302" s="1513"/>
      <c r="BE302" s="1513"/>
      <c r="BF302" s="1513"/>
      <c r="BG302" s="1513"/>
      <c r="BH302" s="1513"/>
      <c r="BI302" s="1513"/>
      <c r="BJ302" s="1513"/>
      <c r="BK302" s="1513"/>
      <c r="BL302" s="1513"/>
      <c r="BM302" s="1513"/>
      <c r="BN302" s="1513"/>
      <c r="BO302" s="1513"/>
      <c r="BP302" s="1513"/>
      <c r="BQ302" s="1513"/>
      <c r="BR302" s="1513"/>
      <c r="BS302" s="1513"/>
      <c r="BT302" s="1513"/>
      <c r="BU302" s="1513"/>
      <c r="BV302" s="1513"/>
      <c r="BW302" s="1513"/>
      <c r="BX302" s="1513"/>
      <c r="BY302" s="1513"/>
      <c r="BZ302" s="1513"/>
      <c r="CA302" s="1513"/>
      <c r="CB302" s="1513"/>
      <c r="CC302" s="1513"/>
      <c r="CD302" s="1513"/>
      <c r="CE302" s="1513"/>
      <c r="CF302" s="1513"/>
      <c r="CG302" s="1513"/>
      <c r="CH302" s="1513"/>
      <c r="CI302" s="1513"/>
      <c r="CJ302" s="1513"/>
      <c r="CK302" s="1513"/>
      <c r="CL302" s="1513"/>
      <c r="CM302" s="1513"/>
      <c r="CN302" s="1513"/>
      <c r="CO302" s="1513"/>
      <c r="CP302" s="1513"/>
      <c r="CQ302" s="1513"/>
      <c r="CR302" s="1513"/>
      <c r="CS302" s="1513"/>
      <c r="CT302" s="1513"/>
      <c r="CU302" s="1513"/>
      <c r="CV302" s="1513"/>
      <c r="CW302" s="1513"/>
      <c r="CX302" s="1513"/>
      <c r="CY302" s="1513"/>
      <c r="CZ302" s="1513"/>
      <c r="DA302" s="1513"/>
      <c r="DB302" s="1513"/>
      <c r="DC302" s="1513"/>
      <c r="DD302" s="1513"/>
      <c r="DE302" s="1513"/>
      <c r="DF302" s="1513"/>
      <c r="DG302" s="1513"/>
      <c r="DH302" s="1513"/>
      <c r="DI302" s="1513"/>
      <c r="DJ302" s="1513"/>
      <c r="DK302" s="1513"/>
      <c r="DL302" s="1513"/>
      <c r="DM302" s="1513"/>
      <c r="DN302" s="1513"/>
      <c r="DO302" s="1513"/>
      <c r="DP302" s="1513"/>
      <c r="DQ302" s="1513"/>
      <c r="DR302" s="1513"/>
      <c r="DS302" s="1513"/>
      <c r="DT302" s="1513"/>
      <c r="DU302" s="1513"/>
      <c r="DV302" s="1513"/>
      <c r="DW302" s="1513"/>
      <c r="DX302" s="1513"/>
      <c r="DY302" s="1513"/>
      <c r="DZ302" s="1513"/>
      <c r="EA302" s="1513"/>
      <c r="EB302" s="1513"/>
      <c r="EC302" s="1513"/>
      <c r="ED302" s="1513"/>
      <c r="EE302" s="1513"/>
      <c r="EF302" s="1513"/>
      <c r="EG302" s="1513"/>
      <c r="EH302" s="1513"/>
      <c r="EI302" s="1513"/>
      <c r="EJ302" s="1513"/>
      <c r="EK302" s="1513"/>
      <c r="EL302" s="1513"/>
      <c r="EM302" s="1513"/>
      <c r="EN302" s="1513"/>
      <c r="EO302" s="1513"/>
      <c r="EP302" s="1513"/>
      <c r="EQ302" s="1513"/>
      <c r="ER302" s="1513"/>
      <c r="ES302" s="1513"/>
      <c r="ET302" s="1513"/>
      <c r="EU302" s="1513"/>
      <c r="EV302" s="1513"/>
      <c r="EW302" s="1513"/>
      <c r="EX302" s="1513"/>
      <c r="EY302" s="1513"/>
      <c r="EZ302" s="1513"/>
      <c r="FA302" s="1513"/>
      <c r="FB302" s="1513"/>
      <c r="FC302" s="1513"/>
      <c r="FD302" s="1513"/>
      <c r="FE302" s="1513"/>
      <c r="FF302" s="1513"/>
      <c r="FG302" s="1513"/>
      <c r="FH302" s="1513"/>
      <c r="FI302" s="1513"/>
      <c r="FJ302" s="1513"/>
    </row>
    <row r="303" spans="1:166" ht="17.100000000000001" customHeight="1" x14ac:dyDescent="0.15">
      <c r="A303" s="1513"/>
      <c r="B303" s="1513"/>
      <c r="C303" s="1513"/>
      <c r="D303" s="1513"/>
      <c r="E303" s="1513"/>
      <c r="F303" s="1513"/>
      <c r="G303" s="1513"/>
      <c r="H303" s="1513"/>
      <c r="I303" s="1513"/>
      <c r="J303" s="1513"/>
      <c r="K303" s="1513"/>
      <c r="L303" s="1513"/>
      <c r="M303" s="1513"/>
      <c r="N303" s="1513"/>
      <c r="O303" s="1513"/>
      <c r="P303" s="1513"/>
      <c r="Q303" s="1513"/>
      <c r="R303" s="1513"/>
      <c r="S303" s="1513"/>
      <c r="T303" s="1513"/>
      <c r="U303" s="1513"/>
      <c r="V303" s="1513"/>
      <c r="W303" s="1513"/>
      <c r="X303" s="1513"/>
      <c r="Y303" s="1513"/>
      <c r="Z303" s="1513"/>
      <c r="AA303" s="1513"/>
      <c r="AB303" s="1513"/>
      <c r="AC303" s="1513"/>
      <c r="AD303" s="1513"/>
      <c r="AE303" s="1513"/>
      <c r="AF303" s="1513"/>
      <c r="AG303" s="1513"/>
      <c r="AH303" s="1513"/>
      <c r="AI303" s="1513"/>
      <c r="AJ303" s="1513"/>
      <c r="AK303" s="1513"/>
      <c r="AL303" s="1513"/>
      <c r="AM303" s="1513"/>
      <c r="AN303" s="1513"/>
      <c r="AO303" s="1513"/>
      <c r="AP303" s="1513"/>
      <c r="AQ303" s="1513"/>
      <c r="AR303" s="1513"/>
      <c r="AS303" s="1513"/>
      <c r="AT303" s="1513"/>
      <c r="AU303" s="1513"/>
      <c r="AV303" s="1513"/>
      <c r="AW303" s="1513"/>
      <c r="AX303" s="1513"/>
      <c r="AY303" s="1513"/>
      <c r="AZ303" s="1513"/>
      <c r="BA303" s="1513"/>
      <c r="BB303" s="1513"/>
      <c r="BC303" s="1513"/>
      <c r="BD303" s="1513"/>
      <c r="BE303" s="1513"/>
      <c r="BF303" s="1513"/>
      <c r="BG303" s="1513"/>
      <c r="BH303" s="1513"/>
      <c r="BI303" s="1513"/>
      <c r="BJ303" s="1513"/>
      <c r="BK303" s="1513"/>
      <c r="BL303" s="1513"/>
      <c r="BM303" s="1513"/>
      <c r="BN303" s="1513"/>
      <c r="BO303" s="1513"/>
      <c r="BP303" s="1513"/>
      <c r="BQ303" s="1513"/>
      <c r="BR303" s="1513"/>
      <c r="BS303" s="1513"/>
      <c r="BT303" s="1513"/>
      <c r="BU303" s="1513"/>
      <c r="BV303" s="1513"/>
      <c r="BW303" s="1513"/>
      <c r="BX303" s="1513"/>
      <c r="BY303" s="1513"/>
      <c r="BZ303" s="1513"/>
      <c r="CA303" s="1513"/>
      <c r="CB303" s="1513"/>
      <c r="CC303" s="1513"/>
      <c r="CD303" s="1513"/>
      <c r="CE303" s="1513"/>
      <c r="CF303" s="1513"/>
      <c r="CG303" s="1513"/>
      <c r="CH303" s="1513"/>
      <c r="CI303" s="1513"/>
      <c r="CJ303" s="1513"/>
      <c r="CK303" s="1513"/>
      <c r="CL303" s="1513"/>
      <c r="CM303" s="1513"/>
      <c r="CN303" s="1513"/>
      <c r="CO303" s="1513"/>
      <c r="CP303" s="1513"/>
      <c r="CQ303" s="1513"/>
      <c r="CR303" s="1513"/>
      <c r="CS303" s="1513"/>
      <c r="CT303" s="1513"/>
      <c r="CU303" s="1513"/>
      <c r="CV303" s="1513"/>
      <c r="CW303" s="1513"/>
      <c r="CX303" s="1513"/>
      <c r="CY303" s="1513"/>
      <c r="CZ303" s="1513"/>
      <c r="DA303" s="1513"/>
      <c r="DB303" s="1513"/>
      <c r="DC303" s="1513"/>
      <c r="DD303" s="1513"/>
      <c r="DE303" s="1513"/>
      <c r="DF303" s="1513"/>
      <c r="DG303" s="1513"/>
      <c r="DH303" s="1513"/>
      <c r="DI303" s="1513"/>
      <c r="DJ303" s="1513"/>
      <c r="DK303" s="1513"/>
      <c r="DL303" s="1513"/>
      <c r="DM303" s="1513"/>
      <c r="DN303" s="1513"/>
      <c r="DO303" s="1513"/>
      <c r="DP303" s="1513"/>
      <c r="DQ303" s="1513"/>
      <c r="DR303" s="1513"/>
      <c r="DS303" s="1513"/>
      <c r="DT303" s="1513"/>
      <c r="DU303" s="1513"/>
      <c r="DV303" s="1513"/>
      <c r="DW303" s="1513"/>
      <c r="DX303" s="1513"/>
      <c r="DY303" s="1513"/>
      <c r="DZ303" s="1513"/>
      <c r="EA303" s="1513"/>
      <c r="EB303" s="1513"/>
      <c r="EC303" s="1513"/>
      <c r="ED303" s="1513"/>
      <c r="EE303" s="1513"/>
      <c r="EF303" s="1513"/>
      <c r="EG303" s="1513"/>
      <c r="EH303" s="1513"/>
      <c r="EI303" s="1513"/>
      <c r="EJ303" s="1513"/>
      <c r="EK303" s="1513"/>
      <c r="EL303" s="1513"/>
      <c r="EM303" s="1513"/>
      <c r="EN303" s="1513"/>
      <c r="EO303" s="1513"/>
      <c r="EP303" s="1513"/>
      <c r="EQ303" s="1513"/>
      <c r="ER303" s="1513"/>
      <c r="ES303" s="1513"/>
      <c r="ET303" s="1513"/>
      <c r="EU303" s="1513"/>
      <c r="EV303" s="1513"/>
      <c r="EW303" s="1513"/>
      <c r="EX303" s="1513"/>
      <c r="EY303" s="1513"/>
      <c r="EZ303" s="1513"/>
      <c r="FA303" s="1513"/>
      <c r="FB303" s="1513"/>
      <c r="FC303" s="1513"/>
      <c r="FD303" s="1513"/>
      <c r="FE303" s="1513"/>
      <c r="FF303" s="1513"/>
      <c r="FG303" s="1513"/>
      <c r="FH303" s="1513"/>
      <c r="FI303" s="1513"/>
      <c r="FJ303" s="1513"/>
    </row>
    <row r="304" spans="1:166" ht="17.100000000000001" customHeight="1" x14ac:dyDescent="0.15">
      <c r="A304" s="1513"/>
      <c r="B304" s="1513"/>
      <c r="C304" s="1513"/>
      <c r="D304" s="1513"/>
      <c r="E304" s="1513"/>
      <c r="F304" s="1513"/>
      <c r="G304" s="1513"/>
      <c r="H304" s="1513"/>
      <c r="I304" s="1513"/>
      <c r="J304" s="1513"/>
      <c r="K304" s="1513"/>
      <c r="L304" s="1513"/>
      <c r="M304" s="1513"/>
      <c r="N304" s="1513"/>
      <c r="O304" s="1513"/>
      <c r="P304" s="1513"/>
      <c r="Q304" s="1513"/>
      <c r="R304" s="1513"/>
      <c r="S304" s="1513"/>
      <c r="T304" s="1513"/>
      <c r="U304" s="1513"/>
      <c r="V304" s="1513"/>
      <c r="W304" s="1513"/>
      <c r="X304" s="1513"/>
      <c r="Y304" s="1513"/>
      <c r="Z304" s="1513"/>
      <c r="AA304" s="1513"/>
      <c r="AB304" s="1513"/>
      <c r="AC304" s="1513"/>
      <c r="AD304" s="1513"/>
      <c r="AE304" s="1513"/>
      <c r="AF304" s="1513"/>
      <c r="AG304" s="1513"/>
      <c r="AH304" s="1513"/>
      <c r="AI304" s="1513"/>
      <c r="AJ304" s="1513"/>
      <c r="AK304" s="1513"/>
      <c r="AL304" s="1513"/>
      <c r="AM304" s="1513"/>
      <c r="AN304" s="1513"/>
      <c r="AO304" s="1513"/>
      <c r="AP304" s="1513"/>
      <c r="AQ304" s="1513"/>
      <c r="AR304" s="1513"/>
      <c r="AS304" s="1513"/>
      <c r="AT304" s="1513"/>
      <c r="AU304" s="1513"/>
      <c r="AV304" s="1513"/>
      <c r="AW304" s="1513"/>
      <c r="AX304" s="1513"/>
      <c r="AY304" s="1513"/>
      <c r="AZ304" s="1513"/>
      <c r="BA304" s="1513"/>
      <c r="BB304" s="1513"/>
      <c r="BC304" s="1513"/>
      <c r="BD304" s="1513"/>
      <c r="BE304" s="1513"/>
      <c r="BF304" s="1513"/>
      <c r="BG304" s="1513"/>
      <c r="BH304" s="1513"/>
      <c r="BI304" s="1513"/>
      <c r="BJ304" s="1513"/>
      <c r="BK304" s="1513"/>
      <c r="BL304" s="1513"/>
      <c r="BM304" s="1513"/>
      <c r="BN304" s="1513"/>
      <c r="BO304" s="1513"/>
      <c r="BP304" s="1513"/>
      <c r="BQ304" s="1513"/>
      <c r="BR304" s="1513"/>
      <c r="BS304" s="1513"/>
      <c r="BT304" s="1513"/>
      <c r="BU304" s="1513"/>
      <c r="BV304" s="1513"/>
      <c r="BW304" s="1513"/>
      <c r="BX304" s="1513"/>
      <c r="BY304" s="1513"/>
      <c r="BZ304" s="1513"/>
      <c r="CA304" s="1513"/>
      <c r="CB304" s="1513"/>
      <c r="CC304" s="1513"/>
      <c r="CD304" s="1513"/>
      <c r="CE304" s="1513"/>
      <c r="CF304" s="1513"/>
      <c r="CG304" s="1513"/>
      <c r="CH304" s="1513"/>
      <c r="CI304" s="1513"/>
      <c r="CJ304" s="1513"/>
      <c r="CK304" s="1513"/>
      <c r="CL304" s="1513"/>
      <c r="CM304" s="1513"/>
      <c r="CN304" s="1513"/>
      <c r="CO304" s="1513"/>
      <c r="CP304" s="1513"/>
      <c r="CQ304" s="1513"/>
      <c r="CR304" s="1513"/>
      <c r="CS304" s="1513"/>
      <c r="CT304" s="1513"/>
      <c r="CU304" s="1513"/>
      <c r="CV304" s="1513"/>
      <c r="CW304" s="1513"/>
      <c r="CX304" s="1513"/>
      <c r="CY304" s="1513"/>
      <c r="CZ304" s="1513"/>
      <c r="DA304" s="1513"/>
      <c r="DB304" s="1513"/>
      <c r="DC304" s="1513"/>
      <c r="DD304" s="1513"/>
      <c r="DE304" s="1513"/>
      <c r="DF304" s="1513"/>
      <c r="DG304" s="1513"/>
      <c r="DH304" s="1513"/>
      <c r="DI304" s="1513"/>
      <c r="DJ304" s="1513"/>
      <c r="DK304" s="1513"/>
      <c r="DL304" s="1513"/>
      <c r="DM304" s="1513"/>
      <c r="DN304" s="1513"/>
      <c r="DO304" s="1513"/>
      <c r="DP304" s="1513"/>
      <c r="DQ304" s="1513"/>
      <c r="DR304" s="1513"/>
      <c r="DS304" s="1513"/>
      <c r="DT304" s="1513"/>
      <c r="DU304" s="1513"/>
      <c r="DV304" s="1513"/>
      <c r="DW304" s="1513"/>
      <c r="DX304" s="1513"/>
      <c r="DY304" s="1513"/>
      <c r="DZ304" s="1513"/>
      <c r="EA304" s="1513"/>
      <c r="EB304" s="1513"/>
      <c r="EC304" s="1513"/>
      <c r="ED304" s="1513"/>
      <c r="EE304" s="1513"/>
      <c r="EF304" s="1513"/>
      <c r="EG304" s="1513"/>
      <c r="EH304" s="1513"/>
      <c r="EI304" s="1513"/>
      <c r="EJ304" s="1513"/>
      <c r="EK304" s="1513"/>
      <c r="EL304" s="1513"/>
      <c r="EM304" s="1513"/>
      <c r="EN304" s="1513"/>
      <c r="EO304" s="1513"/>
      <c r="EP304" s="1513"/>
      <c r="EQ304" s="1513"/>
      <c r="ER304" s="1513"/>
      <c r="ES304" s="1513"/>
      <c r="ET304" s="1513"/>
      <c r="EU304" s="1513"/>
      <c r="EV304" s="1513"/>
      <c r="EW304" s="1513"/>
      <c r="EX304" s="1513"/>
      <c r="EY304" s="1513"/>
      <c r="EZ304" s="1513"/>
      <c r="FA304" s="1513"/>
      <c r="FB304" s="1513"/>
      <c r="FC304" s="1513"/>
      <c r="FD304" s="1513"/>
      <c r="FE304" s="1513"/>
      <c r="FF304" s="1513"/>
      <c r="FG304" s="1513"/>
      <c r="FH304" s="1513"/>
      <c r="FI304" s="1513"/>
      <c r="FJ304" s="1513"/>
    </row>
  </sheetData>
  <sheetProtection sheet="1" scenarios="1"/>
  <mergeCells count="366">
    <mergeCell ref="C15:J15"/>
    <mergeCell ref="C13:J13"/>
    <mergeCell ref="C11:J11"/>
    <mergeCell ref="C33:J33"/>
    <mergeCell ref="C31:J31"/>
    <mergeCell ref="C29:J29"/>
    <mergeCell ref="C27:J27"/>
    <mergeCell ref="C25:J25"/>
    <mergeCell ref="C23:J23"/>
    <mergeCell ref="C21:J21"/>
    <mergeCell ref="C19:J19"/>
    <mergeCell ref="C17:J17"/>
    <mergeCell ref="J12:K12"/>
    <mergeCell ref="C20:E20"/>
    <mergeCell ref="G20:I20"/>
    <mergeCell ref="J20:K20"/>
    <mergeCell ref="C36:E36"/>
    <mergeCell ref="G36:I36"/>
    <mergeCell ref="J36:K36"/>
    <mergeCell ref="L36:O36"/>
    <mergeCell ref="P36:R36"/>
    <mergeCell ref="L32:O32"/>
    <mergeCell ref="P32:R32"/>
    <mergeCell ref="C30:E30"/>
    <mergeCell ref="L35:M35"/>
    <mergeCell ref="O35:R35"/>
    <mergeCell ref="L33:M33"/>
    <mergeCell ref="O33:R33"/>
    <mergeCell ref="C34:E34"/>
    <mergeCell ref="G34:I34"/>
    <mergeCell ref="J34:K34"/>
    <mergeCell ref="L34:O34"/>
    <mergeCell ref="P34:R34"/>
    <mergeCell ref="C35:J35"/>
    <mergeCell ref="L12:O12"/>
    <mergeCell ref="P12:R12"/>
    <mergeCell ref="L11:M11"/>
    <mergeCell ref="L13:M13"/>
    <mergeCell ref="J14:K14"/>
    <mergeCell ref="L14:O14"/>
    <mergeCell ref="P14:R14"/>
    <mergeCell ref="O13:R13"/>
    <mergeCell ref="C14:E14"/>
    <mergeCell ref="G14:I14"/>
    <mergeCell ref="L17:M17"/>
    <mergeCell ref="O17:R17"/>
    <mergeCell ref="C18:E18"/>
    <mergeCell ref="G18:I18"/>
    <mergeCell ref="J18:K18"/>
    <mergeCell ref="L18:O18"/>
    <mergeCell ref="P18:R18"/>
    <mergeCell ref="L19:M19"/>
    <mergeCell ref="O19:R19"/>
    <mergeCell ref="P22:R22"/>
    <mergeCell ref="P26:R26"/>
    <mergeCell ref="L23:M23"/>
    <mergeCell ref="O23:R23"/>
    <mergeCell ref="C24:E24"/>
    <mergeCell ref="G24:I24"/>
    <mergeCell ref="J24:K24"/>
    <mergeCell ref="L24:O24"/>
    <mergeCell ref="P24:R24"/>
    <mergeCell ref="L25:M25"/>
    <mergeCell ref="O25:R25"/>
    <mergeCell ref="C26:E26"/>
    <mergeCell ref="G26:I26"/>
    <mergeCell ref="J26:K26"/>
    <mergeCell ref="L26:O26"/>
    <mergeCell ref="L27:M27"/>
    <mergeCell ref="O27:R27"/>
    <mergeCell ref="C28:E28"/>
    <mergeCell ref="G28:I28"/>
    <mergeCell ref="C32:E32"/>
    <mergeCell ref="G32:I32"/>
    <mergeCell ref="J32:K32"/>
    <mergeCell ref="G30:I30"/>
    <mergeCell ref="J30:K30"/>
    <mergeCell ref="J28:K28"/>
    <mergeCell ref="L28:O28"/>
    <mergeCell ref="L30:O30"/>
    <mergeCell ref="P28:R28"/>
    <mergeCell ref="L29:M29"/>
    <mergeCell ref="O29:R29"/>
    <mergeCell ref="P30:R30"/>
    <mergeCell ref="L31:M31"/>
    <mergeCell ref="O31:R31"/>
    <mergeCell ref="C4:R5"/>
    <mergeCell ref="C8:K8"/>
    <mergeCell ref="O8:R8"/>
    <mergeCell ref="C9:E9"/>
    <mergeCell ref="O9:R9"/>
    <mergeCell ref="L21:M21"/>
    <mergeCell ref="O21:R21"/>
    <mergeCell ref="C22:E22"/>
    <mergeCell ref="G22:I22"/>
    <mergeCell ref="J22:K22"/>
    <mergeCell ref="O11:R11"/>
    <mergeCell ref="C12:E12"/>
    <mergeCell ref="G12:I12"/>
    <mergeCell ref="O15:R15"/>
    <mergeCell ref="L15:M15"/>
    <mergeCell ref="G16:I16"/>
    <mergeCell ref="J16:K16"/>
    <mergeCell ref="L16:O16"/>
    <mergeCell ref="P16:R16"/>
    <mergeCell ref="F9:G9"/>
    <mergeCell ref="C16:E16"/>
    <mergeCell ref="L20:O20"/>
    <mergeCell ref="P20:R20"/>
    <mergeCell ref="L22:O22"/>
    <mergeCell ref="B80:BZ81"/>
    <mergeCell ref="BV71:BX71"/>
    <mergeCell ref="P47:T47"/>
    <mergeCell ref="P48:T48"/>
    <mergeCell ref="P49:T49"/>
    <mergeCell ref="P50:T50"/>
    <mergeCell ref="B41:O42"/>
    <mergeCell ref="B43:O43"/>
    <mergeCell ref="U51:X51"/>
    <mergeCell ref="U52:X52"/>
    <mergeCell ref="U53:X53"/>
    <mergeCell ref="U46:X46"/>
    <mergeCell ref="U47:X47"/>
    <mergeCell ref="U48:X48"/>
    <mergeCell ref="U49:X49"/>
    <mergeCell ref="U50:X50"/>
    <mergeCell ref="AC47:AE47"/>
    <mergeCell ref="AC48:AE48"/>
    <mergeCell ref="AC49:AE49"/>
    <mergeCell ref="AC50:AE50"/>
    <mergeCell ref="AF47:AH47"/>
    <mergeCell ref="AF48:AH48"/>
    <mergeCell ref="AF49:AH49"/>
    <mergeCell ref="AF50:AH50"/>
    <mergeCell ref="T40:U40"/>
    <mergeCell ref="T39:U39"/>
    <mergeCell ref="T38:U38"/>
    <mergeCell ref="BG38:BH38"/>
    <mergeCell ref="BG39:BH39"/>
    <mergeCell ref="CC42:CE42"/>
    <mergeCell ref="AO41:BZ42"/>
    <mergeCell ref="U44:X44"/>
    <mergeCell ref="U45:X45"/>
    <mergeCell ref="BG40:BH40"/>
    <mergeCell ref="P44:T44"/>
    <mergeCell ref="P45:T45"/>
    <mergeCell ref="P46:T46"/>
    <mergeCell ref="AI44:AM44"/>
    <mergeCell ref="AC45:AE45"/>
    <mergeCell ref="AC46:AE46"/>
    <mergeCell ref="P41:T42"/>
    <mergeCell ref="U41:X42"/>
    <mergeCell ref="Y41:AB42"/>
    <mergeCell ref="AC41:AE42"/>
    <mergeCell ref="AF41:AH42"/>
    <mergeCell ref="AI41:AM42"/>
    <mergeCell ref="P43:T43"/>
    <mergeCell ref="U43:X43"/>
    <mergeCell ref="Y43:AB43"/>
    <mergeCell ref="AC43:AE43"/>
    <mergeCell ref="AF43:AH43"/>
    <mergeCell ref="AI43:AM43"/>
    <mergeCell ref="AF45:AH45"/>
    <mergeCell ref="AF46:AH46"/>
    <mergeCell ref="U54:X54"/>
    <mergeCell ref="U55:X55"/>
    <mergeCell ref="U56:X56"/>
    <mergeCell ref="U57:X57"/>
    <mergeCell ref="U58:X58"/>
    <mergeCell ref="U59:X59"/>
    <mergeCell ref="B64:O64"/>
    <mergeCell ref="B65:O65"/>
    <mergeCell ref="B66:O66"/>
    <mergeCell ref="P66:T66"/>
    <mergeCell ref="U60:X60"/>
    <mergeCell ref="U61:X61"/>
    <mergeCell ref="U62:X62"/>
    <mergeCell ref="U63:X63"/>
    <mergeCell ref="U64:X64"/>
    <mergeCell ref="U65:X65"/>
    <mergeCell ref="U66:X66"/>
    <mergeCell ref="P62:T62"/>
    <mergeCell ref="P63:T63"/>
    <mergeCell ref="P64:T64"/>
    <mergeCell ref="P65:T65"/>
    <mergeCell ref="B62:O62"/>
    <mergeCell ref="B63:O63"/>
    <mergeCell ref="P54:T54"/>
    <mergeCell ref="B44:O44"/>
    <mergeCell ref="B45:O45"/>
    <mergeCell ref="B46:O46"/>
    <mergeCell ref="B47:O47"/>
    <mergeCell ref="B48:O48"/>
    <mergeCell ref="B49:O49"/>
    <mergeCell ref="B50:O50"/>
    <mergeCell ref="B51:O51"/>
    <mergeCell ref="B52:O52"/>
    <mergeCell ref="P55:T55"/>
    <mergeCell ref="P56:T56"/>
    <mergeCell ref="P57:T57"/>
    <mergeCell ref="P58:T58"/>
    <mergeCell ref="P59:T59"/>
    <mergeCell ref="P60:T60"/>
    <mergeCell ref="P61:T61"/>
    <mergeCell ref="B53:O53"/>
    <mergeCell ref="B54:O54"/>
    <mergeCell ref="B55:O55"/>
    <mergeCell ref="B56:O56"/>
    <mergeCell ref="B57:O57"/>
    <mergeCell ref="B58:O58"/>
    <mergeCell ref="B59:O59"/>
    <mergeCell ref="B60:O60"/>
    <mergeCell ref="B61:O61"/>
    <mergeCell ref="P52:T52"/>
    <mergeCell ref="B74:O74"/>
    <mergeCell ref="P74:T74"/>
    <mergeCell ref="U74:X74"/>
    <mergeCell ref="B75:X76"/>
    <mergeCell ref="Y71:AB71"/>
    <mergeCell ref="Y72:AB72"/>
    <mergeCell ref="Y73:AB73"/>
    <mergeCell ref="P67:T67"/>
    <mergeCell ref="P68:T68"/>
    <mergeCell ref="B69:O69"/>
    <mergeCell ref="P69:T69"/>
    <mergeCell ref="U69:X69"/>
    <mergeCell ref="B70:O70"/>
    <mergeCell ref="P70:T70"/>
    <mergeCell ref="U70:X70"/>
    <mergeCell ref="B67:O67"/>
    <mergeCell ref="B68:O68"/>
    <mergeCell ref="U67:X67"/>
    <mergeCell ref="U68:X68"/>
    <mergeCell ref="B71:O71"/>
    <mergeCell ref="P71:T71"/>
    <mergeCell ref="U71:X71"/>
    <mergeCell ref="P53:T53"/>
    <mergeCell ref="B72:O72"/>
    <mergeCell ref="P72:T72"/>
    <mergeCell ref="U72:X72"/>
    <mergeCell ref="B73:O73"/>
    <mergeCell ref="P73:T73"/>
    <mergeCell ref="U73:X73"/>
    <mergeCell ref="Y44:AB44"/>
    <mergeCell ref="AC44:AE44"/>
    <mergeCell ref="AF44:AH44"/>
    <mergeCell ref="Y63:AB63"/>
    <mergeCell ref="Y64:AB64"/>
    <mergeCell ref="Y65:AB65"/>
    <mergeCell ref="Y66:AB66"/>
    <mergeCell ref="Y67:AB67"/>
    <mergeCell ref="Y68:AB68"/>
    <mergeCell ref="Y69:AB69"/>
    <mergeCell ref="AF61:AH61"/>
    <mergeCell ref="AF70:AH70"/>
    <mergeCell ref="AC69:AE69"/>
    <mergeCell ref="AC70:AE70"/>
    <mergeCell ref="AC71:AE71"/>
    <mergeCell ref="AC72:AE72"/>
    <mergeCell ref="AC73:AE73"/>
    <mergeCell ref="P51:T51"/>
    <mergeCell ref="AF75:AH76"/>
    <mergeCell ref="AI75:AM76"/>
    <mergeCell ref="Y45:AB45"/>
    <mergeCell ref="Y46:AB46"/>
    <mergeCell ref="Y47:AB47"/>
    <mergeCell ref="Y48:AB48"/>
    <mergeCell ref="Y49:AB49"/>
    <mergeCell ref="Y50:AB50"/>
    <mergeCell ref="Y51:AB51"/>
    <mergeCell ref="Y52:AB52"/>
    <mergeCell ref="Y70:AB70"/>
    <mergeCell ref="Y53:AB53"/>
    <mergeCell ref="Y54:AB54"/>
    <mergeCell ref="Y55:AB55"/>
    <mergeCell ref="Y56:AB56"/>
    <mergeCell ref="Y57:AB57"/>
    <mergeCell ref="Y58:AB58"/>
    <mergeCell ref="Y59:AB59"/>
    <mergeCell ref="Y60:AB60"/>
    <mergeCell ref="Y61:AB61"/>
    <mergeCell ref="AC67:AE67"/>
    <mergeCell ref="Y62:AB62"/>
    <mergeCell ref="AC61:AE61"/>
    <mergeCell ref="AC62:AE62"/>
    <mergeCell ref="AC63:AE63"/>
    <mergeCell ref="AC64:AE64"/>
    <mergeCell ref="AC65:AE65"/>
    <mergeCell ref="AC66:AE66"/>
    <mergeCell ref="AC68:AE68"/>
    <mergeCell ref="Y75:AB76"/>
    <mergeCell ref="AC75:AE76"/>
    <mergeCell ref="AF54:AH54"/>
    <mergeCell ref="AF55:AH55"/>
    <mergeCell ref="AF56:AH56"/>
    <mergeCell ref="AF57:AH57"/>
    <mergeCell ref="AF58:AH58"/>
    <mergeCell ref="AF59:AH59"/>
    <mergeCell ref="AF60:AH60"/>
    <mergeCell ref="Y74:AB74"/>
    <mergeCell ref="AC60:AE60"/>
    <mergeCell ref="AF62:AH62"/>
    <mergeCell ref="AF63:AH63"/>
    <mergeCell ref="AF64:AH64"/>
    <mergeCell ref="AF65:AH65"/>
    <mergeCell ref="AF66:AH66"/>
    <mergeCell ref="AF67:AH67"/>
    <mergeCell ref="AF68:AH68"/>
    <mergeCell ref="AF69:AH69"/>
    <mergeCell ref="AC51:AE51"/>
    <mergeCell ref="AC52:AE52"/>
    <mergeCell ref="AC53:AE53"/>
    <mergeCell ref="AC54:AE54"/>
    <mergeCell ref="AC55:AE55"/>
    <mergeCell ref="AC56:AE56"/>
    <mergeCell ref="AC57:AE57"/>
    <mergeCell ref="AC58:AE58"/>
    <mergeCell ref="AC59:AE59"/>
    <mergeCell ref="AF51:AH51"/>
    <mergeCell ref="AF52:AH52"/>
    <mergeCell ref="AF53:AH53"/>
    <mergeCell ref="AC74:AE74"/>
    <mergeCell ref="AF71:AH71"/>
    <mergeCell ref="AF72:AH72"/>
    <mergeCell ref="AF73:AH73"/>
    <mergeCell ref="AF74:AH74"/>
    <mergeCell ref="AI45:AM45"/>
    <mergeCell ref="AI46:AM46"/>
    <mergeCell ref="AI47:AM47"/>
    <mergeCell ref="AI48:AM48"/>
    <mergeCell ref="AI49:AM49"/>
    <mergeCell ref="AI50:AM50"/>
    <mergeCell ref="AI51:AM51"/>
    <mergeCell ref="AI52:AM52"/>
    <mergeCell ref="AI53:AM53"/>
    <mergeCell ref="AI54:AM54"/>
    <mergeCell ref="AI55:AM55"/>
    <mergeCell ref="AI56:AM56"/>
    <mergeCell ref="AI57:AM57"/>
    <mergeCell ref="AI58:AM58"/>
    <mergeCell ref="AI59:AM59"/>
    <mergeCell ref="AI60:AM60"/>
    <mergeCell ref="AI61:AM61"/>
    <mergeCell ref="AI62:AM62"/>
    <mergeCell ref="AI63:AM63"/>
    <mergeCell ref="AI74:AM74"/>
    <mergeCell ref="AI73:AM73"/>
    <mergeCell ref="CC46:CE46"/>
    <mergeCell ref="CC48:CE48"/>
    <mergeCell ref="CC47:CE47"/>
    <mergeCell ref="CC49:CE49"/>
    <mergeCell ref="CC50:CE50"/>
    <mergeCell ref="CC51:CE51"/>
    <mergeCell ref="CC52:CE52"/>
    <mergeCell ref="CC53:CE53"/>
    <mergeCell ref="CC54:CE54"/>
    <mergeCell ref="CC55:CE55"/>
    <mergeCell ref="AI65:AM65"/>
    <mergeCell ref="AI66:AM66"/>
    <mergeCell ref="AI67:AM67"/>
    <mergeCell ref="AI68:AM68"/>
    <mergeCell ref="AI69:AM69"/>
    <mergeCell ref="AI70:AM70"/>
    <mergeCell ref="AI71:AM71"/>
    <mergeCell ref="AI72:AM72"/>
    <mergeCell ref="AI64:AM64"/>
  </mergeCells>
  <phoneticPr fontId="39" type="noConversion"/>
  <conditionalFormatting sqref="B43:O74">
    <cfRule type="expression" dxfId="400" priority="36295">
      <formula>Y43=$CC$42</formula>
    </cfRule>
  </conditionalFormatting>
  <conditionalFormatting sqref="P43:T74">
    <cfRule type="expression" dxfId="399" priority="36296">
      <formula>Y43=$CC$42</formula>
    </cfRule>
  </conditionalFormatting>
  <conditionalFormatting sqref="U43:X74">
    <cfRule type="expression" dxfId="398" priority="36297">
      <formula>Y43=$CC$42</formula>
    </cfRule>
  </conditionalFormatting>
  <conditionalFormatting sqref="Y43:AB74">
    <cfRule type="expression" dxfId="397" priority="36298">
      <formula>Y43=$CC$42</formula>
    </cfRule>
  </conditionalFormatting>
  <conditionalFormatting sqref="AC43:AE74">
    <cfRule type="expression" dxfId="396" priority="36299">
      <formula>AC43=0</formula>
    </cfRule>
    <cfRule type="expression" dxfId="395" priority="36300">
      <formula>Y43=$CC$42</formula>
    </cfRule>
  </conditionalFormatting>
  <conditionalFormatting sqref="AF43:AH74">
    <cfRule type="expression" dxfId="394" priority="36301">
      <formula>AC43=0</formula>
    </cfRule>
    <cfRule type="expression" dxfId="393" priority="36302">
      <formula>Y43=$CC$42</formula>
    </cfRule>
  </conditionalFormatting>
  <conditionalFormatting sqref="AI43:AM74">
    <cfRule type="expression" dxfId="392" priority="1">
      <formula>Y43=$CC$42</formula>
    </cfRule>
    <cfRule type="expression" dxfId="391" priority="36303">
      <formula>U43=""</formula>
    </cfRule>
  </conditionalFormatting>
  <conditionalFormatting sqref="L11:M11">
    <cfRule type="expression" dxfId="390" priority="451">
      <formula>C12=""</formula>
    </cfRule>
    <cfRule type="expression" dxfId="389" priority="631">
      <formula>J12=0</formula>
    </cfRule>
  </conditionalFormatting>
  <conditionalFormatting sqref="N11">
    <cfRule type="expression" dxfId="388" priority="452">
      <formula>C12=""</formula>
    </cfRule>
  </conditionalFormatting>
  <conditionalFormatting sqref="F12">
    <cfRule type="expression" dxfId="387" priority="668">
      <formula>C12=""</formula>
    </cfRule>
  </conditionalFormatting>
  <conditionalFormatting sqref="G12:I12">
    <cfRule type="expression" dxfId="386" priority="667">
      <formula>C12=""</formula>
    </cfRule>
  </conditionalFormatting>
  <conditionalFormatting sqref="J12:K12">
    <cfRule type="expression" dxfId="385" priority="368">
      <formula>C11=""</formula>
    </cfRule>
    <cfRule type="expression" dxfId="384" priority="629">
      <formula>J12=0</formula>
    </cfRule>
  </conditionalFormatting>
  <conditionalFormatting sqref="L12:O12">
    <cfRule type="expression" dxfId="383" priority="367">
      <formula>C12=""</formula>
    </cfRule>
  </conditionalFormatting>
  <conditionalFormatting sqref="P12:R12">
    <cfRule type="expression" dxfId="382" priority="278">
      <formula>OR(G12="",AND(C12="",G12=""))</formula>
    </cfRule>
    <cfRule type="expression" dxfId="381" priority="664">
      <formula>C12=""</formula>
    </cfRule>
  </conditionalFormatting>
  <conditionalFormatting sqref="O11:R11">
    <cfRule type="expression" dxfId="380" priority="279">
      <formula>OR(G12="",AND(C12="",G12=""))</formula>
    </cfRule>
    <cfRule type="expression" dxfId="379" priority="379">
      <formula>C12=""</formula>
    </cfRule>
    <cfRule type="expression" dxfId="378" priority="637">
      <formula>J12&gt;=1</formula>
    </cfRule>
  </conditionalFormatting>
  <conditionalFormatting sqref="L12">
    <cfRule type="expression" dxfId="377" priority="662">
      <formula>J12=0</formula>
    </cfRule>
  </conditionalFormatting>
  <conditionalFormatting sqref="C11:J11">
    <cfRule type="expression" dxfId="376" priority="282">
      <formula>C12=""</formula>
    </cfRule>
    <cfRule type="expression" dxfId="375" priority="651">
      <formula>J12&gt;=1</formula>
    </cfRule>
  </conditionalFormatting>
  <conditionalFormatting sqref="K11">
    <cfRule type="expression" dxfId="374" priority="280">
      <formula>C12=""</formula>
    </cfRule>
  </conditionalFormatting>
  <conditionalFormatting sqref="L13:M13 L15:M15 L17:M17 L19:M19 L21:M21 L23:M23 L25:M25 L27:M27 L29:M29 L31:M31 L33:M33 L35:M35">
    <cfRule type="expression" dxfId="373" priority="9">
      <formula>C14=""</formula>
    </cfRule>
    <cfRule type="expression" dxfId="372" priority="12">
      <formula>J14=0</formula>
    </cfRule>
  </conditionalFormatting>
  <conditionalFormatting sqref="N13 N15 N17 N19 N21 N23 N25 N27 N29 N31 N33 N35">
    <cfRule type="expression" dxfId="371" priority="10">
      <formula>C14=""</formula>
    </cfRule>
  </conditionalFormatting>
  <conditionalFormatting sqref="F14 F16 F18 F20 F22 F24 F26 F28 F30 F32 F34 F36">
    <cfRule type="expression" dxfId="370" priority="41">
      <formula>C14=""</formula>
    </cfRule>
  </conditionalFormatting>
  <conditionalFormatting sqref="G14:I14 G16:I16 G18:I18 G20:I20 G22:I22 G24:I24 G26:I26 G28:I28 G30:I30 G32:I32 G34:I34 G36:I36">
    <cfRule type="expression" dxfId="369" priority="40">
      <formula>C14=""</formula>
    </cfRule>
  </conditionalFormatting>
  <conditionalFormatting sqref="J14:K14 J16:K16 J18:K18 J20:K20 J22:K22 J24:K24 J26:K26 J28:K28 J30:K30 J32:K32 J34:K34 J36:K36">
    <cfRule type="expression" dxfId="368" priority="7">
      <formula>C13=""</formula>
    </cfRule>
    <cfRule type="expression" dxfId="367" priority="11">
      <formula>J14=0</formula>
    </cfRule>
  </conditionalFormatting>
  <conditionalFormatting sqref="L14:O14 L16:O16 L18:O18 L20:O20 L22:O22 L24:O24 L26:O26 L28:O28 L30:O30 L32:O32 L34:O34 L36:O36">
    <cfRule type="expression" dxfId="366" priority="6">
      <formula>C14=""</formula>
    </cfRule>
  </conditionalFormatting>
  <conditionalFormatting sqref="P14:R14 P16:R16 P18:R18 P20:R20 P22:R22 P24:R24 P26:R26 P28:R28 P30:R30 P32:R32 P34:R34 P36:R36">
    <cfRule type="expression" dxfId="365" priority="2">
      <formula>OR(G14="",AND(C14="",G14=""))</formula>
    </cfRule>
    <cfRule type="expression" dxfId="364" priority="39">
      <formula>C14=""</formula>
    </cfRule>
  </conditionalFormatting>
  <conditionalFormatting sqref="O13:R13 O15:R15 O17:R17 O19:R19 O21:R21 O23:R23 O25:R25 O27:R27 O29:R29 O31:R31 O33:R33 O35:R35">
    <cfRule type="expression" dxfId="363" priority="3">
      <formula>OR(G14="",AND(C14="",G14=""))</formula>
    </cfRule>
    <cfRule type="expression" dxfId="362" priority="8">
      <formula>C14=""</formula>
    </cfRule>
    <cfRule type="expression" dxfId="361" priority="14">
      <formula>J14&gt;=1</formula>
    </cfRule>
  </conditionalFormatting>
  <conditionalFormatting sqref="L14 L16 L18 L20 L22 L24 L26 L28 L30 L32 L34 L36">
    <cfRule type="expression" dxfId="360" priority="38">
      <formula>J14=0</formula>
    </cfRule>
  </conditionalFormatting>
  <conditionalFormatting sqref="C13:J13 C15:J15 C17:J17 C19:J19 C21:J21 C23:J23 C25:J25 C27:J27 C29:J29 C31:J31 C33:J33 C35:J35">
    <cfRule type="expression" dxfId="359" priority="5">
      <formula>C14=""</formula>
    </cfRule>
    <cfRule type="expression" dxfId="358" priority="27">
      <formula>J14&gt;=1</formula>
    </cfRule>
  </conditionalFormatting>
  <conditionalFormatting sqref="K13 K15 K17 K19 K21 K23 K25 K27 K29 K31 K33 K35">
    <cfRule type="expression" dxfId="357" priority="4">
      <formula>C14=""</formula>
    </cfRule>
  </conditionalFormatting>
  <dataValidations count="17">
    <dataValidation allowBlank="1" showInputMessage="1" showErrorMessage="1" prompt="Enter address." sqref="B43:O74" xr:uid="{3F900778-8F53-4723-B255-472A415323A4}"/>
    <dataValidation allowBlank="1" showInputMessage="1" showErrorMessage="1" prompt="Enter country." sqref="P43:T74" xr:uid="{40866FEC-EFD7-4742-9DB0-C4720AF57813}"/>
    <dataValidation allowBlank="1" showInputMessage="1" showErrorMessage="1" prompt="Enter move in date." sqref="U43:X74" xr:uid="{B1203FE8-AA0B-4387-B3B6-25D81D71256A}"/>
    <dataValidation allowBlank="1" showInputMessage="1" showErrorMessage="1" promptTitle="Home Address Info" prompt="Enter details of places lived. " sqref="B41:AM42" xr:uid="{BC8F8163-66BA-41E7-B2F5-C4053CD1CCBA}"/>
    <dataValidation allowBlank="1" showInputMessage="1" showErrorMessage="1" promptTitle="Supplemental" prompt="Note important information. " sqref="AO41:BZ42" xr:uid="{50C1E0D6-9D60-4353-B111-B22AAF67EA72}"/>
    <dataValidation allowBlank="1" showInputMessage="1" showErrorMessage="1" promptTitle="Wisdom" prompt="Keep a record of any fundamental knowledge gained, important life lessons learnt and pearls of wisdom collected." sqref="B80:BZ81" xr:uid="{204080EA-16C8-4253-BC80-9EA8A637479F}"/>
    <dataValidation allowBlank="1" showInputMessage="1" showErrorMessage="1" promptTitle=" GUIDE" prompt="This is for personal info and history_x000a__x000a_Here you can:_x000a_• note any useful data and map info_x000a_• track continuous actions and input address history_x000a_• keep a record and collection of wisdom_x000a_ _x000a_Select individual cells for specific information and instructions." sqref="CA1" xr:uid="{CF8D5400-AE10-45FA-BE89-8AC7C4B237B0}"/>
    <dataValidation allowBlank="1" showInputMessage="1" showErrorMessage="1" promptTitle=" HUD = Overview" prompt=" LOGS = Journal           PLANS = Calendar_x000a_ NOTES = Ideas            TIMINGS = Schedule_x000a__x000a_ MISSIONS = Tasks_x000a_ ACTIONS = Input_x000a_ PROGRESS = Output_x000a_ JOURNEY = Status_x000a__x000a_ BOUNTY = Rewards   MONEY = Finance_x000a_ VICTORY = Success    RESPITE = Media_x000a_[GUIDE = History]" sqref="A1" xr:uid="{6CE3728E-4AAB-42D5-AAEC-D7EBEBB39978}"/>
    <dataValidation allowBlank="1" showInputMessage="1" showErrorMessage="1" promptTitle="Walkthrough" prompt="Plan out travel and note important info. " sqref="C4:R5" xr:uid="{1E8F0334-A131-426F-A6B0-AA2A5861B083}"/>
    <dataValidation type="date" allowBlank="1" showInputMessage="1" showErrorMessage="1" prompt="Enter the start date._x000a_" sqref="C12:E12 C14:E14 C16:E16 C18:E18 C20:E20 C22:E22 C24:E24 C26:E26 C28:E28 C30:E30 C32:E32 C34:E34 C36:E36" xr:uid="{9CC4254A-2A9F-44AD-AAEB-BED3AD2CA3E6}">
      <formula1>1/1/2000</formula1>
      <formula2>$AO$12</formula2>
    </dataValidation>
    <dataValidation allowBlank="1" showInputMessage="1" showErrorMessage="1" promptTitle="Action" prompt="Enter a title._x000a__x000a_In cell to the right, select the action's frequency: daily, weekly or monthly._x000a_" sqref="C11:J11 C13:J13 C15:J15 C17:J17 C19:J19 C21:J21 C23:J23 C25:J25 C27:J27 C29:J29 C31:J31 C33:J33 C35:J35" xr:uid="{852B77A6-A1BB-45A4-9188-055B34061DFD}"/>
    <dataValidation allowBlank="1" showInputMessage="1" showErrorMessage="1" prompt="Enter number of days, weeks or months missed_x000a_" sqref="J12:K12 J14:K14 J16:K16 J18:K18 J20:K20 J22:K22 J24:K24 J26:K26 J28:K28 J30:K30 J32:K32 J34:K34 J36:K36" xr:uid="{7DB7D2AC-6133-4BE0-A5A6-A8D45E056701}"/>
    <dataValidation type="list" allowBlank="1" showInputMessage="1" showErrorMessage="1" prompt="Select frequency_x000a__x000a_D = daily_x000a_W = weekly_x000a_M = monthly" sqref="K11 K13 K15 K17 K19 K21 K23 K25 K27 K29 K31 K33 K35" xr:uid="{264A54D6-0354-4DAB-86E5-A5925330A884}">
      <formula1>$U$28:$U$30</formula1>
    </dataValidation>
    <dataValidation type="list" allowBlank="1" showInputMessage="1" prompt="Continous action:_x000a_• Select present_x000a__x000a_Consistent action:_x000a_• Enter date of last update._x000a_• In cell to the right, enter number of days, weeks or months missed." sqref="G12:I12 G14:I14 G16:I16 G18:I18 G20:I20 G22:I22 G24:I24 G26:I26 G28:I28 G30:I30 G32:I32 G34:I34 G36:I36" xr:uid="{D8A81A24-D702-4DF4-8298-399ACEBB9BCC}">
      <formula1>$U$25:$U$26</formula1>
    </dataValidation>
    <dataValidation allowBlank="1" showInputMessage="1" showErrorMessage="1" promptTitle="Time Passed" prompt="Total years or months." sqref="O35:R35 O33:R33 O31:R31 O29:R29 O27:R27 O25:R25 O23:R23 O21:R21 O19:R19 O17:R17 O15:R15 O13:R13 O11:R11" xr:uid="{9F78A978-B41E-4CC8-9749-C7D3C5C3878F}"/>
    <dataValidation allowBlank="1" showInputMessage="1" showErrorMessage="1" promptTitle="Time Passed" prompt="Total days, weeks or months." sqref="P12:R12 P14:R14 P16:R16 P18:R18 P20:R20 P22:R22 P24:R24 P26:R26 P28:R28 P30:R30 P32:R32 P34:R34 P36:R36" xr:uid="{52B9C950-0D65-480D-B653-B74669659715}"/>
    <dataValidation allowBlank="1" showInputMessage="1" showErrorMessage="1" promptTitle="Actions" prompt="Examples:_x000a_• Teetotal_x000a_• Vegan_x000a_• No Sugar_x000a_• No Caffeine_x000a_• Cold Showers_x000a_• Running_x000a_• Artist_x000a_• Musician_x000a_Etc." sqref="U32:Y33" xr:uid="{65DCEBF9-A932-412A-A160-D325683CA723}"/>
  </dataValidations>
  <printOptions horizontalCentered="1" verticalCentered="1" gridLines="1"/>
  <pageMargins left="0.39370078740157483" right="0.39370078740157483" top="0.39370078740157483" bottom="0.39370078740157483" header="0" footer="0"/>
  <pageSetup paperSize="9" scale="50" fitToWidth="0" fitToHeight="0" orientation="landscape" r:id="rId1"/>
  <headerFooter>
    <oddHeader>&amp;C&amp;"Lucida Console,Bold"GAMEPLAN</oddHeader>
  </headerFooter>
  <drawing r:id="rId2"/>
  <picture r:id="rId3"/>
  <extLst>
    <ext xmlns:x14="http://schemas.microsoft.com/office/spreadsheetml/2009/9/main" uri="{78C0D931-6437-407d-A8EE-F0AAD7539E65}">
      <x14:conditionalFormattings>
        <x14:conditionalFormatting xmlns:xm="http://schemas.microsoft.com/office/excel/2006/main">
          <x14:cfRule type="expression" priority="893" id="{12FFC6DD-FCE8-4F76-9670-A6CB03A392E6}">
            <xm:f>PLANS!$F$3="JULY"</xm:f>
            <x14:dxf>
              <font>
                <color rgb="FFFF6600"/>
              </font>
            </x14:dxf>
          </x14:cfRule>
          <x14:cfRule type="expression" priority="894" id="{25D68068-002B-4769-91EC-31B022392F12}">
            <xm:f>PLANS!$F$3="JUNE"</xm:f>
            <x14:dxf>
              <font>
                <color rgb="FFFFC000"/>
              </font>
            </x14:dxf>
          </x14:cfRule>
          <x14:cfRule type="expression" priority="895" id="{1BCE705E-182A-4766-B7E2-1489946E67E1}">
            <xm:f>PLANS!$F$3="MAY"</xm:f>
            <x14:dxf>
              <font>
                <color rgb="FFEBE600"/>
              </font>
            </x14:dxf>
          </x14:cfRule>
          <x14:cfRule type="expression" priority="896" id="{816B8829-9E81-4EA7-A13F-0E1C1F70C30F}">
            <xm:f>PLANS!$F$3="APRIL"</xm:f>
            <x14:dxf>
              <font>
                <color rgb="FF92D050"/>
              </font>
            </x14:dxf>
          </x14:cfRule>
          <x14:cfRule type="expression" priority="897" id="{7D405CEF-FDE5-4E15-A73F-ACA807A84493}">
            <xm:f>PLANS!$F$3="MARCH"</xm:f>
            <x14:dxf>
              <font>
                <color rgb="FF00B050"/>
              </font>
            </x14:dxf>
          </x14:cfRule>
          <x14:cfRule type="expression" priority="898" id="{3E2836E1-94E5-4787-A032-875F5B71E304}">
            <xm:f>PLANS!$F$3="FEBRUARY"</xm:f>
            <x14:dxf>
              <font>
                <color rgb="FF00B0F0"/>
              </font>
            </x14:dxf>
          </x14:cfRule>
          <x14:cfRule type="expression" priority="899" id="{7B424D3D-09D0-4495-807C-9963CC4EA9DE}">
            <xm:f>PLANS!$F$3="JANUARY"</xm:f>
            <x14:dxf>
              <font>
                <color rgb="FF0070C0"/>
              </font>
            </x14:dxf>
          </x14:cfRule>
          <x14:cfRule type="expression" priority="900" id="{7F111AB5-1485-4F30-A3D4-81D4DD5B5A9B}">
            <xm:f>PLANS!$F$3="DECEMBER"</xm:f>
            <x14:dxf>
              <font>
                <color rgb="FF6600CC"/>
              </font>
            </x14:dxf>
          </x14:cfRule>
          <x14:cfRule type="expression" priority="901" id="{EF4DD125-1014-44B3-AA76-07544863F16E}">
            <xm:f>PLANS!$F$3="NOVEMBER"</xm:f>
            <x14:dxf>
              <font>
                <color rgb="FF9900CC"/>
              </font>
            </x14:dxf>
          </x14:cfRule>
          <x14:cfRule type="expression" priority="902" id="{E8F29DEF-106E-4608-9729-4653FE13F742}">
            <xm:f>PLANS!$F$3="OCTOBER"</xm:f>
            <x14:dxf>
              <font>
                <color rgb="FFFF00FF"/>
              </font>
            </x14:dxf>
          </x14:cfRule>
          <x14:cfRule type="expression" priority="903" id="{23D254F3-E659-47E4-85F3-C80D02DFE817}">
            <xm:f>PLANS!$F$3="SEPTEMBER"</xm:f>
            <x14:dxf>
              <font>
                <color rgb="FFFF0000"/>
              </font>
            </x14:dxf>
          </x14:cfRule>
          <x14:cfRule type="expression" priority="904" id="{7E99A1B3-EBC4-47C0-8E29-2469AB52A824}">
            <xm:f>PLANS!$F$3="AUGUST"</xm:f>
            <x14:dxf>
              <font>
                <color rgb="FFC00000"/>
              </font>
            </x14:dxf>
          </x14:cfRule>
          <xm:sqref>C4</xm:sqref>
        </x14:conditionalFormatting>
        <x14:conditionalFormatting xmlns:xm="http://schemas.microsoft.com/office/excel/2006/main">
          <x14:cfRule type="expression" priority="369" id="{0806A19D-5DD2-4F75-9FF9-1BF200F42BE4}">
            <xm:f>OR('^'!$BS$58="",'^'!$BS$58='^'!$DD$54)</xm:f>
            <x14:dxf>
              <font>
                <color rgb="FFCBCBCB"/>
              </font>
              <border>
                <bottom style="thin">
                  <color theme="0" tint="-0.14996795556505021"/>
                </bottom>
                <vertical/>
                <horizontal/>
              </border>
            </x14:dxf>
          </x14:cfRule>
          <x14:cfRule type="expression" priority="677" id="{1D6B97FD-EC68-4CF2-8638-816D6A904CD4}">
            <xm:f>PLANS!$F$3="JULY"</xm:f>
            <x14:dxf>
              <font>
                <color rgb="FFFF6600"/>
              </font>
            </x14:dxf>
          </x14:cfRule>
          <x14:cfRule type="expression" priority="678" id="{1ECA418D-B12E-450D-BB8F-397F041D2838}">
            <xm:f>PLANS!$F$3="JUNE"</xm:f>
            <x14:dxf>
              <font>
                <color rgb="FFFFC000"/>
              </font>
            </x14:dxf>
          </x14:cfRule>
          <x14:cfRule type="expression" priority="679" id="{85F64E75-A030-4071-9B40-0DC63E9D1A8C}">
            <xm:f>PLANS!$F$3="MAY"</xm:f>
            <x14:dxf>
              <font>
                <color rgb="FFEBE600"/>
              </font>
            </x14:dxf>
          </x14:cfRule>
          <x14:cfRule type="expression" priority="680" id="{9A7FEE4C-C31D-4087-8EA1-6CC6685F444F}">
            <xm:f>PLANS!$F$3="APRIL"</xm:f>
            <x14:dxf>
              <font>
                <color rgb="FF92D050"/>
              </font>
            </x14:dxf>
          </x14:cfRule>
          <x14:cfRule type="expression" priority="681" id="{41AC41DE-2DE7-4EEA-955C-F83361F59C85}">
            <xm:f>PLANS!$F$3="MARCH"</xm:f>
            <x14:dxf>
              <font>
                <color rgb="FF00B050"/>
              </font>
            </x14:dxf>
          </x14:cfRule>
          <x14:cfRule type="expression" priority="682" id="{2AD98DB2-6000-4817-88E7-F37CD759A483}">
            <xm:f>PLANS!$F$3="FEBRUARY"</xm:f>
            <x14:dxf>
              <font>
                <color rgb="FF00B0F0"/>
              </font>
            </x14:dxf>
          </x14:cfRule>
          <x14:cfRule type="expression" priority="683" id="{4ED5DBE6-E76C-4D77-B3C1-D9BF74947167}">
            <xm:f>PLANS!$F$3="JANUARY"</xm:f>
            <x14:dxf>
              <font>
                <color rgb="FF0070C0"/>
              </font>
            </x14:dxf>
          </x14:cfRule>
          <x14:cfRule type="expression" priority="684" id="{C7D21C4F-74C6-4AFF-9163-1D43E224C738}">
            <xm:f>PLANS!$F$3="DECEMBER"</xm:f>
            <x14:dxf>
              <font>
                <color rgb="FF6600CC"/>
              </font>
            </x14:dxf>
          </x14:cfRule>
          <x14:cfRule type="expression" priority="685" id="{1C611193-759C-4F18-AE32-D4DE30660AC1}">
            <xm:f>PLANS!$F$3="NOVEMBER"</xm:f>
            <x14:dxf>
              <font>
                <color rgb="FF9900CC"/>
              </font>
            </x14:dxf>
          </x14:cfRule>
          <x14:cfRule type="expression" priority="686" id="{19AFDBCE-119E-4462-891F-6FEFA3189FA1}">
            <xm:f>PLANS!$F$3="OCTOBER"</xm:f>
            <x14:dxf>
              <font>
                <color rgb="FFFF00FF"/>
              </font>
            </x14:dxf>
          </x14:cfRule>
          <x14:cfRule type="expression" priority="687" id="{E695E1CE-22DB-47A2-B19C-F1F61F75592C}">
            <xm:f>PLANS!$F$3="SEPTEMBER"</xm:f>
            <x14:dxf>
              <font>
                <color rgb="FFFF0000"/>
              </font>
            </x14:dxf>
          </x14:cfRule>
          <x14:cfRule type="expression" priority="688" id="{0E1569AE-8DC3-4A8E-ADE2-AC9F0E1DA3D6}">
            <xm:f>PLANS!$F$3="AUGUST"</xm:f>
            <x14:dxf>
              <font>
                <color rgb="FFC00000"/>
              </font>
            </x14:dxf>
          </x14:cfRule>
          <xm:sqref>C8:R8</xm:sqref>
        </x14:conditionalFormatting>
        <x14:conditionalFormatting xmlns:xm="http://schemas.microsoft.com/office/excel/2006/main">
          <x14:cfRule type="expression" priority="638" id="{0DBEC3CF-3417-42A7-8A61-ED34D5997837}">
            <xm:f>PLANS!$F$3="JULY"</xm:f>
            <x14:dxf>
              <font>
                <color rgb="FFFF6600"/>
              </font>
            </x14:dxf>
          </x14:cfRule>
          <x14:cfRule type="expression" priority="639" id="{65FEE846-BE83-4E6F-9134-7A15517B050F}">
            <xm:f>PLANS!$F$3="JUNE"</xm:f>
            <x14:dxf>
              <font>
                <color rgb="FFFFC000"/>
              </font>
            </x14:dxf>
          </x14:cfRule>
          <x14:cfRule type="expression" priority="640" id="{8C406D82-B629-4385-A7B1-112A221AD3E1}">
            <xm:f>PLANS!$F$3="MAY"</xm:f>
            <x14:dxf>
              <font>
                <color rgb="FFEBE600"/>
              </font>
            </x14:dxf>
          </x14:cfRule>
          <x14:cfRule type="expression" priority="641" id="{7A282C2F-28FF-4BC3-829C-33C98F9A3CEE}">
            <xm:f>PLANS!$F$3="APRIL"</xm:f>
            <x14:dxf>
              <font>
                <color rgb="FF92D050"/>
              </font>
            </x14:dxf>
          </x14:cfRule>
          <x14:cfRule type="expression" priority="642" id="{007EBA78-803E-45CC-A4ED-44D1277795E4}">
            <xm:f>PLANS!$F$3="MARCH"</xm:f>
            <x14:dxf>
              <font>
                <color rgb="FF00B050"/>
              </font>
            </x14:dxf>
          </x14:cfRule>
          <x14:cfRule type="expression" priority="643" id="{CD2A20F8-0932-4334-9A2F-6217474BF034}">
            <xm:f>PLANS!$F$3="FEBRUARY"</xm:f>
            <x14:dxf>
              <font>
                <color rgb="FF00B0F0"/>
              </font>
            </x14:dxf>
          </x14:cfRule>
          <x14:cfRule type="expression" priority="644" id="{417D0103-7B1F-45DE-AE67-0CF52B2BCBC7}">
            <xm:f>PLANS!$F$3="JANUARY"</xm:f>
            <x14:dxf>
              <font>
                <color rgb="FF0070C0"/>
              </font>
            </x14:dxf>
          </x14:cfRule>
          <x14:cfRule type="expression" priority="645" id="{7D86331F-69D1-437B-838A-69E9983262AE}">
            <xm:f>PLANS!$F$3="DECEMBER"</xm:f>
            <x14:dxf>
              <font>
                <color rgb="FF6600CC"/>
              </font>
            </x14:dxf>
          </x14:cfRule>
          <x14:cfRule type="expression" priority="646" id="{990AF73B-90A5-4B3E-BD5C-BCE6438B5964}">
            <xm:f>PLANS!$F$3="NOVEMBER"</xm:f>
            <x14:dxf>
              <font>
                <color rgb="FF9900CC"/>
              </font>
            </x14:dxf>
          </x14:cfRule>
          <x14:cfRule type="expression" priority="647" id="{B17ACD69-2B62-4AE4-BC00-658977B9612C}">
            <xm:f>PLANS!$F$3="OCTOBER"</xm:f>
            <x14:dxf>
              <font>
                <color rgb="FFFF00FF"/>
              </font>
            </x14:dxf>
          </x14:cfRule>
          <x14:cfRule type="expression" priority="648" id="{B18A65DE-FF7A-4C90-8302-943E6B7A8197}">
            <xm:f>PLANS!$F$3="SEPTEMBER"</xm:f>
            <x14:dxf>
              <font>
                <color rgb="FFFF0000"/>
              </font>
            </x14:dxf>
          </x14:cfRule>
          <x14:cfRule type="expression" priority="57998" id="{0C6AAE17-9960-4934-A95F-3B059969771B}">
            <xm:f>PLANS!$F$3="AUGUST"</xm:f>
            <x14:dxf>
              <font>
                <color rgb="FFC00000"/>
              </font>
            </x14:dxf>
          </x14:cfRule>
          <xm:sqref>O11:R11</xm:sqref>
        </x14:conditionalFormatting>
        <x14:conditionalFormatting xmlns:xm="http://schemas.microsoft.com/office/excel/2006/main">
          <x14:cfRule type="expression" priority="575" id="{6EA11016-D4D7-4B7A-A18F-51AB00BA85CE}">
            <xm:f>PLANS!$F$3="JUNE"</xm:f>
            <x14:dxf>
              <font>
                <color rgb="FFFFC000"/>
              </font>
            </x14:dxf>
          </x14:cfRule>
          <x14:cfRule type="expression" priority="576" id="{615CBA44-8CD7-4694-90D8-FEB0A77A423A}">
            <xm:f>PLANS!$F$3="MAY"</xm:f>
            <x14:dxf>
              <font>
                <color rgb="FFEBE600"/>
              </font>
            </x14:dxf>
          </x14:cfRule>
          <x14:cfRule type="expression" priority="577" id="{1D9778D2-B6E5-40AA-8D00-079989BF2B2F}">
            <xm:f>PLANS!$F$3="APRIL"</xm:f>
            <x14:dxf>
              <font>
                <color rgb="FF92D050"/>
              </font>
            </x14:dxf>
          </x14:cfRule>
          <x14:cfRule type="expression" priority="578" id="{C965E4D9-68A8-4E2B-A055-A60354F1C03E}">
            <xm:f>PLANS!$F$3="MARCH"</xm:f>
            <x14:dxf>
              <font>
                <color rgb="FF00B050"/>
              </font>
            </x14:dxf>
          </x14:cfRule>
          <x14:cfRule type="expression" priority="579" id="{9CA8C2AA-7F97-4083-A918-83ECA3095069}">
            <xm:f>PLANS!$F$3="FEBRUARY"</xm:f>
            <x14:dxf>
              <font>
                <color rgb="FF00B0F0"/>
              </font>
            </x14:dxf>
          </x14:cfRule>
          <x14:cfRule type="expression" priority="580" id="{C3F9A7C8-38D5-479F-8539-46A2B2483D7A}">
            <xm:f>PLANS!$F$3="JANUARY"</xm:f>
            <x14:dxf>
              <font>
                <color rgb="FF0070C0"/>
              </font>
            </x14:dxf>
          </x14:cfRule>
          <x14:cfRule type="expression" priority="581" id="{1D13FCAC-B064-46CB-8F43-D921173F96F2}">
            <xm:f>PLANS!$F$3="DECEMBER"</xm:f>
            <x14:dxf>
              <font>
                <color rgb="FF6600CC"/>
              </font>
            </x14:dxf>
          </x14:cfRule>
          <x14:cfRule type="expression" priority="582" id="{378BD9E6-0508-4D2E-B94F-9DB8AB77A14E}">
            <xm:f>PLANS!$F$3="NOVEMBER"</xm:f>
            <x14:dxf>
              <font>
                <color rgb="FF9900CC"/>
              </font>
            </x14:dxf>
          </x14:cfRule>
          <x14:cfRule type="expression" priority="583" id="{A0E4110B-6BCC-4672-9605-EF7335503355}">
            <xm:f>PLANS!$F$3="OCTOBER"</xm:f>
            <x14:dxf>
              <font>
                <color rgb="FFFF00FF"/>
              </font>
            </x14:dxf>
          </x14:cfRule>
          <x14:cfRule type="expression" priority="584" id="{63A570BA-3BEE-430F-ADB2-77FBD8E125D9}">
            <xm:f>PLANS!$F$3="SEPTEMBER"</xm:f>
            <x14:dxf>
              <font>
                <color rgb="FFFF0000"/>
              </font>
            </x14:dxf>
          </x14:cfRule>
          <x14:cfRule type="expression" priority="585" id="{BD809EFF-5BFE-4F52-93E1-127C75A928AA}">
            <xm:f>PLANS!$F$3="AUGUST"</xm:f>
            <x14:dxf>
              <font>
                <color rgb="FFC00000"/>
              </font>
            </x14:dxf>
          </x14:cfRule>
          <x14:cfRule type="expression" priority="586" id="{22C821E3-45F8-4FB6-B1D3-534344EA5D59}">
            <xm:f>PLANS!$F$3="JULY"</xm:f>
            <x14:dxf>
              <font>
                <color rgb="FFFF6600"/>
              </font>
            </x14:dxf>
          </x14:cfRule>
          <xm:sqref>U32</xm:sqref>
        </x14:conditionalFormatting>
        <x14:conditionalFormatting xmlns:xm="http://schemas.microsoft.com/office/excel/2006/main">
          <x14:cfRule type="expression" priority="652" id="{C7256600-40D0-4E1C-BF07-9F52C0EA50B1}">
            <xm:f>PLANS!$F$3="JULY"</xm:f>
            <x14:dxf>
              <font>
                <color rgb="FFFF6600"/>
              </font>
            </x14:dxf>
          </x14:cfRule>
          <x14:cfRule type="expression" priority="653" id="{95DD774D-15FD-496A-B741-020A303362B1}">
            <xm:f>PLANS!$F$3="JUNE"</xm:f>
            <x14:dxf>
              <font>
                <color rgb="FFFFC000"/>
              </font>
            </x14:dxf>
          </x14:cfRule>
          <x14:cfRule type="expression" priority="654" id="{5AADAB2A-6847-410C-99CA-3C42EB0E0907}">
            <xm:f>PLANS!$F$3="MAY"</xm:f>
            <x14:dxf>
              <font>
                <color rgb="FFEBE600"/>
              </font>
            </x14:dxf>
          </x14:cfRule>
          <x14:cfRule type="expression" priority="655" id="{737B11C4-6410-4784-953D-E5085EAAEB5B}">
            <xm:f>PLANS!$F$3="APRIL"</xm:f>
            <x14:dxf>
              <font>
                <color rgb="FF92D050"/>
              </font>
            </x14:dxf>
          </x14:cfRule>
          <x14:cfRule type="expression" priority="656" id="{8F84C7DA-5B16-4F50-A2B3-DA45E801BF2A}">
            <xm:f>PLANS!$F$3="MARCH"</xm:f>
            <x14:dxf>
              <font>
                <color rgb="FF00B050"/>
              </font>
            </x14:dxf>
          </x14:cfRule>
          <x14:cfRule type="expression" priority="657" id="{CDD99BC9-BDAD-4CF3-9BAC-ACCC1898FFD9}">
            <xm:f>PLANS!$F$3="FEBRUARY"</xm:f>
            <x14:dxf>
              <font>
                <color rgb="FF00B0F0"/>
              </font>
            </x14:dxf>
          </x14:cfRule>
          <x14:cfRule type="expression" priority="658" id="{F425213E-7281-49AE-9214-34B4F288D341}">
            <xm:f>PLANS!$F$3="JANUARY"</xm:f>
            <x14:dxf>
              <font>
                <color rgb="FF0070C0"/>
              </font>
            </x14:dxf>
          </x14:cfRule>
          <x14:cfRule type="expression" priority="659" id="{992F7261-6F83-4C51-A15C-88464824CF0C}">
            <xm:f>PLANS!$F$3="DECEMBER"</xm:f>
            <x14:dxf>
              <font>
                <color rgb="FF6600CC"/>
              </font>
            </x14:dxf>
          </x14:cfRule>
          <x14:cfRule type="expression" priority="660" id="{4B53D27B-81E1-47B1-B601-69562ADD8E10}">
            <xm:f>PLANS!$F$3="NOVEMBER"</xm:f>
            <x14:dxf>
              <font>
                <color rgb="FF9900CC"/>
              </font>
            </x14:dxf>
          </x14:cfRule>
          <x14:cfRule type="expression" priority="661" id="{4D512374-4F84-42FF-BE9B-3FEACFDF943D}">
            <xm:f>PLANS!$F$3="OCTOBER"</xm:f>
            <x14:dxf>
              <font>
                <color rgb="FFFF00FF"/>
              </font>
            </x14:dxf>
          </x14:cfRule>
          <x14:cfRule type="expression" priority="57461" id="{357CC017-7952-47C6-B3BE-AED16DD067F1}">
            <xm:f>PLANS!$F$3="SEPTEMBER"</xm:f>
            <x14:dxf>
              <font>
                <color rgb="FFFF0000"/>
              </font>
            </x14:dxf>
          </x14:cfRule>
          <x14:cfRule type="expression" priority="58011" id="{3038C7F2-CCFF-48ED-911B-CA39C231F04E}">
            <xm:f>PLANS!$F$3="AUGUST"</xm:f>
            <x14:dxf>
              <font>
                <color rgb="FFC00000"/>
              </font>
            </x14:dxf>
          </x14:cfRule>
          <xm:sqref>C11</xm:sqref>
        </x14:conditionalFormatting>
        <x14:conditionalFormatting xmlns:xm="http://schemas.microsoft.com/office/excel/2006/main">
          <x14:cfRule type="expression" priority="57972" id="{4388C576-83A7-4457-B31B-F5D43C6E6BC0}">
            <xm:f>G12&lt;'^'!$CC$58-$U$24</xm:f>
            <x14:dxf>
              <font>
                <color theme="0" tint="-0.34998626667073579"/>
              </font>
              <border>
                <bottom style="thin">
                  <color theme="0" tint="-0.24994659260841701"/>
                </bottom>
                <vertical/>
                <horizontal/>
              </border>
            </x14:dxf>
          </x14:cfRule>
          <xm:sqref>L11:M11</xm:sqref>
        </x14:conditionalFormatting>
        <x14:conditionalFormatting xmlns:xm="http://schemas.microsoft.com/office/excel/2006/main">
          <x14:cfRule type="expression" priority="57985" id="{0BC297A7-C850-4ABE-9F78-A350A6F0EF42}">
            <xm:f>G12&lt;'^'!$CC$58-$U$24</xm:f>
            <x14:dxf>
              <font>
                <color theme="0" tint="-0.34998626667073579"/>
              </font>
              <border>
                <bottom style="thin">
                  <color theme="0" tint="-0.24994659260841701"/>
                </bottom>
                <vertical/>
                <horizontal/>
              </border>
            </x14:dxf>
          </x14:cfRule>
          <xm:sqref>N11</xm:sqref>
        </x14:conditionalFormatting>
        <x14:conditionalFormatting xmlns:xm="http://schemas.microsoft.com/office/excel/2006/main">
          <x14:cfRule type="expression" priority="633" id="{DA7D57CF-9F6E-4E35-86C2-70DCB9B4B201}">
            <xm:f>G12&lt;'^'!$CC$58-$U$24</xm:f>
            <x14:dxf>
              <font>
                <color theme="0" tint="-0.34998626667073579"/>
              </font>
              <border>
                <bottom style="thin">
                  <color theme="0" tint="-0.24994659260841701"/>
                </bottom>
                <vertical/>
                <horizontal/>
              </border>
            </x14:dxf>
          </x14:cfRule>
          <xm:sqref>O11:R11</xm:sqref>
        </x14:conditionalFormatting>
        <x14:conditionalFormatting xmlns:xm="http://schemas.microsoft.com/office/excel/2006/main">
          <x14:cfRule type="expression" priority="650" id="{1CB29CC7-977C-45AB-9E0C-F9C5008C9A09}">
            <xm:f>G12&lt;'^'!$CC$58-$U$24</xm:f>
            <x14:dxf>
              <font>
                <color theme="0" tint="-0.34998626667073579"/>
              </font>
              <border>
                <bottom style="thin">
                  <color theme="0" tint="-0.24994659260841701"/>
                </bottom>
              </border>
            </x14:dxf>
          </x14:cfRule>
          <xm:sqref>C11:J11</xm:sqref>
        </x14:conditionalFormatting>
        <x14:conditionalFormatting xmlns:xm="http://schemas.microsoft.com/office/excel/2006/main">
          <x14:cfRule type="expression" priority="58024" id="{C389BB76-8F60-405B-9D05-46FDD2A4A5CF}">
            <xm:f>G12&lt;'^'!$CC$58-$U$24</xm:f>
            <x14:dxf>
              <border>
                <bottom style="thin">
                  <color theme="0" tint="-0.24994659260841701"/>
                </bottom>
                <vertical/>
                <horizontal/>
              </border>
            </x14:dxf>
          </x14:cfRule>
          <xm:sqref>K11</xm:sqref>
        </x14:conditionalFormatting>
        <x14:conditionalFormatting xmlns:xm="http://schemas.microsoft.com/office/excel/2006/main">
          <x14:cfRule type="expression" priority="15" id="{E2F5FF74-72C3-4583-BDE5-6DE53F421474}">
            <xm:f>PLANS!$F$3="JULY"</xm:f>
            <x14:dxf>
              <font>
                <color rgb="FFFF6600"/>
              </font>
            </x14:dxf>
          </x14:cfRule>
          <x14:cfRule type="expression" priority="16" id="{C28A7A44-55D9-4B8B-99A8-CB1228D54135}">
            <xm:f>PLANS!$F$3="JUNE"</xm:f>
            <x14:dxf>
              <font>
                <color rgb="FFFFC000"/>
              </font>
            </x14:dxf>
          </x14:cfRule>
          <x14:cfRule type="expression" priority="17" id="{818B7A89-DD46-4176-BBF2-8D7DA6386F0A}">
            <xm:f>PLANS!$F$3="MAY"</xm:f>
            <x14:dxf>
              <font>
                <color rgb="FFEBE600"/>
              </font>
            </x14:dxf>
          </x14:cfRule>
          <x14:cfRule type="expression" priority="18" id="{D91B3AD2-4C0E-4D1A-9FBE-411FC62E1CC4}">
            <xm:f>PLANS!$F$3="APRIL"</xm:f>
            <x14:dxf>
              <font>
                <color rgb="FF92D050"/>
              </font>
            </x14:dxf>
          </x14:cfRule>
          <x14:cfRule type="expression" priority="19" id="{36F42D2F-18C7-471C-BA0C-D7E6EA79327D}">
            <xm:f>PLANS!$F$3="MARCH"</xm:f>
            <x14:dxf>
              <font>
                <color rgb="FF00B050"/>
              </font>
            </x14:dxf>
          </x14:cfRule>
          <x14:cfRule type="expression" priority="20" id="{FD518B49-AAE6-4458-9743-6FA46F10820E}">
            <xm:f>PLANS!$F$3="FEBRUARY"</xm:f>
            <x14:dxf>
              <font>
                <color rgb="FF00B0F0"/>
              </font>
            </x14:dxf>
          </x14:cfRule>
          <x14:cfRule type="expression" priority="21" id="{C298FA62-A207-4F59-A922-5B565618E6D7}">
            <xm:f>PLANS!$F$3="JANUARY"</xm:f>
            <x14:dxf>
              <font>
                <color rgb="FF0070C0"/>
              </font>
            </x14:dxf>
          </x14:cfRule>
          <x14:cfRule type="expression" priority="22" id="{FB077E72-2A3E-4315-B93B-67251FA8E7A7}">
            <xm:f>PLANS!$F$3="DECEMBER"</xm:f>
            <x14:dxf>
              <font>
                <color rgb="FF6600CC"/>
              </font>
            </x14:dxf>
          </x14:cfRule>
          <x14:cfRule type="expression" priority="23" id="{43AA55C8-22A9-43A9-8A9B-ECAC27B708B3}">
            <xm:f>PLANS!$F$3="NOVEMBER"</xm:f>
            <x14:dxf>
              <font>
                <color rgb="FF9900CC"/>
              </font>
            </x14:dxf>
          </x14:cfRule>
          <x14:cfRule type="expression" priority="24" id="{F6BA6768-7F5E-4503-8FEC-D0F762315C86}">
            <xm:f>PLANS!$F$3="OCTOBER"</xm:f>
            <x14:dxf>
              <font>
                <color rgb="FFFF00FF"/>
              </font>
            </x14:dxf>
          </x14:cfRule>
          <x14:cfRule type="expression" priority="25" id="{DE5E92C7-0FD0-47BE-A8B2-F3F2BB702D81}">
            <xm:f>PLANS!$F$3="SEPTEMBER"</xm:f>
            <x14:dxf>
              <font>
                <color rgb="FFFF0000"/>
              </font>
            </x14:dxf>
          </x14:cfRule>
          <x14:cfRule type="expression" priority="45" id="{0CA2B16A-2F32-424D-8C3D-0EFC509D6256}">
            <xm:f>PLANS!$F$3="AUGUST"</xm:f>
            <x14:dxf>
              <font>
                <color rgb="FFC00000"/>
              </font>
            </x14:dxf>
          </x14:cfRule>
          <xm:sqref>O13:R13 O15:R15 O17:R17 O19:R19 O21:R21 O23:R23 O25:R25 O27:R27 O29:R29 O31:R31 O33:R33 O35:R35</xm:sqref>
        </x14:conditionalFormatting>
        <x14:conditionalFormatting xmlns:xm="http://schemas.microsoft.com/office/excel/2006/main">
          <x14:cfRule type="expression" priority="28" id="{F09174E3-A598-4C31-B793-386102FE6EA3}">
            <xm:f>PLANS!$F$3="JULY"</xm:f>
            <x14:dxf>
              <font>
                <color rgb="FFFF6600"/>
              </font>
            </x14:dxf>
          </x14:cfRule>
          <x14:cfRule type="expression" priority="29" id="{F8CA3314-FD13-4095-B10E-5C1C21AB1021}">
            <xm:f>PLANS!$F$3="JUNE"</xm:f>
            <x14:dxf>
              <font>
                <color rgb="FFFFC000"/>
              </font>
            </x14:dxf>
          </x14:cfRule>
          <x14:cfRule type="expression" priority="30" id="{D4F5A7F9-1A91-432F-89FD-A96545567E7C}">
            <xm:f>PLANS!$F$3="MAY"</xm:f>
            <x14:dxf>
              <font>
                <color rgb="FFEBE600"/>
              </font>
            </x14:dxf>
          </x14:cfRule>
          <x14:cfRule type="expression" priority="31" id="{BEF22B30-90FD-4124-B72C-C99D4A6A3C49}">
            <xm:f>PLANS!$F$3="APRIL"</xm:f>
            <x14:dxf>
              <font>
                <color rgb="FF92D050"/>
              </font>
            </x14:dxf>
          </x14:cfRule>
          <x14:cfRule type="expression" priority="32" id="{458CAB74-1570-4DDC-BBE0-3E3577AA145F}">
            <xm:f>PLANS!$F$3="MARCH"</xm:f>
            <x14:dxf>
              <font>
                <color rgb="FF00B050"/>
              </font>
            </x14:dxf>
          </x14:cfRule>
          <x14:cfRule type="expression" priority="33" id="{F9A2F4AC-231D-46B3-8D32-B0C3A8370CA3}">
            <xm:f>PLANS!$F$3="FEBRUARY"</xm:f>
            <x14:dxf>
              <font>
                <color rgb="FF00B0F0"/>
              </font>
            </x14:dxf>
          </x14:cfRule>
          <x14:cfRule type="expression" priority="34" id="{73EADD05-C325-4D1C-8DCB-8B1A1CDD9C9F}">
            <xm:f>PLANS!$F$3="JANUARY"</xm:f>
            <x14:dxf>
              <font>
                <color rgb="FF0070C0"/>
              </font>
            </x14:dxf>
          </x14:cfRule>
          <x14:cfRule type="expression" priority="35" id="{12753EAF-75EC-4117-A5E4-CF203ECEDCB0}">
            <xm:f>PLANS!$F$3="DECEMBER"</xm:f>
            <x14:dxf>
              <font>
                <color rgb="FF6600CC"/>
              </font>
            </x14:dxf>
          </x14:cfRule>
          <x14:cfRule type="expression" priority="36" id="{8AA9A2CC-B4C7-4206-B561-94899344D19D}">
            <xm:f>PLANS!$F$3="NOVEMBER"</xm:f>
            <x14:dxf>
              <font>
                <color rgb="FF9900CC"/>
              </font>
            </x14:dxf>
          </x14:cfRule>
          <x14:cfRule type="expression" priority="37" id="{E8C7636E-D6B3-439A-88BA-8BCB6D1D69F0}">
            <xm:f>PLANS!$F$3="OCTOBER"</xm:f>
            <x14:dxf>
              <font>
                <color rgb="FFFF00FF"/>
              </font>
            </x14:dxf>
          </x14:cfRule>
          <x14:cfRule type="expression" priority="42" id="{00B98AD9-4DCD-40D3-A6C9-579BEDDC1BF1}">
            <xm:f>PLANS!$F$3="SEPTEMBER"</xm:f>
            <x14:dxf>
              <font>
                <color rgb="FFFF0000"/>
              </font>
            </x14:dxf>
          </x14:cfRule>
          <x14:cfRule type="expression" priority="46" id="{D716BAE9-0904-4D1A-9DD2-36DAF401FF4B}">
            <xm:f>PLANS!$F$3="AUGUST"</xm:f>
            <x14:dxf>
              <font>
                <color rgb="FFC00000"/>
              </font>
            </x14:dxf>
          </x14:cfRule>
          <xm:sqref>C13 C15 C17 C19 C21 C23 C25 C27 C29 C31 C33 C35</xm:sqref>
        </x14:conditionalFormatting>
        <x14:conditionalFormatting xmlns:xm="http://schemas.microsoft.com/office/excel/2006/main">
          <x14:cfRule type="expression" priority="43" id="{C9F5991A-5166-477D-9180-69444DD080BF}">
            <xm:f>G14&lt;'^'!$CC$58-$U$24</xm:f>
            <x14:dxf>
              <font>
                <color theme="0" tint="-0.34998626667073579"/>
              </font>
              <border>
                <bottom style="thin">
                  <color theme="0" tint="-0.24994659260841701"/>
                </bottom>
                <vertical/>
                <horizontal/>
              </border>
            </x14:dxf>
          </x14:cfRule>
          <xm:sqref>L13:M13 L15:M15 L17:M17 L19:M19 L21:M21 L23:M23 L25:M25 L27:M27 L29:M29 L31:M31 L33:M33 L35:M35</xm:sqref>
        </x14:conditionalFormatting>
        <x14:conditionalFormatting xmlns:xm="http://schemas.microsoft.com/office/excel/2006/main">
          <x14:cfRule type="expression" priority="44" id="{C779D104-4D44-4A20-81C6-9FABFFAB47C2}">
            <xm:f>G14&lt;'^'!$CC$58-$U$24</xm:f>
            <x14:dxf>
              <font>
                <color theme="0" tint="-0.34998626667073579"/>
              </font>
              <border>
                <bottom style="thin">
                  <color theme="0" tint="-0.24994659260841701"/>
                </bottom>
                <vertical/>
                <horizontal/>
              </border>
            </x14:dxf>
          </x14:cfRule>
          <xm:sqref>N13 N15 N17 N19 N21 N23 N25 N27 N29 N31 N33 N35</xm:sqref>
        </x14:conditionalFormatting>
        <x14:conditionalFormatting xmlns:xm="http://schemas.microsoft.com/office/excel/2006/main">
          <x14:cfRule type="expression" priority="13" id="{4F573606-D0C2-432C-AA07-3B8DD16F7973}">
            <xm:f>G14&lt;'^'!$CC$58-$U$24</xm:f>
            <x14:dxf>
              <font>
                <color theme="0" tint="-0.34998626667073579"/>
              </font>
              <border>
                <bottom style="thin">
                  <color theme="0" tint="-0.24994659260841701"/>
                </bottom>
                <vertical/>
                <horizontal/>
              </border>
            </x14:dxf>
          </x14:cfRule>
          <xm:sqref>O13:R13 O15:R15 O17:R17 O19:R19 O21:R21 O23:R23 O25:R25 O27:R27 O29:R29 O31:R31 O33:R33 O35:R35</xm:sqref>
        </x14:conditionalFormatting>
        <x14:conditionalFormatting xmlns:xm="http://schemas.microsoft.com/office/excel/2006/main">
          <x14:cfRule type="expression" priority="26" id="{22012D66-F1FA-46BC-9413-BA52F871D40E}">
            <xm:f>G14&lt;'^'!$CC$58-$U$24</xm:f>
            <x14:dxf>
              <font>
                <color theme="0" tint="-0.34998626667073579"/>
              </font>
              <border>
                <bottom style="thin">
                  <color theme="0" tint="-0.24994659260841701"/>
                </bottom>
              </border>
            </x14:dxf>
          </x14:cfRule>
          <xm:sqref>C13:J13 C15:J15 C17:J17 C19:J19 C21:J21 C23:J23 C25:J25 C27:J27 C29:J29 C31:J31 C33:J33 C35:J35</xm:sqref>
        </x14:conditionalFormatting>
        <x14:conditionalFormatting xmlns:xm="http://schemas.microsoft.com/office/excel/2006/main">
          <x14:cfRule type="expression" priority="47" id="{29FF5218-790F-4DD3-BD30-334B3076284B}">
            <xm:f>G14&lt;'^'!$CC$58-$U$24</xm:f>
            <x14:dxf>
              <border>
                <bottom style="thin">
                  <color theme="0" tint="-0.24994659260841701"/>
                </bottom>
                <vertical/>
                <horizontal/>
              </border>
            </x14:dxf>
          </x14:cfRule>
          <xm:sqref>K13 K15 K17 K19 K21 K23 K25 K27 K29 K31 K33 K35</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6AB34-9B38-4264-97C1-913E6D97520D}">
  <sheetPr codeName="Sheet17"/>
  <dimension ref="A1:LA291"/>
  <sheetViews>
    <sheetView showGridLines="0" zoomScaleNormal="100" workbookViewId="0">
      <selection activeCell="A2" sqref="A2"/>
    </sheetView>
  </sheetViews>
  <sheetFormatPr defaultColWidth="5.7109375" defaultRowHeight="17.100000000000001" customHeight="1" x14ac:dyDescent="0.2"/>
  <cols>
    <col min="1" max="132" width="9.28515625" style="1770" customWidth="1"/>
    <col min="133" max="150" width="9.28515625" style="1808" customWidth="1"/>
    <col min="151" max="167" width="9.28515625" style="1770" customWidth="1"/>
    <col min="168" max="232" width="4.7109375" style="1770" customWidth="1"/>
    <col min="233" max="234" width="9.28515625" style="1770" customWidth="1"/>
    <col min="235" max="235" width="8.140625" style="1770" customWidth="1"/>
    <col min="236" max="236" width="12.28515625" style="1770" customWidth="1"/>
    <col min="237" max="257" width="5.7109375" style="1770"/>
    <col min="258" max="258" width="6.5703125" style="1770" customWidth="1"/>
    <col min="259" max="259" width="96.85546875" style="1770" customWidth="1"/>
    <col min="260" max="260" width="137.140625" style="1770" customWidth="1"/>
    <col min="261" max="261" width="44.85546875" style="1770" customWidth="1"/>
    <col min="262" max="262" width="5.7109375" style="1770"/>
    <col min="263" max="263" width="15.7109375" style="1770" customWidth="1"/>
    <col min="264" max="273" width="14.42578125" style="1770" customWidth="1"/>
    <col min="274" max="274" width="14.5703125" style="1770" customWidth="1"/>
    <col min="275" max="275" width="10" style="1930" customWidth="1"/>
    <col min="276" max="276" width="18.42578125" style="1764" customWidth="1"/>
    <col min="277" max="277" width="8.28515625" style="1930" customWidth="1"/>
    <col min="278" max="278" width="18.85546875" style="1764" customWidth="1"/>
    <col min="279" max="279" width="8.28515625" style="1921" customWidth="1"/>
    <col min="280" max="280" width="41.42578125" style="1770" customWidth="1"/>
    <col min="281" max="281" width="6" style="1770" customWidth="1"/>
    <col min="282" max="282" width="41.42578125" style="1770" customWidth="1"/>
    <col min="283" max="283" width="5.42578125" style="1770" customWidth="1"/>
    <col min="284" max="284" width="41.42578125" style="1770" customWidth="1"/>
    <col min="285" max="285" width="6.5703125" style="1770" customWidth="1"/>
    <col min="286" max="286" width="41.42578125" style="1770" customWidth="1"/>
    <col min="287" max="287" width="6.7109375" style="1770" customWidth="1"/>
    <col min="288" max="288" width="41.42578125" style="1770" customWidth="1"/>
    <col min="289" max="289" width="6.5703125" style="1770" customWidth="1"/>
    <col min="290" max="290" width="5.7109375" style="1770"/>
    <col min="291" max="291" width="6.7109375" style="1770" customWidth="1"/>
    <col min="292" max="292" width="5.7109375" style="1770"/>
    <col min="293" max="293" width="6.7109375" style="1770" customWidth="1"/>
    <col min="294" max="294" width="5.7109375" style="1770"/>
    <col min="295" max="295" width="8.28515625" style="1770" customWidth="1"/>
    <col min="296" max="296" width="5.7109375" style="1770"/>
    <col min="297" max="297" width="7.5703125" style="1770" customWidth="1"/>
    <col min="298" max="302" width="5.7109375" style="1770"/>
    <col min="303" max="303" width="10.140625" style="1770" customWidth="1"/>
    <col min="304" max="304" width="20.85546875" style="1770" customWidth="1"/>
    <col min="305" max="305" width="10" style="1770" customWidth="1"/>
    <col min="306" max="306" width="18.28515625" style="1770" customWidth="1"/>
    <col min="307" max="307" width="5.7109375" style="1770"/>
    <col min="308" max="308" width="9.85546875" style="1770" customWidth="1"/>
    <col min="309" max="309" width="17.85546875" style="1770" customWidth="1"/>
    <col min="310" max="310" width="8.140625" style="1770" customWidth="1"/>
    <col min="311" max="311" width="20.7109375" style="1770" customWidth="1"/>
    <col min="312" max="312" width="5.7109375" style="1770"/>
    <col min="313" max="313" width="40.140625" style="1770" customWidth="1"/>
    <col min="314" max="16384" width="5.7109375" style="1770"/>
  </cols>
  <sheetData>
    <row r="1" spans="2:279" s="1741" customFormat="1" ht="17.100000000000001" customHeight="1" x14ac:dyDescent="0.3">
      <c r="EB1" s="1740"/>
      <c r="JO1" s="1742"/>
      <c r="JQ1" s="1742"/>
      <c r="JS1" s="1742"/>
    </row>
    <row r="2" spans="2:279" s="613" customFormat="1" ht="17.100000000000001" customHeight="1" x14ac:dyDescent="0.2">
      <c r="B2" s="3302" t="s">
        <v>1219</v>
      </c>
      <c r="C2" s="3302"/>
      <c r="D2" s="3303"/>
      <c r="E2" s="3303"/>
      <c r="G2" s="3304" t="s">
        <v>2362</v>
      </c>
      <c r="V2" s="3500"/>
      <c r="W2" s="3500"/>
      <c r="BB2" s="1271" t="s">
        <v>1233</v>
      </c>
      <c r="EB2" s="3300"/>
      <c r="JO2" s="1751"/>
      <c r="JQ2" s="1751"/>
      <c r="JS2" s="1751"/>
    </row>
    <row r="3" spans="2:279" s="1741" customFormat="1" ht="17.100000000000001" customHeight="1" x14ac:dyDescent="0.25">
      <c r="B3" s="1744"/>
      <c r="C3" s="1743"/>
      <c r="JO3" s="1742"/>
      <c r="JQ3" s="1742"/>
      <c r="JS3" s="1742"/>
    </row>
    <row r="4" spans="2:279" s="38" customFormat="1" ht="17.100000000000001" customHeight="1" x14ac:dyDescent="0.25">
      <c r="B4" s="1745">
        <v>1</v>
      </c>
      <c r="C4" s="3104" t="s">
        <v>2052</v>
      </c>
      <c r="D4" s="1746"/>
      <c r="E4" s="1747"/>
      <c r="F4" s="3104" t="s">
        <v>2053</v>
      </c>
      <c r="G4" s="1747"/>
      <c r="H4" s="1747"/>
      <c r="I4" s="3104" t="s">
        <v>2054</v>
      </c>
      <c r="J4" s="1747"/>
      <c r="K4" s="1747"/>
      <c r="L4" s="3104" t="s">
        <v>44</v>
      </c>
      <c r="M4" s="1747"/>
      <c r="N4" s="1748"/>
      <c r="P4" s="1745">
        <v>2</v>
      </c>
      <c r="Q4" s="1747"/>
      <c r="R4" s="1747"/>
      <c r="S4" s="1748"/>
      <c r="U4" s="1745">
        <v>3</v>
      </c>
      <c r="V4" s="3104" t="s">
        <v>2052</v>
      </c>
      <c r="W4" s="1746"/>
      <c r="X4" s="1747"/>
      <c r="Y4" s="3104" t="s">
        <v>2053</v>
      </c>
      <c r="Z4" s="1747"/>
      <c r="AA4" s="1748"/>
      <c r="AC4" s="1745">
        <v>4</v>
      </c>
      <c r="AD4" s="1747"/>
      <c r="AE4" s="1747"/>
      <c r="AF4" s="1748"/>
      <c r="AH4" s="1745">
        <v>5</v>
      </c>
      <c r="AI4" s="1747"/>
      <c r="AJ4" s="1747"/>
      <c r="AK4" s="1748"/>
      <c r="AM4" s="1745">
        <v>6</v>
      </c>
      <c r="AN4" s="1747"/>
      <c r="AO4" s="1747"/>
      <c r="AP4" s="1748"/>
      <c r="AR4" s="1745">
        <v>7</v>
      </c>
      <c r="AS4" s="1747"/>
      <c r="AT4" s="1747"/>
      <c r="AU4" s="1748"/>
      <c r="AW4" s="1745">
        <v>8</v>
      </c>
      <c r="AX4" s="1747"/>
      <c r="AY4" s="1747"/>
      <c r="AZ4" s="1748"/>
      <c r="BB4" s="1745">
        <v>9</v>
      </c>
      <c r="BC4" s="1747"/>
      <c r="BD4" s="1747"/>
      <c r="BE4" s="1747"/>
      <c r="BF4" s="1747"/>
      <c r="BG4" s="1747"/>
      <c r="BH4" s="1747"/>
      <c r="BI4" s="1747"/>
      <c r="BJ4" s="1748"/>
      <c r="BL4" s="1745">
        <v>10</v>
      </c>
      <c r="BM4" s="1747"/>
      <c r="BN4" s="1747"/>
      <c r="BO4" s="1747"/>
      <c r="BP4" s="1747"/>
      <c r="BQ4" s="1747"/>
      <c r="BR4" s="1747"/>
      <c r="BS4" s="1747"/>
      <c r="BT4" s="1747"/>
      <c r="BU4" s="1747"/>
      <c r="BV4" s="1748"/>
      <c r="BY4" s="1745"/>
      <c r="BZ4" s="1747"/>
      <c r="CA4" s="1747"/>
      <c r="CB4" s="1747"/>
      <c r="CC4" s="1747"/>
      <c r="CD4" s="1747"/>
      <c r="CE4" s="1747"/>
      <c r="CF4" s="1747"/>
      <c r="CG4" s="1747"/>
      <c r="CH4" s="1747"/>
      <c r="CI4" s="1748"/>
      <c r="CX4" s="1745"/>
      <c r="CY4" s="1747"/>
      <c r="CZ4" s="1747"/>
      <c r="DA4" s="1748"/>
      <c r="JO4" s="1749"/>
      <c r="JQ4" s="1749"/>
      <c r="JS4" s="1749"/>
    </row>
    <row r="5" spans="2:279" s="613" customFormat="1" ht="17.100000000000001" customHeight="1" x14ac:dyDescent="0.2">
      <c r="B5" s="1159"/>
      <c r="C5" s="1750" t="s">
        <v>1228</v>
      </c>
      <c r="D5" s="1750"/>
      <c r="E5" s="1750"/>
      <c r="F5" s="1750" t="s">
        <v>1228</v>
      </c>
      <c r="G5" s="1750"/>
      <c r="H5" s="1750"/>
      <c r="I5" s="1750" t="s">
        <v>1228</v>
      </c>
      <c r="J5" s="1750"/>
      <c r="K5" s="1750"/>
      <c r="L5" s="1750" t="s">
        <v>1228</v>
      </c>
      <c r="M5" s="1750"/>
      <c r="N5" s="1161"/>
      <c r="P5" s="1159"/>
      <c r="S5" s="1161"/>
      <c r="U5" s="1159"/>
      <c r="V5" s="3117" t="s">
        <v>2361</v>
      </c>
      <c r="Y5" s="1750" t="s">
        <v>2361</v>
      </c>
      <c r="AA5" s="1161"/>
      <c r="AC5" s="1159"/>
      <c r="AD5" s="3117" t="s">
        <v>1224</v>
      </c>
      <c r="AF5" s="1161"/>
      <c r="AH5" s="1159"/>
      <c r="AK5" s="1161"/>
      <c r="AM5" s="1159"/>
      <c r="AN5" s="3117" t="s">
        <v>1225</v>
      </c>
      <c r="AP5" s="1161"/>
      <c r="AR5" s="1159"/>
      <c r="AU5" s="1161"/>
      <c r="AW5" s="1159"/>
      <c r="AZ5" s="1161"/>
      <c r="BB5" s="1159"/>
      <c r="BC5" s="329" t="s">
        <v>1232</v>
      </c>
      <c r="BD5" s="1741"/>
      <c r="BJ5" s="1161"/>
      <c r="BL5" s="1159"/>
      <c r="BM5" s="329" t="s">
        <v>1232</v>
      </c>
      <c r="BN5" s="1741"/>
      <c r="BV5" s="1161"/>
      <c r="BY5" s="1159"/>
      <c r="BZ5" s="329" t="s">
        <v>2373</v>
      </c>
      <c r="CA5" s="1741"/>
      <c r="CI5" s="1161"/>
      <c r="CX5" s="1159"/>
      <c r="DA5" s="1161"/>
      <c r="JO5" s="1751"/>
      <c r="JQ5" s="1751"/>
      <c r="JS5" s="1751"/>
    </row>
    <row r="6" spans="2:279" s="1741" customFormat="1" ht="17.100000000000001" customHeight="1" x14ac:dyDescent="0.25">
      <c r="B6" s="1752"/>
      <c r="C6" s="329" t="s">
        <v>1220</v>
      </c>
      <c r="D6" s="329"/>
      <c r="E6" s="329"/>
      <c r="F6" s="329" t="s">
        <v>1221</v>
      </c>
      <c r="G6" s="329"/>
      <c r="H6" s="329"/>
      <c r="I6" s="329" t="s">
        <v>1222</v>
      </c>
      <c r="J6" s="329"/>
      <c r="K6" s="329"/>
      <c r="L6" s="329" t="s">
        <v>1223</v>
      </c>
      <c r="M6" s="329"/>
      <c r="N6" s="1753"/>
      <c r="P6" s="1752"/>
      <c r="S6" s="1753"/>
      <c r="U6" s="1752"/>
      <c r="V6" s="2871" t="s">
        <v>2050</v>
      </c>
      <c r="Y6" s="329" t="s">
        <v>28</v>
      </c>
      <c r="AA6" s="1753"/>
      <c r="AC6" s="1752"/>
      <c r="AD6" s="2871" t="s">
        <v>1829</v>
      </c>
      <c r="AF6" s="1753"/>
      <c r="AH6" s="1752"/>
      <c r="AK6" s="1753"/>
      <c r="AM6" s="1752"/>
      <c r="AN6" s="2871" t="s">
        <v>1829</v>
      </c>
      <c r="AP6" s="1753"/>
      <c r="AR6" s="1752"/>
      <c r="AU6" s="1753"/>
      <c r="AW6" s="1752"/>
      <c r="AZ6" s="1753"/>
      <c r="BB6" s="1752"/>
      <c r="BJ6" s="1753"/>
      <c r="BL6" s="1752"/>
      <c r="BV6" s="1753"/>
      <c r="BY6" s="1752"/>
      <c r="CI6" s="1753"/>
      <c r="CX6" s="1752"/>
      <c r="DA6" s="1753"/>
      <c r="JO6" s="1742"/>
      <c r="JQ6" s="1742"/>
      <c r="JS6" s="1742"/>
    </row>
    <row r="7" spans="2:279" s="1754" customFormat="1" ht="17.100000000000001" customHeight="1" x14ac:dyDescent="0.2">
      <c r="B7" s="1755"/>
      <c r="C7" s="1754" t="s">
        <v>1226</v>
      </c>
      <c r="F7" s="1754" t="s">
        <v>1226</v>
      </c>
      <c r="I7" s="1754" t="s">
        <v>1226</v>
      </c>
      <c r="L7" s="1754" t="s">
        <v>1226</v>
      </c>
      <c r="N7" s="1756"/>
      <c r="P7" s="1755"/>
      <c r="Q7" s="1754" t="s">
        <v>1226</v>
      </c>
      <c r="S7" s="1756"/>
      <c r="U7" s="1755"/>
      <c r="V7" s="1754" t="s">
        <v>1227</v>
      </c>
      <c r="Y7" s="1754" t="s">
        <v>2051</v>
      </c>
      <c r="AA7" s="1756"/>
      <c r="AC7" s="1755"/>
      <c r="AD7" s="1754" t="s">
        <v>1227</v>
      </c>
      <c r="AF7" s="1756"/>
      <c r="AH7" s="1755"/>
      <c r="AI7" s="1754" t="s">
        <v>1226</v>
      </c>
      <c r="AK7" s="1756"/>
      <c r="AM7" s="1755"/>
      <c r="AN7" s="1754" t="s">
        <v>1227</v>
      </c>
      <c r="AP7" s="1756"/>
      <c r="AR7" s="1755"/>
      <c r="AS7" s="1754" t="s">
        <v>1226</v>
      </c>
      <c r="AU7" s="1756"/>
      <c r="AW7" s="1755"/>
      <c r="AX7" s="1754" t="s">
        <v>1226</v>
      </c>
      <c r="AZ7" s="1756"/>
      <c r="BB7" s="1755"/>
      <c r="BC7" s="1271" t="s">
        <v>1230</v>
      </c>
      <c r="BD7" s="329"/>
      <c r="BJ7" s="1756"/>
      <c r="BL7" s="1755"/>
      <c r="BM7" s="1271" t="s">
        <v>1830</v>
      </c>
      <c r="BN7" s="329"/>
      <c r="BV7" s="1756"/>
      <c r="BY7" s="1755"/>
      <c r="BZ7" s="1757" t="s">
        <v>2374</v>
      </c>
      <c r="CA7" s="329"/>
      <c r="CI7" s="1756"/>
      <c r="CX7" s="1755"/>
      <c r="DA7" s="1756"/>
      <c r="JO7" s="1742"/>
      <c r="JQ7" s="1758"/>
      <c r="JS7" s="1758"/>
    </row>
    <row r="8" spans="2:279" s="1741" customFormat="1" ht="17.100000000000001" customHeight="1" x14ac:dyDescent="0.25">
      <c r="B8" s="1752"/>
      <c r="C8" s="5138"/>
      <c r="D8" s="5138"/>
      <c r="F8" s="5138"/>
      <c r="G8" s="5138"/>
      <c r="I8" s="5138"/>
      <c r="J8" s="5138"/>
      <c r="L8" s="5138"/>
      <c r="M8" s="5138"/>
      <c r="N8" s="1753"/>
      <c r="P8" s="1752"/>
      <c r="Q8" s="5138"/>
      <c r="R8" s="5138"/>
      <c r="S8" s="1753"/>
      <c r="U8" s="1752"/>
      <c r="V8" s="5138"/>
      <c r="W8" s="5138"/>
      <c r="Y8" s="5138"/>
      <c r="Z8" s="5138"/>
      <c r="AA8" s="1753"/>
      <c r="AC8" s="1752"/>
      <c r="AD8" s="5138"/>
      <c r="AE8" s="5138"/>
      <c r="AF8" s="1753"/>
      <c r="AH8" s="1752"/>
      <c r="AI8" s="5138"/>
      <c r="AJ8" s="5138"/>
      <c r="AK8" s="1753"/>
      <c r="AM8" s="1752"/>
      <c r="AN8" s="5138"/>
      <c r="AO8" s="5138"/>
      <c r="AP8" s="1753"/>
      <c r="AR8" s="1752"/>
      <c r="AS8" s="5138"/>
      <c r="AT8" s="5138"/>
      <c r="AU8" s="1753"/>
      <c r="AW8" s="1752"/>
      <c r="AX8" s="5138"/>
      <c r="AY8" s="5138"/>
      <c r="AZ8" s="1753"/>
      <c r="BB8" s="1752"/>
      <c r="BC8" s="2687" t="s">
        <v>2084</v>
      </c>
      <c r="BJ8" s="1753"/>
      <c r="BL8" s="1752"/>
      <c r="BM8" s="2687" t="s">
        <v>1831</v>
      </c>
      <c r="BV8" s="1753"/>
      <c r="BY8" s="1752"/>
      <c r="BZ8" s="329" t="s">
        <v>2375</v>
      </c>
      <c r="CI8" s="1753"/>
      <c r="CX8" s="1752"/>
      <c r="DA8" s="1753"/>
      <c r="JO8" s="1742"/>
      <c r="JQ8" s="1742"/>
      <c r="JS8" s="1742"/>
    </row>
    <row r="9" spans="2:279" s="1741" customFormat="1" ht="17.100000000000001" customHeight="1" x14ac:dyDescent="0.2">
      <c r="B9" s="1752"/>
      <c r="C9" s="5138"/>
      <c r="D9" s="5138"/>
      <c r="F9" s="5138"/>
      <c r="G9" s="5138"/>
      <c r="I9" s="5138"/>
      <c r="J9" s="5138"/>
      <c r="L9" s="5138"/>
      <c r="M9" s="5138"/>
      <c r="N9" s="1753"/>
      <c r="P9" s="1752"/>
      <c r="Q9" s="5138"/>
      <c r="R9" s="5138"/>
      <c r="S9" s="1753"/>
      <c r="U9" s="1752"/>
      <c r="V9" s="5138"/>
      <c r="W9" s="5138"/>
      <c r="Y9" s="5138"/>
      <c r="Z9" s="5138"/>
      <c r="AA9" s="1753"/>
      <c r="AC9" s="1752"/>
      <c r="AD9" s="5138"/>
      <c r="AE9" s="5138"/>
      <c r="AF9" s="1753"/>
      <c r="AH9" s="1752"/>
      <c r="AI9" s="5138"/>
      <c r="AJ9" s="5138"/>
      <c r="AK9" s="1753"/>
      <c r="AM9" s="1752"/>
      <c r="AN9" s="5138"/>
      <c r="AO9" s="5138"/>
      <c r="AP9" s="1753"/>
      <c r="AR9" s="1752"/>
      <c r="AS9" s="5138"/>
      <c r="AT9" s="5138"/>
      <c r="AU9" s="1753"/>
      <c r="AW9" s="1752"/>
      <c r="AX9" s="5138"/>
      <c r="AY9" s="5138"/>
      <c r="AZ9" s="1753"/>
      <c r="BB9" s="1752"/>
      <c r="BC9" s="1271" t="s">
        <v>1229</v>
      </c>
      <c r="BJ9" s="1753"/>
      <c r="BL9" s="1752"/>
      <c r="BM9" s="1271" t="s">
        <v>1832</v>
      </c>
      <c r="BV9" s="1753"/>
      <c r="BY9" s="1752"/>
      <c r="BZ9" s="329" t="s">
        <v>2378</v>
      </c>
      <c r="CI9" s="1753"/>
      <c r="CX9" s="1752"/>
      <c r="DA9" s="1753"/>
      <c r="JO9" s="1742"/>
      <c r="JQ9" s="1742"/>
      <c r="JS9" s="1742"/>
    </row>
    <row r="10" spans="2:279" s="1741" customFormat="1" ht="17.100000000000001" customHeight="1" x14ac:dyDescent="0.25">
      <c r="B10" s="1752"/>
      <c r="C10" s="5138"/>
      <c r="D10" s="5138"/>
      <c r="F10" s="5138"/>
      <c r="G10" s="5138"/>
      <c r="I10" s="5138"/>
      <c r="J10" s="5138"/>
      <c r="L10" s="5138"/>
      <c r="M10" s="5138"/>
      <c r="N10" s="1753"/>
      <c r="P10" s="1752"/>
      <c r="Q10" s="5138"/>
      <c r="R10" s="5138"/>
      <c r="S10" s="1753"/>
      <c r="U10" s="1752"/>
      <c r="V10" s="5138"/>
      <c r="W10" s="5138"/>
      <c r="Y10" s="5138"/>
      <c r="Z10" s="5138"/>
      <c r="AA10" s="1753"/>
      <c r="AC10" s="1752"/>
      <c r="AD10" s="5138"/>
      <c r="AE10" s="5138"/>
      <c r="AF10" s="1753"/>
      <c r="AH10" s="1752"/>
      <c r="AI10" s="5138"/>
      <c r="AJ10" s="5138"/>
      <c r="AK10" s="1753"/>
      <c r="AM10" s="1752"/>
      <c r="AN10" s="5138"/>
      <c r="AO10" s="5138"/>
      <c r="AP10" s="1753"/>
      <c r="AR10" s="1752"/>
      <c r="AS10" s="5138"/>
      <c r="AT10" s="5138"/>
      <c r="AU10" s="1753"/>
      <c r="AW10" s="1752"/>
      <c r="AX10" s="5138"/>
      <c r="AY10" s="5138"/>
      <c r="AZ10" s="1753"/>
      <c r="BB10" s="1752"/>
      <c r="BC10" s="2687" t="s">
        <v>2408</v>
      </c>
      <c r="BJ10" s="1753"/>
      <c r="BL10" s="1752"/>
      <c r="BM10" s="2687" t="s">
        <v>2337</v>
      </c>
      <c r="BV10" s="1753"/>
      <c r="BY10" s="1752"/>
      <c r="BZ10" s="329" t="s">
        <v>2376</v>
      </c>
      <c r="CI10" s="1753"/>
      <c r="CX10" s="1752"/>
      <c r="DA10" s="1753"/>
      <c r="JO10" s="1742"/>
      <c r="JQ10" s="1742"/>
      <c r="JS10" s="1742"/>
    </row>
    <row r="11" spans="2:279" s="1741" customFormat="1" ht="17.100000000000001" customHeight="1" x14ac:dyDescent="0.2">
      <c r="B11" s="1752"/>
      <c r="C11" s="5138"/>
      <c r="D11" s="5138"/>
      <c r="F11" s="5138"/>
      <c r="G11" s="5138"/>
      <c r="I11" s="5138"/>
      <c r="J11" s="5138"/>
      <c r="L11" s="5138"/>
      <c r="M11" s="5138"/>
      <c r="N11" s="1753"/>
      <c r="P11" s="1752"/>
      <c r="Q11" s="5138"/>
      <c r="R11" s="5138"/>
      <c r="S11" s="1753"/>
      <c r="U11" s="1752"/>
      <c r="V11" s="5138"/>
      <c r="W11" s="5138"/>
      <c r="Y11" s="5138"/>
      <c r="Z11" s="5138"/>
      <c r="AA11" s="1753"/>
      <c r="AC11" s="1752"/>
      <c r="AD11" s="5138"/>
      <c r="AE11" s="5138"/>
      <c r="AF11" s="1753"/>
      <c r="AH11" s="1752"/>
      <c r="AI11" s="5138"/>
      <c r="AJ11" s="5138"/>
      <c r="AK11" s="1753"/>
      <c r="AM11" s="1752"/>
      <c r="AN11" s="5138"/>
      <c r="AO11" s="5138"/>
      <c r="AP11" s="1753"/>
      <c r="AR11" s="1752"/>
      <c r="AS11" s="5138"/>
      <c r="AT11" s="5138"/>
      <c r="AU11" s="1753"/>
      <c r="AW11" s="1752"/>
      <c r="AX11" s="5138"/>
      <c r="AY11" s="5138"/>
      <c r="AZ11" s="1753"/>
      <c r="BB11" s="1752"/>
      <c r="BC11" s="1271" t="s">
        <v>2333</v>
      </c>
      <c r="BJ11" s="1753"/>
      <c r="BL11" s="1752"/>
      <c r="BM11" s="1271" t="s">
        <v>1833</v>
      </c>
      <c r="BV11" s="1753"/>
      <c r="BY11" s="1752"/>
      <c r="BZ11" s="329" t="s">
        <v>2377</v>
      </c>
      <c r="CI11" s="1753"/>
      <c r="CX11" s="1752"/>
      <c r="DA11" s="1753"/>
      <c r="JO11" s="1742"/>
      <c r="JQ11" s="1742"/>
      <c r="JS11" s="1742"/>
    </row>
    <row r="12" spans="2:279" s="1741" customFormat="1" ht="17.100000000000001" customHeight="1" x14ac:dyDescent="0.25">
      <c r="B12" s="1752"/>
      <c r="C12" s="5138"/>
      <c r="D12" s="5138"/>
      <c r="F12" s="5138"/>
      <c r="G12" s="5138"/>
      <c r="I12" s="5138"/>
      <c r="J12" s="5138"/>
      <c r="L12" s="5138"/>
      <c r="M12" s="5138"/>
      <c r="N12" s="1753"/>
      <c r="P12" s="1752"/>
      <c r="Q12" s="5138"/>
      <c r="R12" s="5138"/>
      <c r="S12" s="1753"/>
      <c r="U12" s="1752"/>
      <c r="V12" s="5138"/>
      <c r="W12" s="5138"/>
      <c r="Y12" s="5138"/>
      <c r="Z12" s="5138"/>
      <c r="AA12" s="1753"/>
      <c r="AC12" s="1752"/>
      <c r="AD12" s="5138"/>
      <c r="AE12" s="5138"/>
      <c r="AF12" s="1753"/>
      <c r="AH12" s="1752"/>
      <c r="AI12" s="5138"/>
      <c r="AJ12" s="5138"/>
      <c r="AK12" s="1753"/>
      <c r="AM12" s="1752"/>
      <c r="AN12" s="5138"/>
      <c r="AO12" s="5138"/>
      <c r="AP12" s="1753"/>
      <c r="AR12" s="1752"/>
      <c r="AS12" s="5138"/>
      <c r="AT12" s="5138"/>
      <c r="AU12" s="1753"/>
      <c r="AW12" s="1752"/>
      <c r="AX12" s="5138"/>
      <c r="AY12" s="5138"/>
      <c r="AZ12" s="1753"/>
      <c r="BB12" s="1752"/>
      <c r="BC12" s="2687" t="s">
        <v>2334</v>
      </c>
      <c r="BJ12" s="1753"/>
      <c r="BL12" s="1752"/>
      <c r="BM12" s="2687" t="s">
        <v>1834</v>
      </c>
      <c r="BV12" s="1753"/>
      <c r="BY12" s="1752"/>
      <c r="BZ12" s="329"/>
      <c r="CI12" s="1753"/>
      <c r="CX12" s="1752"/>
      <c r="DA12" s="1753"/>
      <c r="JO12" s="1742"/>
      <c r="JQ12" s="1742"/>
      <c r="JS12" s="1742"/>
    </row>
    <row r="13" spans="2:279" s="1741" customFormat="1" ht="17.100000000000001" customHeight="1" x14ac:dyDescent="0.2">
      <c r="B13" s="3315"/>
      <c r="C13" s="5138"/>
      <c r="D13" s="5138"/>
      <c r="E13" s="3316"/>
      <c r="F13" s="5138"/>
      <c r="G13" s="5138"/>
      <c r="H13" s="3316"/>
      <c r="I13" s="5138"/>
      <c r="J13" s="5138"/>
      <c r="K13" s="3316"/>
      <c r="L13" s="5138"/>
      <c r="M13" s="5138"/>
      <c r="N13" s="1753"/>
      <c r="P13" s="3315"/>
      <c r="Q13" s="5138"/>
      <c r="R13" s="5138"/>
      <c r="S13" s="1753"/>
      <c r="U13" s="3315"/>
      <c r="V13" s="5138"/>
      <c r="W13" s="5138"/>
      <c r="X13" s="3316"/>
      <c r="Y13" s="5138"/>
      <c r="Z13" s="5138"/>
      <c r="AA13" s="1753"/>
      <c r="AC13" s="3315"/>
      <c r="AD13" s="5138"/>
      <c r="AE13" s="5138"/>
      <c r="AF13" s="1753"/>
      <c r="AH13" s="3315"/>
      <c r="AI13" s="5138"/>
      <c r="AJ13" s="5138"/>
      <c r="AK13" s="1753"/>
      <c r="AM13" s="3315"/>
      <c r="AN13" s="5138"/>
      <c r="AO13" s="5138"/>
      <c r="AP13" s="1753"/>
      <c r="AR13" s="3315"/>
      <c r="AS13" s="5138"/>
      <c r="AT13" s="5138"/>
      <c r="AU13" s="1753"/>
      <c r="AW13" s="3315"/>
      <c r="AX13" s="5138"/>
      <c r="AY13" s="5138"/>
      <c r="AZ13" s="1753"/>
      <c r="BB13" s="1752"/>
      <c r="BC13" s="1271" t="s">
        <v>2336</v>
      </c>
      <c r="BJ13" s="1753"/>
      <c r="BL13" s="1752"/>
      <c r="BM13" s="1271"/>
      <c r="BV13" s="1753"/>
      <c r="BY13" s="1752"/>
      <c r="BZ13" s="1757" t="s">
        <v>2379</v>
      </c>
      <c r="CI13" s="1753"/>
      <c r="CX13" s="1752"/>
      <c r="DA13" s="1753"/>
      <c r="JO13" s="1742"/>
      <c r="JQ13" s="1742"/>
      <c r="JS13" s="1742"/>
    </row>
    <row r="14" spans="2:279" s="1741" customFormat="1" ht="17.100000000000001" customHeight="1" x14ac:dyDescent="0.25">
      <c r="B14" s="1752"/>
      <c r="C14" s="1166"/>
      <c r="D14" s="1166"/>
      <c r="F14" s="1166"/>
      <c r="G14" s="1166"/>
      <c r="I14" s="1166"/>
      <c r="J14" s="1166"/>
      <c r="L14" s="1166"/>
      <c r="M14" s="1166"/>
      <c r="N14" s="1753"/>
      <c r="P14" s="1752"/>
      <c r="Q14" s="1166"/>
      <c r="R14" s="1166"/>
      <c r="S14" s="1753"/>
      <c r="T14" s="1166"/>
      <c r="U14" s="1752"/>
      <c r="V14" s="1166"/>
      <c r="W14" s="1166"/>
      <c r="AA14" s="1753"/>
      <c r="AC14" s="1752"/>
      <c r="AD14" s="1166"/>
      <c r="AE14" s="1166"/>
      <c r="AF14" s="1753"/>
      <c r="AH14" s="1752"/>
      <c r="AI14" s="1166"/>
      <c r="AJ14" s="1166"/>
      <c r="AK14" s="1753"/>
      <c r="AM14" s="1752"/>
      <c r="AN14" s="1166"/>
      <c r="AO14" s="1166"/>
      <c r="AP14" s="1753"/>
      <c r="AR14" s="1752"/>
      <c r="AS14" s="1166"/>
      <c r="AT14" s="1166"/>
      <c r="AU14" s="1753"/>
      <c r="AW14" s="1752"/>
      <c r="AX14" s="1166"/>
      <c r="AY14" s="1166"/>
      <c r="AZ14" s="1753"/>
      <c r="BB14" s="1752"/>
      <c r="BC14" s="2687" t="s">
        <v>2335</v>
      </c>
      <c r="BD14" s="1166"/>
      <c r="BE14" s="1166"/>
      <c r="BF14" s="1166"/>
      <c r="BG14" s="1166"/>
      <c r="BH14" s="1166"/>
      <c r="BI14" s="1166"/>
      <c r="BJ14" s="1753"/>
      <c r="BL14" s="1752"/>
      <c r="BM14" s="2687"/>
      <c r="BN14" s="3258"/>
      <c r="BO14" s="3258"/>
      <c r="BP14" s="3258"/>
      <c r="BQ14" s="3258"/>
      <c r="BR14" s="3258"/>
      <c r="BS14" s="3258"/>
      <c r="BT14" s="3258"/>
      <c r="BU14" s="3258"/>
      <c r="BV14" s="1753"/>
      <c r="BY14" s="1752"/>
      <c r="BZ14" s="329"/>
      <c r="CA14" s="3258"/>
      <c r="CB14" s="3258"/>
      <c r="CC14" s="3258"/>
      <c r="CD14" s="3258"/>
      <c r="CE14" s="3258"/>
      <c r="CF14" s="3258"/>
      <c r="CG14" s="3258"/>
      <c r="CH14" s="3258"/>
      <c r="CI14" s="1753"/>
      <c r="CX14" s="1752"/>
      <c r="CY14" s="1166"/>
      <c r="CZ14" s="1166"/>
      <c r="DA14" s="1753"/>
      <c r="JO14" s="1742"/>
      <c r="JQ14" s="1742"/>
      <c r="JS14" s="1742"/>
    </row>
    <row r="15" spans="2:279" s="1741" customFormat="1" ht="17.100000000000001" customHeight="1" x14ac:dyDescent="0.25">
      <c r="B15" s="1760"/>
      <c r="C15" s="1761"/>
      <c r="D15" s="1761"/>
      <c r="E15" s="1761"/>
      <c r="F15" s="1761"/>
      <c r="G15" s="1761"/>
      <c r="H15" s="1761"/>
      <c r="I15" s="1761"/>
      <c r="J15" s="1761"/>
      <c r="K15" s="1761"/>
      <c r="L15" s="1761"/>
      <c r="M15" s="1761"/>
      <c r="N15" s="1762"/>
      <c r="P15" s="1760"/>
      <c r="Q15" s="1761"/>
      <c r="R15" s="1761"/>
      <c r="S15" s="1762"/>
      <c r="U15" s="1760"/>
      <c r="V15" s="1761"/>
      <c r="W15" s="1761"/>
      <c r="X15" s="1761"/>
      <c r="Y15" s="1761"/>
      <c r="Z15" s="1761"/>
      <c r="AA15" s="1762"/>
      <c r="AC15" s="1760"/>
      <c r="AD15" s="1761"/>
      <c r="AE15" s="1761"/>
      <c r="AF15" s="1762"/>
      <c r="AH15" s="1760"/>
      <c r="AI15" s="3319"/>
      <c r="AJ15" s="1761"/>
      <c r="AK15" s="1762"/>
      <c r="AM15" s="1760"/>
      <c r="AN15" s="1761"/>
      <c r="AO15" s="1761"/>
      <c r="AP15" s="1762"/>
      <c r="AR15" s="1760"/>
      <c r="AS15" s="1761"/>
      <c r="AT15" s="1761"/>
      <c r="AU15" s="1762"/>
      <c r="AW15" s="1760"/>
      <c r="AX15" s="3319"/>
      <c r="AY15" s="1761"/>
      <c r="AZ15" s="1762"/>
      <c r="BB15" s="1760"/>
      <c r="BC15" s="1761"/>
      <c r="BD15" s="1761"/>
      <c r="BE15" s="1761"/>
      <c r="BF15" s="1761"/>
      <c r="BG15" s="1761"/>
      <c r="BH15" s="1761"/>
      <c r="BI15" s="1761"/>
      <c r="BJ15" s="1762"/>
      <c r="BL15" s="1760"/>
      <c r="BM15" s="1761"/>
      <c r="BN15" s="1761"/>
      <c r="BO15" s="1761"/>
      <c r="BP15" s="1761"/>
      <c r="BQ15" s="1761"/>
      <c r="BR15" s="1761"/>
      <c r="BS15" s="1761"/>
      <c r="BT15" s="1761"/>
      <c r="BU15" s="1761"/>
      <c r="BV15" s="1762"/>
      <c r="BY15" s="1760"/>
      <c r="BZ15" s="1761"/>
      <c r="CA15" s="1761"/>
      <c r="CB15" s="1761"/>
      <c r="CC15" s="1761"/>
      <c r="CD15" s="1761"/>
      <c r="CE15" s="1761"/>
      <c r="CF15" s="1761"/>
      <c r="CG15" s="1761"/>
      <c r="CH15" s="1761"/>
      <c r="CI15" s="1762"/>
      <c r="CX15" s="1760"/>
      <c r="CY15" s="1761"/>
      <c r="CZ15" s="1761"/>
      <c r="DA15" s="1762"/>
      <c r="JO15" s="1742"/>
      <c r="JQ15" s="1742"/>
      <c r="JS15" s="1742"/>
    </row>
    <row r="16" spans="2:279" s="1741" customFormat="1" ht="17.100000000000001" customHeight="1" x14ac:dyDescent="0.25">
      <c r="E16" s="3320"/>
      <c r="F16" s="3320"/>
      <c r="G16" s="3320"/>
      <c r="H16" s="3320"/>
      <c r="I16" s="3320"/>
      <c r="J16" s="3320"/>
      <c r="K16" s="3320"/>
      <c r="L16" s="3320"/>
      <c r="M16" s="3320"/>
      <c r="N16" s="3320"/>
      <c r="O16" s="3320"/>
      <c r="P16" s="3320"/>
      <c r="Q16" s="3320"/>
      <c r="R16" s="3320"/>
      <c r="S16" s="3320"/>
      <c r="T16" s="3322"/>
      <c r="U16" s="3323" t="s">
        <v>2364</v>
      </c>
      <c r="V16" s="3322"/>
      <c r="W16" s="3322"/>
      <c r="X16" s="3322"/>
      <c r="Y16" s="3322"/>
      <c r="Z16" s="3322"/>
      <c r="AA16" s="3322"/>
      <c r="AB16" s="3322"/>
      <c r="AC16" s="3323" t="s">
        <v>2364</v>
      </c>
      <c r="AM16" s="3323" t="s">
        <v>2364</v>
      </c>
      <c r="AN16" s="3320"/>
      <c r="AO16" s="3320"/>
      <c r="AP16" s="3320"/>
      <c r="AQ16" s="3320"/>
      <c r="AR16" s="3320"/>
      <c r="AS16" s="3320"/>
      <c r="AT16" s="3320"/>
      <c r="JO16" s="1742"/>
      <c r="JQ16" s="1742"/>
      <c r="JS16" s="1742"/>
    </row>
    <row r="17" spans="1:313" s="1741" customFormat="1" ht="17.100000000000001" customHeight="1" x14ac:dyDescent="0.5">
      <c r="B17" s="3305"/>
      <c r="C17" s="3307"/>
      <c r="D17" s="3307"/>
      <c r="E17" s="3324" t="s">
        <v>2367</v>
      </c>
      <c r="F17" s="3325" t="s">
        <v>2368</v>
      </c>
      <c r="G17" s="3325" t="s">
        <v>2368</v>
      </c>
      <c r="H17" s="3325" t="s">
        <v>2368</v>
      </c>
      <c r="I17" s="3325" t="s">
        <v>2368</v>
      </c>
      <c r="J17" s="3325" t="s">
        <v>2368</v>
      </c>
      <c r="K17" s="3325" t="s">
        <v>2368</v>
      </c>
      <c r="L17" s="3325" t="s">
        <v>2368</v>
      </c>
      <c r="M17" s="3325" t="s">
        <v>2368</v>
      </c>
      <c r="N17" s="3325" t="s">
        <v>2368</v>
      </c>
      <c r="O17" s="3325" t="s">
        <v>2368</v>
      </c>
      <c r="P17" s="3325" t="s">
        <v>2368</v>
      </c>
      <c r="Q17" s="3325" t="s">
        <v>2368</v>
      </c>
      <c r="R17" s="3325" t="s">
        <v>2368</v>
      </c>
      <c r="S17" s="3325" t="s">
        <v>2368</v>
      </c>
      <c r="T17" s="3325" t="s">
        <v>2368</v>
      </c>
      <c r="U17" s="3326" t="s">
        <v>2369</v>
      </c>
      <c r="V17" s="3324" t="s">
        <v>2367</v>
      </c>
      <c r="W17" s="3325" t="s">
        <v>2368</v>
      </c>
      <c r="X17" s="3325" t="s">
        <v>2368</v>
      </c>
      <c r="Y17" s="3325" t="s">
        <v>2368</v>
      </c>
      <c r="Z17" s="3325" t="s">
        <v>2368</v>
      </c>
      <c r="AA17" s="3325" t="s">
        <v>2368</v>
      </c>
      <c r="AB17" s="3325" t="s">
        <v>2368</v>
      </c>
      <c r="AC17" s="3326" t="s">
        <v>2369</v>
      </c>
      <c r="AM17" s="3330" t="s">
        <v>2371</v>
      </c>
      <c r="AN17" s="3325" t="s">
        <v>2365</v>
      </c>
      <c r="AO17" s="3325" t="s">
        <v>2365</v>
      </c>
      <c r="AP17" s="3325" t="s">
        <v>2365</v>
      </c>
      <c r="AQ17" s="3325" t="s">
        <v>2365</v>
      </c>
      <c r="AR17" s="3325" t="s">
        <v>2365</v>
      </c>
      <c r="AS17" s="3325" t="s">
        <v>2365</v>
      </c>
      <c r="AT17" s="3323" t="s">
        <v>2372</v>
      </c>
      <c r="EC17" s="1763"/>
      <c r="HV17" s="3257"/>
      <c r="JO17" s="1742"/>
      <c r="JQ17" s="1742"/>
      <c r="JS17" s="1742"/>
    </row>
    <row r="18" spans="1:313" s="1741" customFormat="1" ht="17.100000000000001" customHeight="1" x14ac:dyDescent="0.3">
      <c r="B18" s="3306"/>
      <c r="C18" s="3307"/>
      <c r="D18" s="3307"/>
      <c r="E18" s="3324" t="s">
        <v>2370</v>
      </c>
      <c r="F18" s="3327"/>
      <c r="G18" s="3327"/>
      <c r="H18" s="3327"/>
      <c r="I18" s="3327"/>
      <c r="J18" s="3327"/>
      <c r="K18" s="3327"/>
      <c r="L18" s="3327"/>
      <c r="M18" s="3327"/>
      <c r="N18" s="3327"/>
      <c r="O18" s="3327"/>
      <c r="P18" s="3327"/>
      <c r="Q18" s="3327"/>
      <c r="R18" s="3327"/>
      <c r="S18" s="3327"/>
      <c r="T18" s="3327"/>
      <c r="U18" s="3328"/>
      <c r="V18" s="3324" t="s">
        <v>2370</v>
      </c>
      <c r="W18" s="3321"/>
      <c r="X18" s="3321"/>
      <c r="Y18" s="3321"/>
      <c r="Z18" s="3321"/>
      <c r="AA18" s="3321"/>
      <c r="AB18" s="3321"/>
      <c r="AC18" s="3321"/>
      <c r="AM18" s="3320"/>
      <c r="AN18" s="3320"/>
      <c r="AO18" s="3320"/>
      <c r="AP18" s="3320"/>
      <c r="AQ18" s="3320"/>
      <c r="AR18" s="3320"/>
      <c r="AS18" s="3320"/>
      <c r="AT18" s="3331" t="s">
        <v>2366</v>
      </c>
      <c r="EI18" s="613"/>
      <c r="EY18" s="2981"/>
      <c r="HV18" s="687"/>
      <c r="JO18" s="1742"/>
      <c r="JQ18" s="1742"/>
      <c r="JS18" s="1742"/>
    </row>
    <row r="19" spans="1:313" s="1741" customFormat="1" ht="17.100000000000001" customHeight="1" x14ac:dyDescent="0.25">
      <c r="A19" s="1952"/>
      <c r="B19" s="3308"/>
      <c r="C19" s="1952"/>
      <c r="D19" s="1952"/>
      <c r="E19" s="3329" t="s">
        <v>2370</v>
      </c>
      <c r="F19" s="1952"/>
      <c r="G19" s="1952"/>
      <c r="H19" s="1952"/>
      <c r="I19" s="1952"/>
      <c r="J19" s="1952"/>
      <c r="K19" s="1952"/>
      <c r="L19" s="1952"/>
      <c r="M19" s="1952"/>
      <c r="N19" s="1952"/>
      <c r="O19" s="1952"/>
      <c r="P19" s="1952"/>
      <c r="Q19" s="1952"/>
      <c r="R19" s="1952"/>
      <c r="S19" s="1952"/>
      <c r="T19" s="1952"/>
      <c r="U19" s="1952"/>
      <c r="V19" s="3329" t="s">
        <v>2370</v>
      </c>
      <c r="W19" s="1952"/>
      <c r="X19" s="1952"/>
      <c r="Y19" s="1952"/>
      <c r="Z19" s="1952"/>
      <c r="AA19" s="1952"/>
      <c r="AB19" s="1952"/>
      <c r="AC19" s="1952"/>
      <c r="AD19" s="1952"/>
      <c r="AE19" s="1952"/>
      <c r="AF19" s="1952"/>
      <c r="AG19" s="1952"/>
      <c r="AH19" s="1952"/>
      <c r="AI19" s="1952"/>
      <c r="AJ19" s="1952"/>
      <c r="AK19" s="1952"/>
      <c r="AL19" s="1952"/>
      <c r="AM19" s="1952"/>
      <c r="AN19" s="1952"/>
      <c r="AO19" s="1952"/>
      <c r="AP19" s="1952"/>
      <c r="AQ19" s="1952"/>
      <c r="AR19" s="1952"/>
      <c r="AS19" s="1952"/>
      <c r="AT19" s="3332" t="s">
        <v>2366</v>
      </c>
      <c r="AU19" s="1952"/>
      <c r="AV19" s="1952"/>
      <c r="AW19" s="1952"/>
      <c r="AX19" s="1952"/>
      <c r="AY19" s="1952"/>
      <c r="AZ19" s="1952"/>
      <c r="BA19" s="1952"/>
      <c r="BB19" s="1952"/>
      <c r="BC19" s="1952"/>
      <c r="BD19" s="1952"/>
      <c r="BE19" s="1952"/>
      <c r="BF19" s="1952"/>
      <c r="BG19" s="1952"/>
      <c r="BH19" s="1952"/>
      <c r="BI19" s="1952"/>
      <c r="BJ19" s="1952"/>
      <c r="BK19" s="1952"/>
      <c r="BL19" s="1952"/>
      <c r="BM19" s="1952"/>
      <c r="BN19" s="1952"/>
      <c r="BO19" s="1952"/>
      <c r="BP19" s="1952"/>
      <c r="BQ19" s="1952"/>
      <c r="BR19" s="1952"/>
      <c r="BS19" s="1952"/>
      <c r="BT19" s="1952"/>
      <c r="BU19" s="1952"/>
      <c r="BV19" s="1952"/>
      <c r="BW19" s="1952"/>
      <c r="BX19" s="1952"/>
      <c r="BY19" s="1952"/>
      <c r="BZ19" s="1952"/>
      <c r="CA19" s="1952"/>
      <c r="CB19" s="1952"/>
      <c r="CC19" s="1952"/>
      <c r="CD19" s="1952"/>
      <c r="CE19" s="1952"/>
      <c r="CF19" s="1952"/>
      <c r="CG19" s="1952"/>
      <c r="CH19" s="1952"/>
      <c r="CI19" s="1952"/>
      <c r="CJ19" s="1952"/>
      <c r="CK19" s="1952"/>
      <c r="CL19" s="1952"/>
      <c r="CM19" s="1952"/>
      <c r="CN19" s="1952"/>
      <c r="CO19" s="1952"/>
      <c r="CP19" s="1952"/>
      <c r="CQ19" s="1952"/>
      <c r="CR19" s="1952"/>
      <c r="CS19" s="1952"/>
      <c r="CT19" s="1952"/>
      <c r="CU19" s="1952"/>
      <c r="CV19" s="1952"/>
      <c r="CW19" s="1952"/>
      <c r="CX19" s="1952"/>
      <c r="CY19" s="1952"/>
      <c r="CZ19" s="1952"/>
      <c r="DA19" s="1952"/>
      <c r="DB19" s="1952"/>
      <c r="DC19" s="1952"/>
      <c r="DD19" s="1952"/>
      <c r="DE19" s="1952"/>
      <c r="DF19" s="1952"/>
      <c r="DG19" s="1952"/>
      <c r="DH19" s="1952"/>
      <c r="DI19" s="1952"/>
      <c r="DJ19" s="1952"/>
      <c r="DK19" s="1952"/>
      <c r="DL19" s="1952"/>
      <c r="DM19" s="1952"/>
      <c r="DN19" s="1952"/>
      <c r="DO19" s="1952"/>
      <c r="DP19" s="1952"/>
      <c r="DQ19" s="1952"/>
      <c r="DR19" s="1952"/>
      <c r="DS19" s="1952"/>
      <c r="DT19" s="1952"/>
      <c r="DU19" s="1952"/>
      <c r="DV19" s="1952"/>
      <c r="DW19" s="1952"/>
      <c r="DX19" s="1952"/>
      <c r="DY19" s="1952"/>
      <c r="DZ19" s="1952"/>
      <c r="EA19" s="1952"/>
      <c r="EB19" s="1952"/>
      <c r="EC19" s="1952"/>
      <c r="ED19" s="1952"/>
      <c r="EE19" s="1952"/>
      <c r="EF19" s="1952"/>
      <c r="EG19" s="1952"/>
      <c r="EH19" s="1952"/>
      <c r="EI19" s="1952"/>
      <c r="EJ19" s="1952"/>
      <c r="EK19" s="1952"/>
      <c r="EL19" s="1952"/>
      <c r="EM19" s="1952"/>
      <c r="EN19" s="1952"/>
      <c r="EO19" s="1952"/>
      <c r="EP19" s="1952"/>
      <c r="EQ19" s="1952"/>
      <c r="ER19" s="1952"/>
      <c r="ES19" s="1952"/>
      <c r="ET19" s="1952"/>
      <c r="EU19" s="1952"/>
      <c r="EV19" s="1952"/>
      <c r="EW19" s="1952"/>
      <c r="EX19" s="1952"/>
      <c r="EY19" s="1952"/>
      <c r="EZ19" s="1952"/>
      <c r="FA19" s="1952"/>
      <c r="FB19" s="1952"/>
      <c r="FC19" s="1952"/>
      <c r="FD19" s="1952"/>
      <c r="FE19" s="1952"/>
      <c r="FF19" s="1952"/>
      <c r="FG19" s="1952"/>
      <c r="FH19" s="1952"/>
      <c r="FI19" s="1952"/>
      <c r="FJ19" s="1952"/>
      <c r="FK19" s="1952"/>
      <c r="FL19" s="1952"/>
      <c r="FM19" s="1952"/>
      <c r="FN19" s="1952"/>
      <c r="FO19" s="1952"/>
      <c r="FP19" s="1952"/>
      <c r="FQ19" s="1952"/>
      <c r="FR19" s="1952"/>
      <c r="FS19" s="1952"/>
      <c r="FT19" s="1952"/>
      <c r="FU19" s="1952"/>
      <c r="FV19" s="1952"/>
      <c r="FW19" s="1952"/>
      <c r="FX19" s="1952"/>
      <c r="FY19" s="1952"/>
      <c r="FZ19" s="1952"/>
      <c r="GA19" s="1952"/>
      <c r="GB19" s="1952"/>
      <c r="GC19" s="1952"/>
      <c r="GD19" s="1952"/>
      <c r="GE19" s="1952"/>
      <c r="GF19" s="1952"/>
      <c r="GG19" s="1952"/>
      <c r="GH19" s="1952"/>
      <c r="GI19" s="1952"/>
      <c r="GJ19" s="1952"/>
      <c r="GK19" s="1952"/>
      <c r="GL19" s="1952"/>
      <c r="GM19" s="1952"/>
      <c r="GN19" s="1952"/>
      <c r="GO19" s="1952"/>
      <c r="GP19" s="1952"/>
      <c r="GQ19" s="1952"/>
      <c r="GR19" s="1952"/>
      <c r="GS19" s="1952"/>
      <c r="GT19" s="1952"/>
      <c r="GU19" s="1952"/>
      <c r="GV19" s="1952"/>
      <c r="GW19" s="1952"/>
      <c r="GX19" s="1952"/>
      <c r="GY19" s="1952"/>
      <c r="GZ19" s="1952"/>
      <c r="HA19" s="1952"/>
      <c r="HB19" s="1952"/>
      <c r="HC19" s="1952"/>
      <c r="HD19" s="1952"/>
      <c r="HE19" s="1952"/>
      <c r="HF19" s="1952"/>
      <c r="HG19" s="1952"/>
      <c r="HH19" s="1952"/>
      <c r="HI19" s="1952"/>
      <c r="HJ19" s="1952"/>
      <c r="HK19" s="1952"/>
      <c r="HL19" s="1952"/>
      <c r="HM19" s="1952"/>
      <c r="HN19" s="1952"/>
      <c r="HO19" s="1952"/>
      <c r="HP19" s="1952"/>
      <c r="HQ19" s="1952"/>
      <c r="HR19" s="1952"/>
      <c r="HS19" s="1952"/>
      <c r="HT19" s="1952"/>
      <c r="HU19" s="1952"/>
      <c r="HV19" s="1952"/>
      <c r="HW19" s="1952"/>
      <c r="HX19" s="1952"/>
      <c r="HY19" s="1952"/>
      <c r="HZ19" s="1952"/>
      <c r="IA19" s="1952"/>
      <c r="IB19" s="1952"/>
      <c r="IC19" s="1952"/>
      <c r="ID19" s="1952"/>
      <c r="IE19" s="1952"/>
      <c r="IF19" s="1952"/>
      <c r="IG19" s="1952"/>
      <c r="IH19" s="1952"/>
      <c r="II19" s="1952"/>
      <c r="IJ19" s="1952"/>
      <c r="IK19" s="1952"/>
      <c r="IL19" s="1952"/>
      <c r="IM19" s="1952"/>
      <c r="IN19" s="1952"/>
      <c r="IO19" s="1952"/>
      <c r="IP19" s="1952"/>
      <c r="IQ19" s="1952"/>
      <c r="IR19" s="1952"/>
      <c r="IS19" s="1952"/>
      <c r="IT19" s="1952"/>
      <c r="IU19" s="1952"/>
      <c r="IV19" s="1952"/>
      <c r="IW19" s="1952"/>
      <c r="IX19" s="1952"/>
      <c r="IY19" s="1952"/>
      <c r="IZ19" s="1952"/>
      <c r="JA19" s="1952"/>
      <c r="JB19" s="1952"/>
      <c r="JC19" s="1952"/>
      <c r="JD19" s="1952"/>
      <c r="JE19" s="1952"/>
      <c r="JF19" s="1952"/>
      <c r="JG19" s="1952"/>
      <c r="JH19" s="1952"/>
      <c r="JI19" s="1952"/>
      <c r="JJ19" s="1952"/>
      <c r="JK19" s="1952"/>
      <c r="JL19" s="1952"/>
      <c r="JM19" s="1952"/>
      <c r="JN19" s="1952"/>
      <c r="JO19" s="1952"/>
      <c r="JP19" s="1952"/>
      <c r="JQ19" s="1952"/>
      <c r="JR19" s="1952"/>
      <c r="JS19" s="1952"/>
      <c r="JT19" s="1952"/>
      <c r="JU19" s="1952"/>
      <c r="JV19" s="1952"/>
      <c r="JW19" s="1952"/>
      <c r="JX19" s="1952"/>
      <c r="JY19" s="1952"/>
      <c r="JZ19" s="1952"/>
      <c r="KA19" s="1952"/>
      <c r="KB19" s="1952"/>
      <c r="KC19" s="1952"/>
    </row>
    <row r="20" spans="1:313" s="1768" customFormat="1" ht="17.100000000000001" customHeight="1" x14ac:dyDescent="0.2">
      <c r="B20" s="3306"/>
      <c r="E20" s="3324" t="s">
        <v>2370</v>
      </c>
      <c r="K20" s="1770"/>
      <c r="L20" s="1770"/>
      <c r="M20" s="13">
        <v>2</v>
      </c>
      <c r="N20" s="13">
        <v>3</v>
      </c>
      <c r="O20" s="13">
        <v>4</v>
      </c>
      <c r="P20" s="13">
        <v>5</v>
      </c>
      <c r="Q20" s="13">
        <v>6</v>
      </c>
      <c r="R20" s="13">
        <v>7</v>
      </c>
      <c r="S20" s="13">
        <v>8</v>
      </c>
      <c r="T20" s="13">
        <v>9</v>
      </c>
      <c r="U20" s="13">
        <v>10</v>
      </c>
      <c r="V20" s="3324" t="s">
        <v>2370</v>
      </c>
      <c r="W20" s="1770"/>
      <c r="X20" s="13">
        <v>2</v>
      </c>
      <c r="Y20" s="13">
        <v>3</v>
      </c>
      <c r="Z20" s="13">
        <v>4</v>
      </c>
      <c r="AA20" s="13">
        <v>5</v>
      </c>
      <c r="AB20" s="13">
        <v>6</v>
      </c>
      <c r="AC20" s="13">
        <v>7</v>
      </c>
      <c r="AD20" s="13">
        <v>8</v>
      </c>
      <c r="AE20" s="13">
        <v>9</v>
      </c>
      <c r="AF20" s="13">
        <v>10</v>
      </c>
      <c r="AG20" s="1796"/>
      <c r="AH20" s="1862"/>
      <c r="AI20" s="1739"/>
      <c r="AJ20" s="1770"/>
      <c r="AK20" s="13">
        <v>2</v>
      </c>
      <c r="AL20" s="13">
        <v>3</v>
      </c>
      <c r="AM20" s="13">
        <v>4</v>
      </c>
      <c r="AN20" s="13">
        <v>5</v>
      </c>
      <c r="AO20" s="13">
        <v>6</v>
      </c>
      <c r="AP20" s="13">
        <v>7</v>
      </c>
      <c r="AQ20" s="13">
        <v>8</v>
      </c>
      <c r="AR20" s="13">
        <v>9</v>
      </c>
      <c r="AS20" s="13">
        <v>10</v>
      </c>
      <c r="AT20" s="3331" t="s">
        <v>2366</v>
      </c>
      <c r="AU20" s="1770"/>
      <c r="AV20" s="13">
        <v>2</v>
      </c>
      <c r="AW20" s="13">
        <v>3</v>
      </c>
      <c r="AX20" s="13">
        <v>4</v>
      </c>
      <c r="AY20" s="13">
        <v>5</v>
      </c>
      <c r="AZ20" s="13">
        <v>6</v>
      </c>
      <c r="BA20" s="13">
        <v>7</v>
      </c>
      <c r="BB20" s="13">
        <v>8</v>
      </c>
      <c r="BC20" s="13">
        <v>9</v>
      </c>
      <c r="BD20" s="13">
        <v>10</v>
      </c>
      <c r="BE20" s="1175"/>
      <c r="BF20" s="1770"/>
      <c r="BG20" s="1770"/>
      <c r="BH20" s="1770"/>
      <c r="BX20" s="1767"/>
      <c r="BY20" s="1767"/>
      <c r="BZ20" s="1767"/>
      <c r="CA20" s="1767"/>
      <c r="CB20" s="1767"/>
      <c r="CC20" s="1767"/>
      <c r="CD20" s="1767"/>
      <c r="CE20" s="1767"/>
      <c r="CF20" s="1767"/>
      <c r="CG20" s="1767"/>
      <c r="CH20" s="1767"/>
      <c r="CI20" s="1767"/>
      <c r="CJ20" s="1767"/>
      <c r="CK20" s="1767"/>
      <c r="CL20" s="1767"/>
      <c r="CM20" s="1767"/>
      <c r="CN20" s="1767"/>
      <c r="CO20" s="1767"/>
      <c r="CP20" s="1767"/>
      <c r="CQ20" s="1767"/>
      <c r="CR20" s="1767"/>
      <c r="CS20" s="1767"/>
      <c r="CT20" s="1767"/>
      <c r="CU20" s="1767"/>
      <c r="CV20" s="1767"/>
      <c r="CZ20" s="1769">
        <v>2</v>
      </c>
      <c r="DA20" s="1769">
        <v>3</v>
      </c>
      <c r="DB20" s="1769">
        <v>4</v>
      </c>
      <c r="DC20" s="1769">
        <v>5</v>
      </c>
      <c r="DD20" s="1769">
        <v>6</v>
      </c>
      <c r="DE20" s="1769">
        <v>7</v>
      </c>
      <c r="DF20" s="1769">
        <v>8</v>
      </c>
      <c r="DG20" s="1769">
        <v>9</v>
      </c>
      <c r="DH20" s="1769">
        <v>10</v>
      </c>
      <c r="DL20" s="1769">
        <v>2</v>
      </c>
      <c r="DM20" s="1769">
        <v>3</v>
      </c>
      <c r="DN20" s="1769">
        <v>4</v>
      </c>
      <c r="DO20" s="1769">
        <v>5</v>
      </c>
      <c r="DP20" s="1769">
        <v>6</v>
      </c>
      <c r="DQ20" s="1769">
        <v>7</v>
      </c>
      <c r="DR20" s="1769">
        <v>8</v>
      </c>
      <c r="DS20" s="1769">
        <v>9</v>
      </c>
      <c r="DT20" s="1769">
        <v>10</v>
      </c>
      <c r="DV20" s="1770"/>
      <c r="DW20" s="1767"/>
      <c r="DX20" s="1767"/>
      <c r="DY20" s="1767"/>
      <c r="EB20" s="5128" t="s">
        <v>170</v>
      </c>
      <c r="EC20" s="5128"/>
      <c r="ED20" s="5128"/>
      <c r="EE20" s="5128"/>
      <c r="EF20" s="5128"/>
      <c r="EG20" s="5128"/>
      <c r="EH20" s="5128"/>
      <c r="EI20" s="5128"/>
      <c r="EJ20" s="5128"/>
      <c r="EK20" s="5128"/>
      <c r="EL20" s="1767"/>
      <c r="EM20" s="5128" t="s">
        <v>170</v>
      </c>
      <c r="EN20" s="5128"/>
      <c r="EO20" s="5128"/>
      <c r="EP20" s="5128"/>
      <c r="EQ20" s="5128"/>
      <c r="ER20" s="5128"/>
      <c r="ES20" s="5128"/>
      <c r="ET20" s="5128"/>
      <c r="EU20" s="5128"/>
      <c r="EV20" s="5128"/>
      <c r="EW20" s="1767"/>
      <c r="JO20" s="1771"/>
      <c r="JP20" s="1764"/>
      <c r="JQ20" s="1771"/>
      <c r="JR20" s="1764"/>
      <c r="JS20" s="1772"/>
    </row>
    <row r="21" spans="1:313" ht="17.100000000000001" customHeight="1" x14ac:dyDescent="0.3">
      <c r="B21" s="5125" t="s">
        <v>2360</v>
      </c>
      <c r="C21" s="5125"/>
      <c r="D21" s="5125"/>
      <c r="E21" s="5125"/>
      <c r="F21" s="5125"/>
      <c r="G21" s="5125"/>
      <c r="H21" s="5125"/>
      <c r="I21" s="5125"/>
      <c r="K21" s="5126" t="s">
        <v>247</v>
      </c>
      <c r="L21" s="5126"/>
      <c r="M21" s="5126"/>
      <c r="N21" s="5126"/>
      <c r="O21" s="5126"/>
      <c r="P21" s="5126"/>
      <c r="Q21" s="5126"/>
      <c r="R21" s="5126"/>
      <c r="S21" s="5126"/>
      <c r="T21" s="5126"/>
      <c r="U21" s="5126"/>
      <c r="V21" s="5126"/>
      <c r="W21" s="5126"/>
      <c r="X21" s="5126"/>
      <c r="Y21" s="5126"/>
      <c r="Z21" s="5126"/>
      <c r="AA21" s="5126"/>
      <c r="AB21" s="5126"/>
      <c r="AC21" s="5126"/>
      <c r="AD21" s="5126"/>
      <c r="AE21" s="5126"/>
      <c r="AF21" s="5127"/>
      <c r="AG21" s="1796"/>
      <c r="AH21" s="5129" t="s">
        <v>248</v>
      </c>
      <c r="AI21" s="5129"/>
      <c r="AJ21" s="5129"/>
      <c r="AK21" s="5129"/>
      <c r="AL21" s="5129"/>
      <c r="AM21" s="5129"/>
      <c r="AN21" s="5129"/>
      <c r="AO21" s="5129"/>
      <c r="AP21" s="5129"/>
      <c r="AQ21" s="5129"/>
      <c r="AR21" s="5129"/>
      <c r="AS21" s="5129"/>
      <c r="AT21" s="5129"/>
      <c r="AU21" s="5129"/>
      <c r="AV21" s="5129"/>
      <c r="AW21" s="5129"/>
      <c r="AX21" s="5129"/>
      <c r="AY21" s="5129"/>
      <c r="AZ21" s="5129"/>
      <c r="BA21" s="5129"/>
      <c r="BB21" s="5129"/>
      <c r="BC21" s="5129"/>
      <c r="BD21" s="5130"/>
      <c r="BE21" s="1175"/>
      <c r="BY21" s="1777" t="s">
        <v>173</v>
      </c>
      <c r="BZ21" s="1778">
        <f>_xlfn.IFS(
$CQ$25=$CQ$30, 300,
$CQ$25=$CQ$31, 600,
$CQ$25=$CQ$32, 900,
$CQ$25=$CQ$33, 1200,
$CQ$25=$CQ$34, 1500,
TRUE,600)</f>
        <v>600</v>
      </c>
      <c r="CA21" s="1778">
        <f t="shared" ref="CA21:CV21" si="0">IF($CQ$27="HORIZONTAL",BZ21+$BZ$21,BZ21+$BZ$21+(BZ21*0.05))</f>
        <v>1230</v>
      </c>
      <c r="CB21" s="1778">
        <f t="shared" si="0"/>
        <v>1891.5</v>
      </c>
      <c r="CC21" s="1778">
        <f t="shared" si="0"/>
        <v>2586.0749999999998</v>
      </c>
      <c r="CD21" s="1778">
        <f t="shared" si="0"/>
        <v>3315.3787499999999</v>
      </c>
      <c r="CE21" s="1778">
        <f t="shared" si="0"/>
        <v>4081.1476874999998</v>
      </c>
      <c r="CF21" s="1778">
        <f t="shared" si="0"/>
        <v>4885.2050718749997</v>
      </c>
      <c r="CG21" s="1778">
        <f t="shared" si="0"/>
        <v>5729.4653254687501</v>
      </c>
      <c r="CH21" s="1778">
        <f t="shared" si="0"/>
        <v>6615.9385917421878</v>
      </c>
      <c r="CI21" s="1778">
        <f t="shared" si="0"/>
        <v>7546.7355213292976</v>
      </c>
      <c r="CJ21" s="1778">
        <f t="shared" si="0"/>
        <v>8524.0722973957618</v>
      </c>
      <c r="CK21" s="1778">
        <f t="shared" si="0"/>
        <v>9550.2759122655498</v>
      </c>
      <c r="CL21" s="1778">
        <f t="shared" si="0"/>
        <v>10627.789707878826</v>
      </c>
      <c r="CM21" s="1778">
        <f t="shared" si="0"/>
        <v>11759.179193272768</v>
      </c>
      <c r="CN21" s="1778">
        <f t="shared" si="0"/>
        <v>12947.138152936406</v>
      </c>
      <c r="CO21" s="1778">
        <f t="shared" si="0"/>
        <v>14194.495060583227</v>
      </c>
      <c r="CP21" s="1778">
        <f t="shared" si="0"/>
        <v>15504.219813612388</v>
      </c>
      <c r="CQ21" s="1778">
        <f t="shared" si="0"/>
        <v>16879.430804293006</v>
      </c>
      <c r="CR21" s="1778">
        <f t="shared" si="0"/>
        <v>18323.402344507656</v>
      </c>
      <c r="CS21" s="1778">
        <f t="shared" si="0"/>
        <v>19839.572461733038</v>
      </c>
      <c r="CT21" s="1778">
        <f t="shared" si="0"/>
        <v>21431.55108481969</v>
      </c>
      <c r="CU21" s="1778">
        <f t="shared" si="0"/>
        <v>23103.128639060673</v>
      </c>
      <c r="CV21" s="1778">
        <f t="shared" si="0"/>
        <v>24858.285071013706</v>
      </c>
      <c r="CX21" s="5139" t="s">
        <v>172</v>
      </c>
      <c r="CY21" s="1774"/>
      <c r="CZ21" s="1773" t="str">
        <f>ACTIONS!$C$34</f>
        <v>MND1</v>
      </c>
      <c r="DA21" s="1773" t="str">
        <f>ACTIONS!$D$34</f>
        <v>MND2</v>
      </c>
      <c r="DB21" s="1773" t="str">
        <f>ACTIONS!$E$34</f>
        <v>MND3</v>
      </c>
      <c r="DC21" s="1773" t="str">
        <f>ACTIONS!$F$34</f>
        <v>MND4</v>
      </c>
      <c r="DD21" s="1773" t="str">
        <f>ACTIONS!$G$34</f>
        <v>MND5</v>
      </c>
      <c r="DE21" s="1773" t="str">
        <f>ACTIONS!$H$34</f>
        <v>MND6</v>
      </c>
      <c r="DF21" s="1773" t="str">
        <f>ACTIONS!$I$34</f>
        <v>MND7</v>
      </c>
      <c r="DG21" s="1773" t="str">
        <f>ACTIONS!$J$34</f>
        <v>MND8</v>
      </c>
      <c r="DH21" s="1773" t="str">
        <f>ACTIONS!$K$34</f>
        <v>MND9</v>
      </c>
      <c r="DI21" s="1775"/>
      <c r="DJ21" s="1776" t="str">
        <f>'^'!$BK$55</f>
        <v>YYYY</v>
      </c>
      <c r="DK21" s="1776"/>
      <c r="DL21" s="1773" t="str">
        <f>ACTIONS!$BQ$34</f>
        <v>BDY1</v>
      </c>
      <c r="DM21" s="1773" t="str">
        <f>ACTIONS!$BR$34</f>
        <v>BDY2</v>
      </c>
      <c r="DN21" s="1773" t="str">
        <f>ACTIONS!$BS$34</f>
        <v>BDY3</v>
      </c>
      <c r="DO21" s="1773" t="str">
        <f>ACTIONS!$BT$34</f>
        <v>BDY4</v>
      </c>
      <c r="DP21" s="1773" t="str">
        <f>ACTIONS!$BU$34</f>
        <v>BDY5</v>
      </c>
      <c r="DQ21" s="1773" t="str">
        <f>ACTIONS!$BV$34</f>
        <v>BDY6</v>
      </c>
      <c r="DR21" s="1773" t="str">
        <f>ACTIONS!$BW$34</f>
        <v>BDY7</v>
      </c>
      <c r="DS21" s="1773" t="str">
        <f>ACTIONS!$BX$34</f>
        <v>BDY8</v>
      </c>
      <c r="DT21" s="1773" t="str">
        <f>ACTIONS!$BY$34</f>
        <v>BDY9</v>
      </c>
      <c r="DV21" s="5102" t="s">
        <v>174</v>
      </c>
      <c r="DW21" s="5103"/>
      <c r="DX21" s="1773" t="s">
        <v>134</v>
      </c>
      <c r="DY21" s="1773" t="s">
        <v>135</v>
      </c>
      <c r="DZ21" s="1773" t="s">
        <v>136</v>
      </c>
      <c r="EA21" s="1783"/>
      <c r="EB21" s="1773" t="s">
        <v>171</v>
      </c>
      <c r="EC21" s="1773" t="str">
        <f>ACTIONS!$C$34</f>
        <v>MND1</v>
      </c>
      <c r="ED21" s="1773" t="str">
        <f>ACTIONS!$D$34</f>
        <v>MND2</v>
      </c>
      <c r="EE21" s="1773" t="str">
        <f>ACTIONS!$E$34</f>
        <v>MND3</v>
      </c>
      <c r="EF21" s="1773" t="str">
        <f>ACTIONS!$F$34</f>
        <v>MND4</v>
      </c>
      <c r="EG21" s="1773" t="str">
        <f>ACTIONS!$G$34</f>
        <v>MND5</v>
      </c>
      <c r="EH21" s="1773" t="str">
        <f>ACTIONS!$H$34</f>
        <v>MND6</v>
      </c>
      <c r="EI21" s="1773" t="str">
        <f>ACTIONS!$I$34</f>
        <v>MND7</v>
      </c>
      <c r="EJ21" s="1773" t="str">
        <f>ACTIONS!$J$34</f>
        <v>MND8</v>
      </c>
      <c r="EK21" s="1773" t="str">
        <f>ACTIONS!$K$34</f>
        <v>MND9</v>
      </c>
      <c r="EL21" s="1767"/>
      <c r="EM21" s="1773" t="s">
        <v>171</v>
      </c>
      <c r="EN21" s="1773" t="str">
        <f>ACTIONS!$BQ$34</f>
        <v>BDY1</v>
      </c>
      <c r="EO21" s="1773" t="str">
        <f>ACTIONS!$BR$34</f>
        <v>BDY2</v>
      </c>
      <c r="EP21" s="1773" t="str">
        <f>ACTIONS!$BS$34</f>
        <v>BDY3</v>
      </c>
      <c r="EQ21" s="1773" t="str">
        <f>ACTIONS!$BT$34</f>
        <v>BDY4</v>
      </c>
      <c r="ER21" s="1773" t="str">
        <f>ACTIONS!$BU$34</f>
        <v>BDY5</v>
      </c>
      <c r="ES21" s="1773" t="str">
        <f>ACTIONS!$BV$34</f>
        <v>BDY6</v>
      </c>
      <c r="ET21" s="1773" t="str">
        <f>ACTIONS!$BW$34</f>
        <v>BDY7</v>
      </c>
      <c r="EU21" s="1773" t="str">
        <f>ACTIONS!$BX$34</f>
        <v>BDY8</v>
      </c>
      <c r="EV21" s="1773" t="str">
        <f>ACTIONS!$BY$34</f>
        <v>BDY9</v>
      </c>
      <c r="EW21" s="1767"/>
      <c r="FC21" s="2016" t="s">
        <v>1499</v>
      </c>
      <c r="FD21" s="2419"/>
      <c r="FE21" s="2419"/>
      <c r="FF21" s="2419"/>
      <c r="FG21" s="2418"/>
      <c r="FH21" s="2418"/>
      <c r="FI21" s="1770" t="s">
        <v>1492</v>
      </c>
      <c r="FJ21" s="2418"/>
      <c r="FL21" s="1784" t="s">
        <v>932</v>
      </c>
      <c r="FM21" s="1784"/>
      <c r="FN21" s="1784"/>
      <c r="FO21" s="1784"/>
      <c r="FP21" s="1784"/>
      <c r="FQ21" s="1784"/>
      <c r="FR21" s="1784"/>
      <c r="FS21" s="1784"/>
      <c r="FT21" s="1784"/>
      <c r="FU21" s="1784"/>
      <c r="FV21" s="1784"/>
      <c r="FW21" s="1784"/>
      <c r="FX21" s="1784"/>
      <c r="FY21" s="1784"/>
      <c r="FZ21" s="1784"/>
      <c r="GA21" s="1784"/>
      <c r="GB21" s="1784"/>
      <c r="GC21" s="1784"/>
      <c r="GD21" s="1784"/>
      <c r="GE21" s="1784"/>
      <c r="GF21" s="1784"/>
      <c r="GG21" s="1784"/>
      <c r="GH21" s="1784"/>
      <c r="GI21" s="1784"/>
      <c r="GJ21" s="1784"/>
      <c r="GK21" s="1784"/>
      <c r="GL21" s="1784"/>
      <c r="GM21" s="1784"/>
      <c r="GN21" s="1784"/>
      <c r="GO21" s="1784"/>
      <c r="GP21" s="1784"/>
      <c r="GQ21" s="1784"/>
      <c r="GR21" s="1784"/>
      <c r="GS21" s="1784"/>
      <c r="GT21" s="1784"/>
      <c r="GU21" s="1784"/>
      <c r="GV21" s="1784"/>
      <c r="GW21" s="1784"/>
      <c r="GX21" s="1784"/>
      <c r="GY21" s="1784"/>
      <c r="GZ21" s="1784"/>
      <c r="HA21" s="1784"/>
      <c r="HB21" s="1784"/>
      <c r="HC21" s="1784"/>
      <c r="HD21" s="1784"/>
      <c r="HE21" s="1784"/>
      <c r="HF21" s="1784"/>
      <c r="HG21" s="1784"/>
      <c r="HH21" s="1784"/>
      <c r="HI21" s="1784"/>
      <c r="HJ21" s="1784"/>
      <c r="HK21" s="1784"/>
      <c r="HL21" s="1784"/>
      <c r="HM21" s="1784"/>
      <c r="HN21" s="1784"/>
      <c r="HO21" s="1784"/>
      <c r="HP21" s="1784"/>
      <c r="HQ21" s="1784"/>
      <c r="HR21" s="1784"/>
      <c r="HS21" s="1784"/>
      <c r="HT21" s="1784"/>
      <c r="HU21" s="1784"/>
      <c r="HV21" s="1784"/>
      <c r="HW21" s="1784"/>
      <c r="HX21" s="1784"/>
      <c r="IC21" s="1784" t="s">
        <v>2190</v>
      </c>
      <c r="ID21" s="1785"/>
      <c r="IE21" s="1785"/>
      <c r="IF21" s="1785"/>
      <c r="IG21" s="1785"/>
      <c r="IH21" s="1785"/>
      <c r="II21" s="1785"/>
      <c r="IK21" s="1784" t="s">
        <v>2189</v>
      </c>
      <c r="IL21" s="1785"/>
      <c r="IM21" s="1785"/>
      <c r="IN21" s="1785"/>
      <c r="IO21" s="1785"/>
      <c r="IP21" s="1785"/>
      <c r="IQ21" s="1785"/>
      <c r="IR21" s="1785"/>
      <c r="IS21" s="1785"/>
      <c r="IT21" s="1785"/>
      <c r="IU21" s="1785"/>
      <c r="IV21" s="1785"/>
      <c r="IW21" s="1785"/>
      <c r="IY21" s="1867" t="s">
        <v>2404</v>
      </c>
      <c r="IZ21" s="1867" t="s">
        <v>2405</v>
      </c>
      <c r="JC21" s="1784" t="s">
        <v>176</v>
      </c>
      <c r="JD21" s="1781"/>
      <c r="JE21" s="1787" t="s">
        <v>293</v>
      </c>
      <c r="JF21" s="1788">
        <f>COUNTA($JD$23:$JD$42)</f>
        <v>20</v>
      </c>
      <c r="JG21" s="1787" t="s">
        <v>294</v>
      </c>
      <c r="JH21" s="1788">
        <f>COUNTA($JD$23:$JM$23)</f>
        <v>10</v>
      </c>
      <c r="JI21" s="1781"/>
      <c r="JJ21" s="1781"/>
      <c r="JK21" s="1781"/>
      <c r="JL21" s="1781"/>
      <c r="JM21" s="1781"/>
      <c r="JN21" s="1789"/>
      <c r="JO21" s="1738" t="s">
        <v>364</v>
      </c>
      <c r="JP21" s="1764" t="s">
        <v>363</v>
      </c>
      <c r="JQ21" s="1790" t="s">
        <v>401</v>
      </c>
      <c r="JS21" s="1738"/>
      <c r="JT21" s="1791" t="s">
        <v>1964</v>
      </c>
      <c r="JV21" s="1791"/>
      <c r="JX21" s="1791"/>
      <c r="KP21" s="3050"/>
      <c r="KQ21" s="3050"/>
      <c r="KR21" s="3050"/>
      <c r="KS21" s="3050"/>
    </row>
    <row r="22" spans="1:313" ht="17.100000000000001" customHeight="1" x14ac:dyDescent="0.25">
      <c r="B22" s="3296"/>
      <c r="C22" s="3297" t="str">
        <f>$DJ$21</f>
        <v>YYYY</v>
      </c>
      <c r="D22" s="3298" t="s">
        <v>175</v>
      </c>
      <c r="E22" s="3299" t="s">
        <v>892</v>
      </c>
      <c r="F22" s="3299" t="s">
        <v>893</v>
      </c>
      <c r="G22" s="3299" t="s">
        <v>2032</v>
      </c>
      <c r="H22" s="5159" t="s">
        <v>2049</v>
      </c>
      <c r="I22" s="5160"/>
      <c r="J22" s="1808" t="s">
        <v>2363</v>
      </c>
      <c r="K22" s="1875"/>
      <c r="L22" s="1876" t="s">
        <v>969</v>
      </c>
      <c r="M22" s="1773" t="str">
        <f>ACTIONS!$C$34</f>
        <v>MND1</v>
      </c>
      <c r="N22" s="1773" t="str">
        <f>ACTIONS!$D$34</f>
        <v>MND2</v>
      </c>
      <c r="O22" s="1773" t="str">
        <f>ACTIONS!$E$34</f>
        <v>MND3</v>
      </c>
      <c r="P22" s="1773" t="str">
        <f>ACTIONS!$F$34</f>
        <v>MND4</v>
      </c>
      <c r="Q22" s="1773" t="str">
        <f>ACTIONS!$G$34</f>
        <v>MND5</v>
      </c>
      <c r="R22" s="1773" t="str">
        <f>ACTIONS!$H$34</f>
        <v>MND6</v>
      </c>
      <c r="S22" s="1773" t="str">
        <f>ACTIONS!$I$34</f>
        <v>MND7</v>
      </c>
      <c r="T22" s="1773" t="str">
        <f>ACTIONS!$J$34</f>
        <v>MND8</v>
      </c>
      <c r="U22" s="1773" t="str">
        <f>ACTIONS!$K$34</f>
        <v>MND9</v>
      </c>
      <c r="V22" s="1875"/>
      <c r="W22" s="1876" t="s">
        <v>969</v>
      </c>
      <c r="X22" s="1773" t="str">
        <f>ACTIONS!$BQ$34</f>
        <v>BDY1</v>
      </c>
      <c r="Y22" s="1773" t="str">
        <f>ACTIONS!$BR$34</f>
        <v>BDY2</v>
      </c>
      <c r="Z22" s="1773" t="str">
        <f>ACTIONS!$BS$34</f>
        <v>BDY3</v>
      </c>
      <c r="AA22" s="1773" t="str">
        <f>ACTIONS!$BT$34</f>
        <v>BDY4</v>
      </c>
      <c r="AB22" s="1773" t="str">
        <f>ACTIONS!$BU$34</f>
        <v>BDY5</v>
      </c>
      <c r="AC22" s="1773" t="str">
        <f>ACTIONS!$BV$34</f>
        <v>BDY6</v>
      </c>
      <c r="AD22" s="1773" t="str">
        <f>ACTIONS!$BW$34</f>
        <v>BDY7</v>
      </c>
      <c r="AE22" s="1773" t="str">
        <f>ACTIONS!$BX$34</f>
        <v>BDY8</v>
      </c>
      <c r="AF22" s="1773" t="str">
        <f>ACTIONS!$BY$34</f>
        <v>BDY9</v>
      </c>
      <c r="AG22" s="1796"/>
      <c r="AH22" s="1877" t="str">
        <f>IF(AI22="","&gt;","")</f>
        <v/>
      </c>
      <c r="AI22" s="1782" t="s">
        <v>969</v>
      </c>
      <c r="AJ22" s="1773" t="s">
        <v>252</v>
      </c>
      <c r="AK22" s="1773" t="str">
        <f>ACTIONS!$C$34</f>
        <v>MND1</v>
      </c>
      <c r="AL22" s="1773" t="str">
        <f>ACTIONS!$D$34</f>
        <v>MND2</v>
      </c>
      <c r="AM22" s="1773" t="str">
        <f>ACTIONS!$E$34</f>
        <v>MND3</v>
      </c>
      <c r="AN22" s="1773" t="str">
        <f>ACTIONS!$F$34</f>
        <v>MND4</v>
      </c>
      <c r="AO22" s="1773" t="str">
        <f>ACTIONS!$G$34</f>
        <v>MND5</v>
      </c>
      <c r="AP22" s="1773" t="str">
        <f>ACTIONS!$H$34</f>
        <v>MND6</v>
      </c>
      <c r="AQ22" s="1773" t="str">
        <f>ACTIONS!$I$34</f>
        <v>MND7</v>
      </c>
      <c r="AR22" s="1773" t="str">
        <f>ACTIONS!$J$34</f>
        <v>MND8</v>
      </c>
      <c r="AS22" s="1773" t="str">
        <f>ACTIONS!$K$34</f>
        <v>MND9</v>
      </c>
      <c r="AT22" s="1773"/>
      <c r="AU22" s="1773" t="s">
        <v>252</v>
      </c>
      <c r="AV22" s="1773" t="str">
        <f>ACTIONS!$BQ$34</f>
        <v>BDY1</v>
      </c>
      <c r="AW22" s="1773" t="str">
        <f>ACTIONS!$BR$34</f>
        <v>BDY2</v>
      </c>
      <c r="AX22" s="1773" t="str">
        <f>ACTIONS!$BS$34</f>
        <v>BDY3</v>
      </c>
      <c r="AY22" s="1773" t="str">
        <f>ACTIONS!$BT$34</f>
        <v>BDY4</v>
      </c>
      <c r="AZ22" s="1773" t="str">
        <f>ACTIONS!$BU$34</f>
        <v>BDY5</v>
      </c>
      <c r="BA22" s="1773" t="str">
        <f>ACTIONS!$BV$34</f>
        <v>BDY6</v>
      </c>
      <c r="BB22" s="1773" t="str">
        <f>ACTIONS!$BW$34</f>
        <v>BDY7</v>
      </c>
      <c r="BC22" s="1773" t="str">
        <f>ACTIONS!$BX$34</f>
        <v>BDY8</v>
      </c>
      <c r="BD22" s="1773" t="str">
        <f>ACTIONS!$BY$34</f>
        <v>BDY9</v>
      </c>
      <c r="BE22" s="1874"/>
      <c r="BF22" s="5135" t="s">
        <v>902</v>
      </c>
      <c r="BG22" s="5136"/>
      <c r="BH22" s="5137"/>
      <c r="BY22" s="1777" t="s">
        <v>85</v>
      </c>
      <c r="BZ22" s="1777">
        <f t="shared" ref="BZ22:CV22" si="1">BZ21/60</f>
        <v>10</v>
      </c>
      <c r="CA22" s="1778">
        <f t="shared" si="1"/>
        <v>20.5</v>
      </c>
      <c r="CB22" s="1778">
        <f t="shared" si="1"/>
        <v>31.524999999999999</v>
      </c>
      <c r="CC22" s="1778">
        <f t="shared" si="1"/>
        <v>43.10125</v>
      </c>
      <c r="CD22" s="1778">
        <f t="shared" si="1"/>
        <v>55.2563125</v>
      </c>
      <c r="CE22" s="1778">
        <f t="shared" si="1"/>
        <v>68.019128124999995</v>
      </c>
      <c r="CF22" s="1778">
        <f t="shared" si="1"/>
        <v>81.420084531249998</v>
      </c>
      <c r="CG22" s="1778">
        <f t="shared" si="1"/>
        <v>95.491088757812506</v>
      </c>
      <c r="CH22" s="1778">
        <f t="shared" si="1"/>
        <v>110.26564319570313</v>
      </c>
      <c r="CI22" s="1778">
        <f t="shared" si="1"/>
        <v>125.7789253554883</v>
      </c>
      <c r="CJ22" s="1778">
        <f t="shared" si="1"/>
        <v>142.0678716232627</v>
      </c>
      <c r="CK22" s="1778">
        <f t="shared" si="1"/>
        <v>159.17126520442582</v>
      </c>
      <c r="CL22" s="1778">
        <f t="shared" si="1"/>
        <v>177.12982846464712</v>
      </c>
      <c r="CM22" s="1778">
        <f t="shared" si="1"/>
        <v>195.98631988787946</v>
      </c>
      <c r="CN22" s="1778">
        <f t="shared" si="1"/>
        <v>215.78563588227343</v>
      </c>
      <c r="CO22" s="1778">
        <f t="shared" si="1"/>
        <v>236.57491767638712</v>
      </c>
      <c r="CP22" s="1778">
        <f t="shared" si="1"/>
        <v>258.40366356020644</v>
      </c>
      <c r="CQ22" s="1778">
        <f t="shared" si="1"/>
        <v>281.32384673821679</v>
      </c>
      <c r="CR22" s="1778">
        <f t="shared" si="1"/>
        <v>305.39003907512762</v>
      </c>
      <c r="CS22" s="1778">
        <f t="shared" si="1"/>
        <v>330.65954102888395</v>
      </c>
      <c r="CT22" s="1778">
        <f t="shared" si="1"/>
        <v>357.19251808032817</v>
      </c>
      <c r="CU22" s="1778">
        <f t="shared" si="1"/>
        <v>385.05214398434453</v>
      </c>
      <c r="CV22" s="1778">
        <f t="shared" si="1"/>
        <v>414.30475118356179</v>
      </c>
      <c r="CX22" s="5139"/>
      <c r="CY22" s="1797" t="s">
        <v>42</v>
      </c>
      <c r="CZ22" s="1798" t="str">
        <f>IFERROR(VLOOKUP($DJ22,$L$24:$U$143,CZ$20,FALSE)/60,"")</f>
        <v/>
      </c>
      <c r="DA22" s="1798" t="str">
        <f t="shared" ref="DA22:DH22" si="2">IFERROR(VLOOKUP($DJ22,$L$24:$U$143,DA$20,FALSE)/60,"")</f>
        <v/>
      </c>
      <c r="DB22" s="1798" t="str">
        <f t="shared" si="2"/>
        <v/>
      </c>
      <c r="DC22" s="1798" t="str">
        <f t="shared" si="2"/>
        <v/>
      </c>
      <c r="DD22" s="1798" t="str">
        <f t="shared" si="2"/>
        <v/>
      </c>
      <c r="DE22" s="1798" t="str">
        <f t="shared" si="2"/>
        <v/>
      </c>
      <c r="DF22" s="1798" t="str">
        <f t="shared" si="2"/>
        <v/>
      </c>
      <c r="DG22" s="1798" t="str">
        <f t="shared" si="2"/>
        <v/>
      </c>
      <c r="DH22" s="1798" t="str">
        <f t="shared" si="2"/>
        <v/>
      </c>
      <c r="DI22" s="1799">
        <v>1</v>
      </c>
      <c r="DJ22" s="1800" t="e">
        <f t="shared" ref="DJ22:DJ33" si="3">VALUE("01/"&amp;$DI22&amp;"/"&amp;$DJ$21)</f>
        <v>#VALUE!</v>
      </c>
      <c r="DK22" s="1797" t="s">
        <v>42</v>
      </c>
      <c r="DL22" s="1798" t="str">
        <f>IFERROR(VLOOKUP($DJ22,$W$24:$AF$143,DL$20,FALSE)/60,"")</f>
        <v/>
      </c>
      <c r="DM22" s="1798" t="str">
        <f t="shared" ref="DM22:DT22" si="4">IFERROR(VLOOKUP($DJ22,$W$24:$AF$143,DM$20,FALSE)/60,"")</f>
        <v/>
      </c>
      <c r="DN22" s="1798" t="str">
        <f t="shared" si="4"/>
        <v/>
      </c>
      <c r="DO22" s="1798" t="str">
        <f t="shared" si="4"/>
        <v/>
      </c>
      <c r="DP22" s="1798" t="str">
        <f t="shared" si="4"/>
        <v/>
      </c>
      <c r="DQ22" s="1798" t="str">
        <f t="shared" si="4"/>
        <v/>
      </c>
      <c r="DR22" s="1798" t="str">
        <f t="shared" si="4"/>
        <v/>
      </c>
      <c r="DS22" s="1798" t="str">
        <f t="shared" si="4"/>
        <v/>
      </c>
      <c r="DT22" s="1798" t="str">
        <f t="shared" si="4"/>
        <v/>
      </c>
      <c r="DV22" s="5104" t="s">
        <v>179</v>
      </c>
      <c r="DW22" s="5104"/>
      <c r="DX22" s="1793">
        <f>ROUND(RESPITE!$X$46/60,0)</f>
        <v>0</v>
      </c>
      <c r="DY22" s="1793">
        <f>ROUND(RESPITE!$X$50/60,0)</f>
        <v>0</v>
      </c>
      <c r="DZ22" s="1793">
        <f>ROUND(RESPITE!$X$54/60,0)</f>
        <v>0</v>
      </c>
      <c r="EA22" s="3301"/>
      <c r="EB22" s="1792">
        <v>31</v>
      </c>
      <c r="EC22" s="1793">
        <f>ACTIONS!C3</f>
        <v>0</v>
      </c>
      <c r="ED22" s="1793">
        <f>ACTIONS!D3</f>
        <v>0</v>
      </c>
      <c r="EE22" s="1793">
        <f>ACTIONS!E3</f>
        <v>0</v>
      </c>
      <c r="EF22" s="1793">
        <f>ACTIONS!F3</f>
        <v>0</v>
      </c>
      <c r="EG22" s="1793">
        <f>ACTIONS!G3</f>
        <v>0</v>
      </c>
      <c r="EH22" s="1793">
        <f>ACTIONS!H3</f>
        <v>0</v>
      </c>
      <c r="EI22" s="1793">
        <f>ACTIONS!I3</f>
        <v>0</v>
      </c>
      <c r="EJ22" s="1793">
        <f>ACTIONS!J3</f>
        <v>0</v>
      </c>
      <c r="EK22" s="1793">
        <f>ACTIONS!K3</f>
        <v>0</v>
      </c>
      <c r="EL22" s="1794"/>
      <c r="EM22" s="1792">
        <v>31</v>
      </c>
      <c r="EN22" s="1795">
        <f>ACTIONS!BQ3</f>
        <v>0</v>
      </c>
      <c r="EO22" s="1795">
        <f>ACTIONS!BR3</f>
        <v>0</v>
      </c>
      <c r="EP22" s="1795">
        <f>ACTIONS!BS3</f>
        <v>0</v>
      </c>
      <c r="EQ22" s="1795">
        <f>ACTIONS!BT3</f>
        <v>0</v>
      </c>
      <c r="ER22" s="1795">
        <f>ACTIONS!BU3</f>
        <v>0</v>
      </c>
      <c r="ES22" s="1795">
        <f>ACTIONS!BV3</f>
        <v>0</v>
      </c>
      <c r="ET22" s="1795">
        <f>ACTIONS!BW3</f>
        <v>0</v>
      </c>
      <c r="EU22" s="1795">
        <f>ACTIONS!BX3</f>
        <v>0</v>
      </c>
      <c r="EV22" s="1795">
        <f>ACTIONS!BY3</f>
        <v>0</v>
      </c>
      <c r="EW22" s="1796"/>
      <c r="EX22" s="1855"/>
      <c r="EY22" s="1856"/>
      <c r="EZ22" s="1856"/>
      <c r="FA22" s="1856"/>
      <c r="FB22" s="1856"/>
      <c r="FC22" s="1856"/>
      <c r="FD22" s="1856"/>
      <c r="FE22" s="1856"/>
      <c r="FF22" s="1856"/>
      <c r="FG22" s="1857"/>
      <c r="FH22" s="1855"/>
      <c r="FI22" s="1856"/>
      <c r="FJ22" s="1857"/>
      <c r="FL22" s="1917"/>
      <c r="FM22" s="1918"/>
      <c r="FN22" s="1918"/>
      <c r="FO22" s="5108" t="s">
        <v>916</v>
      </c>
      <c r="FP22" s="5108"/>
      <c r="FQ22" s="1216"/>
      <c r="FR22" s="5107" t="s">
        <v>911</v>
      </c>
      <c r="FS22" s="5107"/>
      <c r="FT22" s="5107" t="s">
        <v>912</v>
      </c>
      <c r="FU22" s="5107"/>
      <c r="FV22" s="5107" t="s">
        <v>913</v>
      </c>
      <c r="FW22" s="5107"/>
      <c r="FX22" s="1216"/>
      <c r="FY22" s="5108" t="s">
        <v>914</v>
      </c>
      <c r="FZ22" s="5108"/>
      <c r="GA22" s="1216"/>
      <c r="GB22" s="1918"/>
      <c r="GC22" s="1918"/>
      <c r="GD22" s="1918"/>
      <c r="GE22" s="1918"/>
      <c r="GF22" s="1918"/>
      <c r="GG22" s="1918"/>
      <c r="GH22" s="1918"/>
      <c r="GI22" s="1918"/>
      <c r="GJ22" s="1918"/>
      <c r="GK22" s="1918"/>
      <c r="GL22" s="1918"/>
      <c r="GM22" s="1918"/>
      <c r="GN22" s="1918"/>
      <c r="GO22" s="1918"/>
      <c r="GP22" s="1918"/>
      <c r="GQ22" s="5109" t="s">
        <v>915</v>
      </c>
      <c r="GR22" s="5109"/>
      <c r="GS22" s="1918"/>
      <c r="GT22" s="1918"/>
      <c r="GU22" s="1918"/>
      <c r="GV22" s="1918"/>
      <c r="GW22" s="1918"/>
      <c r="GX22" s="1918"/>
      <c r="GY22" s="1918"/>
      <c r="GZ22" s="1918"/>
      <c r="HA22" s="1918"/>
      <c r="HB22" s="1918"/>
      <c r="HC22" s="1918"/>
      <c r="HD22" s="1918"/>
      <c r="HE22" s="1918"/>
      <c r="HF22" s="1918"/>
      <c r="HG22" s="1918"/>
      <c r="HH22" s="1918"/>
      <c r="HI22" s="1918"/>
      <c r="HJ22" s="1918"/>
      <c r="HK22" s="5108" t="s">
        <v>916</v>
      </c>
      <c r="HL22" s="5108"/>
      <c r="HM22" s="1216"/>
      <c r="HN22" s="5107" t="s">
        <v>911</v>
      </c>
      <c r="HO22" s="5107"/>
      <c r="HP22" s="5107" t="s">
        <v>912</v>
      </c>
      <c r="HQ22" s="5107"/>
      <c r="HR22" s="5107" t="s">
        <v>913</v>
      </c>
      <c r="HS22" s="5107"/>
      <c r="HT22" s="1216"/>
      <c r="HU22" s="5108" t="s">
        <v>914</v>
      </c>
      <c r="HV22" s="5108"/>
      <c r="HW22" s="1918"/>
      <c r="HX22" s="1217"/>
      <c r="IC22" s="1804"/>
      <c r="ID22" s="1805">
        <v>1</v>
      </c>
      <c r="IE22" s="1805">
        <v>2</v>
      </c>
      <c r="IF22" s="1805">
        <v>3</v>
      </c>
      <c r="IG22" s="1805">
        <v>4</v>
      </c>
      <c r="IH22" s="1805">
        <v>5</v>
      </c>
      <c r="II22" s="1805">
        <v>6</v>
      </c>
      <c r="IK22" s="1804"/>
      <c r="IL22" s="1805">
        <v>1</v>
      </c>
      <c r="IM22" s="1805">
        <v>2</v>
      </c>
      <c r="IN22" s="1805">
        <v>3</v>
      </c>
      <c r="IO22" s="1805">
        <v>4</v>
      </c>
      <c r="IP22" s="1805">
        <v>5</v>
      </c>
      <c r="IQ22" s="1805">
        <v>6</v>
      </c>
      <c r="IR22" s="1805">
        <v>7</v>
      </c>
      <c r="IS22" s="1805">
        <v>8</v>
      </c>
      <c r="IT22" s="1805">
        <v>9</v>
      </c>
      <c r="IU22" s="1805">
        <v>10</v>
      </c>
      <c r="IV22" s="1805">
        <v>11</v>
      </c>
      <c r="IW22" s="1805">
        <v>12</v>
      </c>
      <c r="JC22" s="1806"/>
      <c r="JD22" s="1805">
        <v>1</v>
      </c>
      <c r="JE22" s="1805">
        <v>2</v>
      </c>
      <c r="JF22" s="1805">
        <v>3</v>
      </c>
      <c r="JG22" s="1805">
        <v>4</v>
      </c>
      <c r="JH22" s="1805">
        <v>5</v>
      </c>
      <c r="JI22" s="1805">
        <v>6</v>
      </c>
      <c r="JJ22" s="1805">
        <v>7</v>
      </c>
      <c r="JK22" s="1805">
        <v>8</v>
      </c>
      <c r="JL22" s="1805">
        <v>9</v>
      </c>
      <c r="JM22" s="1805">
        <v>10</v>
      </c>
      <c r="JO22" s="1807"/>
      <c r="JQ22" s="1807"/>
      <c r="JS22" s="1738"/>
      <c r="JT22" s="1791"/>
      <c r="JV22" s="1791"/>
      <c r="JX22" s="3071"/>
      <c r="JY22" s="1791"/>
      <c r="KP22" s="3051"/>
      <c r="KQ22" s="3051"/>
      <c r="KR22" s="3051"/>
      <c r="KS22" s="3051"/>
    </row>
    <row r="23" spans="1:313" ht="17.100000000000001" customHeight="1" thickBot="1" x14ac:dyDescent="0.35">
      <c r="B23" s="3314" t="str">
        <f t="shared" ref="B23:B35" si="5">IF(C23=$B$41,"&gt; &gt; &gt; &gt;","")</f>
        <v/>
      </c>
      <c r="C23" s="1801" t="str">
        <f>IF($B$41="DEC","","DEC")</f>
        <v>DEC</v>
      </c>
      <c r="D23" s="1836">
        <v>0</v>
      </c>
      <c r="E23" s="1836">
        <v>0</v>
      </c>
      <c r="F23" s="1836">
        <v>0</v>
      </c>
      <c r="G23" s="1803">
        <f t="shared" ref="G23:G34" si="6">IF(C23=$B$41,0,SUM(D23:F23))</f>
        <v>0</v>
      </c>
      <c r="H23" s="3100"/>
      <c r="I23" s="5157" t="s">
        <v>2048</v>
      </c>
      <c r="J23" s="1898" t="s">
        <v>2412</v>
      </c>
      <c r="K23" s="3312" t="str">
        <f>IF(L23="","&gt; &gt; &gt; &gt;","")</f>
        <v/>
      </c>
      <c r="L23" s="3214" t="s">
        <v>969</v>
      </c>
      <c r="M23" s="3213">
        <v>0</v>
      </c>
      <c r="N23" s="3213">
        <v>0</v>
      </c>
      <c r="O23" s="3213">
        <v>0</v>
      </c>
      <c r="P23" s="3213">
        <v>0</v>
      </c>
      <c r="Q23" s="3213">
        <v>0</v>
      </c>
      <c r="R23" s="3213">
        <v>0</v>
      </c>
      <c r="S23" s="3213">
        <v>0</v>
      </c>
      <c r="T23" s="3213">
        <v>0</v>
      </c>
      <c r="U23" s="3213">
        <v>0</v>
      </c>
      <c r="V23" s="3215"/>
      <c r="W23" s="3214"/>
      <c r="X23" s="3213">
        <v>0</v>
      </c>
      <c r="Y23" s="3213">
        <v>0</v>
      </c>
      <c r="Z23" s="3213">
        <v>0</v>
      </c>
      <c r="AA23" s="3213">
        <v>0</v>
      </c>
      <c r="AB23" s="3213">
        <v>0</v>
      </c>
      <c r="AC23" s="3213">
        <v>0</v>
      </c>
      <c r="AD23" s="3213">
        <v>0</v>
      </c>
      <c r="AE23" s="3213">
        <v>0</v>
      </c>
      <c r="AF23" s="3213">
        <v>0</v>
      </c>
      <c r="AG23" s="1796"/>
      <c r="AH23" s="3313" t="str">
        <f>IF(AND(AI21&lt;&gt;"",AI23=""),"&gt; &gt; &gt; &gt;","")</f>
        <v/>
      </c>
      <c r="AI23" s="3214"/>
      <c r="AJ23" s="3212">
        <v>0</v>
      </c>
      <c r="AK23" s="3213">
        <v>0</v>
      </c>
      <c r="AL23" s="3213">
        <v>0</v>
      </c>
      <c r="AM23" s="3213">
        <v>0</v>
      </c>
      <c r="AN23" s="3213">
        <v>0</v>
      </c>
      <c r="AO23" s="3213">
        <v>0</v>
      </c>
      <c r="AP23" s="3213">
        <v>0</v>
      </c>
      <c r="AQ23" s="3213">
        <v>0</v>
      </c>
      <c r="AR23" s="3213">
        <v>0</v>
      </c>
      <c r="AS23" s="3213">
        <v>0</v>
      </c>
      <c r="AT23" s="3213"/>
      <c r="AU23" s="3212">
        <v>0</v>
      </c>
      <c r="AV23" s="3213">
        <v>0</v>
      </c>
      <c r="AW23" s="3213">
        <v>0</v>
      </c>
      <c r="AX23" s="3213">
        <v>0</v>
      </c>
      <c r="AY23" s="3213">
        <v>0</v>
      </c>
      <c r="AZ23" s="3213">
        <v>0</v>
      </c>
      <c r="BA23" s="3213">
        <v>0</v>
      </c>
      <c r="BB23" s="3213">
        <v>0</v>
      </c>
      <c r="BC23" s="3213">
        <v>0</v>
      </c>
      <c r="BD23" s="3213">
        <v>0</v>
      </c>
      <c r="BE23" s="1878"/>
      <c r="BF23" s="1784" t="s">
        <v>0</v>
      </c>
      <c r="BG23" s="1782" t="s">
        <v>253</v>
      </c>
      <c r="BH23" s="1782" t="s">
        <v>254</v>
      </c>
      <c r="BJ23" s="5066" t="s">
        <v>552</v>
      </c>
      <c r="BK23" s="5066"/>
      <c r="BL23" s="5066"/>
      <c r="BM23" s="1767"/>
      <c r="BN23" s="5066" t="s">
        <v>2411</v>
      </c>
      <c r="BO23" s="5066"/>
      <c r="BP23" s="5066"/>
      <c r="BQ23" s="1767"/>
      <c r="BR23" s="1767"/>
      <c r="BS23" s="1767"/>
      <c r="BT23" s="1767"/>
      <c r="BU23" s="1767"/>
      <c r="BV23" s="1767"/>
      <c r="BW23" s="1767"/>
      <c r="BY23" s="1809" t="s">
        <v>181</v>
      </c>
      <c r="BZ23" s="1780">
        <v>1</v>
      </c>
      <c r="CA23" s="1780">
        <v>2</v>
      </c>
      <c r="CB23" s="1780">
        <v>3</v>
      </c>
      <c r="CC23" s="1780">
        <v>4</v>
      </c>
      <c r="CD23" s="1780">
        <v>5</v>
      </c>
      <c r="CE23" s="1780">
        <v>6</v>
      </c>
      <c r="CF23" s="1780">
        <v>7</v>
      </c>
      <c r="CG23" s="1780">
        <v>8</v>
      </c>
      <c r="CH23" s="1780">
        <v>9</v>
      </c>
      <c r="CI23" s="1780">
        <v>10</v>
      </c>
      <c r="CJ23" s="1780">
        <v>11</v>
      </c>
      <c r="CK23" s="1780">
        <v>12</v>
      </c>
      <c r="CL23" s="1780">
        <v>13</v>
      </c>
      <c r="CM23" s="1780">
        <v>14</v>
      </c>
      <c r="CN23" s="1780">
        <v>15</v>
      </c>
      <c r="CO23" s="1780">
        <v>16</v>
      </c>
      <c r="CP23" s="1780">
        <v>17</v>
      </c>
      <c r="CQ23" s="1780">
        <v>18</v>
      </c>
      <c r="CR23" s="1780">
        <v>19</v>
      </c>
      <c r="CS23" s="1780">
        <v>20</v>
      </c>
      <c r="CT23" s="1780">
        <v>21</v>
      </c>
      <c r="CU23" s="1780">
        <v>22</v>
      </c>
      <c r="CV23" s="1780">
        <v>23</v>
      </c>
      <c r="CX23" s="5139"/>
      <c r="CY23" s="1797" t="s">
        <v>180</v>
      </c>
      <c r="CZ23" s="1798" t="str">
        <f t="shared" ref="CZ23:DH33" si="7">IFERROR(VLOOKUP($DJ23,$L$24:$U$143,CZ$20,FALSE)/60,"")</f>
        <v/>
      </c>
      <c r="DA23" s="1798" t="str">
        <f t="shared" si="7"/>
        <v/>
      </c>
      <c r="DB23" s="1798" t="str">
        <f t="shared" si="7"/>
        <v/>
      </c>
      <c r="DC23" s="1798" t="str">
        <f t="shared" si="7"/>
        <v/>
      </c>
      <c r="DD23" s="1798" t="str">
        <f t="shared" si="7"/>
        <v/>
      </c>
      <c r="DE23" s="1798" t="str">
        <f t="shared" si="7"/>
        <v/>
      </c>
      <c r="DF23" s="1798" t="str">
        <f t="shared" si="7"/>
        <v/>
      </c>
      <c r="DG23" s="1798" t="str">
        <f t="shared" si="7"/>
        <v/>
      </c>
      <c r="DH23" s="1798" t="str">
        <f t="shared" si="7"/>
        <v/>
      </c>
      <c r="DI23" s="1799">
        <v>2</v>
      </c>
      <c r="DJ23" s="1800" t="e">
        <f t="shared" si="3"/>
        <v>#VALUE!</v>
      </c>
      <c r="DK23" s="1797" t="s">
        <v>180</v>
      </c>
      <c r="DL23" s="1798" t="str">
        <f t="shared" ref="DL23:DT33" si="8">IFERROR(VLOOKUP($DJ23,$W$24:$AF$143,DL$20,FALSE)/60,"")</f>
        <v/>
      </c>
      <c r="DM23" s="1798" t="str">
        <f t="shared" si="8"/>
        <v/>
      </c>
      <c r="DN23" s="1798" t="str">
        <f t="shared" si="8"/>
        <v/>
      </c>
      <c r="DO23" s="1798" t="str">
        <f t="shared" si="8"/>
        <v/>
      </c>
      <c r="DP23" s="1798" t="str">
        <f t="shared" si="8"/>
        <v/>
      </c>
      <c r="DQ23" s="1798" t="str">
        <f t="shared" si="8"/>
        <v/>
      </c>
      <c r="DR23" s="1798" t="str">
        <f t="shared" si="8"/>
        <v/>
      </c>
      <c r="DS23" s="1798" t="str">
        <f t="shared" si="8"/>
        <v/>
      </c>
      <c r="DT23" s="1798" t="str">
        <f t="shared" si="8"/>
        <v/>
      </c>
      <c r="DV23" s="1811"/>
      <c r="DW23" s="1811"/>
      <c r="DX23" s="1812"/>
      <c r="DY23" s="1808"/>
      <c r="DZ23" s="1813"/>
      <c r="EA23" s="3301"/>
      <c r="EB23" s="1792">
        <v>30</v>
      </c>
      <c r="EC23" s="1793">
        <f>ACTIONS!C4</f>
        <v>0</v>
      </c>
      <c r="ED23" s="1793">
        <f>ACTIONS!D4</f>
        <v>0</v>
      </c>
      <c r="EE23" s="1793">
        <f>ACTIONS!E4</f>
        <v>0</v>
      </c>
      <c r="EF23" s="1793">
        <f>ACTIONS!F4</f>
        <v>0</v>
      </c>
      <c r="EG23" s="1793">
        <f>ACTIONS!G4</f>
        <v>0</v>
      </c>
      <c r="EH23" s="1793">
        <f>ACTIONS!H4</f>
        <v>0</v>
      </c>
      <c r="EI23" s="1793">
        <f>ACTIONS!I4</f>
        <v>0</v>
      </c>
      <c r="EJ23" s="1793">
        <f>ACTIONS!J4</f>
        <v>0</v>
      </c>
      <c r="EK23" s="1793">
        <f>ACTIONS!K4</f>
        <v>0</v>
      </c>
      <c r="EM23" s="1792">
        <v>30</v>
      </c>
      <c r="EN23" s="1795">
        <f>ACTIONS!BQ4</f>
        <v>0</v>
      </c>
      <c r="EO23" s="1795">
        <f>ACTIONS!BR4</f>
        <v>0</v>
      </c>
      <c r="EP23" s="1795">
        <f>ACTIONS!BS4</f>
        <v>0</v>
      </c>
      <c r="EQ23" s="1795">
        <f>ACTIONS!BT4</f>
        <v>0</v>
      </c>
      <c r="ER23" s="1795">
        <f>ACTIONS!BU4</f>
        <v>0</v>
      </c>
      <c r="ES23" s="1795">
        <f>ACTIONS!BV4</f>
        <v>0</v>
      </c>
      <c r="ET23" s="1795">
        <f>ACTIONS!BW4</f>
        <v>0</v>
      </c>
      <c r="EU23" s="1795">
        <f>ACTIONS!BX4</f>
        <v>0</v>
      </c>
      <c r="EV23" s="1795">
        <f>ACTIONS!BY4</f>
        <v>0</v>
      </c>
      <c r="EW23" s="1796"/>
      <c r="EX23" s="2403"/>
      <c r="EY23" s="2439"/>
      <c r="EZ23" s="2439"/>
      <c r="FA23" s="2440" t="s">
        <v>3</v>
      </c>
      <c r="FB23" s="2439"/>
      <c r="FC23" s="2441" t="s">
        <v>1511</v>
      </c>
      <c r="FD23" s="2442" t="s">
        <v>1489</v>
      </c>
      <c r="FE23" s="2443" t="s">
        <v>1512</v>
      </c>
      <c r="FF23" s="2444" t="s">
        <v>1513</v>
      </c>
      <c r="FG23" s="2445"/>
      <c r="FH23" s="2446"/>
      <c r="FI23" s="2447" t="str" cm="1">
        <f t="array" ref="FI23">_xlfn.IFS('^'!$L$58='^'!$CG$1,'^'!$CG$1,'^'!$L$58='^'!$CG$2,'^'!$CG$2,'^'!$L$58='^'!$CG$3,'^'!$CG$3,'^'!$L$58='^'!$CG$4,'^'!$CG$4,TRUE,'^'!$CG$1)</f>
        <v>CASUAL</v>
      </c>
      <c r="FJ23" s="1865"/>
      <c r="FL23" s="1919"/>
      <c r="FM23" s="1887"/>
      <c r="FN23" s="1887"/>
      <c r="FO23" s="5093"/>
      <c r="FP23" s="5093"/>
      <c r="FQ23" s="12"/>
      <c r="FR23" s="5092"/>
      <c r="FS23" s="5092"/>
      <c r="FT23" s="5092"/>
      <c r="FU23" s="5092"/>
      <c r="FV23" s="5092"/>
      <c r="FW23" s="5092"/>
      <c r="FX23" s="12"/>
      <c r="FY23" s="5093"/>
      <c r="FZ23" s="5093"/>
      <c r="GA23" s="12"/>
      <c r="GB23" s="1887"/>
      <c r="GC23" s="1887"/>
      <c r="GD23" s="1887"/>
      <c r="GE23" s="1920"/>
      <c r="GF23" s="1920"/>
      <c r="GG23" s="1920"/>
      <c r="GH23" s="1920"/>
      <c r="GI23" s="1920"/>
      <c r="GJ23" s="1920"/>
      <c r="GK23" s="1920"/>
      <c r="GL23" s="1920"/>
      <c r="GM23" s="1920"/>
      <c r="GN23" s="1920"/>
      <c r="GO23" s="1887"/>
      <c r="GP23" s="1887"/>
      <c r="GQ23" s="5110"/>
      <c r="GR23" s="5110"/>
      <c r="GS23" s="1887"/>
      <c r="GT23" s="1887"/>
      <c r="GU23" s="1920"/>
      <c r="GV23" s="1920"/>
      <c r="GW23" s="1920"/>
      <c r="GX23" s="1920"/>
      <c r="GY23" s="1920"/>
      <c r="GZ23" s="1920"/>
      <c r="HA23" s="1887"/>
      <c r="HB23" s="1887"/>
      <c r="HC23" s="1887"/>
      <c r="HD23" s="1887"/>
      <c r="HE23" s="1887"/>
      <c r="HF23" s="1887"/>
      <c r="HG23" s="1887"/>
      <c r="HH23" s="1887"/>
      <c r="HI23" s="1887"/>
      <c r="HJ23" s="1887"/>
      <c r="HK23" s="5093"/>
      <c r="HL23" s="5093"/>
      <c r="HM23" s="12"/>
      <c r="HN23" s="5092"/>
      <c r="HO23" s="5092"/>
      <c r="HP23" s="5092"/>
      <c r="HQ23" s="5092"/>
      <c r="HR23" s="5092"/>
      <c r="HS23" s="5092"/>
      <c r="HT23" s="12"/>
      <c r="HU23" s="5093"/>
      <c r="HV23" s="5093"/>
      <c r="HW23" s="1887"/>
      <c r="HX23" s="1218"/>
      <c r="IC23" s="1802">
        <v>1</v>
      </c>
      <c r="ID23" s="1814" t="s">
        <v>270</v>
      </c>
      <c r="IE23" s="1814" t="s">
        <v>597</v>
      </c>
      <c r="IF23" s="1814" t="s">
        <v>665</v>
      </c>
      <c r="IG23" s="1872" t="s">
        <v>1044</v>
      </c>
      <c r="IH23" s="1814" t="s">
        <v>2081</v>
      </c>
      <c r="II23" s="1815" t="s">
        <v>270</v>
      </c>
      <c r="IK23" s="1802">
        <v>1</v>
      </c>
      <c r="IL23" s="1814" t="s">
        <v>660</v>
      </c>
      <c r="IM23" s="1872" t="s">
        <v>1018</v>
      </c>
      <c r="IN23" s="1872" t="s">
        <v>1019</v>
      </c>
      <c r="IO23" s="1814" t="s">
        <v>673</v>
      </c>
      <c r="IP23" s="1814" t="s">
        <v>600</v>
      </c>
      <c r="IQ23" s="1872" t="s">
        <v>1026</v>
      </c>
      <c r="IR23" s="1872" t="s">
        <v>1049</v>
      </c>
      <c r="IS23" s="1814" t="s">
        <v>2218</v>
      </c>
      <c r="IT23" s="1814" t="s">
        <v>654</v>
      </c>
      <c r="IU23" s="1872" t="s">
        <v>1036</v>
      </c>
      <c r="IV23" s="1872" t="s">
        <v>1013</v>
      </c>
      <c r="IW23" s="1814" t="s">
        <v>2231</v>
      </c>
      <c r="IY23" s="1816" t="s">
        <v>183</v>
      </c>
      <c r="IZ23" s="1817" t="s">
        <v>187</v>
      </c>
      <c r="JA23" s="1817" t="s">
        <v>188</v>
      </c>
      <c r="JC23" s="1802">
        <v>1</v>
      </c>
      <c r="JD23" s="1818" t="s">
        <v>1181</v>
      </c>
      <c r="JE23" s="1818" t="s">
        <v>1188</v>
      </c>
      <c r="JF23" s="1818" t="s">
        <v>1195</v>
      </c>
      <c r="JG23" s="1818" t="s">
        <v>1198</v>
      </c>
      <c r="JH23" s="1818" t="s">
        <v>1201</v>
      </c>
      <c r="JI23" s="1818" t="s">
        <v>1204</v>
      </c>
      <c r="JJ23" s="1818" t="s">
        <v>1207</v>
      </c>
      <c r="JK23" s="1818" t="s">
        <v>1210</v>
      </c>
      <c r="JL23" s="1818" t="s">
        <v>1213</v>
      </c>
      <c r="JM23" s="1818" t="s">
        <v>1216</v>
      </c>
      <c r="JO23" s="2169" t="s">
        <v>1253</v>
      </c>
      <c r="JP23" s="2012" t="s">
        <v>909</v>
      </c>
      <c r="JQ23" s="2170" t="s">
        <v>1366</v>
      </c>
      <c r="JR23" s="1819" t="s">
        <v>1980</v>
      </c>
      <c r="JS23" s="1820"/>
      <c r="JT23" s="2059" t="s">
        <v>1963</v>
      </c>
      <c r="JU23" s="1821"/>
      <c r="JV23" s="2059" t="s">
        <v>1963</v>
      </c>
      <c r="JW23" s="1821"/>
      <c r="JX23" s="2059" t="s">
        <v>1963</v>
      </c>
      <c r="JY23" s="1822"/>
      <c r="JZ23" s="2059" t="s">
        <v>1963</v>
      </c>
      <c r="KB23" s="2059" t="s">
        <v>1963</v>
      </c>
      <c r="KP23" s="3051"/>
      <c r="KQ23" s="3052"/>
      <c r="KR23" s="3047"/>
      <c r="KS23" s="1930"/>
      <c r="KT23" s="3053"/>
      <c r="KV23" s="3046"/>
      <c r="KW23" s="3047"/>
      <c r="KX23" s="3048"/>
      <c r="KY23" s="3053"/>
      <c r="LA23" s="3048"/>
    </row>
    <row r="24" spans="1:313" ht="17.100000000000001" customHeight="1" thickTop="1" x14ac:dyDescent="0.3">
      <c r="B24" s="3314" t="str">
        <f t="shared" si="5"/>
        <v/>
      </c>
      <c r="C24" s="1801" t="s">
        <v>42</v>
      </c>
      <c r="D24" s="1836">
        <v>0</v>
      </c>
      <c r="E24" s="1836">
        <v>0</v>
      </c>
      <c r="F24" s="1836">
        <v>0</v>
      </c>
      <c r="G24" s="1803">
        <f t="shared" si="6"/>
        <v>0</v>
      </c>
      <c r="H24" s="3100"/>
      <c r="I24" s="5158"/>
      <c r="J24" s="1898">
        <f>IF(L24&lt;&gt;"",1,"")</f>
        <v>1</v>
      </c>
      <c r="K24" s="3312" t="str">
        <f>IF(L24="","&gt; &gt; &gt; &gt;","")</f>
        <v/>
      </c>
      <c r="L24" s="1879" t="s">
        <v>969</v>
      </c>
      <c r="M24" s="1880">
        <v>0</v>
      </c>
      <c r="N24" s="1880">
        <v>0</v>
      </c>
      <c r="O24" s="1880">
        <v>0</v>
      </c>
      <c r="P24" s="1880">
        <v>0</v>
      </c>
      <c r="Q24" s="1880">
        <v>0</v>
      </c>
      <c r="R24" s="1880">
        <v>0</v>
      </c>
      <c r="S24" s="1880">
        <v>0</v>
      </c>
      <c r="T24" s="1880">
        <v>0</v>
      </c>
      <c r="U24" s="1880">
        <v>0</v>
      </c>
      <c r="V24" s="1774"/>
      <c r="W24" s="1879" t="s">
        <v>969</v>
      </c>
      <c r="X24" s="1880">
        <v>0</v>
      </c>
      <c r="Y24" s="1880">
        <v>0</v>
      </c>
      <c r="Z24" s="1880">
        <v>0</v>
      </c>
      <c r="AA24" s="1880">
        <v>0</v>
      </c>
      <c r="AB24" s="1880">
        <v>0</v>
      </c>
      <c r="AC24" s="1880">
        <v>0</v>
      </c>
      <c r="AD24" s="1880">
        <v>0</v>
      </c>
      <c r="AE24" s="1880">
        <v>0</v>
      </c>
      <c r="AF24" s="1880">
        <v>0</v>
      </c>
      <c r="AG24" s="1796"/>
      <c r="AH24" s="3312" t="str">
        <f>IF(AND(AI22&lt;&gt;"",AI24=""),"&gt; &gt; &gt; &gt;","")</f>
        <v/>
      </c>
      <c r="AI24" s="1879" t="s">
        <v>969</v>
      </c>
      <c r="AJ24" s="1881">
        <v>1</v>
      </c>
      <c r="AK24" s="1880">
        <v>0</v>
      </c>
      <c r="AL24" s="1880">
        <v>0</v>
      </c>
      <c r="AM24" s="1880">
        <v>0</v>
      </c>
      <c r="AN24" s="1880">
        <v>0</v>
      </c>
      <c r="AO24" s="1880">
        <v>0</v>
      </c>
      <c r="AP24" s="1880">
        <v>0</v>
      </c>
      <c r="AQ24" s="1880">
        <v>0</v>
      </c>
      <c r="AR24" s="1880">
        <v>0</v>
      </c>
      <c r="AS24" s="1880">
        <v>0</v>
      </c>
      <c r="AT24" s="3213"/>
      <c r="AU24" s="1881">
        <v>1</v>
      </c>
      <c r="AV24" s="1880">
        <v>0</v>
      </c>
      <c r="AW24" s="1880">
        <v>0</v>
      </c>
      <c r="AX24" s="1880">
        <v>0</v>
      </c>
      <c r="AY24" s="1880">
        <v>0</v>
      </c>
      <c r="AZ24" s="1880">
        <v>0</v>
      </c>
      <c r="BA24" s="1880">
        <v>0</v>
      </c>
      <c r="BB24" s="1880">
        <v>0</v>
      </c>
      <c r="BC24" s="1880">
        <v>0</v>
      </c>
      <c r="BD24" s="1880">
        <v>0</v>
      </c>
      <c r="BE24" s="3311">
        <v>1</v>
      </c>
      <c r="BF24" s="1882" t="str">
        <f t="shared" ref="BF24:BF55" si="9">ROMAN(AU24)</f>
        <v>I</v>
      </c>
      <c r="BG24" s="1883">
        <f t="shared" ref="BG24:BG55" si="10">SUM(AK24:AS24,AV24:BD24)</f>
        <v>0</v>
      </c>
      <c r="BH24" s="1884">
        <v>0</v>
      </c>
      <c r="BJ24" s="1882">
        <f t="shared" ref="BJ24:BJ33" si="11">IF(BJ25&lt;=1,0,BJ25-1)</f>
        <v>0</v>
      </c>
      <c r="BK24" s="1882" t="str">
        <f t="shared" ref="BK24:BK34" si="12">ROMAN(BJ24)</f>
        <v/>
      </c>
      <c r="BL24" s="1883">
        <f>VLOOKUP(BK24,$BF$24:$BG$143,2,FALSE)</f>
        <v>0</v>
      </c>
      <c r="BM24" s="3309"/>
      <c r="BN24" s="5067">
        <v>0</v>
      </c>
      <c r="BO24" s="5066"/>
      <c r="BP24" s="5066"/>
      <c r="BQ24" s="3309"/>
      <c r="BR24" s="3309"/>
      <c r="BS24" s="3309"/>
      <c r="BT24" s="3309"/>
      <c r="BU24" s="3309"/>
      <c r="BV24" s="3309"/>
      <c r="BW24" s="3309"/>
      <c r="CX24" s="5139"/>
      <c r="CY24" s="1823" t="s">
        <v>184</v>
      </c>
      <c r="CZ24" s="1798" t="str">
        <f t="shared" si="7"/>
        <v/>
      </c>
      <c r="DA24" s="1798" t="str">
        <f t="shared" si="7"/>
        <v/>
      </c>
      <c r="DB24" s="1798" t="str">
        <f t="shared" si="7"/>
        <v/>
      </c>
      <c r="DC24" s="1798" t="str">
        <f t="shared" si="7"/>
        <v/>
      </c>
      <c r="DD24" s="1798" t="str">
        <f t="shared" si="7"/>
        <v/>
      </c>
      <c r="DE24" s="1798" t="str">
        <f t="shared" si="7"/>
        <v/>
      </c>
      <c r="DF24" s="1798" t="str">
        <f t="shared" si="7"/>
        <v/>
      </c>
      <c r="DG24" s="1798" t="str">
        <f t="shared" si="7"/>
        <v/>
      </c>
      <c r="DH24" s="1798" t="str">
        <f t="shared" si="7"/>
        <v/>
      </c>
      <c r="DI24" s="1799">
        <v>3</v>
      </c>
      <c r="DJ24" s="1800" t="e">
        <f t="shared" si="3"/>
        <v>#VALUE!</v>
      </c>
      <c r="DK24" s="1823" t="s">
        <v>184</v>
      </c>
      <c r="DL24" s="1798" t="str">
        <f t="shared" si="8"/>
        <v/>
      </c>
      <c r="DM24" s="1798" t="str">
        <f t="shared" si="8"/>
        <v/>
      </c>
      <c r="DN24" s="1798" t="str">
        <f t="shared" si="8"/>
        <v/>
      </c>
      <c r="DO24" s="1798" t="str">
        <f t="shared" si="8"/>
        <v/>
      </c>
      <c r="DP24" s="1798" t="str">
        <f t="shared" si="8"/>
        <v/>
      </c>
      <c r="DQ24" s="1798" t="str">
        <f t="shared" si="8"/>
        <v/>
      </c>
      <c r="DR24" s="1798" t="str">
        <f t="shared" si="8"/>
        <v/>
      </c>
      <c r="DS24" s="1798" t="str">
        <f t="shared" si="8"/>
        <v/>
      </c>
      <c r="DT24" s="1798" t="str">
        <f t="shared" si="8"/>
        <v/>
      </c>
      <c r="DV24" s="5102" t="s">
        <v>185</v>
      </c>
      <c r="DW24" s="5103"/>
      <c r="DX24" s="1773" t="s">
        <v>134</v>
      </c>
      <c r="DY24" s="1773" t="s">
        <v>135</v>
      </c>
      <c r="DZ24" s="1773" t="s">
        <v>136</v>
      </c>
      <c r="EA24" s="3301"/>
      <c r="EB24" s="1792">
        <v>29</v>
      </c>
      <c r="EC24" s="1793">
        <f>ACTIONS!C5</f>
        <v>0</v>
      </c>
      <c r="ED24" s="1793">
        <f>ACTIONS!D5</f>
        <v>0</v>
      </c>
      <c r="EE24" s="1793">
        <f>ACTIONS!E5</f>
        <v>0</v>
      </c>
      <c r="EF24" s="1793">
        <f>ACTIONS!F5</f>
        <v>0</v>
      </c>
      <c r="EG24" s="1793">
        <f>ACTIONS!G5</f>
        <v>0</v>
      </c>
      <c r="EH24" s="1793">
        <f>ACTIONS!H5</f>
        <v>0</v>
      </c>
      <c r="EI24" s="1793">
        <f>ACTIONS!I5</f>
        <v>0</v>
      </c>
      <c r="EJ24" s="1793">
        <f>ACTIONS!J5</f>
        <v>0</v>
      </c>
      <c r="EK24" s="1793">
        <f>ACTIONS!K5</f>
        <v>0</v>
      </c>
      <c r="EM24" s="1792">
        <v>29</v>
      </c>
      <c r="EN24" s="1795">
        <f>ACTIONS!BQ5</f>
        <v>0</v>
      </c>
      <c r="EO24" s="1795">
        <f>ACTIONS!BR5</f>
        <v>0</v>
      </c>
      <c r="EP24" s="1795">
        <f>ACTIONS!BS5</f>
        <v>0</v>
      </c>
      <c r="EQ24" s="1795">
        <f>ACTIONS!BT5</f>
        <v>0</v>
      </c>
      <c r="ER24" s="1795">
        <f>ACTIONS!BU5</f>
        <v>0</v>
      </c>
      <c r="ES24" s="1795">
        <f>ACTIONS!BV5</f>
        <v>0</v>
      </c>
      <c r="ET24" s="1795">
        <f>ACTIONS!BW5</f>
        <v>0</v>
      </c>
      <c r="EU24" s="1795">
        <f>ACTIONS!BX5</f>
        <v>0</v>
      </c>
      <c r="EV24" s="1795">
        <f>ACTIONS!BY5</f>
        <v>0</v>
      </c>
      <c r="EW24" s="1796"/>
      <c r="EX24" s="2403"/>
      <c r="FC24" s="2412"/>
      <c r="FD24" s="2412"/>
      <c r="FE24" s="2412"/>
      <c r="FF24" s="2412"/>
      <c r="FG24" s="2413"/>
      <c r="FH24" s="2414"/>
      <c r="FI24" s="2416"/>
      <c r="FJ24" s="1865"/>
      <c r="FL24" s="1919"/>
      <c r="FM24" s="5075" t="s">
        <v>38</v>
      </c>
      <c r="FN24" s="5075"/>
      <c r="FO24" s="5082" t="str">
        <f>IF(AND(FY24=$GQ$24,$GQ$24&lt;&gt;0),"fastest","")</f>
        <v/>
      </c>
      <c r="FP24" s="5083"/>
      <c r="FQ24" s="12"/>
      <c r="FR24" s="5073" t="str">
        <f>IF(ISERROR(FIND("[",MISSIONS!E4)),"", MID(MISSIONS!E4,SEARCH("[",MISSIONS!E4)+1,SEARCH("]",MISSIONS!E4,SEARCH("[",MISSIONS!E4)+1)-SEARCH("[",MISSIONS!E4)-1))</f>
        <v/>
      </c>
      <c r="FS24" s="5074"/>
      <c r="FT24" s="5073" t="str">
        <f>IF(FR24="","",IF(MID(FR24,2,1)="h",MID(FR24,1,1)*60,0))</f>
        <v/>
      </c>
      <c r="FU24" s="5074"/>
      <c r="FV24" s="5073" t="str" cm="1">
        <f t="array" ref="FV24">IF(FR24="","",
_xlfn.IFS(
AND(RIGHT(FR24,1)="m",LEN(FR24)=3),MID(FR24,1,2),
AND(RIGHT(FR24,1)="m",LEN(FR24)=5),MID(FR24,3,2),
AND(RIGHT(FR24,1)="m",LEN(FR24)=2),MID(FR24,1,1),
AND(RIGHT(FR24,1)="m",LEN(FR24)=4),MID(FR24,3,1),
TRUE,0)
)</f>
        <v/>
      </c>
      <c r="FW24" s="5074"/>
      <c r="FX24" s="1219"/>
      <c r="FY24" s="5073" t="str">
        <f>IF( MISSIONS!E4="", "",
IF( OR(AND(MISSIONS!U4=100%,MISSIONS!U5=MISSIONS!$AM$2),FR24="",FR24="?",
OR(MISSIONS!$A$3=MISSIONS!$N$43,MISSIONS!$A$3=MISSIONS!$O$43,MISSIONS!$A$3=MISSIONS!$P$43,MISSIONS!$A$3=MISSIONS!$Q$43,MISSIONS!$A$3=MISSIONS!$R$43,MISSIONS!$A$3=MISSIONS!$S$43,MISSIONS!$A$3=MISSIONS!$T$43),PLANS!$DI$78=1),
"",FT24+FV24)
)</f>
        <v/>
      </c>
      <c r="FZ24" s="5074"/>
      <c r="GA24" s="1219"/>
      <c r="GB24" s="1887"/>
      <c r="GC24" s="1887"/>
      <c r="GD24" s="1887"/>
      <c r="GE24" s="1920"/>
      <c r="GF24" s="1920"/>
      <c r="GG24" s="1920"/>
      <c r="GH24" s="1920"/>
      <c r="GI24" s="1920"/>
      <c r="GJ24" s="1920"/>
      <c r="GK24" s="1920"/>
      <c r="GL24" s="1920"/>
      <c r="GM24" s="1920"/>
      <c r="GN24" s="1920"/>
      <c r="GO24" s="1887"/>
      <c r="GP24" s="1887"/>
      <c r="GQ24" s="5111">
        <f>MIN($FY$24:$FZ$57,$HU$24:$HV$57,$GO$34:$GP$57,$HE$34:$HF$57)</f>
        <v>0</v>
      </c>
      <c r="GR24" s="5112"/>
      <c r="GS24" s="1887"/>
      <c r="GT24" s="1887"/>
      <c r="GU24" s="1920"/>
      <c r="GV24" s="1920"/>
      <c r="GW24" s="1920"/>
      <c r="GX24" s="1920"/>
      <c r="GY24" s="1920"/>
      <c r="GZ24" s="1920"/>
      <c r="HA24" s="1887"/>
      <c r="HB24" s="1887"/>
      <c r="HC24" s="1887"/>
      <c r="HD24" s="1887"/>
      <c r="HE24" s="1887"/>
      <c r="HF24" s="1887"/>
      <c r="HG24" s="1887"/>
      <c r="HH24" s="1887"/>
      <c r="HI24" s="5075" t="s">
        <v>726</v>
      </c>
      <c r="HJ24" s="5075"/>
      <c r="HK24" s="5082" t="str">
        <f>IF(AND(HU24=$GQ$24,$GQ$24&lt;&gt;0),"fastest","")</f>
        <v/>
      </c>
      <c r="HL24" s="5083"/>
      <c r="HM24" s="12"/>
      <c r="HN24" s="5073" t="str">
        <f>IF(ISERROR(FIND("[",MISSIONS!BH4)),"", MID(MISSIONS!BH4,SEARCH("[",MISSIONS!BH4)+1,SEARCH("]",MISSIONS!BH4,SEARCH("[",MISSIONS!BH4)+1)-SEARCH("[",MISSIONS!BH4)-1))</f>
        <v/>
      </c>
      <c r="HO24" s="5074"/>
      <c r="HP24" s="5073" t="str">
        <f>IF(HN24="","",IF(MID(HN24,2,1)="h",MID(HN24,1,1)*60,0))</f>
        <v/>
      </c>
      <c r="HQ24" s="5074"/>
      <c r="HR24" s="5073" t="str" cm="1">
        <f t="array" ref="HR24">IF(HN24="","",
_xlfn.IFS(
AND(RIGHT(HN24,1)="m",LEN(HN24)=3),MID(HN24,1,2),
AND(RIGHT(HN24,1)="m",LEN(HN24)=5),MID(HN24,3,2),
AND(RIGHT(HN24,1)="m",LEN(HN24)=2),MID(HN24,1,1),
AND(RIGHT(HN24,1)="m",LEN(HN24)=4),MID(HN24,3,1),
TRUE,0)
)</f>
        <v/>
      </c>
      <c r="HS24" s="5074"/>
      <c r="HT24" s="1219"/>
      <c r="HU24" s="5073" t="str">
        <f>IF( MISSIONS!BH4="", "",
IF( OR(MISSIONS!BF4&lt;&gt;"",MISSIONS!BG4=100%,HN24="",HN24="?"),"",HP24+HR24)
)</f>
        <v/>
      </c>
      <c r="HV24" s="5074"/>
      <c r="HW24" s="1887"/>
      <c r="HX24" s="1218"/>
      <c r="IC24" s="1804">
        <v>2</v>
      </c>
      <c r="ID24" s="1814" t="s">
        <v>2293</v>
      </c>
      <c r="IE24" s="1814" t="s">
        <v>585</v>
      </c>
      <c r="IF24" s="1814" t="s">
        <v>990</v>
      </c>
      <c r="IG24" s="1872" t="s">
        <v>1028</v>
      </c>
      <c r="IH24" s="1814" t="s">
        <v>2075</v>
      </c>
      <c r="II24" s="1815" t="s">
        <v>2293</v>
      </c>
      <c r="IK24" s="1804">
        <v>2</v>
      </c>
      <c r="IL24" s="1814" t="s">
        <v>2286</v>
      </c>
      <c r="IM24" s="1814" t="s">
        <v>617</v>
      </c>
      <c r="IN24" s="1872" t="s">
        <v>1020</v>
      </c>
      <c r="IO24" s="1814" t="s">
        <v>566</v>
      </c>
      <c r="IP24" s="1814" t="s">
        <v>213</v>
      </c>
      <c r="IQ24" s="1814" t="s">
        <v>2260</v>
      </c>
      <c r="IR24" s="1814" t="s">
        <v>202</v>
      </c>
      <c r="IS24" s="1814" t="s">
        <v>2251</v>
      </c>
      <c r="IT24" s="1814" t="s">
        <v>604</v>
      </c>
      <c r="IU24" s="1814" t="s">
        <v>2239</v>
      </c>
      <c r="IV24" s="1814" t="s">
        <v>219</v>
      </c>
      <c r="IW24" s="1814" t="s">
        <v>638</v>
      </c>
      <c r="IX24" s="1824"/>
      <c r="IY24" s="1825"/>
      <c r="IZ24" s="1826"/>
      <c r="JA24" s="1827"/>
      <c r="JC24" s="1802">
        <v>2</v>
      </c>
      <c r="JD24" s="1818" t="s">
        <v>1182</v>
      </c>
      <c r="JE24" s="1818" t="s">
        <v>1189</v>
      </c>
      <c r="JF24" s="1818" t="s">
        <v>1196</v>
      </c>
      <c r="JG24" s="1818" t="s">
        <v>1199</v>
      </c>
      <c r="JH24" s="1818" t="s">
        <v>1202</v>
      </c>
      <c r="JI24" s="1818" t="s">
        <v>1205</v>
      </c>
      <c r="JJ24" s="1818" t="s">
        <v>1208</v>
      </c>
      <c r="JK24" s="1818" t="s">
        <v>1211</v>
      </c>
      <c r="JL24" s="1818" t="s">
        <v>1214</v>
      </c>
      <c r="JM24" s="1818" t="s">
        <v>1217</v>
      </c>
      <c r="JO24" s="2169" t="s">
        <v>1254</v>
      </c>
      <c r="JP24" s="2012" t="s">
        <v>908</v>
      </c>
      <c r="JQ24" s="2170" t="s">
        <v>2023</v>
      </c>
      <c r="JR24" s="1819" t="s">
        <v>1978</v>
      </c>
      <c r="JS24" s="2060"/>
      <c r="JT24" s="3081"/>
      <c r="JU24" s="1821"/>
      <c r="JV24" s="3081"/>
      <c r="JW24" s="1821"/>
      <c r="JX24" s="3081"/>
      <c r="JY24" s="1822"/>
      <c r="JZ24" s="2015"/>
      <c r="KB24" s="3081"/>
      <c r="KP24" s="8"/>
      <c r="KQ24" s="3052"/>
      <c r="KR24" s="3047"/>
      <c r="KS24" s="1930"/>
      <c r="KT24" s="3053"/>
      <c r="KV24" s="3046"/>
      <c r="KW24" s="3047"/>
      <c r="KX24" s="3048"/>
      <c r="KY24" s="3053"/>
      <c r="LA24" s="3048"/>
    </row>
    <row r="25" spans="1:313" ht="17.100000000000001" customHeight="1" x14ac:dyDescent="0.3">
      <c r="B25" s="3314" t="str">
        <f t="shared" si="5"/>
        <v/>
      </c>
      <c r="C25" s="1801" t="s">
        <v>180</v>
      </c>
      <c r="D25" s="1836">
        <v>0</v>
      </c>
      <c r="E25" s="1836">
        <v>0</v>
      </c>
      <c r="F25" s="1836">
        <v>0</v>
      </c>
      <c r="G25" s="1803">
        <f t="shared" si="6"/>
        <v>0</v>
      </c>
      <c r="H25" s="3100"/>
      <c r="I25" s="5155" t="s">
        <v>2046</v>
      </c>
      <c r="J25" s="1898" t="str">
        <f>IF(L25&lt;&gt;"",J24+1,"")</f>
        <v/>
      </c>
      <c r="K25" s="3312" t="str">
        <f>IF(AND(L24&lt;&gt;"",L25=""),"&gt; &gt; &gt; &gt;","")</f>
        <v>&gt; &gt; &gt; &gt;</v>
      </c>
      <c r="L25" s="3381"/>
      <c r="M25" s="3382"/>
      <c r="N25" s="3382"/>
      <c r="O25" s="3382"/>
      <c r="P25" s="3382"/>
      <c r="Q25" s="3382"/>
      <c r="R25" s="3382"/>
      <c r="S25" s="3382"/>
      <c r="T25" s="3382"/>
      <c r="U25" s="3382"/>
      <c r="V25" s="1774"/>
      <c r="W25" s="3381"/>
      <c r="X25" s="3382"/>
      <c r="Y25" s="3382"/>
      <c r="Z25" s="3382"/>
      <c r="AA25" s="3382"/>
      <c r="AB25" s="3382"/>
      <c r="AC25" s="3382"/>
      <c r="AD25" s="3382"/>
      <c r="AE25" s="3382"/>
      <c r="AF25" s="3382"/>
      <c r="AG25" s="1796"/>
      <c r="AH25" s="3312" t="str">
        <f>IF(AND(AI24&lt;&gt;"",AI25=""),"&gt; &gt; &gt; &gt;","")</f>
        <v>&gt; &gt; &gt; &gt;</v>
      </c>
      <c r="AI25" s="3381"/>
      <c r="AJ25" s="3384"/>
      <c r="AK25" s="3382"/>
      <c r="AL25" s="3382"/>
      <c r="AM25" s="3382"/>
      <c r="AN25" s="3382"/>
      <c r="AO25" s="3382"/>
      <c r="AP25" s="3382"/>
      <c r="AQ25" s="3382"/>
      <c r="AR25" s="3382"/>
      <c r="AS25" s="3382"/>
      <c r="AT25" s="3213"/>
      <c r="AU25" s="3384"/>
      <c r="AV25" s="3382"/>
      <c r="AW25" s="3382"/>
      <c r="AX25" s="3382"/>
      <c r="AY25" s="3382"/>
      <c r="AZ25" s="3382"/>
      <c r="BA25" s="3382"/>
      <c r="BB25" s="3382"/>
      <c r="BC25" s="3382"/>
      <c r="BD25" s="3382"/>
      <c r="BE25" s="3311">
        <v>2</v>
      </c>
      <c r="BF25" s="1882" t="str">
        <f t="shared" si="9"/>
        <v/>
      </c>
      <c r="BG25" s="1883">
        <f t="shared" si="10"/>
        <v>0</v>
      </c>
      <c r="BH25" s="1884">
        <f t="shared" ref="BH25:BH56" si="13">IF(BG25&lt;&gt;0,BG25-BG24,0)</f>
        <v>0</v>
      </c>
      <c r="BJ25" s="1882">
        <f t="shared" si="11"/>
        <v>0</v>
      </c>
      <c r="BK25" s="1882" t="str">
        <f t="shared" si="12"/>
        <v/>
      </c>
      <c r="BL25" s="1883">
        <f t="shared" ref="BL25:BL34" si="14">VLOOKUP(BK25,$BF$24:$BG$143,2,FALSE)</f>
        <v>0</v>
      </c>
      <c r="BM25" s="3309"/>
      <c r="BN25" s="3309"/>
      <c r="BO25" s="3309"/>
      <c r="BP25" s="3309"/>
      <c r="BQ25" s="3309"/>
      <c r="BR25" s="3309"/>
      <c r="BS25" s="3309"/>
      <c r="BT25" s="3309"/>
      <c r="BU25" s="3309"/>
      <c r="BV25" s="3309"/>
      <c r="BW25" s="3309"/>
      <c r="BY25" s="1830"/>
      <c r="BZ25" s="1773" t="str">
        <f>ACTIONS!$C$34</f>
        <v>MND1</v>
      </c>
      <c r="CA25" s="1773" t="str">
        <f>ACTIONS!$D$34</f>
        <v>MND2</v>
      </c>
      <c r="CB25" s="1773" t="str">
        <f>ACTIONS!$E$34</f>
        <v>MND3</v>
      </c>
      <c r="CC25" s="1773" t="str">
        <f>ACTIONS!$F$34</f>
        <v>MND4</v>
      </c>
      <c r="CD25" s="1773" t="str">
        <f>ACTIONS!$G$34</f>
        <v>MND5</v>
      </c>
      <c r="CE25" s="1773" t="str">
        <f>ACTIONS!$H$34</f>
        <v>MND6</v>
      </c>
      <c r="CF25" s="1773" t="str">
        <f>ACTIONS!$I$34</f>
        <v>MND7</v>
      </c>
      <c r="CG25" s="1773" t="str">
        <f>ACTIONS!$J$34</f>
        <v>MND8</v>
      </c>
      <c r="CH25" s="1773" t="str">
        <f>ACTIONS!$K$34</f>
        <v>MND9</v>
      </c>
      <c r="CL25" s="5115" t="s">
        <v>1702</v>
      </c>
      <c r="CM25" s="5116"/>
      <c r="CO25" s="5119" t="s">
        <v>1415</v>
      </c>
      <c r="CP25" s="5119"/>
      <c r="CQ25" s="5119" t="s">
        <v>1411</v>
      </c>
      <c r="CR25" s="5119"/>
      <c r="CT25" s="5117" t="s">
        <v>190</v>
      </c>
      <c r="CU25" s="5118"/>
      <c r="CV25" s="1831">
        <f>CV23*18</f>
        <v>414</v>
      </c>
      <c r="CX25" s="5139"/>
      <c r="CY25" s="1823" t="s">
        <v>189</v>
      </c>
      <c r="CZ25" s="1798" t="str">
        <f t="shared" si="7"/>
        <v/>
      </c>
      <c r="DA25" s="1798" t="str">
        <f t="shared" si="7"/>
        <v/>
      </c>
      <c r="DB25" s="1798" t="str">
        <f t="shared" si="7"/>
        <v/>
      </c>
      <c r="DC25" s="1798" t="str">
        <f t="shared" si="7"/>
        <v/>
      </c>
      <c r="DD25" s="1798" t="str">
        <f t="shared" si="7"/>
        <v/>
      </c>
      <c r="DE25" s="1798" t="str">
        <f t="shared" si="7"/>
        <v/>
      </c>
      <c r="DF25" s="1798" t="str">
        <f t="shared" si="7"/>
        <v/>
      </c>
      <c r="DG25" s="1798" t="str">
        <f t="shared" si="7"/>
        <v/>
      </c>
      <c r="DH25" s="1798" t="str">
        <f t="shared" si="7"/>
        <v/>
      </c>
      <c r="DI25" s="1799">
        <v>4</v>
      </c>
      <c r="DJ25" s="1800" t="e">
        <f t="shared" si="3"/>
        <v>#VALUE!</v>
      </c>
      <c r="DK25" s="1823" t="s">
        <v>189</v>
      </c>
      <c r="DL25" s="1798" t="str">
        <f t="shared" si="8"/>
        <v/>
      </c>
      <c r="DM25" s="1798" t="str">
        <f t="shared" si="8"/>
        <v/>
      </c>
      <c r="DN25" s="1798" t="str">
        <f t="shared" si="8"/>
        <v/>
      </c>
      <c r="DO25" s="1798" t="str">
        <f t="shared" si="8"/>
        <v/>
      </c>
      <c r="DP25" s="1798" t="str">
        <f t="shared" si="8"/>
        <v/>
      </c>
      <c r="DQ25" s="1798" t="str">
        <f t="shared" si="8"/>
        <v/>
      </c>
      <c r="DR25" s="1798" t="str">
        <f t="shared" si="8"/>
        <v/>
      </c>
      <c r="DS25" s="1798" t="str">
        <f t="shared" si="8"/>
        <v/>
      </c>
      <c r="DT25" s="1798" t="str">
        <f t="shared" si="8"/>
        <v/>
      </c>
      <c r="DV25" s="5104" t="s">
        <v>179</v>
      </c>
      <c r="DW25" s="5104"/>
      <c r="DX25" s="1793">
        <v>7</v>
      </c>
      <c r="DY25" s="1793">
        <v>34</v>
      </c>
      <c r="DZ25" s="1793">
        <v>18</v>
      </c>
      <c r="EA25" s="3301"/>
      <c r="EB25" s="1829">
        <v>28</v>
      </c>
      <c r="EC25" s="1793">
        <f>ACTIONS!C6</f>
        <v>0</v>
      </c>
      <c r="ED25" s="1793">
        <f>ACTIONS!D6</f>
        <v>0</v>
      </c>
      <c r="EE25" s="1793">
        <f>ACTIONS!E6</f>
        <v>0</v>
      </c>
      <c r="EF25" s="1793">
        <f>ACTIONS!F6</f>
        <v>0</v>
      </c>
      <c r="EG25" s="1793">
        <f>ACTIONS!G6</f>
        <v>0</v>
      </c>
      <c r="EH25" s="1793">
        <f>ACTIONS!H6</f>
        <v>0</v>
      </c>
      <c r="EI25" s="1793">
        <f>ACTIONS!I6</f>
        <v>0</v>
      </c>
      <c r="EJ25" s="1793">
        <f>ACTIONS!J6</f>
        <v>0</v>
      </c>
      <c r="EK25" s="1793">
        <f>ACTIONS!K6</f>
        <v>0</v>
      </c>
      <c r="EM25" s="1829">
        <v>28</v>
      </c>
      <c r="EN25" s="1795">
        <f>ACTIONS!BQ6</f>
        <v>0</v>
      </c>
      <c r="EO25" s="1795">
        <f>ACTIONS!BR6</f>
        <v>0</v>
      </c>
      <c r="EP25" s="1795">
        <f>ACTIONS!BS6</f>
        <v>0</v>
      </c>
      <c r="EQ25" s="1795">
        <f>ACTIONS!BT6</f>
        <v>0</v>
      </c>
      <c r="ER25" s="1795">
        <f>ACTIONS!BU6</f>
        <v>0</v>
      </c>
      <c r="ES25" s="1795">
        <f>ACTIONS!BV6</f>
        <v>0</v>
      </c>
      <c r="ET25" s="1795">
        <f>ACTIONS!BW6</f>
        <v>0</v>
      </c>
      <c r="EU25" s="1795">
        <f>ACTIONS!BX6</f>
        <v>0</v>
      </c>
      <c r="EV25" s="1795">
        <f>ACTIONS!BY6</f>
        <v>0</v>
      </c>
      <c r="EW25" s="1796"/>
      <c r="EX25" s="2403"/>
      <c r="EY25" s="2406"/>
      <c r="EZ25" s="2406"/>
      <c r="FA25" s="1813" t="s">
        <v>1480</v>
      </c>
      <c r="FB25" s="2406"/>
      <c r="FC25" s="2407">
        <v>0.5</v>
      </c>
      <c r="FD25" s="2408">
        <v>0</v>
      </c>
      <c r="FE25" s="2409">
        <v>0</v>
      </c>
      <c r="FF25" s="2410">
        <v>0</v>
      </c>
      <c r="FG25" s="1865"/>
      <c r="FH25" s="2403"/>
      <c r="FI25" s="2553" cm="1">
        <f t="array" ref="FI25">_xlfn.IFS($FI$23=$FC$23,FC25,$FI$23=$FD$23,FD25,$FI$23=$FE$23,FE25,$FI$23=$FF$23,FF25,TRUE,FC25)</f>
        <v>0.5</v>
      </c>
      <c r="FJ25" s="1865"/>
      <c r="FL25" s="1919"/>
      <c r="FM25" s="5075"/>
      <c r="FN25" s="5075"/>
      <c r="FO25" s="5084"/>
      <c r="FP25" s="5085"/>
      <c r="FQ25" s="12"/>
      <c r="FR25" s="5073"/>
      <c r="FS25" s="5074"/>
      <c r="FT25" s="5073"/>
      <c r="FU25" s="5074"/>
      <c r="FV25" s="5073"/>
      <c r="FW25" s="5074"/>
      <c r="FX25" s="1219"/>
      <c r="FY25" s="5073"/>
      <c r="FZ25" s="5074"/>
      <c r="GA25" s="1219"/>
      <c r="GB25" s="1887"/>
      <c r="GC25" s="1887"/>
      <c r="GD25" s="1887"/>
      <c r="GE25" s="1920"/>
      <c r="GF25" s="1920"/>
      <c r="GG25" s="1920"/>
      <c r="GH25" s="1920"/>
      <c r="GI25" s="1920"/>
      <c r="GJ25" s="1920"/>
      <c r="GK25" s="1920"/>
      <c r="GL25" s="1920"/>
      <c r="GM25" s="1920"/>
      <c r="GN25" s="1920"/>
      <c r="GO25" s="1887"/>
      <c r="GP25" s="1887"/>
      <c r="GQ25" s="5113"/>
      <c r="GR25" s="5114"/>
      <c r="GS25" s="1887"/>
      <c r="GT25" s="1887"/>
      <c r="GU25" s="1920"/>
      <c r="GV25" s="1920"/>
      <c r="GW25" s="1920"/>
      <c r="GX25" s="1920"/>
      <c r="GY25" s="1920"/>
      <c r="GZ25" s="1920"/>
      <c r="HA25" s="1887"/>
      <c r="HB25" s="1887"/>
      <c r="HC25" s="1887"/>
      <c r="HD25" s="1887"/>
      <c r="HE25" s="1887"/>
      <c r="HF25" s="1887"/>
      <c r="HG25" s="1887"/>
      <c r="HH25" s="1887"/>
      <c r="HI25" s="5075"/>
      <c r="HJ25" s="5075"/>
      <c r="HK25" s="5084"/>
      <c r="HL25" s="5085"/>
      <c r="HM25" s="12"/>
      <c r="HN25" s="5073"/>
      <c r="HO25" s="5074"/>
      <c r="HP25" s="5073"/>
      <c r="HQ25" s="5074"/>
      <c r="HR25" s="5073"/>
      <c r="HS25" s="5074"/>
      <c r="HT25" s="1219"/>
      <c r="HU25" s="5073"/>
      <c r="HV25" s="5074"/>
      <c r="HW25" s="1887"/>
      <c r="HX25" s="1218"/>
      <c r="IC25" s="1802">
        <v>3</v>
      </c>
      <c r="ID25" s="1814" t="s">
        <v>273</v>
      </c>
      <c r="IE25" s="1814" t="s">
        <v>618</v>
      </c>
      <c r="IF25" s="1814" t="s">
        <v>636</v>
      </c>
      <c r="IG25" s="1814" t="s">
        <v>1131</v>
      </c>
      <c r="IH25" s="1814" t="s">
        <v>2178</v>
      </c>
      <c r="II25" s="1815" t="s">
        <v>273</v>
      </c>
      <c r="IK25" s="1802">
        <v>3</v>
      </c>
      <c r="IL25" s="1872" t="s">
        <v>1015</v>
      </c>
      <c r="IM25" s="1814" t="s">
        <v>1007</v>
      </c>
      <c r="IN25" s="1814" t="s">
        <v>659</v>
      </c>
      <c r="IO25" s="1814" t="s">
        <v>2272</v>
      </c>
      <c r="IP25" s="1872" t="s">
        <v>1024</v>
      </c>
      <c r="IQ25" s="1814" t="s">
        <v>2261</v>
      </c>
      <c r="IR25" s="1814" t="s">
        <v>2252</v>
      </c>
      <c r="IS25" s="1872" t="s">
        <v>1127</v>
      </c>
      <c r="IT25" s="1814" t="s">
        <v>203</v>
      </c>
      <c r="IU25" s="1814" t="s">
        <v>2240</v>
      </c>
      <c r="IV25" s="1814" t="s">
        <v>666</v>
      </c>
      <c r="IW25" s="1814" t="s">
        <v>2232</v>
      </c>
      <c r="IX25" s="1824"/>
      <c r="IY25" s="1825"/>
      <c r="IZ25" s="1826"/>
      <c r="JA25" s="1827"/>
      <c r="JC25" s="1802">
        <v>3</v>
      </c>
      <c r="JD25" s="1818" t="s">
        <v>1183</v>
      </c>
      <c r="JE25" s="1818" t="s">
        <v>1190</v>
      </c>
      <c r="JF25" s="1818" t="s">
        <v>1197</v>
      </c>
      <c r="JG25" s="1818" t="s">
        <v>1200</v>
      </c>
      <c r="JH25" s="1818" t="s">
        <v>1203</v>
      </c>
      <c r="JI25" s="1818" t="s">
        <v>1206</v>
      </c>
      <c r="JJ25" s="1818" t="s">
        <v>1209</v>
      </c>
      <c r="JK25" s="1818" t="s">
        <v>1212</v>
      </c>
      <c r="JL25" s="1818" t="s">
        <v>1215</v>
      </c>
      <c r="JM25" s="1818" t="s">
        <v>1218</v>
      </c>
      <c r="JO25" s="2169" t="s">
        <v>443</v>
      </c>
      <c r="JP25" s="2012" t="s">
        <v>446</v>
      </c>
      <c r="JQ25" s="2170" t="s">
        <v>1311</v>
      </c>
      <c r="JR25" s="1819" t="s">
        <v>373</v>
      </c>
      <c r="JS25" s="1822"/>
      <c r="JT25" s="3080"/>
      <c r="JU25" s="1821"/>
      <c r="JV25" s="3080"/>
      <c r="JW25" s="1821"/>
      <c r="JX25" s="3080"/>
      <c r="JY25" s="1822"/>
      <c r="JZ25" s="3080"/>
      <c r="KB25" s="3080"/>
      <c r="KP25" s="8"/>
      <c r="KQ25" s="3052"/>
      <c r="KR25" s="3047"/>
      <c r="KS25" s="1930"/>
      <c r="KT25" s="3049"/>
      <c r="KV25" s="3046"/>
      <c r="KW25" s="3047"/>
      <c r="KX25" s="3048"/>
      <c r="KY25" s="3049"/>
      <c r="LA25" s="3048"/>
    </row>
    <row r="26" spans="1:313" ht="17.100000000000001" customHeight="1" x14ac:dyDescent="0.3">
      <c r="B26" s="3314" t="str">
        <f t="shared" si="5"/>
        <v/>
      </c>
      <c r="C26" s="1801" t="s">
        <v>184</v>
      </c>
      <c r="D26" s="1836">
        <v>0</v>
      </c>
      <c r="E26" s="1836">
        <v>0</v>
      </c>
      <c r="F26" s="1836">
        <v>0</v>
      </c>
      <c r="G26" s="1803">
        <f t="shared" si="6"/>
        <v>0</v>
      </c>
      <c r="H26" s="3100"/>
      <c r="I26" s="5155"/>
      <c r="J26" s="1898" t="str">
        <f t="shared" ref="J26:J89" si="15">IF(L26&lt;&gt;"",J25+1,"")</f>
        <v/>
      </c>
      <c r="K26" s="3312" t="str">
        <f t="shared" ref="K26:K89" si="16">IF(AND(L25&lt;&gt;"",L26=""),"&gt; &gt; &gt; &gt;","")</f>
        <v/>
      </c>
      <c r="L26" s="3381"/>
      <c r="M26" s="3382"/>
      <c r="N26" s="3382"/>
      <c r="O26" s="3382"/>
      <c r="P26" s="3382"/>
      <c r="Q26" s="3382"/>
      <c r="R26" s="3382"/>
      <c r="S26" s="3382"/>
      <c r="T26" s="3382"/>
      <c r="U26" s="3382"/>
      <c r="V26" s="1774"/>
      <c r="W26" s="3381"/>
      <c r="X26" s="3382"/>
      <c r="Y26" s="3382"/>
      <c r="Z26" s="3382"/>
      <c r="AA26" s="3382"/>
      <c r="AB26" s="3382"/>
      <c r="AC26" s="3382"/>
      <c r="AD26" s="3382"/>
      <c r="AE26" s="3382"/>
      <c r="AF26" s="3382"/>
      <c r="AG26" s="1796"/>
      <c r="AH26" s="3312" t="str">
        <f t="shared" ref="AH26:AH89" si="17">IF(AND(AI25&lt;&gt;"",AI26=""),"&gt; &gt; &gt; &gt;","")</f>
        <v/>
      </c>
      <c r="AI26" s="3381"/>
      <c r="AJ26" s="3384"/>
      <c r="AK26" s="3382"/>
      <c r="AL26" s="3382"/>
      <c r="AM26" s="3382"/>
      <c r="AN26" s="3382"/>
      <c r="AO26" s="3382"/>
      <c r="AP26" s="3382"/>
      <c r="AQ26" s="3382"/>
      <c r="AR26" s="3382"/>
      <c r="AS26" s="3382"/>
      <c r="AT26" s="3213"/>
      <c r="AU26" s="3384"/>
      <c r="AV26" s="3382"/>
      <c r="AW26" s="3382"/>
      <c r="AX26" s="3382"/>
      <c r="AY26" s="3382"/>
      <c r="AZ26" s="3382"/>
      <c r="BA26" s="3382"/>
      <c r="BB26" s="3382"/>
      <c r="BC26" s="3382"/>
      <c r="BD26" s="3382"/>
      <c r="BE26" s="3311">
        <v>3</v>
      </c>
      <c r="BF26" s="1882" t="str">
        <f t="shared" si="9"/>
        <v/>
      </c>
      <c r="BG26" s="1883">
        <f t="shared" si="10"/>
        <v>0</v>
      </c>
      <c r="BH26" s="1884">
        <f t="shared" si="13"/>
        <v>0</v>
      </c>
      <c r="BJ26" s="1882">
        <f t="shared" si="11"/>
        <v>0</v>
      </c>
      <c r="BK26" s="1882" t="str">
        <f t="shared" si="12"/>
        <v/>
      </c>
      <c r="BL26" s="1883">
        <f t="shared" si="14"/>
        <v>0</v>
      </c>
      <c r="BM26" s="3309"/>
      <c r="BN26" s="3309"/>
      <c r="BO26" s="3309"/>
      <c r="BP26" s="3309"/>
      <c r="BQ26" s="3309"/>
      <c r="BR26" s="3309"/>
      <c r="BS26" s="3309"/>
      <c r="BT26" s="3309"/>
      <c r="BU26" s="3309"/>
      <c r="BV26" s="3309"/>
      <c r="BW26" s="3309"/>
      <c r="BY26" s="1782" t="s">
        <v>173</v>
      </c>
      <c r="BZ26" s="1833">
        <f>SUM(M24:M143)</f>
        <v>0</v>
      </c>
      <c r="CA26" s="1833">
        <f t="shared" ref="CA26:CH26" si="18">SUM(N24:N143)</f>
        <v>0</v>
      </c>
      <c r="CB26" s="1833">
        <f t="shared" si="18"/>
        <v>0</v>
      </c>
      <c r="CC26" s="1833">
        <f t="shared" si="18"/>
        <v>0</v>
      </c>
      <c r="CD26" s="1833">
        <f t="shared" si="18"/>
        <v>0</v>
      </c>
      <c r="CE26" s="1833">
        <f t="shared" si="18"/>
        <v>0</v>
      </c>
      <c r="CF26" s="1833">
        <f t="shared" si="18"/>
        <v>0</v>
      </c>
      <c r="CG26" s="1833">
        <f t="shared" si="18"/>
        <v>0</v>
      </c>
      <c r="CH26" s="1833">
        <f t="shared" si="18"/>
        <v>0</v>
      </c>
      <c r="CL26" s="1801" t="s">
        <v>173</v>
      </c>
      <c r="CM26" s="1833">
        <f>SUM(BZ26:CH26)</f>
        <v>0</v>
      </c>
      <c r="CV26" s="1796"/>
      <c r="CX26" s="5139"/>
      <c r="CY26" s="1823" t="s">
        <v>20</v>
      </c>
      <c r="CZ26" s="1798" t="str">
        <f t="shared" si="7"/>
        <v/>
      </c>
      <c r="DA26" s="1798" t="str">
        <f t="shared" si="7"/>
        <v/>
      </c>
      <c r="DB26" s="1798" t="str">
        <f t="shared" si="7"/>
        <v/>
      </c>
      <c r="DC26" s="1798" t="str">
        <f t="shared" si="7"/>
        <v/>
      </c>
      <c r="DD26" s="1798" t="str">
        <f t="shared" si="7"/>
        <v/>
      </c>
      <c r="DE26" s="1798" t="str">
        <f t="shared" si="7"/>
        <v/>
      </c>
      <c r="DF26" s="1798" t="str">
        <f t="shared" si="7"/>
        <v/>
      </c>
      <c r="DG26" s="1798" t="str">
        <f t="shared" si="7"/>
        <v/>
      </c>
      <c r="DH26" s="1798" t="str">
        <f t="shared" si="7"/>
        <v/>
      </c>
      <c r="DI26" s="1799">
        <v>5</v>
      </c>
      <c r="DJ26" s="1800" t="e">
        <f t="shared" si="3"/>
        <v>#VALUE!</v>
      </c>
      <c r="DK26" s="1823" t="s">
        <v>20</v>
      </c>
      <c r="DL26" s="1798" t="str">
        <f t="shared" si="8"/>
        <v/>
      </c>
      <c r="DM26" s="1798" t="str">
        <f t="shared" si="8"/>
        <v/>
      </c>
      <c r="DN26" s="1798" t="str">
        <f t="shared" si="8"/>
        <v/>
      </c>
      <c r="DO26" s="1798" t="str">
        <f t="shared" si="8"/>
        <v/>
      </c>
      <c r="DP26" s="1798" t="str">
        <f t="shared" si="8"/>
        <v/>
      </c>
      <c r="DQ26" s="1798" t="str">
        <f t="shared" si="8"/>
        <v/>
      </c>
      <c r="DR26" s="1798" t="str">
        <f t="shared" si="8"/>
        <v/>
      </c>
      <c r="DS26" s="1798" t="str">
        <f t="shared" si="8"/>
        <v/>
      </c>
      <c r="DT26" s="1798" t="str">
        <f t="shared" si="8"/>
        <v/>
      </c>
      <c r="EA26" s="1175"/>
      <c r="EB26" s="1829">
        <v>27</v>
      </c>
      <c r="EC26" s="1793">
        <f>ACTIONS!C7</f>
        <v>0</v>
      </c>
      <c r="ED26" s="1793">
        <f>ACTIONS!D7</f>
        <v>0</v>
      </c>
      <c r="EE26" s="1793">
        <f>ACTIONS!E7</f>
        <v>0</v>
      </c>
      <c r="EF26" s="1793">
        <f>ACTIONS!F7</f>
        <v>0</v>
      </c>
      <c r="EG26" s="1793">
        <f>ACTIONS!G7</f>
        <v>0</v>
      </c>
      <c r="EH26" s="1793">
        <f>ACTIONS!H7</f>
        <v>0</v>
      </c>
      <c r="EI26" s="1793">
        <f>ACTIONS!I7</f>
        <v>0</v>
      </c>
      <c r="EJ26" s="1793">
        <f>ACTIONS!J7</f>
        <v>0</v>
      </c>
      <c r="EK26" s="1793">
        <f>ACTIONS!K7</f>
        <v>0</v>
      </c>
      <c r="EM26" s="1829">
        <v>27</v>
      </c>
      <c r="EN26" s="1795">
        <f>ACTIONS!BQ7</f>
        <v>0</v>
      </c>
      <c r="EO26" s="1795">
        <f>ACTIONS!BR7</f>
        <v>0</v>
      </c>
      <c r="EP26" s="1795">
        <f>ACTIONS!BS7</f>
        <v>0</v>
      </c>
      <c r="EQ26" s="1795">
        <f>ACTIONS!BT7</f>
        <v>0</v>
      </c>
      <c r="ER26" s="1795">
        <f>ACTIONS!BU7</f>
        <v>0</v>
      </c>
      <c r="ES26" s="1795">
        <f>ACTIONS!BV7</f>
        <v>0</v>
      </c>
      <c r="ET26" s="1795">
        <f>ACTIONS!BW7</f>
        <v>0</v>
      </c>
      <c r="EU26" s="1795">
        <f>ACTIONS!BX7</f>
        <v>0</v>
      </c>
      <c r="EV26" s="1795">
        <f>ACTIONS!BY7</f>
        <v>0</v>
      </c>
      <c r="EW26" s="1796"/>
      <c r="EX26" s="2403"/>
      <c r="EY26" s="2406"/>
      <c r="EZ26" s="2406"/>
      <c r="FA26" s="1813" t="s">
        <v>1479</v>
      </c>
      <c r="FB26" s="2406"/>
      <c r="FC26" s="2407">
        <v>1</v>
      </c>
      <c r="FD26" s="2408">
        <v>0.5</v>
      </c>
      <c r="FE26" s="2409">
        <v>0</v>
      </c>
      <c r="FF26" s="2410">
        <v>0</v>
      </c>
      <c r="FG26" s="1865"/>
      <c r="FH26" s="2403"/>
      <c r="FI26" s="2553" cm="1">
        <f t="array" ref="FI26">_xlfn.IFS($FI$23=$FC$23,FC26,$FI$23=$FD$23,FD26,$FI$23=$FE$23,FE26,$FI$23=$FF$23,FF26,TRUE,FC26)</f>
        <v>1</v>
      </c>
      <c r="FJ26" s="1865"/>
      <c r="FL26" s="1919"/>
      <c r="FM26" s="5075" t="s">
        <v>528</v>
      </c>
      <c r="FN26" s="5075"/>
      <c r="FO26" s="5082" t="str">
        <f>IF(AND(FY26=$GQ$24,$GQ$24&lt;&gt;0),"fastest","")</f>
        <v/>
      </c>
      <c r="FP26" s="5083"/>
      <c r="FQ26" s="12"/>
      <c r="FR26" s="5073" t="str">
        <f>IF(ISERROR(FIND("[",MISSIONS!E6)),"", MID(MISSIONS!E6,SEARCH("[",MISSIONS!E6)+1,SEARCH("]",MISSIONS!E6,SEARCH("[",MISSIONS!E6)+1)-SEARCH("[",MISSIONS!E6)-1))</f>
        <v/>
      </c>
      <c r="FS26" s="5074"/>
      <c r="FT26" s="5073" t="str">
        <f>IF(FR26="","",IF(MID(FR26,2,1)="h",MID(FR26,1,1)*60,0))</f>
        <v/>
      </c>
      <c r="FU26" s="5074"/>
      <c r="FV26" s="5073" t="str" cm="1">
        <f t="array" ref="FV26">IF(FR26="","",
_xlfn.IFS(
AND(RIGHT(FR26,1)="m",LEN(FR26)=3),MID(FR26,1,2),
AND(RIGHT(FR26,1)="m",LEN(FR26)=5),MID(FR26,3,2),
AND(RIGHT(FR26,1)="m",LEN(FR26)=2),MID(FR26,1,1),
AND(RIGHT(FR26,1)="m",LEN(FR26)=4),MID(FR26,3,1),
TRUE,0)
)</f>
        <v/>
      </c>
      <c r="FW26" s="5074"/>
      <c r="FX26" s="1219"/>
      <c r="FY26" s="5078" t="str">
        <f>IF( MISSIONS!E6="", "",
IF( OR(AND(MISSIONS!U6=100%,MISSIONS!U7=MISSIONS!$AM$2),FR26="",FR26="?",OR(MISSIONS!$A$3=MISSIONS!$N$44,MISSIONS!$A$3=MISSIONS!$O$44,MISSIONS!$A$3=MISSIONS!$P$44,MISSIONS!$A$3=MISSIONS!$Q$44,MISSIONS!$A$3=MISSIONS!$R$44,MISSIONS!$A$3=MISSIONS!$S$44,MISSIONS!$A$3=MISSIONS!$T$44),PLANS!$DI$78=1),"",FT26+FV26)
)</f>
        <v/>
      </c>
      <c r="FZ26" s="5079"/>
      <c r="GA26" s="1219"/>
      <c r="GB26" s="1219"/>
      <c r="GC26" s="1219"/>
      <c r="GD26" s="1887"/>
      <c r="GE26" s="1920"/>
      <c r="GF26" s="1920"/>
      <c r="GG26" s="1920"/>
      <c r="GH26" s="1920"/>
      <c r="GI26" s="1920"/>
      <c r="GJ26" s="1920"/>
      <c r="GK26" s="1920"/>
      <c r="GL26" s="1920"/>
      <c r="GM26" s="1920"/>
      <c r="GN26" s="1920"/>
      <c r="GO26" s="1887"/>
      <c r="GP26" s="1887"/>
      <c r="GQ26" s="1887"/>
      <c r="GR26" s="1887"/>
      <c r="GS26" s="1887"/>
      <c r="GT26" s="1887"/>
      <c r="GU26" s="1920"/>
      <c r="GV26" s="1920"/>
      <c r="GW26" s="1920"/>
      <c r="GX26" s="1920"/>
      <c r="GY26" s="1920"/>
      <c r="GZ26" s="1920"/>
      <c r="HA26" s="1887"/>
      <c r="HB26" s="1887"/>
      <c r="HC26" s="1887"/>
      <c r="HD26" s="1887"/>
      <c r="HE26" s="1887"/>
      <c r="HF26" s="1887"/>
      <c r="HG26" s="1887"/>
      <c r="HH26" s="1887"/>
      <c r="HI26" s="5075" t="s">
        <v>728</v>
      </c>
      <c r="HJ26" s="5075"/>
      <c r="HK26" s="5082" t="str">
        <f>IF(AND(HU26=$GQ$24,$GQ$24&lt;&gt;0),"fastest","")</f>
        <v/>
      </c>
      <c r="HL26" s="5083"/>
      <c r="HM26" s="12"/>
      <c r="HN26" s="5073" t="str">
        <f>IF(ISERROR(FIND("[",MISSIONS!BH6)),"", MID(MISSIONS!BH6,SEARCH("[",MISSIONS!BH6)+1,SEARCH("]",MISSIONS!BH6,SEARCH("[",MISSIONS!BH6)+1)-SEARCH("[",MISSIONS!BH6)-1))</f>
        <v/>
      </c>
      <c r="HO26" s="5074"/>
      <c r="HP26" s="5073" t="str">
        <f>IF(HN26="","",IF(MID(HN26,2,1)="h",MID(HN26,1,1)*60,0))</f>
        <v/>
      </c>
      <c r="HQ26" s="5074"/>
      <c r="HR26" s="5073" t="str" cm="1">
        <f t="array" ref="HR26">IF(HN26="","",
_xlfn.IFS(
AND(RIGHT(HN26,1)="m",LEN(HN26)=3),MID(HN26,1,2),
AND(RIGHT(HN26,1)="m",LEN(HN26)=5),MID(HN26,3,2),
AND(RIGHT(HN26,1)="m",LEN(HN26)=2),MID(HN26,1,1),
AND(RIGHT(HN26,1)="m",LEN(HN26)=4),MID(HN26,3,1),
TRUE,0)
)</f>
        <v/>
      </c>
      <c r="HS26" s="5074"/>
      <c r="HT26" s="1219"/>
      <c r="HU26" s="5078" t="str">
        <f>IF( MISSIONS!BH6="", "",
IF( OR(MISSIONS!BF6&lt;&gt;"",MISSIONS!BG6=100%,HN26="",HN26="?"),"",HP26+HR26)
)</f>
        <v/>
      </c>
      <c r="HV26" s="5079"/>
      <c r="HW26" s="1887"/>
      <c r="HX26" s="1218"/>
      <c r="IC26" s="1804">
        <v>4</v>
      </c>
      <c r="ID26" s="1814" t="s">
        <v>196</v>
      </c>
      <c r="IE26" s="1814" t="s">
        <v>578</v>
      </c>
      <c r="IF26" s="3240" t="s">
        <v>1135</v>
      </c>
      <c r="IG26" s="1814" t="s">
        <v>983</v>
      </c>
      <c r="IH26" s="1814" t="s">
        <v>2073</v>
      </c>
      <c r="II26" s="1815" t="s">
        <v>196</v>
      </c>
      <c r="IK26" s="1804">
        <v>4</v>
      </c>
      <c r="IL26" s="1814" t="s">
        <v>640</v>
      </c>
      <c r="IM26" s="1814" t="s">
        <v>650</v>
      </c>
      <c r="IN26" s="1814" t="s">
        <v>198</v>
      </c>
      <c r="IO26" s="1872" t="s">
        <v>1046</v>
      </c>
      <c r="IP26" s="1814" t="s">
        <v>1003</v>
      </c>
      <c r="IQ26" s="1872" t="s">
        <v>2262</v>
      </c>
      <c r="IR26" s="1814" t="s">
        <v>1004</v>
      </c>
      <c r="IS26" s="1814" t="s">
        <v>2219</v>
      </c>
      <c r="IT26" s="1814" t="s">
        <v>217</v>
      </c>
      <c r="IU26" s="1872" t="s">
        <v>2194</v>
      </c>
      <c r="IV26" s="1814" t="s">
        <v>982</v>
      </c>
      <c r="IW26" s="1814" t="s">
        <v>984</v>
      </c>
      <c r="IX26" s="1824"/>
      <c r="IY26" s="1825"/>
      <c r="IZ26" s="1826"/>
      <c r="JA26" s="1834"/>
      <c r="JC26" s="1802">
        <v>4</v>
      </c>
      <c r="JD26" s="1818" t="s">
        <v>1342</v>
      </c>
      <c r="JE26" s="1818" t="s">
        <v>1346</v>
      </c>
      <c r="JF26" s="1818" t="s">
        <v>2169</v>
      </c>
      <c r="JG26" s="1818" t="s">
        <v>1184</v>
      </c>
      <c r="JH26" s="1818" t="s">
        <v>1191</v>
      </c>
      <c r="JI26" s="1818" t="s">
        <v>1184</v>
      </c>
      <c r="JJ26" s="1818" t="s">
        <v>1185</v>
      </c>
      <c r="JK26" s="1818" t="s">
        <v>1186</v>
      </c>
      <c r="JL26" s="1818" t="s">
        <v>2168</v>
      </c>
      <c r="JM26" s="1818" t="s">
        <v>2167</v>
      </c>
      <c r="JO26" s="2169" t="s">
        <v>1057</v>
      </c>
      <c r="JP26" s="2012" t="s">
        <v>451</v>
      </c>
      <c r="JQ26" s="2170" t="s">
        <v>1365</v>
      </c>
      <c r="JR26" s="1819" t="s">
        <v>383</v>
      </c>
      <c r="JS26" s="1822"/>
      <c r="JT26" s="3073" t="s">
        <v>1809</v>
      </c>
      <c r="JV26" s="3073" t="s">
        <v>1810</v>
      </c>
      <c r="JX26" s="3073" t="s">
        <v>1808</v>
      </c>
      <c r="JY26" s="1822"/>
      <c r="JZ26" s="3073" t="s">
        <v>1857</v>
      </c>
      <c r="KB26" s="3073" t="s">
        <v>1811</v>
      </c>
      <c r="KG26" s="1791"/>
      <c r="KH26" s="1821"/>
      <c r="KI26" s="1791"/>
      <c r="KJ26" s="1821"/>
      <c r="KK26" s="1822"/>
      <c r="KP26" s="8"/>
      <c r="KQ26" s="3052"/>
      <c r="KR26" s="3047"/>
      <c r="KS26" s="1930"/>
      <c r="KT26" s="1764"/>
      <c r="KV26" s="3046"/>
      <c r="KW26" s="3047"/>
      <c r="KX26" s="3048"/>
      <c r="KY26" s="1764"/>
      <c r="LA26" s="3048"/>
    </row>
    <row r="27" spans="1:313" ht="17.100000000000001" customHeight="1" thickBot="1" x14ac:dyDescent="0.35">
      <c r="B27" s="3314" t="str">
        <f t="shared" si="5"/>
        <v/>
      </c>
      <c r="C27" s="1801" t="s">
        <v>189</v>
      </c>
      <c r="D27" s="1836">
        <v>0</v>
      </c>
      <c r="E27" s="1836">
        <v>0</v>
      </c>
      <c r="F27" s="1836">
        <v>0</v>
      </c>
      <c r="G27" s="1803">
        <f t="shared" si="6"/>
        <v>0</v>
      </c>
      <c r="H27" s="3100"/>
      <c r="I27" s="5156"/>
      <c r="J27" s="1898" t="str">
        <f t="shared" si="15"/>
        <v/>
      </c>
      <c r="K27" s="3312" t="str">
        <f t="shared" si="16"/>
        <v/>
      </c>
      <c r="L27" s="3381"/>
      <c r="M27" s="3382"/>
      <c r="N27" s="3382"/>
      <c r="O27" s="3382"/>
      <c r="P27" s="3382"/>
      <c r="Q27" s="3382"/>
      <c r="R27" s="3382"/>
      <c r="S27" s="3382"/>
      <c r="T27" s="3382"/>
      <c r="U27" s="3382"/>
      <c r="V27" s="1774"/>
      <c r="W27" s="3381"/>
      <c r="X27" s="3382"/>
      <c r="Y27" s="3382"/>
      <c r="Z27" s="3382"/>
      <c r="AA27" s="3382"/>
      <c r="AB27" s="3382"/>
      <c r="AC27" s="3382"/>
      <c r="AD27" s="3382"/>
      <c r="AE27" s="3382"/>
      <c r="AF27" s="3382"/>
      <c r="AG27" s="1796"/>
      <c r="AH27" s="3312" t="str">
        <f t="shared" si="17"/>
        <v/>
      </c>
      <c r="AI27" s="3381"/>
      <c r="AJ27" s="3384"/>
      <c r="AK27" s="3382"/>
      <c r="AL27" s="3382"/>
      <c r="AM27" s="3382"/>
      <c r="AN27" s="3382"/>
      <c r="AO27" s="3382"/>
      <c r="AP27" s="3382"/>
      <c r="AQ27" s="3382"/>
      <c r="AR27" s="3382"/>
      <c r="AS27" s="3382"/>
      <c r="AT27" s="3213"/>
      <c r="AU27" s="3384"/>
      <c r="AV27" s="3382"/>
      <c r="AW27" s="3382"/>
      <c r="AX27" s="3382"/>
      <c r="AY27" s="3382"/>
      <c r="AZ27" s="3382"/>
      <c r="BA27" s="3382"/>
      <c r="BB27" s="3382"/>
      <c r="BC27" s="3382"/>
      <c r="BD27" s="3382"/>
      <c r="BE27" s="3311">
        <v>4</v>
      </c>
      <c r="BF27" s="1882" t="str">
        <f t="shared" si="9"/>
        <v/>
      </c>
      <c r="BG27" s="1883">
        <f t="shared" si="10"/>
        <v>0</v>
      </c>
      <c r="BH27" s="1884">
        <f t="shared" si="13"/>
        <v>0</v>
      </c>
      <c r="BJ27" s="1882">
        <f t="shared" si="11"/>
        <v>0</v>
      </c>
      <c r="BK27" s="1882" t="str">
        <f t="shared" si="12"/>
        <v/>
      </c>
      <c r="BL27" s="1883">
        <f t="shared" si="14"/>
        <v>0</v>
      </c>
      <c r="BM27" s="3309"/>
      <c r="BN27" s="3309"/>
      <c r="BO27" s="3309"/>
      <c r="BP27" s="3309"/>
      <c r="BQ27" s="3309"/>
      <c r="BR27" s="3309"/>
      <c r="BS27" s="3309"/>
      <c r="BT27" s="3309"/>
      <c r="BU27" s="3309"/>
      <c r="BV27" s="3309"/>
      <c r="BW27" s="3309"/>
      <c r="BX27" s="3210">
        <f>IF($BN$24&lt;=1,0,$BN$24-1)</f>
        <v>0</v>
      </c>
      <c r="BY27" s="3211" t="s">
        <v>181</v>
      </c>
      <c r="BZ27" s="1796">
        <f>VLOOKUP($BX$27,$AJ$23:$AS$143,AK20,FALSE)</f>
        <v>0</v>
      </c>
      <c r="CA27" s="1796">
        <f t="shared" ref="CA27:CH27" si="19">VLOOKUP($BX$27,$AJ$23:$AS$143,AL20,FALSE)</f>
        <v>0</v>
      </c>
      <c r="CB27" s="1796">
        <f t="shared" si="19"/>
        <v>0</v>
      </c>
      <c r="CC27" s="1796">
        <f t="shared" si="19"/>
        <v>0</v>
      </c>
      <c r="CD27" s="1796">
        <f t="shared" si="19"/>
        <v>0</v>
      </c>
      <c r="CE27" s="1796">
        <f t="shared" si="19"/>
        <v>0</v>
      </c>
      <c r="CF27" s="1796">
        <f t="shared" si="19"/>
        <v>0</v>
      </c>
      <c r="CG27" s="1796">
        <f t="shared" si="19"/>
        <v>0</v>
      </c>
      <c r="CH27" s="1796">
        <f t="shared" si="19"/>
        <v>0</v>
      </c>
      <c r="CI27" s="1870" t="s">
        <v>1748</v>
      </c>
      <c r="CN27" s="1775"/>
      <c r="CO27" s="5117" t="s">
        <v>1416</v>
      </c>
      <c r="CP27" s="5118"/>
      <c r="CQ27" s="5117" t="s">
        <v>1418</v>
      </c>
      <c r="CR27" s="5118"/>
      <c r="CT27" s="5119" t="s">
        <v>2</v>
      </c>
      <c r="CU27" s="5119"/>
      <c r="CV27" s="1780" t="str">
        <f>'^'!$F$32</f>
        <v>S T A R T   G A M E</v>
      </c>
      <c r="CX27" s="5139"/>
      <c r="CY27" s="1823" t="s">
        <v>21</v>
      </c>
      <c r="CZ27" s="1798" t="str">
        <f t="shared" si="7"/>
        <v/>
      </c>
      <c r="DA27" s="1798" t="str">
        <f t="shared" si="7"/>
        <v/>
      </c>
      <c r="DB27" s="1798" t="str">
        <f t="shared" si="7"/>
        <v/>
      </c>
      <c r="DC27" s="1798" t="str">
        <f t="shared" si="7"/>
        <v/>
      </c>
      <c r="DD27" s="1798" t="str">
        <f t="shared" si="7"/>
        <v/>
      </c>
      <c r="DE27" s="1798" t="str">
        <f t="shared" si="7"/>
        <v/>
      </c>
      <c r="DF27" s="1798" t="str">
        <f t="shared" si="7"/>
        <v/>
      </c>
      <c r="DG27" s="1798" t="str">
        <f t="shared" si="7"/>
        <v/>
      </c>
      <c r="DH27" s="1798" t="str">
        <f t="shared" si="7"/>
        <v/>
      </c>
      <c r="DI27" s="1799">
        <v>6</v>
      </c>
      <c r="DJ27" s="1800" t="e">
        <f t="shared" si="3"/>
        <v>#VALUE!</v>
      </c>
      <c r="DK27" s="1823" t="s">
        <v>21</v>
      </c>
      <c r="DL27" s="1798" t="str">
        <f t="shared" si="8"/>
        <v/>
      </c>
      <c r="DM27" s="1798" t="str">
        <f t="shared" si="8"/>
        <v/>
      </c>
      <c r="DN27" s="1798" t="str">
        <f t="shared" si="8"/>
        <v/>
      </c>
      <c r="DO27" s="1798" t="str">
        <f t="shared" si="8"/>
        <v/>
      </c>
      <c r="DP27" s="1798" t="str">
        <f t="shared" si="8"/>
        <v/>
      </c>
      <c r="DQ27" s="1798" t="str">
        <f t="shared" si="8"/>
        <v/>
      </c>
      <c r="DR27" s="1798" t="str">
        <f t="shared" si="8"/>
        <v/>
      </c>
      <c r="DS27" s="1798" t="str">
        <f t="shared" si="8"/>
        <v/>
      </c>
      <c r="DT27" s="1798" t="str">
        <f t="shared" si="8"/>
        <v/>
      </c>
      <c r="DV27" s="5105" t="s">
        <v>479</v>
      </c>
      <c r="DW27" s="5105"/>
      <c r="DX27" s="5106"/>
      <c r="DY27" s="5105"/>
      <c r="DZ27" s="5105"/>
      <c r="EA27" s="1789"/>
      <c r="EB27" s="1829">
        <v>26</v>
      </c>
      <c r="EC27" s="1793">
        <f>ACTIONS!C8</f>
        <v>0</v>
      </c>
      <c r="ED27" s="1793">
        <f>ACTIONS!D8</f>
        <v>0</v>
      </c>
      <c r="EE27" s="1793">
        <f>ACTIONS!E8</f>
        <v>0</v>
      </c>
      <c r="EF27" s="1793">
        <f>ACTIONS!F8</f>
        <v>0</v>
      </c>
      <c r="EG27" s="1793">
        <f>ACTIONS!G8</f>
        <v>0</v>
      </c>
      <c r="EH27" s="1793">
        <f>ACTIONS!H8</f>
        <v>0</v>
      </c>
      <c r="EI27" s="1793">
        <f>ACTIONS!I8</f>
        <v>0</v>
      </c>
      <c r="EJ27" s="1793">
        <f>ACTIONS!J8</f>
        <v>0</v>
      </c>
      <c r="EK27" s="1793">
        <f>ACTIONS!K8</f>
        <v>0</v>
      </c>
      <c r="EM27" s="1829">
        <v>26</v>
      </c>
      <c r="EN27" s="1795">
        <f>ACTIONS!BQ8</f>
        <v>0</v>
      </c>
      <c r="EO27" s="1795">
        <f>ACTIONS!BR8</f>
        <v>0</v>
      </c>
      <c r="EP27" s="1795">
        <f>ACTIONS!BS8</f>
        <v>0</v>
      </c>
      <c r="EQ27" s="1795">
        <f>ACTIONS!BT8</f>
        <v>0</v>
      </c>
      <c r="ER27" s="1795">
        <f>ACTIONS!BU8</f>
        <v>0</v>
      </c>
      <c r="ES27" s="1795">
        <f>ACTIONS!BV8</f>
        <v>0</v>
      </c>
      <c r="ET27" s="1795">
        <f>ACTIONS!BW8</f>
        <v>0</v>
      </c>
      <c r="EU27" s="1795">
        <f>ACTIONS!BX8</f>
        <v>0</v>
      </c>
      <c r="EV27" s="1795">
        <f>ACTIONS!BY8</f>
        <v>0</v>
      </c>
      <c r="EW27" s="1796"/>
      <c r="EX27" s="2403"/>
      <c r="FA27" s="1808"/>
      <c r="FC27" s="2412"/>
      <c r="FD27" s="2412"/>
      <c r="FE27" s="2412"/>
      <c r="FF27" s="2412"/>
      <c r="FG27" s="2415"/>
      <c r="FH27" s="2414"/>
      <c r="FI27" s="2554"/>
      <c r="FJ27" s="2415"/>
      <c r="FL27" s="1919"/>
      <c r="FM27" s="5075"/>
      <c r="FN27" s="5075"/>
      <c r="FO27" s="5084"/>
      <c r="FP27" s="5085"/>
      <c r="FQ27" s="12"/>
      <c r="FR27" s="5073"/>
      <c r="FS27" s="5074"/>
      <c r="FT27" s="5073"/>
      <c r="FU27" s="5074"/>
      <c r="FV27" s="5073"/>
      <c r="FW27" s="5074"/>
      <c r="FX27" s="1219"/>
      <c r="FY27" s="5080"/>
      <c r="FZ27" s="5081"/>
      <c r="GA27" s="1219"/>
      <c r="GB27" s="1219"/>
      <c r="GC27" s="1219"/>
      <c r="GD27" s="1887"/>
      <c r="GE27" s="1920"/>
      <c r="GF27" s="1920"/>
      <c r="GG27" s="1920"/>
      <c r="GH27" s="1920"/>
      <c r="GI27" s="1920"/>
      <c r="GJ27" s="1920"/>
      <c r="GK27" s="1920"/>
      <c r="GL27" s="1920"/>
      <c r="GM27" s="1920"/>
      <c r="GN27" s="1920"/>
      <c r="GO27" s="1887"/>
      <c r="GP27" s="1887"/>
      <c r="GQ27" s="1887"/>
      <c r="GR27" s="1887"/>
      <c r="GS27" s="1887"/>
      <c r="GT27" s="1887"/>
      <c r="GU27" s="1920"/>
      <c r="GV27" s="1920"/>
      <c r="GW27" s="1920"/>
      <c r="GX27" s="1920"/>
      <c r="GY27" s="1920"/>
      <c r="GZ27" s="1920"/>
      <c r="HA27" s="1887"/>
      <c r="HB27" s="1887"/>
      <c r="HC27" s="1887"/>
      <c r="HD27" s="1887"/>
      <c r="HE27" s="1887"/>
      <c r="HF27" s="1887"/>
      <c r="HG27" s="1887"/>
      <c r="HH27" s="1887"/>
      <c r="HI27" s="5075"/>
      <c r="HJ27" s="5075"/>
      <c r="HK27" s="5084"/>
      <c r="HL27" s="5085"/>
      <c r="HM27" s="12"/>
      <c r="HN27" s="5073"/>
      <c r="HO27" s="5074"/>
      <c r="HP27" s="5073"/>
      <c r="HQ27" s="5074"/>
      <c r="HR27" s="5073"/>
      <c r="HS27" s="5074"/>
      <c r="HT27" s="1219"/>
      <c r="HU27" s="5080"/>
      <c r="HV27" s="5081"/>
      <c r="HW27" s="1887"/>
      <c r="HX27" s="1218"/>
      <c r="IC27" s="1802">
        <v>5</v>
      </c>
      <c r="ID27" s="1814" t="s">
        <v>2294</v>
      </c>
      <c r="IE27" s="1814" t="s">
        <v>582</v>
      </c>
      <c r="IF27" s="1814" t="s">
        <v>2305</v>
      </c>
      <c r="IG27" s="1814" t="s">
        <v>997</v>
      </c>
      <c r="IH27" s="1814" t="s">
        <v>2193</v>
      </c>
      <c r="II27" s="1815" t="s">
        <v>2294</v>
      </c>
      <c r="IK27" s="1802">
        <v>5</v>
      </c>
      <c r="IL27" s="1872" t="s">
        <v>1041</v>
      </c>
      <c r="IM27" s="1814" t="s">
        <v>2282</v>
      </c>
      <c r="IN27" s="1872" t="s">
        <v>1268</v>
      </c>
      <c r="IO27" s="1814" t="s">
        <v>199</v>
      </c>
      <c r="IP27" s="1872" t="s">
        <v>2177</v>
      </c>
      <c r="IQ27" s="1872" t="s">
        <v>2390</v>
      </c>
      <c r="IR27" s="1814" t="s">
        <v>652</v>
      </c>
      <c r="IS27" s="1872" t="s">
        <v>2220</v>
      </c>
      <c r="IT27" s="1814" t="s">
        <v>596</v>
      </c>
      <c r="IU27" s="1872" t="s">
        <v>1035</v>
      </c>
      <c r="IV27" s="1872" t="s">
        <v>1263</v>
      </c>
      <c r="IW27" s="1814" t="s">
        <v>626</v>
      </c>
      <c r="IX27" s="1824"/>
      <c r="IY27" s="1825"/>
      <c r="IZ27" s="1826"/>
      <c r="JA27" s="1834"/>
      <c r="JC27" s="1802">
        <v>5</v>
      </c>
      <c r="JD27" s="1818" t="s">
        <v>1343</v>
      </c>
      <c r="JE27" s="1818" t="s">
        <v>1347</v>
      </c>
      <c r="JF27" s="1818" t="s">
        <v>2170</v>
      </c>
      <c r="JG27" s="1818" t="s">
        <v>1185</v>
      </c>
      <c r="JH27" s="1818" t="s">
        <v>1192</v>
      </c>
      <c r="JI27" s="1818" t="s">
        <v>1443</v>
      </c>
      <c r="JJ27" s="1818" t="s">
        <v>1444</v>
      </c>
      <c r="JK27" s="1818" t="s">
        <v>2172</v>
      </c>
      <c r="JL27" s="1818" t="s">
        <v>1446</v>
      </c>
      <c r="JM27" s="1818" t="s">
        <v>1447</v>
      </c>
      <c r="JO27" s="2169" t="s">
        <v>1710</v>
      </c>
      <c r="JP27" s="2012" t="s">
        <v>1709</v>
      </c>
      <c r="JQ27" s="2170" t="s">
        <v>1365</v>
      </c>
      <c r="JR27" s="1832" t="s">
        <v>2001</v>
      </c>
      <c r="JS27" s="1822"/>
      <c r="JT27" s="1828" t="s">
        <v>1941</v>
      </c>
      <c r="JU27" s="3082"/>
      <c r="JV27" s="1828" t="s">
        <v>1955</v>
      </c>
      <c r="JW27" s="3082"/>
      <c r="JX27" s="1828" t="s">
        <v>1940</v>
      </c>
      <c r="JY27" s="3082"/>
      <c r="JZ27" s="1828" t="s">
        <v>394</v>
      </c>
      <c r="KA27" s="3082"/>
      <c r="KB27" s="1828" t="s">
        <v>1866</v>
      </c>
      <c r="KC27" s="3082"/>
      <c r="KG27" s="1822"/>
      <c r="KH27" s="1821"/>
      <c r="KI27" s="1822"/>
      <c r="KJ27" s="1821"/>
      <c r="KK27" s="1822"/>
      <c r="KP27" s="8"/>
      <c r="KQ27" s="1930"/>
      <c r="KR27" s="3049"/>
      <c r="KS27" s="1930"/>
      <c r="KT27" s="3053"/>
      <c r="KV27" s="3048"/>
      <c r="KW27" s="3049"/>
      <c r="KX27" s="3048"/>
      <c r="KY27" s="3053"/>
      <c r="LA27" s="3048"/>
    </row>
    <row r="28" spans="1:313" ht="17.100000000000001" customHeight="1" thickBot="1" x14ac:dyDescent="0.35">
      <c r="B28" s="3314" t="str">
        <f t="shared" si="5"/>
        <v/>
      </c>
      <c r="C28" s="1801" t="s">
        <v>20</v>
      </c>
      <c r="D28" s="1836">
        <v>0</v>
      </c>
      <c r="E28" s="1836">
        <f>IF(OR(C28=$B$41,C29=$B$41),BOUNTY!$AM$8,0)</f>
        <v>0</v>
      </c>
      <c r="F28" s="1836">
        <f>IF(OR(C28=$B$41,C29=$B$41),BOUNTY!$AG$74,0)</f>
        <v>0</v>
      </c>
      <c r="G28" s="1803">
        <f t="shared" si="6"/>
        <v>0</v>
      </c>
      <c r="H28" s="3102"/>
      <c r="I28" s="2980">
        <f>SUM($G$23:$G$28,$H$23:$H$28)</f>
        <v>0</v>
      </c>
      <c r="J28" s="1898" t="str">
        <f t="shared" si="15"/>
        <v/>
      </c>
      <c r="K28" s="3312" t="str">
        <f t="shared" si="16"/>
        <v/>
      </c>
      <c r="L28" s="3381"/>
      <c r="M28" s="3382"/>
      <c r="N28" s="3382"/>
      <c r="O28" s="3382"/>
      <c r="P28" s="3382"/>
      <c r="Q28" s="3382"/>
      <c r="R28" s="3382"/>
      <c r="S28" s="3382"/>
      <c r="T28" s="3382"/>
      <c r="U28" s="3382"/>
      <c r="V28" s="1774"/>
      <c r="W28" s="3381"/>
      <c r="X28" s="3382"/>
      <c r="Y28" s="3382"/>
      <c r="Z28" s="3382"/>
      <c r="AA28" s="3382"/>
      <c r="AB28" s="3382"/>
      <c r="AC28" s="3382"/>
      <c r="AD28" s="3382"/>
      <c r="AE28" s="3382"/>
      <c r="AF28" s="3382"/>
      <c r="AG28" s="1796"/>
      <c r="AH28" s="3312" t="str">
        <f t="shared" si="17"/>
        <v/>
      </c>
      <c r="AI28" s="3381"/>
      <c r="AJ28" s="3384"/>
      <c r="AK28" s="3382"/>
      <c r="AL28" s="3382"/>
      <c r="AM28" s="3382"/>
      <c r="AN28" s="3382"/>
      <c r="AO28" s="3382"/>
      <c r="AP28" s="3382"/>
      <c r="AQ28" s="3382"/>
      <c r="AR28" s="3382"/>
      <c r="AS28" s="3382"/>
      <c r="AT28" s="3213"/>
      <c r="AU28" s="3384"/>
      <c r="AV28" s="3382"/>
      <c r="AW28" s="3382"/>
      <c r="AX28" s="3382"/>
      <c r="AY28" s="3382"/>
      <c r="AZ28" s="3382"/>
      <c r="BA28" s="3382"/>
      <c r="BB28" s="3382"/>
      <c r="BC28" s="3382"/>
      <c r="BD28" s="3382"/>
      <c r="BE28" s="3311">
        <v>5</v>
      </c>
      <c r="BF28" s="1882" t="str">
        <f t="shared" si="9"/>
        <v/>
      </c>
      <c r="BG28" s="1883">
        <f t="shared" si="10"/>
        <v>0</v>
      </c>
      <c r="BH28" s="1884">
        <f t="shared" si="13"/>
        <v>0</v>
      </c>
      <c r="BJ28" s="1882">
        <f t="shared" si="11"/>
        <v>0</v>
      </c>
      <c r="BK28" s="1882" t="str">
        <f t="shared" si="12"/>
        <v/>
      </c>
      <c r="BL28" s="1883">
        <f t="shared" si="14"/>
        <v>0</v>
      </c>
      <c r="BM28" s="3309"/>
      <c r="BN28" s="3309"/>
      <c r="BO28" s="3309"/>
      <c r="BP28" s="3309"/>
      <c r="BQ28" s="3309"/>
      <c r="BR28" s="3309"/>
      <c r="BS28" s="3309"/>
      <c r="BT28" s="3309"/>
      <c r="BU28" s="3309"/>
      <c r="BV28" s="3309"/>
      <c r="BW28" s="3309"/>
      <c r="BX28" s="1837">
        <f>$BN$24</f>
        <v>0</v>
      </c>
      <c r="BY28" s="1782" t="s">
        <v>181</v>
      </c>
      <c r="BZ28" s="1833">
        <f>_xlfn.IFS(BZ26&lt;$BZ$21,0,BZ26&lt;$CA$21,1,BZ26&lt;$CB$21,2,BZ26&lt;$CC$21,3,BZ26&lt;$CD$21,4,BZ26&lt;$CE$21,5,BZ26&lt;$CF$21,6,BZ26&lt;$CG$21,7,BZ26&lt;$CH$21,8,BZ26&lt;$CI$21,9,BZ26&lt;$CJ$21,10,BZ26&lt;$CK$21,11,BZ26&lt;$CL$21,12,BZ26&lt;$CM$21,13,BZ26&lt;$CN$21,14,BZ26&lt;$CO$21,15,BZ26&lt;$CP$21,16,BZ26&lt;$CQ$21,17,BZ26&lt;$CR$21,18,BZ26&lt;$CS$21,19,BZ26&lt;$CT$21,20,BZ26&lt;$CU$21,21,BZ26&lt;$CV$21,22,BZ26&gt;=$CV$21,PROGRESS!$N$3)</f>
        <v>0</v>
      </c>
      <c r="CA28" s="1833">
        <f>_xlfn.IFS(CA26&lt;$BZ$21,0,CA26&lt;$CA$21,1,CA26&lt;$CB$21,2,CA26&lt;$CC$21,3,CA26&lt;$CD$21,4,CA26&lt;$CE$21,5,CA26&lt;$CF$21,6,CA26&lt;$CG$21,7,CA26&lt;$CH$21,8,CA26&lt;$CI$21,9,CA26&lt;$CJ$21,10,CA26&lt;$CK$21,11,CA26&lt;$CL$21,12,CA26&lt;$CM$21,13,CA26&lt;$CN$21,14,CA26&lt;$CO$21,15,CA26&lt;$CP$21,16,CA26&lt;$CQ$21,17,CA26&lt;$CR$21,18,CA26&lt;$CS$21,19,CA26&lt;$CT$21,20,CA26&lt;$CU$21,21,CA26&lt;$CV$21,22,CA26&gt;=$CV$21,PROGRESS!$N$4)</f>
        <v>0</v>
      </c>
      <c r="CB28" s="1833">
        <f>_xlfn.IFS(CB26&lt;$BZ$21,0,CB26&lt;$CA$21,1,CB26&lt;$CB$21,2,CB26&lt;$CC$21,3,CB26&lt;$CD$21,4,CB26&lt;$CE$21,5,CB26&lt;$CF$21,6,CB26&lt;$CG$21,7,CB26&lt;$CH$21,8,CB26&lt;$CI$21,9,CB26&lt;$CJ$21,10,CB26&lt;$CK$21,11,CB26&lt;$CL$21,12,CB26&lt;$CM$21,13,CB26&lt;$CN$21,14,CB26&lt;$CO$21,15,CB26&lt;$CP$21,16,CB26&lt;$CQ$21,17,CB26&lt;$CR$21,18,CB26&lt;$CS$21,19,CB26&lt;$CT$21,20,CB26&lt;$CU$21,21,CB26&lt;$CV$21,22,CB26&gt;=$CV$21,PROGRESS!$N$5)</f>
        <v>0</v>
      </c>
      <c r="CC28" s="1833">
        <f>_xlfn.IFS(CC26&lt;$BZ$21,0,CC26&lt;$CA$21,1,CC26&lt;$CB$21,2,CC26&lt;$CC$21,3,CC26&lt;$CD$21,4,CC26&lt;$CE$21,5,CC26&lt;$CF$21,6,CC26&lt;$CG$21,7,CC26&lt;$CH$21,8,CC26&lt;$CI$21,9,CC26&lt;$CJ$21,10,CC26&lt;$CK$21,11,CC26&lt;$CL$21,12,CC26&lt;$CM$21,13,CC26&lt;$CN$21,14,CC26&lt;$CO$21,15,CC26&lt;$CP$21,16,CC26&lt;$CQ$21,17,CC26&lt;$CR$21,18,CC26&lt;$CS$21,19,CC26&lt;$CT$21,20,CC26&lt;$CU$21,21,CC26&lt;$CV$21,22,CC26&gt;=$CV$21,PROGRESS!$N$6)</f>
        <v>0</v>
      </c>
      <c r="CD28" s="1833">
        <f>_xlfn.IFS(CD26&lt;$BZ$21,0,CD26&lt;$CA$21,1,CD26&lt;$CB$21,2,CD26&lt;$CC$21,3,CD26&lt;$CD$21,4,CD26&lt;$CE$21,5,CD26&lt;$CF$21,6,CD26&lt;$CG$21,7,CD26&lt;$CH$21,8,CD26&lt;$CI$21,9,CD26&lt;$CJ$21,10,CD26&lt;$CK$21,11,CD26&lt;$CL$21,12,CD26&lt;$CM$21,13,CD26&lt;$CN$21,14,CD26&lt;$CO$21,15,CD26&lt;$CP$21,16,CD26&lt;$CQ$21,17,CD26&lt;$CR$21,18,CD26&lt;$CS$21,19,CD26&lt;$CT$21,20,CD26&lt;$CU$21,21,CD26&lt;$CV$21,22,CD26&gt;=$CV$21,PROGRESS!$N$7)</f>
        <v>0</v>
      </c>
      <c r="CE28" s="1833">
        <f>_xlfn.IFS(CE26&lt;$BZ$21,0,CE26&lt;$CA$21,1,CE26&lt;$CB$21,2,CE26&lt;$CC$21,3,CE26&lt;$CD$21,4,CE26&lt;$CE$21,5,CE26&lt;$CF$21,6,CE26&lt;$CG$21,7,CE26&lt;$CH$21,8,CE26&lt;$CI$21,9,CE26&lt;$CJ$21,10,CE26&lt;$CK$21,11,CE26&lt;$CL$21,12,CE26&lt;$CM$21,13,CE26&lt;$CN$21,14,CE26&lt;$CO$21,15,CE26&lt;$CP$21,16,CE26&lt;$CQ$21,17,CE26&lt;$CR$21,18,CE26&lt;$CS$21,19,CE26&lt;$CT$21,20,CE26&lt;$CU$21,21,CE26&lt;$CV$21,22,CE26&gt;=$CV$21,PROGRESS!$N$8)</f>
        <v>0</v>
      </c>
      <c r="CF28" s="1833">
        <f>_xlfn.IFS(CF26&lt;$BZ$21,0,CF26&lt;$CA$21,1,CF26&lt;$CB$21,2,CF26&lt;$CC$21,3,CF26&lt;$CD$21,4,CF26&lt;$CE$21,5,CF26&lt;$CF$21,6,CF26&lt;$CG$21,7,CF26&lt;$CH$21,8,CF26&lt;$CI$21,9,CF26&lt;$CJ$21,10,CF26&lt;$CK$21,11,CF26&lt;$CL$21,12,CF26&lt;$CM$21,13,CF26&lt;$CN$21,14,CF26&lt;$CO$21,15,CF26&lt;$CP$21,16,CF26&lt;$CQ$21,17,CF26&lt;$CR$21,18,CF26&lt;$CS$21,19,CF26&lt;$CT$21,20,CF26&lt;$CU$21,21,CF26&lt;$CV$21,22,CF26&gt;=$CV$21,PROGRESS!$N$9)</f>
        <v>0</v>
      </c>
      <c r="CG28" s="1833">
        <f>_xlfn.IFS(CG26&lt;$BZ$21,0,CG26&lt;$CA$21,1,CG26&lt;$CB$21,2,CG26&lt;$CC$21,3,CG26&lt;$CD$21,4,CG26&lt;$CE$21,5,CG26&lt;$CF$21,6,CG26&lt;$CG$21,7,CG26&lt;$CH$21,8,CG26&lt;$CI$21,9,CG26&lt;$CJ$21,10,CG26&lt;$CK$21,11,CG26&lt;$CL$21,12,CG26&lt;$CM$21,13,CG26&lt;$CN$21,14,CG26&lt;$CO$21,15,CG26&lt;$CP$21,16,CG26&lt;$CQ$21,17,CG26&lt;$CR$21,18,CG26&lt;$CS$21,19,CG26&lt;$CT$21,20,CG26&lt;$CU$21,21,CG26&lt;$CV$21,22,CG26&gt;=$CV$21,PROGRESS!$N$10)</f>
        <v>0</v>
      </c>
      <c r="CH28" s="1833">
        <f>_xlfn.IFS(CH26&lt;$BZ$21,0,CH26&lt;$CA$21,1,CH26&lt;$CB$21,2,CH26&lt;$CC$21,3,CH26&lt;$CD$21,4,CH26&lt;$CE$21,5,CH26&lt;$CF$21,6,CH26&lt;$CG$21,7,CH26&lt;$CH$21,8,CH26&lt;$CI$21,9,CH26&lt;$CJ$21,10,CH26&lt;$CK$21,11,CH26&lt;$CL$21,12,CH26&lt;$CM$21,13,CH26&lt;$CN$21,14,CH26&lt;$CO$21,15,CH26&lt;$CP$21,16,CH26&lt;$CQ$21,17,CH26&lt;$CR$21,18,CH26&lt;$CS$21,19,CH26&lt;$CT$21,20,CH26&lt;$CU$21,21,CH26&lt;$CV$21,22,CH26&gt;=$CV$21,PROGRESS!$N$11)</f>
        <v>0</v>
      </c>
      <c r="CI28" s="1796"/>
      <c r="CJ28" s="1796"/>
      <c r="CK28" s="1796"/>
      <c r="CL28" s="1801" t="s">
        <v>90</v>
      </c>
      <c r="CM28" s="1801" t="str" cm="1">
        <f t="array" ref="CM28">_xlfn.IFS(CM26&gt;CM31,"MIND",CM31&gt;CM26,"BODY",TRUE,"equal")</f>
        <v>equal</v>
      </c>
      <c r="CX28" s="5139"/>
      <c r="CY28" s="1823" t="s">
        <v>23</v>
      </c>
      <c r="CZ28" s="1798" t="str">
        <f t="shared" si="7"/>
        <v/>
      </c>
      <c r="DA28" s="1798" t="str">
        <f t="shared" si="7"/>
        <v/>
      </c>
      <c r="DB28" s="1798" t="str">
        <f t="shared" si="7"/>
        <v/>
      </c>
      <c r="DC28" s="1798" t="str">
        <f t="shared" si="7"/>
        <v/>
      </c>
      <c r="DD28" s="1798" t="str">
        <f t="shared" si="7"/>
        <v/>
      </c>
      <c r="DE28" s="1798" t="str">
        <f t="shared" si="7"/>
        <v/>
      </c>
      <c r="DF28" s="1798" t="str">
        <f t="shared" si="7"/>
        <v/>
      </c>
      <c r="DG28" s="1798" t="str">
        <f t="shared" si="7"/>
        <v/>
      </c>
      <c r="DH28" s="1798" t="str">
        <f t="shared" si="7"/>
        <v/>
      </c>
      <c r="DI28" s="1799">
        <v>7</v>
      </c>
      <c r="DJ28" s="1800" t="e">
        <f t="shared" si="3"/>
        <v>#VALUE!</v>
      </c>
      <c r="DK28" s="1823" t="s">
        <v>23</v>
      </c>
      <c r="DL28" s="1798" t="str">
        <f t="shared" si="8"/>
        <v/>
      </c>
      <c r="DM28" s="1798" t="str">
        <f t="shared" si="8"/>
        <v/>
      </c>
      <c r="DN28" s="1798" t="str">
        <f t="shared" si="8"/>
        <v/>
      </c>
      <c r="DO28" s="1798" t="str">
        <f t="shared" si="8"/>
        <v/>
      </c>
      <c r="DP28" s="1798" t="str">
        <f t="shared" si="8"/>
        <v/>
      </c>
      <c r="DQ28" s="1798" t="str">
        <f t="shared" si="8"/>
        <v/>
      </c>
      <c r="DR28" s="1798" t="str">
        <f t="shared" si="8"/>
        <v/>
      </c>
      <c r="DS28" s="1798" t="str">
        <f t="shared" si="8"/>
        <v/>
      </c>
      <c r="DT28" s="1798" t="str">
        <f t="shared" si="8"/>
        <v/>
      </c>
      <c r="DV28" s="1839"/>
      <c r="DW28" s="1840" t="s">
        <v>480</v>
      </c>
      <c r="DX28" s="1841"/>
      <c r="DY28" s="1842"/>
      <c r="EB28" s="1829">
        <v>25</v>
      </c>
      <c r="EC28" s="1793">
        <f>ACTIONS!C9</f>
        <v>0</v>
      </c>
      <c r="ED28" s="1793">
        <f>ACTIONS!D9</f>
        <v>0</v>
      </c>
      <c r="EE28" s="1793">
        <f>ACTIONS!E9</f>
        <v>0</v>
      </c>
      <c r="EF28" s="1793">
        <f>ACTIONS!F9</f>
        <v>0</v>
      </c>
      <c r="EG28" s="1793">
        <f>ACTIONS!G9</f>
        <v>0</v>
      </c>
      <c r="EH28" s="1793">
        <f>ACTIONS!H9</f>
        <v>0</v>
      </c>
      <c r="EI28" s="1793">
        <f>ACTIONS!I9</f>
        <v>0</v>
      </c>
      <c r="EJ28" s="1793">
        <f>ACTIONS!J9</f>
        <v>0</v>
      </c>
      <c r="EK28" s="1793">
        <f>ACTIONS!K9</f>
        <v>0</v>
      </c>
      <c r="EM28" s="1829">
        <v>25</v>
      </c>
      <c r="EN28" s="1795">
        <f>ACTIONS!BQ9</f>
        <v>0</v>
      </c>
      <c r="EO28" s="1795">
        <f>ACTIONS!BR9</f>
        <v>0</v>
      </c>
      <c r="EP28" s="1795">
        <f>ACTIONS!BS9</f>
        <v>0</v>
      </c>
      <c r="EQ28" s="1795">
        <f>ACTIONS!BT9</f>
        <v>0</v>
      </c>
      <c r="ER28" s="1795">
        <f>ACTIONS!BU9</f>
        <v>0</v>
      </c>
      <c r="ES28" s="1795">
        <f>ACTIONS!BV9</f>
        <v>0</v>
      </c>
      <c r="ET28" s="1795">
        <f>ACTIONS!BW9</f>
        <v>0</v>
      </c>
      <c r="EU28" s="1795">
        <f>ACTIONS!BX9</f>
        <v>0</v>
      </c>
      <c r="EV28" s="1795">
        <f>ACTIONS!BY9</f>
        <v>0</v>
      </c>
      <c r="EW28" s="1796"/>
      <c r="EX28" s="2403"/>
      <c r="EY28" s="2406"/>
      <c r="EZ28" s="2406"/>
      <c r="FA28" s="1813" t="s">
        <v>1482</v>
      </c>
      <c r="FB28" s="2406"/>
      <c r="FC28" s="2407">
        <v>1</v>
      </c>
      <c r="FD28" s="2408">
        <v>0.5</v>
      </c>
      <c r="FE28" s="2409">
        <v>0.5</v>
      </c>
      <c r="FF28" s="2410">
        <v>0</v>
      </c>
      <c r="FG28" s="1865"/>
      <c r="FH28" s="2403"/>
      <c r="FI28" s="2553" cm="1">
        <f t="array" ref="FI28">_xlfn.IFS($FI$23=$FC$23,FC28,$FI$23=$FD$23,FD28,$FI$23=$FE$23,FE28,$FI$23=$FF$23,FF28,TRUE,FC28)</f>
        <v>1</v>
      </c>
      <c r="FJ28" s="1865"/>
      <c r="FL28" s="1919"/>
      <c r="FM28" s="5075" t="s">
        <v>39</v>
      </c>
      <c r="FN28" s="5075"/>
      <c r="FO28" s="5082" t="str">
        <f>IF(AND(FY28=$GQ$24,$GQ$24&lt;&gt;0),"fastest","")</f>
        <v/>
      </c>
      <c r="FP28" s="5083"/>
      <c r="FQ28" s="12"/>
      <c r="FR28" s="5073" t="str">
        <f>IF(ISERROR(FIND("[",MISSIONS!E8)),"", MID(MISSIONS!E8,SEARCH("[",MISSIONS!E8)+1,SEARCH("]",MISSIONS!E8,SEARCH("[",MISSIONS!E8)+1)-SEARCH("[",MISSIONS!E8)-1))</f>
        <v/>
      </c>
      <c r="FS28" s="5074"/>
      <c r="FT28" s="5073" t="str">
        <f>IF(FR28="","",IF(MID(FR28,2,1)="h",MID(FR28,1,1)*60,0))</f>
        <v/>
      </c>
      <c r="FU28" s="5074"/>
      <c r="FV28" s="5073" t="str" cm="1">
        <f t="array" ref="FV28">IF(FR28="","",
_xlfn.IFS(
AND(RIGHT(FR28,1)="m",LEN(FR28)=3),MID(FR28,1,2),
AND(RIGHT(FR28,1)="m",LEN(FR28)=5),MID(FR28,3,2),
AND(RIGHT(FR28,1)="m",LEN(FR28)=2),MID(FR28,1,1),
AND(RIGHT(FR28,1)="m",LEN(FR28)=4),MID(FR28,3,1),
TRUE,0)
)</f>
        <v/>
      </c>
      <c r="FW28" s="5074"/>
      <c r="FX28" s="1219"/>
      <c r="FY28" s="5078" t="str">
        <f>IF( MISSIONS!E8="", "",
IF( OR(AND(MISSIONS!U8=100%,MISSIONS!U9=MISSIONS!$AM$2),FR28="",FR28="?",OR(MISSIONS!$A$3=MISSIONS!$N$45,MISSIONS!$A$3=MISSIONS!$O$45,MISSIONS!$A$3=MISSIONS!$P$45,MISSIONS!$A$3=MISSIONS!$Q$45,MISSIONS!$A$3=MISSIONS!$R$45,MISSIONS!$A$3=MISSIONS!$S$45,MISSIONS!$A$3=MISSIONS!$T$45),PLANS!$DI$78=1),"",FT28+FV28)
)</f>
        <v/>
      </c>
      <c r="FZ28" s="5079"/>
      <c r="GA28" s="1219"/>
      <c r="GB28" s="1219"/>
      <c r="GC28" s="1887"/>
      <c r="GD28" s="1887"/>
      <c r="GE28" s="1920"/>
      <c r="GF28" s="1920"/>
      <c r="GG28" s="1920"/>
      <c r="GH28" s="1920"/>
      <c r="GI28" s="1920"/>
      <c r="GJ28" s="1920"/>
      <c r="GK28" s="1920"/>
      <c r="GL28" s="1920"/>
      <c r="GM28" s="1920"/>
      <c r="GN28" s="1920"/>
      <c r="GO28" s="1887"/>
      <c r="GP28" s="1887"/>
      <c r="GQ28" s="1887"/>
      <c r="GR28" s="1887"/>
      <c r="GS28" s="1887"/>
      <c r="GT28" s="1887"/>
      <c r="GU28" s="1920"/>
      <c r="GV28" s="1920"/>
      <c r="GW28" s="1920"/>
      <c r="GX28" s="1920"/>
      <c r="GY28" s="1920"/>
      <c r="GZ28" s="1920"/>
      <c r="HA28" s="1887"/>
      <c r="HB28" s="1887"/>
      <c r="HC28" s="1887"/>
      <c r="HD28" s="1887"/>
      <c r="HE28" s="1887"/>
      <c r="HF28" s="1887"/>
      <c r="HG28" s="1887"/>
      <c r="HH28" s="1887"/>
      <c r="HI28" s="5075" t="s">
        <v>729</v>
      </c>
      <c r="HJ28" s="5075"/>
      <c r="HK28" s="5082" t="str">
        <f>IF(AND(HU28=$GQ$24,$GQ$24&lt;&gt;0),"fastest","")</f>
        <v/>
      </c>
      <c r="HL28" s="5083"/>
      <c r="HM28" s="12"/>
      <c r="HN28" s="5073" t="str">
        <f>IF(ISERROR(FIND("[",MISSIONS!BH8)),"", MID(MISSIONS!BH8,SEARCH("[",MISSIONS!BH8)+1,SEARCH("]",MISSIONS!BH8,SEARCH("[",MISSIONS!BH8)+1)-SEARCH("[",MISSIONS!BH8)-1))</f>
        <v/>
      </c>
      <c r="HO28" s="5074"/>
      <c r="HP28" s="5073" t="str">
        <f>IF(HN28="","",IF(MID(HN28,2,1)="h",MID(HN28,1,1)*60,0))</f>
        <v/>
      </c>
      <c r="HQ28" s="5074"/>
      <c r="HR28" s="5073" t="str" cm="1">
        <f t="array" ref="HR28">IF(HN28="","",
_xlfn.IFS(
AND(RIGHT(HN28,1)="m",LEN(HN28)=3),MID(HN28,1,2),
AND(RIGHT(HN28,1)="m",LEN(HN28)=5),MID(HN28,3,2),
AND(RIGHT(HN28,1)="m",LEN(HN28)=2),MID(HN28,1,1),
AND(RIGHT(HN28,1)="m",LEN(HN28)=4),MID(HN28,3,1),
TRUE,0)
)</f>
        <v/>
      </c>
      <c r="HS28" s="5074"/>
      <c r="HT28" s="1219"/>
      <c r="HU28" s="5078" t="str">
        <f>IF( MISSIONS!BH8="", "",
IF( OR(MISSIONS!BF8&lt;&gt;"",MISSIONS!BG8=100%,HN28="",HN28="?"),"",HP28+HR28)
)</f>
        <v/>
      </c>
      <c r="HV28" s="5079"/>
      <c r="HW28" s="1887"/>
      <c r="HX28" s="1218"/>
      <c r="IC28" s="1804">
        <v>6</v>
      </c>
      <c r="ID28" s="1814" t="s">
        <v>236</v>
      </c>
      <c r="IE28" s="1814" t="s">
        <v>611</v>
      </c>
      <c r="IF28" s="1814" t="s">
        <v>675</v>
      </c>
      <c r="IG28" s="1814" t="s">
        <v>991</v>
      </c>
      <c r="IH28" s="1814" t="s">
        <v>1269</v>
      </c>
      <c r="II28" s="1815" t="s">
        <v>236</v>
      </c>
      <c r="IK28" s="1804">
        <v>6</v>
      </c>
      <c r="IL28" s="1814" t="s">
        <v>647</v>
      </c>
      <c r="IM28" s="1814" t="s">
        <v>642</v>
      </c>
      <c r="IN28" s="1814" t="s">
        <v>905</v>
      </c>
      <c r="IO28" s="1814" t="s">
        <v>646</v>
      </c>
      <c r="IP28" s="1814" t="s">
        <v>1001</v>
      </c>
      <c r="IQ28" s="1814" t="s">
        <v>214</v>
      </c>
      <c r="IR28" s="1814" t="s">
        <v>215</v>
      </c>
      <c r="IS28" s="1814" t="s">
        <v>2221</v>
      </c>
      <c r="IT28" s="1814" t="s">
        <v>2247</v>
      </c>
      <c r="IU28" s="1814" t="s">
        <v>653</v>
      </c>
      <c r="IV28" s="1872" t="s">
        <v>1038</v>
      </c>
      <c r="IW28" s="1814" t="s">
        <v>2233</v>
      </c>
      <c r="IX28" s="1824"/>
      <c r="IY28" s="1825"/>
      <c r="IZ28" s="1826"/>
      <c r="JA28" s="1834"/>
      <c r="JC28" s="1802">
        <v>6</v>
      </c>
      <c r="JD28" s="1818" t="s">
        <v>1344</v>
      </c>
      <c r="JE28" s="1818" t="s">
        <v>1348</v>
      </c>
      <c r="JF28" s="1818" t="s">
        <v>2171</v>
      </c>
      <c r="JG28" s="1818" t="s">
        <v>1186</v>
      </c>
      <c r="JH28" s="1818" t="s">
        <v>1193</v>
      </c>
      <c r="JI28" s="1818" t="s">
        <v>1345</v>
      </c>
      <c r="JJ28" s="1818" t="s">
        <v>1349</v>
      </c>
      <c r="JK28" s="1818" t="s">
        <v>2173</v>
      </c>
      <c r="JL28" s="1818" t="s">
        <v>1187</v>
      </c>
      <c r="JM28" s="1818" t="s">
        <v>1194</v>
      </c>
      <c r="JO28" s="2169" t="s">
        <v>1728</v>
      </c>
      <c r="JP28" s="2012" t="s">
        <v>1725</v>
      </c>
      <c r="JQ28" s="2170" t="s">
        <v>1364</v>
      </c>
      <c r="JR28" s="1835" t="s">
        <v>374</v>
      </c>
      <c r="JS28" s="1822"/>
      <c r="JT28" s="1828" t="s">
        <v>1942</v>
      </c>
      <c r="JU28" s="3082"/>
      <c r="JV28" s="1828" t="s">
        <v>1955</v>
      </c>
      <c r="JW28" s="3082"/>
      <c r="JX28" s="1828" t="s">
        <v>435</v>
      </c>
      <c r="JY28" s="3082"/>
      <c r="JZ28" s="1828" t="s">
        <v>1861</v>
      </c>
      <c r="KA28" s="3082"/>
      <c r="KB28" s="1828" t="s">
        <v>1865</v>
      </c>
      <c r="KC28" s="3082"/>
      <c r="KG28" s="1822"/>
      <c r="KH28" s="1821"/>
      <c r="KI28" s="1822"/>
      <c r="KJ28" s="1821"/>
      <c r="KK28" s="1822"/>
      <c r="KP28" s="8"/>
      <c r="KQ28" s="1930"/>
      <c r="KR28" s="3053"/>
      <c r="KS28" s="1930"/>
      <c r="KT28" s="3053"/>
      <c r="KV28" s="3048"/>
      <c r="KW28" s="3053"/>
      <c r="KX28" s="3048"/>
      <c r="KY28" s="3053"/>
      <c r="LA28" s="3048"/>
    </row>
    <row r="29" spans="1:313" ht="17.100000000000001" customHeight="1" thickBot="1" x14ac:dyDescent="0.35">
      <c r="B29" s="3314" t="str">
        <f t="shared" si="5"/>
        <v/>
      </c>
      <c r="C29" s="3096" t="s">
        <v>193</v>
      </c>
      <c r="D29" s="3275">
        <f>IF(OR(C29=$B$41,C30=$B$41),BOUNTY!$CC$5,0)</f>
        <v>0</v>
      </c>
      <c r="E29" s="3275">
        <f>IF(OR(C29=$B$41,C30=$B$41),BOUNTY!$AM$8,0)</f>
        <v>0</v>
      </c>
      <c r="F29" s="3275">
        <f>IF(OR(C29=$B$41,C30=$B$41),BOUNTY!$AG$74,0)</f>
        <v>0</v>
      </c>
      <c r="G29" s="3089">
        <f t="shared" si="6"/>
        <v>0</v>
      </c>
      <c r="H29" s="3100"/>
      <c r="I29" s="5158" t="s">
        <v>2048</v>
      </c>
      <c r="J29" s="1898" t="str">
        <f t="shared" si="15"/>
        <v/>
      </c>
      <c r="K29" s="3312" t="str">
        <f t="shared" si="16"/>
        <v/>
      </c>
      <c r="L29" s="3381"/>
      <c r="M29" s="3382"/>
      <c r="N29" s="3382"/>
      <c r="O29" s="3382"/>
      <c r="P29" s="3382"/>
      <c r="Q29" s="3382"/>
      <c r="R29" s="3382"/>
      <c r="S29" s="3382"/>
      <c r="T29" s="3382"/>
      <c r="U29" s="3382"/>
      <c r="V29" s="1774"/>
      <c r="W29" s="3381"/>
      <c r="X29" s="3382"/>
      <c r="Y29" s="3382"/>
      <c r="Z29" s="3382"/>
      <c r="AA29" s="3382"/>
      <c r="AB29" s="3382"/>
      <c r="AC29" s="3382"/>
      <c r="AD29" s="3382"/>
      <c r="AE29" s="3382"/>
      <c r="AF29" s="3382"/>
      <c r="AG29" s="1796"/>
      <c r="AH29" s="3312" t="str">
        <f t="shared" si="17"/>
        <v/>
      </c>
      <c r="AI29" s="3381"/>
      <c r="AJ29" s="3384"/>
      <c r="AK29" s="3382"/>
      <c r="AL29" s="3382"/>
      <c r="AM29" s="3382"/>
      <c r="AN29" s="3382"/>
      <c r="AO29" s="3382"/>
      <c r="AP29" s="3382"/>
      <c r="AQ29" s="3382"/>
      <c r="AR29" s="3382"/>
      <c r="AS29" s="3382"/>
      <c r="AT29" s="3213"/>
      <c r="AU29" s="3384"/>
      <c r="AV29" s="3382"/>
      <c r="AW29" s="3382"/>
      <c r="AX29" s="3382"/>
      <c r="AY29" s="3382"/>
      <c r="AZ29" s="3382"/>
      <c r="BA29" s="3382"/>
      <c r="BB29" s="3382"/>
      <c r="BC29" s="3382"/>
      <c r="BD29" s="3382"/>
      <c r="BE29" s="3311">
        <v>6</v>
      </c>
      <c r="BF29" s="1882" t="str">
        <f t="shared" si="9"/>
        <v/>
      </c>
      <c r="BG29" s="1883">
        <f t="shared" si="10"/>
        <v>0</v>
      </c>
      <c r="BH29" s="1884">
        <f t="shared" si="13"/>
        <v>0</v>
      </c>
      <c r="BJ29" s="1882">
        <f t="shared" si="11"/>
        <v>0</v>
      </c>
      <c r="BK29" s="1882" t="str">
        <f t="shared" si="12"/>
        <v/>
      </c>
      <c r="BL29" s="1883">
        <f t="shared" si="14"/>
        <v>0</v>
      </c>
      <c r="BM29" s="3309"/>
      <c r="BN29" s="3309"/>
      <c r="BO29" s="3309"/>
      <c r="BP29" s="3309"/>
      <c r="BQ29" s="3309"/>
      <c r="BR29" s="3309"/>
      <c r="BS29" s="3309"/>
      <c r="BT29" s="3309"/>
      <c r="BU29" s="3309"/>
      <c r="BV29" s="3309"/>
      <c r="BW29" s="3309"/>
      <c r="BX29" s="1796"/>
      <c r="CH29" s="1796"/>
      <c r="CI29" s="1796"/>
      <c r="CJ29" s="1796"/>
      <c r="CK29" s="1796"/>
      <c r="CL29" s="1796"/>
      <c r="CM29" s="2635"/>
      <c r="CN29" s="1796"/>
      <c r="CQ29" s="2306" t="s">
        <v>1419</v>
      </c>
      <c r="CR29" s="2307"/>
      <c r="CS29" s="2307" t="s">
        <v>194</v>
      </c>
      <c r="CT29" s="2307"/>
      <c r="CU29" s="2307" t="s">
        <v>195</v>
      </c>
      <c r="CV29" s="2308"/>
      <c r="CX29" s="5139"/>
      <c r="CY29" s="1843" t="s">
        <v>220</v>
      </c>
      <c r="CZ29" s="1798" t="str">
        <f t="shared" si="7"/>
        <v/>
      </c>
      <c r="DA29" s="1798" t="str">
        <f t="shared" si="7"/>
        <v/>
      </c>
      <c r="DB29" s="1798" t="str">
        <f t="shared" si="7"/>
        <v/>
      </c>
      <c r="DC29" s="1798" t="str">
        <f t="shared" si="7"/>
        <v/>
      </c>
      <c r="DD29" s="1798" t="str">
        <f t="shared" si="7"/>
        <v/>
      </c>
      <c r="DE29" s="1798" t="str">
        <f t="shared" si="7"/>
        <v/>
      </c>
      <c r="DF29" s="1798" t="str">
        <f t="shared" si="7"/>
        <v/>
      </c>
      <c r="DG29" s="1798" t="str">
        <f t="shared" si="7"/>
        <v/>
      </c>
      <c r="DH29" s="1798" t="str">
        <f t="shared" si="7"/>
        <v/>
      </c>
      <c r="DI29" s="1799">
        <v>8</v>
      </c>
      <c r="DJ29" s="1800" t="e">
        <f t="shared" si="3"/>
        <v>#VALUE!</v>
      </c>
      <c r="DK29" s="1843" t="s">
        <v>220</v>
      </c>
      <c r="DL29" s="1798" t="str">
        <f t="shared" si="8"/>
        <v/>
      </c>
      <c r="DM29" s="1798" t="str">
        <f t="shared" si="8"/>
        <v/>
      </c>
      <c r="DN29" s="1798" t="str">
        <f t="shared" si="8"/>
        <v/>
      </c>
      <c r="DO29" s="1798" t="str">
        <f t="shared" si="8"/>
        <v/>
      </c>
      <c r="DP29" s="1798" t="str">
        <f t="shared" si="8"/>
        <v/>
      </c>
      <c r="DQ29" s="1798" t="str">
        <f t="shared" si="8"/>
        <v/>
      </c>
      <c r="DR29" s="1798" t="str">
        <f t="shared" si="8"/>
        <v/>
      </c>
      <c r="DS29" s="1798" t="str">
        <f t="shared" si="8"/>
        <v/>
      </c>
      <c r="DT29" s="1798" t="str">
        <f t="shared" si="8"/>
        <v/>
      </c>
      <c r="DV29" s="1844"/>
      <c r="DW29" s="1845"/>
      <c r="DX29" s="1846" t="s">
        <v>240</v>
      </c>
      <c r="DY29" s="1847"/>
      <c r="DZ29" s="1846" t="s">
        <v>240</v>
      </c>
      <c r="EB29" s="1829">
        <v>24</v>
      </c>
      <c r="EC29" s="1793">
        <f>ACTIONS!C10</f>
        <v>0</v>
      </c>
      <c r="ED29" s="1793">
        <f>ACTIONS!D10</f>
        <v>0</v>
      </c>
      <c r="EE29" s="1793">
        <f>ACTIONS!E10</f>
        <v>0</v>
      </c>
      <c r="EF29" s="1793">
        <f>ACTIONS!F10</f>
        <v>0</v>
      </c>
      <c r="EG29" s="1793">
        <f>ACTIONS!G10</f>
        <v>0</v>
      </c>
      <c r="EH29" s="1793">
        <f>ACTIONS!H10</f>
        <v>0</v>
      </c>
      <c r="EI29" s="1793">
        <f>ACTIONS!I10</f>
        <v>0</v>
      </c>
      <c r="EJ29" s="1793">
        <f>ACTIONS!J10</f>
        <v>0</v>
      </c>
      <c r="EK29" s="1793">
        <f>ACTIONS!K10</f>
        <v>0</v>
      </c>
      <c r="EM29" s="1829">
        <v>24</v>
      </c>
      <c r="EN29" s="1795">
        <f>ACTIONS!BQ10</f>
        <v>0</v>
      </c>
      <c r="EO29" s="1795">
        <f>ACTIONS!BR10</f>
        <v>0</v>
      </c>
      <c r="EP29" s="1795">
        <f>ACTIONS!BS10</f>
        <v>0</v>
      </c>
      <c r="EQ29" s="1795">
        <f>ACTIONS!BT10</f>
        <v>0</v>
      </c>
      <c r="ER29" s="1795">
        <f>ACTIONS!BU10</f>
        <v>0</v>
      </c>
      <c r="ES29" s="1795">
        <f>ACTIONS!BV10</f>
        <v>0</v>
      </c>
      <c r="ET29" s="1795">
        <f>ACTIONS!BW10</f>
        <v>0</v>
      </c>
      <c r="EU29" s="1795">
        <f>ACTIONS!BX10</f>
        <v>0</v>
      </c>
      <c r="EV29" s="1795">
        <f>ACTIONS!BY10</f>
        <v>0</v>
      </c>
      <c r="EW29" s="1796"/>
      <c r="EX29" s="2403"/>
      <c r="EY29" s="2406"/>
      <c r="EZ29" s="2406"/>
      <c r="FA29" s="1813" t="s">
        <v>1483</v>
      </c>
      <c r="FB29" s="2411"/>
      <c r="FC29" s="2407">
        <v>1</v>
      </c>
      <c r="FD29" s="2408">
        <v>1</v>
      </c>
      <c r="FE29" s="2409">
        <v>0.5</v>
      </c>
      <c r="FF29" s="2410">
        <v>0.5</v>
      </c>
      <c r="FG29" s="1865"/>
      <c r="FH29" s="2403"/>
      <c r="FI29" s="2553" cm="1">
        <f t="array" ref="FI29">_xlfn.IFS($FI$23=$FC$23,FC29,$FI$23=$FD$23,FD29,$FI$23=$FE$23,FE29,$FI$23=$FF$23,FF29,TRUE,FC29)</f>
        <v>1</v>
      </c>
      <c r="FJ29" s="1865"/>
      <c r="FL29" s="1919"/>
      <c r="FM29" s="5075"/>
      <c r="FN29" s="5075"/>
      <c r="FO29" s="5084"/>
      <c r="FP29" s="5085"/>
      <c r="FQ29" s="12"/>
      <c r="FR29" s="5073"/>
      <c r="FS29" s="5074"/>
      <c r="FT29" s="5073"/>
      <c r="FU29" s="5074"/>
      <c r="FV29" s="5073"/>
      <c r="FW29" s="5074"/>
      <c r="FX29" s="1219"/>
      <c r="FY29" s="5080"/>
      <c r="FZ29" s="5081"/>
      <c r="GA29" s="1219"/>
      <c r="GB29" s="1219"/>
      <c r="GC29" s="1887"/>
      <c r="GD29" s="1887"/>
      <c r="GE29" s="1920"/>
      <c r="GF29" s="1920"/>
      <c r="GG29" s="1920"/>
      <c r="GH29" s="1920"/>
      <c r="GI29" s="1920"/>
      <c r="GJ29" s="1920"/>
      <c r="GK29" s="1920"/>
      <c r="GL29" s="1920"/>
      <c r="GM29" s="1920"/>
      <c r="GN29" s="1920"/>
      <c r="GO29" s="1887"/>
      <c r="GP29" s="1887"/>
      <c r="GQ29" s="1887"/>
      <c r="GR29" s="1887"/>
      <c r="GS29" s="1887"/>
      <c r="GT29" s="1887"/>
      <c r="GU29" s="1920"/>
      <c r="GV29" s="1920"/>
      <c r="GW29" s="1920"/>
      <c r="GX29" s="1920"/>
      <c r="GY29" s="1920"/>
      <c r="GZ29" s="1920"/>
      <c r="HA29" s="1887"/>
      <c r="HB29" s="1887"/>
      <c r="HC29" s="1887"/>
      <c r="HD29" s="1887"/>
      <c r="HE29" s="1887"/>
      <c r="HF29" s="1887"/>
      <c r="HG29" s="1887"/>
      <c r="HH29" s="1887"/>
      <c r="HI29" s="5075"/>
      <c r="HJ29" s="5075"/>
      <c r="HK29" s="5084"/>
      <c r="HL29" s="5085"/>
      <c r="HM29" s="12"/>
      <c r="HN29" s="5073"/>
      <c r="HO29" s="5074"/>
      <c r="HP29" s="5073"/>
      <c r="HQ29" s="5074"/>
      <c r="HR29" s="5073"/>
      <c r="HS29" s="5074"/>
      <c r="HT29" s="1219"/>
      <c r="HU29" s="5080"/>
      <c r="HV29" s="5081"/>
      <c r="HW29" s="1887"/>
      <c r="HX29" s="1218"/>
      <c r="IC29" s="1802">
        <v>7</v>
      </c>
      <c r="ID29" s="1814" t="s">
        <v>261</v>
      </c>
      <c r="IE29" s="1814" t="s">
        <v>584</v>
      </c>
      <c r="IF29" s="1814" t="s">
        <v>671</v>
      </c>
      <c r="IG29" s="1814" t="s">
        <v>998</v>
      </c>
      <c r="IH29" s="1814" t="s">
        <v>2186</v>
      </c>
      <c r="II29" s="1815" t="s">
        <v>261</v>
      </c>
      <c r="IK29" s="1802">
        <v>7</v>
      </c>
      <c r="IL29" s="1814" t="s">
        <v>223</v>
      </c>
      <c r="IM29" s="1814" t="s">
        <v>197</v>
      </c>
      <c r="IN29" s="1814" t="s">
        <v>2279</v>
      </c>
      <c r="IO29" s="1814" t="s">
        <v>906</v>
      </c>
      <c r="IP29" s="1814" t="s">
        <v>2266</v>
      </c>
      <c r="IQ29" s="1814" t="s">
        <v>2263</v>
      </c>
      <c r="IR29" s="1814" t="s">
        <v>2253</v>
      </c>
      <c r="IS29" s="1814" t="s">
        <v>216</v>
      </c>
      <c r="IT29" s="1814" t="s">
        <v>2248</v>
      </c>
      <c r="IU29" s="1814" t="s">
        <v>981</v>
      </c>
      <c r="IV29" s="1814" t="s">
        <v>615</v>
      </c>
      <c r="IW29" s="1814" t="s">
        <v>627</v>
      </c>
      <c r="IX29" s="1824"/>
      <c r="IY29" s="1825"/>
      <c r="IZ29" s="1826"/>
      <c r="JA29" s="1834"/>
      <c r="JC29" s="1802">
        <v>7</v>
      </c>
      <c r="JD29" s="1818" t="s">
        <v>1724</v>
      </c>
      <c r="JE29" s="1818" t="s">
        <v>1724</v>
      </c>
      <c r="JF29" s="1818" t="s">
        <v>1718</v>
      </c>
      <c r="JG29" s="1818" t="s">
        <v>1718</v>
      </c>
      <c r="JH29" s="1818" t="s">
        <v>1717</v>
      </c>
      <c r="JI29" s="1818" t="s">
        <v>1717</v>
      </c>
      <c r="JJ29" s="1818" t="s">
        <v>1719</v>
      </c>
      <c r="JK29" s="1818" t="s">
        <v>1719</v>
      </c>
      <c r="JL29" s="1818" t="s">
        <v>1719</v>
      </c>
      <c r="JM29" s="1818" t="s">
        <v>1719</v>
      </c>
      <c r="JO29" s="2169" t="s">
        <v>1741</v>
      </c>
      <c r="JP29" s="2012" t="s">
        <v>1726</v>
      </c>
      <c r="JQ29" s="2170" t="s">
        <v>2008</v>
      </c>
      <c r="JR29" s="1819" t="s">
        <v>306</v>
      </c>
      <c r="JS29" s="1822"/>
      <c r="JT29" s="1828" t="s">
        <v>556</v>
      </c>
      <c r="JU29" s="3082"/>
      <c r="JV29" s="1828" t="s">
        <v>1954</v>
      </c>
      <c r="JW29" s="3082"/>
      <c r="JX29" s="1828" t="s">
        <v>434</v>
      </c>
      <c r="JY29" s="3082"/>
      <c r="JZ29" s="1828" t="s">
        <v>1856</v>
      </c>
      <c r="KA29" s="3082"/>
      <c r="KB29" s="1828" t="s">
        <v>1864</v>
      </c>
      <c r="KC29" s="3082"/>
      <c r="KG29" s="1822"/>
      <c r="KH29" s="1821"/>
      <c r="KI29" s="1822"/>
      <c r="KJ29" s="1821"/>
      <c r="KK29" s="1822"/>
      <c r="KP29" s="8"/>
      <c r="KQ29" s="1930"/>
      <c r="KR29" s="3053"/>
      <c r="KS29" s="1930"/>
      <c r="KT29" s="3053"/>
      <c r="KV29" s="3048"/>
      <c r="KW29" s="3053"/>
      <c r="KX29" s="3048"/>
      <c r="KY29" s="3053"/>
      <c r="LA29" s="3048"/>
    </row>
    <row r="30" spans="1:313" ht="17.100000000000001" customHeight="1" thickBot="1" x14ac:dyDescent="0.35">
      <c r="B30" s="3314" t="str">
        <f t="shared" si="5"/>
        <v/>
      </c>
      <c r="C30" s="1780" t="s">
        <v>206</v>
      </c>
      <c r="D30" s="1836">
        <f>IF(OR(C30=$B$41,C31=$B$41),BOUNTY!$CC$5,0)</f>
        <v>0</v>
      </c>
      <c r="E30" s="1836">
        <f>IF(OR(C30=$B$41,C31=$B$41),BOUNTY!$AM$8,0)</f>
        <v>0</v>
      </c>
      <c r="F30" s="1836">
        <f>IF(OR(C30=$B$41,C31=$B$41),BOUNTY!$AG$74,0)</f>
        <v>0</v>
      </c>
      <c r="G30" s="1803">
        <f t="shared" si="6"/>
        <v>0</v>
      </c>
      <c r="H30" s="3100"/>
      <c r="I30" s="5158"/>
      <c r="J30" s="1898" t="str">
        <f t="shared" si="15"/>
        <v/>
      </c>
      <c r="K30" s="3312" t="str">
        <f t="shared" si="16"/>
        <v/>
      </c>
      <c r="L30" s="3381"/>
      <c r="M30" s="3382"/>
      <c r="N30" s="3382"/>
      <c r="O30" s="3382"/>
      <c r="P30" s="3382"/>
      <c r="Q30" s="3382"/>
      <c r="R30" s="3382"/>
      <c r="S30" s="3382"/>
      <c r="T30" s="3382"/>
      <c r="U30" s="3382"/>
      <c r="V30" s="1774"/>
      <c r="W30" s="3381"/>
      <c r="X30" s="3382"/>
      <c r="Y30" s="3382"/>
      <c r="Z30" s="3382"/>
      <c r="AA30" s="3382"/>
      <c r="AB30" s="3382"/>
      <c r="AC30" s="3382"/>
      <c r="AD30" s="3382"/>
      <c r="AE30" s="3382"/>
      <c r="AF30" s="3382"/>
      <c r="AG30" s="1796"/>
      <c r="AH30" s="3312" t="str">
        <f t="shared" si="17"/>
        <v/>
      </c>
      <c r="AI30" s="3381"/>
      <c r="AJ30" s="3384"/>
      <c r="AK30" s="3382"/>
      <c r="AL30" s="3382"/>
      <c r="AM30" s="3382"/>
      <c r="AN30" s="3382"/>
      <c r="AO30" s="3382"/>
      <c r="AP30" s="3382"/>
      <c r="AQ30" s="3382"/>
      <c r="AR30" s="3382"/>
      <c r="AS30" s="3382"/>
      <c r="AT30" s="3213"/>
      <c r="AU30" s="3384"/>
      <c r="AV30" s="3382"/>
      <c r="AW30" s="3382"/>
      <c r="AX30" s="3382"/>
      <c r="AY30" s="3382"/>
      <c r="AZ30" s="3382"/>
      <c r="BA30" s="3382"/>
      <c r="BB30" s="3382"/>
      <c r="BC30" s="3382"/>
      <c r="BD30" s="3382"/>
      <c r="BE30" s="3311">
        <v>7</v>
      </c>
      <c r="BF30" s="1882" t="str">
        <f t="shared" si="9"/>
        <v/>
      </c>
      <c r="BG30" s="1883">
        <f t="shared" si="10"/>
        <v>0</v>
      </c>
      <c r="BH30" s="1884">
        <f t="shared" si="13"/>
        <v>0</v>
      </c>
      <c r="BJ30" s="1882">
        <f t="shared" si="11"/>
        <v>0</v>
      </c>
      <c r="BK30" s="1882" t="str">
        <f t="shared" si="12"/>
        <v/>
      </c>
      <c r="BL30" s="1883">
        <f t="shared" si="14"/>
        <v>0</v>
      </c>
      <c r="BM30" s="3309"/>
      <c r="BN30" s="3309"/>
      <c r="BO30" s="3309"/>
      <c r="BP30" s="3309"/>
      <c r="BQ30" s="3309"/>
      <c r="BR30" s="3309"/>
      <c r="BS30" s="3309"/>
      <c r="BT30" s="3309"/>
      <c r="BU30" s="3309"/>
      <c r="BV30" s="3309"/>
      <c r="BW30" s="3309"/>
      <c r="BX30" s="1796"/>
      <c r="BY30" s="1830"/>
      <c r="BZ30" s="1773" t="str">
        <f>ACTIONS!$BQ$34</f>
        <v>BDY1</v>
      </c>
      <c r="CA30" s="1773" t="str">
        <f>ACTIONS!$BR$34</f>
        <v>BDY2</v>
      </c>
      <c r="CB30" s="1773" t="str">
        <f>ACTIONS!$BS$34</f>
        <v>BDY3</v>
      </c>
      <c r="CC30" s="1773" t="str">
        <f>ACTIONS!$BT$34</f>
        <v>BDY4</v>
      </c>
      <c r="CD30" s="1773" t="str">
        <f>ACTIONS!$BU$34</f>
        <v>BDY5</v>
      </c>
      <c r="CE30" s="1773" t="str">
        <f>ACTIONS!$BV$34</f>
        <v>BDY6</v>
      </c>
      <c r="CF30" s="1773" t="str">
        <f>ACTIONS!$BW$34</f>
        <v>BDY7</v>
      </c>
      <c r="CG30" s="1773" t="str">
        <f>ACTIONS!$BX$34</f>
        <v>BDY8</v>
      </c>
      <c r="CH30" s="1773" t="str">
        <f>ACTIONS!$BY$34</f>
        <v>BDY9</v>
      </c>
      <c r="CI30" s="1796"/>
      <c r="CL30" s="5115" t="s">
        <v>1704</v>
      </c>
      <c r="CM30" s="5116"/>
      <c r="CN30" s="1796"/>
      <c r="CQ30" s="2309" t="s">
        <v>1410</v>
      </c>
      <c r="CR30" s="2310"/>
      <c r="CS30" s="2310" t="s">
        <v>207</v>
      </c>
      <c r="CT30" s="2310"/>
      <c r="CU30" s="2310" t="s">
        <v>208</v>
      </c>
      <c r="CV30" s="2311"/>
      <c r="CX30" s="5139"/>
      <c r="CY30" s="1823" t="s">
        <v>225</v>
      </c>
      <c r="CZ30" s="1798" t="str">
        <f t="shared" si="7"/>
        <v/>
      </c>
      <c r="DA30" s="1798" t="str">
        <f t="shared" si="7"/>
        <v/>
      </c>
      <c r="DB30" s="1798" t="str">
        <f t="shared" si="7"/>
        <v/>
      </c>
      <c r="DC30" s="1798" t="str">
        <f t="shared" si="7"/>
        <v/>
      </c>
      <c r="DD30" s="1798" t="str">
        <f t="shared" si="7"/>
        <v/>
      </c>
      <c r="DE30" s="1798" t="str">
        <f t="shared" si="7"/>
        <v/>
      </c>
      <c r="DF30" s="1798" t="str">
        <f t="shared" si="7"/>
        <v/>
      </c>
      <c r="DG30" s="1798" t="str">
        <f t="shared" si="7"/>
        <v/>
      </c>
      <c r="DH30" s="1798" t="str">
        <f t="shared" si="7"/>
        <v/>
      </c>
      <c r="DI30" s="1799">
        <v>9</v>
      </c>
      <c r="DJ30" s="1800" t="e">
        <f t="shared" si="3"/>
        <v>#VALUE!</v>
      </c>
      <c r="DK30" s="1823" t="s">
        <v>225</v>
      </c>
      <c r="DL30" s="1798" t="str">
        <f t="shared" si="8"/>
        <v/>
      </c>
      <c r="DM30" s="1798" t="str">
        <f t="shared" si="8"/>
        <v/>
      </c>
      <c r="DN30" s="1798" t="str">
        <f t="shared" si="8"/>
        <v/>
      </c>
      <c r="DO30" s="1798" t="str">
        <f t="shared" si="8"/>
        <v/>
      </c>
      <c r="DP30" s="1798" t="str">
        <f t="shared" si="8"/>
        <v/>
      </c>
      <c r="DQ30" s="1798" t="str">
        <f t="shared" si="8"/>
        <v/>
      </c>
      <c r="DR30" s="1798" t="str">
        <f t="shared" si="8"/>
        <v/>
      </c>
      <c r="DS30" s="1798" t="str">
        <f t="shared" si="8"/>
        <v/>
      </c>
      <c r="DT30" s="1798" t="str">
        <f t="shared" si="8"/>
        <v/>
      </c>
      <c r="DV30" s="5098" t="s">
        <v>1680</v>
      </c>
      <c r="DW30" s="1848" t="s">
        <v>134</v>
      </c>
      <c r="DX30" s="1849">
        <f ca="1">IF($DX$28="roll", RANDBETWEEN(DW38,DY38),0)</f>
        <v>0</v>
      </c>
      <c r="DY30" s="1793"/>
      <c r="DZ30" s="1850">
        <v>2024</v>
      </c>
      <c r="EB30" s="1829">
        <v>23</v>
      </c>
      <c r="EC30" s="1793">
        <f>ACTIONS!C11</f>
        <v>0</v>
      </c>
      <c r="ED30" s="1793">
        <f>ACTIONS!D11</f>
        <v>0</v>
      </c>
      <c r="EE30" s="1793">
        <f>ACTIONS!E11</f>
        <v>0</v>
      </c>
      <c r="EF30" s="1793">
        <f>ACTIONS!F11</f>
        <v>0</v>
      </c>
      <c r="EG30" s="1793">
        <f>ACTIONS!G11</f>
        <v>0</v>
      </c>
      <c r="EH30" s="1793">
        <f>ACTIONS!H11</f>
        <v>0</v>
      </c>
      <c r="EI30" s="1793">
        <f>ACTIONS!I11</f>
        <v>0</v>
      </c>
      <c r="EJ30" s="1793">
        <f>ACTIONS!J11</f>
        <v>0</v>
      </c>
      <c r="EK30" s="1793">
        <f>ACTIONS!K11</f>
        <v>0</v>
      </c>
      <c r="EM30" s="1829">
        <v>23</v>
      </c>
      <c r="EN30" s="1795">
        <f>ACTIONS!BQ11</f>
        <v>0</v>
      </c>
      <c r="EO30" s="1795">
        <f>ACTIONS!BR11</f>
        <v>0</v>
      </c>
      <c r="EP30" s="1795">
        <f>ACTIONS!BS11</f>
        <v>0</v>
      </c>
      <c r="EQ30" s="1795">
        <f>ACTIONS!BT11</f>
        <v>0</v>
      </c>
      <c r="ER30" s="1795">
        <f>ACTIONS!BU11</f>
        <v>0</v>
      </c>
      <c r="ES30" s="1795">
        <f>ACTIONS!BV11</f>
        <v>0</v>
      </c>
      <c r="ET30" s="1795">
        <f>ACTIONS!BW11</f>
        <v>0</v>
      </c>
      <c r="EU30" s="1795">
        <f>ACTIONS!BX11</f>
        <v>0</v>
      </c>
      <c r="EV30" s="1795">
        <f>ACTIONS!BY11</f>
        <v>0</v>
      </c>
      <c r="EW30" s="1796"/>
      <c r="EX30" s="2403"/>
      <c r="EY30" s="2406"/>
      <c r="EZ30" s="2406"/>
      <c r="FA30" s="1813" t="s">
        <v>1695</v>
      </c>
      <c r="FB30" s="2411"/>
      <c r="FC30" s="2407">
        <v>0.5</v>
      </c>
      <c r="FD30" s="2408">
        <v>0.25</v>
      </c>
      <c r="FE30" s="2409">
        <v>0.125</v>
      </c>
      <c r="FF30" s="2410">
        <v>0</v>
      </c>
      <c r="FG30" s="1865"/>
      <c r="FH30" s="2403"/>
      <c r="FI30" s="2553" cm="1">
        <f t="array" ref="FI30">_xlfn.IFS($FI$23=$FC$23,FC30,$FI$23=$FD$23,FD30,$FI$23=$FE$23,FE30,$FI$23=$FF$23,FF30,TRUE,FC30)</f>
        <v>0.5</v>
      </c>
      <c r="FJ30" s="1865"/>
      <c r="FL30" s="1919"/>
      <c r="FM30" s="5075" t="s">
        <v>529</v>
      </c>
      <c r="FN30" s="5075"/>
      <c r="FO30" s="5082" t="str">
        <f>IF(AND(FY30=$GQ$24,$GQ$24&lt;&gt;0),"fastest","")</f>
        <v/>
      </c>
      <c r="FP30" s="5083"/>
      <c r="FQ30" s="12"/>
      <c r="FR30" s="5073" t="str">
        <f>IF(ISERROR(FIND("[",MISSIONS!E10)),"", MID(MISSIONS!E10,SEARCH("[",MISSIONS!E10)+1,SEARCH("]",MISSIONS!E10,SEARCH("[",MISSIONS!E10)+1)-SEARCH("[",MISSIONS!E10)-1))</f>
        <v/>
      </c>
      <c r="FS30" s="5074"/>
      <c r="FT30" s="5073" t="str">
        <f>IF(FR30="","",IF(MID(FR30,2,1)="h",MID(FR30,1,1)*60,0))</f>
        <v/>
      </c>
      <c r="FU30" s="5074"/>
      <c r="FV30" s="5073" t="str" cm="1">
        <f t="array" ref="FV30">IF(FR30="","",
_xlfn.IFS(
AND(RIGHT(FR30,1)="m",LEN(FR30)=3),MID(FR30,1,2),
AND(RIGHT(FR30,1)="m",LEN(FR30)=5),MID(FR30,3,2),
AND(RIGHT(FR30,1)="m",LEN(FR30)=2),MID(FR30,1,1),
AND(RIGHT(FR30,1)="m",LEN(FR30)=4),MID(FR30,3,1),
TRUE,0)
)</f>
        <v/>
      </c>
      <c r="FW30" s="5074"/>
      <c r="FX30" s="1219"/>
      <c r="FY30" s="5078" t="str">
        <f>IF( MISSIONS!E10="", "",
IF( OR(AND(MISSIONS!U10=100%,MISSIONS!U11=MISSIONS!$AM$2),FR30="",FR30="?",OR(MISSIONS!$A$3=MISSIONS!$N$46,MISSIONS!$A$3=MISSIONS!$O$46,MISSIONS!$A$3=MISSIONS!$P$46,MISSIONS!$A$3=MISSIONS!$Q$46,MISSIONS!$A$3=MISSIONS!$R$46,MISSIONS!$A$3=MISSIONS!$S$46,MISSIONS!$A$3=MISSIONS!$T$46),PLANS!$DI$78=1),"",FT30+FV30)
)</f>
        <v/>
      </c>
      <c r="FZ30" s="5079"/>
      <c r="GA30" s="1219"/>
      <c r="GB30" s="1219"/>
      <c r="GC30" s="1887"/>
      <c r="GD30" s="1887"/>
      <c r="GE30" s="1920"/>
      <c r="GF30" s="1920"/>
      <c r="GG30" s="1920"/>
      <c r="GH30" s="1920"/>
      <c r="GI30" s="1920"/>
      <c r="GJ30" s="1920"/>
      <c r="GK30" s="1920"/>
      <c r="GL30" s="1920"/>
      <c r="GM30" s="1920"/>
      <c r="GN30" s="1920"/>
      <c r="GO30" s="1887"/>
      <c r="GP30" s="1887"/>
      <c r="GQ30" s="1887"/>
      <c r="GR30" s="1887"/>
      <c r="GS30" s="1887"/>
      <c r="GT30" s="1887"/>
      <c r="GU30" s="1887"/>
      <c r="GV30" s="1887"/>
      <c r="GW30" s="1887"/>
      <c r="GX30" s="1887"/>
      <c r="GY30" s="1887"/>
      <c r="GZ30" s="1923"/>
      <c r="HA30" s="1887"/>
      <c r="HB30" s="1887"/>
      <c r="HC30" s="1887"/>
      <c r="HD30" s="1887"/>
      <c r="HE30" s="1887"/>
      <c r="HF30" s="1887"/>
      <c r="HG30" s="1887"/>
      <c r="HH30" s="1887"/>
      <c r="HI30" s="5075" t="s">
        <v>730</v>
      </c>
      <c r="HJ30" s="5075"/>
      <c r="HK30" s="5082" t="str">
        <f>IF(AND(HU30=$GQ$24,$GQ$24&lt;&gt;0),"fastest","")</f>
        <v/>
      </c>
      <c r="HL30" s="5083"/>
      <c r="HM30" s="12"/>
      <c r="HN30" s="5073" t="str">
        <f>IF(ISERROR(FIND("[",MISSIONS!BH10)),"", MID(MISSIONS!BH10,SEARCH("[",MISSIONS!BH10)+1,SEARCH("]",MISSIONS!BH10,SEARCH("[",MISSIONS!BH10)+1)-SEARCH("[",MISSIONS!BH10)-1))</f>
        <v/>
      </c>
      <c r="HO30" s="5074"/>
      <c r="HP30" s="5073" t="str">
        <f>IF(HN30="","",IF(MID(HN30,2,1)="h",MID(HN30,1,1)*60,0))</f>
        <v/>
      </c>
      <c r="HQ30" s="5074"/>
      <c r="HR30" s="5073" t="str" cm="1">
        <f t="array" ref="HR30">IF(HN30="","",
_xlfn.IFS(
AND(RIGHT(HN30,1)="m",LEN(HN30)=3),MID(HN30,1,2),
AND(RIGHT(HN30,1)="m",LEN(HN30)=5),MID(HN30,3,2),
AND(RIGHT(HN30,1)="m",LEN(HN30)=2),MID(HN30,1,1),
AND(RIGHT(HN30,1)="m",LEN(HN30)=4),MID(HN30,3,1),
TRUE,0)
)</f>
        <v/>
      </c>
      <c r="HS30" s="5074"/>
      <c r="HT30" s="1219"/>
      <c r="HU30" s="5078" t="str">
        <f>IF( MISSIONS!BH10="", "",
IF( OR(MISSIONS!BF10&lt;&gt;"",MISSIONS!BG10=100%,HN30="",HN30="?"),"",HP30+HR30)
)</f>
        <v/>
      </c>
      <c r="HV30" s="5079"/>
      <c r="HW30" s="1887"/>
      <c r="HX30" s="1218"/>
      <c r="IC30" s="1804">
        <v>8</v>
      </c>
      <c r="ID30" s="1814" t="s">
        <v>275</v>
      </c>
      <c r="IE30" s="1814" t="s">
        <v>619</v>
      </c>
      <c r="IF30" s="1814" t="s">
        <v>663</v>
      </c>
      <c r="IG30" s="1814" t="s">
        <v>1012</v>
      </c>
      <c r="IH30" s="1814" t="s">
        <v>2072</v>
      </c>
      <c r="II30" s="1815" t="s">
        <v>275</v>
      </c>
      <c r="IK30" s="1804">
        <v>8</v>
      </c>
      <c r="IL30" s="3240" t="s">
        <v>2381</v>
      </c>
      <c r="IM30" s="3240" t="s">
        <v>2382</v>
      </c>
      <c r="IN30" s="3240" t="s">
        <v>2383</v>
      </c>
      <c r="IO30" s="3240" t="s">
        <v>2384</v>
      </c>
      <c r="IP30" s="3240" t="s">
        <v>2385</v>
      </c>
      <c r="IQ30" s="3240" t="s">
        <v>2386</v>
      </c>
      <c r="IR30" s="3240" t="s">
        <v>2387</v>
      </c>
      <c r="IS30" s="3240" t="s">
        <v>2389</v>
      </c>
      <c r="IT30" s="3240" t="s">
        <v>2407</v>
      </c>
      <c r="IU30" s="3240" t="s">
        <v>2434</v>
      </c>
      <c r="IV30" s="3240" t="s">
        <v>2391</v>
      </c>
      <c r="IW30" s="3240" t="s">
        <v>2392</v>
      </c>
      <c r="IX30" s="1824"/>
      <c r="IY30" s="1825"/>
      <c r="IZ30" s="1826"/>
      <c r="JA30" s="1834"/>
      <c r="JC30" s="1802">
        <v>8</v>
      </c>
      <c r="JD30" s="1818" t="s">
        <v>453</v>
      </c>
      <c r="JE30" s="1818" t="s">
        <v>453</v>
      </c>
      <c r="JF30" s="1818" t="s">
        <v>453</v>
      </c>
      <c r="JG30" s="1818" t="s">
        <v>452</v>
      </c>
      <c r="JH30" s="1818" t="s">
        <v>452</v>
      </c>
      <c r="JI30" s="1818" t="s">
        <v>452</v>
      </c>
      <c r="JJ30" s="1818" t="s">
        <v>1179</v>
      </c>
      <c r="JK30" s="1818" t="s">
        <v>1179</v>
      </c>
      <c r="JL30" s="1818" t="s">
        <v>1180</v>
      </c>
      <c r="JM30" s="1818" t="s">
        <v>1180</v>
      </c>
      <c r="JO30" s="2169" t="s">
        <v>1807</v>
      </c>
      <c r="JP30" s="2012" t="s">
        <v>1727</v>
      </c>
      <c r="JQ30" s="2170" t="s">
        <v>1932</v>
      </c>
      <c r="JR30" s="1819" t="s">
        <v>305</v>
      </c>
      <c r="JS30" s="1822"/>
      <c r="JT30" s="1828" t="s">
        <v>1943</v>
      </c>
      <c r="JU30" s="3082"/>
      <c r="JV30" s="1828" t="s">
        <v>1954</v>
      </c>
      <c r="JW30" s="3082"/>
      <c r="JX30" s="1828" t="s">
        <v>433</v>
      </c>
      <c r="JY30" s="3082"/>
      <c r="JZ30" s="1828" t="s">
        <v>1862</v>
      </c>
      <c r="KA30" s="3082"/>
      <c r="KB30" s="1828" t="s">
        <v>1950</v>
      </c>
      <c r="KC30" s="3082"/>
      <c r="KG30" s="1822"/>
      <c r="KH30" s="1821"/>
      <c r="KI30" s="1822"/>
      <c r="KJ30" s="1821"/>
      <c r="KK30" s="1822"/>
      <c r="KP30" s="8"/>
      <c r="KQ30" s="1930"/>
      <c r="KR30" s="3053"/>
      <c r="KS30" s="1930"/>
      <c r="KT30" s="3053"/>
      <c r="KV30" s="3048"/>
      <c r="KW30" s="3053"/>
      <c r="KX30" s="3048"/>
      <c r="KY30" s="3053"/>
      <c r="LA30" s="3048"/>
    </row>
    <row r="31" spans="1:313" ht="17.100000000000001" customHeight="1" thickBot="1" x14ac:dyDescent="0.35">
      <c r="B31" s="3314" t="str">
        <f t="shared" si="5"/>
        <v/>
      </c>
      <c r="C31" s="1780" t="s">
        <v>220</v>
      </c>
      <c r="D31" s="1836">
        <f>IF(OR(C31=$B$41,C32=$B$41),BOUNTY!$CC$5,0)</f>
        <v>0</v>
      </c>
      <c r="E31" s="1836">
        <f>IF(OR(C31=$B$41,C32=$B$41),BOUNTY!$AM$8,0)</f>
        <v>0</v>
      </c>
      <c r="F31" s="1836">
        <f>IF(OR(C31=$B$41,C32=$B$41),BOUNTY!$AG$74,0)</f>
        <v>0</v>
      </c>
      <c r="G31" s="1803">
        <f t="shared" si="6"/>
        <v>0</v>
      </c>
      <c r="H31" s="3100"/>
      <c r="I31" s="5155" t="s">
        <v>2047</v>
      </c>
      <c r="J31" s="1898" t="str">
        <f t="shared" si="15"/>
        <v/>
      </c>
      <c r="K31" s="3312" t="str">
        <f t="shared" si="16"/>
        <v/>
      </c>
      <c r="L31" s="3381"/>
      <c r="M31" s="3382"/>
      <c r="N31" s="3382"/>
      <c r="O31" s="3382"/>
      <c r="P31" s="3382"/>
      <c r="Q31" s="3382"/>
      <c r="R31" s="3382"/>
      <c r="S31" s="3382"/>
      <c r="T31" s="3382"/>
      <c r="U31" s="3382"/>
      <c r="V31" s="1774"/>
      <c r="W31" s="3381"/>
      <c r="X31" s="3382"/>
      <c r="Y31" s="3382"/>
      <c r="Z31" s="3382"/>
      <c r="AA31" s="3382"/>
      <c r="AB31" s="3382"/>
      <c r="AC31" s="3382"/>
      <c r="AD31" s="3382"/>
      <c r="AE31" s="3382"/>
      <c r="AF31" s="3382"/>
      <c r="AG31" s="1796"/>
      <c r="AH31" s="3312" t="str">
        <f t="shared" si="17"/>
        <v/>
      </c>
      <c r="AI31" s="3381"/>
      <c r="AJ31" s="3384"/>
      <c r="AK31" s="3382"/>
      <c r="AL31" s="3382"/>
      <c r="AM31" s="3382"/>
      <c r="AN31" s="3382"/>
      <c r="AO31" s="3382"/>
      <c r="AP31" s="3382"/>
      <c r="AQ31" s="3382"/>
      <c r="AR31" s="3382"/>
      <c r="AS31" s="3382"/>
      <c r="AT31" s="3213"/>
      <c r="AU31" s="3384"/>
      <c r="AV31" s="3382"/>
      <c r="AW31" s="3382"/>
      <c r="AX31" s="3382"/>
      <c r="AY31" s="3382"/>
      <c r="AZ31" s="3382"/>
      <c r="BA31" s="3382"/>
      <c r="BB31" s="3382"/>
      <c r="BC31" s="3382"/>
      <c r="BD31" s="3382"/>
      <c r="BE31" s="3311">
        <v>8</v>
      </c>
      <c r="BF31" s="1882" t="str">
        <f t="shared" si="9"/>
        <v/>
      </c>
      <c r="BG31" s="1883">
        <f t="shared" si="10"/>
        <v>0</v>
      </c>
      <c r="BH31" s="1884">
        <f t="shared" si="13"/>
        <v>0</v>
      </c>
      <c r="BJ31" s="1882">
        <f t="shared" si="11"/>
        <v>0</v>
      </c>
      <c r="BK31" s="1882" t="str">
        <f t="shared" si="12"/>
        <v/>
      </c>
      <c r="BL31" s="1883">
        <f t="shared" si="14"/>
        <v>0</v>
      </c>
      <c r="BM31" s="3309"/>
      <c r="BN31" s="3309"/>
      <c r="BO31" s="3309"/>
      <c r="BP31" s="3309"/>
      <c r="BQ31" s="3309"/>
      <c r="BR31" s="3309"/>
      <c r="BS31" s="3309"/>
      <c r="BT31" s="3309"/>
      <c r="BU31" s="3309"/>
      <c r="BV31" s="3309"/>
      <c r="BW31" s="3309"/>
      <c r="BX31" s="1796"/>
      <c r="BY31" s="1782" t="s">
        <v>173</v>
      </c>
      <c r="BZ31" s="1833">
        <f>SUM(X24:X143)</f>
        <v>0</v>
      </c>
      <c r="CA31" s="1833">
        <f t="shared" ref="CA31:CH31" si="20">SUM(Y24:Y143)</f>
        <v>0</v>
      </c>
      <c r="CB31" s="1833">
        <f t="shared" si="20"/>
        <v>0</v>
      </c>
      <c r="CC31" s="1833">
        <f t="shared" si="20"/>
        <v>0</v>
      </c>
      <c r="CD31" s="1833">
        <f t="shared" si="20"/>
        <v>0</v>
      </c>
      <c r="CE31" s="1833">
        <f t="shared" si="20"/>
        <v>0</v>
      </c>
      <c r="CF31" s="1833">
        <f t="shared" si="20"/>
        <v>0</v>
      </c>
      <c r="CG31" s="1833">
        <f t="shared" si="20"/>
        <v>0</v>
      </c>
      <c r="CH31" s="1833">
        <f t="shared" si="20"/>
        <v>0</v>
      </c>
      <c r="CI31" s="1796"/>
      <c r="CL31" s="1801" t="s">
        <v>173</v>
      </c>
      <c r="CM31" s="1833">
        <f>SUM(BZ31:CH31)</f>
        <v>0</v>
      </c>
      <c r="CN31" s="1796"/>
      <c r="CQ31" s="2312" t="s">
        <v>1411</v>
      </c>
      <c r="CR31" s="2313"/>
      <c r="CS31" s="2313" t="s">
        <v>221</v>
      </c>
      <c r="CT31" s="2313"/>
      <c r="CU31" s="2313" t="s">
        <v>222</v>
      </c>
      <c r="CV31" s="2314"/>
      <c r="CX31" s="5139"/>
      <c r="CY31" s="1823" t="s">
        <v>229</v>
      </c>
      <c r="CZ31" s="1798" t="str">
        <f t="shared" si="7"/>
        <v/>
      </c>
      <c r="DA31" s="1798" t="str">
        <f t="shared" si="7"/>
        <v/>
      </c>
      <c r="DB31" s="1798" t="str">
        <f t="shared" si="7"/>
        <v/>
      </c>
      <c r="DC31" s="1798" t="str">
        <f t="shared" si="7"/>
        <v/>
      </c>
      <c r="DD31" s="1798" t="str">
        <f t="shared" si="7"/>
        <v/>
      </c>
      <c r="DE31" s="1798" t="str">
        <f t="shared" si="7"/>
        <v/>
      </c>
      <c r="DF31" s="1798" t="str">
        <f t="shared" si="7"/>
        <v/>
      </c>
      <c r="DG31" s="1798" t="str">
        <f t="shared" si="7"/>
        <v/>
      </c>
      <c r="DH31" s="1798" t="str">
        <f t="shared" si="7"/>
        <v/>
      </c>
      <c r="DI31" s="1799">
        <v>10</v>
      </c>
      <c r="DJ31" s="1800" t="e">
        <f t="shared" si="3"/>
        <v>#VALUE!</v>
      </c>
      <c r="DK31" s="1823" t="s">
        <v>229</v>
      </c>
      <c r="DL31" s="1798" t="str">
        <f t="shared" si="8"/>
        <v/>
      </c>
      <c r="DM31" s="1798" t="str">
        <f t="shared" si="8"/>
        <v/>
      </c>
      <c r="DN31" s="1798" t="str">
        <f t="shared" si="8"/>
        <v/>
      </c>
      <c r="DO31" s="1798" t="str">
        <f t="shared" si="8"/>
        <v/>
      </c>
      <c r="DP31" s="1798" t="str">
        <f t="shared" si="8"/>
        <v/>
      </c>
      <c r="DQ31" s="1798" t="str">
        <f t="shared" si="8"/>
        <v/>
      </c>
      <c r="DR31" s="1798" t="str">
        <f t="shared" si="8"/>
        <v/>
      </c>
      <c r="DS31" s="1798" t="str">
        <f t="shared" si="8"/>
        <v/>
      </c>
      <c r="DT31" s="1798" t="str">
        <f t="shared" si="8"/>
        <v/>
      </c>
      <c r="DV31" s="5099"/>
      <c r="DW31" s="1848" t="s">
        <v>135</v>
      </c>
      <c r="DX31" s="1849">
        <f ca="1">IF($DX$28="roll", RANDBETWEEN(DW39,DY39),0)</f>
        <v>0</v>
      </c>
      <c r="DY31" s="1793"/>
      <c r="DZ31" s="1850">
        <v>2010</v>
      </c>
      <c r="EB31" s="1829">
        <v>22</v>
      </c>
      <c r="EC31" s="1793">
        <f>ACTIONS!C12</f>
        <v>0</v>
      </c>
      <c r="ED31" s="1793">
        <f>ACTIONS!D12</f>
        <v>0</v>
      </c>
      <c r="EE31" s="1793">
        <f>ACTIONS!E12</f>
        <v>0</v>
      </c>
      <c r="EF31" s="1793">
        <f>ACTIONS!F12</f>
        <v>0</v>
      </c>
      <c r="EG31" s="1793">
        <f>ACTIONS!G12</f>
        <v>0</v>
      </c>
      <c r="EH31" s="1793">
        <f>ACTIONS!H12</f>
        <v>0</v>
      </c>
      <c r="EI31" s="1793">
        <f>ACTIONS!I12</f>
        <v>0</v>
      </c>
      <c r="EJ31" s="1793">
        <f>ACTIONS!J12</f>
        <v>0</v>
      </c>
      <c r="EK31" s="1793">
        <f>ACTIONS!K12</f>
        <v>0</v>
      </c>
      <c r="EM31" s="1829">
        <v>22</v>
      </c>
      <c r="EN31" s="1795">
        <f>ACTIONS!BQ12</f>
        <v>0</v>
      </c>
      <c r="EO31" s="1795">
        <f>ACTIONS!BR12</f>
        <v>0</v>
      </c>
      <c r="EP31" s="1795">
        <f>ACTIONS!BS12</f>
        <v>0</v>
      </c>
      <c r="EQ31" s="1795">
        <f>ACTIONS!BT12</f>
        <v>0</v>
      </c>
      <c r="ER31" s="1795">
        <f>ACTIONS!BU12</f>
        <v>0</v>
      </c>
      <c r="ES31" s="1795">
        <f>ACTIONS!BV12</f>
        <v>0</v>
      </c>
      <c r="ET31" s="1795">
        <f>ACTIONS!BW12</f>
        <v>0</v>
      </c>
      <c r="EU31" s="1795">
        <f>ACTIONS!BX12</f>
        <v>0</v>
      </c>
      <c r="EV31" s="1795">
        <f>ACTIONS!BY12</f>
        <v>0</v>
      </c>
      <c r="EW31" s="1796"/>
      <c r="EX31" s="1864"/>
      <c r="EY31" s="1796"/>
      <c r="FA31" s="1808"/>
      <c r="FB31" s="1796"/>
      <c r="FC31" s="2412"/>
      <c r="FD31" s="2412"/>
      <c r="FE31" s="2412"/>
      <c r="FF31" s="2412"/>
      <c r="FG31" s="2415"/>
      <c r="FH31" s="2414"/>
      <c r="FI31" s="2554"/>
      <c r="FJ31" s="1865"/>
      <c r="FL31" s="1919"/>
      <c r="FM31" s="5075"/>
      <c r="FN31" s="5075"/>
      <c r="FO31" s="5084"/>
      <c r="FP31" s="5085"/>
      <c r="FQ31" s="12"/>
      <c r="FR31" s="5073"/>
      <c r="FS31" s="5074"/>
      <c r="FT31" s="5073"/>
      <c r="FU31" s="5074"/>
      <c r="FV31" s="5073"/>
      <c r="FW31" s="5074"/>
      <c r="FX31" s="1219"/>
      <c r="FY31" s="5080"/>
      <c r="FZ31" s="5081"/>
      <c r="GA31" s="1219"/>
      <c r="GB31" s="1219"/>
      <c r="GC31" s="1219"/>
      <c r="GD31" s="1887"/>
      <c r="GE31" s="1887"/>
      <c r="GF31" s="1887"/>
      <c r="GG31" s="1887"/>
      <c r="GH31" s="1887"/>
      <c r="GI31" s="1887"/>
      <c r="GJ31" s="1887"/>
      <c r="GK31" s="1887"/>
      <c r="GL31" s="1887"/>
      <c r="GM31" s="1887"/>
      <c r="GN31" s="1887"/>
      <c r="GO31" s="1887"/>
      <c r="GP31" s="1887"/>
      <c r="GQ31" s="1887"/>
      <c r="GR31" s="1887"/>
      <c r="GS31" s="1887"/>
      <c r="GT31" s="1887"/>
      <c r="GU31" s="1887"/>
      <c r="GV31" s="1887"/>
      <c r="GW31" s="1887"/>
      <c r="GX31" s="1887"/>
      <c r="GY31" s="1887"/>
      <c r="GZ31" s="1887"/>
      <c r="HA31" s="1887"/>
      <c r="HB31" s="1887"/>
      <c r="HC31" s="1887"/>
      <c r="HD31" s="1887"/>
      <c r="HE31" s="1887"/>
      <c r="HF31" s="1887"/>
      <c r="HG31" s="1887"/>
      <c r="HH31" s="1887"/>
      <c r="HI31" s="5075"/>
      <c r="HJ31" s="5075"/>
      <c r="HK31" s="5084"/>
      <c r="HL31" s="5085"/>
      <c r="HM31" s="12"/>
      <c r="HN31" s="5073"/>
      <c r="HO31" s="5074"/>
      <c r="HP31" s="5073"/>
      <c r="HQ31" s="5074"/>
      <c r="HR31" s="5073"/>
      <c r="HS31" s="5074"/>
      <c r="HT31" s="1219"/>
      <c r="HU31" s="5080"/>
      <c r="HV31" s="5081"/>
      <c r="HW31" s="1887"/>
      <c r="HX31" s="1218"/>
      <c r="IC31" s="1802">
        <v>9</v>
      </c>
      <c r="ID31" s="1814" t="s">
        <v>2295</v>
      </c>
      <c r="IE31" s="1814" t="s">
        <v>629</v>
      </c>
      <c r="IF31" s="1814" t="s">
        <v>2306</v>
      </c>
      <c r="IG31" s="1814" t="s">
        <v>1011</v>
      </c>
      <c r="IH31" s="1814" t="s">
        <v>2314</v>
      </c>
      <c r="II31" s="1815" t="s">
        <v>2295</v>
      </c>
      <c r="IK31" s="1802">
        <v>9</v>
      </c>
      <c r="IL31" s="3240" t="s">
        <v>2393</v>
      </c>
      <c r="IM31" s="3240" t="s">
        <v>2394</v>
      </c>
      <c r="IN31" s="3240" t="s">
        <v>2395</v>
      </c>
      <c r="IO31" s="3240" t="s">
        <v>2396</v>
      </c>
      <c r="IP31" s="3240" t="s">
        <v>2397</v>
      </c>
      <c r="IQ31" s="3240" t="s">
        <v>2398</v>
      </c>
      <c r="IR31" s="3240" t="s">
        <v>2399</v>
      </c>
      <c r="IS31" s="3240" t="s">
        <v>2400</v>
      </c>
      <c r="IT31" s="3240" t="s">
        <v>2401</v>
      </c>
      <c r="IU31" s="3240" t="s">
        <v>2402</v>
      </c>
      <c r="IV31" s="3240" t="s">
        <v>2403</v>
      </c>
      <c r="IW31" s="3240" t="s">
        <v>2388</v>
      </c>
      <c r="IX31" s="1824"/>
      <c r="IY31" s="3387"/>
      <c r="IZ31" s="1826"/>
      <c r="JA31" s="1834"/>
      <c r="JC31" s="1802">
        <v>9</v>
      </c>
      <c r="JD31" s="1818" t="s">
        <v>1805</v>
      </c>
      <c r="JE31" s="1818" t="s">
        <v>1805</v>
      </c>
      <c r="JF31" s="1818" t="s">
        <v>1805</v>
      </c>
      <c r="JG31" s="1818" t="s">
        <v>1805</v>
      </c>
      <c r="JH31" s="1818" t="s">
        <v>1805</v>
      </c>
      <c r="JI31" s="1818" t="s">
        <v>1804</v>
      </c>
      <c r="JJ31" s="1818" t="s">
        <v>1804</v>
      </c>
      <c r="JK31" s="1818" t="s">
        <v>1804</v>
      </c>
      <c r="JL31" s="1818" t="s">
        <v>1804</v>
      </c>
      <c r="JM31" s="1818" t="s">
        <v>1804</v>
      </c>
      <c r="JO31" s="2169" t="s">
        <v>1448</v>
      </c>
      <c r="JP31" s="2012" t="s">
        <v>1450</v>
      </c>
      <c r="JQ31" s="2170" t="s">
        <v>2007</v>
      </c>
      <c r="JR31" s="1819" t="s">
        <v>1959</v>
      </c>
      <c r="JS31" s="1822"/>
      <c r="JT31" s="1828" t="s">
        <v>1944</v>
      </c>
      <c r="JU31" s="3082"/>
      <c r="JV31" s="1828" t="s">
        <v>1956</v>
      </c>
      <c r="JW31" s="3082"/>
      <c r="JX31" s="1828" t="s">
        <v>431</v>
      </c>
      <c r="JY31" s="3082"/>
      <c r="JZ31" s="1828" t="s">
        <v>392</v>
      </c>
      <c r="KA31" s="3082"/>
      <c r="KB31" s="1828" t="s">
        <v>1951</v>
      </c>
      <c r="KC31" s="3082"/>
      <c r="KG31" s="1822"/>
      <c r="KH31" s="1821"/>
      <c r="KI31" s="1822"/>
      <c r="KJ31" s="1821"/>
      <c r="KK31" s="1822"/>
      <c r="KP31" s="8"/>
      <c r="KQ31" s="1930"/>
      <c r="KR31" s="3053"/>
      <c r="KS31" s="1930"/>
      <c r="KT31" s="3053"/>
      <c r="KV31" s="3048"/>
      <c r="KW31" s="3053"/>
      <c r="KX31" s="3048"/>
      <c r="KY31" s="3053"/>
      <c r="LA31" s="3048"/>
    </row>
    <row r="32" spans="1:313" ht="17.100000000000001" customHeight="1" thickBot="1" x14ac:dyDescent="0.35">
      <c r="B32" s="3314" t="str">
        <f t="shared" si="5"/>
        <v/>
      </c>
      <c r="C32" s="1780" t="s">
        <v>225</v>
      </c>
      <c r="D32" s="1836">
        <f>IF(OR(C32=$B$41,C33=$B$41),BOUNTY!$CC$5,0)</f>
        <v>0</v>
      </c>
      <c r="E32" s="1836">
        <f>IF(OR(C32=$B$41,C33=$B$41),BOUNTY!$AM$8,0)</f>
        <v>0</v>
      </c>
      <c r="F32" s="1836">
        <f>IF(OR(C32=$B$41,C33=$B$41),BOUNTY!$AG$74,0)</f>
        <v>0</v>
      </c>
      <c r="G32" s="1803">
        <f t="shared" si="6"/>
        <v>0</v>
      </c>
      <c r="H32" s="3100"/>
      <c r="I32" s="5155"/>
      <c r="J32" s="1898" t="str">
        <f t="shared" si="15"/>
        <v/>
      </c>
      <c r="K32" s="3312" t="str">
        <f t="shared" si="16"/>
        <v/>
      </c>
      <c r="L32" s="3381"/>
      <c r="M32" s="3382"/>
      <c r="N32" s="3382"/>
      <c r="O32" s="3382"/>
      <c r="P32" s="3382"/>
      <c r="Q32" s="3382"/>
      <c r="R32" s="3382"/>
      <c r="S32" s="3382"/>
      <c r="T32" s="3382"/>
      <c r="U32" s="3382"/>
      <c r="V32" s="1774"/>
      <c r="W32" s="3381"/>
      <c r="X32" s="3382"/>
      <c r="Y32" s="3382"/>
      <c r="Z32" s="3382"/>
      <c r="AA32" s="3382"/>
      <c r="AB32" s="3382"/>
      <c r="AC32" s="3382"/>
      <c r="AD32" s="3382"/>
      <c r="AE32" s="3382"/>
      <c r="AF32" s="3382"/>
      <c r="AG32" s="1796"/>
      <c r="AH32" s="3312" t="str">
        <f t="shared" si="17"/>
        <v/>
      </c>
      <c r="AI32" s="3381"/>
      <c r="AJ32" s="3384"/>
      <c r="AK32" s="3382"/>
      <c r="AL32" s="3382"/>
      <c r="AM32" s="3382"/>
      <c r="AN32" s="3382"/>
      <c r="AO32" s="3382"/>
      <c r="AP32" s="3382"/>
      <c r="AQ32" s="3382"/>
      <c r="AR32" s="3382"/>
      <c r="AS32" s="3382"/>
      <c r="AT32" s="3213"/>
      <c r="AU32" s="3384"/>
      <c r="AV32" s="3382"/>
      <c r="AW32" s="3382"/>
      <c r="AX32" s="3382"/>
      <c r="AY32" s="3382"/>
      <c r="AZ32" s="3382"/>
      <c r="BA32" s="3382"/>
      <c r="BB32" s="3382"/>
      <c r="BC32" s="3382"/>
      <c r="BD32" s="3382"/>
      <c r="BE32" s="3311">
        <v>9</v>
      </c>
      <c r="BF32" s="1882" t="str">
        <f t="shared" si="9"/>
        <v/>
      </c>
      <c r="BG32" s="1883">
        <f t="shared" si="10"/>
        <v>0</v>
      </c>
      <c r="BH32" s="1884">
        <f t="shared" si="13"/>
        <v>0</v>
      </c>
      <c r="BJ32" s="1882">
        <f t="shared" si="11"/>
        <v>0</v>
      </c>
      <c r="BK32" s="1882" t="str">
        <f t="shared" si="12"/>
        <v/>
      </c>
      <c r="BL32" s="1883">
        <f t="shared" si="14"/>
        <v>0</v>
      </c>
      <c r="BM32" s="3309"/>
      <c r="BN32" s="3309"/>
      <c r="BO32" s="3309"/>
      <c r="BP32" s="3309"/>
      <c r="BQ32" s="3309"/>
      <c r="BR32" s="3309"/>
      <c r="BS32" s="3309"/>
      <c r="BT32" s="3309"/>
      <c r="BU32" s="3309"/>
      <c r="BV32" s="3309"/>
      <c r="BW32" s="3309"/>
      <c r="BX32" s="3210">
        <f>IF($BN$24&lt;=1,0,$BN$24-1)</f>
        <v>0</v>
      </c>
      <c r="BY32" s="3211" t="s">
        <v>181</v>
      </c>
      <c r="BZ32" s="1796">
        <f>VLOOKUP($BX$32,$AU$23:$BD$143,AV20,FALSE)</f>
        <v>0</v>
      </c>
      <c r="CA32" s="1796">
        <f t="shared" ref="CA32:CH32" si="21">VLOOKUP($BX$32,$AU$23:$BD$143,AW20,FALSE)</f>
        <v>0</v>
      </c>
      <c r="CB32" s="1796">
        <f t="shared" si="21"/>
        <v>0</v>
      </c>
      <c r="CC32" s="1796">
        <f t="shared" si="21"/>
        <v>0</v>
      </c>
      <c r="CD32" s="1796">
        <f t="shared" si="21"/>
        <v>0</v>
      </c>
      <c r="CE32" s="1796">
        <f t="shared" si="21"/>
        <v>0</v>
      </c>
      <c r="CF32" s="1796">
        <f t="shared" si="21"/>
        <v>0</v>
      </c>
      <c r="CG32" s="1796">
        <f t="shared" si="21"/>
        <v>0</v>
      </c>
      <c r="CH32" s="1796">
        <f t="shared" si="21"/>
        <v>0</v>
      </c>
      <c r="CI32" s="1870" t="s">
        <v>1748</v>
      </c>
      <c r="CJ32" s="1796"/>
      <c r="CK32" s="1796"/>
      <c r="CL32" s="1796"/>
      <c r="CM32" s="2635"/>
      <c r="CN32" s="2634"/>
      <c r="CQ32" s="2309" t="s">
        <v>1412</v>
      </c>
      <c r="CR32" s="2310"/>
      <c r="CS32" s="2310" t="s">
        <v>226</v>
      </c>
      <c r="CT32" s="2310"/>
      <c r="CU32" s="2310" t="s">
        <v>227</v>
      </c>
      <c r="CV32" s="2311"/>
      <c r="CX32" s="5139"/>
      <c r="CY32" s="1823" t="s">
        <v>233</v>
      </c>
      <c r="CZ32" s="1798" t="str">
        <f t="shared" si="7"/>
        <v/>
      </c>
      <c r="DA32" s="1798" t="str">
        <f t="shared" si="7"/>
        <v/>
      </c>
      <c r="DB32" s="1798" t="str">
        <f t="shared" si="7"/>
        <v/>
      </c>
      <c r="DC32" s="1798" t="str">
        <f t="shared" si="7"/>
        <v/>
      </c>
      <c r="DD32" s="1798" t="str">
        <f t="shared" si="7"/>
        <v/>
      </c>
      <c r="DE32" s="1798" t="str">
        <f t="shared" si="7"/>
        <v/>
      </c>
      <c r="DF32" s="1798" t="str">
        <f t="shared" si="7"/>
        <v/>
      </c>
      <c r="DG32" s="1798" t="str">
        <f t="shared" si="7"/>
        <v/>
      </c>
      <c r="DH32" s="1798" t="str">
        <f t="shared" si="7"/>
        <v/>
      </c>
      <c r="DI32" s="1799">
        <v>11</v>
      </c>
      <c r="DJ32" s="1800" t="e">
        <f t="shared" si="3"/>
        <v>#VALUE!</v>
      </c>
      <c r="DK32" s="1823" t="s">
        <v>233</v>
      </c>
      <c r="DL32" s="1798" t="str">
        <f t="shared" si="8"/>
        <v/>
      </c>
      <c r="DM32" s="1798" t="str">
        <f t="shared" si="8"/>
        <v/>
      </c>
      <c r="DN32" s="1798" t="str">
        <f t="shared" si="8"/>
        <v/>
      </c>
      <c r="DO32" s="1798" t="str">
        <f t="shared" si="8"/>
        <v/>
      </c>
      <c r="DP32" s="1798" t="str">
        <f t="shared" si="8"/>
        <v/>
      </c>
      <c r="DQ32" s="1798" t="str">
        <f t="shared" si="8"/>
        <v/>
      </c>
      <c r="DR32" s="1798" t="str">
        <f t="shared" si="8"/>
        <v/>
      </c>
      <c r="DS32" s="1798" t="str">
        <f t="shared" si="8"/>
        <v/>
      </c>
      <c r="DT32" s="1798" t="str">
        <f t="shared" si="8"/>
        <v/>
      </c>
      <c r="DV32" s="5099"/>
      <c r="DW32" s="1848" t="s">
        <v>136</v>
      </c>
      <c r="DX32" s="1849">
        <f ca="1">IF($DX$28="roll", RANDBETWEEN(DW40,DY40),0)</f>
        <v>0</v>
      </c>
      <c r="DY32" s="1793"/>
      <c r="DZ32" s="1850">
        <v>1120</v>
      </c>
      <c r="EB32" s="1829">
        <v>21</v>
      </c>
      <c r="EC32" s="1793">
        <f>ACTIONS!C13</f>
        <v>0</v>
      </c>
      <c r="ED32" s="1793">
        <f>ACTIONS!D13</f>
        <v>0</v>
      </c>
      <c r="EE32" s="1793">
        <f>ACTIONS!E13</f>
        <v>0</v>
      </c>
      <c r="EF32" s="1793">
        <f>ACTIONS!F13</f>
        <v>0</v>
      </c>
      <c r="EG32" s="1793">
        <f>ACTIONS!G13</f>
        <v>0</v>
      </c>
      <c r="EH32" s="1793">
        <f>ACTIONS!H13</f>
        <v>0</v>
      </c>
      <c r="EI32" s="1793">
        <f>ACTIONS!I13</f>
        <v>0</v>
      </c>
      <c r="EJ32" s="1793">
        <f>ACTIONS!J13</f>
        <v>0</v>
      </c>
      <c r="EK32" s="1793">
        <f>ACTIONS!K13</f>
        <v>0</v>
      </c>
      <c r="EM32" s="1829">
        <v>21</v>
      </c>
      <c r="EN32" s="1795">
        <f>ACTIONS!BQ13</f>
        <v>0</v>
      </c>
      <c r="EO32" s="1795">
        <f>ACTIONS!BR13</f>
        <v>0</v>
      </c>
      <c r="EP32" s="1795">
        <f>ACTIONS!BS13</f>
        <v>0</v>
      </c>
      <c r="EQ32" s="1795">
        <f>ACTIONS!BT13</f>
        <v>0</v>
      </c>
      <c r="ER32" s="1795">
        <f>ACTIONS!BU13</f>
        <v>0</v>
      </c>
      <c r="ES32" s="1795">
        <f>ACTIONS!BV13</f>
        <v>0</v>
      </c>
      <c r="ET32" s="1795">
        <f>ACTIONS!BW13</f>
        <v>0</v>
      </c>
      <c r="EU32" s="1795">
        <f>ACTIONS!BX13</f>
        <v>0</v>
      </c>
      <c r="EV32" s="1795">
        <f>ACTIONS!BY13</f>
        <v>0</v>
      </c>
      <c r="EW32" s="1796"/>
      <c r="EX32" s="1864"/>
      <c r="EY32" s="2411"/>
      <c r="EZ32" s="2406"/>
      <c r="FA32" s="1813" t="s">
        <v>1589</v>
      </c>
      <c r="FB32" s="2411"/>
      <c r="FC32" s="2407">
        <v>0.5</v>
      </c>
      <c r="FD32" s="2408">
        <v>0.5</v>
      </c>
      <c r="FE32" s="2409">
        <v>0.25</v>
      </c>
      <c r="FF32" s="2410">
        <v>0.25</v>
      </c>
      <c r="FG32" s="1865"/>
      <c r="FH32" s="2403"/>
      <c r="FI32" s="2553" cm="1">
        <f t="array" ref="FI32">_xlfn.IFS($FI$23=$FC$23,FC32,$FI$23=$FD$23,FD32,$FI$23=$FE$23,FE32,$FI$23=$FF$23,FF32,TRUE,FC32)</f>
        <v>0.5</v>
      </c>
      <c r="FJ32" s="1865"/>
      <c r="FL32" s="1919"/>
      <c r="FM32" s="5075" t="s">
        <v>530</v>
      </c>
      <c r="FN32" s="5075"/>
      <c r="FO32" s="5082" t="str">
        <f>IF(AND(FY32=$GQ$24,$GQ$24&lt;&gt;0),"fastest","")</f>
        <v/>
      </c>
      <c r="FP32" s="5083"/>
      <c r="FQ32" s="12"/>
      <c r="FR32" s="5073" t="str">
        <f>IF(ISERROR(FIND("[",MISSIONS!E12)),"", MID(MISSIONS!E12,SEARCH("[",MISSIONS!E12)+1,SEARCH("]",MISSIONS!E12,SEARCH("[",MISSIONS!E12)+1)-SEARCH("[",MISSIONS!E12)-1))</f>
        <v/>
      </c>
      <c r="FS32" s="5074"/>
      <c r="FT32" s="5073" t="str">
        <f>IF(FR32="","",IF(MID(FR32,2,1)="h",MID(FR32,1,1)*60,0))</f>
        <v/>
      </c>
      <c r="FU32" s="5074"/>
      <c r="FV32" s="5073" t="str" cm="1">
        <f t="array" ref="FV32">IF(FR32="","",
_xlfn.IFS(
AND(RIGHT(FR32,1)="m",LEN(FR32)=3),MID(FR32,1,2),
AND(RIGHT(FR32,1)="m",LEN(FR32)=5),MID(FR32,3,2),
AND(RIGHT(FR32,1)="m",LEN(FR32)=2),MID(FR32,1,1),
AND(RIGHT(FR32,1)="m",LEN(FR32)=4),MID(FR32,3,1),
TRUE,0)
)</f>
        <v/>
      </c>
      <c r="FW32" s="5074"/>
      <c r="FX32" s="1219"/>
      <c r="FY32" s="5078" t="str">
        <f>IF( MISSIONS!E12="", "",
IF( OR(AND(MISSIONS!U12=100%,MISSIONS!U13=MISSIONS!$AM$2),FR32="",FR32="?",OR(MISSIONS!$A$3=MISSIONS!$N$47,MISSIONS!$A$3=MISSIONS!$O$47,MISSIONS!$A$3=MISSIONS!$P$47,MISSIONS!$A$3=MISSIONS!$Q$47,MISSIONS!$A$3=MISSIONS!$R$47,MISSIONS!$A$3=MISSIONS!$S$47,MISSIONS!$A$3=MISSIONS!$T$47),PLANS!$DI$78=1),"",FT32+FV32)
)</f>
        <v/>
      </c>
      <c r="FZ32" s="5079"/>
      <c r="GA32" s="1219"/>
      <c r="GB32" s="1219"/>
      <c r="GC32" s="1219"/>
      <c r="GD32" s="1887"/>
      <c r="GE32" s="5093" t="s">
        <v>916</v>
      </c>
      <c r="GF32" s="5093"/>
      <c r="GG32" s="12"/>
      <c r="GH32" s="5092" t="s">
        <v>911</v>
      </c>
      <c r="GI32" s="5092"/>
      <c r="GJ32" s="5092" t="s">
        <v>912</v>
      </c>
      <c r="GK32" s="5092"/>
      <c r="GL32" s="5092" t="s">
        <v>913</v>
      </c>
      <c r="GM32" s="5092"/>
      <c r="GN32" s="12"/>
      <c r="GO32" s="5093" t="s">
        <v>914</v>
      </c>
      <c r="GP32" s="5093"/>
      <c r="GQ32" s="1887"/>
      <c r="GR32" s="1887"/>
      <c r="GS32" s="1887"/>
      <c r="GT32" s="1887"/>
      <c r="GU32" s="5093" t="s">
        <v>916</v>
      </c>
      <c r="GV32" s="5093"/>
      <c r="GW32" s="12"/>
      <c r="GX32" s="5092" t="s">
        <v>911</v>
      </c>
      <c r="GY32" s="5092"/>
      <c r="GZ32" s="5092" t="s">
        <v>912</v>
      </c>
      <c r="HA32" s="5092"/>
      <c r="HB32" s="5092" t="s">
        <v>913</v>
      </c>
      <c r="HC32" s="5092"/>
      <c r="HD32" s="12"/>
      <c r="HE32" s="5093" t="s">
        <v>914</v>
      </c>
      <c r="HF32" s="5093"/>
      <c r="HG32" s="1887"/>
      <c r="HH32" s="1887"/>
      <c r="HI32" s="5075" t="s">
        <v>731</v>
      </c>
      <c r="HJ32" s="5075"/>
      <c r="HK32" s="5082" t="str">
        <f>IF(AND(HU32=$GQ$24,$GQ$24&lt;&gt;0),"fastest","")</f>
        <v/>
      </c>
      <c r="HL32" s="5083"/>
      <c r="HM32" s="12"/>
      <c r="HN32" s="5073" t="str">
        <f>IF(ISERROR(FIND("[",MISSIONS!BH12)),"", MID(MISSIONS!BH12,SEARCH("[",MISSIONS!BH12)+1,SEARCH("]",MISSIONS!BH12,SEARCH("[",MISSIONS!BH12)+1)-SEARCH("[",MISSIONS!BH12)-1))</f>
        <v/>
      </c>
      <c r="HO32" s="5074"/>
      <c r="HP32" s="5073" t="str">
        <f>IF(HN32="","",IF(MID(HN32,2,1)="h",MID(HN32,1,1)*60,0))</f>
        <v/>
      </c>
      <c r="HQ32" s="5074"/>
      <c r="HR32" s="5073" t="str" cm="1">
        <f t="array" ref="HR32">IF(HN32="","",
_xlfn.IFS(
AND(RIGHT(HN32,1)="m",LEN(HN32)=3),MID(HN32,1,2),
AND(RIGHT(HN32,1)="m",LEN(HN32)=5),MID(HN32,3,2),
AND(RIGHT(HN32,1)="m",LEN(HN32)=2),MID(HN32,1,1),
AND(RIGHT(HN32,1)="m",LEN(HN32)=4),MID(HN32,3,1),
TRUE,0)
)</f>
        <v/>
      </c>
      <c r="HS32" s="5074"/>
      <c r="HT32" s="1219"/>
      <c r="HU32" s="5078" t="str">
        <f>IF( MISSIONS!BH12="", "",
IF( OR(MISSIONS!BF12&lt;&gt;"",MISSIONS!BG12=100%,HN32="",HN32="?"),"",HP32+HR32)
)</f>
        <v/>
      </c>
      <c r="HV32" s="5079"/>
      <c r="HW32" s="1887"/>
      <c r="HX32" s="1218"/>
      <c r="IC32" s="1804">
        <v>10</v>
      </c>
      <c r="ID32" s="1814" t="s">
        <v>245</v>
      </c>
      <c r="IE32" s="1814" t="s">
        <v>587</v>
      </c>
      <c r="IF32" s="1814" t="s">
        <v>2307</v>
      </c>
      <c r="IG32" s="1814" t="s">
        <v>1000</v>
      </c>
      <c r="IH32" s="1814" t="s">
        <v>2071</v>
      </c>
      <c r="II32" s="1815" t="s">
        <v>245</v>
      </c>
      <c r="IK32" s="1804">
        <v>10</v>
      </c>
      <c r="IL32" s="1872" t="s">
        <v>1016</v>
      </c>
      <c r="IM32" s="1872" t="s">
        <v>1267</v>
      </c>
      <c r="IN32" s="1872" t="s">
        <v>1045</v>
      </c>
      <c r="IO32" s="1814" t="s">
        <v>2273</v>
      </c>
      <c r="IP32" s="1814" t="s">
        <v>2267</v>
      </c>
      <c r="IQ32" s="1814" t="s">
        <v>651</v>
      </c>
      <c r="IR32" s="1814" t="s">
        <v>2254</v>
      </c>
      <c r="IS32" s="1814" t="s">
        <v>656</v>
      </c>
      <c r="IT32" s="1872" t="s">
        <v>1033</v>
      </c>
      <c r="IU32" s="1814" t="s">
        <v>628</v>
      </c>
      <c r="IV32" s="1814" t="s">
        <v>641</v>
      </c>
      <c r="IW32" s="1872" t="s">
        <v>1040</v>
      </c>
      <c r="IX32" s="1824"/>
      <c r="IY32" s="1825"/>
      <c r="IZ32" s="1826"/>
      <c r="JA32" s="1834"/>
      <c r="JC32" s="1802">
        <v>10</v>
      </c>
      <c r="JD32" s="1852" t="str">
        <f>IF(BOUNTY!$H107&lt;&gt;"",BOUNTY!$H107,BOUNTY!$H108)</f>
        <v>"Example Book Title" by Author</v>
      </c>
      <c r="JE32" s="1852" t="str">
        <f>IF(BOUNTY!$U107&lt;&gt;"",BOUNTY!$U107,BOUNTY!$U108)</f>
        <v>"Example Game Title" Video Game</v>
      </c>
      <c r="JF32" s="1852" t="str">
        <f>IF(BOUNTY!$AH107&lt;&gt;"",BOUNTY!$AH107,BOUNTY!$AH108)</f>
        <v>Example Event Title Ticket</v>
      </c>
      <c r="JG32" s="1852" t="str">
        <f>IF(BOUNTY!$AV107&lt;&gt;"",BOUNTY!$AV107,BOUNTY!$AV108)</f>
        <v>Example Clothing Item</v>
      </c>
      <c r="JH32" s="1852" t="str">
        <f>IF(BOUNTY!$BI107&lt;&gt;"",BOUNTY!$BI107,BOUNTY!$BI108)</f>
        <v>Example Media</v>
      </c>
      <c r="JI32" s="1852" t="str">
        <f>IF(BOUNTY!$H132&lt;&gt;"",BOUNTY!$H132,BOUNTY!$H133)</f>
        <v>Example Tool</v>
      </c>
      <c r="JJ32" s="1852" t="str">
        <f>IF(BOUNTY!$U132&lt;&gt;"",BOUNTY!$U132,BOUNTY!$U133)</f>
        <v>Example Gadget</v>
      </c>
      <c r="JK32" s="1852" t="str">
        <f>IF(BOUNTY!$AH132&lt;&gt;"",BOUNTY!$AH132,BOUNTY!$AH133)</f>
        <v>Example Misc. Item</v>
      </c>
      <c r="JL32" s="1852" t="str">
        <f>IF(BOUNTY!$AV132&lt;&gt;"",BOUNTY!$AV132,BOUNTY!$AV133)</f>
        <v>Example Treat</v>
      </c>
      <c r="JM32" s="1852" t="str">
        <f>IF(BOUNTY!$BI132&lt;&gt;"",BOUNTY!$BI132,BOUNTY!$BI133)</f>
        <v>Example Useful Item</v>
      </c>
      <c r="JO32" s="2169" t="s">
        <v>1806</v>
      </c>
      <c r="JP32" s="2012" t="s">
        <v>1449</v>
      </c>
      <c r="JQ32" s="2170" t="s">
        <v>2003</v>
      </c>
      <c r="JR32" s="1819" t="s">
        <v>1958</v>
      </c>
      <c r="JS32" s="1822"/>
      <c r="JT32" s="1828" t="s">
        <v>936</v>
      </c>
      <c r="JU32" s="3082"/>
      <c r="JV32" s="1828" t="s">
        <v>1956</v>
      </c>
      <c r="JW32" s="3082"/>
      <c r="JX32" s="1828" t="s">
        <v>432</v>
      </c>
      <c r="JY32" s="3082"/>
      <c r="JZ32" s="1828" t="s">
        <v>391</v>
      </c>
      <c r="KA32" s="3082"/>
      <c r="KB32" s="1828" t="s">
        <v>1952</v>
      </c>
      <c r="KC32" s="3082"/>
      <c r="KG32" s="1822"/>
      <c r="KH32" s="1821"/>
      <c r="KI32" s="1822"/>
      <c r="KJ32" s="1821"/>
      <c r="KK32" s="1822"/>
      <c r="KQ32" s="1930"/>
      <c r="KR32" s="3053"/>
      <c r="KS32" s="1930"/>
      <c r="KT32" s="3049"/>
      <c r="KV32" s="3048"/>
      <c r="KW32" s="3053"/>
      <c r="KX32" s="3048"/>
      <c r="KY32" s="3049"/>
      <c r="LA32" s="3048"/>
    </row>
    <row r="33" spans="2:313" ht="17.100000000000001" customHeight="1" thickBot="1" x14ac:dyDescent="0.35">
      <c r="B33" s="3314" t="str">
        <f t="shared" si="5"/>
        <v/>
      </c>
      <c r="C33" s="1780" t="s">
        <v>229</v>
      </c>
      <c r="D33" s="1836">
        <f>IF(OR(C33=$B$41,C34=$B$41),BOUNTY!$CC$5,0)</f>
        <v>0</v>
      </c>
      <c r="E33" s="1836">
        <f>IF(OR(C33=$B$41,C34=$B$41),BOUNTY!$AM$8,0)</f>
        <v>0</v>
      </c>
      <c r="F33" s="1836">
        <f>IF(OR(C33=$B$41,C34=$B$41),BOUNTY!$AG$74,0)</f>
        <v>0</v>
      </c>
      <c r="G33" s="1803">
        <f t="shared" si="6"/>
        <v>0</v>
      </c>
      <c r="H33" s="3100"/>
      <c r="I33" s="5156"/>
      <c r="J33" s="1898" t="str">
        <f t="shared" si="15"/>
        <v/>
      </c>
      <c r="K33" s="3312" t="str">
        <f t="shared" si="16"/>
        <v/>
      </c>
      <c r="L33" s="3381"/>
      <c r="M33" s="3382"/>
      <c r="N33" s="3382"/>
      <c r="O33" s="3382"/>
      <c r="P33" s="3382"/>
      <c r="Q33" s="3382"/>
      <c r="R33" s="3382"/>
      <c r="S33" s="3382"/>
      <c r="T33" s="3382"/>
      <c r="U33" s="3382"/>
      <c r="V33" s="1774"/>
      <c r="W33" s="3381"/>
      <c r="X33" s="3382"/>
      <c r="Y33" s="3382"/>
      <c r="Z33" s="3382"/>
      <c r="AA33" s="3382"/>
      <c r="AB33" s="3382"/>
      <c r="AC33" s="3382"/>
      <c r="AD33" s="3382"/>
      <c r="AE33" s="3382"/>
      <c r="AF33" s="3382"/>
      <c r="AG33" s="1796"/>
      <c r="AH33" s="3312" t="str">
        <f t="shared" si="17"/>
        <v/>
      </c>
      <c r="AI33" s="3381"/>
      <c r="AJ33" s="3384"/>
      <c r="AK33" s="3382"/>
      <c r="AL33" s="3382"/>
      <c r="AM33" s="3382"/>
      <c r="AN33" s="3382"/>
      <c r="AO33" s="3382"/>
      <c r="AP33" s="3382"/>
      <c r="AQ33" s="3382"/>
      <c r="AR33" s="3382"/>
      <c r="AS33" s="3382"/>
      <c r="AT33" s="3213"/>
      <c r="AU33" s="3384"/>
      <c r="AV33" s="3382"/>
      <c r="AW33" s="3382"/>
      <c r="AX33" s="3382"/>
      <c r="AY33" s="3382"/>
      <c r="AZ33" s="3382"/>
      <c r="BA33" s="3382"/>
      <c r="BB33" s="3382"/>
      <c r="BC33" s="3382"/>
      <c r="BD33" s="3382"/>
      <c r="BE33" s="3311">
        <v>10</v>
      </c>
      <c r="BF33" s="1882" t="str">
        <f t="shared" si="9"/>
        <v/>
      </c>
      <c r="BG33" s="1883">
        <f t="shared" si="10"/>
        <v>0</v>
      </c>
      <c r="BH33" s="1884">
        <f t="shared" si="13"/>
        <v>0</v>
      </c>
      <c r="BJ33" s="1882">
        <f t="shared" si="11"/>
        <v>0</v>
      </c>
      <c r="BK33" s="1882" t="str">
        <f t="shared" si="12"/>
        <v/>
      </c>
      <c r="BL33" s="1883">
        <f t="shared" si="14"/>
        <v>0</v>
      </c>
      <c r="BM33" s="3309"/>
      <c r="BN33" s="3309"/>
      <c r="BO33" s="3309"/>
      <c r="BP33" s="3309"/>
      <c r="BQ33" s="3309"/>
      <c r="BR33" s="3309"/>
      <c r="BS33" s="3309"/>
      <c r="BT33" s="3309"/>
      <c r="BU33" s="3309"/>
      <c r="BV33" s="3309"/>
      <c r="BW33" s="3309"/>
      <c r="BX33" s="1837">
        <f>$BN$24</f>
        <v>0</v>
      </c>
      <c r="BY33" s="1782" t="s">
        <v>181</v>
      </c>
      <c r="BZ33" s="1833">
        <f>_xlfn.IFS(BZ31&lt;$BZ$21,0,BZ31&lt;$CA$21,1,BZ31&lt;$CB$21,2,BZ31&lt;$CC$21,3,BZ31&lt;$CD$21,4,BZ31&lt;$CE$21,5,BZ31&lt;$CF$21,6,BZ31&lt;$CG$21,7,BZ31&lt;$CH$21,8,BZ31&lt;$CI$21,9,BZ31&lt;$CJ$21,10,BZ31&lt;$CK$21,11,BZ31&lt;$CL$21,12,BZ31&lt;$CM$21,13,BZ31&lt;$CN$21,14,BZ31&lt;$CO$21,15,BZ31&lt;$CP$21,16,BZ31&lt;$CQ$21,17,BZ31&lt;$CR$21,18,BZ31&lt;$CS$21,19,BZ31&lt;$CT$21,20,BZ31&lt;$CU$21,21,BZ31&lt;$CV$21,22,BZ31&gt;=$CV$21,PROGRESS!$BN$3)</f>
        <v>0</v>
      </c>
      <c r="CA33" s="1833">
        <f>_xlfn.IFS(CA31&lt;$BZ$21,0,CA31&lt;$CA$21,1,CA31&lt;$CB$21,2,CA31&lt;$CC$21,3,CA31&lt;$CD$21,4,CA31&lt;$CE$21,5,CA31&lt;$CF$21,6,CA31&lt;$CG$21,7,CA31&lt;$CH$21,8,CA31&lt;$CI$21,9,CA31&lt;$CJ$21,10,CA31&lt;$CK$21,11,CA31&lt;$CL$21,12,CA31&lt;$CM$21,13,CA31&lt;$CN$21,14,CA31&lt;$CO$21,15,CA31&lt;$CP$21,16,CA31&lt;$CQ$21,17,CA31&lt;$CR$21,18,CA31&lt;$CS$21,19,CA31&lt;$CT$21,20,CA31&lt;$CU$21,21,CA31&lt;$CV$21,22,CA31&gt;=$CV$21,PROGRESS!$BN$4)</f>
        <v>0</v>
      </c>
      <c r="CB33" s="1833">
        <f>_xlfn.IFS(CB31&lt;$BZ$21,0,CB31&lt;$CA$21,1,CB31&lt;$CB$21,2,CB31&lt;$CC$21,3,CB31&lt;$CD$21,4,CB31&lt;$CE$21,5,CB31&lt;$CF$21,6,CB31&lt;$CG$21,7,CB31&lt;$CH$21,8,CB31&lt;$CI$21,9,CB31&lt;$CJ$21,10,CB31&lt;$CK$21,11,CB31&lt;$CL$21,12,CB31&lt;$CM$21,13,CB31&lt;$CN$21,14,CB31&lt;$CO$21,15,CB31&lt;$CP$21,16,CB31&lt;$CQ$21,17,CB31&lt;$CR$21,18,CB31&lt;$CS$21,19,CB31&lt;$CT$21,20,CB31&lt;$CU$21,21,CB31&lt;$CV$21,22,CB31&gt;=$CV$21,PROGRESS!$BN$5)</f>
        <v>0</v>
      </c>
      <c r="CC33" s="1833">
        <f>_xlfn.IFS(CC31&lt;$BZ$21,0,CC31&lt;$CA$21,1,CC31&lt;$CB$21,2,CC31&lt;$CC$21,3,CC31&lt;$CD$21,4,CC31&lt;$CE$21,5,CC31&lt;$CF$21,6,CC31&lt;$CG$21,7,CC31&lt;$CH$21,8,CC31&lt;$CI$21,9,CC31&lt;$CJ$21,10,CC31&lt;$CK$21,11,CC31&lt;$CL$21,12,CC31&lt;$CM$21,13,CC31&lt;$CN$21,14,CC31&lt;$CO$21,15,CC31&lt;$CP$21,16,CC31&lt;$CQ$21,17,CC31&lt;$CR$21,18,CC31&lt;$CS$21,19,CC31&lt;$CT$21,20,CC31&lt;$CU$21,21,CC31&lt;$CV$21,22,CC31&gt;=$CV$21,PROGRESS!$BN$6)</f>
        <v>0</v>
      </c>
      <c r="CD33" s="1833">
        <f>_xlfn.IFS(CD31&lt;$BZ$21,0,CD31&lt;$CA$21,1,CD31&lt;$CB$21,2,CD31&lt;$CC$21,3,CD31&lt;$CD$21,4,CD31&lt;$CE$21,5,CD31&lt;$CF$21,6,CD31&lt;$CG$21,7,CD31&lt;$CH$21,8,CD31&lt;$CI$21,9,CD31&lt;$CJ$21,10,CD31&lt;$CK$21,11,CD31&lt;$CL$21,12,CD31&lt;$CM$21,13,CD31&lt;$CN$21,14,CD31&lt;$CO$21,15,CD31&lt;$CP$21,16,CD31&lt;$CQ$21,17,CD31&lt;$CR$21,18,CD31&lt;$CS$21,19,CD31&lt;$CT$21,20,CD31&lt;$CU$21,21,CD31&lt;$CV$21,22,CD31&gt;=$CV$21,PROGRESS!$BN$7)</f>
        <v>0</v>
      </c>
      <c r="CE33" s="1833">
        <f>_xlfn.IFS(CE31&lt;$BZ$21,0,CE31&lt;$CA$21,1,CE31&lt;$CB$21,2,CE31&lt;$CC$21,3,CE31&lt;$CD$21,4,CE31&lt;$CE$21,5,CE31&lt;$CF$21,6,CE31&lt;$CG$21,7,CE31&lt;$CH$21,8,CE31&lt;$CI$21,9,CE31&lt;$CJ$21,10,CE31&lt;$CK$21,11,CE31&lt;$CL$21,12,CE31&lt;$CM$21,13,CE31&lt;$CN$21,14,CE31&lt;$CO$21,15,CE31&lt;$CP$21,16,CE31&lt;$CQ$21,17,CE31&lt;$CR$21,18,CE31&lt;$CS$21,19,CE31&lt;$CT$21,20,CE31&lt;$CU$21,21,CE31&lt;$CV$21,22,CE31&gt;=$CV$21,PROGRESS!$BN$8)</f>
        <v>0</v>
      </c>
      <c r="CF33" s="1833">
        <f>_xlfn.IFS(CF31&lt;$BZ$21,0,CF31&lt;$CA$21,1,CF31&lt;$CB$21,2,CF31&lt;$CC$21,3,CF31&lt;$CD$21,4,CF31&lt;$CE$21,5,CF31&lt;$CF$21,6,CF31&lt;$CG$21,7,CF31&lt;$CH$21,8,CF31&lt;$CI$21,9,CF31&lt;$CJ$21,10,CF31&lt;$CK$21,11,CF31&lt;$CL$21,12,CF31&lt;$CM$21,13,CF31&lt;$CN$21,14,CF31&lt;$CO$21,15,CF31&lt;$CP$21,16,CF31&lt;$CQ$21,17,CF31&lt;$CR$21,18,CF31&lt;$CS$21,19,CF31&lt;$CT$21,20,CF31&lt;$CU$21,21,CF31&lt;$CV$21,22,CF31&gt;=$CV$21,PROGRESS!$BN$9)</f>
        <v>0</v>
      </c>
      <c r="CG33" s="1833">
        <f>_xlfn.IFS(CG31&lt;$BZ$21,0,CG31&lt;$CA$21,1,CG31&lt;$CB$21,2,CG31&lt;$CC$21,3,CG31&lt;$CD$21,4,CG31&lt;$CE$21,5,CG31&lt;$CF$21,6,CG31&lt;$CG$21,7,CG31&lt;$CH$21,8,CG31&lt;$CI$21,9,CG31&lt;$CJ$21,10,CG31&lt;$CK$21,11,CG31&lt;$CL$21,12,CG31&lt;$CM$21,13,CG31&lt;$CN$21,14,CG31&lt;$CO$21,15,CG31&lt;$CP$21,16,CG31&lt;$CQ$21,17,CG31&lt;$CR$21,18,CG31&lt;$CS$21,19,CG31&lt;$CT$21,20,CG31&lt;$CU$21,21,CG31&lt;$CV$21,22,CG31&gt;=$CV$21,PROGRESS!$BN$10)</f>
        <v>0</v>
      </c>
      <c r="CH33" s="1833">
        <f>_xlfn.IFS(CH31&lt;$BZ$21,0,CH31&lt;$CA$21,1,CH31&lt;$CB$21,2,CH31&lt;$CC$21,3,CH31&lt;$CD$21,4,CH31&lt;$CE$21,5,CH31&lt;$CF$21,6,CH31&lt;$CG$21,7,CH31&lt;$CH$21,8,CH31&lt;$CI$21,9,CH31&lt;$CJ$21,10,CH31&lt;$CK$21,11,CH31&lt;$CL$21,12,CH31&lt;$CM$21,13,CH31&lt;$CN$21,14,CH31&lt;$CO$21,15,CH31&lt;$CP$21,16,CH31&lt;$CQ$21,17,CH31&lt;$CR$21,18,CH31&lt;$CS$21,19,CH31&lt;$CT$21,20,CH31&lt;$CU$21,21,CH31&lt;$CV$21,22,CH31&gt;=$CV$21,PROGRESS!$BN$11)</f>
        <v>0</v>
      </c>
      <c r="CI33" s="1796"/>
      <c r="CJ33" s="1796"/>
      <c r="CK33" s="1796"/>
      <c r="CL33" s="1796"/>
      <c r="CM33" s="2635"/>
      <c r="CN33" s="2634"/>
      <c r="CQ33" s="2309" t="s">
        <v>1413</v>
      </c>
      <c r="CR33" s="2310"/>
      <c r="CS33" s="2310" t="s">
        <v>230</v>
      </c>
      <c r="CT33" s="2310"/>
      <c r="CU33" s="2310" t="s">
        <v>231</v>
      </c>
      <c r="CV33" s="2311"/>
      <c r="CX33" s="5139"/>
      <c r="CY33" s="1823" t="s">
        <v>40</v>
      </c>
      <c r="CZ33" s="1798" t="str">
        <f t="shared" si="7"/>
        <v/>
      </c>
      <c r="DA33" s="1798" t="str">
        <f t="shared" si="7"/>
        <v/>
      </c>
      <c r="DB33" s="1798" t="str">
        <f t="shared" si="7"/>
        <v/>
      </c>
      <c r="DC33" s="1798" t="str">
        <f t="shared" si="7"/>
        <v/>
      </c>
      <c r="DD33" s="1798" t="str">
        <f t="shared" si="7"/>
        <v/>
      </c>
      <c r="DE33" s="1798" t="str">
        <f t="shared" si="7"/>
        <v/>
      </c>
      <c r="DF33" s="1798" t="str">
        <f t="shared" si="7"/>
        <v/>
      </c>
      <c r="DG33" s="1798" t="str">
        <f t="shared" si="7"/>
        <v/>
      </c>
      <c r="DH33" s="1798" t="str">
        <f t="shared" si="7"/>
        <v/>
      </c>
      <c r="DI33" s="1799">
        <v>12</v>
      </c>
      <c r="DJ33" s="1800" t="e">
        <f t="shared" si="3"/>
        <v>#VALUE!</v>
      </c>
      <c r="DK33" s="1823" t="s">
        <v>40</v>
      </c>
      <c r="DL33" s="1798" t="str">
        <f t="shared" si="8"/>
        <v/>
      </c>
      <c r="DM33" s="1798" t="str">
        <f t="shared" si="8"/>
        <v/>
      </c>
      <c r="DN33" s="1798" t="str">
        <f t="shared" si="8"/>
        <v/>
      </c>
      <c r="DO33" s="1798" t="str">
        <f t="shared" si="8"/>
        <v/>
      </c>
      <c r="DP33" s="1798" t="str">
        <f t="shared" si="8"/>
        <v/>
      </c>
      <c r="DQ33" s="1798" t="str">
        <f t="shared" si="8"/>
        <v/>
      </c>
      <c r="DR33" s="1798" t="str">
        <f t="shared" si="8"/>
        <v/>
      </c>
      <c r="DS33" s="1798" t="str">
        <f t="shared" si="8"/>
        <v/>
      </c>
      <c r="DT33" s="1798" t="str">
        <f t="shared" si="8"/>
        <v/>
      </c>
      <c r="DV33" s="5099"/>
      <c r="DW33" s="1848" t="s">
        <v>494</v>
      </c>
      <c r="DX33" s="1849">
        <f ca="1">IF($DX$28="roll", RANDBETWEEN(DW41,DY41),0)</f>
        <v>0</v>
      </c>
      <c r="DY33" s="1793"/>
      <c r="DZ33" s="1850">
        <v>3771</v>
      </c>
      <c r="EB33" s="1829">
        <v>20</v>
      </c>
      <c r="EC33" s="1793">
        <f>ACTIONS!C14</f>
        <v>0</v>
      </c>
      <c r="ED33" s="1793">
        <f>ACTIONS!D14</f>
        <v>0</v>
      </c>
      <c r="EE33" s="1793">
        <f>ACTIONS!E14</f>
        <v>0</v>
      </c>
      <c r="EF33" s="1793">
        <f>ACTIONS!F14</f>
        <v>0</v>
      </c>
      <c r="EG33" s="1793">
        <f>ACTIONS!G14</f>
        <v>0</v>
      </c>
      <c r="EH33" s="1793">
        <f>ACTIONS!H14</f>
        <v>0</v>
      </c>
      <c r="EI33" s="1793">
        <f>ACTIONS!I14</f>
        <v>0</v>
      </c>
      <c r="EJ33" s="1793">
        <f>ACTIONS!J14</f>
        <v>0</v>
      </c>
      <c r="EK33" s="1793">
        <f>ACTIONS!K14</f>
        <v>0</v>
      </c>
      <c r="EM33" s="1829">
        <v>20</v>
      </c>
      <c r="EN33" s="1795">
        <f>ACTIONS!BQ14</f>
        <v>0</v>
      </c>
      <c r="EO33" s="1795">
        <f>ACTIONS!BR14</f>
        <v>0</v>
      </c>
      <c r="EP33" s="1795">
        <f>ACTIONS!BS14</f>
        <v>0</v>
      </c>
      <c r="EQ33" s="1795">
        <f>ACTIONS!BT14</f>
        <v>0</v>
      </c>
      <c r="ER33" s="1795">
        <f>ACTIONS!BU14</f>
        <v>0</v>
      </c>
      <c r="ES33" s="1795">
        <f>ACTIONS!BV14</f>
        <v>0</v>
      </c>
      <c r="ET33" s="1795">
        <f>ACTIONS!BW14</f>
        <v>0</v>
      </c>
      <c r="EU33" s="1795">
        <f>ACTIONS!BX14</f>
        <v>0</v>
      </c>
      <c r="EV33" s="1795">
        <f>ACTIONS!BY14</f>
        <v>0</v>
      </c>
      <c r="EW33" s="1796"/>
      <c r="EX33" s="1864"/>
      <c r="EY33" s="2411"/>
      <c r="EZ33" s="2406"/>
      <c r="FA33" s="1813" t="s">
        <v>1654</v>
      </c>
      <c r="FB33" s="2411"/>
      <c r="FC33" s="2407">
        <v>1</v>
      </c>
      <c r="FD33" s="2408">
        <v>1</v>
      </c>
      <c r="FE33" s="2409">
        <v>0.5</v>
      </c>
      <c r="FF33" s="2410">
        <v>0.5</v>
      </c>
      <c r="FG33" s="1865"/>
      <c r="FH33" s="2403"/>
      <c r="FI33" s="2553" cm="1">
        <f t="array" ref="FI33">_xlfn.IFS($FI$23=$FC$23,FC33,$FI$23=$FD$23,FD33,$FI$23=$FE$23,FE33,$FI$23=$FF$23,FF33,TRUE,FC33)</f>
        <v>1</v>
      </c>
      <c r="FJ33" s="1865"/>
      <c r="FL33" s="1919"/>
      <c r="FM33" s="5076"/>
      <c r="FN33" s="5076"/>
      <c r="FO33" s="5088"/>
      <c r="FP33" s="5089"/>
      <c r="FQ33" s="1210"/>
      <c r="FR33" s="5090"/>
      <c r="FS33" s="5091"/>
      <c r="FT33" s="5090"/>
      <c r="FU33" s="5091"/>
      <c r="FV33" s="5090"/>
      <c r="FW33" s="5091"/>
      <c r="FX33" s="1209"/>
      <c r="FY33" s="5096"/>
      <c r="FZ33" s="5097"/>
      <c r="GA33" s="1209"/>
      <c r="GB33" s="1219"/>
      <c r="GC33" s="1219"/>
      <c r="GD33" s="1887"/>
      <c r="GE33" s="5093"/>
      <c r="GF33" s="5093"/>
      <c r="GG33" s="12"/>
      <c r="GH33" s="5092"/>
      <c r="GI33" s="5092"/>
      <c r="GJ33" s="5092"/>
      <c r="GK33" s="5092"/>
      <c r="GL33" s="5092"/>
      <c r="GM33" s="5092"/>
      <c r="GN33" s="12"/>
      <c r="GO33" s="5093"/>
      <c r="GP33" s="5093"/>
      <c r="GQ33" s="1887"/>
      <c r="GR33" s="1887"/>
      <c r="GS33" s="1887"/>
      <c r="GT33" s="1887"/>
      <c r="GU33" s="5093"/>
      <c r="GV33" s="5093"/>
      <c r="GW33" s="12"/>
      <c r="GX33" s="5092"/>
      <c r="GY33" s="5092"/>
      <c r="GZ33" s="5092"/>
      <c r="HA33" s="5092"/>
      <c r="HB33" s="5092"/>
      <c r="HC33" s="5092"/>
      <c r="HD33" s="12"/>
      <c r="HE33" s="5093"/>
      <c r="HF33" s="5093"/>
      <c r="HG33" s="1887"/>
      <c r="HH33" s="1887"/>
      <c r="HI33" s="5075"/>
      <c r="HJ33" s="5075"/>
      <c r="HK33" s="5084"/>
      <c r="HL33" s="5085"/>
      <c r="HM33" s="12"/>
      <c r="HN33" s="5073"/>
      <c r="HO33" s="5074"/>
      <c r="HP33" s="5073"/>
      <c r="HQ33" s="5074"/>
      <c r="HR33" s="5073"/>
      <c r="HS33" s="5074"/>
      <c r="HT33" s="1219"/>
      <c r="HU33" s="5080"/>
      <c r="HV33" s="5081"/>
      <c r="HW33" s="1887"/>
      <c r="HX33" s="1218"/>
      <c r="IC33" s="1802">
        <v>11</v>
      </c>
      <c r="ID33" s="1814" t="s">
        <v>2296</v>
      </c>
      <c r="IE33" s="1814" t="s">
        <v>577</v>
      </c>
      <c r="IF33" s="1814" t="s">
        <v>624</v>
      </c>
      <c r="IG33" s="1814" t="s">
        <v>1130</v>
      </c>
      <c r="IH33" s="1814" t="s">
        <v>2188</v>
      </c>
      <c r="II33" s="1815" t="s">
        <v>2296</v>
      </c>
      <c r="IK33" s="1802">
        <v>11</v>
      </c>
      <c r="IL33" s="1814" t="s">
        <v>2287</v>
      </c>
      <c r="IM33" s="1814" t="s">
        <v>679</v>
      </c>
      <c r="IN33" s="1814" t="s">
        <v>191</v>
      </c>
      <c r="IO33" s="1814" t="s">
        <v>212</v>
      </c>
      <c r="IP33" s="1814" t="s">
        <v>567</v>
      </c>
      <c r="IQ33" s="1814" t="s">
        <v>573</v>
      </c>
      <c r="IR33" s="1814" t="s">
        <v>569</v>
      </c>
      <c r="IS33" s="1872" t="s">
        <v>2187</v>
      </c>
      <c r="IT33" s="1814" t="s">
        <v>2249</v>
      </c>
      <c r="IU33" s="1814" t="s">
        <v>2241</v>
      </c>
      <c r="IV33" s="1872" t="s">
        <v>1037</v>
      </c>
      <c r="IW33" s="1814" t="s">
        <v>2234</v>
      </c>
      <c r="IX33" s="1824"/>
      <c r="IY33" s="3387"/>
      <c r="IZ33" s="1826"/>
      <c r="JA33" s="1834"/>
      <c r="JC33" s="1802">
        <v>11</v>
      </c>
      <c r="JD33" s="1852" t="str">
        <f>IF(BOUNTY!$H109&lt;&gt;"",BOUNTY!$H109,BOUNTY!$H110)</f>
        <v>Non-fiction Book</v>
      </c>
      <c r="JE33" s="1852" t="str">
        <f>IF(BOUNTY!$U109&lt;&gt;"",BOUNTY!$U109,BOUNTY!$U110)</f>
        <v>Digital Download of Video Game of Choice</v>
      </c>
      <c r="JF33" s="1852" t="str">
        <f>IF(BOUNTY!$AH109&lt;&gt;"",BOUNTY!$AH109,BOUNTY!$AH110)</f>
        <v>Museum Ticket</v>
      </c>
      <c r="JG33" s="1852" t="str">
        <f>IF(BOUNTY!$AV109&lt;&gt;"",BOUNTY!$AV109,BOUNTY!$AV110)</f>
        <v>Winter Coat</v>
      </c>
      <c r="JH33" s="1852" t="str">
        <f>IF(BOUNTY!$BI109&lt;&gt;"",BOUNTY!$BI109,BOUNTY!$BI110)</f>
        <v>Film Digital Download</v>
      </c>
      <c r="JI33" s="1852" t="str">
        <f>IF(BOUNTY!$H134&lt;&gt;"",BOUNTY!$H134,BOUNTY!$H135)</f>
        <v>Gym Equipment</v>
      </c>
      <c r="JJ33" s="1852" t="str">
        <f>IF(BOUNTY!$U134&lt;&gt;"",BOUNTY!$U134,BOUNTY!$U135)</f>
        <v>Headphones</v>
      </c>
      <c r="JK33" s="1852" t="str">
        <f>IF(BOUNTY!$AH134&lt;&gt;"",BOUNTY!$AH134,BOUNTY!$AH135)</f>
        <v>Makeup</v>
      </c>
      <c r="JL33" s="1852" t="str">
        <f>IF(BOUNTY!$AV134&lt;&gt;"",BOUNTY!$AV134,BOUNTY!$AV135)</f>
        <v>Any Item on Sale</v>
      </c>
      <c r="JM33" s="1852" t="str">
        <f>IF(BOUNTY!$BI134&lt;&gt;"",BOUNTY!$BI134,BOUNTY!$BI135)</f>
        <v>Photography Wall Art</v>
      </c>
      <c r="JN33" s="1822"/>
      <c r="JO33" s="2169" t="s">
        <v>1802</v>
      </c>
      <c r="JP33" s="2012" t="s">
        <v>1800</v>
      </c>
      <c r="JQ33" s="2170" t="s">
        <v>1389</v>
      </c>
      <c r="JR33" s="1819" t="s">
        <v>1967</v>
      </c>
      <c r="JS33" s="1770"/>
      <c r="JT33" s="1828" t="s">
        <v>1945</v>
      </c>
      <c r="JU33" s="3082"/>
      <c r="JV33" s="1828" t="s">
        <v>2036</v>
      </c>
      <c r="JW33" s="3082"/>
      <c r="JX33" s="1828" t="s">
        <v>1854</v>
      </c>
      <c r="JY33" s="3082"/>
      <c r="JZ33" s="1828" t="s">
        <v>390</v>
      </c>
      <c r="KA33" s="3082"/>
      <c r="KB33" s="1828" t="s">
        <v>1953</v>
      </c>
      <c r="KC33" s="3082"/>
      <c r="KG33" s="1822"/>
      <c r="KH33" s="1821"/>
      <c r="KI33" s="1822"/>
      <c r="KJ33" s="1821"/>
      <c r="KK33" s="1822"/>
      <c r="KQ33" s="1930"/>
      <c r="KR33" s="3053"/>
      <c r="KS33" s="1930"/>
      <c r="KT33" s="1764"/>
      <c r="KV33" s="3048"/>
      <c r="KW33" s="3053"/>
      <c r="KX33" s="3048"/>
      <c r="KY33" s="1764"/>
      <c r="LA33" s="3048"/>
    </row>
    <row r="34" spans="2:313" ht="17.100000000000001" customHeight="1" thickBot="1" x14ac:dyDescent="0.35">
      <c r="B34" s="3314" t="str">
        <f t="shared" si="5"/>
        <v/>
      </c>
      <c r="C34" s="1780" t="s">
        <v>233</v>
      </c>
      <c r="D34" s="1836">
        <f>IF(OR(C34=$B$41,C35=$B$41),BOUNTY!$CC$5,0)</f>
        <v>0</v>
      </c>
      <c r="E34" s="1836">
        <f>IF(OR(C34=$B$41,C35=$B$41),BOUNTY!$AM$8,0)</f>
        <v>0</v>
      </c>
      <c r="F34" s="1836">
        <f>IF(OR(C34=$B$41,C35=$B$41),BOUNTY!$AG$74,0)</f>
        <v>0</v>
      </c>
      <c r="G34" s="1803">
        <f t="shared" si="6"/>
        <v>0</v>
      </c>
      <c r="H34" s="3101"/>
      <c r="I34" s="2980">
        <f>SUM($G$29:$G$34,$H$29:$H$34)</f>
        <v>0</v>
      </c>
      <c r="J34" s="1898" t="str">
        <f t="shared" si="15"/>
        <v/>
      </c>
      <c r="K34" s="3312" t="str">
        <f t="shared" si="16"/>
        <v/>
      </c>
      <c r="L34" s="3381"/>
      <c r="M34" s="3382"/>
      <c r="N34" s="3382"/>
      <c r="O34" s="3382"/>
      <c r="P34" s="3382"/>
      <c r="Q34" s="3382"/>
      <c r="R34" s="3382"/>
      <c r="S34" s="3382"/>
      <c r="T34" s="3382"/>
      <c r="U34" s="3382"/>
      <c r="V34" s="1774"/>
      <c r="W34" s="3381"/>
      <c r="X34" s="3382"/>
      <c r="Y34" s="3382"/>
      <c r="Z34" s="3382"/>
      <c r="AA34" s="3382"/>
      <c r="AB34" s="3382"/>
      <c r="AC34" s="3382"/>
      <c r="AD34" s="3382"/>
      <c r="AE34" s="3382"/>
      <c r="AF34" s="3382"/>
      <c r="AG34" s="1796"/>
      <c r="AH34" s="3312" t="str">
        <f t="shared" si="17"/>
        <v/>
      </c>
      <c r="AI34" s="3381"/>
      <c r="AJ34" s="3384"/>
      <c r="AK34" s="3382"/>
      <c r="AL34" s="3382"/>
      <c r="AM34" s="3382"/>
      <c r="AN34" s="3382"/>
      <c r="AO34" s="3382"/>
      <c r="AP34" s="3382"/>
      <c r="AQ34" s="3382"/>
      <c r="AR34" s="3382"/>
      <c r="AS34" s="3382"/>
      <c r="AT34" s="3213"/>
      <c r="AU34" s="3384"/>
      <c r="AV34" s="3382"/>
      <c r="AW34" s="3382"/>
      <c r="AX34" s="3382"/>
      <c r="AY34" s="3382"/>
      <c r="AZ34" s="3382"/>
      <c r="BA34" s="3382"/>
      <c r="BB34" s="3382"/>
      <c r="BC34" s="3382"/>
      <c r="BD34" s="3382"/>
      <c r="BE34" s="3311">
        <v>11</v>
      </c>
      <c r="BF34" s="1882" t="str">
        <f t="shared" si="9"/>
        <v/>
      </c>
      <c r="BG34" s="1883">
        <f t="shared" si="10"/>
        <v>0</v>
      </c>
      <c r="BH34" s="1884">
        <f t="shared" si="13"/>
        <v>0</v>
      </c>
      <c r="BJ34" s="1882">
        <f>'^'!$BK$49</f>
        <v>0</v>
      </c>
      <c r="BK34" s="1882" t="str">
        <f t="shared" si="12"/>
        <v/>
      </c>
      <c r="BL34" s="1883">
        <f t="shared" si="14"/>
        <v>0</v>
      </c>
      <c r="BM34" s="3309"/>
      <c r="BN34" s="3309"/>
      <c r="BO34" s="3309"/>
      <c r="BP34" s="3309"/>
      <c r="BQ34" s="3309"/>
      <c r="BR34" s="3309"/>
      <c r="BS34" s="3309"/>
      <c r="BT34" s="3309"/>
      <c r="BU34" s="3309"/>
      <c r="BV34" s="3309"/>
      <c r="BW34" s="3309"/>
      <c r="BX34" s="1796"/>
      <c r="BY34" s="1796"/>
      <c r="BZ34" s="1796"/>
      <c r="CA34" s="1796"/>
      <c r="CB34" s="1796"/>
      <c r="CC34" s="1796"/>
      <c r="CD34" s="1796"/>
      <c r="CE34" s="1796"/>
      <c r="CF34" s="1796"/>
      <c r="CG34" s="1796"/>
      <c r="CH34" s="1796"/>
      <c r="CM34" s="3377" t="s">
        <v>891</v>
      </c>
      <c r="CN34" s="3378">
        <f ca="1">ACTIONS!$CH$37</f>
        <v>3</v>
      </c>
      <c r="CQ34" s="2315" t="s">
        <v>1414</v>
      </c>
      <c r="CR34" s="2316"/>
      <c r="CS34" s="2316" t="s">
        <v>234</v>
      </c>
      <c r="CT34" s="2316"/>
      <c r="CU34" s="2316" t="s">
        <v>235</v>
      </c>
      <c r="CV34" s="2317"/>
      <c r="DV34" s="5100"/>
      <c r="DW34" s="1848" t="s">
        <v>1406</v>
      </c>
      <c r="DX34" s="1849">
        <f ca="1">IF($DX$28="roll", RANDBETWEEN(DW42,DY42),0)</f>
        <v>0</v>
      </c>
      <c r="DY34" s="1793"/>
      <c r="DZ34" s="1850">
        <v>2511</v>
      </c>
      <c r="EB34" s="1829">
        <v>19</v>
      </c>
      <c r="EC34" s="1793">
        <f>ACTIONS!C15</f>
        <v>0</v>
      </c>
      <c r="ED34" s="1793">
        <f>ACTIONS!D15</f>
        <v>0</v>
      </c>
      <c r="EE34" s="1793">
        <f>ACTIONS!E15</f>
        <v>0</v>
      </c>
      <c r="EF34" s="1793">
        <f>ACTIONS!F15</f>
        <v>0</v>
      </c>
      <c r="EG34" s="1793">
        <f>ACTIONS!G15</f>
        <v>0</v>
      </c>
      <c r="EH34" s="1793">
        <f>ACTIONS!H15</f>
        <v>0</v>
      </c>
      <c r="EI34" s="1793">
        <f>ACTIONS!I15</f>
        <v>0</v>
      </c>
      <c r="EJ34" s="1793">
        <f>ACTIONS!J15</f>
        <v>0</v>
      </c>
      <c r="EK34" s="1793">
        <f>ACTIONS!K15</f>
        <v>0</v>
      </c>
      <c r="EM34" s="1829">
        <v>19</v>
      </c>
      <c r="EN34" s="1795">
        <f>ACTIONS!BQ15</f>
        <v>0</v>
      </c>
      <c r="EO34" s="1795">
        <f>ACTIONS!BR15</f>
        <v>0</v>
      </c>
      <c r="EP34" s="1795">
        <f>ACTIONS!BS15</f>
        <v>0</v>
      </c>
      <c r="EQ34" s="1795">
        <f>ACTIONS!BT15</f>
        <v>0</v>
      </c>
      <c r="ER34" s="1795">
        <f>ACTIONS!BU15</f>
        <v>0</v>
      </c>
      <c r="ES34" s="1795">
        <f>ACTIONS!BV15</f>
        <v>0</v>
      </c>
      <c r="ET34" s="1795">
        <f>ACTIONS!BW15</f>
        <v>0</v>
      </c>
      <c r="EU34" s="1795">
        <f>ACTIONS!BX15</f>
        <v>0</v>
      </c>
      <c r="EV34" s="1795">
        <f>ACTIONS!BY15</f>
        <v>0</v>
      </c>
      <c r="EW34" s="1796"/>
      <c r="EX34" s="2403"/>
      <c r="FA34" s="1808"/>
      <c r="FC34" s="2412"/>
      <c r="FD34" s="2412"/>
      <c r="FE34" s="2412"/>
      <c r="FF34" s="2412"/>
      <c r="FG34" s="2415"/>
      <c r="FH34" s="2414"/>
      <c r="FI34" s="2554"/>
      <c r="FJ34" s="1865"/>
      <c r="FL34" s="1919"/>
      <c r="FM34" s="5077" t="s">
        <v>531</v>
      </c>
      <c r="FN34" s="5075"/>
      <c r="FO34" s="5086" t="str">
        <f>IF(AND(FY34=$GQ$24,$GQ$24&lt;&gt;0),"fastest","")</f>
        <v/>
      </c>
      <c r="FP34" s="5087"/>
      <c r="FQ34" s="12"/>
      <c r="FR34" s="5080" t="str">
        <f>IF(ISERROR(FIND("[",MISSIONS!E14)),"", MID(MISSIONS!E14,SEARCH("[",MISSIONS!E14)+1,SEARCH("]",MISSIONS!E14,SEARCH("[",MISSIONS!E14)+1)-SEARCH("[",MISSIONS!E14)-1))</f>
        <v/>
      </c>
      <c r="FS34" s="5081"/>
      <c r="FT34" s="5080" t="str">
        <f>IF(FR34="","",IF(MID(FR34,2,1)="h",MID(FR34,1,1)*60,0))</f>
        <v/>
      </c>
      <c r="FU34" s="5081"/>
      <c r="FV34" s="5080" t="str" cm="1">
        <f t="array" ref="FV34">IF(FR34="","",
_xlfn.IFS(
AND(RIGHT(FR34,1)="m",LEN(FR34)=3),MID(FR34,1,2),
AND(RIGHT(FR34,1)="m",LEN(FR34)=5),MID(FR34,3,2),
AND(RIGHT(FR34,1)="m",LEN(FR34)=2),MID(FR34,1,1),
AND(RIGHT(FR34,1)="m",LEN(FR34)=4),MID(FR34,3,1),
TRUE,0)
)</f>
        <v/>
      </c>
      <c r="FW34" s="5081"/>
      <c r="FX34" s="1219"/>
      <c r="FY34" s="5094" t="str">
        <f>IF( MISSIONS!E14="","",
IF( OR(AND(MISSIONS!U14=100%,MISSIONS!U15=MISSIONS!$AP$2),FR34="",FR34="?",PLANS!$DI$81=1),"",FT34+FV34)
)</f>
        <v/>
      </c>
      <c r="FZ34" s="5095"/>
      <c r="GA34" s="1219"/>
      <c r="GB34" s="1219"/>
      <c r="GC34" s="5077" t="s">
        <v>917</v>
      </c>
      <c r="GD34" s="5075"/>
      <c r="GE34" s="5071" t="str">
        <f>IF(AND(GO34=$GQ$24,$GQ$24&lt;&gt;0),"fastest","")</f>
        <v/>
      </c>
      <c r="GF34" s="5072"/>
      <c r="GG34" s="1887"/>
      <c r="GH34" s="5073" t="str">
        <f>IF(ISERROR(FIND("[",MISSIONS!AB14)),"", MID(MISSIONS!AB14,SEARCH("[",MISSIONS!AB14)+1,SEARCH("]",MISSIONS!AB14,SEARCH("[",MISSIONS!AB14)+1)-SEARCH("[",MISSIONS!AB14)-1))</f>
        <v/>
      </c>
      <c r="GI34" s="5074"/>
      <c r="GJ34" s="5073" t="str">
        <f>IF(GH34="","",IF(MID(GH34,2,1)="h",MID(GH34,1,1)*60,0))</f>
        <v/>
      </c>
      <c r="GK34" s="5074"/>
      <c r="GL34" s="5073" t="str" cm="1">
        <f t="array" ref="GL34">IF(GH34="","",
_xlfn.IFS(
AND(RIGHT(GH34,1)="m",LEN(GH34)=3),MID(GH34,1,2),
AND(RIGHT(GH34,1)="m",LEN(GH34)=5),MID(GH34,3,2),
AND(RIGHT(GH34,1)="m",LEN(GH34)=2),MID(GH34,1,1),
AND(RIGHT(GH34,1)="m",LEN(GH34)=4),MID(GH34,3,1),
TRUE,0)
)</f>
        <v/>
      </c>
      <c r="GM34" s="5074"/>
      <c r="GN34" s="1219"/>
      <c r="GO34" s="5073" t="str">
        <f>IF( MISSIONS!AB14="", "",
IF( OR(MISSIONS!AM14&lt;&gt;"",MISSIONS!AL14=100%,GH34="",GH34="?"),"",GJ34+GL34)
)</f>
        <v/>
      </c>
      <c r="GP34" s="5074"/>
      <c r="GQ34" s="1887"/>
      <c r="GR34" s="1887"/>
      <c r="GS34" s="5077" t="s">
        <v>917</v>
      </c>
      <c r="GT34" s="5075"/>
      <c r="GU34" s="5071" t="str">
        <f>IF(AND(HE34=$GQ$24,$GQ$24&lt;&gt;0),"fastest","")</f>
        <v/>
      </c>
      <c r="GV34" s="5072"/>
      <c r="GW34" s="1887"/>
      <c r="GX34" s="5073" t="str">
        <f>IF(ISERROR(FIND("[",MISSIONS!AQ14)),"", MID(MISSIONS!AQ14,SEARCH("[",MISSIONS!AQ14)+1,SEARCH("]",MISSIONS!AQ14,SEARCH("[",MISSIONS!AQ14)+1)-SEARCH("[",MISSIONS!AQ14)-1))</f>
        <v/>
      </c>
      <c r="GY34" s="5074"/>
      <c r="GZ34" s="5073" t="str">
        <f>IF(GX34="","",IF(MID(GX34,2,1)="h",MID(GX34,1,1)*60,0))</f>
        <v/>
      </c>
      <c r="HA34" s="5074"/>
      <c r="HB34" s="5073" t="str" cm="1">
        <f t="array" ref="HB34">IF(GX34="","",
_xlfn.IFS(
AND(RIGHT(GX34,1)="m",LEN(GX34)=3),MID(GX34,1,2),
AND(RIGHT(GX34,1)="m",LEN(GX34)=5),MID(GX34,3,2),
AND(RIGHT(GX34,1)="m",LEN(GX34)=2),MID(GX34,1,1),
AND(RIGHT(GX34,1)="m",LEN(GX34)=4),MID(GX34,3,1),
TRUE,0)
)</f>
        <v/>
      </c>
      <c r="HC34" s="5074"/>
      <c r="HD34" s="1219"/>
      <c r="HE34" s="5073" t="str">
        <f>IF( MISSIONS!AQ14="", "",
IF( OR(MISSIONS!AO14&lt;&gt;"",MISSIONS!AP14=100%,GX34="",GX34="?"),"",GZ34+HB34)
)</f>
        <v/>
      </c>
      <c r="HF34" s="5074"/>
      <c r="HG34" s="1887"/>
      <c r="HH34" s="1887"/>
      <c r="HI34" s="5077" t="s">
        <v>733</v>
      </c>
      <c r="HJ34" s="5075"/>
      <c r="HK34" s="5082" t="str">
        <f>IF(AND(HU34=$GQ$24,$GQ$24&lt;&gt;0),"fastest","")</f>
        <v/>
      </c>
      <c r="HL34" s="5083"/>
      <c r="HM34" s="12"/>
      <c r="HN34" s="5073" t="str">
        <f>IF(ISERROR(FIND("[",MISSIONS!BH14)),"", MID(MISSIONS!BH14,SEARCH("[",MISSIONS!BH14)+1,SEARCH("]",MISSIONS!BH14,SEARCH("[",MISSIONS!BH14)+1)-SEARCH("[",MISSIONS!BH14)-1))</f>
        <v/>
      </c>
      <c r="HO34" s="5074"/>
      <c r="HP34" s="5073" t="str">
        <f>IF(HN34="","",IF(MID(HN34,2,1)="h",MID(HN34,1,1)*60,0))</f>
        <v/>
      </c>
      <c r="HQ34" s="5074"/>
      <c r="HR34" s="5073" t="str" cm="1">
        <f t="array" ref="HR34">IF(HN34="","",
_xlfn.IFS(
AND(RIGHT(HN34,1)="m",LEN(HN34)=3),MID(HN34,1,2),
AND(RIGHT(HN34,1)="m",LEN(HN34)=5),MID(HN34,3,2),
AND(RIGHT(HN34,1)="m",LEN(HN34)=2),MID(HN34,1,1),
AND(RIGHT(HN34,1)="m",LEN(HN34)=4),MID(HN34,3,1),
TRUE,0)
)</f>
        <v/>
      </c>
      <c r="HS34" s="5074"/>
      <c r="HT34" s="1219"/>
      <c r="HU34" s="5078" t="str">
        <f>IF( MISSIONS!BH14="", "",
IF( OR(MISSIONS!BF14&lt;&gt;"",MISSIONS!BG14=100%,HN34="",HN34="?"),"",HP34+HR34)
)</f>
        <v/>
      </c>
      <c r="HV34" s="5079"/>
      <c r="HW34" s="1887"/>
      <c r="HX34" s="1220"/>
      <c r="IC34" s="1804">
        <v>12</v>
      </c>
      <c r="ID34" s="1814" t="s">
        <v>2297</v>
      </c>
      <c r="IE34" s="1814" t="s">
        <v>623</v>
      </c>
      <c r="IF34" s="1814" t="s">
        <v>2308</v>
      </c>
      <c r="IG34" s="1814" t="s">
        <v>1006</v>
      </c>
      <c r="IH34" s="1814" t="s">
        <v>1134</v>
      </c>
      <c r="II34" s="1815" t="s">
        <v>2297</v>
      </c>
      <c r="IK34" s="1804">
        <v>12</v>
      </c>
      <c r="IL34" s="1814" t="s">
        <v>602</v>
      </c>
      <c r="IM34" s="1814" t="s">
        <v>2283</v>
      </c>
      <c r="IN34" s="1814" t="s">
        <v>1009</v>
      </c>
      <c r="IO34" s="1872" t="s">
        <v>2176</v>
      </c>
      <c r="IP34" s="1814" t="s">
        <v>599</v>
      </c>
      <c r="IQ34" s="1814" t="s">
        <v>2264</v>
      </c>
      <c r="IR34" s="1814" t="s">
        <v>677</v>
      </c>
      <c r="IS34" s="1814" t="s">
        <v>655</v>
      </c>
      <c r="IT34" s="1872" t="s">
        <v>1034</v>
      </c>
      <c r="IU34" s="1814" t="s">
        <v>609</v>
      </c>
      <c r="IV34" s="1872" t="s">
        <v>2181</v>
      </c>
      <c r="IW34" s="1814" t="s">
        <v>2235</v>
      </c>
      <c r="IX34" s="1824"/>
      <c r="IY34" s="1825"/>
      <c r="IZ34" s="1826"/>
      <c r="JA34" s="1834"/>
      <c r="JC34" s="1802">
        <v>12</v>
      </c>
      <c r="JD34" s="1852" t="str">
        <f>IF(BOUNTY!$H111&lt;&gt;"",BOUNTY!$H111,BOUNTY!$H112)</f>
        <v>Audiobook</v>
      </c>
      <c r="JE34" s="1852" t="str">
        <f>IF(BOUNTY!$U111&lt;&gt;"",BOUNTY!$U111,BOUNTY!$U112)</f>
        <v>Physical Copy of Video Game of Choice</v>
      </c>
      <c r="JF34" s="1852" t="str">
        <f>IF(BOUNTY!$AH111&lt;&gt;"",BOUNTY!$AH111,BOUNTY!$AH112)</f>
        <v>Art Gallery Ticket</v>
      </c>
      <c r="JG34" s="1852" t="str">
        <f>IF(BOUNTY!$AV111&lt;&gt;"",BOUNTY!$AV111,BOUNTY!$AV112)</f>
        <v>Casual Jacket</v>
      </c>
      <c r="JH34" s="1852" t="str">
        <f>IF(BOUNTY!$BI111&lt;&gt;"",BOUNTY!$BI111,BOUNTY!$BI112)</f>
        <v>Music Album Digital Download</v>
      </c>
      <c r="JI34" s="1852" t="str">
        <f>IF(BOUNTY!$H136&lt;&gt;"",BOUNTY!$H136,BOUNTY!$H137)</f>
        <v>Weight Training Equipment</v>
      </c>
      <c r="JJ34" s="1852" t="str">
        <f>IF(BOUNTY!$U136&lt;&gt;"",BOUNTY!$U136,BOUNTY!$U137)</f>
        <v>Binocculars</v>
      </c>
      <c r="JK34" s="1852" t="str">
        <f>IF(BOUNTY!$AH136&lt;&gt;"",BOUNTY!$AH136,BOUNTY!$AH137)</f>
        <v>Scented Candle</v>
      </c>
      <c r="JL34" s="1852" t="str">
        <f>IF(BOUNTY!$AV136&lt;&gt;"",BOUNTY!$AV136,BOUNTY!$AV137)</f>
        <v>Any Item on Sale</v>
      </c>
      <c r="JM34" s="1852" t="str">
        <f>IF(BOUNTY!$BI136&lt;&gt;"",BOUNTY!$BI136,BOUNTY!$BI137)</f>
        <v>Painting Wall Art</v>
      </c>
      <c r="JN34" s="1822"/>
      <c r="JO34" s="2169" t="s">
        <v>1803</v>
      </c>
      <c r="JP34" s="2012" t="s">
        <v>1801</v>
      </c>
      <c r="JQ34" s="2170" t="s">
        <v>1306</v>
      </c>
      <c r="JR34" s="1832" t="s">
        <v>378</v>
      </c>
      <c r="JS34" s="1770"/>
      <c r="JT34" s="1828" t="s">
        <v>1946</v>
      </c>
      <c r="JU34" s="3082"/>
      <c r="JV34" s="1828" t="s">
        <v>2037</v>
      </c>
      <c r="JW34" s="3082"/>
      <c r="JX34" s="1828" t="s">
        <v>1855</v>
      </c>
      <c r="JY34" s="3082"/>
      <c r="JZ34" s="1828" t="s">
        <v>393</v>
      </c>
      <c r="KA34" s="3082"/>
      <c r="KB34" s="1828" t="s">
        <v>1867</v>
      </c>
      <c r="KC34" s="3082"/>
      <c r="KG34" s="1822"/>
      <c r="KH34" s="1821"/>
      <c r="KI34" s="1822"/>
      <c r="KJ34" s="1821"/>
      <c r="KK34" s="1822"/>
      <c r="KQ34" s="1930"/>
      <c r="KR34" s="3053"/>
      <c r="KS34" s="1930"/>
      <c r="KT34" s="3053"/>
      <c r="KV34" s="3048"/>
      <c r="KW34" s="3053"/>
      <c r="KX34" s="3048"/>
      <c r="KY34" s="3053"/>
    </row>
    <row r="35" spans="2:313" ht="17.100000000000001" customHeight="1" thickBot="1" x14ac:dyDescent="0.35">
      <c r="B35" s="3314" t="str">
        <f t="shared" si="5"/>
        <v/>
      </c>
      <c r="C35" s="1780" t="str">
        <f>IF($B$41="DEC","DEC","")</f>
        <v/>
      </c>
      <c r="D35" s="3264"/>
      <c r="E35" s="3264"/>
      <c r="F35" s="3264"/>
      <c r="G35" s="1796"/>
      <c r="H35" s="1796"/>
      <c r="J35" s="1898" t="str">
        <f t="shared" si="15"/>
        <v/>
      </c>
      <c r="K35" s="3312" t="str">
        <f t="shared" si="16"/>
        <v/>
      </c>
      <c r="L35" s="3381"/>
      <c r="M35" s="3382"/>
      <c r="N35" s="3382"/>
      <c r="O35" s="3382"/>
      <c r="P35" s="3382"/>
      <c r="Q35" s="3382"/>
      <c r="R35" s="3382"/>
      <c r="S35" s="3382"/>
      <c r="T35" s="3382"/>
      <c r="U35" s="3382"/>
      <c r="V35" s="1774"/>
      <c r="W35" s="3381"/>
      <c r="X35" s="3382"/>
      <c r="Y35" s="3382"/>
      <c r="Z35" s="3382"/>
      <c r="AA35" s="3382"/>
      <c r="AB35" s="3382"/>
      <c r="AC35" s="3382"/>
      <c r="AD35" s="3382"/>
      <c r="AE35" s="3382"/>
      <c r="AF35" s="3382"/>
      <c r="AG35" s="1796"/>
      <c r="AH35" s="3312" t="str">
        <f t="shared" si="17"/>
        <v/>
      </c>
      <c r="AI35" s="3381"/>
      <c r="AJ35" s="3384"/>
      <c r="AK35" s="3382"/>
      <c r="AL35" s="3382"/>
      <c r="AM35" s="3382"/>
      <c r="AN35" s="3382"/>
      <c r="AO35" s="3382"/>
      <c r="AP35" s="3382"/>
      <c r="AQ35" s="3382"/>
      <c r="AR35" s="3382"/>
      <c r="AS35" s="3382"/>
      <c r="AT35" s="3213"/>
      <c r="AU35" s="3384"/>
      <c r="AV35" s="3382"/>
      <c r="AW35" s="3382"/>
      <c r="AX35" s="3382"/>
      <c r="AY35" s="3382"/>
      <c r="AZ35" s="3382"/>
      <c r="BA35" s="3382"/>
      <c r="BB35" s="3382"/>
      <c r="BC35" s="3382"/>
      <c r="BD35" s="3382"/>
      <c r="BE35" s="3311">
        <v>12</v>
      </c>
      <c r="BF35" s="1882" t="str">
        <f t="shared" si="9"/>
        <v/>
      </c>
      <c r="BG35" s="1883">
        <f t="shared" si="10"/>
        <v>0</v>
      </c>
      <c r="BH35" s="1884">
        <f t="shared" si="13"/>
        <v>0</v>
      </c>
      <c r="BX35" s="1796"/>
      <c r="BY35" s="1785"/>
      <c r="BZ35" s="1781" t="str">
        <f>'^'!$BW$47</f>
        <v/>
      </c>
      <c r="CA35" s="1796"/>
      <c r="CB35" s="1796"/>
      <c r="CC35" s="1796"/>
      <c r="CD35" s="1796"/>
      <c r="CE35" s="1796"/>
      <c r="CF35" s="1796"/>
      <c r="CG35" s="1796"/>
      <c r="CH35" s="1796"/>
      <c r="CM35" s="3377" t="s">
        <v>2430</v>
      </c>
      <c r="CN35" s="3378">
        <v>0</v>
      </c>
      <c r="CO35" s="1853"/>
      <c r="CP35" s="1853"/>
      <c r="CQ35" s="2306" t="s">
        <v>1420</v>
      </c>
      <c r="CR35" s="2307"/>
      <c r="CS35" s="2307"/>
      <c r="CT35" s="2307"/>
      <c r="CU35" s="2307"/>
      <c r="CV35" s="2308"/>
      <c r="CX35" s="5149" t="s">
        <v>968</v>
      </c>
      <c r="CY35" s="5150"/>
      <c r="CZ35" s="1854"/>
      <c r="DA35" s="1854"/>
      <c r="DB35" s="1854"/>
      <c r="DC35" s="1773" t="str">
        <f>ACTIONS!$C$34</f>
        <v>MND1</v>
      </c>
      <c r="DD35" s="1773" t="str">
        <f>ACTIONS!$D$34</f>
        <v>MND2</v>
      </c>
      <c r="DE35" s="1773" t="str">
        <f>ACTIONS!$E$34</f>
        <v>MND3</v>
      </c>
      <c r="DF35" s="1773" t="str">
        <f>ACTIONS!$F$34</f>
        <v>MND4</v>
      </c>
      <c r="DG35" s="1773" t="str">
        <f>ACTIONS!$G$34</f>
        <v>MND5</v>
      </c>
      <c r="DH35" s="1773" t="str">
        <f>ACTIONS!$H$34</f>
        <v>MND6</v>
      </c>
      <c r="DI35" s="1773" t="str">
        <f>ACTIONS!$I$34</f>
        <v>MND7</v>
      </c>
      <c r="DJ35" s="1773" t="str">
        <f>ACTIONS!$J$34</f>
        <v>MND8</v>
      </c>
      <c r="DK35" s="1773" t="str">
        <f>ACTIONS!$K$34</f>
        <v>MND9</v>
      </c>
      <c r="DL35" s="1773" t="str">
        <f>ACTIONS!$BQ$34</f>
        <v>BDY1</v>
      </c>
      <c r="DM35" s="1773" t="str">
        <f>ACTIONS!$BR$34</f>
        <v>BDY2</v>
      </c>
      <c r="DN35" s="1773" t="str">
        <f>ACTIONS!$BS$34</f>
        <v>BDY3</v>
      </c>
      <c r="DO35" s="1773" t="str">
        <f>ACTIONS!$BT$34</f>
        <v>BDY4</v>
      </c>
      <c r="DP35" s="1773" t="str">
        <f>ACTIONS!$BU$34</f>
        <v>BDY5</v>
      </c>
      <c r="DQ35" s="1773" t="str">
        <f>ACTIONS!$BV$34</f>
        <v>BDY6</v>
      </c>
      <c r="DR35" s="1773" t="str">
        <f>ACTIONS!$BW$34</f>
        <v>BDY7</v>
      </c>
      <c r="DS35" s="1773" t="str">
        <f>ACTIONS!$BX$34</f>
        <v>BDY8</v>
      </c>
      <c r="DT35" s="1773" t="str">
        <f>ACTIONS!$BY$34</f>
        <v>BDY9</v>
      </c>
      <c r="DV35" s="1175"/>
      <c r="DW35" s="1175"/>
      <c r="DX35" s="1858">
        <f ca="1">COUNTIF(DX30:DX34,"&gt;0")</f>
        <v>0</v>
      </c>
      <c r="DY35" s="1796"/>
      <c r="DZ35" s="1858">
        <f>COUNTIF(DZ30:DZ34,"&gt;0")</f>
        <v>5</v>
      </c>
      <c r="EB35" s="1829">
        <v>18</v>
      </c>
      <c r="EC35" s="1793">
        <f>ACTIONS!C16</f>
        <v>0</v>
      </c>
      <c r="ED35" s="1793">
        <f>ACTIONS!D16</f>
        <v>0</v>
      </c>
      <c r="EE35" s="1793">
        <f>ACTIONS!E16</f>
        <v>0</v>
      </c>
      <c r="EF35" s="1793">
        <f>ACTIONS!F16</f>
        <v>0</v>
      </c>
      <c r="EG35" s="1793">
        <f>ACTIONS!G16</f>
        <v>0</v>
      </c>
      <c r="EH35" s="1793">
        <f>ACTIONS!H16</f>
        <v>0</v>
      </c>
      <c r="EI35" s="1793">
        <f>ACTIONS!I16</f>
        <v>0</v>
      </c>
      <c r="EJ35" s="1793">
        <f>ACTIONS!J16</f>
        <v>0</v>
      </c>
      <c r="EK35" s="1793">
        <f>ACTIONS!K16</f>
        <v>0</v>
      </c>
      <c r="EM35" s="1829">
        <v>18</v>
      </c>
      <c r="EN35" s="1795">
        <f>ACTIONS!BQ16</f>
        <v>0</v>
      </c>
      <c r="EO35" s="1795">
        <f>ACTIONS!BR16</f>
        <v>0</v>
      </c>
      <c r="EP35" s="1795">
        <f>ACTIONS!BS16</f>
        <v>0</v>
      </c>
      <c r="EQ35" s="1795">
        <f>ACTIONS!BT16</f>
        <v>0</v>
      </c>
      <c r="ER35" s="1795">
        <f>ACTIONS!BU16</f>
        <v>0</v>
      </c>
      <c r="ES35" s="1795">
        <f>ACTIONS!BV16</f>
        <v>0</v>
      </c>
      <c r="ET35" s="1795">
        <f>ACTIONS!BW16</f>
        <v>0</v>
      </c>
      <c r="EU35" s="1795">
        <f>ACTIONS!BX16</f>
        <v>0</v>
      </c>
      <c r="EV35" s="1795">
        <f>ACTIONS!BY16</f>
        <v>0</v>
      </c>
      <c r="EW35" s="1796"/>
      <c r="EX35" s="1864"/>
      <c r="EY35" s="2411"/>
      <c r="EZ35" s="2406"/>
      <c r="FA35" s="1813" t="s">
        <v>1481</v>
      </c>
      <c r="FB35" s="2411"/>
      <c r="FC35" s="2407">
        <v>1</v>
      </c>
      <c r="FD35" s="2408">
        <v>0.5</v>
      </c>
      <c r="FE35" s="2409">
        <v>0.5</v>
      </c>
      <c r="FF35" s="2410">
        <v>0</v>
      </c>
      <c r="FG35" s="1865"/>
      <c r="FH35" s="2403"/>
      <c r="FI35" s="2553" cm="1">
        <f t="array" ref="FI35">_xlfn.IFS($FI$23=$FC$23,FC35,$FI$23=$FD$23,FD35,$FI$23=$FE$23,FE35,$FI$23=$FF$23,FF35,TRUE,FC35)</f>
        <v>1</v>
      </c>
      <c r="FJ35" s="1865"/>
      <c r="FL35" s="1919"/>
      <c r="FM35" s="5075"/>
      <c r="FN35" s="5075"/>
      <c r="FO35" s="5084"/>
      <c r="FP35" s="5085"/>
      <c r="FQ35" s="12"/>
      <c r="FR35" s="5073"/>
      <c r="FS35" s="5074"/>
      <c r="FT35" s="5073"/>
      <c r="FU35" s="5074"/>
      <c r="FV35" s="5073"/>
      <c r="FW35" s="5074"/>
      <c r="FX35" s="1219"/>
      <c r="FY35" s="5080"/>
      <c r="FZ35" s="5081"/>
      <c r="GA35" s="1219"/>
      <c r="GB35" s="1219"/>
      <c r="GC35" s="5075"/>
      <c r="GD35" s="5075"/>
      <c r="GE35" s="5071"/>
      <c r="GF35" s="5072"/>
      <c r="GG35" s="1887"/>
      <c r="GH35" s="5073"/>
      <c r="GI35" s="5074"/>
      <c r="GJ35" s="5073"/>
      <c r="GK35" s="5074"/>
      <c r="GL35" s="5073"/>
      <c r="GM35" s="5074"/>
      <c r="GN35" s="1219"/>
      <c r="GO35" s="5073"/>
      <c r="GP35" s="5074"/>
      <c r="GQ35" s="1887"/>
      <c r="GR35" s="1887"/>
      <c r="GS35" s="5075"/>
      <c r="GT35" s="5075"/>
      <c r="GU35" s="5071"/>
      <c r="GV35" s="5072"/>
      <c r="GW35" s="1887"/>
      <c r="GX35" s="5073"/>
      <c r="GY35" s="5074"/>
      <c r="GZ35" s="5073"/>
      <c r="HA35" s="5074"/>
      <c r="HB35" s="5073"/>
      <c r="HC35" s="5074"/>
      <c r="HD35" s="1219"/>
      <c r="HE35" s="5073"/>
      <c r="HF35" s="5074"/>
      <c r="HG35" s="1887"/>
      <c r="HH35" s="1887"/>
      <c r="HI35" s="5075"/>
      <c r="HJ35" s="5075"/>
      <c r="HK35" s="5084"/>
      <c r="HL35" s="5085"/>
      <c r="HM35" s="12"/>
      <c r="HN35" s="5073"/>
      <c r="HO35" s="5074"/>
      <c r="HP35" s="5073"/>
      <c r="HQ35" s="5074"/>
      <c r="HR35" s="5073"/>
      <c r="HS35" s="5074"/>
      <c r="HT35" s="1219"/>
      <c r="HU35" s="5080"/>
      <c r="HV35" s="5081"/>
      <c r="HW35" s="1887"/>
      <c r="HX35" s="1220"/>
      <c r="IC35" s="1802">
        <v>13</v>
      </c>
      <c r="ID35" s="1814" t="s">
        <v>2321</v>
      </c>
      <c r="IE35" s="1814" t="s">
        <v>589</v>
      </c>
      <c r="IF35" s="1814" t="s">
        <v>649</v>
      </c>
      <c r="IG35" s="1814" t="s">
        <v>1008</v>
      </c>
      <c r="IH35" s="1814" t="s">
        <v>2077</v>
      </c>
      <c r="II35" s="1815" t="s">
        <v>2321</v>
      </c>
      <c r="IK35" s="1802">
        <v>13</v>
      </c>
      <c r="IL35" s="1814" t="s">
        <v>591</v>
      </c>
      <c r="IM35" s="1814" t="s">
        <v>2284</v>
      </c>
      <c r="IN35" s="1814" t="s">
        <v>2280</v>
      </c>
      <c r="IO35" s="1872" t="s">
        <v>2070</v>
      </c>
      <c r="IP35" s="1872" t="s">
        <v>1047</v>
      </c>
      <c r="IQ35" s="1814" t="s">
        <v>2265</v>
      </c>
      <c r="IR35" s="1872" t="s">
        <v>1029</v>
      </c>
      <c r="IS35" s="1814" t="s">
        <v>2216</v>
      </c>
      <c r="IT35" s="1814" t="s">
        <v>1178</v>
      </c>
      <c r="IU35" s="1814" t="s">
        <v>2242</v>
      </c>
      <c r="IV35" s="1814" t="s">
        <v>630</v>
      </c>
      <c r="IW35" s="1814" t="s">
        <v>2236</v>
      </c>
      <c r="IX35" s="1824"/>
      <c r="IY35" s="1825"/>
      <c r="IZ35" s="1826"/>
      <c r="JA35" s="1834"/>
      <c r="JC35" s="1802">
        <v>13</v>
      </c>
      <c r="JD35" s="1852" t="str">
        <f>IF(BOUNTY!$H113&lt;&gt;"",BOUNTY!$H113,BOUNTY!$H114)</f>
        <v>Art Book</v>
      </c>
      <c r="JE35" s="1852" t="str">
        <f>IF(BOUNTY!$U113&lt;&gt;"",BOUNTY!$U113,BOUNTY!$U114)</f>
        <v>Physical Copy of Video Game of Choice</v>
      </c>
      <c r="JF35" s="1852" t="str">
        <f>IF(BOUNTY!$AH113&lt;&gt;"",BOUNTY!$AH113,BOUNTY!$AH114)</f>
        <v>Music Concert Ticket</v>
      </c>
      <c r="JG35" s="1852" t="str">
        <f>IF(BOUNTY!$AV113&lt;&gt;"",BOUNTY!$AV113,BOUNTY!$AV114)</f>
        <v>Smart Jacket</v>
      </c>
      <c r="JH35" s="1852" t="str">
        <f>IF(BOUNTY!$BI113&lt;&gt;"",BOUNTY!$BI113,BOUNTY!$BI114)</f>
        <v>TV Series Full Season Blu-ray</v>
      </c>
      <c r="JI35" s="1852" t="str">
        <f>IF(BOUNTY!$H138&lt;&gt;"",BOUNTY!$H138,BOUNTY!$H139)</f>
        <v>Running Equipment</v>
      </c>
      <c r="JJ35" s="1852" t="str">
        <f>IF(BOUNTY!$U138&lt;&gt;"",BOUNTY!$U138,BOUNTY!$U139)</f>
        <v>Projector</v>
      </c>
      <c r="JK35" s="1852" t="str">
        <f>IF(BOUNTY!$AH138&lt;&gt;"",BOUNTY!$AH138,BOUNTY!$AH139)</f>
        <v>Houseplant</v>
      </c>
      <c r="JL35" s="1852" t="str">
        <f>IF(BOUNTY!$AV138&lt;&gt;"",BOUNTY!$AV138,BOUNTY!$AV139)</f>
        <v>Any hot drink in a Café</v>
      </c>
      <c r="JM35" s="1852" t="str">
        <f>IF(BOUNTY!$BI138&lt;&gt;"",BOUNTY!$BI138,BOUNTY!$BI139)</f>
        <v>Piece of Furniture</v>
      </c>
      <c r="JN35" s="1822"/>
      <c r="JO35" s="2169" t="s">
        <v>1453</v>
      </c>
      <c r="JP35" s="2012" t="s">
        <v>1456</v>
      </c>
      <c r="JQ35" s="2170" t="s">
        <v>2020</v>
      </c>
      <c r="JR35" s="1832" t="s">
        <v>386</v>
      </c>
      <c r="JS35" s="1770"/>
      <c r="JT35" s="1828" t="s">
        <v>1947</v>
      </c>
      <c r="JU35" s="3082"/>
      <c r="JV35" s="1828" t="s">
        <v>2038</v>
      </c>
      <c r="JW35" s="3082"/>
      <c r="JX35" s="1828" t="s">
        <v>1887</v>
      </c>
      <c r="JY35" s="3082"/>
      <c r="JZ35" s="1828" t="s">
        <v>1881</v>
      </c>
      <c r="KA35" s="3082"/>
      <c r="KB35" s="1828" t="s">
        <v>1868</v>
      </c>
      <c r="KC35" s="3082"/>
      <c r="KG35" s="1822"/>
      <c r="KH35" s="1821"/>
      <c r="KI35" s="1822"/>
      <c r="KJ35" s="1821"/>
      <c r="KK35" s="1822"/>
      <c r="KQ35" s="1930"/>
      <c r="KR35" s="3053"/>
      <c r="KS35" s="1930"/>
      <c r="KT35" s="3049"/>
      <c r="KV35" s="3048"/>
      <c r="KW35" s="3053"/>
      <c r="KX35" s="3048"/>
      <c r="KY35" s="3049"/>
    </row>
    <row r="36" spans="2:313" ht="17.100000000000001" customHeight="1" x14ac:dyDescent="0.3">
      <c r="C36" s="1866" t="s">
        <v>42</v>
      </c>
      <c r="D36" s="9" t="s">
        <v>2329</v>
      </c>
      <c r="J36" s="1898" t="str">
        <f t="shared" si="15"/>
        <v/>
      </c>
      <c r="K36" s="3312" t="str">
        <f t="shared" si="16"/>
        <v/>
      </c>
      <c r="L36" s="3381"/>
      <c r="M36" s="3382"/>
      <c r="N36" s="3382"/>
      <c r="O36" s="3382"/>
      <c r="P36" s="3382"/>
      <c r="Q36" s="3382"/>
      <c r="R36" s="3382"/>
      <c r="S36" s="3382"/>
      <c r="T36" s="3382"/>
      <c r="U36" s="3382"/>
      <c r="V36" s="1774"/>
      <c r="W36" s="3381"/>
      <c r="X36" s="3382"/>
      <c r="Y36" s="3382"/>
      <c r="Z36" s="3382"/>
      <c r="AA36" s="3382"/>
      <c r="AB36" s="3382"/>
      <c r="AC36" s="3382"/>
      <c r="AD36" s="3382"/>
      <c r="AE36" s="3382"/>
      <c r="AF36" s="3382"/>
      <c r="AG36" s="1796"/>
      <c r="AH36" s="3312" t="str">
        <f t="shared" si="17"/>
        <v/>
      </c>
      <c r="AI36" s="3381"/>
      <c r="AJ36" s="3384"/>
      <c r="AK36" s="3382"/>
      <c r="AL36" s="3382"/>
      <c r="AM36" s="3382"/>
      <c r="AN36" s="3382"/>
      <c r="AO36" s="3382"/>
      <c r="AP36" s="3382"/>
      <c r="AQ36" s="3382"/>
      <c r="AR36" s="3382"/>
      <c r="AS36" s="3382"/>
      <c r="AT36" s="3213"/>
      <c r="AU36" s="3384"/>
      <c r="AV36" s="3382"/>
      <c r="AW36" s="3382"/>
      <c r="AX36" s="3382"/>
      <c r="AY36" s="3382"/>
      <c r="AZ36" s="3382"/>
      <c r="BA36" s="3382"/>
      <c r="BB36" s="3382"/>
      <c r="BC36" s="3382"/>
      <c r="BD36" s="3382"/>
      <c r="BE36" s="3311">
        <v>13</v>
      </c>
      <c r="BF36" s="1882" t="str">
        <f t="shared" si="9"/>
        <v/>
      </c>
      <c r="BG36" s="1883">
        <f t="shared" si="10"/>
        <v>0</v>
      </c>
      <c r="BH36" s="1884">
        <f t="shared" si="13"/>
        <v>0</v>
      </c>
      <c r="BX36" s="1796"/>
      <c r="BY36" s="1781" t="s">
        <v>80</v>
      </c>
      <c r="BZ36" s="1779">
        <f>SUM(BZ28:CH28,BZ33:CH33)</f>
        <v>0</v>
      </c>
      <c r="CA36" s="1796"/>
      <c r="CB36" s="1796"/>
      <c r="CC36" s="1796"/>
      <c r="CD36" s="1796"/>
      <c r="CE36" s="1796"/>
      <c r="CF36" s="1796"/>
      <c r="CG36" s="1796"/>
      <c r="CH36" s="3209">
        <f>SUM(BZ27:CH27,BZ32:CH32)</f>
        <v>0</v>
      </c>
      <c r="CI36" s="1870" t="s">
        <v>1749</v>
      </c>
      <c r="CJ36" s="1861"/>
      <c r="CK36" s="1861"/>
      <c r="CL36" s="5135" t="s">
        <v>447</v>
      </c>
      <c r="CM36" s="5136"/>
      <c r="CN36" s="5137"/>
      <c r="CO36" s="1853"/>
      <c r="CP36" s="1862"/>
      <c r="CQ36" s="2309" t="s">
        <v>1417</v>
      </c>
      <c r="CR36" s="2310"/>
      <c r="CS36" s="2310" t="s">
        <v>2040</v>
      </c>
      <c r="CT36" s="2310"/>
      <c r="CU36" s="2310"/>
      <c r="CV36" s="2311"/>
      <c r="CX36" s="5151"/>
      <c r="CY36" s="5152"/>
      <c r="CZ36" s="1797" t="e">
        <f>VALUE( IF('^'!$BK$52=1,12,'^'!$BK$52-1) &amp;"/"&amp; IF('^'!$BK$52=1,'^'!$BK$55-1,'^'!$BK$55))</f>
        <v>#VALUE!</v>
      </c>
      <c r="DA36" s="5140" t="str">
        <f>_xlfn.IFS(
DA37="JANUARY","DECEMBER",
DA37="FEBRUARY","JANUARY",
DA37="MARCH","FEBRUARY",
DA37="APRIL","MARCH",
DA37="MAY","APRIL",
DA37="JUNE","MAY",
DA37="JULY","JUNE",
DA37="AUGUST","JULY",
DA37="SEPTEMBER","AUGUST",
DA37="OCTOBER","SEPTEMBER",
DA37="NOVEMBER","OCTOBER",
DA37="DECEMBER","NOVEMBER",
TRUE, "MONTH")</f>
        <v>MONTH</v>
      </c>
      <c r="DB36" s="5141"/>
      <c r="DC36" s="1810" t="e">
        <f>VLOOKUP($CZ$36,$L$23:$U$143,M20,FALSE)</f>
        <v>#VALUE!</v>
      </c>
      <c r="DD36" s="1810" t="e">
        <f t="shared" ref="DD36:DK36" si="22">VLOOKUP($CZ$36,$L$23:$U$143,N20,FALSE)</f>
        <v>#VALUE!</v>
      </c>
      <c r="DE36" s="1810" t="e">
        <f t="shared" si="22"/>
        <v>#VALUE!</v>
      </c>
      <c r="DF36" s="1810" t="e">
        <f t="shared" si="22"/>
        <v>#VALUE!</v>
      </c>
      <c r="DG36" s="1810" t="e">
        <f t="shared" si="22"/>
        <v>#VALUE!</v>
      </c>
      <c r="DH36" s="1810" t="e">
        <f t="shared" si="22"/>
        <v>#VALUE!</v>
      </c>
      <c r="DI36" s="1810" t="e">
        <f t="shared" si="22"/>
        <v>#VALUE!</v>
      </c>
      <c r="DJ36" s="1810" t="e">
        <f t="shared" si="22"/>
        <v>#VALUE!</v>
      </c>
      <c r="DK36" s="1810" t="e">
        <f t="shared" si="22"/>
        <v>#VALUE!</v>
      </c>
      <c r="DL36" s="1810" t="e">
        <f>VLOOKUP($CZ$36,$W$23:$AF$143,X20,FALSE)</f>
        <v>#VALUE!</v>
      </c>
      <c r="DM36" s="1810" t="e">
        <f t="shared" ref="DM36:DT36" si="23">VLOOKUP($CZ$36,$W$23:$AF$143,Y20,FALSE)</f>
        <v>#VALUE!</v>
      </c>
      <c r="DN36" s="1810" t="e">
        <f t="shared" si="23"/>
        <v>#VALUE!</v>
      </c>
      <c r="DO36" s="1810" t="e">
        <f t="shared" si="23"/>
        <v>#VALUE!</v>
      </c>
      <c r="DP36" s="1810" t="e">
        <f t="shared" si="23"/>
        <v>#VALUE!</v>
      </c>
      <c r="DQ36" s="1810" t="e">
        <f t="shared" si="23"/>
        <v>#VALUE!</v>
      </c>
      <c r="DR36" s="1810" t="e">
        <f t="shared" si="23"/>
        <v>#VALUE!</v>
      </c>
      <c r="DS36" s="1810" t="e">
        <f t="shared" si="23"/>
        <v>#VALUE!</v>
      </c>
      <c r="DT36" s="1810" t="e">
        <f t="shared" si="23"/>
        <v>#VALUE!</v>
      </c>
      <c r="DV36" s="1175"/>
      <c r="DW36" s="1175"/>
      <c r="DY36" s="1866"/>
      <c r="DZ36" s="1867"/>
      <c r="EB36" s="1829">
        <v>17</v>
      </c>
      <c r="EC36" s="1793">
        <f>ACTIONS!C17</f>
        <v>0</v>
      </c>
      <c r="ED36" s="1793">
        <f>ACTIONS!D17</f>
        <v>0</v>
      </c>
      <c r="EE36" s="1793">
        <f>ACTIONS!E17</f>
        <v>0</v>
      </c>
      <c r="EF36" s="1793">
        <f>ACTIONS!F17</f>
        <v>0</v>
      </c>
      <c r="EG36" s="1793">
        <f>ACTIONS!G17</f>
        <v>0</v>
      </c>
      <c r="EH36" s="1793">
        <f>ACTIONS!H17</f>
        <v>0</v>
      </c>
      <c r="EI36" s="1793">
        <f>ACTIONS!I17</f>
        <v>0</v>
      </c>
      <c r="EJ36" s="1793">
        <f>ACTIONS!J17</f>
        <v>0</v>
      </c>
      <c r="EK36" s="1793">
        <f>ACTIONS!K17</f>
        <v>0</v>
      </c>
      <c r="EM36" s="1829">
        <v>17</v>
      </c>
      <c r="EN36" s="1795">
        <f>ACTIONS!BQ17</f>
        <v>0</v>
      </c>
      <c r="EO36" s="1795">
        <f>ACTIONS!BR17</f>
        <v>0</v>
      </c>
      <c r="EP36" s="1795">
        <f>ACTIONS!BS17</f>
        <v>0</v>
      </c>
      <c r="EQ36" s="1795">
        <f>ACTIONS!BT17</f>
        <v>0</v>
      </c>
      <c r="ER36" s="1795">
        <f>ACTIONS!BU17</f>
        <v>0</v>
      </c>
      <c r="ES36" s="1795">
        <f>ACTIONS!BV17</f>
        <v>0</v>
      </c>
      <c r="ET36" s="1795">
        <f>ACTIONS!BW17</f>
        <v>0</v>
      </c>
      <c r="EU36" s="1795">
        <f>ACTIONS!BX17</f>
        <v>0</v>
      </c>
      <c r="EV36" s="1795">
        <f>ACTIONS!BY17</f>
        <v>0</v>
      </c>
      <c r="EW36" s="1796"/>
      <c r="EX36" s="1864"/>
      <c r="EY36" s="2411"/>
      <c r="EZ36" s="2406"/>
      <c r="FA36" s="1813" t="s">
        <v>1487</v>
      </c>
      <c r="FB36" s="2411"/>
      <c r="FC36" s="2407">
        <v>0.5</v>
      </c>
      <c r="FD36" s="2408">
        <v>0.5</v>
      </c>
      <c r="FE36" s="2409">
        <v>0</v>
      </c>
      <c r="FF36" s="2410">
        <v>0</v>
      </c>
      <c r="FG36" s="1865"/>
      <c r="FH36" s="2403"/>
      <c r="FI36" s="2553" cm="1">
        <f t="array" ref="FI36">_xlfn.IFS($FI$23=$FC$23,FC36,$FI$23=$FD$23,FD36,$FI$23=$FE$23,FE36,$FI$23=$FF$23,FF36,TRUE,FC36)</f>
        <v>0.5</v>
      </c>
      <c r="FJ36" s="1865"/>
      <c r="FL36" s="1919"/>
      <c r="FM36" s="5077" t="s">
        <v>532</v>
      </c>
      <c r="FN36" s="5075"/>
      <c r="FO36" s="5082" t="str">
        <f>IF(AND(FY36=$GQ$24,$GQ$24&lt;&gt;0),"fastest","")</f>
        <v/>
      </c>
      <c r="FP36" s="5083"/>
      <c r="FQ36" s="12"/>
      <c r="FR36" s="5073" t="str">
        <f>IF(ISERROR(FIND("[",MISSIONS!E16)),"", MID(MISSIONS!E16,SEARCH("[",MISSIONS!E16)+1,SEARCH("]",MISSIONS!E16,SEARCH("[",MISSIONS!E16)+1)-SEARCH("[",MISSIONS!E16)-1))</f>
        <v/>
      </c>
      <c r="FS36" s="5074"/>
      <c r="FT36" s="5073" t="str">
        <f>IF(FR36="","",IF(MID(FR36,2,1)="h",MID(FR36,1,1)*60,0))</f>
        <v/>
      </c>
      <c r="FU36" s="5074"/>
      <c r="FV36" s="5073" t="str" cm="1">
        <f t="array" ref="FV36">IF(FR36="","",
_xlfn.IFS(
AND(RIGHT(FR36,1)="m",LEN(FR36)=3),MID(FR36,1,2),
AND(RIGHT(FR36,1)="m",LEN(FR36)=5),MID(FR36,3,2),
AND(RIGHT(FR36,1)="m",LEN(FR36)=2),MID(FR36,1,1),
AND(RIGHT(FR36,1)="m",LEN(FR36)=4),MID(FR36,3,1),
TRUE,0)
)</f>
        <v/>
      </c>
      <c r="FW36" s="5074"/>
      <c r="FX36" s="1219"/>
      <c r="FY36" s="5078" t="str">
        <f>IF( MISSIONS!E16="","",
IF( OR(AND(MISSIONS!U16=100%,MISSIONS!U17=MISSIONS!$AP$2),FR36="",FR36="?",PLANS!$DI$81=1),"",FT36+FV36)
)</f>
        <v/>
      </c>
      <c r="FZ36" s="5079"/>
      <c r="GA36" s="1219"/>
      <c r="GB36" s="1219"/>
      <c r="GC36" s="5077" t="s">
        <v>918</v>
      </c>
      <c r="GD36" s="5075"/>
      <c r="GE36" s="5071" t="str">
        <f>IF(AND(GO36=$GQ$24,$GQ$24&lt;&gt;0),"fastest","")</f>
        <v/>
      </c>
      <c r="GF36" s="5072"/>
      <c r="GG36" s="1887"/>
      <c r="GH36" s="5073" t="str">
        <f>IF(ISERROR(FIND("[",MISSIONS!AB16)),"", MID(MISSIONS!AB16,SEARCH("[",MISSIONS!AB16)+1,SEARCH("]",MISSIONS!AB16,SEARCH("[",MISSIONS!AB16)+1)-SEARCH("[",MISSIONS!AB16)-1))</f>
        <v/>
      </c>
      <c r="GI36" s="5074"/>
      <c r="GJ36" s="5073" t="str">
        <f>IF(GH36="","",IF(MID(GH36,2,1)="h",MID(GH36,1,1)*60,0))</f>
        <v/>
      </c>
      <c r="GK36" s="5074"/>
      <c r="GL36" s="5073" t="str" cm="1">
        <f t="array" ref="GL36">IF(GH36="","",
_xlfn.IFS(
AND(RIGHT(GH36,1)="m",LEN(GH36)=3),MID(GH36,1,2),
AND(RIGHT(GH36,1)="m",LEN(GH36)=5),MID(GH36,3,2),
AND(RIGHT(GH36,1)="m",LEN(GH36)=2),MID(GH36,1,1),
AND(RIGHT(GH36,1)="m",LEN(GH36)=4),MID(GH36,3,1),
TRUE,0)
)</f>
        <v/>
      </c>
      <c r="GM36" s="5074"/>
      <c r="GN36" s="1219"/>
      <c r="GO36" s="5078" t="str">
        <f>IF( MISSIONS!AB16="", "",
IF( OR(MISSIONS!AM16&lt;&gt;"",MISSIONS!AL16=100%,GH36="",GH36="?"),"",GJ36+GL36)
)</f>
        <v/>
      </c>
      <c r="GP36" s="5079"/>
      <c r="GQ36" s="1887"/>
      <c r="GR36" s="1887"/>
      <c r="GS36" s="5077" t="s">
        <v>918</v>
      </c>
      <c r="GT36" s="5075"/>
      <c r="GU36" s="5071" t="str">
        <f>IF(AND(HE36=$GQ$24,$GQ$24&lt;&gt;0),"fastest","")</f>
        <v/>
      </c>
      <c r="GV36" s="5072"/>
      <c r="GW36" s="1887"/>
      <c r="GX36" s="5073" t="str">
        <f>IF(ISERROR(FIND("[",MISSIONS!AQ16)),"", MID(MISSIONS!AQ16,SEARCH("[",MISSIONS!AQ16)+1,SEARCH("]",MISSIONS!AQ16,SEARCH("[",MISSIONS!AQ16)+1)-SEARCH("[",MISSIONS!AQ16)-1))</f>
        <v/>
      </c>
      <c r="GY36" s="5074"/>
      <c r="GZ36" s="5073" t="str">
        <f>IF(GX36="","",IF(MID(GX36,2,1)="h",MID(GX36,1,1)*60,0))</f>
        <v/>
      </c>
      <c r="HA36" s="5074"/>
      <c r="HB36" s="5073" t="str" cm="1">
        <f t="array" ref="HB36">IF(GX36="","",
_xlfn.IFS(
AND(RIGHT(GX36,1)="m",LEN(GX36)=3),MID(GX36,1,2),
AND(RIGHT(GX36,1)="m",LEN(GX36)=5),MID(GX36,3,2),
AND(RIGHT(GX36,1)="m",LEN(GX36)=2),MID(GX36,1,1),
AND(RIGHT(GX36,1)="m",LEN(GX36)=4),MID(GX36,3,1),
TRUE,0)
)</f>
        <v/>
      </c>
      <c r="HC36" s="5074"/>
      <c r="HD36" s="1219"/>
      <c r="HE36" s="5078" t="str">
        <f>IF( MISSIONS!AQ16="", "",
IF( OR(MISSIONS!AO16&lt;&gt;"",MISSIONS!AP16=100%,GX36="",GX36="?"),"",GZ36+HB36)
)</f>
        <v/>
      </c>
      <c r="HF36" s="5079"/>
      <c r="HG36" s="1887"/>
      <c r="HH36" s="1887"/>
      <c r="HI36" s="5077" t="s">
        <v>734</v>
      </c>
      <c r="HJ36" s="5075"/>
      <c r="HK36" s="5082" t="str">
        <f>IF(AND(HU36=$GQ$24,$GQ$24&lt;&gt;0),"fastest","")</f>
        <v/>
      </c>
      <c r="HL36" s="5083"/>
      <c r="HM36" s="12"/>
      <c r="HN36" s="5073" t="str">
        <f>IF(ISERROR(FIND("[",MISSIONS!BH16)),"", MID(MISSIONS!BH16,SEARCH("[",MISSIONS!BH16)+1,SEARCH("]",MISSIONS!BH16,SEARCH("[",MISSIONS!BH16)+1)-SEARCH("[",MISSIONS!BH16)-1))</f>
        <v/>
      </c>
      <c r="HO36" s="5074"/>
      <c r="HP36" s="5073" t="str">
        <f>IF(HN36="","",IF(MID(HN36,2,1)="h",MID(HN36,1,1)*60,0))</f>
        <v/>
      </c>
      <c r="HQ36" s="5074"/>
      <c r="HR36" s="5073" t="str" cm="1">
        <f t="array" ref="HR36">IF(HN36="","",
_xlfn.IFS(
AND(RIGHT(HN36,1)="m",LEN(HN36)=3),MID(HN36,1,2),
AND(RIGHT(HN36,1)="m",LEN(HN36)=5),MID(HN36,3,2),
AND(RIGHT(HN36,1)="m",LEN(HN36)=2),MID(HN36,1,1),
AND(RIGHT(HN36,1)="m",LEN(HN36)=4),MID(HN36,3,1),
TRUE,0)
)</f>
        <v/>
      </c>
      <c r="HS36" s="5074"/>
      <c r="HT36" s="1219"/>
      <c r="HU36" s="5078" t="str">
        <f>IF( MISSIONS!BH16="", "",
IF( OR(MISSIONS!BF16&lt;&gt;"",MISSIONS!BG16=100%,HN36="",HN36="?"),"",HP36+HR36)
)</f>
        <v/>
      </c>
      <c r="HV36" s="5079"/>
      <c r="HW36" s="1887"/>
      <c r="HX36" s="1220"/>
      <c r="IC36" s="1804">
        <v>14</v>
      </c>
      <c r="ID36" s="1814" t="s">
        <v>242</v>
      </c>
      <c r="IE36" s="1814" t="s">
        <v>687</v>
      </c>
      <c r="IF36" s="1814" t="s">
        <v>2309</v>
      </c>
      <c r="IG36" s="1872" t="s">
        <v>1023</v>
      </c>
      <c r="IH36" s="1814" t="s">
        <v>2184</v>
      </c>
      <c r="II36" s="1815" t="s">
        <v>242</v>
      </c>
      <c r="IK36" s="1804">
        <v>14</v>
      </c>
      <c r="IL36" s="1814" t="s">
        <v>994</v>
      </c>
      <c r="IM36" s="1814" t="s">
        <v>639</v>
      </c>
      <c r="IN36" s="1814" t="s">
        <v>211</v>
      </c>
      <c r="IO36" s="1814" t="s">
        <v>635</v>
      </c>
      <c r="IP36" s="1814" t="s">
        <v>2268</v>
      </c>
      <c r="IQ36" s="1872" t="s">
        <v>1027</v>
      </c>
      <c r="IR36" s="1814" t="s">
        <v>2255</v>
      </c>
      <c r="IS36" s="1814" t="s">
        <v>583</v>
      </c>
      <c r="IT36" s="1814" t="s">
        <v>186</v>
      </c>
      <c r="IU36" s="1814" t="s">
        <v>674</v>
      </c>
      <c r="IV36" s="1814" t="s">
        <v>634</v>
      </c>
      <c r="IW36" s="1814" t="s">
        <v>205</v>
      </c>
      <c r="IX36" s="1824"/>
      <c r="IY36" s="1825"/>
      <c r="IZ36" s="1826"/>
      <c r="JA36" s="1834"/>
      <c r="JC36" s="1802">
        <v>14</v>
      </c>
      <c r="JD36" s="1852" t="str">
        <f>IF(BOUNTY!$H115&lt;&gt;"",BOUNTY!$H115,BOUNTY!$H116)</f>
        <v>Photography Book</v>
      </c>
      <c r="JE36" s="1852" t="str">
        <f>IF(BOUNTY!$U115&lt;&gt;"",BOUNTY!$U115,BOUNTY!$U116)</f>
        <v>Digital Download of Any Video Game on Sale</v>
      </c>
      <c r="JF36" s="1852" t="str">
        <f>IF(BOUNTY!$AH115&lt;&gt;"",BOUNTY!$AH115,BOUNTY!$AH116)</f>
        <v>Cinema Ticket</v>
      </c>
      <c r="JG36" s="1852" t="str">
        <f>IF(BOUNTY!$AV115&lt;&gt;"",BOUNTY!$AV115,BOUNTY!$AV116)</f>
        <v>T-shirt</v>
      </c>
      <c r="JH36" s="1852" t="str">
        <f>IF(BOUNTY!$BI115&lt;&gt;"",BOUNTY!$BI115,BOUNTY!$BI116)</f>
        <v>Film Blu-ray</v>
      </c>
      <c r="JI36" s="1852" t="str">
        <f>IF(BOUNTY!$H140&lt;&gt;"",BOUNTY!$H140,BOUNTY!$H141)</f>
        <v>Yoga Gear</v>
      </c>
      <c r="JJ36" s="1852" t="str">
        <f>IF(BOUNTY!$U140&lt;&gt;"",BOUNTY!$U140,BOUNTY!$U141)</f>
        <v>Drone</v>
      </c>
      <c r="JK36" s="1852" t="str">
        <f>IF(BOUNTY!$AH140&lt;&gt;"",BOUNTY!$AH140,BOUNTY!$AH141)</f>
        <v>Bag</v>
      </c>
      <c r="JL36" s="1852" t="str">
        <f>IF(BOUNTY!$AV140&lt;&gt;"",BOUNTY!$AV140,BOUNTY!$AV141)</f>
        <v>Any hot drink in a Café</v>
      </c>
      <c r="JM36" s="1852" t="str">
        <f>IF(BOUNTY!$BI140&lt;&gt;"",BOUNTY!$BI140,BOUNTY!$BI141)</f>
        <v>Notepad</v>
      </c>
      <c r="JN36" s="1765"/>
      <c r="JO36" s="2169" t="s">
        <v>1454</v>
      </c>
      <c r="JP36" s="2012" t="s">
        <v>1457</v>
      </c>
      <c r="JQ36" s="2170" t="s">
        <v>2018</v>
      </c>
      <c r="JR36" s="1819" t="s">
        <v>1886</v>
      </c>
      <c r="JS36" s="1770"/>
      <c r="JT36" s="1828" t="s">
        <v>1948</v>
      </c>
      <c r="JU36" s="3082"/>
      <c r="JV36" s="1828" t="s">
        <v>1957</v>
      </c>
      <c r="JW36" s="3082"/>
      <c r="JX36" s="1828" t="s">
        <v>1940</v>
      </c>
      <c r="JY36" s="3082"/>
      <c r="JZ36" s="1828" t="s">
        <v>1885</v>
      </c>
      <c r="KA36" s="3082"/>
      <c r="KB36" s="1828" t="s">
        <v>1949</v>
      </c>
      <c r="KC36" s="3082"/>
      <c r="KG36" s="1822"/>
      <c r="KH36" s="1821"/>
      <c r="KI36" s="1822"/>
      <c r="KJ36" s="1821"/>
      <c r="KK36" s="1822"/>
      <c r="KQ36" s="1930"/>
      <c r="KR36" s="3053"/>
      <c r="KS36" s="1930"/>
      <c r="KT36" s="3053"/>
      <c r="KV36" s="3048"/>
      <c r="KW36" s="3053"/>
      <c r="KX36" s="3048"/>
      <c r="KY36" s="3053"/>
    </row>
    <row r="37" spans="2:313" ht="17.100000000000001" customHeight="1" x14ac:dyDescent="0.3">
      <c r="J37" s="1898" t="str">
        <f t="shared" si="15"/>
        <v/>
      </c>
      <c r="K37" s="3312" t="str">
        <f t="shared" si="16"/>
        <v/>
      </c>
      <c r="L37" s="3381"/>
      <c r="M37" s="3382"/>
      <c r="N37" s="3382"/>
      <c r="O37" s="3382"/>
      <c r="P37" s="3382"/>
      <c r="Q37" s="3382"/>
      <c r="R37" s="3382"/>
      <c r="S37" s="3382"/>
      <c r="T37" s="3382"/>
      <c r="U37" s="3382"/>
      <c r="V37" s="1774"/>
      <c r="W37" s="3381"/>
      <c r="X37" s="3382"/>
      <c r="Y37" s="3382"/>
      <c r="Z37" s="3382"/>
      <c r="AA37" s="3382"/>
      <c r="AB37" s="3382"/>
      <c r="AC37" s="3382"/>
      <c r="AD37" s="3382"/>
      <c r="AE37" s="3382"/>
      <c r="AF37" s="3382"/>
      <c r="AG37" s="1796"/>
      <c r="AH37" s="3312" t="str">
        <f t="shared" si="17"/>
        <v/>
      </c>
      <c r="AI37" s="3381"/>
      <c r="AJ37" s="3384"/>
      <c r="AK37" s="3382"/>
      <c r="AL37" s="3382"/>
      <c r="AM37" s="3382"/>
      <c r="AN37" s="3382"/>
      <c r="AO37" s="3382"/>
      <c r="AP37" s="3382"/>
      <c r="AQ37" s="3382"/>
      <c r="AR37" s="3382"/>
      <c r="AS37" s="3382"/>
      <c r="AT37" s="3213"/>
      <c r="AU37" s="3384"/>
      <c r="AV37" s="3382"/>
      <c r="AW37" s="3382"/>
      <c r="AX37" s="3382"/>
      <c r="AY37" s="3382"/>
      <c r="AZ37" s="3382"/>
      <c r="BA37" s="3382"/>
      <c r="BB37" s="3382"/>
      <c r="BC37" s="3382"/>
      <c r="BD37" s="3382"/>
      <c r="BE37" s="3311">
        <v>14</v>
      </c>
      <c r="BF37" s="1882" t="str">
        <f t="shared" si="9"/>
        <v/>
      </c>
      <c r="BG37" s="1883">
        <f t="shared" si="10"/>
        <v>0</v>
      </c>
      <c r="BH37" s="1884">
        <f t="shared" si="13"/>
        <v>0</v>
      </c>
      <c r="BX37" s="1796"/>
      <c r="BY37" s="1796"/>
      <c r="BZ37" s="1796"/>
      <c r="CA37" s="1796"/>
      <c r="CB37" s="1796"/>
      <c r="CC37" s="1796"/>
      <c r="CD37" s="1796"/>
      <c r="CE37" s="1796"/>
      <c r="CF37" s="1796"/>
      <c r="CG37" s="1796"/>
      <c r="CH37" s="1796"/>
      <c r="CI37" s="1861"/>
      <c r="CJ37" s="1861"/>
      <c r="CK37" s="1861"/>
      <c r="CL37" s="5140" t="s">
        <v>439</v>
      </c>
      <c r="CM37" s="5141"/>
      <c r="CN37" s="1863">
        <v>3</v>
      </c>
      <c r="CO37" s="1853"/>
      <c r="CP37" s="1862"/>
      <c r="CQ37" s="2318" t="s">
        <v>1418</v>
      </c>
      <c r="CR37" s="2319"/>
      <c r="CS37" s="2319" t="s">
        <v>1421</v>
      </c>
      <c r="CT37" s="2319"/>
      <c r="CU37" s="2316"/>
      <c r="CV37" s="2317"/>
      <c r="CX37" s="5153"/>
      <c r="CY37" s="5154"/>
      <c r="CZ37" s="1797" t="e">
        <f>VALUE('^'!$BK$52&amp;"/"&amp;'^'!$BK$55)</f>
        <v>#VALUE!</v>
      </c>
      <c r="DA37" s="5140" t="str">
        <f>PLANS!$F$3</f>
        <v>MONTH</v>
      </c>
      <c r="DB37" s="5141"/>
      <c r="DC37" s="1810" t="e">
        <f>VLOOKUP($CZ$37,$L$23:$U$143,M20,FALSE)</f>
        <v>#VALUE!</v>
      </c>
      <c r="DD37" s="1810" t="e">
        <f t="shared" ref="DD37:DK37" si="24">VLOOKUP($CZ$37,$L$23:$U$143,N20,FALSE)</f>
        <v>#VALUE!</v>
      </c>
      <c r="DE37" s="1810" t="e">
        <f t="shared" si="24"/>
        <v>#VALUE!</v>
      </c>
      <c r="DF37" s="1810" t="e">
        <f t="shared" si="24"/>
        <v>#VALUE!</v>
      </c>
      <c r="DG37" s="1810" t="e">
        <f t="shared" si="24"/>
        <v>#VALUE!</v>
      </c>
      <c r="DH37" s="1810" t="e">
        <f t="shared" si="24"/>
        <v>#VALUE!</v>
      </c>
      <c r="DI37" s="1810" t="e">
        <f t="shared" si="24"/>
        <v>#VALUE!</v>
      </c>
      <c r="DJ37" s="1810" t="e">
        <f t="shared" si="24"/>
        <v>#VALUE!</v>
      </c>
      <c r="DK37" s="1810" t="e">
        <f t="shared" si="24"/>
        <v>#VALUE!</v>
      </c>
      <c r="DL37" s="1810" t="e">
        <f>VLOOKUP($CZ$37,$W$23:$AF$143,X20,FALSE)</f>
        <v>#VALUE!</v>
      </c>
      <c r="DM37" s="1810" t="e">
        <f t="shared" ref="DM37:DT37" si="25">VLOOKUP($CZ$37,$W$23:$AF$143,Y20,FALSE)</f>
        <v>#VALUE!</v>
      </c>
      <c r="DN37" s="1810" t="e">
        <f t="shared" si="25"/>
        <v>#VALUE!</v>
      </c>
      <c r="DO37" s="1810" t="e">
        <f t="shared" si="25"/>
        <v>#VALUE!</v>
      </c>
      <c r="DP37" s="1810" t="e">
        <f t="shared" si="25"/>
        <v>#VALUE!</v>
      </c>
      <c r="DQ37" s="1810" t="e">
        <f t="shared" si="25"/>
        <v>#VALUE!</v>
      </c>
      <c r="DR37" s="1810" t="e">
        <f t="shared" si="25"/>
        <v>#VALUE!</v>
      </c>
      <c r="DS37" s="1810" t="e">
        <f t="shared" si="25"/>
        <v>#VALUE!</v>
      </c>
      <c r="DT37" s="1810" t="e">
        <f t="shared" si="25"/>
        <v>#VALUE!</v>
      </c>
      <c r="DV37" s="2322" t="s">
        <v>1407</v>
      </c>
      <c r="DW37" s="2324" t="s">
        <v>564</v>
      </c>
      <c r="DX37" s="2325" t="s">
        <v>79</v>
      </c>
      <c r="DY37" s="2324" t="s">
        <v>565</v>
      </c>
      <c r="DZ37" s="2325" t="s">
        <v>79</v>
      </c>
      <c r="EB37" s="1829">
        <v>16</v>
      </c>
      <c r="EC37" s="1793">
        <f>ACTIONS!C18</f>
        <v>0</v>
      </c>
      <c r="ED37" s="1793">
        <f>ACTIONS!D18</f>
        <v>0</v>
      </c>
      <c r="EE37" s="1793">
        <f>ACTIONS!E18</f>
        <v>0</v>
      </c>
      <c r="EF37" s="1793">
        <f>ACTIONS!F18</f>
        <v>0</v>
      </c>
      <c r="EG37" s="1793">
        <f>ACTIONS!G18</f>
        <v>0</v>
      </c>
      <c r="EH37" s="1793">
        <f>ACTIONS!H18</f>
        <v>0</v>
      </c>
      <c r="EI37" s="1793">
        <f>ACTIONS!I18</f>
        <v>0</v>
      </c>
      <c r="EJ37" s="1793">
        <f>ACTIONS!J18</f>
        <v>0</v>
      </c>
      <c r="EK37" s="1793">
        <f>ACTIONS!K18</f>
        <v>0</v>
      </c>
      <c r="EM37" s="1829">
        <v>16</v>
      </c>
      <c r="EN37" s="1795">
        <f>ACTIONS!BQ18</f>
        <v>0</v>
      </c>
      <c r="EO37" s="1795">
        <f>ACTIONS!BR18</f>
        <v>0</v>
      </c>
      <c r="EP37" s="1795">
        <f>ACTIONS!BS18</f>
        <v>0</v>
      </c>
      <c r="EQ37" s="1795">
        <f>ACTIONS!BT18</f>
        <v>0</v>
      </c>
      <c r="ER37" s="1795">
        <f>ACTIONS!BU18</f>
        <v>0</v>
      </c>
      <c r="ES37" s="1795">
        <f>ACTIONS!BV18</f>
        <v>0</v>
      </c>
      <c r="ET37" s="1795">
        <f>ACTIONS!BW18</f>
        <v>0</v>
      </c>
      <c r="EU37" s="1795">
        <f>ACTIONS!BX18</f>
        <v>0</v>
      </c>
      <c r="EV37" s="1795">
        <f>ACTIONS!BY18</f>
        <v>0</v>
      </c>
      <c r="EW37" s="1796"/>
      <c r="EX37" s="2403"/>
      <c r="FA37" s="1808"/>
      <c r="FC37" s="2412"/>
      <c r="FD37" s="2412"/>
      <c r="FE37" s="2412"/>
      <c r="FF37" s="2412"/>
      <c r="FG37" s="2415"/>
      <c r="FH37" s="2414"/>
      <c r="FI37" s="2554"/>
      <c r="FJ37" s="1865"/>
      <c r="FL37" s="1919"/>
      <c r="FM37" s="5075"/>
      <c r="FN37" s="5075"/>
      <c r="FO37" s="5084"/>
      <c r="FP37" s="5085"/>
      <c r="FQ37" s="12"/>
      <c r="FR37" s="5073"/>
      <c r="FS37" s="5074"/>
      <c r="FT37" s="5073"/>
      <c r="FU37" s="5074"/>
      <c r="FV37" s="5073"/>
      <c r="FW37" s="5074"/>
      <c r="FX37" s="1219"/>
      <c r="FY37" s="5080"/>
      <c r="FZ37" s="5081"/>
      <c r="GA37" s="1219"/>
      <c r="GB37" s="1219"/>
      <c r="GC37" s="5075"/>
      <c r="GD37" s="5075"/>
      <c r="GE37" s="5071"/>
      <c r="GF37" s="5072"/>
      <c r="GG37" s="1887"/>
      <c r="GH37" s="5073"/>
      <c r="GI37" s="5074"/>
      <c r="GJ37" s="5073"/>
      <c r="GK37" s="5074"/>
      <c r="GL37" s="5073"/>
      <c r="GM37" s="5074"/>
      <c r="GN37" s="1219"/>
      <c r="GO37" s="5080"/>
      <c r="GP37" s="5081"/>
      <c r="GQ37" s="1887"/>
      <c r="GR37" s="1887"/>
      <c r="GS37" s="5075"/>
      <c r="GT37" s="5075"/>
      <c r="GU37" s="5071"/>
      <c r="GV37" s="5072"/>
      <c r="GW37" s="1887"/>
      <c r="GX37" s="5073"/>
      <c r="GY37" s="5074"/>
      <c r="GZ37" s="5073"/>
      <c r="HA37" s="5074"/>
      <c r="HB37" s="5073"/>
      <c r="HC37" s="5074"/>
      <c r="HD37" s="1219"/>
      <c r="HE37" s="5080"/>
      <c r="HF37" s="5081"/>
      <c r="HG37" s="1887"/>
      <c r="HH37" s="1887"/>
      <c r="HI37" s="5075"/>
      <c r="HJ37" s="5075"/>
      <c r="HK37" s="5084"/>
      <c r="HL37" s="5085"/>
      <c r="HM37" s="12"/>
      <c r="HN37" s="5073"/>
      <c r="HO37" s="5074"/>
      <c r="HP37" s="5073"/>
      <c r="HQ37" s="5074"/>
      <c r="HR37" s="5073"/>
      <c r="HS37" s="5074"/>
      <c r="HT37" s="1219"/>
      <c r="HU37" s="5080"/>
      <c r="HV37" s="5081"/>
      <c r="HW37" s="1887"/>
      <c r="HX37" s="1220"/>
      <c r="IC37" s="1802">
        <v>15</v>
      </c>
      <c r="ID37" s="1814" t="s">
        <v>239</v>
      </c>
      <c r="IE37" s="1814" t="s">
        <v>616</v>
      </c>
      <c r="IF37" s="1814" t="s">
        <v>643</v>
      </c>
      <c r="IG37" s="1814" t="s">
        <v>996</v>
      </c>
      <c r="IH37" s="1814" t="s">
        <v>2074</v>
      </c>
      <c r="II37" s="1815" t="s">
        <v>239</v>
      </c>
      <c r="IK37" s="1802">
        <v>15</v>
      </c>
      <c r="IL37" s="1814" t="s">
        <v>2288</v>
      </c>
      <c r="IM37" s="1814" t="s">
        <v>668</v>
      </c>
      <c r="IN37" s="1814" t="s">
        <v>669</v>
      </c>
      <c r="IO37" s="1814" t="s">
        <v>2274</v>
      </c>
      <c r="IP37" s="1814" t="s">
        <v>2269</v>
      </c>
      <c r="IQ37" s="1814" t="s">
        <v>568</v>
      </c>
      <c r="IR37" s="1814" t="s">
        <v>580</v>
      </c>
      <c r="IS37" s="1814" t="s">
        <v>576</v>
      </c>
      <c r="IT37" s="1872" t="s">
        <v>2246</v>
      </c>
      <c r="IU37" s="1814" t="s">
        <v>2243</v>
      </c>
      <c r="IV37" s="1814" t="s">
        <v>204</v>
      </c>
      <c r="IW37" s="1872" t="s">
        <v>1265</v>
      </c>
      <c r="IX37" s="1824"/>
      <c r="IY37" s="1825"/>
      <c r="IZ37" s="1826"/>
      <c r="JA37" s="1834"/>
      <c r="JC37" s="1802">
        <v>15</v>
      </c>
      <c r="JD37" s="1852" t="str">
        <f>IF(BOUNTY!$H117&lt;&gt;"",BOUNTY!$H117,BOUNTY!$H118)</f>
        <v>Graphic Novel</v>
      </c>
      <c r="JE37" s="1852" t="str">
        <f>IF(BOUNTY!$U117&lt;&gt;"",BOUNTY!$U117,BOUNTY!$U118)</f>
        <v>Digital Download of Any Video Game on Sale</v>
      </c>
      <c r="JF37" s="1852" t="str">
        <f>IF(BOUNTY!$AH117&lt;&gt;"",BOUNTY!$AH117,BOUNTY!$AH118)</f>
        <v>Theatre Ticket</v>
      </c>
      <c r="JG37" s="1852" t="str">
        <f>IF(BOUNTY!$AV117&lt;&gt;"",BOUNTY!$AV117,BOUNTY!$AV118)</f>
        <v>Shirt</v>
      </c>
      <c r="JH37" s="1852" t="str">
        <f>IF(BOUNTY!$BI117&lt;&gt;"",BOUNTY!$BI117,BOUNTY!$BI118)</f>
        <v>Music Album CD</v>
      </c>
      <c r="JI37" s="1852" t="str">
        <f>IF(BOUNTY!$H142&lt;&gt;"",BOUNTY!$H142,BOUNTY!$H143)</f>
        <v>Gym Gear</v>
      </c>
      <c r="JJ37" s="1852" t="str">
        <f>IF(BOUNTY!$U142&lt;&gt;"",BOUNTY!$U142,BOUNTY!$U143)</f>
        <v>Watch</v>
      </c>
      <c r="JK37" s="1852" t="str">
        <f>IF(BOUNTY!$AH142&lt;&gt;"",BOUNTY!$AH142,BOUNTY!$AH143)</f>
        <v>Phone App</v>
      </c>
      <c r="JL37" s="1852" t="str">
        <f>IF(BOUNTY!$AV142&lt;&gt;"",BOUNTY!$AV142,BOUNTY!$AV143)</f>
        <v>Breakfast in a Café</v>
      </c>
      <c r="JM37" s="1852" t="str">
        <f>IF(BOUNTY!$BI142&lt;&gt;"",BOUNTY!$BI142,BOUNTY!$BI143)</f>
        <v>Pen</v>
      </c>
      <c r="JN37" s="2010"/>
      <c r="JO37" s="2169" t="s">
        <v>2106</v>
      </c>
      <c r="JP37" s="2012" t="s">
        <v>1458</v>
      </c>
      <c r="JQ37" s="2170" t="s">
        <v>1310</v>
      </c>
      <c r="JR37" s="1832" t="s">
        <v>388</v>
      </c>
      <c r="JS37" s="1770"/>
      <c r="JU37" s="3082"/>
      <c r="JW37" s="3082"/>
      <c r="JY37" s="3082"/>
      <c r="KA37" s="3082"/>
      <c r="KC37" s="3082"/>
      <c r="KG37" s="1822"/>
      <c r="KH37" s="1821"/>
      <c r="KI37" s="1822"/>
      <c r="KJ37" s="1821"/>
      <c r="KK37" s="1822"/>
      <c r="KQ37" s="1930"/>
      <c r="KR37" s="3053"/>
      <c r="KS37" s="1930"/>
      <c r="KT37" s="3053"/>
      <c r="KV37" s="3048"/>
      <c r="KW37" s="3053"/>
      <c r="KX37" s="3048"/>
      <c r="KY37" s="3053"/>
      <c r="LA37" s="5070"/>
    </row>
    <row r="38" spans="2:313" ht="17.100000000000001" customHeight="1" x14ac:dyDescent="0.3">
      <c r="J38" s="1898" t="str">
        <f t="shared" si="15"/>
        <v/>
      </c>
      <c r="K38" s="3312" t="str">
        <f t="shared" si="16"/>
        <v/>
      </c>
      <c r="L38" s="3381"/>
      <c r="M38" s="3382"/>
      <c r="N38" s="3382"/>
      <c r="O38" s="3382"/>
      <c r="P38" s="3382"/>
      <c r="Q38" s="3382"/>
      <c r="R38" s="3382"/>
      <c r="S38" s="3382"/>
      <c r="T38" s="3382"/>
      <c r="U38" s="3382"/>
      <c r="V38" s="1774"/>
      <c r="W38" s="3381"/>
      <c r="X38" s="3382"/>
      <c r="Y38" s="3382"/>
      <c r="Z38" s="3382"/>
      <c r="AA38" s="3382"/>
      <c r="AB38" s="3382"/>
      <c r="AC38" s="3382"/>
      <c r="AD38" s="3382"/>
      <c r="AE38" s="3382"/>
      <c r="AF38" s="3382"/>
      <c r="AH38" s="3312" t="str">
        <f t="shared" si="17"/>
        <v/>
      </c>
      <c r="AI38" s="3381"/>
      <c r="AJ38" s="3384"/>
      <c r="AK38" s="3382"/>
      <c r="AL38" s="3382"/>
      <c r="AM38" s="3382"/>
      <c r="AN38" s="3382"/>
      <c r="AO38" s="3382"/>
      <c r="AP38" s="3382"/>
      <c r="AQ38" s="3382"/>
      <c r="AR38" s="3382"/>
      <c r="AS38" s="3382"/>
      <c r="AT38" s="3213"/>
      <c r="AU38" s="3384"/>
      <c r="AV38" s="3382"/>
      <c r="AW38" s="3382"/>
      <c r="AX38" s="3382"/>
      <c r="AY38" s="3382"/>
      <c r="AZ38" s="3382"/>
      <c r="BA38" s="3382"/>
      <c r="BB38" s="3382"/>
      <c r="BC38" s="3382"/>
      <c r="BD38" s="3382"/>
      <c r="BE38" s="3311">
        <v>15</v>
      </c>
      <c r="BF38" s="1882" t="str">
        <f t="shared" si="9"/>
        <v/>
      </c>
      <c r="BG38" s="1883">
        <f t="shared" si="10"/>
        <v>0</v>
      </c>
      <c r="BH38" s="1884">
        <f t="shared" si="13"/>
        <v>0</v>
      </c>
      <c r="DV38" s="2323" t="s">
        <v>134</v>
      </c>
      <c r="DW38" s="2326">
        <f>DX38*60</f>
        <v>1200</v>
      </c>
      <c r="DX38" s="2627">
        <f>RESPITE!$M$132</f>
        <v>20</v>
      </c>
      <c r="DY38" s="2326">
        <f>DZ38*60</f>
        <v>3600</v>
      </c>
      <c r="DZ38" s="2327">
        <v>60</v>
      </c>
      <c r="EB38" s="1829">
        <v>15</v>
      </c>
      <c r="EC38" s="1793">
        <f>ACTIONS!C19</f>
        <v>0</v>
      </c>
      <c r="ED38" s="1793">
        <f>ACTIONS!D19</f>
        <v>0</v>
      </c>
      <c r="EE38" s="1793">
        <f>ACTIONS!E19</f>
        <v>0</v>
      </c>
      <c r="EF38" s="1793">
        <f>ACTIONS!F19</f>
        <v>0</v>
      </c>
      <c r="EG38" s="1793">
        <f>ACTIONS!G19</f>
        <v>0</v>
      </c>
      <c r="EH38" s="1793">
        <f>ACTIONS!H19</f>
        <v>0</v>
      </c>
      <c r="EI38" s="1793">
        <f>ACTIONS!I19</f>
        <v>0</v>
      </c>
      <c r="EJ38" s="1793">
        <f>ACTIONS!J19</f>
        <v>0</v>
      </c>
      <c r="EK38" s="1793">
        <f>ACTIONS!K19</f>
        <v>0</v>
      </c>
      <c r="EM38" s="1829">
        <v>15</v>
      </c>
      <c r="EN38" s="1795">
        <f>ACTIONS!BQ19</f>
        <v>0</v>
      </c>
      <c r="EO38" s="1795">
        <f>ACTIONS!BR19</f>
        <v>0</v>
      </c>
      <c r="EP38" s="1795">
        <f>ACTIONS!BS19</f>
        <v>0</v>
      </c>
      <c r="EQ38" s="1795">
        <f>ACTIONS!BT19</f>
        <v>0</v>
      </c>
      <c r="ER38" s="1795">
        <f>ACTIONS!BU19</f>
        <v>0</v>
      </c>
      <c r="ES38" s="1795">
        <f>ACTIONS!BV19</f>
        <v>0</v>
      </c>
      <c r="ET38" s="1795">
        <f>ACTIONS!BW19</f>
        <v>0</v>
      </c>
      <c r="EU38" s="1795">
        <f>ACTIONS!BX19</f>
        <v>0</v>
      </c>
      <c r="EV38" s="1795">
        <f>ACTIONS!BY19</f>
        <v>0</v>
      </c>
      <c r="EW38" s="1796"/>
      <c r="EX38" s="2403"/>
      <c r="EY38" s="2406"/>
      <c r="EZ38" s="2406"/>
      <c r="FA38" s="1813" t="s">
        <v>1476</v>
      </c>
      <c r="FB38" s="2406"/>
      <c r="FC38" s="2407">
        <v>1</v>
      </c>
      <c r="FD38" s="2408">
        <v>0.5</v>
      </c>
      <c r="FE38" s="2409">
        <v>0.5</v>
      </c>
      <c r="FF38" s="2410">
        <v>0.25</v>
      </c>
      <c r="FG38" s="1865"/>
      <c r="FH38" s="2403"/>
      <c r="FI38" s="2553" cm="1">
        <f t="array" ref="FI38">_xlfn.IFS($FI$23=$FC$23,FC38,$FI$23=$FD$23,FD38,$FI$23=$FE$23,FE38,$FI$23=$FF$23,FF38,TRUE,FC38)</f>
        <v>1</v>
      </c>
      <c r="FJ38" s="1865"/>
      <c r="FL38" s="1919"/>
      <c r="FM38" s="5077" t="s">
        <v>533</v>
      </c>
      <c r="FN38" s="5075"/>
      <c r="FO38" s="5082" t="str">
        <f>IF(AND(FY38=$GQ$24,$GQ$24&lt;&gt;0),"fastest","")</f>
        <v/>
      </c>
      <c r="FP38" s="5083"/>
      <c r="FQ38" s="12"/>
      <c r="FR38" s="5073" t="str">
        <f>IF(ISERROR(FIND("[",MISSIONS!E18)),"", MID(MISSIONS!E18,SEARCH("[",MISSIONS!E18)+1,SEARCH("]",MISSIONS!E18,SEARCH("[",MISSIONS!E18)+1)-SEARCH("[",MISSIONS!E18)-1))</f>
        <v/>
      </c>
      <c r="FS38" s="5074"/>
      <c r="FT38" s="5073" t="str">
        <f>IF(FR38="","",IF(MID(FR38,2,1)="h",MID(FR38,1,1)*60,0))</f>
        <v/>
      </c>
      <c r="FU38" s="5074"/>
      <c r="FV38" s="5073" t="str" cm="1">
        <f t="array" ref="FV38">IF(FR38="","",
_xlfn.IFS(
AND(RIGHT(FR38,1)="m",LEN(FR38)=3),MID(FR38,1,2),
AND(RIGHT(FR38,1)="m",LEN(FR38)=5),MID(FR38,3,2),
AND(RIGHT(FR38,1)="m",LEN(FR38)=2),MID(FR38,1,1),
AND(RIGHT(FR38,1)="m",LEN(FR38)=4),MID(FR38,3,1),
TRUE,0)
)</f>
        <v/>
      </c>
      <c r="FW38" s="5074"/>
      <c r="FX38" s="1219"/>
      <c r="FY38" s="5078" t="str">
        <f>IF( MISSIONS!E18="","",
IF( OR(AND(MISSIONS!U18=100%,MISSIONS!U19=MISSIONS!$AP$2),FR38="",FR38="?",PLANS!$DI$81=1),"",FT38+FV38)
)</f>
        <v/>
      </c>
      <c r="FZ38" s="5079"/>
      <c r="GA38" s="1219"/>
      <c r="GB38" s="1219"/>
      <c r="GC38" s="5077" t="s">
        <v>919</v>
      </c>
      <c r="GD38" s="5075"/>
      <c r="GE38" s="5071" t="str">
        <f>IF(AND(GO38=$GQ$24,$GQ$24&lt;&gt;0),"fastest","")</f>
        <v/>
      </c>
      <c r="GF38" s="5072"/>
      <c r="GG38" s="1887"/>
      <c r="GH38" s="5073" t="str">
        <f>IF(ISERROR(FIND("[",MISSIONS!AB18)),"", MID(MISSIONS!AB18,SEARCH("[",MISSIONS!AB18)+1,SEARCH("]",MISSIONS!AB18,SEARCH("[",MISSIONS!AB18)+1)-SEARCH("[",MISSIONS!AB18)-1))</f>
        <v/>
      </c>
      <c r="GI38" s="5074"/>
      <c r="GJ38" s="5073" t="str">
        <f>IF(GH38="","",IF(MID(GH38,2,1)="h",MID(GH38,1,1)*60,0))</f>
        <v/>
      </c>
      <c r="GK38" s="5074"/>
      <c r="GL38" s="5073" t="str" cm="1">
        <f t="array" ref="GL38">IF(GH38="","",
_xlfn.IFS(
AND(RIGHT(GH38,1)="m",LEN(GH38)=3),MID(GH38,1,2),
AND(RIGHT(GH38,1)="m",LEN(GH38)=5),MID(GH38,3,2),
AND(RIGHT(GH38,1)="m",LEN(GH38)=2),MID(GH38,1,1),
AND(RIGHT(GH38,1)="m",LEN(GH38)=4),MID(GH38,3,1),
TRUE,0)
)</f>
        <v/>
      </c>
      <c r="GM38" s="5074"/>
      <c r="GN38" s="1219"/>
      <c r="GO38" s="5078" t="str">
        <f>IF( MISSIONS!AB18="", "",
IF( OR(MISSIONS!AM18&lt;&gt;"",MISSIONS!AL18=100%,GH38="",GH38="?"),"",GJ38+GL38)
)</f>
        <v/>
      </c>
      <c r="GP38" s="5079"/>
      <c r="GQ38" s="1887"/>
      <c r="GR38" s="1887"/>
      <c r="GS38" s="5077" t="s">
        <v>919</v>
      </c>
      <c r="GT38" s="5075"/>
      <c r="GU38" s="5071" t="str">
        <f>IF(AND(HE38=$GQ$24,$GQ$24&lt;&gt;0),"fastest","")</f>
        <v/>
      </c>
      <c r="GV38" s="5072"/>
      <c r="GW38" s="1887"/>
      <c r="GX38" s="5073" t="str">
        <f>IF(ISERROR(FIND("[",MISSIONS!AQ18)),"", MID(MISSIONS!AQ18,SEARCH("[",MISSIONS!AQ18)+1,SEARCH("]",MISSIONS!AQ18,SEARCH("[",MISSIONS!AQ18)+1)-SEARCH("[",MISSIONS!AQ18)-1))</f>
        <v/>
      </c>
      <c r="GY38" s="5074"/>
      <c r="GZ38" s="5073" t="str">
        <f>IF(GX38="","",IF(MID(GX38,2,1)="h",MID(GX38,1,1)*60,0))</f>
        <v/>
      </c>
      <c r="HA38" s="5074"/>
      <c r="HB38" s="5073" t="str" cm="1">
        <f t="array" ref="HB38">IF(GX38="","",
_xlfn.IFS(
AND(RIGHT(GX38,1)="m",LEN(GX38)=3),MID(GX38,1,2),
AND(RIGHT(GX38,1)="m",LEN(GX38)=5),MID(GX38,3,2),
AND(RIGHT(GX38,1)="m",LEN(GX38)=2),MID(GX38,1,1),
AND(RIGHT(GX38,1)="m",LEN(GX38)=4),MID(GX38,3,1),
TRUE,0)
)</f>
        <v/>
      </c>
      <c r="HC38" s="5074"/>
      <c r="HD38" s="1219"/>
      <c r="HE38" s="5078" t="str">
        <f>IF( MISSIONS!AQ18="", "",
IF( OR(MISSIONS!AO18&lt;&gt;"",MISSIONS!AP18=100%,GX38="",GX38="?"),"",GZ38+HB38)
)</f>
        <v/>
      </c>
      <c r="HF38" s="5079"/>
      <c r="HG38" s="1887"/>
      <c r="HH38" s="1887"/>
      <c r="HI38" s="5077" t="s">
        <v>735</v>
      </c>
      <c r="HJ38" s="5075"/>
      <c r="HK38" s="5082" t="str">
        <f>IF(AND(HU38=$GQ$24,$GQ$24&lt;&gt;0),"fastest","")</f>
        <v/>
      </c>
      <c r="HL38" s="5083"/>
      <c r="HM38" s="12"/>
      <c r="HN38" s="5073" t="str">
        <f>IF(ISERROR(FIND("[",MISSIONS!BH18)),"", MID(MISSIONS!BH18,SEARCH("[",MISSIONS!BH18)+1,SEARCH("]",MISSIONS!BH18,SEARCH("[",MISSIONS!BH18)+1)-SEARCH("[",MISSIONS!BH18)-1))</f>
        <v/>
      </c>
      <c r="HO38" s="5074"/>
      <c r="HP38" s="5073" t="str">
        <f>IF(HN38="","",IF(MID(HN38,2,1)="h",MID(HN38,1,1)*60,0))</f>
        <v/>
      </c>
      <c r="HQ38" s="5074"/>
      <c r="HR38" s="5073" t="str" cm="1">
        <f t="array" ref="HR38">IF(HN38="","",
_xlfn.IFS(
AND(RIGHT(HN38,1)="m",LEN(HN38)=3),MID(HN38,1,2),
AND(RIGHT(HN38,1)="m",LEN(HN38)=5),MID(HN38,3,2),
AND(RIGHT(HN38,1)="m",LEN(HN38)=2),MID(HN38,1,1),
AND(RIGHT(HN38,1)="m",LEN(HN38)=4),MID(HN38,3,1),
TRUE,0)
)</f>
        <v/>
      </c>
      <c r="HS38" s="5074"/>
      <c r="HT38" s="1219"/>
      <c r="HU38" s="5078" t="str">
        <f>IF( MISSIONS!BH18="", "",
IF( OR(MISSIONS!BF18&lt;&gt;"",MISSIONS!BG18=100%,HN38="",HN38="?"),"",HP38+HR38)
)</f>
        <v/>
      </c>
      <c r="HV38" s="5079"/>
      <c r="HW38" s="1887"/>
      <c r="HX38" s="1931"/>
      <c r="IC38" s="1802">
        <v>16</v>
      </c>
      <c r="ID38" s="1814" t="s">
        <v>276</v>
      </c>
      <c r="IE38" s="1814" t="s">
        <v>2302</v>
      </c>
      <c r="IF38" s="1814" t="s">
        <v>976</v>
      </c>
      <c r="IG38" s="1814" t="s">
        <v>1126</v>
      </c>
      <c r="IH38" s="1814" t="s">
        <v>2078</v>
      </c>
      <c r="II38" s="1815" t="s">
        <v>276</v>
      </c>
      <c r="IK38" s="1802">
        <v>16</v>
      </c>
      <c r="IL38" s="1872" t="s">
        <v>1266</v>
      </c>
      <c r="IM38" s="1814" t="s">
        <v>210</v>
      </c>
      <c r="IN38" s="1814" t="s">
        <v>631</v>
      </c>
      <c r="IO38" s="1814" t="s">
        <v>2275</v>
      </c>
      <c r="IP38" s="1814" t="s">
        <v>977</v>
      </c>
      <c r="IQ38" s="1814" t="s">
        <v>201</v>
      </c>
      <c r="IR38" s="1872" t="s">
        <v>1030</v>
      </c>
      <c r="IS38" s="1872" t="s">
        <v>1031</v>
      </c>
      <c r="IT38" s="1814" t="s">
        <v>2250</v>
      </c>
      <c r="IU38" s="1872" t="s">
        <v>1262</v>
      </c>
      <c r="IV38" s="1814" t="s">
        <v>2222</v>
      </c>
      <c r="IW38" s="1814" t="s">
        <v>664</v>
      </c>
      <c r="IX38" s="1824"/>
      <c r="IY38" s="1825"/>
      <c r="IZ38" s="1826"/>
      <c r="JA38" s="1834"/>
      <c r="JC38" s="1802">
        <v>16</v>
      </c>
      <c r="JD38" s="1852" t="str">
        <f>IF(BOUNTY!$H119&lt;&gt;"",BOUNTY!$H119,BOUNTY!$H120)</f>
        <v>Comic Book</v>
      </c>
      <c r="JE38" s="1852" t="str">
        <f>IF(BOUNTY!$U119&lt;&gt;"",BOUNTY!$U119,BOUNTY!$U120)</f>
        <v>Digital Video Game Dowload Funds of 5</v>
      </c>
      <c r="JF38" s="1852" t="str">
        <f>IF(BOUNTY!$AH119&lt;&gt;"",BOUNTY!$AH119,BOUNTY!$AH120)</f>
        <v>Opera Ticket</v>
      </c>
      <c r="JG38" s="1852" t="str">
        <f>IF(BOUNTY!$AV119&lt;&gt;"",BOUNTY!$AV119,BOUNTY!$AV120)</f>
        <v>Trousers</v>
      </c>
      <c r="JH38" s="1852" t="str">
        <f>IF(BOUNTY!$BI119&lt;&gt;"",BOUNTY!$BI119,BOUNTY!$BI120)</f>
        <v>Music Album Vinyl</v>
      </c>
      <c r="JI38" s="1852" t="str">
        <f>IF(BOUNTY!$H144&lt;&gt;"",BOUNTY!$H144,BOUNTY!$H145)</f>
        <v>Running Gear</v>
      </c>
      <c r="JJ38" s="1852" t="str">
        <f>IF(BOUNTY!$U144&lt;&gt;"",BOUNTY!$U144,BOUNTY!$U145)</f>
        <v>Speaker</v>
      </c>
      <c r="JK38" s="1852" t="str">
        <f>IF(BOUNTY!$AH144&lt;&gt;"",BOUNTY!$AH144,BOUNTY!$AH145)</f>
        <v>Puzzle</v>
      </c>
      <c r="JL38" s="1852" t="str">
        <f>IF(BOUNTY!$AV144&lt;&gt;"",BOUNTY!$AV144,BOUNTY!$AV145)</f>
        <v>Lunch in a Pub</v>
      </c>
      <c r="JM38" s="1852" t="str">
        <f>IF(BOUNTY!$BI144&lt;&gt;"",BOUNTY!$BI144,BOUNTY!$BI145)</f>
        <v>Lamp</v>
      </c>
      <c r="JN38" s="2010"/>
      <c r="JO38" s="2169" t="s">
        <v>2105</v>
      </c>
      <c r="JP38" s="2012" t="s">
        <v>1459</v>
      </c>
      <c r="JQ38" s="2170" t="s">
        <v>1381</v>
      </c>
      <c r="JR38" s="1819" t="s">
        <v>1890</v>
      </c>
      <c r="JS38" s="1770"/>
      <c r="JT38" s="1851"/>
      <c r="JU38" s="3082"/>
      <c r="JV38" s="1851"/>
      <c r="JW38" s="3082"/>
      <c r="JX38" s="1851"/>
      <c r="JY38" s="3082"/>
      <c r="JZ38" s="1851"/>
      <c r="KA38" s="3082"/>
      <c r="KB38" s="1851"/>
      <c r="KC38" s="3082"/>
      <c r="KG38" s="1822"/>
      <c r="KH38" s="1821"/>
      <c r="KI38" s="1822"/>
      <c r="KJ38" s="1821"/>
      <c r="KK38" s="1822"/>
      <c r="KQ38" s="1930"/>
      <c r="KR38" s="3053"/>
      <c r="KS38" s="1930"/>
      <c r="KT38" s="3053"/>
      <c r="KV38" s="3048"/>
      <c r="KW38" s="3053"/>
      <c r="KX38" s="3048"/>
      <c r="KY38" s="3053"/>
      <c r="LA38" s="5070"/>
    </row>
    <row r="39" spans="2:313" ht="17.100000000000001" customHeight="1" x14ac:dyDescent="0.3">
      <c r="B39" s="1796"/>
      <c r="J39" s="1898" t="str">
        <f t="shared" si="15"/>
        <v/>
      </c>
      <c r="K39" s="3312" t="str">
        <f t="shared" si="16"/>
        <v/>
      </c>
      <c r="L39" s="3381"/>
      <c r="M39" s="3382"/>
      <c r="N39" s="3382"/>
      <c r="O39" s="3382"/>
      <c r="P39" s="3382"/>
      <c r="Q39" s="3382"/>
      <c r="R39" s="3382"/>
      <c r="S39" s="3382"/>
      <c r="T39" s="3382"/>
      <c r="U39" s="3382"/>
      <c r="V39" s="1774"/>
      <c r="W39" s="3381"/>
      <c r="X39" s="3382"/>
      <c r="Y39" s="3382"/>
      <c r="Z39" s="3382"/>
      <c r="AA39" s="3382"/>
      <c r="AB39" s="3382"/>
      <c r="AC39" s="3382"/>
      <c r="AD39" s="3382"/>
      <c r="AE39" s="3382"/>
      <c r="AF39" s="3382"/>
      <c r="AH39" s="3312" t="str">
        <f t="shared" si="17"/>
        <v/>
      </c>
      <c r="AI39" s="3381"/>
      <c r="AJ39" s="3384"/>
      <c r="AK39" s="3382"/>
      <c r="AL39" s="3382"/>
      <c r="AM39" s="3382"/>
      <c r="AN39" s="3382"/>
      <c r="AO39" s="3382"/>
      <c r="AP39" s="3382"/>
      <c r="AQ39" s="3382"/>
      <c r="AR39" s="3382"/>
      <c r="AS39" s="3382"/>
      <c r="AT39" s="3213"/>
      <c r="AU39" s="3384"/>
      <c r="AV39" s="3382"/>
      <c r="AW39" s="3382"/>
      <c r="AX39" s="3382"/>
      <c r="AY39" s="3382"/>
      <c r="AZ39" s="3382"/>
      <c r="BA39" s="3382"/>
      <c r="BB39" s="3382"/>
      <c r="BC39" s="3382"/>
      <c r="BD39" s="3382"/>
      <c r="BE39" s="3311">
        <v>16</v>
      </c>
      <c r="BF39" s="1882" t="str">
        <f t="shared" si="9"/>
        <v/>
      </c>
      <c r="BG39" s="1883">
        <f t="shared" si="10"/>
        <v>0</v>
      </c>
      <c r="BH39" s="1884">
        <f t="shared" si="13"/>
        <v>0</v>
      </c>
      <c r="DV39" s="2323" t="s">
        <v>135</v>
      </c>
      <c r="DW39" s="2328">
        <f>DX39*60</f>
        <v>1200</v>
      </c>
      <c r="DX39" s="2628">
        <f>RESPITE!$AM$132</f>
        <v>20</v>
      </c>
      <c r="DY39" s="2328">
        <f>DZ39*60</f>
        <v>3600</v>
      </c>
      <c r="DZ39" s="2329">
        <v>60</v>
      </c>
      <c r="EB39" s="1829">
        <v>14</v>
      </c>
      <c r="EC39" s="1793">
        <f>ACTIONS!C20</f>
        <v>0</v>
      </c>
      <c r="ED39" s="1793">
        <f>ACTIONS!D20</f>
        <v>0</v>
      </c>
      <c r="EE39" s="1793">
        <f>ACTIONS!E20</f>
        <v>0</v>
      </c>
      <c r="EF39" s="1793">
        <f>ACTIONS!F20</f>
        <v>0</v>
      </c>
      <c r="EG39" s="1793">
        <f>ACTIONS!G20</f>
        <v>0</v>
      </c>
      <c r="EH39" s="1793">
        <f>ACTIONS!H20</f>
        <v>0</v>
      </c>
      <c r="EI39" s="1793">
        <f>ACTIONS!I20</f>
        <v>0</v>
      </c>
      <c r="EJ39" s="1793">
        <f>ACTIONS!J20</f>
        <v>0</v>
      </c>
      <c r="EK39" s="1793">
        <f>ACTIONS!K20</f>
        <v>0</v>
      </c>
      <c r="EM39" s="1829">
        <v>14</v>
      </c>
      <c r="EN39" s="1795">
        <f>ACTIONS!BQ20</f>
        <v>0</v>
      </c>
      <c r="EO39" s="1795">
        <f>ACTIONS!BR20</f>
        <v>0</v>
      </c>
      <c r="EP39" s="1795">
        <f>ACTIONS!BS20</f>
        <v>0</v>
      </c>
      <c r="EQ39" s="1795">
        <f>ACTIONS!BT20</f>
        <v>0</v>
      </c>
      <c r="ER39" s="1795">
        <f>ACTIONS!BU20</f>
        <v>0</v>
      </c>
      <c r="ES39" s="1795">
        <f>ACTIONS!BV20</f>
        <v>0</v>
      </c>
      <c r="ET39" s="1795">
        <f>ACTIONS!BW20</f>
        <v>0</v>
      </c>
      <c r="EU39" s="1795">
        <f>ACTIONS!BX20</f>
        <v>0</v>
      </c>
      <c r="EV39" s="1795">
        <f>ACTIONS!BY20</f>
        <v>0</v>
      </c>
      <c r="EW39" s="1796"/>
      <c r="EX39" s="2403"/>
      <c r="EY39" s="2406"/>
      <c r="EZ39" s="2406"/>
      <c r="FA39" s="1813" t="s">
        <v>1477</v>
      </c>
      <c r="FB39" s="2406"/>
      <c r="FC39" s="2407">
        <v>0.5</v>
      </c>
      <c r="FD39" s="2408">
        <v>0.25</v>
      </c>
      <c r="FE39" s="2409">
        <v>0.125</v>
      </c>
      <c r="FF39" s="2410">
        <v>0</v>
      </c>
      <c r="FG39" s="1865"/>
      <c r="FH39" s="2403"/>
      <c r="FI39" s="2553" cm="1">
        <f t="array" ref="FI39">_xlfn.IFS($FI$23=$FC$23,FC39,$FI$23=$FD$23,FD39,$FI$23=$FE$23,FE39,$FI$23=$FF$23,FF39,TRUE,FC39)</f>
        <v>0.5</v>
      </c>
      <c r="FJ39" s="1865"/>
      <c r="FL39" s="1919"/>
      <c r="FM39" s="5075"/>
      <c r="FN39" s="5075"/>
      <c r="FO39" s="5084"/>
      <c r="FP39" s="5085"/>
      <c r="FQ39" s="12"/>
      <c r="FR39" s="5073"/>
      <c r="FS39" s="5074"/>
      <c r="FT39" s="5073"/>
      <c r="FU39" s="5074"/>
      <c r="FV39" s="5073"/>
      <c r="FW39" s="5074"/>
      <c r="FX39" s="1219"/>
      <c r="FY39" s="5080"/>
      <c r="FZ39" s="5081"/>
      <c r="GA39" s="1219"/>
      <c r="GB39" s="1219"/>
      <c r="GC39" s="5075"/>
      <c r="GD39" s="5075"/>
      <c r="GE39" s="5071"/>
      <c r="GF39" s="5072"/>
      <c r="GG39" s="1887"/>
      <c r="GH39" s="5073"/>
      <c r="GI39" s="5074"/>
      <c r="GJ39" s="5073"/>
      <c r="GK39" s="5074"/>
      <c r="GL39" s="5073"/>
      <c r="GM39" s="5074"/>
      <c r="GN39" s="1219"/>
      <c r="GO39" s="5080"/>
      <c r="GP39" s="5081"/>
      <c r="GQ39" s="1887"/>
      <c r="GR39" s="1887"/>
      <c r="GS39" s="5075"/>
      <c r="GT39" s="5075"/>
      <c r="GU39" s="5071"/>
      <c r="GV39" s="5072"/>
      <c r="GW39" s="1887"/>
      <c r="GX39" s="5073"/>
      <c r="GY39" s="5074"/>
      <c r="GZ39" s="5073"/>
      <c r="HA39" s="5074"/>
      <c r="HB39" s="5073"/>
      <c r="HC39" s="5074"/>
      <c r="HD39" s="1219"/>
      <c r="HE39" s="5080"/>
      <c r="HF39" s="5081"/>
      <c r="HG39" s="1887"/>
      <c r="HH39" s="1887"/>
      <c r="HI39" s="5075"/>
      <c r="HJ39" s="5075"/>
      <c r="HK39" s="5084"/>
      <c r="HL39" s="5085"/>
      <c r="HM39" s="12"/>
      <c r="HN39" s="5073"/>
      <c r="HO39" s="5074"/>
      <c r="HP39" s="5073"/>
      <c r="HQ39" s="5074"/>
      <c r="HR39" s="5073"/>
      <c r="HS39" s="5074"/>
      <c r="HT39" s="1219"/>
      <c r="HU39" s="5080"/>
      <c r="HV39" s="5081"/>
      <c r="HW39" s="1887"/>
      <c r="HX39" s="1220"/>
      <c r="IC39" s="1804">
        <v>17</v>
      </c>
      <c r="ID39" s="1814" t="s">
        <v>271</v>
      </c>
      <c r="IE39" s="1814" t="s">
        <v>581</v>
      </c>
      <c r="IF39" s="1814" t="s">
        <v>672</v>
      </c>
      <c r="IG39" s="1814" t="s">
        <v>2310</v>
      </c>
      <c r="IH39" s="1814" t="s">
        <v>2083</v>
      </c>
      <c r="II39" s="1815" t="s">
        <v>271</v>
      </c>
      <c r="IK39" s="1804">
        <v>17</v>
      </c>
      <c r="IL39" s="1814" t="s">
        <v>2289</v>
      </c>
      <c r="IM39" s="1872" t="s">
        <v>2174</v>
      </c>
      <c r="IN39" s="1814" t="s">
        <v>644</v>
      </c>
      <c r="IO39" s="1814" t="s">
        <v>2276</v>
      </c>
      <c r="IP39" s="1872" t="s">
        <v>2067</v>
      </c>
      <c r="IQ39" s="1814" t="s">
        <v>575</v>
      </c>
      <c r="IR39" s="1814" t="s">
        <v>2256</v>
      </c>
      <c r="IS39" s="1872" t="s">
        <v>1032</v>
      </c>
      <c r="IT39" s="1814" t="s">
        <v>1005</v>
      </c>
      <c r="IU39" s="1872" t="s">
        <v>2244</v>
      </c>
      <c r="IV39" s="1814" t="s">
        <v>2223</v>
      </c>
      <c r="IW39" s="1814" t="s">
        <v>2237</v>
      </c>
      <c r="IX39" s="1824"/>
      <c r="IY39" s="1825"/>
      <c r="IZ39" s="1826"/>
      <c r="JA39" s="1834"/>
      <c r="JC39" s="1802">
        <v>17</v>
      </c>
      <c r="JD39" s="1852" t="str">
        <f>IF(BOUNTY!$H121&lt;&gt;"",BOUNTY!$H121,BOUNTY!$H122)</f>
        <v>Educational Book</v>
      </c>
      <c r="JE39" s="1852" t="str">
        <f>IF(BOUNTY!$U121&lt;&gt;"",BOUNTY!$U121,BOUNTY!$U122)</f>
        <v>Digital Video Game Dowload Funds of 10</v>
      </c>
      <c r="JF39" s="1852" t="str">
        <f>IF(BOUNTY!$AH121&lt;&gt;"",BOUNTY!$AH121,BOUNTY!$AH122)</f>
        <v>Stand-up Comedy Ticket</v>
      </c>
      <c r="JG39" s="1852" t="str">
        <f>IF(BOUNTY!$AV121&lt;&gt;"",BOUNTY!$AV121,BOUNTY!$AV122)</f>
        <v>Shoes</v>
      </c>
      <c r="JH39" s="1852" t="str">
        <f>IF(BOUNTY!$BI121&lt;&gt;"",BOUNTY!$BI121,BOUNTY!$BI122)</f>
        <v>Streaming Service One Month Subscription</v>
      </c>
      <c r="JI39" s="1852" t="str">
        <f>IF(BOUNTY!$H146&lt;&gt;"",BOUNTY!$H146,BOUNTY!$H147)</f>
        <v>Skateboard</v>
      </c>
      <c r="JJ39" s="1852" t="str">
        <f>IF(BOUNTY!$U146&lt;&gt;"",BOUNTY!$U146,BOUNTY!$U147)</f>
        <v>Lights</v>
      </c>
      <c r="JK39" s="1852" t="str">
        <f>IF(BOUNTY!$AH146&lt;&gt;"",BOUNTY!$AH146,BOUNTY!$AH147)</f>
        <v>Model Kit</v>
      </c>
      <c r="JL39" s="1852" t="str">
        <f>IF(BOUNTY!$AV146&lt;&gt;"",BOUNTY!$AV146,BOUNTY!$AV147)</f>
        <v>Dinner in a Restaurant</v>
      </c>
      <c r="JM39" s="1852" t="str">
        <f>IF(BOUNTY!$BI146&lt;&gt;"",BOUNTY!$BI146,BOUNTY!$BI147)</f>
        <v>Set of Cups</v>
      </c>
      <c r="JN39" s="2010"/>
      <c r="JO39" s="2169" t="s">
        <v>1455</v>
      </c>
      <c r="JP39" s="2012" t="s">
        <v>1460</v>
      </c>
      <c r="JQ39" s="2170" t="s">
        <v>1318</v>
      </c>
      <c r="JR39" s="1819" t="s">
        <v>1320</v>
      </c>
      <c r="JS39" s="1770"/>
      <c r="JT39" s="3073" t="s">
        <v>1812</v>
      </c>
      <c r="JU39" s="3082"/>
      <c r="JV39" s="3073" t="s">
        <v>1858</v>
      </c>
      <c r="JW39" s="3082"/>
      <c r="JX39" s="3073" t="s">
        <v>1859</v>
      </c>
      <c r="JY39" s="3082"/>
      <c r="JZ39" s="3073" t="s">
        <v>1860</v>
      </c>
      <c r="KA39" s="3082"/>
      <c r="KB39" s="3073" t="s">
        <v>1813</v>
      </c>
      <c r="KC39" s="3082"/>
      <c r="KG39" s="1822"/>
      <c r="KH39" s="1821"/>
      <c r="KI39" s="1822"/>
      <c r="KJ39" s="1821"/>
      <c r="KK39" s="1822"/>
      <c r="KQ39" s="1930"/>
      <c r="KR39" s="1764"/>
      <c r="KS39" s="1930"/>
      <c r="KT39" s="3053"/>
      <c r="KV39" s="3048"/>
      <c r="KW39" s="1764"/>
      <c r="KX39" s="3048"/>
      <c r="KY39" s="3053"/>
      <c r="LA39" s="5070"/>
    </row>
    <row r="40" spans="2:313" ht="17.100000000000001" customHeight="1" x14ac:dyDescent="0.3">
      <c r="B40" s="3090" t="s">
        <v>174</v>
      </c>
      <c r="F40" s="5133" t="s">
        <v>890</v>
      </c>
      <c r="I40" s="5131" t="s">
        <v>2031</v>
      </c>
      <c r="J40" s="1898" t="str">
        <f t="shared" si="15"/>
        <v/>
      </c>
      <c r="K40" s="3312" t="str">
        <f t="shared" si="16"/>
        <v/>
      </c>
      <c r="L40" s="3381"/>
      <c r="M40" s="3382"/>
      <c r="N40" s="3382"/>
      <c r="O40" s="3382"/>
      <c r="P40" s="3382"/>
      <c r="Q40" s="3382"/>
      <c r="R40" s="3382"/>
      <c r="S40" s="3382"/>
      <c r="T40" s="3382"/>
      <c r="U40" s="3382"/>
      <c r="V40" s="1774"/>
      <c r="W40" s="3381"/>
      <c r="X40" s="3382"/>
      <c r="Y40" s="3382"/>
      <c r="Z40" s="3382"/>
      <c r="AA40" s="3382"/>
      <c r="AB40" s="3382"/>
      <c r="AC40" s="3382"/>
      <c r="AD40" s="3382"/>
      <c r="AE40" s="3382"/>
      <c r="AF40" s="3382"/>
      <c r="AH40" s="3312" t="str">
        <f t="shared" si="17"/>
        <v/>
      </c>
      <c r="AI40" s="3381"/>
      <c r="AJ40" s="3384"/>
      <c r="AK40" s="3382"/>
      <c r="AL40" s="3382"/>
      <c r="AM40" s="3382"/>
      <c r="AN40" s="3382"/>
      <c r="AO40" s="3382"/>
      <c r="AP40" s="3382"/>
      <c r="AQ40" s="3382"/>
      <c r="AR40" s="3382"/>
      <c r="AS40" s="3382"/>
      <c r="AT40" s="3213"/>
      <c r="AU40" s="3384"/>
      <c r="AV40" s="3382"/>
      <c r="AW40" s="3382"/>
      <c r="AX40" s="3382"/>
      <c r="AY40" s="3382"/>
      <c r="AZ40" s="3382"/>
      <c r="BA40" s="3382"/>
      <c r="BB40" s="3382"/>
      <c r="BC40" s="3382"/>
      <c r="BD40" s="3382"/>
      <c r="BE40" s="3311">
        <v>17</v>
      </c>
      <c r="BF40" s="1882" t="str">
        <f t="shared" si="9"/>
        <v/>
      </c>
      <c r="BG40" s="1883">
        <f t="shared" si="10"/>
        <v>0</v>
      </c>
      <c r="BH40" s="1884">
        <f t="shared" si="13"/>
        <v>0</v>
      </c>
      <c r="DV40" s="2323" t="s">
        <v>136</v>
      </c>
      <c r="DW40" s="2328">
        <f>DX40*60</f>
        <v>600</v>
      </c>
      <c r="DX40" s="2628">
        <f>RESPITE!$BM$132</f>
        <v>10</v>
      </c>
      <c r="DY40" s="2328">
        <f>DZ40*60</f>
        <v>2400</v>
      </c>
      <c r="DZ40" s="2329">
        <v>40</v>
      </c>
      <c r="EB40" s="1829">
        <v>13</v>
      </c>
      <c r="EC40" s="1793">
        <f>ACTIONS!C21</f>
        <v>0</v>
      </c>
      <c r="ED40" s="1793">
        <f>ACTIONS!D21</f>
        <v>0</v>
      </c>
      <c r="EE40" s="1793">
        <f>ACTIONS!E21</f>
        <v>0</v>
      </c>
      <c r="EF40" s="1793">
        <f>ACTIONS!F21</f>
        <v>0</v>
      </c>
      <c r="EG40" s="1793">
        <f>ACTIONS!G21</f>
        <v>0</v>
      </c>
      <c r="EH40" s="1793">
        <f>ACTIONS!H21</f>
        <v>0</v>
      </c>
      <c r="EI40" s="1793">
        <f>ACTIONS!I21</f>
        <v>0</v>
      </c>
      <c r="EJ40" s="1793">
        <f>ACTIONS!J21</f>
        <v>0</v>
      </c>
      <c r="EK40" s="1793">
        <f>ACTIONS!K21</f>
        <v>0</v>
      </c>
      <c r="EM40" s="1829">
        <v>13</v>
      </c>
      <c r="EN40" s="1795">
        <f>ACTIONS!BQ21</f>
        <v>0</v>
      </c>
      <c r="EO40" s="1795">
        <f>ACTIONS!BR21</f>
        <v>0</v>
      </c>
      <c r="EP40" s="1795">
        <f>ACTIONS!BS21</f>
        <v>0</v>
      </c>
      <c r="EQ40" s="1795">
        <f>ACTIONS!BT21</f>
        <v>0</v>
      </c>
      <c r="ER40" s="1795">
        <f>ACTIONS!BU21</f>
        <v>0</v>
      </c>
      <c r="ES40" s="1795">
        <f>ACTIONS!BV21</f>
        <v>0</v>
      </c>
      <c r="ET40" s="1795">
        <f>ACTIONS!BW21</f>
        <v>0</v>
      </c>
      <c r="EU40" s="1795">
        <f>ACTIONS!BX21</f>
        <v>0</v>
      </c>
      <c r="EV40" s="1795">
        <f>ACTIONS!BY21</f>
        <v>0</v>
      </c>
      <c r="EW40" s="1796"/>
      <c r="EX40" s="2403"/>
      <c r="EY40" s="2406"/>
      <c r="EZ40" s="2406"/>
      <c r="FA40" s="1813" t="s">
        <v>1478</v>
      </c>
      <c r="FB40" s="2406"/>
      <c r="FC40" s="2407">
        <v>0.5</v>
      </c>
      <c r="FD40" s="2408">
        <v>0.25</v>
      </c>
      <c r="FE40" s="2409">
        <v>0.125</v>
      </c>
      <c r="FF40" s="2410">
        <v>0</v>
      </c>
      <c r="FG40" s="1865"/>
      <c r="FH40" s="2403"/>
      <c r="FI40" s="2553" cm="1">
        <f t="array" ref="FI40">_xlfn.IFS($FI$23=$FC$23,FC40,$FI$23=$FD$23,FD40,$FI$23=$FE$23,FE40,$FI$23=$FF$23,FF40,TRUE,FC40)</f>
        <v>0.5</v>
      </c>
      <c r="FJ40" s="1865"/>
      <c r="FL40" s="1919"/>
      <c r="FM40" s="5077" t="s">
        <v>534</v>
      </c>
      <c r="FN40" s="5075"/>
      <c r="FO40" s="5082" t="str">
        <f>IF(AND(FY40=$GQ$24,$GQ$24&lt;&gt;0),"fastest","")</f>
        <v/>
      </c>
      <c r="FP40" s="5083"/>
      <c r="FQ40" s="12"/>
      <c r="FR40" s="5073" t="str">
        <f>IF(ISERROR(FIND("[",MISSIONS!E20)),"", MID(MISSIONS!E20,SEARCH("[",MISSIONS!E20)+1,SEARCH("]",MISSIONS!E20,SEARCH("[",MISSIONS!E20)+1)-SEARCH("[",MISSIONS!E20)-1))</f>
        <v/>
      </c>
      <c r="FS40" s="5074"/>
      <c r="FT40" s="5073" t="str">
        <f>IF(FR40="","",IF(MID(FR40,2,1)="h",MID(FR40,1,1)*60,0))</f>
        <v/>
      </c>
      <c r="FU40" s="5074"/>
      <c r="FV40" s="5073" t="str" cm="1">
        <f t="array" ref="FV40">IF(FR40="","",
_xlfn.IFS(
AND(RIGHT(FR40,1)="m",LEN(FR40)=3),MID(FR40,1,2),
AND(RIGHT(FR40,1)="m",LEN(FR40)=5),MID(FR40,3,2),
AND(RIGHT(FR40,1)="m",LEN(FR40)=2),MID(FR40,1,1),
AND(RIGHT(FR40,1)="m",LEN(FR40)=4),MID(FR40,3,1),
TRUE,0)
)</f>
        <v/>
      </c>
      <c r="FW40" s="5074"/>
      <c r="FX40" s="1219"/>
      <c r="FY40" s="5078" t="str">
        <f>IF( MISSIONS!E20="","",
IF( OR(AND(MISSIONS!U20=100%,MISSIONS!U21=MISSIONS!$AP$2),FR40="",FR40="?",PLANS!$DI$81=1),"",FT40+FV40)
)</f>
        <v/>
      </c>
      <c r="FZ40" s="5079"/>
      <c r="GA40" s="1219"/>
      <c r="GB40" s="1219"/>
      <c r="GC40" s="5077" t="s">
        <v>920</v>
      </c>
      <c r="GD40" s="5075"/>
      <c r="GE40" s="5071" t="str">
        <f>IF(AND(GO40=$GQ$24,$GQ$24&lt;&gt;0),"fastest","")</f>
        <v/>
      </c>
      <c r="GF40" s="5072"/>
      <c r="GG40" s="1887"/>
      <c r="GH40" s="5073" t="str">
        <f>IF(ISERROR(FIND("[",MISSIONS!AB20)),"", MID(MISSIONS!AB20,SEARCH("[",MISSIONS!AB20)+1,SEARCH("]",MISSIONS!AB20,SEARCH("[",MISSIONS!AB20)+1)-SEARCH("[",MISSIONS!AB20)-1))</f>
        <v/>
      </c>
      <c r="GI40" s="5074"/>
      <c r="GJ40" s="5073" t="str">
        <f>IF(GH40="","",IF(MID(GH40,2,1)="h",MID(GH40,1,1)*60,0))</f>
        <v/>
      </c>
      <c r="GK40" s="5074"/>
      <c r="GL40" s="5073" t="str" cm="1">
        <f t="array" ref="GL40">IF(GH40="","",
_xlfn.IFS(
AND(RIGHT(GH40,1)="m",LEN(GH40)=3),MID(GH40,1,2),
AND(RIGHT(GH40,1)="m",LEN(GH40)=5),MID(GH40,3,2),
AND(RIGHT(GH40,1)="m",LEN(GH40)=2),MID(GH40,1,1),
AND(RIGHT(GH40,1)="m",LEN(GH40)=4),MID(GH40,3,1),
TRUE,0)
)</f>
        <v/>
      </c>
      <c r="GM40" s="5074"/>
      <c r="GN40" s="1219"/>
      <c r="GO40" s="5078" t="str">
        <f>IF( MISSIONS!AB20="", "",
IF( OR(MISSIONS!AM20&lt;&gt;"",MISSIONS!AL20=100%,GH40="",GH40="?"),"",GJ40+GL40)
)</f>
        <v/>
      </c>
      <c r="GP40" s="5079"/>
      <c r="GQ40" s="1887"/>
      <c r="GR40" s="1887"/>
      <c r="GS40" s="5077" t="s">
        <v>920</v>
      </c>
      <c r="GT40" s="5075"/>
      <c r="GU40" s="5071" t="str">
        <f>IF(AND(HE40=$GQ$24,$GQ$24&lt;&gt;0),"fastest","")</f>
        <v/>
      </c>
      <c r="GV40" s="5072"/>
      <c r="GW40" s="1887"/>
      <c r="GX40" s="5073" t="str">
        <f>IF(ISERROR(FIND("[",MISSIONS!AQ20)),"", MID(MISSIONS!AQ20,SEARCH("[",MISSIONS!AQ20)+1,SEARCH("]",MISSIONS!AQ20,SEARCH("[",MISSIONS!AQ20)+1)-SEARCH("[",MISSIONS!AQ20)-1))</f>
        <v/>
      </c>
      <c r="GY40" s="5074"/>
      <c r="GZ40" s="5073" t="str">
        <f>IF(GX40="","",IF(MID(GX40,2,1)="h",MID(GX40,1,1)*60,0))</f>
        <v/>
      </c>
      <c r="HA40" s="5074"/>
      <c r="HB40" s="5073" t="str" cm="1">
        <f t="array" ref="HB40">IF(GX40="","",
_xlfn.IFS(
AND(RIGHT(GX40,1)="m",LEN(GX40)=3),MID(GX40,1,2),
AND(RIGHT(GX40,1)="m",LEN(GX40)=5),MID(GX40,3,2),
AND(RIGHT(GX40,1)="m",LEN(GX40)=2),MID(GX40,1,1),
AND(RIGHT(GX40,1)="m",LEN(GX40)=4),MID(GX40,3,1),
TRUE,0)
)</f>
        <v/>
      </c>
      <c r="HC40" s="5074"/>
      <c r="HD40" s="1219"/>
      <c r="HE40" s="5078" t="str">
        <f>IF( MISSIONS!AQ20="", "",
IF( OR(MISSIONS!AO20&lt;&gt;"",MISSIONS!AP20=100%,GX40="",GX40="?"),"",GZ40+HB40)
)</f>
        <v/>
      </c>
      <c r="HF40" s="5079"/>
      <c r="HG40" s="1887"/>
      <c r="HH40" s="1887"/>
      <c r="HI40" s="5077" t="s">
        <v>736</v>
      </c>
      <c r="HJ40" s="5075"/>
      <c r="HK40" s="5082" t="str">
        <f>IF(AND(HU40=$GQ$24,$GQ$24&lt;&gt;0),"fastest","")</f>
        <v/>
      </c>
      <c r="HL40" s="5083"/>
      <c r="HM40" s="12"/>
      <c r="HN40" s="5073" t="str">
        <f>IF(ISERROR(FIND("[",MISSIONS!BH20)),"", MID(MISSIONS!BH20,SEARCH("[",MISSIONS!BH20)+1,SEARCH("]",MISSIONS!BH20,SEARCH("[",MISSIONS!BH20)+1)-SEARCH("[",MISSIONS!BH20)-1))</f>
        <v/>
      </c>
      <c r="HO40" s="5074"/>
      <c r="HP40" s="5073" t="str">
        <f>IF(HN40="","",IF(MID(HN40,2,1)="h",MID(HN40,1,1)*60,0))</f>
        <v/>
      </c>
      <c r="HQ40" s="5074"/>
      <c r="HR40" s="5073" t="str" cm="1">
        <f t="array" ref="HR40">IF(HN40="","",
_xlfn.IFS(
AND(RIGHT(HN40,1)="m",LEN(HN40)=3),MID(HN40,1,2),
AND(RIGHT(HN40,1)="m",LEN(HN40)=5),MID(HN40,3,2),
AND(RIGHT(HN40,1)="m",LEN(HN40)=2),MID(HN40,1,1),
AND(RIGHT(HN40,1)="m",LEN(HN40)=4),MID(HN40,3,1),
TRUE,0)
)</f>
        <v/>
      </c>
      <c r="HS40" s="5074"/>
      <c r="HT40" s="1219"/>
      <c r="HU40" s="5078" t="str">
        <f>IF( MISSIONS!BH20="", "",
IF( OR(MISSIONS!BF20&lt;&gt;"",MISSIONS!BG20=100%,HN40="",HN40="?"),"",HP40+HR40)
)</f>
        <v/>
      </c>
      <c r="HV40" s="5079"/>
      <c r="HW40" s="1887"/>
      <c r="HX40" s="1220"/>
      <c r="IC40" s="1802">
        <v>18</v>
      </c>
      <c r="ID40" s="1814" t="s">
        <v>228</v>
      </c>
      <c r="IE40" s="1814" t="s">
        <v>2303</v>
      </c>
      <c r="IF40" s="1814" t="s">
        <v>680</v>
      </c>
      <c r="IG40" s="1814" t="s">
        <v>2310</v>
      </c>
      <c r="IH40" s="1814" t="s">
        <v>2315</v>
      </c>
      <c r="II40" s="1815" t="s">
        <v>228</v>
      </c>
      <c r="IK40" s="1802">
        <v>18</v>
      </c>
      <c r="IL40" s="1814" t="s">
        <v>987</v>
      </c>
      <c r="IM40" s="1814" t="s">
        <v>985</v>
      </c>
      <c r="IN40" s="1872" t="s">
        <v>2175</v>
      </c>
      <c r="IO40" s="1814" t="s">
        <v>2277</v>
      </c>
      <c r="IP40" s="1872" t="s">
        <v>1025</v>
      </c>
      <c r="IQ40" s="1814" t="s">
        <v>594</v>
      </c>
      <c r="IR40" s="1814" t="s">
        <v>2257</v>
      </c>
      <c r="IS40" s="1814" t="s">
        <v>2217</v>
      </c>
      <c r="IT40" s="1814" t="s">
        <v>605</v>
      </c>
      <c r="IU40" s="1814" t="s">
        <v>2245</v>
      </c>
      <c r="IV40" s="1814" t="s">
        <v>2224</v>
      </c>
      <c r="IW40" s="1872" t="s">
        <v>2182</v>
      </c>
      <c r="IX40" s="1824"/>
      <c r="IY40" s="1825"/>
      <c r="IZ40" s="1826"/>
      <c r="JA40" s="1834"/>
      <c r="JC40" s="1802">
        <v>18</v>
      </c>
      <c r="JD40" s="1852" t="str">
        <f>IF(BOUNTY!$H123&lt;&gt;"",BOUNTY!$H123,BOUNTY!$H124)</f>
        <v>Digital Book</v>
      </c>
      <c r="JE40" s="1852" t="str">
        <f>IF(BOUNTY!$U123&lt;&gt;"",BOUNTY!$U123,BOUNTY!$U124)</f>
        <v>Digital Video Game Dowload Funds of 20</v>
      </c>
      <c r="JF40" s="1852" t="str">
        <f>IF(BOUNTY!$AH123&lt;&gt;"",BOUNTY!$AH123,BOUNTY!$AH124)</f>
        <v>Sports Game Ticket</v>
      </c>
      <c r="JG40" s="1852" t="str">
        <f>IF(BOUNTY!$AV123&lt;&gt;"",BOUNTY!$AV123,BOUNTY!$AV124)</f>
        <v>Jewelery</v>
      </c>
      <c r="JH40" s="1852" t="str">
        <f>IF(BOUNTY!$BI123&lt;&gt;"",BOUNTY!$BI123,BOUNTY!$BI124)</f>
        <v>Streaming Service Two Month Subscription</v>
      </c>
      <c r="JI40" s="1852" t="str">
        <f>IF(BOUNTY!$H148&lt;&gt;"",BOUNTY!$H148,BOUNTY!$H149)</f>
        <v>Bicycle</v>
      </c>
      <c r="JJ40" s="1852" t="str">
        <f>IF(BOUNTY!$U148&lt;&gt;"",BOUNTY!$U148,BOUNTY!$U149)</f>
        <v>Night Vision Goggles</v>
      </c>
      <c r="JK40" s="1852" t="str">
        <f>IF(BOUNTY!$AH148&lt;&gt;"",BOUNTY!$AH148,BOUNTY!$AH149)</f>
        <v>Rubix Cube</v>
      </c>
      <c r="JL40" s="1852" t="str">
        <f>IF(BOUNTY!$AV148&lt;&gt;"",BOUNTY!$AV148,BOUNTY!$AV149)</f>
        <v>Other Treat</v>
      </c>
      <c r="JM40" s="1852" t="str">
        <f>IF(BOUNTY!$BI148&lt;&gt;"",BOUNTY!$BI148,BOUNTY!$BI149)</f>
        <v>Set of Glasses</v>
      </c>
      <c r="JN40" s="2010"/>
      <c r="JO40" s="2169" t="s">
        <v>1372</v>
      </c>
      <c r="JP40" s="2014" t="s">
        <v>326</v>
      </c>
      <c r="JQ40" s="2170" t="s">
        <v>2010</v>
      </c>
      <c r="JR40" s="1832" t="s">
        <v>1993</v>
      </c>
      <c r="JS40" s="1770"/>
      <c r="JT40" s="1828" t="s">
        <v>1869</v>
      </c>
      <c r="JU40" s="3082"/>
      <c r="JV40" s="1828" t="s">
        <v>2406</v>
      </c>
      <c r="JW40" s="3082"/>
      <c r="JX40" s="1828" t="s">
        <v>386</v>
      </c>
      <c r="JY40" s="3082"/>
      <c r="JZ40" s="1828" t="s">
        <v>1863</v>
      </c>
      <c r="KA40" s="3082"/>
      <c r="KB40" s="1828" t="s">
        <v>387</v>
      </c>
      <c r="KC40" s="3082"/>
      <c r="KG40" s="1822"/>
      <c r="KH40" s="1821"/>
      <c r="KI40" s="1822"/>
      <c r="KJ40" s="1821"/>
      <c r="KK40" s="1822"/>
      <c r="KQ40" s="1930"/>
      <c r="KR40" s="3049"/>
      <c r="KS40" s="1930"/>
      <c r="KT40" s="3049"/>
      <c r="KV40" s="3048"/>
      <c r="KW40" s="3049"/>
      <c r="KX40" s="3048"/>
      <c r="KY40" s="3049"/>
      <c r="LA40" s="5070"/>
    </row>
    <row r="41" spans="2:313" ht="17.100000000000001" customHeight="1" x14ac:dyDescent="0.3">
      <c r="B41" s="3091" t="str">
        <f>MISSIONS!$AK$2</f>
        <v>MTH</v>
      </c>
      <c r="D41" s="5123" t="s">
        <v>2031</v>
      </c>
      <c r="E41" s="5123" t="s">
        <v>2056</v>
      </c>
      <c r="F41" s="5134"/>
      <c r="I41" s="5132"/>
      <c r="J41" s="1898" t="str">
        <f t="shared" si="15"/>
        <v/>
      </c>
      <c r="K41" s="3312" t="str">
        <f t="shared" si="16"/>
        <v/>
      </c>
      <c r="L41" s="3381"/>
      <c r="M41" s="3382"/>
      <c r="N41" s="3382"/>
      <c r="O41" s="3382"/>
      <c r="P41" s="3382"/>
      <c r="Q41" s="3382"/>
      <c r="R41" s="3382"/>
      <c r="S41" s="3382"/>
      <c r="T41" s="3382"/>
      <c r="U41" s="3382"/>
      <c r="V41" s="1774"/>
      <c r="W41" s="3381"/>
      <c r="X41" s="3382"/>
      <c r="Y41" s="3382"/>
      <c r="Z41" s="3382"/>
      <c r="AA41" s="3382"/>
      <c r="AB41" s="3382"/>
      <c r="AC41" s="3382"/>
      <c r="AD41" s="3382"/>
      <c r="AE41" s="3382"/>
      <c r="AF41" s="3382"/>
      <c r="AH41" s="3312" t="str">
        <f t="shared" si="17"/>
        <v/>
      </c>
      <c r="AI41" s="3381"/>
      <c r="AJ41" s="3384"/>
      <c r="AK41" s="3382"/>
      <c r="AL41" s="3382"/>
      <c r="AM41" s="3382"/>
      <c r="AN41" s="3382"/>
      <c r="AO41" s="3382"/>
      <c r="AP41" s="3382"/>
      <c r="AQ41" s="3382"/>
      <c r="AR41" s="3382"/>
      <c r="AS41" s="3382"/>
      <c r="AT41" s="3213"/>
      <c r="AU41" s="3384"/>
      <c r="AV41" s="3382"/>
      <c r="AW41" s="3382"/>
      <c r="AX41" s="3382"/>
      <c r="AY41" s="3382"/>
      <c r="AZ41" s="3382"/>
      <c r="BA41" s="3382"/>
      <c r="BB41" s="3382"/>
      <c r="BC41" s="3382"/>
      <c r="BD41" s="3382"/>
      <c r="BE41" s="3311">
        <v>18</v>
      </c>
      <c r="BF41" s="1882" t="str">
        <f t="shared" si="9"/>
        <v/>
      </c>
      <c r="BG41" s="1883">
        <f t="shared" si="10"/>
        <v>0</v>
      </c>
      <c r="BH41" s="1884">
        <f t="shared" si="13"/>
        <v>0</v>
      </c>
      <c r="DV41" s="2323" t="s">
        <v>494</v>
      </c>
      <c r="DW41" s="2328">
        <f>DX41*60</f>
        <v>2400</v>
      </c>
      <c r="DX41" s="2628">
        <f>RESPITE!$Z$132</f>
        <v>40</v>
      </c>
      <c r="DY41" s="2328">
        <f>DZ41*60</f>
        <v>5400</v>
      </c>
      <c r="DZ41" s="2329">
        <v>90</v>
      </c>
      <c r="EB41" s="1829">
        <v>12</v>
      </c>
      <c r="EC41" s="1793">
        <f>ACTIONS!C22</f>
        <v>0</v>
      </c>
      <c r="ED41" s="1793">
        <f>ACTIONS!D22</f>
        <v>0</v>
      </c>
      <c r="EE41" s="1793">
        <f>ACTIONS!E22</f>
        <v>0</v>
      </c>
      <c r="EF41" s="1793">
        <f>ACTIONS!F22</f>
        <v>0</v>
      </c>
      <c r="EG41" s="1793">
        <f>ACTIONS!G22</f>
        <v>0</v>
      </c>
      <c r="EH41" s="1793">
        <f>ACTIONS!H22</f>
        <v>0</v>
      </c>
      <c r="EI41" s="1793">
        <f>ACTIONS!I22</f>
        <v>0</v>
      </c>
      <c r="EJ41" s="1793">
        <f>ACTIONS!J22</f>
        <v>0</v>
      </c>
      <c r="EK41" s="1793">
        <f>ACTIONS!K22</f>
        <v>0</v>
      </c>
      <c r="EM41" s="1829">
        <v>12</v>
      </c>
      <c r="EN41" s="1795">
        <f>ACTIONS!BQ22</f>
        <v>0</v>
      </c>
      <c r="EO41" s="1795">
        <f>ACTIONS!BR22</f>
        <v>0</v>
      </c>
      <c r="EP41" s="1795">
        <f>ACTIONS!BS22</f>
        <v>0</v>
      </c>
      <c r="EQ41" s="1795">
        <f>ACTIONS!BT22</f>
        <v>0</v>
      </c>
      <c r="ER41" s="1795">
        <f>ACTIONS!BU22</f>
        <v>0</v>
      </c>
      <c r="ES41" s="1795">
        <f>ACTIONS!BV22</f>
        <v>0</v>
      </c>
      <c r="ET41" s="1795">
        <f>ACTIONS!BW22</f>
        <v>0</v>
      </c>
      <c r="EU41" s="1795">
        <f>ACTIONS!BX22</f>
        <v>0</v>
      </c>
      <c r="EV41" s="1795">
        <f>ACTIONS!BY22</f>
        <v>0</v>
      </c>
      <c r="EW41" s="1796"/>
      <c r="EX41" s="2403"/>
      <c r="FA41" s="1808"/>
      <c r="FC41" s="2412"/>
      <c r="FD41" s="2412"/>
      <c r="FE41" s="2412"/>
      <c r="FF41" s="2412"/>
      <c r="FG41" s="2415"/>
      <c r="FH41" s="2414"/>
      <c r="FI41" s="2554"/>
      <c r="FJ41" s="1865"/>
      <c r="FL41" s="1919"/>
      <c r="FM41" s="5075"/>
      <c r="FN41" s="5075"/>
      <c r="FO41" s="5084"/>
      <c r="FP41" s="5085"/>
      <c r="FQ41" s="12"/>
      <c r="FR41" s="5073"/>
      <c r="FS41" s="5074"/>
      <c r="FT41" s="5073"/>
      <c r="FU41" s="5074"/>
      <c r="FV41" s="5073"/>
      <c r="FW41" s="5074"/>
      <c r="FX41" s="1219"/>
      <c r="FY41" s="5080"/>
      <c r="FZ41" s="5081"/>
      <c r="GA41" s="1219"/>
      <c r="GB41" s="1219"/>
      <c r="GC41" s="5075"/>
      <c r="GD41" s="5075"/>
      <c r="GE41" s="5071"/>
      <c r="GF41" s="5072"/>
      <c r="GG41" s="1887"/>
      <c r="GH41" s="5073"/>
      <c r="GI41" s="5074"/>
      <c r="GJ41" s="5073"/>
      <c r="GK41" s="5074"/>
      <c r="GL41" s="5073"/>
      <c r="GM41" s="5074"/>
      <c r="GN41" s="1219"/>
      <c r="GO41" s="5080"/>
      <c r="GP41" s="5081"/>
      <c r="GQ41" s="1887"/>
      <c r="GR41" s="1887"/>
      <c r="GS41" s="5075"/>
      <c r="GT41" s="5075"/>
      <c r="GU41" s="5071"/>
      <c r="GV41" s="5072"/>
      <c r="GW41" s="1887"/>
      <c r="GX41" s="5073"/>
      <c r="GY41" s="5074"/>
      <c r="GZ41" s="5073"/>
      <c r="HA41" s="5074"/>
      <c r="HB41" s="5073"/>
      <c r="HC41" s="5074"/>
      <c r="HD41" s="1219"/>
      <c r="HE41" s="5080"/>
      <c r="HF41" s="5081"/>
      <c r="HG41" s="1887"/>
      <c r="HH41" s="1887"/>
      <c r="HI41" s="5075"/>
      <c r="HJ41" s="5075"/>
      <c r="HK41" s="5084"/>
      <c r="HL41" s="5085"/>
      <c r="HM41" s="12"/>
      <c r="HN41" s="5073"/>
      <c r="HO41" s="5074"/>
      <c r="HP41" s="5073"/>
      <c r="HQ41" s="5074"/>
      <c r="HR41" s="5073"/>
      <c r="HS41" s="5074"/>
      <c r="HT41" s="1219"/>
      <c r="HU41" s="5080"/>
      <c r="HV41" s="5081"/>
      <c r="HW41" s="1887"/>
      <c r="HX41" s="1220"/>
      <c r="HZ41" s="3092"/>
      <c r="IC41" s="1802">
        <v>19</v>
      </c>
      <c r="ID41" s="1814" t="s">
        <v>249</v>
      </c>
      <c r="IE41" s="1814" t="s">
        <v>590</v>
      </c>
      <c r="IF41" s="1814" t="s">
        <v>645</v>
      </c>
      <c r="IG41" s="1814" t="s">
        <v>995</v>
      </c>
      <c r="IH41" s="1814" t="s">
        <v>2316</v>
      </c>
      <c r="II41" s="1815" t="s">
        <v>249</v>
      </c>
      <c r="IK41" s="1802">
        <v>19</v>
      </c>
      <c r="IL41" s="1814" t="s">
        <v>2290</v>
      </c>
      <c r="IM41" s="1814" t="s">
        <v>182</v>
      </c>
      <c r="IN41" s="1814" t="s">
        <v>224</v>
      </c>
      <c r="IO41" s="1814" t="s">
        <v>999</v>
      </c>
      <c r="IP41" s="1814" t="s">
        <v>601</v>
      </c>
      <c r="IQ41" s="1814" t="s">
        <v>2259</v>
      </c>
      <c r="IR41" s="1872" t="s">
        <v>2082</v>
      </c>
      <c r="IS41" s="1814" t="s">
        <v>1292</v>
      </c>
      <c r="IT41" s="1872" t="s">
        <v>2179</v>
      </c>
      <c r="IU41" s="1814" t="s">
        <v>218</v>
      </c>
      <c r="IV41" s="1814" t="s">
        <v>2225</v>
      </c>
      <c r="IW41" s="1814" t="s">
        <v>607</v>
      </c>
      <c r="IX41" s="1824"/>
      <c r="IY41" s="1825"/>
      <c r="IZ41" s="1826"/>
      <c r="JA41" s="1834"/>
      <c r="JC41" s="1802">
        <v>19</v>
      </c>
      <c r="JD41" s="1852" t="str">
        <f>IF(BOUNTY!$H125&lt;&gt;"",BOUNTY!$H125,BOUNTY!$H126)</f>
        <v>Book of Any Type</v>
      </c>
      <c r="JE41" s="1852" t="str">
        <f>IF(BOUNTY!$U125&lt;&gt;"",BOUNTY!$U125,BOUNTY!$U126)</f>
        <v>One Year Subscription to Online Gaming of Choice</v>
      </c>
      <c r="JF41" s="1852" t="str">
        <f>IF(BOUNTY!$AH125&lt;&gt;"",BOUNTY!$AH125,BOUNTY!$AH126)</f>
        <v>Ticket for Any Event</v>
      </c>
      <c r="JG41" s="1852" t="str">
        <f>IF(BOUNTY!$AV125&lt;&gt;"",BOUNTY!$AV125,BOUNTY!$AV126)</f>
        <v>Scarf</v>
      </c>
      <c r="JH41" s="1852" t="str">
        <f>IF(BOUNTY!$BI125&lt;&gt;"",BOUNTY!$BI125,BOUNTY!$BI126)</f>
        <v>Streaming Service Three Month Subscription</v>
      </c>
      <c r="JI41" s="1852" t="str">
        <f>IF(BOUNTY!$H150&lt;&gt;"",BOUNTY!$H150,BOUNTY!$H151)</f>
        <v>Scooter</v>
      </c>
      <c r="JJ41" s="1852" t="str">
        <f>IF(BOUNTY!$U150&lt;&gt;"",BOUNTY!$U150,BOUNTY!$U151)</f>
        <v>Any Gadget of Choice</v>
      </c>
      <c r="JK41" s="1852" t="str">
        <f>IF(BOUNTY!$AH150&lt;&gt;"",BOUNTY!$AH150,BOUNTY!$AH151)</f>
        <v>Chess Set</v>
      </c>
      <c r="JL41" s="1852" t="str">
        <f>IF(BOUNTY!$AV150&lt;&gt;"",BOUNTY!$AV150,BOUNTY!$AV151)</f>
        <v>Other Treat</v>
      </c>
      <c r="JM41" s="1852" t="str">
        <f>IF(BOUNTY!$BI150&lt;&gt;"",BOUNTY!$BI150,BOUNTY!$BI151)</f>
        <v>Any Item of Homeware</v>
      </c>
      <c r="JN41" s="2010"/>
      <c r="JO41" s="2169" t="s">
        <v>1373</v>
      </c>
      <c r="JP41" s="2014" t="s">
        <v>303</v>
      </c>
      <c r="JQ41" s="2170" t="s">
        <v>2029</v>
      </c>
      <c r="JR41" s="1832" t="s">
        <v>1603</v>
      </c>
      <c r="JS41" s="1770"/>
      <c r="JT41" s="1828" t="s">
        <v>1870</v>
      </c>
      <c r="JU41" s="3082"/>
      <c r="JV41" s="1828" t="s">
        <v>1958</v>
      </c>
      <c r="JW41" s="3082"/>
      <c r="JX41" s="1828" t="s">
        <v>1886</v>
      </c>
      <c r="JY41" s="3082"/>
      <c r="JZ41" s="1828" t="s">
        <v>1452</v>
      </c>
      <c r="KA41" s="3082"/>
      <c r="KB41" s="1828" t="s">
        <v>1882</v>
      </c>
      <c r="KC41" s="3082"/>
      <c r="KG41" s="1791"/>
      <c r="KH41" s="1821"/>
      <c r="KI41" s="1791"/>
      <c r="KJ41" s="1821"/>
      <c r="KK41" s="1822"/>
      <c r="KQ41" s="1930"/>
      <c r="KR41" s="3053"/>
      <c r="KS41" s="1930"/>
      <c r="KT41" s="3049"/>
      <c r="KV41" s="3048"/>
      <c r="KW41" s="3053"/>
      <c r="KX41" s="3048"/>
      <c r="KY41" s="3049"/>
      <c r="LA41" s="5070"/>
    </row>
    <row r="42" spans="2:313" ht="17.100000000000001" customHeight="1" x14ac:dyDescent="0.3">
      <c r="B42" s="1836">
        <f>BOUNTY!$AG$19</f>
        <v>0</v>
      </c>
      <c r="D42" s="5124"/>
      <c r="E42" s="5124"/>
      <c r="F42" s="2999">
        <v>0</v>
      </c>
      <c r="G42" s="3317" t="s">
        <v>2055</v>
      </c>
      <c r="H42" s="3318" t="s">
        <v>2055</v>
      </c>
      <c r="I42" s="2999">
        <f>IF(OR($B$41="JAN",$B$41="FEB",$B$41="MAR",$B$41="APR",$B$41="MAY",$B$41="JUN"),$I$28,$I$34)</f>
        <v>0</v>
      </c>
      <c r="J42" s="1898" t="str">
        <f t="shared" si="15"/>
        <v/>
      </c>
      <c r="K42" s="3312" t="str">
        <f t="shared" si="16"/>
        <v/>
      </c>
      <c r="L42" s="3381"/>
      <c r="M42" s="3382"/>
      <c r="N42" s="3382"/>
      <c r="O42" s="3382"/>
      <c r="P42" s="3382"/>
      <c r="Q42" s="3382"/>
      <c r="R42" s="3382"/>
      <c r="S42" s="3382"/>
      <c r="T42" s="3382"/>
      <c r="U42" s="3382"/>
      <c r="V42" s="1774"/>
      <c r="W42" s="3381"/>
      <c r="X42" s="3382"/>
      <c r="Y42" s="3382"/>
      <c r="Z42" s="3382"/>
      <c r="AA42" s="3382"/>
      <c r="AB42" s="3382"/>
      <c r="AC42" s="3382"/>
      <c r="AD42" s="3382"/>
      <c r="AE42" s="3382"/>
      <c r="AF42" s="3382"/>
      <c r="AH42" s="3312" t="str">
        <f t="shared" si="17"/>
        <v/>
      </c>
      <c r="AI42" s="3381"/>
      <c r="AJ42" s="3384"/>
      <c r="AK42" s="3382"/>
      <c r="AL42" s="3382"/>
      <c r="AM42" s="3382"/>
      <c r="AN42" s="3382"/>
      <c r="AO42" s="3382"/>
      <c r="AP42" s="3382"/>
      <c r="AQ42" s="3382"/>
      <c r="AR42" s="3382"/>
      <c r="AS42" s="3382"/>
      <c r="AT42" s="3213"/>
      <c r="AU42" s="3384"/>
      <c r="AV42" s="3382"/>
      <c r="AW42" s="3382"/>
      <c r="AX42" s="3382"/>
      <c r="AY42" s="3382"/>
      <c r="AZ42" s="3382"/>
      <c r="BA42" s="3382"/>
      <c r="BB42" s="3382"/>
      <c r="BC42" s="3382"/>
      <c r="BD42" s="3382"/>
      <c r="BE42" s="3311">
        <v>19</v>
      </c>
      <c r="BF42" s="1882" t="str">
        <f t="shared" si="9"/>
        <v/>
      </c>
      <c r="BG42" s="1883">
        <f t="shared" si="10"/>
        <v>0</v>
      </c>
      <c r="BH42" s="1884">
        <f t="shared" si="13"/>
        <v>0</v>
      </c>
      <c r="DV42" s="2323" t="s">
        <v>1406</v>
      </c>
      <c r="DW42" s="2330">
        <f>DX42*60</f>
        <v>0</v>
      </c>
      <c r="DX42" s="2629">
        <f>RESPITE!$AZ$132</f>
        <v>0</v>
      </c>
      <c r="DY42" s="2330">
        <f>DZ42*60</f>
        <v>6000</v>
      </c>
      <c r="DZ42" s="2331">
        <v>100</v>
      </c>
      <c r="EB42" s="1829">
        <v>11</v>
      </c>
      <c r="EC42" s="1793">
        <f>ACTIONS!C23</f>
        <v>0</v>
      </c>
      <c r="ED42" s="1793">
        <f>ACTIONS!D23</f>
        <v>0</v>
      </c>
      <c r="EE42" s="1793">
        <f>ACTIONS!E23</f>
        <v>0</v>
      </c>
      <c r="EF42" s="1793">
        <f>ACTIONS!F23</f>
        <v>0</v>
      </c>
      <c r="EG42" s="1793">
        <f>ACTIONS!G23</f>
        <v>0</v>
      </c>
      <c r="EH42" s="1793">
        <f>ACTIONS!H23</f>
        <v>0</v>
      </c>
      <c r="EI42" s="1793">
        <f>ACTIONS!I23</f>
        <v>0</v>
      </c>
      <c r="EJ42" s="1793">
        <f>ACTIONS!J23</f>
        <v>0</v>
      </c>
      <c r="EK42" s="1793">
        <f>ACTIONS!K23</f>
        <v>0</v>
      </c>
      <c r="EM42" s="1829">
        <v>11</v>
      </c>
      <c r="EN42" s="1795">
        <f>ACTIONS!BQ23</f>
        <v>0</v>
      </c>
      <c r="EO42" s="1795">
        <f>ACTIONS!BR23</f>
        <v>0</v>
      </c>
      <c r="EP42" s="1795">
        <f>ACTIONS!BS23</f>
        <v>0</v>
      </c>
      <c r="EQ42" s="1795">
        <f>ACTIONS!BT23</f>
        <v>0</v>
      </c>
      <c r="ER42" s="1795">
        <f>ACTIONS!BU23</f>
        <v>0</v>
      </c>
      <c r="ES42" s="1795">
        <f>ACTIONS!BV23</f>
        <v>0</v>
      </c>
      <c r="ET42" s="1795">
        <f>ACTIONS!BW23</f>
        <v>0</v>
      </c>
      <c r="EU42" s="1795">
        <f>ACTIONS!BX23</f>
        <v>0</v>
      </c>
      <c r="EV42" s="1795">
        <f>ACTIONS!BY23</f>
        <v>0</v>
      </c>
      <c r="EW42" s="1796"/>
      <c r="EX42" s="2403"/>
      <c r="EY42" s="2406"/>
      <c r="EZ42" s="2406"/>
      <c r="FA42" s="1813" t="s">
        <v>1475</v>
      </c>
      <c r="FB42" s="2406"/>
      <c r="FC42" s="2407">
        <v>1</v>
      </c>
      <c r="FD42" s="2408">
        <v>0.5</v>
      </c>
      <c r="FE42" s="2409">
        <v>0.25</v>
      </c>
      <c r="FF42" s="2410">
        <v>0.125</v>
      </c>
      <c r="FG42" s="1865"/>
      <c r="FH42" s="2403"/>
      <c r="FI42" s="2553" cm="1">
        <f t="array" ref="FI42">_xlfn.IFS($FI$23=$FC$23,FC42,$FI$23=$FD$23,FD42,$FI$23=$FE$23,FE42,$FI$23=$FF$23,FF42,TRUE,FC42)</f>
        <v>1</v>
      </c>
      <c r="FJ42" s="1865"/>
      <c r="FL42" s="1919"/>
      <c r="FM42" s="5077" t="s">
        <v>535</v>
      </c>
      <c r="FN42" s="5075"/>
      <c r="FO42" s="5082" t="str">
        <f>IF(AND(FY42=$GQ$24,$GQ$24&lt;&gt;0),"fastest","")</f>
        <v/>
      </c>
      <c r="FP42" s="5083"/>
      <c r="FQ42" s="12"/>
      <c r="FR42" s="5073" t="str">
        <f>IF(ISERROR(FIND("[",MISSIONS!E22)),"", MID(MISSIONS!E22,SEARCH("[",MISSIONS!E22)+1,SEARCH("]",MISSIONS!E22,SEARCH("[",MISSIONS!E22)+1)-SEARCH("[",MISSIONS!E22)-1))</f>
        <v/>
      </c>
      <c r="FS42" s="5074"/>
      <c r="FT42" s="5073" t="str">
        <f>IF(FR42="","",IF(MID(FR42,2,1)="h",MID(FR42,1,1)*60,0))</f>
        <v/>
      </c>
      <c r="FU42" s="5074"/>
      <c r="FV42" s="5073" t="str" cm="1">
        <f t="array" ref="FV42">IF(FR42="","",
_xlfn.IFS(
AND(RIGHT(FR42,1)="m",LEN(FR42)=3),MID(FR42,1,2),
AND(RIGHT(FR42,1)="m",LEN(FR42)=5),MID(FR42,3,2),
AND(RIGHT(FR42,1)="m",LEN(FR42)=2),MID(FR42,1,1),
AND(RIGHT(FR42,1)="m",LEN(FR42)=4),MID(FR42,3,1),
TRUE,0)
)</f>
        <v/>
      </c>
      <c r="FW42" s="5074"/>
      <c r="FX42" s="1219"/>
      <c r="FY42" s="5078" t="str">
        <f>IF( MISSIONS!E22="","",
IF( OR(AND(MISSIONS!U22=100%,MISSIONS!U23=MISSIONS!$AP$2),FR42="",FR42="?",PLANS!$DI$81=1),"",FT42+FV42)
)</f>
        <v/>
      </c>
      <c r="FZ42" s="5079"/>
      <c r="GA42" s="1219"/>
      <c r="GB42" s="1219"/>
      <c r="GC42" s="5077" t="s">
        <v>917</v>
      </c>
      <c r="GD42" s="5075"/>
      <c r="GE42" s="5071" t="str">
        <f>IF(AND(GO42=$GQ$24,$GQ$24&lt;&gt;0),"fastest","")</f>
        <v/>
      </c>
      <c r="GF42" s="5072"/>
      <c r="GG42" s="1887"/>
      <c r="GH42" s="5073" t="str">
        <f>IF(ISERROR(FIND("[",MISSIONS!AB22)),"", MID(MISSIONS!AB22,SEARCH("[",MISSIONS!AB22)+1,SEARCH("]",MISSIONS!AB22,SEARCH("[",MISSIONS!AB22)+1)-SEARCH("[",MISSIONS!AB22)-1))</f>
        <v/>
      </c>
      <c r="GI42" s="5074"/>
      <c r="GJ42" s="5073" t="str">
        <f>IF(GH42="","",IF(MID(GH42,2,1)="h",MID(GH42,1,1)*60,0))</f>
        <v/>
      </c>
      <c r="GK42" s="5074"/>
      <c r="GL42" s="5073" t="str" cm="1">
        <f t="array" ref="GL42">IF(GH42="","",
_xlfn.IFS(
AND(RIGHT(GH42,1)="m",LEN(GH42)=3),MID(GH42,1,2),
AND(RIGHT(GH42,1)="m",LEN(GH42)=5),MID(GH42,3,2),
AND(RIGHT(GH42,1)="m",LEN(GH42)=2),MID(GH42,1,1),
AND(RIGHT(GH42,1)="m",LEN(GH42)=4),MID(GH42,3,1),
TRUE,0)
)</f>
        <v/>
      </c>
      <c r="GM42" s="5074"/>
      <c r="GN42" s="1219"/>
      <c r="GO42" s="5078" t="str">
        <f>IF( MISSIONS!AB22="", "",
IF( OR(MISSIONS!AM22&lt;&gt;"",MISSIONS!AL22=100%,GH42="",GH42="?"),"",GJ42+GL42)
)</f>
        <v/>
      </c>
      <c r="GP42" s="5079"/>
      <c r="GQ42" s="1887"/>
      <c r="GR42" s="1887"/>
      <c r="GS42" s="5077" t="s">
        <v>917</v>
      </c>
      <c r="GT42" s="5075"/>
      <c r="GU42" s="5071" t="str">
        <f>IF(AND(HE42=$GQ$24,$GQ$24&lt;&gt;0),"fastest","")</f>
        <v/>
      </c>
      <c r="GV42" s="5072"/>
      <c r="GW42" s="1887"/>
      <c r="GX42" s="5073" t="str">
        <f>IF(ISERROR(FIND("[",MISSIONS!AQ22)),"", MID(MISSIONS!AQ22,SEARCH("[",MISSIONS!AQ22)+1,SEARCH("]",MISSIONS!AQ22,SEARCH("[",MISSIONS!AQ22)+1)-SEARCH("[",MISSIONS!AQ22)-1))</f>
        <v/>
      </c>
      <c r="GY42" s="5074"/>
      <c r="GZ42" s="5073" t="str">
        <f>IF(GX42="","",IF(MID(GX42,2,1)="h",MID(GX42,1,1)*60,0))</f>
        <v/>
      </c>
      <c r="HA42" s="5074"/>
      <c r="HB42" s="5073" t="str" cm="1">
        <f t="array" ref="HB42">IF(GX42="","",
_xlfn.IFS(
AND(RIGHT(GX42,1)="m",LEN(GX42)=3),MID(GX42,1,2),
AND(RIGHT(GX42,1)="m",LEN(GX42)=5),MID(GX42,3,2),
AND(RIGHT(GX42,1)="m",LEN(GX42)=2),MID(GX42,1,1),
AND(RIGHT(GX42,1)="m",LEN(GX42)=4),MID(GX42,3,1),
TRUE,0)
)</f>
        <v/>
      </c>
      <c r="HC42" s="5074"/>
      <c r="HD42" s="1219"/>
      <c r="HE42" s="5078" t="str">
        <f>IF( MISSIONS!AQ22="", "",
IF( OR(MISSIONS!AO22&lt;&gt;"",MISSIONS!AP22=100%,GX42="",GX42="?"),"",GZ42+HB42)
)</f>
        <v/>
      </c>
      <c r="HF42" s="5079"/>
      <c r="HG42" s="1887"/>
      <c r="HH42" s="1887"/>
      <c r="HI42" s="5077" t="s">
        <v>737</v>
      </c>
      <c r="HJ42" s="5075"/>
      <c r="HK42" s="5082" t="str">
        <f>IF(AND(HU42=$GQ$24,$GQ$24&lt;&gt;0),"fastest","")</f>
        <v/>
      </c>
      <c r="HL42" s="5083"/>
      <c r="HM42" s="12"/>
      <c r="HN42" s="5073" t="str">
        <f>IF(ISERROR(FIND("[",MISSIONS!BH22)),"", MID(MISSIONS!BH22,SEARCH("[",MISSIONS!BH22)+1,SEARCH("]",MISSIONS!BH22,SEARCH("[",MISSIONS!BH22)+1)-SEARCH("[",MISSIONS!BH22)-1))</f>
        <v/>
      </c>
      <c r="HO42" s="5074"/>
      <c r="HP42" s="5073" t="str">
        <f>IF(HN42="","",IF(MID(HN42,2,1)="h",MID(HN42,1,1)*60,0))</f>
        <v/>
      </c>
      <c r="HQ42" s="5074"/>
      <c r="HR42" s="5073" t="str" cm="1">
        <f t="array" ref="HR42">IF(HN42="","",
_xlfn.IFS(
AND(RIGHT(HN42,1)="m",LEN(HN42)=3),MID(HN42,1,2),
AND(RIGHT(HN42,1)="m",LEN(HN42)=5),MID(HN42,3,2),
AND(RIGHT(HN42,1)="m",LEN(HN42)=2),MID(HN42,1,1),
AND(RIGHT(HN42,1)="m",LEN(HN42)=4),MID(HN42,3,1),
TRUE,0)
)</f>
        <v/>
      </c>
      <c r="HS42" s="5074"/>
      <c r="HT42" s="1219"/>
      <c r="HU42" s="5078" t="str">
        <f>IF( MISSIONS!BH22="", "",
IF( OR(MISSIONS!BF22&lt;&gt;"",MISSIONS!BG22=100%,HN42="",HN42="?"),"",HP42+HR42)
)</f>
        <v/>
      </c>
      <c r="HV42" s="5079"/>
      <c r="HW42" s="1887"/>
      <c r="HX42" s="1220"/>
      <c r="IC42" s="1804">
        <v>20</v>
      </c>
      <c r="ID42" s="1814" t="s">
        <v>263</v>
      </c>
      <c r="IE42" s="1814" t="s">
        <v>625</v>
      </c>
      <c r="IF42" s="1814" t="s">
        <v>676</v>
      </c>
      <c r="IG42" s="1814" t="s">
        <v>986</v>
      </c>
      <c r="IH42" s="1814" t="s">
        <v>2180</v>
      </c>
      <c r="II42" s="1815" t="s">
        <v>263</v>
      </c>
      <c r="IK42" s="1804">
        <v>20</v>
      </c>
      <c r="IL42" s="1814" t="s">
        <v>209</v>
      </c>
      <c r="IM42" s="1872" t="s">
        <v>1042</v>
      </c>
      <c r="IN42" s="1814" t="s">
        <v>989</v>
      </c>
      <c r="IO42" s="1872" t="s">
        <v>1021</v>
      </c>
      <c r="IP42" s="1814" t="s">
        <v>200</v>
      </c>
      <c r="IQ42" s="1814" t="s">
        <v>661</v>
      </c>
      <c r="IR42" s="1814" t="s">
        <v>574</v>
      </c>
      <c r="IS42" s="1814" t="s">
        <v>579</v>
      </c>
      <c r="IT42" s="1814" t="s">
        <v>667</v>
      </c>
      <c r="IU42" s="1872" t="s">
        <v>1129</v>
      </c>
      <c r="IV42" s="1814" t="s">
        <v>2226</v>
      </c>
      <c r="IW42" s="1872" t="s">
        <v>1014</v>
      </c>
      <c r="IX42" s="1824"/>
      <c r="IY42" s="1825"/>
      <c r="IZ42" s="1826"/>
      <c r="JA42" s="1834"/>
      <c r="JC42" s="1802">
        <v>20</v>
      </c>
      <c r="JD42" s="3192" t="s">
        <v>326</v>
      </c>
      <c r="JE42" s="3192" t="s">
        <v>326</v>
      </c>
      <c r="JF42" s="3192" t="s">
        <v>326</v>
      </c>
      <c r="JG42" s="3192" t="s">
        <v>326</v>
      </c>
      <c r="JH42" s="3192" t="s">
        <v>326</v>
      </c>
      <c r="JI42" s="3192" t="s">
        <v>303</v>
      </c>
      <c r="JJ42" s="3192" t="s">
        <v>303</v>
      </c>
      <c r="JK42" s="3192" t="s">
        <v>303</v>
      </c>
      <c r="JL42" s="3192" t="s">
        <v>303</v>
      </c>
      <c r="JM42" s="3192" t="s">
        <v>303</v>
      </c>
      <c r="JN42" s="1953" t="s">
        <v>2326</v>
      </c>
      <c r="JO42" s="2170" t="s">
        <v>2015</v>
      </c>
      <c r="JP42" s="1819" t="s">
        <v>556</v>
      </c>
      <c r="JQ42" s="2170" t="s">
        <v>1370</v>
      </c>
      <c r="JR42" s="1819" t="s">
        <v>1994</v>
      </c>
      <c r="JS42" s="1770"/>
      <c r="JT42" s="1828" t="s">
        <v>1871</v>
      </c>
      <c r="JU42" s="3082"/>
      <c r="JV42" s="1828" t="s">
        <v>1960</v>
      </c>
      <c r="JW42" s="3082"/>
      <c r="JX42" s="1828" t="s">
        <v>376</v>
      </c>
      <c r="JY42" s="3082"/>
      <c r="JZ42" s="1828" t="s">
        <v>1452</v>
      </c>
      <c r="KA42" s="3082"/>
      <c r="KB42" s="1828" t="s">
        <v>1883</v>
      </c>
      <c r="KC42" s="3082"/>
      <c r="KG42" s="1822"/>
      <c r="KH42" s="1821"/>
      <c r="KI42" s="1822"/>
      <c r="KJ42" s="1821"/>
      <c r="KK42" s="1822"/>
      <c r="KQ42" s="1930"/>
      <c r="KR42" s="3053"/>
      <c r="KS42" s="1930"/>
      <c r="KT42" s="1764"/>
      <c r="KV42" s="3048"/>
      <c r="KW42" s="3053"/>
      <c r="KX42" s="3048"/>
      <c r="KY42" s="1764"/>
    </row>
    <row r="43" spans="2:313" ht="17.100000000000001" customHeight="1" thickBot="1" x14ac:dyDescent="0.35">
      <c r="C43" s="1796"/>
      <c r="D43" s="3105">
        <f>IF(OR($B$41="DEC",$B$41="JAN"),$I$34,$I$28)</f>
        <v>0</v>
      </c>
      <c r="E43" s="3105" cm="1">
        <f t="array" ref="E43">_xlfn.IFS($B$41="JUL",BOUNTY!$G$57,$B$41="JAN",BOUNTY!$BF$57,TRUE,0)</f>
        <v>0</v>
      </c>
      <c r="F43" s="3105">
        <f>F42+E43</f>
        <v>0</v>
      </c>
      <c r="G43" s="1796"/>
      <c r="J43" s="1898" t="str">
        <f t="shared" si="15"/>
        <v/>
      </c>
      <c r="K43" s="3312" t="str">
        <f t="shared" si="16"/>
        <v/>
      </c>
      <c r="L43" s="3381"/>
      <c r="M43" s="3382"/>
      <c r="N43" s="3382"/>
      <c r="O43" s="3382"/>
      <c r="P43" s="3382"/>
      <c r="Q43" s="3382"/>
      <c r="R43" s="3382"/>
      <c r="S43" s="3382"/>
      <c r="T43" s="3382"/>
      <c r="U43" s="3382"/>
      <c r="V43" s="1774"/>
      <c r="W43" s="3381"/>
      <c r="X43" s="3382"/>
      <c r="Y43" s="3382"/>
      <c r="Z43" s="3382"/>
      <c r="AA43" s="3382"/>
      <c r="AB43" s="3382"/>
      <c r="AC43" s="3382"/>
      <c r="AD43" s="3382"/>
      <c r="AE43" s="3382"/>
      <c r="AF43" s="3382"/>
      <c r="AH43" s="3312" t="str">
        <f t="shared" si="17"/>
        <v/>
      </c>
      <c r="AI43" s="3381"/>
      <c r="AJ43" s="3384"/>
      <c r="AK43" s="3382"/>
      <c r="AL43" s="3382"/>
      <c r="AM43" s="3382"/>
      <c r="AN43" s="3382"/>
      <c r="AO43" s="3382"/>
      <c r="AP43" s="3382"/>
      <c r="AQ43" s="3382"/>
      <c r="AR43" s="3382"/>
      <c r="AS43" s="3382"/>
      <c r="AT43" s="3213"/>
      <c r="AU43" s="3384"/>
      <c r="AV43" s="3382"/>
      <c r="AW43" s="3382"/>
      <c r="AX43" s="3382"/>
      <c r="AY43" s="3382"/>
      <c r="AZ43" s="3382"/>
      <c r="BA43" s="3382"/>
      <c r="BB43" s="3382"/>
      <c r="BC43" s="3382"/>
      <c r="BD43" s="3382"/>
      <c r="BE43" s="3311">
        <v>20</v>
      </c>
      <c r="BF43" s="1882" t="str">
        <f t="shared" si="9"/>
        <v/>
      </c>
      <c r="BG43" s="1883">
        <f t="shared" si="10"/>
        <v>0</v>
      </c>
      <c r="BH43" s="1884">
        <f t="shared" si="13"/>
        <v>0</v>
      </c>
      <c r="DU43" s="1175"/>
      <c r="EB43" s="1829">
        <v>10</v>
      </c>
      <c r="EC43" s="1793">
        <f>ACTIONS!C24</f>
        <v>0</v>
      </c>
      <c r="ED43" s="1793">
        <f>ACTIONS!D24</f>
        <v>0</v>
      </c>
      <c r="EE43" s="1793">
        <f>ACTIONS!E24</f>
        <v>0</v>
      </c>
      <c r="EF43" s="1793">
        <f>ACTIONS!F24</f>
        <v>0</v>
      </c>
      <c r="EG43" s="1793">
        <f>ACTIONS!G24</f>
        <v>0</v>
      </c>
      <c r="EH43" s="1793">
        <f>ACTIONS!H24</f>
        <v>0</v>
      </c>
      <c r="EI43" s="1793">
        <f>ACTIONS!I24</f>
        <v>0</v>
      </c>
      <c r="EJ43" s="1793">
        <f>ACTIONS!J24</f>
        <v>0</v>
      </c>
      <c r="EK43" s="1793">
        <f>ACTIONS!K24</f>
        <v>0</v>
      </c>
      <c r="EM43" s="1829">
        <v>10</v>
      </c>
      <c r="EN43" s="1795">
        <f>ACTIONS!BQ24</f>
        <v>0</v>
      </c>
      <c r="EO43" s="1795">
        <f>ACTIONS!BR24</f>
        <v>0</v>
      </c>
      <c r="EP43" s="1795">
        <f>ACTIONS!BS24</f>
        <v>0</v>
      </c>
      <c r="EQ43" s="1795">
        <f>ACTIONS!BT24</f>
        <v>0</v>
      </c>
      <c r="ER43" s="1795">
        <f>ACTIONS!BU24</f>
        <v>0</v>
      </c>
      <c r="ES43" s="1795">
        <f>ACTIONS!BV24</f>
        <v>0</v>
      </c>
      <c r="ET43" s="1795">
        <f>ACTIONS!BW24</f>
        <v>0</v>
      </c>
      <c r="EU43" s="1795">
        <f>ACTIONS!BX24</f>
        <v>0</v>
      </c>
      <c r="EV43" s="1795">
        <f>ACTIONS!BY24</f>
        <v>0</v>
      </c>
      <c r="EW43" s="1796"/>
      <c r="EX43" s="2403"/>
      <c r="FA43" s="1808"/>
      <c r="FC43" s="2412"/>
      <c r="FD43" s="2412"/>
      <c r="FE43" s="2412"/>
      <c r="FF43" s="2412"/>
      <c r="FG43" s="2415"/>
      <c r="FH43" s="2414"/>
      <c r="FI43" s="2554"/>
      <c r="FJ43" s="1865"/>
      <c r="FL43" s="1919"/>
      <c r="FM43" s="5075"/>
      <c r="FN43" s="5075"/>
      <c r="FO43" s="5084"/>
      <c r="FP43" s="5085"/>
      <c r="FQ43" s="12"/>
      <c r="FR43" s="5073"/>
      <c r="FS43" s="5074"/>
      <c r="FT43" s="5073"/>
      <c r="FU43" s="5074"/>
      <c r="FV43" s="5073"/>
      <c r="FW43" s="5074"/>
      <c r="FX43" s="1219"/>
      <c r="FY43" s="5080"/>
      <c r="FZ43" s="5081"/>
      <c r="GA43" s="1219"/>
      <c r="GB43" s="1219"/>
      <c r="GC43" s="5075"/>
      <c r="GD43" s="5075"/>
      <c r="GE43" s="5071"/>
      <c r="GF43" s="5072"/>
      <c r="GG43" s="1887"/>
      <c r="GH43" s="5073"/>
      <c r="GI43" s="5074"/>
      <c r="GJ43" s="5073"/>
      <c r="GK43" s="5074"/>
      <c r="GL43" s="5073"/>
      <c r="GM43" s="5074"/>
      <c r="GN43" s="1219"/>
      <c r="GO43" s="5080"/>
      <c r="GP43" s="5081"/>
      <c r="GQ43" s="1887"/>
      <c r="GR43" s="1887"/>
      <c r="GS43" s="5075"/>
      <c r="GT43" s="5075"/>
      <c r="GU43" s="5071"/>
      <c r="GV43" s="5072"/>
      <c r="GW43" s="1887"/>
      <c r="GX43" s="5073"/>
      <c r="GY43" s="5074"/>
      <c r="GZ43" s="5073"/>
      <c r="HA43" s="5074"/>
      <c r="HB43" s="5073"/>
      <c r="HC43" s="5074"/>
      <c r="HD43" s="1219"/>
      <c r="HE43" s="5080"/>
      <c r="HF43" s="5081"/>
      <c r="HG43" s="1887"/>
      <c r="HH43" s="1887"/>
      <c r="HI43" s="5075"/>
      <c r="HJ43" s="5075"/>
      <c r="HK43" s="5084"/>
      <c r="HL43" s="5085"/>
      <c r="HM43" s="12"/>
      <c r="HN43" s="5073"/>
      <c r="HO43" s="5074"/>
      <c r="HP43" s="5073"/>
      <c r="HQ43" s="5074"/>
      <c r="HR43" s="5073"/>
      <c r="HS43" s="5074"/>
      <c r="HT43" s="1219"/>
      <c r="HU43" s="5080"/>
      <c r="HV43" s="5081"/>
      <c r="HW43" s="1887"/>
      <c r="HX43" s="1220"/>
      <c r="IC43" s="1802">
        <v>21</v>
      </c>
      <c r="ID43" s="1814" t="s">
        <v>2298</v>
      </c>
      <c r="IE43" s="1814" t="s">
        <v>595</v>
      </c>
      <c r="IF43" s="1814" t="s">
        <v>657</v>
      </c>
      <c r="IG43" s="1814" t="s">
        <v>2311</v>
      </c>
      <c r="IH43" s="1814" t="s">
        <v>2079</v>
      </c>
      <c r="II43" s="1815" t="s">
        <v>2298</v>
      </c>
      <c r="IK43" s="1802">
        <v>21</v>
      </c>
      <c r="IL43" s="1814" t="s">
        <v>2291</v>
      </c>
      <c r="IM43" s="1814" t="s">
        <v>592</v>
      </c>
      <c r="IN43" s="1814" t="s">
        <v>2281</v>
      </c>
      <c r="IO43" s="1814" t="s">
        <v>192</v>
      </c>
      <c r="IP43" s="1814" t="s">
        <v>2270</v>
      </c>
      <c r="IQ43" s="1872" t="s">
        <v>1048</v>
      </c>
      <c r="IR43" s="1872" t="s">
        <v>2258</v>
      </c>
      <c r="IS43" s="1814" t="s">
        <v>978</v>
      </c>
      <c r="IT43" s="1872" t="s">
        <v>1133</v>
      </c>
      <c r="IU43" s="1814" t="s">
        <v>612</v>
      </c>
      <c r="IV43" s="1872" t="s">
        <v>2227</v>
      </c>
      <c r="IW43" s="1814" t="s">
        <v>2238</v>
      </c>
      <c r="IX43" s="1824"/>
      <c r="IY43" s="1825"/>
      <c r="IZ43" s="1826"/>
      <c r="JA43" s="1834"/>
      <c r="JN43" s="2011"/>
      <c r="JO43" s="2170" t="s">
        <v>1904</v>
      </c>
      <c r="JP43" s="1819" t="s">
        <v>1946</v>
      </c>
      <c r="JQ43" s="2170" t="s">
        <v>2009</v>
      </c>
      <c r="JR43" s="1819" t="s">
        <v>1995</v>
      </c>
      <c r="JS43" s="1770"/>
      <c r="JT43" s="1828" t="s">
        <v>1872</v>
      </c>
      <c r="JU43" s="3082"/>
      <c r="JV43" s="1828" t="s">
        <v>1965</v>
      </c>
      <c r="JW43" s="3082"/>
      <c r="JX43" s="1828" t="s">
        <v>1890</v>
      </c>
      <c r="JY43" s="3082"/>
      <c r="JZ43" s="1828" t="s">
        <v>2057</v>
      </c>
      <c r="KA43" s="3082"/>
      <c r="KB43" s="1828" t="s">
        <v>1884</v>
      </c>
      <c r="KC43" s="3082"/>
      <c r="KG43" s="1822"/>
      <c r="KH43" s="1821"/>
      <c r="KI43" s="1822"/>
      <c r="KJ43" s="1821"/>
      <c r="KK43" s="1822"/>
      <c r="KQ43" s="1930"/>
      <c r="KR43" s="3053"/>
      <c r="KS43" s="1930"/>
      <c r="KT43" s="1764"/>
      <c r="KV43" s="3048"/>
      <c r="KW43" s="3053"/>
      <c r="KX43" s="3048"/>
      <c r="KY43" s="1764"/>
    </row>
    <row r="44" spans="2:313" ht="17.100000000000001" customHeight="1" x14ac:dyDescent="0.3">
      <c r="C44" s="1796"/>
      <c r="D44" s="1796"/>
      <c r="E44" s="1796"/>
      <c r="F44" s="3263" t="s">
        <v>2332</v>
      </c>
      <c r="G44" s="3092"/>
      <c r="I44" s="3310" t="s">
        <v>2045</v>
      </c>
      <c r="J44" s="1898" t="str">
        <f t="shared" si="15"/>
        <v/>
      </c>
      <c r="K44" s="3312" t="str">
        <f t="shared" si="16"/>
        <v/>
      </c>
      <c r="L44" s="3381"/>
      <c r="M44" s="3382"/>
      <c r="N44" s="3382"/>
      <c r="O44" s="3382"/>
      <c r="P44" s="3382"/>
      <c r="Q44" s="3382"/>
      <c r="R44" s="3382"/>
      <c r="S44" s="3382"/>
      <c r="T44" s="3382"/>
      <c r="U44" s="3382"/>
      <c r="V44" s="1774"/>
      <c r="W44" s="3381"/>
      <c r="X44" s="3382"/>
      <c r="Y44" s="3382"/>
      <c r="Z44" s="3382"/>
      <c r="AA44" s="3382"/>
      <c r="AB44" s="3382"/>
      <c r="AC44" s="3382"/>
      <c r="AD44" s="3382"/>
      <c r="AE44" s="3382"/>
      <c r="AF44" s="3382"/>
      <c r="AH44" s="3312" t="str">
        <f t="shared" si="17"/>
        <v/>
      </c>
      <c r="AI44" s="3381"/>
      <c r="AJ44" s="3384"/>
      <c r="AK44" s="3382"/>
      <c r="AL44" s="3382"/>
      <c r="AM44" s="3382"/>
      <c r="AN44" s="3382"/>
      <c r="AO44" s="3382"/>
      <c r="AP44" s="3382"/>
      <c r="AQ44" s="3382"/>
      <c r="AR44" s="3382"/>
      <c r="AS44" s="3382"/>
      <c r="AT44" s="3213"/>
      <c r="AU44" s="3384"/>
      <c r="AV44" s="3382"/>
      <c r="AW44" s="3382"/>
      <c r="AX44" s="3382"/>
      <c r="AY44" s="3382"/>
      <c r="AZ44" s="3382"/>
      <c r="BA44" s="3382"/>
      <c r="BB44" s="3382"/>
      <c r="BC44" s="3382"/>
      <c r="BD44" s="3382"/>
      <c r="BE44" s="3311">
        <v>21</v>
      </c>
      <c r="BF44" s="1882" t="str">
        <f t="shared" si="9"/>
        <v/>
      </c>
      <c r="BG44" s="1883">
        <f t="shared" si="10"/>
        <v>0</v>
      </c>
      <c r="BH44" s="1884">
        <f t="shared" si="13"/>
        <v>0</v>
      </c>
      <c r="EB44" s="1829">
        <v>9</v>
      </c>
      <c r="EC44" s="1793">
        <f>ACTIONS!C25</f>
        <v>0</v>
      </c>
      <c r="ED44" s="1793">
        <f>ACTIONS!D25</f>
        <v>0</v>
      </c>
      <c r="EE44" s="1793">
        <f>ACTIONS!E25</f>
        <v>0</v>
      </c>
      <c r="EF44" s="1793">
        <f>ACTIONS!F25</f>
        <v>0</v>
      </c>
      <c r="EG44" s="1793">
        <f>ACTIONS!G25</f>
        <v>0</v>
      </c>
      <c r="EH44" s="1793">
        <f>ACTIONS!H25</f>
        <v>0</v>
      </c>
      <c r="EI44" s="1793">
        <f>ACTIONS!I25</f>
        <v>0</v>
      </c>
      <c r="EJ44" s="1793">
        <f>ACTIONS!J25</f>
        <v>0</v>
      </c>
      <c r="EK44" s="1793">
        <f>ACTIONS!K25</f>
        <v>0</v>
      </c>
      <c r="EM44" s="1829">
        <v>9</v>
      </c>
      <c r="EN44" s="1795">
        <f>ACTIONS!BQ25</f>
        <v>0</v>
      </c>
      <c r="EO44" s="1795">
        <f>ACTIONS!BR25</f>
        <v>0</v>
      </c>
      <c r="EP44" s="1795">
        <f>ACTIONS!BS25</f>
        <v>0</v>
      </c>
      <c r="EQ44" s="1795">
        <f>ACTIONS!BT25</f>
        <v>0</v>
      </c>
      <c r="ER44" s="1795">
        <f>ACTIONS!BU25</f>
        <v>0</v>
      </c>
      <c r="ES44" s="1795">
        <f>ACTIONS!BV25</f>
        <v>0</v>
      </c>
      <c r="ET44" s="1795">
        <f>ACTIONS!BW25</f>
        <v>0</v>
      </c>
      <c r="EU44" s="1795">
        <f>ACTIONS!BX25</f>
        <v>0</v>
      </c>
      <c r="EV44" s="1795">
        <f>ACTIONS!BY25</f>
        <v>0</v>
      </c>
      <c r="EW44" s="1796"/>
      <c r="EX44" s="2403"/>
      <c r="EY44" s="2406"/>
      <c r="EZ44" s="2406"/>
      <c r="FA44" s="1813" t="s">
        <v>1474</v>
      </c>
      <c r="FB44" s="2406"/>
      <c r="FC44" s="2407">
        <v>0.5</v>
      </c>
      <c r="FD44" s="2408">
        <v>0.25</v>
      </c>
      <c r="FE44" s="2409">
        <v>0.125</v>
      </c>
      <c r="FF44" s="2410">
        <v>0</v>
      </c>
      <c r="FG44" s="1865"/>
      <c r="FH44" s="2403"/>
      <c r="FI44" s="2553" cm="1">
        <f t="array" ref="FI44">_xlfn.IFS($FI$23=$FC$23,FC44,$FI$23=$FD$23,FD44,$FI$23=$FE$23,FE44,$FI$23=$FF$23,FF44,TRUE,FC44)</f>
        <v>0.5</v>
      </c>
      <c r="FJ44" s="1865"/>
      <c r="FL44" s="1919"/>
      <c r="FM44" s="5075" t="s">
        <v>536</v>
      </c>
      <c r="FN44" s="5075"/>
      <c r="FO44" s="5082" t="str">
        <f>IF(AND(FY44=$GQ$24,$GQ$24&lt;&gt;0),"fastest","")</f>
        <v/>
      </c>
      <c r="FP44" s="5083"/>
      <c r="FQ44" s="12"/>
      <c r="FR44" s="5073" t="str">
        <f>IF(ISERROR(FIND("[",MISSIONS!E24)),"", MID(MISSIONS!E24,SEARCH("[",MISSIONS!E24)+1,SEARCH("]",MISSIONS!E24,SEARCH("[",MISSIONS!E24)+1)-SEARCH("[",MISSIONS!E24)-1))</f>
        <v/>
      </c>
      <c r="FS44" s="5074"/>
      <c r="FT44" s="5073" t="str">
        <f>IF(FR44="","",IF(MID(FR44,2,1)="h",MID(FR44,1,1)*60,0))</f>
        <v/>
      </c>
      <c r="FU44" s="5074"/>
      <c r="FV44" s="5073" t="str" cm="1">
        <f t="array" ref="FV44">IF(FR44="","",
_xlfn.IFS(
AND(RIGHT(FR44,1)="m",LEN(FR44)=3),MID(FR44,1,2),
AND(RIGHT(FR44,1)="m",LEN(FR44)=5),MID(FR44,3,2),
AND(RIGHT(FR44,1)="m",LEN(FR44)=2),MID(FR44,1,1),
AND(RIGHT(FR44,1)="m",LEN(FR44)=4),MID(FR44,3,1),
TRUE,0)
)</f>
        <v/>
      </c>
      <c r="FW44" s="5074"/>
      <c r="FX44" s="1219"/>
      <c r="FY44" s="5078" t="str">
        <f>IF( MISSIONS!E24="","",
IF( OR(AND(MISSIONS!U24=100%,MISSIONS!U25=MISSIONS!$AP$2),FR44="",FR44="?",PLANS!$DI$81=1),"",FT44+FV44)
)</f>
        <v/>
      </c>
      <c r="FZ44" s="5079"/>
      <c r="GA44" s="1219"/>
      <c r="GB44" s="1219"/>
      <c r="GC44" s="5077" t="s">
        <v>918</v>
      </c>
      <c r="GD44" s="5075"/>
      <c r="GE44" s="5071" t="str">
        <f>IF(AND(GO44=$GQ$24,$GQ$24&lt;&gt;0),"fastest","")</f>
        <v/>
      </c>
      <c r="GF44" s="5072"/>
      <c r="GG44" s="1887"/>
      <c r="GH44" s="5073" t="str">
        <f>IF(ISERROR(FIND("[",MISSIONS!AB24)),"", MID(MISSIONS!AB24,SEARCH("[",MISSIONS!AB24)+1,SEARCH("]",MISSIONS!AB24,SEARCH("[",MISSIONS!AB24)+1)-SEARCH("[",MISSIONS!AB24)-1))</f>
        <v/>
      </c>
      <c r="GI44" s="5074"/>
      <c r="GJ44" s="5073" t="str">
        <f>IF(GH44="","",IF(MID(GH44,2,1)="h",MID(GH44,1,1)*60,0))</f>
        <v/>
      </c>
      <c r="GK44" s="5074"/>
      <c r="GL44" s="5073" t="str" cm="1">
        <f t="array" ref="GL44">IF(GH44="","",
_xlfn.IFS(
AND(RIGHT(GH44,1)="m",LEN(GH44)=3),MID(GH44,1,2),
AND(RIGHT(GH44,1)="m",LEN(GH44)=5),MID(GH44,3,2),
AND(RIGHT(GH44,1)="m",LEN(GH44)=2),MID(GH44,1,1),
AND(RIGHT(GH44,1)="m",LEN(GH44)=4),MID(GH44,3,1),
TRUE,0)
)</f>
        <v/>
      </c>
      <c r="GM44" s="5074"/>
      <c r="GN44" s="1219"/>
      <c r="GO44" s="5078" t="str">
        <f>IF( MISSIONS!AB24="", "",
IF( OR(MISSIONS!AM24&lt;&gt;"",MISSIONS!AL24=100%,GH44="",GH44="?"),"",GJ44+GL44)
)</f>
        <v/>
      </c>
      <c r="GP44" s="5079"/>
      <c r="GQ44" s="1887"/>
      <c r="GR44" s="1887"/>
      <c r="GS44" s="5077" t="s">
        <v>918</v>
      </c>
      <c r="GT44" s="5075"/>
      <c r="GU44" s="5071" t="str">
        <f>IF(AND(HE44=$GQ$24,$GQ$24&lt;&gt;0),"fastest","")</f>
        <v/>
      </c>
      <c r="GV44" s="5072"/>
      <c r="GW44" s="1887"/>
      <c r="GX44" s="5073" t="str">
        <f>IF(ISERROR(FIND("[",MISSIONS!AQ24)),"", MID(MISSIONS!AQ24,SEARCH("[",MISSIONS!AQ24)+1,SEARCH("]",MISSIONS!AQ24,SEARCH("[",MISSIONS!AQ24)+1)-SEARCH("[",MISSIONS!AQ24)-1))</f>
        <v/>
      </c>
      <c r="GY44" s="5074"/>
      <c r="GZ44" s="5073" t="str">
        <f>IF(GX44="","",IF(MID(GX44,2,1)="h",MID(GX44,1,1)*60,0))</f>
        <v/>
      </c>
      <c r="HA44" s="5074"/>
      <c r="HB44" s="5073" t="str" cm="1">
        <f t="array" ref="HB44">IF(GX44="","",
_xlfn.IFS(
AND(RIGHT(GX44,1)="m",LEN(GX44)=3),MID(GX44,1,2),
AND(RIGHT(GX44,1)="m",LEN(GX44)=5),MID(GX44,3,2),
AND(RIGHT(GX44,1)="m",LEN(GX44)=2),MID(GX44,1,1),
AND(RIGHT(GX44,1)="m",LEN(GX44)=4),MID(GX44,3,1),
TRUE,0)
)</f>
        <v/>
      </c>
      <c r="HC44" s="5074"/>
      <c r="HD44" s="1219"/>
      <c r="HE44" s="5078" t="str">
        <f>IF( MISSIONS!AQ24="", "",
IF( OR(MISSIONS!AO24&lt;&gt;"",MISSIONS!AP24=100%,GX44="",GX44="?"),"",GZ44+HB44)
)</f>
        <v/>
      </c>
      <c r="HF44" s="5079"/>
      <c r="HG44" s="1887"/>
      <c r="HH44" s="1887"/>
      <c r="HI44" s="5077" t="s">
        <v>738</v>
      </c>
      <c r="HJ44" s="5075"/>
      <c r="HK44" s="5082" t="str">
        <f>IF(AND(HU44=$GQ$24,$GQ$24&lt;&gt;0),"fastest","")</f>
        <v/>
      </c>
      <c r="HL44" s="5083"/>
      <c r="HM44" s="12"/>
      <c r="HN44" s="5073" t="str">
        <f>IF(ISERROR(FIND("[",MISSIONS!BH24)),"", MID(MISSIONS!BH24,SEARCH("[",MISSIONS!BH24)+1,SEARCH("]",MISSIONS!BH24,SEARCH("[",MISSIONS!BH24)+1)-SEARCH("[",MISSIONS!BH24)-1))</f>
        <v/>
      </c>
      <c r="HO44" s="5074"/>
      <c r="HP44" s="5073" t="str">
        <f>IF(HN44="","",IF(MID(HN44,2,1)="h",MID(HN44,1,1)*60,0))</f>
        <v/>
      </c>
      <c r="HQ44" s="5074"/>
      <c r="HR44" s="5073" t="str" cm="1">
        <f t="array" ref="HR44">IF(HN44="","",
_xlfn.IFS(
AND(RIGHT(HN44,1)="m",LEN(HN44)=3),MID(HN44,1,2),
AND(RIGHT(HN44,1)="m",LEN(HN44)=5),MID(HN44,3,2),
AND(RIGHT(HN44,1)="m",LEN(HN44)=2),MID(HN44,1,1),
AND(RIGHT(HN44,1)="m",LEN(HN44)=4),MID(HN44,3,1),
TRUE,0)
)</f>
        <v/>
      </c>
      <c r="HS44" s="5074"/>
      <c r="HT44" s="1219"/>
      <c r="HU44" s="5078" t="str">
        <f>IF( MISSIONS!BH24="", "",
IF( OR(MISSIONS!BF24&lt;&gt;"",MISSIONS!BG24=100%,HN44="",HN44="?"),"",HP44+HR44)
)</f>
        <v/>
      </c>
      <c r="HV44" s="5079"/>
      <c r="HW44" s="1887"/>
      <c r="HX44" s="1220"/>
      <c r="IA44" s="1887"/>
      <c r="IC44" s="1802">
        <v>22</v>
      </c>
      <c r="ID44" s="1814" t="s">
        <v>237</v>
      </c>
      <c r="IE44" s="1814" t="s">
        <v>608</v>
      </c>
      <c r="IF44" s="1814" t="s">
        <v>904</v>
      </c>
      <c r="IG44" s="1814" t="s">
        <v>2312</v>
      </c>
      <c r="IH44" s="1814" t="s">
        <v>2068</v>
      </c>
      <c r="II44" s="1815" t="s">
        <v>237</v>
      </c>
      <c r="IK44" s="1802">
        <v>22</v>
      </c>
      <c r="IL44" s="1872" t="s">
        <v>2183</v>
      </c>
      <c r="IM44" s="1872" t="s">
        <v>1017</v>
      </c>
      <c r="IN44" s="1814" t="s">
        <v>593</v>
      </c>
      <c r="IO44" s="1872" t="s">
        <v>1022</v>
      </c>
      <c r="IP44" s="1814" t="s">
        <v>2271</v>
      </c>
      <c r="IQ44" s="1814" t="s">
        <v>678</v>
      </c>
      <c r="IR44" s="1814" t="s">
        <v>588</v>
      </c>
      <c r="IS44" s="1814" t="s">
        <v>606</v>
      </c>
      <c r="IT44" s="1814" t="s">
        <v>979</v>
      </c>
      <c r="IU44" s="1814" t="s">
        <v>297</v>
      </c>
      <c r="IV44" s="1814" t="s">
        <v>2228</v>
      </c>
      <c r="IW44" s="1872" t="s">
        <v>1039</v>
      </c>
      <c r="IX44" s="1824"/>
      <c r="IY44" s="1825"/>
      <c r="IZ44" s="1826"/>
      <c r="JA44" s="1834"/>
      <c r="JC44" s="1888" t="s">
        <v>368</v>
      </c>
      <c r="JD44" s="1889"/>
      <c r="JE44" s="1889"/>
      <c r="JF44" s="1889"/>
      <c r="JG44" s="1889"/>
      <c r="JH44" s="1889"/>
      <c r="JI44" s="1889"/>
      <c r="JJ44" s="1889"/>
      <c r="JK44" s="1889"/>
      <c r="JL44" s="1889"/>
      <c r="JM44" s="1890"/>
      <c r="JN44" s="1869"/>
      <c r="JO44" s="2170" t="s">
        <v>1304</v>
      </c>
      <c r="JP44" s="1819" t="s">
        <v>2002</v>
      </c>
      <c r="JQ44" s="2170" t="s">
        <v>1317</v>
      </c>
      <c r="JR44" s="1819" t="s">
        <v>1987</v>
      </c>
      <c r="JS44" s="1770"/>
      <c r="JT44" s="1828" t="s">
        <v>1873</v>
      </c>
      <c r="JU44" s="3082"/>
      <c r="JV44" s="1828" t="s">
        <v>1966</v>
      </c>
      <c r="JW44" s="3082"/>
      <c r="JX44" s="1828" t="s">
        <v>1320</v>
      </c>
      <c r="JY44" s="3082"/>
      <c r="JZ44" s="1828" t="s">
        <v>2057</v>
      </c>
      <c r="KA44" s="3082"/>
      <c r="KB44" s="1828" t="s">
        <v>1888</v>
      </c>
      <c r="KC44" s="3082"/>
      <c r="KG44" s="1822"/>
      <c r="KH44" s="1821"/>
      <c r="KI44" s="1822"/>
      <c r="KJ44" s="1821"/>
      <c r="KK44" s="1822"/>
      <c r="KQ44" s="1930"/>
      <c r="KR44" s="3053"/>
      <c r="KS44" s="1930"/>
      <c r="KT44" s="1764"/>
      <c r="KV44" s="3048"/>
      <c r="KW44" s="3053"/>
      <c r="KX44" s="3048"/>
      <c r="KY44" s="1764"/>
    </row>
    <row r="45" spans="2:313" ht="17.100000000000001" customHeight="1" thickBot="1" x14ac:dyDescent="0.35">
      <c r="I45" s="3106">
        <f>BOUNTY!$AM$24</f>
        <v>0</v>
      </c>
      <c r="J45" s="1898" t="str">
        <f t="shared" si="15"/>
        <v/>
      </c>
      <c r="K45" s="3312" t="str">
        <f t="shared" si="16"/>
        <v/>
      </c>
      <c r="L45" s="3381"/>
      <c r="M45" s="3382"/>
      <c r="N45" s="3382"/>
      <c r="O45" s="3382"/>
      <c r="P45" s="3382"/>
      <c r="Q45" s="3382"/>
      <c r="R45" s="3382"/>
      <c r="S45" s="3382"/>
      <c r="T45" s="3382"/>
      <c r="U45" s="3382"/>
      <c r="V45" s="1774"/>
      <c r="W45" s="3381"/>
      <c r="X45" s="3382"/>
      <c r="Y45" s="3382"/>
      <c r="Z45" s="3382"/>
      <c r="AA45" s="3382"/>
      <c r="AB45" s="3382"/>
      <c r="AC45" s="3382"/>
      <c r="AD45" s="3382"/>
      <c r="AE45" s="3382"/>
      <c r="AF45" s="3382"/>
      <c r="AH45" s="3312" t="str">
        <f t="shared" si="17"/>
        <v/>
      </c>
      <c r="AI45" s="3381"/>
      <c r="AJ45" s="3384"/>
      <c r="AK45" s="3382"/>
      <c r="AL45" s="3382"/>
      <c r="AM45" s="3382"/>
      <c r="AN45" s="3382"/>
      <c r="AO45" s="3382"/>
      <c r="AP45" s="3382"/>
      <c r="AQ45" s="3382"/>
      <c r="AR45" s="3382"/>
      <c r="AS45" s="3382"/>
      <c r="AT45" s="3213"/>
      <c r="AU45" s="3384"/>
      <c r="AV45" s="3382"/>
      <c r="AW45" s="3382"/>
      <c r="AX45" s="3382"/>
      <c r="AY45" s="3382"/>
      <c r="AZ45" s="3382"/>
      <c r="BA45" s="3382"/>
      <c r="BB45" s="3382"/>
      <c r="BC45" s="3382"/>
      <c r="BD45" s="3382"/>
      <c r="BE45" s="3311">
        <v>22</v>
      </c>
      <c r="BF45" s="1882" t="str">
        <f t="shared" si="9"/>
        <v/>
      </c>
      <c r="BG45" s="1883">
        <f t="shared" si="10"/>
        <v>0</v>
      </c>
      <c r="BH45" s="1884">
        <f t="shared" si="13"/>
        <v>0</v>
      </c>
      <c r="EB45" s="1829">
        <v>8</v>
      </c>
      <c r="EC45" s="1793">
        <f>ACTIONS!C26</f>
        <v>0</v>
      </c>
      <c r="ED45" s="1793">
        <f>ACTIONS!D26</f>
        <v>0</v>
      </c>
      <c r="EE45" s="1793">
        <f>ACTIONS!E26</f>
        <v>0</v>
      </c>
      <c r="EF45" s="1793">
        <f>ACTIONS!F26</f>
        <v>0</v>
      </c>
      <c r="EG45" s="1793">
        <f>ACTIONS!G26</f>
        <v>0</v>
      </c>
      <c r="EH45" s="1793">
        <f>ACTIONS!H26</f>
        <v>0</v>
      </c>
      <c r="EI45" s="1793">
        <f>ACTIONS!I26</f>
        <v>0</v>
      </c>
      <c r="EJ45" s="1793">
        <f>ACTIONS!J26</f>
        <v>0</v>
      </c>
      <c r="EK45" s="1793">
        <f>ACTIONS!K26</f>
        <v>0</v>
      </c>
      <c r="EM45" s="1829">
        <v>8</v>
      </c>
      <c r="EN45" s="1795">
        <f>ACTIONS!BQ26</f>
        <v>0</v>
      </c>
      <c r="EO45" s="1795">
        <f>ACTIONS!BR26</f>
        <v>0</v>
      </c>
      <c r="EP45" s="1795">
        <f>ACTIONS!BS26</f>
        <v>0</v>
      </c>
      <c r="EQ45" s="1795">
        <f>ACTIONS!BT26</f>
        <v>0</v>
      </c>
      <c r="ER45" s="1795">
        <f>ACTIONS!BU26</f>
        <v>0</v>
      </c>
      <c r="ES45" s="1795">
        <f>ACTIONS!BV26</f>
        <v>0</v>
      </c>
      <c r="ET45" s="1795">
        <f>ACTIONS!BW26</f>
        <v>0</v>
      </c>
      <c r="EU45" s="1795">
        <f>ACTIONS!BX26</f>
        <v>0</v>
      </c>
      <c r="EV45" s="1795">
        <f>ACTIONS!BY26</f>
        <v>0</v>
      </c>
      <c r="EW45" s="1796"/>
      <c r="EX45" s="2403"/>
      <c r="EY45" s="2406"/>
      <c r="EZ45" s="2406"/>
      <c r="FA45" s="1813" t="s">
        <v>2436</v>
      </c>
      <c r="FB45" s="2406"/>
      <c r="FC45" s="2407">
        <v>0.5</v>
      </c>
      <c r="FD45" s="2408">
        <v>0.25</v>
      </c>
      <c r="FE45" s="2409">
        <v>0.125</v>
      </c>
      <c r="FF45" s="2410">
        <v>0</v>
      </c>
      <c r="FG45" s="1865"/>
      <c r="FH45" s="2403"/>
      <c r="FI45" s="2553" cm="1">
        <f t="array" ref="FI45">_xlfn.IFS($FI$23=$FC$23,FC45,$FI$23=$FD$23,FD45,$FI$23=$FE$23,FE45,$FI$23=$FF$23,FF45,TRUE,FC45)</f>
        <v>0.5</v>
      </c>
      <c r="FJ45" s="1865"/>
      <c r="FL45" s="1919"/>
      <c r="FM45" s="5076"/>
      <c r="FN45" s="5076"/>
      <c r="FO45" s="5088"/>
      <c r="FP45" s="5089"/>
      <c r="FQ45" s="1210"/>
      <c r="FR45" s="5090"/>
      <c r="FS45" s="5091"/>
      <c r="FT45" s="5090"/>
      <c r="FU45" s="5091"/>
      <c r="FV45" s="5090"/>
      <c r="FW45" s="5091"/>
      <c r="FX45" s="1209"/>
      <c r="FY45" s="5096"/>
      <c r="FZ45" s="5097"/>
      <c r="GA45" s="1209"/>
      <c r="GB45" s="1219"/>
      <c r="GC45" s="5075"/>
      <c r="GD45" s="5075"/>
      <c r="GE45" s="5071"/>
      <c r="GF45" s="5072"/>
      <c r="GG45" s="1887"/>
      <c r="GH45" s="5073"/>
      <c r="GI45" s="5074"/>
      <c r="GJ45" s="5073"/>
      <c r="GK45" s="5074"/>
      <c r="GL45" s="5073"/>
      <c r="GM45" s="5074"/>
      <c r="GN45" s="1219"/>
      <c r="GO45" s="5080"/>
      <c r="GP45" s="5081"/>
      <c r="GQ45" s="1887"/>
      <c r="GR45" s="1887"/>
      <c r="GS45" s="5075"/>
      <c r="GT45" s="5075"/>
      <c r="GU45" s="5071"/>
      <c r="GV45" s="5072"/>
      <c r="GW45" s="1887"/>
      <c r="GX45" s="5073"/>
      <c r="GY45" s="5074"/>
      <c r="GZ45" s="5073"/>
      <c r="HA45" s="5074"/>
      <c r="HB45" s="5073"/>
      <c r="HC45" s="5074"/>
      <c r="HD45" s="1219"/>
      <c r="HE45" s="5080"/>
      <c r="HF45" s="5081"/>
      <c r="HG45" s="1887"/>
      <c r="HH45" s="1887"/>
      <c r="HI45" s="5075"/>
      <c r="HJ45" s="5075"/>
      <c r="HK45" s="5084"/>
      <c r="HL45" s="5085"/>
      <c r="HM45" s="12"/>
      <c r="HN45" s="5073"/>
      <c r="HO45" s="5074"/>
      <c r="HP45" s="5073"/>
      <c r="HQ45" s="5074"/>
      <c r="HR45" s="5073"/>
      <c r="HS45" s="5074"/>
      <c r="HT45" s="1219"/>
      <c r="HU45" s="5080"/>
      <c r="HV45" s="5081"/>
      <c r="HW45" s="1887"/>
      <c r="HX45" s="1220"/>
      <c r="IA45" s="1766"/>
      <c r="IC45" s="1804">
        <v>23</v>
      </c>
      <c r="ID45" s="1814" t="s">
        <v>272</v>
      </c>
      <c r="IE45" s="1814" t="s">
        <v>603</v>
      </c>
      <c r="IF45" s="1814" t="s">
        <v>632</v>
      </c>
      <c r="IG45" s="1814" t="s">
        <v>988</v>
      </c>
      <c r="IH45" s="1814" t="s">
        <v>1264</v>
      </c>
      <c r="II45" s="1815" t="s">
        <v>272</v>
      </c>
      <c r="IK45" s="1804">
        <v>23</v>
      </c>
      <c r="IL45" s="1814" t="s">
        <v>2292</v>
      </c>
      <c r="IM45" s="1814" t="s">
        <v>2285</v>
      </c>
      <c r="IN45" s="1814" t="s">
        <v>614</v>
      </c>
      <c r="IO45" s="1814" t="s">
        <v>2278</v>
      </c>
      <c r="IP45" s="1814" t="s">
        <v>670</v>
      </c>
      <c r="IQ45" s="1814" t="s">
        <v>1002</v>
      </c>
      <c r="IR45" s="1814" t="s">
        <v>662</v>
      </c>
      <c r="IS45" s="1814" t="s">
        <v>570</v>
      </c>
      <c r="IT45" s="1814" t="s">
        <v>571</v>
      </c>
      <c r="IU45" s="1814" t="s">
        <v>572</v>
      </c>
      <c r="IV45" s="1814" t="s">
        <v>2229</v>
      </c>
      <c r="IW45" s="1872" t="s">
        <v>2230</v>
      </c>
      <c r="IX45" s="1824"/>
      <c r="IY45" s="1825"/>
      <c r="IZ45" s="1826"/>
      <c r="JA45" s="1834"/>
      <c r="JC45" s="1892"/>
      <c r="JM45" s="1893"/>
      <c r="JN45" s="1869"/>
      <c r="JO45" s="2170" t="s">
        <v>1304</v>
      </c>
      <c r="JP45" s="1819" t="s">
        <v>402</v>
      </c>
      <c r="JQ45" s="2170" t="s">
        <v>1390</v>
      </c>
      <c r="JR45" s="1819" t="s">
        <v>1988</v>
      </c>
      <c r="JS45" s="1770"/>
      <c r="JT45" s="1828" t="s">
        <v>1874</v>
      </c>
      <c r="JU45" s="3082"/>
      <c r="JV45" s="1828" t="s">
        <v>1967</v>
      </c>
      <c r="JW45" s="3082"/>
      <c r="JX45" s="1828" t="s">
        <v>1962</v>
      </c>
      <c r="JY45" s="3082"/>
      <c r="JZ45" s="1828" t="s">
        <v>2058</v>
      </c>
      <c r="KA45" s="3082"/>
      <c r="KB45" s="1828" t="s">
        <v>1889</v>
      </c>
      <c r="KC45" s="3082"/>
      <c r="KG45" s="1822"/>
      <c r="KH45" s="1821"/>
      <c r="KI45" s="1822"/>
      <c r="KJ45" s="1821"/>
      <c r="KK45" s="1822"/>
      <c r="KQ45" s="1930"/>
      <c r="KR45" s="3053"/>
      <c r="KS45" s="1930"/>
      <c r="KT45" s="3053"/>
      <c r="KV45" s="3048"/>
      <c r="KW45" s="3053"/>
      <c r="KX45" s="3048"/>
      <c r="KY45" s="3053"/>
    </row>
    <row r="46" spans="2:313" ht="17.100000000000001" customHeight="1" thickBot="1" x14ac:dyDescent="0.35">
      <c r="J46" s="1898" t="str">
        <f t="shared" si="15"/>
        <v/>
      </c>
      <c r="K46" s="3312" t="str">
        <f t="shared" si="16"/>
        <v/>
      </c>
      <c r="L46" s="3381"/>
      <c r="M46" s="3382"/>
      <c r="N46" s="3382"/>
      <c r="O46" s="3382"/>
      <c r="P46" s="3382"/>
      <c r="Q46" s="3382"/>
      <c r="R46" s="3382"/>
      <c r="S46" s="3382"/>
      <c r="T46" s="3382"/>
      <c r="U46" s="3382"/>
      <c r="V46" s="1774"/>
      <c r="W46" s="3381"/>
      <c r="X46" s="3382"/>
      <c r="Y46" s="3382"/>
      <c r="Z46" s="3382"/>
      <c r="AA46" s="3382"/>
      <c r="AB46" s="3382"/>
      <c r="AC46" s="3382"/>
      <c r="AD46" s="3382"/>
      <c r="AE46" s="3382"/>
      <c r="AF46" s="3382"/>
      <c r="AH46" s="3312" t="str">
        <f t="shared" si="17"/>
        <v/>
      </c>
      <c r="AI46" s="3381"/>
      <c r="AJ46" s="3384"/>
      <c r="AK46" s="3382"/>
      <c r="AL46" s="3382"/>
      <c r="AM46" s="3382"/>
      <c r="AN46" s="3382"/>
      <c r="AO46" s="3382"/>
      <c r="AP46" s="3382"/>
      <c r="AQ46" s="3382"/>
      <c r="AR46" s="3382"/>
      <c r="AS46" s="3382"/>
      <c r="AT46" s="3213"/>
      <c r="AU46" s="3384"/>
      <c r="AV46" s="3382"/>
      <c r="AW46" s="3382"/>
      <c r="AX46" s="3382"/>
      <c r="AY46" s="3382"/>
      <c r="AZ46" s="3382"/>
      <c r="BA46" s="3382"/>
      <c r="BB46" s="3382"/>
      <c r="BC46" s="3382"/>
      <c r="BD46" s="3382"/>
      <c r="BE46" s="3311">
        <v>23</v>
      </c>
      <c r="BF46" s="1882" t="str">
        <f t="shared" si="9"/>
        <v/>
      </c>
      <c r="BG46" s="1883">
        <f t="shared" si="10"/>
        <v>0</v>
      </c>
      <c r="BH46" s="1884">
        <f t="shared" si="13"/>
        <v>0</v>
      </c>
      <c r="EB46" s="1829">
        <v>7</v>
      </c>
      <c r="EC46" s="1793">
        <f>ACTIONS!C27</f>
        <v>0</v>
      </c>
      <c r="ED46" s="1793">
        <f>ACTIONS!D27</f>
        <v>0</v>
      </c>
      <c r="EE46" s="1793">
        <f>ACTIONS!E27</f>
        <v>0</v>
      </c>
      <c r="EF46" s="1793">
        <f>ACTIONS!F27</f>
        <v>0</v>
      </c>
      <c r="EG46" s="1793">
        <f>ACTIONS!G27</f>
        <v>0</v>
      </c>
      <c r="EH46" s="1793">
        <f>ACTIONS!H27</f>
        <v>0</v>
      </c>
      <c r="EI46" s="1793">
        <f>ACTIONS!I27</f>
        <v>0</v>
      </c>
      <c r="EJ46" s="1793">
        <f>ACTIONS!J27</f>
        <v>0</v>
      </c>
      <c r="EK46" s="1793">
        <f>ACTIONS!K27</f>
        <v>0</v>
      </c>
      <c r="EM46" s="1829">
        <v>7</v>
      </c>
      <c r="EN46" s="1795">
        <f>ACTIONS!BQ27</f>
        <v>0</v>
      </c>
      <c r="EO46" s="1795">
        <f>ACTIONS!BR27</f>
        <v>0</v>
      </c>
      <c r="EP46" s="1795">
        <f>ACTIONS!BS27</f>
        <v>0</v>
      </c>
      <c r="EQ46" s="1795">
        <f>ACTIONS!BT27</f>
        <v>0</v>
      </c>
      <c r="ER46" s="1795">
        <f>ACTIONS!BU27</f>
        <v>0</v>
      </c>
      <c r="ES46" s="1795">
        <f>ACTIONS!BV27</f>
        <v>0</v>
      </c>
      <c r="ET46" s="1795">
        <f>ACTIONS!BW27</f>
        <v>0</v>
      </c>
      <c r="EU46" s="1795">
        <f>ACTIONS!BX27</f>
        <v>0</v>
      </c>
      <c r="EV46" s="1795">
        <f>ACTIONS!BY27</f>
        <v>0</v>
      </c>
      <c r="EW46" s="1796"/>
      <c r="EX46" s="1864"/>
      <c r="EY46" s="2411"/>
      <c r="EZ46" s="2406"/>
      <c r="FA46" s="1813" t="s">
        <v>2435</v>
      </c>
      <c r="FB46" s="2411"/>
      <c r="FC46" s="2407">
        <v>0.5</v>
      </c>
      <c r="FD46" s="2408">
        <v>0.25</v>
      </c>
      <c r="FE46" s="2409">
        <v>0.125</v>
      </c>
      <c r="FF46" s="2410">
        <v>0</v>
      </c>
      <c r="FG46" s="1865"/>
      <c r="FH46" s="2403"/>
      <c r="FI46" s="2553" cm="1">
        <f t="array" ref="FI46">_xlfn.IFS($FI$23=$FC$23,FC46,$FI$23=$FD$23,FD46,$FI$23=$FE$23,FE46,$FI$23=$FF$23,FF46,TRUE,FC46)</f>
        <v>0.5</v>
      </c>
      <c r="FJ46" s="1865"/>
      <c r="FL46" s="1919"/>
      <c r="FM46" s="5077" t="s">
        <v>537</v>
      </c>
      <c r="FN46" s="5075"/>
      <c r="FO46" s="5086" t="str">
        <f>IF(AND(FY46=$GQ$24,$GQ$24&lt;&gt;0),"fastest","")</f>
        <v/>
      </c>
      <c r="FP46" s="5087"/>
      <c r="FQ46" s="12"/>
      <c r="FR46" s="5080" t="str">
        <f>IF(ISERROR(FIND("[",MISSIONS!E26)),"", MID(MISSIONS!E26,SEARCH("[",MISSIONS!E26)+1,SEARCH("]",MISSIONS!E26,SEARCH("[",MISSIONS!E26)+1)-SEARCH("[",MISSIONS!E26)-1))</f>
        <v/>
      </c>
      <c r="FS46" s="5081"/>
      <c r="FT46" s="5080" t="str">
        <f>IF(FR46="","",IF(MID(FR46,2,1)="h",MID(FR46,1,1)*60,0))</f>
        <v/>
      </c>
      <c r="FU46" s="5081"/>
      <c r="FV46" s="5080" t="str" cm="1">
        <f t="array" ref="FV46">IF(FR46="","",
_xlfn.IFS(
AND(RIGHT(FR46,1)="m",LEN(FR46)=3),MID(FR46,1,2),
AND(RIGHT(FR46,1)="m",LEN(FR46)=5),MID(FR46,3,2),
AND(RIGHT(FR46,1)="m",LEN(FR46)=2),MID(FR46,1,1),
AND(RIGHT(FR46,1)="m",LEN(FR46)=4),MID(FR46,3,1),
TRUE,0)
)</f>
        <v/>
      </c>
      <c r="FW46" s="5081"/>
      <c r="FX46" s="1219"/>
      <c r="FY46" s="5094" t="str">
        <f>IF( MISSIONS!E26="","",
IF( OR(AND(MISSIONS!U26=100%,MISSIONS!U27=MISSIONS!$AK$2),FR46="",FR46="?"),"",FT46+FV46)
)</f>
        <v/>
      </c>
      <c r="FZ46" s="5095"/>
      <c r="GA46" s="1219"/>
      <c r="GB46" s="1932"/>
      <c r="GC46" s="5077" t="s">
        <v>919</v>
      </c>
      <c r="GD46" s="5075"/>
      <c r="GE46" s="5071" t="str">
        <f>IF(AND(GO46=$GQ$24,$GQ$24&lt;&gt;0),"fastest","")</f>
        <v/>
      </c>
      <c r="GF46" s="5072"/>
      <c r="GG46" s="1887"/>
      <c r="GH46" s="5073" t="str">
        <f>IF(ISERROR(FIND("[",MISSIONS!AB26)),"", MID(MISSIONS!AB26,SEARCH("[",MISSIONS!AB26)+1,SEARCH("]",MISSIONS!AB26,SEARCH("[",MISSIONS!AB26)+1)-SEARCH("[",MISSIONS!AB26)-1))</f>
        <v/>
      </c>
      <c r="GI46" s="5074"/>
      <c r="GJ46" s="5073" t="str">
        <f>IF(GH46="","",IF(MID(GH46,2,1)="h",MID(GH46,1,1)*60,0))</f>
        <v/>
      </c>
      <c r="GK46" s="5074"/>
      <c r="GL46" s="5073" t="str" cm="1">
        <f t="array" ref="GL46">IF(GH46="","",
_xlfn.IFS(
AND(RIGHT(GH46,1)="m",LEN(GH46)=3),MID(GH46,1,2),
AND(RIGHT(GH46,1)="m",LEN(GH46)=5),MID(GH46,3,2),
AND(RIGHT(GH46,1)="m",LEN(GH46)=2),MID(GH46,1,1),
AND(RIGHT(GH46,1)="m",LEN(GH46)=4),MID(GH46,3,1),
TRUE,0)
)</f>
        <v/>
      </c>
      <c r="GM46" s="5074"/>
      <c r="GN46" s="1219"/>
      <c r="GO46" s="5078" t="str">
        <f>IF( MISSIONS!AB26="", "",
IF( OR(MISSIONS!AM26&lt;&gt;"",MISSIONS!AL26=100%,GH46="",GH46="?"),"",GJ46+GL46)
)</f>
        <v/>
      </c>
      <c r="GP46" s="5079"/>
      <c r="GQ46" s="1887"/>
      <c r="GR46" s="1887"/>
      <c r="GS46" s="5077" t="s">
        <v>919</v>
      </c>
      <c r="GT46" s="5075"/>
      <c r="GU46" s="5071" t="str">
        <f>IF(AND(HE46=$GQ$24,$GQ$24&lt;&gt;0),"fastest","")</f>
        <v/>
      </c>
      <c r="GV46" s="5072"/>
      <c r="GW46" s="1887"/>
      <c r="GX46" s="5073" t="str">
        <f>IF(ISERROR(FIND("[",MISSIONS!AQ26)),"", MID(MISSIONS!AQ26,SEARCH("[",MISSIONS!AQ26)+1,SEARCH("]",MISSIONS!AQ26,SEARCH("[",MISSIONS!AQ26)+1)-SEARCH("[",MISSIONS!AQ26)-1))</f>
        <v/>
      </c>
      <c r="GY46" s="5074"/>
      <c r="GZ46" s="5073" t="str">
        <f>IF(GX46="","",IF(MID(GX46,2,1)="h",MID(GX46,1,1)*60,0))</f>
        <v/>
      </c>
      <c r="HA46" s="5074"/>
      <c r="HB46" s="5073" t="str" cm="1">
        <f t="array" ref="HB46">IF(GX46="","",
_xlfn.IFS(
AND(RIGHT(GX46,1)="m",LEN(GX46)=3),MID(GX46,1,2),
AND(RIGHT(GX46,1)="m",LEN(GX46)=5),MID(GX46,3,2),
AND(RIGHT(GX46,1)="m",LEN(GX46)=2),MID(GX46,1,1),
AND(RIGHT(GX46,1)="m",LEN(GX46)=4),MID(GX46,3,1),
TRUE,0)
)</f>
        <v/>
      </c>
      <c r="HC46" s="5074"/>
      <c r="HD46" s="1219"/>
      <c r="HE46" s="5078" t="str">
        <f>IF( MISSIONS!AQ26="", "",
IF( OR(MISSIONS!AO26&lt;&gt;"",MISSIONS!AP26=100%,GX46="",GX46="?"),"",GZ46+HB46)
)</f>
        <v/>
      </c>
      <c r="HF46" s="5079"/>
      <c r="HG46" s="1887"/>
      <c r="HH46" s="1887"/>
      <c r="HI46" s="5077" t="s">
        <v>739</v>
      </c>
      <c r="HJ46" s="5075"/>
      <c r="HK46" s="5082" t="str">
        <f>IF(AND(HU46=$GQ$24,$GQ$24&lt;&gt;0),"fastest","")</f>
        <v/>
      </c>
      <c r="HL46" s="5083"/>
      <c r="HM46" s="12"/>
      <c r="HN46" s="5073" t="str">
        <f>IF(ISERROR(FIND("[",MISSIONS!BH26)),"", MID(MISSIONS!BH26,SEARCH("[",MISSIONS!BH26)+1,SEARCH("]",MISSIONS!BH26,SEARCH("[",MISSIONS!BH26)+1)-SEARCH("[",MISSIONS!BH26)-1))</f>
        <v/>
      </c>
      <c r="HO46" s="5074"/>
      <c r="HP46" s="5073" t="str">
        <f>IF(HN46="","",IF(MID(HN46,2,1)="h",MID(HN46,1,1)*60,0))</f>
        <v/>
      </c>
      <c r="HQ46" s="5074"/>
      <c r="HR46" s="5073" t="str" cm="1">
        <f t="array" ref="HR46">IF(HN46="","",
_xlfn.IFS(
AND(RIGHT(HN46,1)="m",LEN(HN46)=3),MID(HN46,1,2),
AND(RIGHT(HN46,1)="m",LEN(HN46)=5),MID(HN46,3,2),
AND(RIGHT(HN46,1)="m",LEN(HN46)=2),MID(HN46,1,1),
AND(RIGHT(HN46,1)="m",LEN(HN46)=4),MID(HN46,3,1),
TRUE,0)
)</f>
        <v/>
      </c>
      <c r="HS46" s="5074"/>
      <c r="HT46" s="1219"/>
      <c r="HU46" s="5078" t="str">
        <f>IF( MISSIONS!BH26="", "",
IF( OR(MISSIONS!BF26&lt;&gt;"",MISSIONS!BG26=100%,HN46="",HN46="?"),"",HP46+HR46)
)</f>
        <v/>
      </c>
      <c r="HV46" s="5079"/>
      <c r="HW46" s="1887"/>
      <c r="HX46" s="1220"/>
      <c r="IA46" s="1766"/>
      <c r="IC46" s="1802">
        <v>24</v>
      </c>
      <c r="ID46" s="1814" t="s">
        <v>266</v>
      </c>
      <c r="IE46" s="1814" t="s">
        <v>2304</v>
      </c>
      <c r="IF46" s="1814" t="s">
        <v>723</v>
      </c>
      <c r="IG46" s="1814" t="s">
        <v>1010</v>
      </c>
      <c r="IH46" s="1814" t="s">
        <v>2080</v>
      </c>
      <c r="II46" s="1815" t="s">
        <v>266</v>
      </c>
      <c r="IK46" s="1802">
        <v>24</v>
      </c>
      <c r="IL46" s="1815" t="s">
        <v>660</v>
      </c>
      <c r="IM46" s="1815" t="s">
        <v>1018</v>
      </c>
      <c r="IN46" s="1815" t="s">
        <v>1019</v>
      </c>
      <c r="IO46" s="1815" t="s">
        <v>673</v>
      </c>
      <c r="IP46" s="1815" t="s">
        <v>600</v>
      </c>
      <c r="IQ46" s="1815" t="s">
        <v>1026</v>
      </c>
      <c r="IR46" s="1815" t="s">
        <v>1049</v>
      </c>
      <c r="IS46" s="1815" t="s">
        <v>2218</v>
      </c>
      <c r="IT46" s="1815" t="s">
        <v>654</v>
      </c>
      <c r="IU46" s="1815" t="s">
        <v>1036</v>
      </c>
      <c r="IV46" s="1815" t="s">
        <v>1013</v>
      </c>
      <c r="IW46" s="1815" t="s">
        <v>2231</v>
      </c>
      <c r="IX46" s="1824"/>
      <c r="IY46" s="1825"/>
      <c r="IZ46" s="1826"/>
      <c r="JA46" s="1834"/>
      <c r="JC46" s="1892"/>
      <c r="JE46" s="1887"/>
      <c r="JF46" s="1894"/>
      <c r="JG46" s="1895" t="s">
        <v>238</v>
      </c>
      <c r="JH46" s="1896"/>
      <c r="JI46" s="1897"/>
      <c r="JJ46" s="1767"/>
      <c r="JM46" s="1893"/>
      <c r="JN46" s="1789"/>
      <c r="JO46" s="2170" t="s">
        <v>2005</v>
      </c>
      <c r="JP46" s="1819" t="s">
        <v>2000</v>
      </c>
      <c r="JQ46" s="2170" t="s">
        <v>2027</v>
      </c>
      <c r="JR46" s="1819" t="s">
        <v>1989</v>
      </c>
      <c r="JS46" s="1770"/>
      <c r="JT46" s="1828" t="s">
        <v>1875</v>
      </c>
      <c r="JU46" s="3082"/>
      <c r="JV46" s="1828" t="s">
        <v>1969</v>
      </c>
      <c r="JW46" s="3082"/>
      <c r="JX46" s="1828" t="s">
        <v>1603</v>
      </c>
      <c r="JY46" s="3082"/>
      <c r="JZ46" s="1828" t="s">
        <v>2059</v>
      </c>
      <c r="KA46" s="3082"/>
      <c r="KB46" s="1828" t="s">
        <v>1971</v>
      </c>
      <c r="KC46" s="3082"/>
      <c r="KG46" s="1822"/>
      <c r="KH46" s="1821"/>
      <c r="KI46" s="1822"/>
      <c r="KJ46" s="1821"/>
      <c r="KK46" s="1822"/>
      <c r="KQ46" s="1930"/>
      <c r="KR46" s="3053"/>
      <c r="KS46" s="1930"/>
      <c r="KT46" s="3053"/>
      <c r="KV46" s="3048"/>
      <c r="KW46" s="3053"/>
      <c r="KX46" s="3048"/>
      <c r="KY46" s="3053"/>
    </row>
    <row r="47" spans="2:313" ht="17.100000000000001" customHeight="1" thickBot="1" x14ac:dyDescent="0.35">
      <c r="J47" s="1898" t="str">
        <f t="shared" si="15"/>
        <v/>
      </c>
      <c r="K47" s="3312" t="str">
        <f t="shared" si="16"/>
        <v/>
      </c>
      <c r="L47" s="3381"/>
      <c r="M47" s="3382"/>
      <c r="N47" s="3382"/>
      <c r="O47" s="3382"/>
      <c r="P47" s="3382"/>
      <c r="Q47" s="3382"/>
      <c r="R47" s="3382"/>
      <c r="S47" s="3382"/>
      <c r="T47" s="3382"/>
      <c r="U47" s="3382"/>
      <c r="V47" s="1774"/>
      <c r="W47" s="3381"/>
      <c r="X47" s="3382"/>
      <c r="Y47" s="3382"/>
      <c r="Z47" s="3382"/>
      <c r="AA47" s="3382"/>
      <c r="AB47" s="3382"/>
      <c r="AC47" s="3382"/>
      <c r="AD47" s="3382"/>
      <c r="AE47" s="3382"/>
      <c r="AF47" s="3382"/>
      <c r="AH47" s="3312" t="str">
        <f t="shared" si="17"/>
        <v/>
      </c>
      <c r="AI47" s="3381"/>
      <c r="AJ47" s="3384"/>
      <c r="AK47" s="3382"/>
      <c r="AL47" s="3382"/>
      <c r="AM47" s="3382"/>
      <c r="AN47" s="3382"/>
      <c r="AO47" s="3382"/>
      <c r="AP47" s="3382"/>
      <c r="AQ47" s="3382"/>
      <c r="AR47" s="3382"/>
      <c r="AS47" s="3382"/>
      <c r="AT47" s="3213"/>
      <c r="AU47" s="3384"/>
      <c r="AV47" s="3382"/>
      <c r="AW47" s="3382"/>
      <c r="AX47" s="3382"/>
      <c r="AY47" s="3382"/>
      <c r="AZ47" s="3382"/>
      <c r="BA47" s="3382"/>
      <c r="BB47" s="3382"/>
      <c r="BC47" s="3382"/>
      <c r="BD47" s="3382"/>
      <c r="BE47" s="3311">
        <v>24</v>
      </c>
      <c r="BF47" s="1882" t="str">
        <f t="shared" si="9"/>
        <v/>
      </c>
      <c r="BG47" s="1883">
        <f t="shared" si="10"/>
        <v>0</v>
      </c>
      <c r="BH47" s="1884">
        <f t="shared" si="13"/>
        <v>0</v>
      </c>
      <c r="EB47" s="1829">
        <v>6</v>
      </c>
      <c r="EC47" s="1793">
        <f>ACTIONS!C28</f>
        <v>0</v>
      </c>
      <c r="ED47" s="1793">
        <f>ACTIONS!D28</f>
        <v>0</v>
      </c>
      <c r="EE47" s="1793">
        <f>ACTIONS!E28</f>
        <v>0</v>
      </c>
      <c r="EF47" s="1793">
        <f>ACTIONS!F28</f>
        <v>0</v>
      </c>
      <c r="EG47" s="1793">
        <f>ACTIONS!G28</f>
        <v>0</v>
      </c>
      <c r="EH47" s="1793">
        <f>ACTIONS!H28</f>
        <v>0</v>
      </c>
      <c r="EI47" s="1793">
        <f>ACTIONS!I28</f>
        <v>0</v>
      </c>
      <c r="EJ47" s="1793">
        <f>ACTIONS!J28</f>
        <v>0</v>
      </c>
      <c r="EK47" s="1793">
        <f>ACTIONS!K28</f>
        <v>0</v>
      </c>
      <c r="EM47" s="1829">
        <v>6</v>
      </c>
      <c r="EN47" s="1795">
        <f>ACTIONS!BQ28</f>
        <v>0</v>
      </c>
      <c r="EO47" s="1795">
        <f>ACTIONS!BR28</f>
        <v>0</v>
      </c>
      <c r="EP47" s="1795">
        <f>ACTIONS!BS28</f>
        <v>0</v>
      </c>
      <c r="EQ47" s="1795">
        <f>ACTIONS!BT28</f>
        <v>0</v>
      </c>
      <c r="ER47" s="1795">
        <f>ACTIONS!BU28</f>
        <v>0</v>
      </c>
      <c r="ES47" s="1795">
        <f>ACTIONS!BV28</f>
        <v>0</v>
      </c>
      <c r="ET47" s="1795">
        <f>ACTIONS!BW28</f>
        <v>0</v>
      </c>
      <c r="EU47" s="1795">
        <f>ACTIONS!BX28</f>
        <v>0</v>
      </c>
      <c r="EV47" s="1795">
        <f>ACTIONS!BY28</f>
        <v>0</v>
      </c>
      <c r="EW47" s="1796"/>
      <c r="EX47" s="2403"/>
      <c r="FA47" s="1808"/>
      <c r="FC47" s="2412"/>
      <c r="FD47" s="2412"/>
      <c r="FE47" s="2412"/>
      <c r="FF47" s="2412"/>
      <c r="FG47" s="2415"/>
      <c r="FH47" s="2414"/>
      <c r="FI47" s="2554"/>
      <c r="FJ47" s="1865"/>
      <c r="FL47" s="1919"/>
      <c r="FM47" s="5075"/>
      <c r="FN47" s="5075"/>
      <c r="FO47" s="5084"/>
      <c r="FP47" s="5085"/>
      <c r="FQ47" s="12"/>
      <c r="FR47" s="5073"/>
      <c r="FS47" s="5074"/>
      <c r="FT47" s="5073"/>
      <c r="FU47" s="5074"/>
      <c r="FV47" s="5073"/>
      <c r="FW47" s="5074"/>
      <c r="FX47" s="1219"/>
      <c r="FY47" s="5080"/>
      <c r="FZ47" s="5081"/>
      <c r="GA47" s="1219"/>
      <c r="GB47" s="1932"/>
      <c r="GC47" s="5075"/>
      <c r="GD47" s="5075"/>
      <c r="GE47" s="5071"/>
      <c r="GF47" s="5072"/>
      <c r="GG47" s="1887"/>
      <c r="GH47" s="5073"/>
      <c r="GI47" s="5074"/>
      <c r="GJ47" s="5073"/>
      <c r="GK47" s="5074"/>
      <c r="GL47" s="5073"/>
      <c r="GM47" s="5074"/>
      <c r="GN47" s="1219"/>
      <c r="GO47" s="5080"/>
      <c r="GP47" s="5081"/>
      <c r="GQ47" s="1887"/>
      <c r="GR47" s="1887"/>
      <c r="GS47" s="5075"/>
      <c r="GT47" s="5075"/>
      <c r="GU47" s="5071"/>
      <c r="GV47" s="5072"/>
      <c r="GW47" s="1887"/>
      <c r="GX47" s="5073"/>
      <c r="GY47" s="5074"/>
      <c r="GZ47" s="5073"/>
      <c r="HA47" s="5074"/>
      <c r="HB47" s="5073"/>
      <c r="HC47" s="5074"/>
      <c r="HD47" s="1219"/>
      <c r="HE47" s="5080"/>
      <c r="HF47" s="5081"/>
      <c r="HG47" s="1887"/>
      <c r="HH47" s="1887"/>
      <c r="HI47" s="5075"/>
      <c r="HJ47" s="5075"/>
      <c r="HK47" s="5084"/>
      <c r="HL47" s="5085"/>
      <c r="HM47" s="12"/>
      <c r="HN47" s="5073"/>
      <c r="HO47" s="5074"/>
      <c r="HP47" s="5073"/>
      <c r="HQ47" s="5074"/>
      <c r="HR47" s="5073"/>
      <c r="HS47" s="5074"/>
      <c r="HT47" s="1219"/>
      <c r="HU47" s="5080"/>
      <c r="HV47" s="5081"/>
      <c r="HW47" s="1887"/>
      <c r="HX47" s="1218"/>
      <c r="IA47" s="1766"/>
      <c r="IC47" s="1802">
        <v>25</v>
      </c>
      <c r="ID47" s="1814" t="s">
        <v>274</v>
      </c>
      <c r="IE47" s="1814" t="s">
        <v>620</v>
      </c>
      <c r="IF47" s="1814" t="s">
        <v>648</v>
      </c>
      <c r="IG47" s="1814" t="s">
        <v>1128</v>
      </c>
      <c r="IH47" s="1814" t="s">
        <v>2317</v>
      </c>
      <c r="II47" s="1815" t="s">
        <v>274</v>
      </c>
      <c r="IK47" s="1802">
        <v>25</v>
      </c>
      <c r="IL47" s="1815" t="s">
        <v>2286</v>
      </c>
      <c r="IM47" s="1815" t="s">
        <v>617</v>
      </c>
      <c r="IN47" s="1815" t="s">
        <v>1020</v>
      </c>
      <c r="IO47" s="1815" t="s">
        <v>566</v>
      </c>
      <c r="IP47" s="1815" t="s">
        <v>213</v>
      </c>
      <c r="IQ47" s="1815" t="s">
        <v>2260</v>
      </c>
      <c r="IR47" s="1815" t="s">
        <v>202</v>
      </c>
      <c r="IS47" s="1815" t="s">
        <v>2251</v>
      </c>
      <c r="IT47" s="1815" t="s">
        <v>604</v>
      </c>
      <c r="IU47" s="1815" t="s">
        <v>2239</v>
      </c>
      <c r="IV47" s="1815" t="s">
        <v>219</v>
      </c>
      <c r="IW47" s="1815" t="s">
        <v>638</v>
      </c>
      <c r="IX47" s="1824"/>
      <c r="IY47" s="1825"/>
      <c r="IZ47" s="1826"/>
      <c r="JA47" s="1834"/>
      <c r="JC47" s="1892"/>
      <c r="JE47" s="1887"/>
      <c r="JF47" s="1846" t="s">
        <v>240</v>
      </c>
      <c r="JG47" s="1899"/>
      <c r="JH47" s="1846" t="s">
        <v>240</v>
      </c>
      <c r="JI47" s="1870" t="s">
        <v>241</v>
      </c>
      <c r="JL47" s="3266" t="s">
        <v>1794</v>
      </c>
      <c r="JM47" s="3267" t="s">
        <v>1795</v>
      </c>
      <c r="JN47" s="1796"/>
      <c r="JO47" s="2170" t="s">
        <v>1375</v>
      </c>
      <c r="JP47" s="1819" t="s">
        <v>1376</v>
      </c>
      <c r="JQ47" s="2170" t="s">
        <v>2026</v>
      </c>
      <c r="JR47" s="1819" t="s">
        <v>1990</v>
      </c>
      <c r="JS47" s="1770"/>
      <c r="JT47" s="1828" t="s">
        <v>306</v>
      </c>
      <c r="JU47" s="3082"/>
      <c r="JV47" s="1828" t="s">
        <v>1970</v>
      </c>
      <c r="JW47" s="3082"/>
      <c r="JX47" s="1828" t="s">
        <v>1974</v>
      </c>
      <c r="JY47" s="3082"/>
      <c r="JZ47" s="1828" t="s">
        <v>2060</v>
      </c>
      <c r="KA47" s="3082"/>
      <c r="KB47" s="1828" t="s">
        <v>1972</v>
      </c>
      <c r="KC47" s="3082"/>
      <c r="KG47" s="1822"/>
      <c r="KH47" s="1821"/>
      <c r="KI47" s="1822"/>
      <c r="KJ47" s="1821"/>
      <c r="KK47" s="1822"/>
      <c r="KQ47" s="1930"/>
      <c r="KR47" s="3053"/>
      <c r="KS47" s="1930"/>
      <c r="KT47" s="3053"/>
      <c r="KV47" s="3048"/>
      <c r="KW47" s="3053"/>
      <c r="KX47" s="3048"/>
      <c r="KY47" s="3053"/>
    </row>
    <row r="48" spans="2:313" ht="17.100000000000001" customHeight="1" thickBot="1" x14ac:dyDescent="0.35">
      <c r="E48" s="5068" t="s">
        <v>1849</v>
      </c>
      <c r="F48" s="5069"/>
      <c r="I48" s="2979" t="s">
        <v>1827</v>
      </c>
      <c r="J48" s="1898" t="str">
        <f t="shared" si="15"/>
        <v/>
      </c>
      <c r="K48" s="3312" t="str">
        <f t="shared" si="16"/>
        <v/>
      </c>
      <c r="L48" s="3381"/>
      <c r="M48" s="3382"/>
      <c r="N48" s="3382"/>
      <c r="O48" s="3382"/>
      <c r="P48" s="3382"/>
      <c r="Q48" s="3382"/>
      <c r="R48" s="3382"/>
      <c r="S48" s="3382"/>
      <c r="T48" s="3382"/>
      <c r="U48" s="3382"/>
      <c r="V48" s="1774"/>
      <c r="W48" s="3381"/>
      <c r="X48" s="3382"/>
      <c r="Y48" s="3382"/>
      <c r="Z48" s="3382"/>
      <c r="AA48" s="3382"/>
      <c r="AB48" s="3382"/>
      <c r="AC48" s="3382"/>
      <c r="AD48" s="3382"/>
      <c r="AE48" s="3382"/>
      <c r="AF48" s="3382"/>
      <c r="AH48" s="3312" t="str">
        <f t="shared" si="17"/>
        <v/>
      </c>
      <c r="AI48" s="3381"/>
      <c r="AJ48" s="3384"/>
      <c r="AK48" s="3382"/>
      <c r="AL48" s="3382"/>
      <c r="AM48" s="3382"/>
      <c r="AN48" s="3382"/>
      <c r="AO48" s="3382"/>
      <c r="AP48" s="3382"/>
      <c r="AQ48" s="3382"/>
      <c r="AR48" s="3382"/>
      <c r="AS48" s="3382"/>
      <c r="AT48" s="3213"/>
      <c r="AU48" s="3384"/>
      <c r="AV48" s="3382"/>
      <c r="AW48" s="3382"/>
      <c r="AX48" s="3382"/>
      <c r="AY48" s="3382"/>
      <c r="AZ48" s="3382"/>
      <c r="BA48" s="3382"/>
      <c r="BB48" s="3382"/>
      <c r="BC48" s="3382"/>
      <c r="BD48" s="3382"/>
      <c r="BE48" s="3311">
        <v>25</v>
      </c>
      <c r="BF48" s="1882" t="str">
        <f t="shared" si="9"/>
        <v/>
      </c>
      <c r="BG48" s="1883">
        <f t="shared" si="10"/>
        <v>0</v>
      </c>
      <c r="BH48" s="1884">
        <f t="shared" si="13"/>
        <v>0</v>
      </c>
      <c r="EB48" s="1829">
        <v>5</v>
      </c>
      <c r="EC48" s="1793">
        <f>ACTIONS!C29</f>
        <v>0</v>
      </c>
      <c r="ED48" s="1793">
        <f>ACTIONS!D29</f>
        <v>0</v>
      </c>
      <c r="EE48" s="1793">
        <f>ACTIONS!E29</f>
        <v>0</v>
      </c>
      <c r="EF48" s="1793">
        <f>ACTIONS!F29</f>
        <v>0</v>
      </c>
      <c r="EG48" s="1793">
        <f>ACTIONS!G29</f>
        <v>0</v>
      </c>
      <c r="EH48" s="1793">
        <f>ACTIONS!H29</f>
        <v>0</v>
      </c>
      <c r="EI48" s="1793">
        <f>ACTIONS!I29</f>
        <v>0</v>
      </c>
      <c r="EJ48" s="1793">
        <f>ACTIONS!J29</f>
        <v>0</v>
      </c>
      <c r="EK48" s="1793">
        <f>ACTIONS!K29</f>
        <v>0</v>
      </c>
      <c r="EM48" s="1829">
        <v>5</v>
      </c>
      <c r="EN48" s="1795">
        <f>ACTIONS!BQ29</f>
        <v>0</v>
      </c>
      <c r="EO48" s="1795">
        <f>ACTIONS!BR29</f>
        <v>0</v>
      </c>
      <c r="EP48" s="1795">
        <f>ACTIONS!BS29</f>
        <v>0</v>
      </c>
      <c r="EQ48" s="1795">
        <f>ACTIONS!BT29</f>
        <v>0</v>
      </c>
      <c r="ER48" s="1795">
        <f>ACTIONS!BU29</f>
        <v>0</v>
      </c>
      <c r="ES48" s="1795">
        <f>ACTIONS!BV29</f>
        <v>0</v>
      </c>
      <c r="ET48" s="1795">
        <f>ACTIONS!BW29</f>
        <v>0</v>
      </c>
      <c r="EU48" s="1795">
        <f>ACTIONS!BX29</f>
        <v>0</v>
      </c>
      <c r="EV48" s="1795">
        <f>ACTIONS!BY29</f>
        <v>0</v>
      </c>
      <c r="EW48" s="1796"/>
      <c r="EX48" s="2403"/>
      <c r="EY48" s="2406"/>
      <c r="EZ48" s="2406"/>
      <c r="FA48" s="1813" t="s">
        <v>1491</v>
      </c>
      <c r="FB48" s="2406"/>
      <c r="FC48" s="2407">
        <v>0.5</v>
      </c>
      <c r="FD48" s="2408">
        <v>0.25</v>
      </c>
      <c r="FE48" s="2409">
        <v>0.25</v>
      </c>
      <c r="FF48" s="2410">
        <v>0.125</v>
      </c>
      <c r="FG48" s="1865"/>
      <c r="FH48" s="2403"/>
      <c r="FI48" s="2553" cm="1">
        <f t="array" ref="FI48">_xlfn.IFS($FI$23=$FC$23,FC48,$FI$23=$FD$23,FD48,$FI$23=$FE$23,FE48,$FI$23=$FF$23,FF48,TRUE,FC48)</f>
        <v>0.5</v>
      </c>
      <c r="FJ48" s="1865"/>
      <c r="FL48" s="1919"/>
      <c r="FM48" s="5077" t="s">
        <v>538</v>
      </c>
      <c r="FN48" s="5075"/>
      <c r="FO48" s="5082" t="str">
        <f>IF(AND(FY48=$GQ$24,$GQ$24&lt;&gt;0),"fastest","")</f>
        <v/>
      </c>
      <c r="FP48" s="5083"/>
      <c r="FQ48" s="12"/>
      <c r="FR48" s="5073" t="str">
        <f>IF(ISERROR(FIND("[",MISSIONS!E28)),"", MID(MISSIONS!E28,SEARCH("[",MISSIONS!E28)+1,SEARCH("]",MISSIONS!E28,SEARCH("[",MISSIONS!E28)+1)-SEARCH("[",MISSIONS!E28)-1))</f>
        <v/>
      </c>
      <c r="FS48" s="5074"/>
      <c r="FT48" s="5073" t="str">
        <f>IF(FR48="","",IF(MID(FR48,2,1)="h",MID(FR48,1,1)*60,0))</f>
        <v/>
      </c>
      <c r="FU48" s="5074"/>
      <c r="FV48" s="5073" t="str" cm="1">
        <f t="array" ref="FV48">IF(FR48="","",
_xlfn.IFS(
AND(RIGHT(FR48,1)="m",LEN(FR48)=3),MID(FR48,1,2),
AND(RIGHT(FR48,1)="m",LEN(FR48)=5),MID(FR48,3,2),
AND(RIGHT(FR48,1)="m",LEN(FR48)=2),MID(FR48,1,1),
AND(RIGHT(FR48,1)="m",LEN(FR48)=4),MID(FR48,3,1),
TRUE,0)
)</f>
        <v/>
      </c>
      <c r="FW48" s="5074"/>
      <c r="FX48" s="1219"/>
      <c r="FY48" s="5078" t="str">
        <f>IF( MISSIONS!E28="","",
IF( OR(AND(MISSIONS!U28=100%,MISSIONS!U29=MISSIONS!$AK$2),FR48="",FR48="?"),"",FT48+FV48)
)</f>
        <v/>
      </c>
      <c r="FZ48" s="5079"/>
      <c r="GA48" s="1932"/>
      <c r="GB48" s="1932"/>
      <c r="GC48" s="5077" t="s">
        <v>920</v>
      </c>
      <c r="GD48" s="5075"/>
      <c r="GE48" s="5071" t="str">
        <f>IF(AND(GO48=$GQ$24,$GQ$24&lt;&gt;0),"fastest","")</f>
        <v/>
      </c>
      <c r="GF48" s="5072"/>
      <c r="GG48" s="1887"/>
      <c r="GH48" s="5073" t="str">
        <f>IF(ISERROR(FIND("[",MISSIONS!AB28)),"", MID(MISSIONS!AB28,SEARCH("[",MISSIONS!AB28)+1,SEARCH("]",MISSIONS!AB28,SEARCH("[",MISSIONS!AB28)+1)-SEARCH("[",MISSIONS!AB28)-1))</f>
        <v/>
      </c>
      <c r="GI48" s="5074"/>
      <c r="GJ48" s="5073" t="str">
        <f>IF(GH48="","",IF(MID(GH48,2,1)="h",MID(GH48,1,1)*60,0))</f>
        <v/>
      </c>
      <c r="GK48" s="5074"/>
      <c r="GL48" s="5073" t="str" cm="1">
        <f t="array" ref="GL48">IF(GH48="","",
_xlfn.IFS(
AND(RIGHT(GH48,1)="m",LEN(GH48)=3),MID(GH48,1,2),
AND(RIGHT(GH48,1)="m",LEN(GH48)=5),MID(GH48,3,2),
AND(RIGHT(GH48,1)="m",LEN(GH48)=2),MID(GH48,1,1),
AND(RIGHT(GH48,1)="m",LEN(GH48)=4),MID(GH48,3,1),
TRUE,0)
)</f>
        <v/>
      </c>
      <c r="GM48" s="5074"/>
      <c r="GN48" s="1219"/>
      <c r="GO48" s="5078" t="str">
        <f>IF( MISSIONS!AB28="", "",
IF( OR(MISSIONS!AM28&lt;&gt;"",MISSIONS!AL28=100%,GH48="",GH48="?"),"",GJ48+GL48)
)</f>
        <v/>
      </c>
      <c r="GP48" s="5079"/>
      <c r="GQ48" s="1887"/>
      <c r="GR48" s="1887"/>
      <c r="GS48" s="5077" t="s">
        <v>920</v>
      </c>
      <c r="GT48" s="5075"/>
      <c r="GU48" s="5071" t="str">
        <f>IF(AND(HE48=$GQ$24,$GQ$24&lt;&gt;0),"fastest","")</f>
        <v/>
      </c>
      <c r="GV48" s="5072"/>
      <c r="GW48" s="1887"/>
      <c r="GX48" s="5073" t="str">
        <f>IF(ISERROR(FIND("[",MISSIONS!AQ28)),"", MID(MISSIONS!AQ28,SEARCH("[",MISSIONS!AQ28)+1,SEARCH("]",MISSIONS!AQ28,SEARCH("[",MISSIONS!AQ28)+1)-SEARCH("[",MISSIONS!AQ28)-1))</f>
        <v/>
      </c>
      <c r="GY48" s="5074"/>
      <c r="GZ48" s="5073" t="str">
        <f>IF(GX48="","",IF(MID(GX48,2,1)="h",MID(GX48,1,1)*60,0))</f>
        <v/>
      </c>
      <c r="HA48" s="5074"/>
      <c r="HB48" s="5073" t="str" cm="1">
        <f t="array" ref="HB48">IF(GX48="","",
_xlfn.IFS(
AND(RIGHT(GX48,1)="m",LEN(GX48)=3),MID(GX48,1,2),
AND(RIGHT(GX48,1)="m",LEN(GX48)=5),MID(GX48,3,2),
AND(RIGHT(GX48,1)="m",LEN(GX48)=2),MID(GX48,1,1),
AND(RIGHT(GX48,1)="m",LEN(GX48)=4),MID(GX48,3,1),
TRUE,0)
)</f>
        <v/>
      </c>
      <c r="HC48" s="5074"/>
      <c r="HD48" s="1219"/>
      <c r="HE48" s="5078" t="str">
        <f>IF( MISSIONS!AQ28="", "",
IF( OR(MISSIONS!AO28&lt;&gt;"",MISSIONS!AP28=100%,GX48="",GX48="?"),"",GZ48+HB48)
)</f>
        <v/>
      </c>
      <c r="HF48" s="5079"/>
      <c r="HG48" s="1887"/>
      <c r="HH48" s="1887"/>
      <c r="HI48" s="5077" t="s">
        <v>740</v>
      </c>
      <c r="HJ48" s="5075"/>
      <c r="HK48" s="5082" t="str">
        <f>IF(AND(HU48=$GQ$24,$GQ$24&lt;&gt;0),"fastest","")</f>
        <v/>
      </c>
      <c r="HL48" s="5083"/>
      <c r="HM48" s="12"/>
      <c r="HN48" s="5073" t="str">
        <f>IF(ISERROR(FIND("[",MISSIONS!BH28)),"", MID(MISSIONS!BH28,SEARCH("[",MISSIONS!BH28)+1,SEARCH("]",MISSIONS!BH28,SEARCH("[",MISSIONS!BH28)+1)-SEARCH("[",MISSIONS!BH28)-1))</f>
        <v/>
      </c>
      <c r="HO48" s="5074"/>
      <c r="HP48" s="5073" t="str">
        <f>IF(HN48="","",IF(MID(HN48,2,1)="h",MID(HN48,1,1)*60,0))</f>
        <v/>
      </c>
      <c r="HQ48" s="5074"/>
      <c r="HR48" s="5073" t="str" cm="1">
        <f t="array" ref="HR48">IF(HN48="","",
_xlfn.IFS(
AND(RIGHT(HN48,1)="m",LEN(HN48)=3),MID(HN48,1,2),
AND(RIGHT(HN48,1)="m",LEN(HN48)=5),MID(HN48,3,2),
AND(RIGHT(HN48,1)="m",LEN(HN48)=2),MID(HN48,1,1),
AND(RIGHT(HN48,1)="m",LEN(HN48)=4),MID(HN48,3,1),
TRUE,0)
)</f>
        <v/>
      </c>
      <c r="HS48" s="5074"/>
      <c r="HT48" s="1219"/>
      <c r="HU48" s="5078" t="str">
        <f>IF( MISSIONS!BH28="", "",
IF( OR(MISSIONS!BF28&lt;&gt;"",MISSIONS!BG28=100%,HN48="",HN48="?"),"",HP48+HR48)
)</f>
        <v/>
      </c>
      <c r="HV48" s="5079"/>
      <c r="HW48" s="1887"/>
      <c r="HX48" s="1218"/>
      <c r="IC48" s="1804">
        <v>26</v>
      </c>
      <c r="ID48" s="1814" t="s">
        <v>2299</v>
      </c>
      <c r="IE48" s="1814" t="s">
        <v>586</v>
      </c>
      <c r="IF48" s="1814" t="s">
        <v>975</v>
      </c>
      <c r="IG48" s="1814" t="s">
        <v>1129</v>
      </c>
      <c r="IH48" s="1814" t="s">
        <v>2318</v>
      </c>
      <c r="II48" s="1815" t="s">
        <v>2299</v>
      </c>
      <c r="IK48" s="1804">
        <v>26</v>
      </c>
      <c r="IL48" s="1815" t="s">
        <v>1015</v>
      </c>
      <c r="IM48" s="1815" t="s">
        <v>1007</v>
      </c>
      <c r="IN48" s="1815" t="s">
        <v>659</v>
      </c>
      <c r="IO48" s="1815" t="s">
        <v>2272</v>
      </c>
      <c r="IP48" s="1815" t="s">
        <v>1024</v>
      </c>
      <c r="IQ48" s="1815" t="s">
        <v>2261</v>
      </c>
      <c r="IR48" s="1815" t="s">
        <v>2252</v>
      </c>
      <c r="IS48" s="1815" t="s">
        <v>1127</v>
      </c>
      <c r="IT48" s="1815" t="s">
        <v>203</v>
      </c>
      <c r="IU48" s="1815" t="s">
        <v>2240</v>
      </c>
      <c r="IV48" s="1815" t="s">
        <v>666</v>
      </c>
      <c r="IW48" s="1815" t="s">
        <v>2232</v>
      </c>
      <c r="IX48" s="1824"/>
      <c r="IY48" s="1825"/>
      <c r="IZ48" s="1826"/>
      <c r="JA48" s="1834"/>
      <c r="JC48" s="1892"/>
      <c r="JD48" s="1868"/>
      <c r="JE48" s="1900" t="s">
        <v>243</v>
      </c>
      <c r="JF48" s="1850">
        <f ca="1">IF($JF$46="roll", RANDBETWEEN(JL48,JM48),0)</f>
        <v>0</v>
      </c>
      <c r="JG48" s="1900" t="s">
        <v>244</v>
      </c>
      <c r="JH48" s="1850">
        <v>15</v>
      </c>
      <c r="JI48" s="1901"/>
      <c r="JL48" s="3268">
        <v>1</v>
      </c>
      <c r="JM48" s="3269">
        <v>25</v>
      </c>
      <c r="JO48" s="2170" t="s">
        <v>1305</v>
      </c>
      <c r="JP48" s="1819" t="s">
        <v>403</v>
      </c>
      <c r="JQ48" s="2170" t="s">
        <v>2012</v>
      </c>
      <c r="JR48" s="1819" t="s">
        <v>1991</v>
      </c>
      <c r="JS48" s="3072"/>
      <c r="JT48" s="1828" t="s">
        <v>305</v>
      </c>
      <c r="JU48" s="3082"/>
      <c r="JV48" s="1828" t="s">
        <v>1968</v>
      </c>
      <c r="JW48" s="3082"/>
      <c r="JX48" s="1828" t="s">
        <v>1975</v>
      </c>
      <c r="JY48" s="3082"/>
      <c r="JZ48" s="1828" t="s">
        <v>2061</v>
      </c>
      <c r="KA48" s="3082"/>
      <c r="KB48" s="1828" t="s">
        <v>1973</v>
      </c>
      <c r="KC48" s="3082"/>
      <c r="KG48" s="1822"/>
      <c r="KH48" s="1821"/>
      <c r="KI48" s="1822"/>
      <c r="KJ48" s="1821"/>
      <c r="KK48" s="1822"/>
      <c r="KQ48" s="1930"/>
      <c r="KR48" s="3053"/>
      <c r="KS48" s="1930"/>
      <c r="KT48" s="3053"/>
      <c r="KV48" s="3048"/>
      <c r="KW48" s="3053"/>
      <c r="KX48" s="3048"/>
      <c r="KY48" s="3053"/>
    </row>
    <row r="49" spans="5:311" ht="17.100000000000001" customHeight="1" thickBot="1" x14ac:dyDescent="0.35">
      <c r="E49" s="2977" t="str">
        <f>IF(OR($B$41="JUL",$B$41="AUG",$B$41="SEP",$B$41="OCT",$B$41="NOV",$B$41="DEC"),"JUN","DEC")</f>
        <v>DEC</v>
      </c>
      <c r="F49" s="2978">
        <f t="shared" ref="F49:F54" si="26">_xlfn.XLOOKUP(E49,$C$23:$C$34,$G$23:$G$34,0,0)</f>
        <v>0</v>
      </c>
      <c r="I49" s="2978">
        <f>SUM($F$49:$F$54)</f>
        <v>0</v>
      </c>
      <c r="J49" s="1898" t="str">
        <f t="shared" si="15"/>
        <v/>
      </c>
      <c r="K49" s="3312" t="str">
        <f t="shared" si="16"/>
        <v/>
      </c>
      <c r="L49" s="3381"/>
      <c r="M49" s="3382"/>
      <c r="N49" s="3382"/>
      <c r="O49" s="3382"/>
      <c r="P49" s="3382"/>
      <c r="Q49" s="3382"/>
      <c r="R49" s="3382"/>
      <c r="S49" s="3382"/>
      <c r="T49" s="3382"/>
      <c r="U49" s="3382"/>
      <c r="V49" s="1774"/>
      <c r="W49" s="3381"/>
      <c r="X49" s="3382"/>
      <c r="Y49" s="3382"/>
      <c r="Z49" s="3382"/>
      <c r="AA49" s="3382"/>
      <c r="AB49" s="3382"/>
      <c r="AC49" s="3382"/>
      <c r="AD49" s="3382"/>
      <c r="AE49" s="3382"/>
      <c r="AF49" s="3382"/>
      <c r="AH49" s="3312" t="str">
        <f t="shared" si="17"/>
        <v/>
      </c>
      <c r="AI49" s="3381"/>
      <c r="AJ49" s="3384"/>
      <c r="AK49" s="3382"/>
      <c r="AL49" s="3382"/>
      <c r="AM49" s="3382"/>
      <c r="AN49" s="3382"/>
      <c r="AO49" s="3382"/>
      <c r="AP49" s="3382"/>
      <c r="AQ49" s="3382"/>
      <c r="AR49" s="3382"/>
      <c r="AS49" s="3382"/>
      <c r="AT49" s="3213"/>
      <c r="AU49" s="3384"/>
      <c r="AV49" s="3382"/>
      <c r="AW49" s="3382"/>
      <c r="AX49" s="3382"/>
      <c r="AY49" s="3382"/>
      <c r="AZ49" s="3382"/>
      <c r="BA49" s="3382"/>
      <c r="BB49" s="3382"/>
      <c r="BC49" s="3382"/>
      <c r="BD49" s="3382"/>
      <c r="BE49" s="3311">
        <v>26</v>
      </c>
      <c r="BF49" s="1882" t="str">
        <f t="shared" si="9"/>
        <v/>
      </c>
      <c r="BG49" s="1883">
        <f t="shared" si="10"/>
        <v>0</v>
      </c>
      <c r="BH49" s="1884">
        <f t="shared" si="13"/>
        <v>0</v>
      </c>
      <c r="EB49" s="1829">
        <v>4</v>
      </c>
      <c r="EC49" s="1793">
        <f>ACTIONS!C30</f>
        <v>0</v>
      </c>
      <c r="ED49" s="1793">
        <f>ACTIONS!D30</f>
        <v>0</v>
      </c>
      <c r="EE49" s="1793">
        <f>ACTIONS!E30</f>
        <v>0</v>
      </c>
      <c r="EF49" s="1793">
        <f>ACTIONS!F30</f>
        <v>0</v>
      </c>
      <c r="EG49" s="1793">
        <f>ACTIONS!G30</f>
        <v>0</v>
      </c>
      <c r="EH49" s="1793">
        <f>ACTIONS!H30</f>
        <v>0</v>
      </c>
      <c r="EI49" s="1793">
        <f>ACTIONS!I30</f>
        <v>0</v>
      </c>
      <c r="EJ49" s="1793">
        <f>ACTIONS!J30</f>
        <v>0</v>
      </c>
      <c r="EK49" s="1793">
        <f>ACTIONS!K30</f>
        <v>0</v>
      </c>
      <c r="EM49" s="1829">
        <v>4</v>
      </c>
      <c r="EN49" s="1795">
        <f>ACTIONS!BQ30</f>
        <v>0</v>
      </c>
      <c r="EO49" s="1795">
        <f>ACTIONS!BR30</f>
        <v>0</v>
      </c>
      <c r="EP49" s="1795">
        <f>ACTIONS!BS30</f>
        <v>0</v>
      </c>
      <c r="EQ49" s="1795">
        <f>ACTIONS!BT30</f>
        <v>0</v>
      </c>
      <c r="ER49" s="1795">
        <f>ACTIONS!BU30</f>
        <v>0</v>
      </c>
      <c r="ES49" s="1795">
        <f>ACTIONS!BV30</f>
        <v>0</v>
      </c>
      <c r="ET49" s="1795">
        <f>ACTIONS!BW30</f>
        <v>0</v>
      </c>
      <c r="EU49" s="1795">
        <f>ACTIONS!BX30</f>
        <v>0</v>
      </c>
      <c r="EV49" s="1795">
        <f>ACTIONS!BY30</f>
        <v>0</v>
      </c>
      <c r="EW49" s="1796"/>
      <c r="EX49" s="2403"/>
      <c r="EY49" s="2406"/>
      <c r="EZ49" s="2406"/>
      <c r="FA49" s="1813" t="s">
        <v>1473</v>
      </c>
      <c r="FB49" s="2406"/>
      <c r="FC49" s="2407">
        <v>0.5</v>
      </c>
      <c r="FD49" s="2408">
        <v>0.5</v>
      </c>
      <c r="FE49" s="2409">
        <v>0.25</v>
      </c>
      <c r="FF49" s="2410">
        <v>0.25</v>
      </c>
      <c r="FG49" s="1865"/>
      <c r="FH49" s="2403"/>
      <c r="FI49" s="2553" cm="1">
        <f t="array" ref="FI49">_xlfn.IFS($FI$23=$FC$23,FC49,$FI$23=$FD$23,FD49,$FI$23=$FE$23,FE49,$FI$23=$FF$23,FF49,TRUE,FC49)</f>
        <v>0.5</v>
      </c>
      <c r="FJ49" s="1865"/>
      <c r="FL49" s="1919"/>
      <c r="FM49" s="5075"/>
      <c r="FN49" s="5075"/>
      <c r="FO49" s="5084"/>
      <c r="FP49" s="5085"/>
      <c r="FQ49" s="12"/>
      <c r="FR49" s="5073"/>
      <c r="FS49" s="5074"/>
      <c r="FT49" s="5073"/>
      <c r="FU49" s="5074"/>
      <c r="FV49" s="5073"/>
      <c r="FW49" s="5074"/>
      <c r="FX49" s="1219"/>
      <c r="FY49" s="5080"/>
      <c r="FZ49" s="5081"/>
      <c r="GA49" s="1932"/>
      <c r="GB49" s="1932"/>
      <c r="GC49" s="5075"/>
      <c r="GD49" s="5075"/>
      <c r="GE49" s="5071"/>
      <c r="GF49" s="5072"/>
      <c r="GG49" s="1887"/>
      <c r="GH49" s="5073"/>
      <c r="GI49" s="5074"/>
      <c r="GJ49" s="5073"/>
      <c r="GK49" s="5074"/>
      <c r="GL49" s="5073"/>
      <c r="GM49" s="5074"/>
      <c r="GN49" s="1219"/>
      <c r="GO49" s="5080"/>
      <c r="GP49" s="5081"/>
      <c r="GQ49" s="1887"/>
      <c r="GR49" s="1887"/>
      <c r="GS49" s="5075"/>
      <c r="GT49" s="5075"/>
      <c r="GU49" s="5071"/>
      <c r="GV49" s="5072"/>
      <c r="GW49" s="1887"/>
      <c r="GX49" s="5073"/>
      <c r="GY49" s="5074"/>
      <c r="GZ49" s="5073"/>
      <c r="HA49" s="5074"/>
      <c r="HB49" s="5073"/>
      <c r="HC49" s="5074"/>
      <c r="HD49" s="1219"/>
      <c r="HE49" s="5080"/>
      <c r="HF49" s="5081"/>
      <c r="HG49" s="1887"/>
      <c r="HH49" s="1887"/>
      <c r="HI49" s="5075"/>
      <c r="HJ49" s="5075"/>
      <c r="HK49" s="5084"/>
      <c r="HL49" s="5085"/>
      <c r="HM49" s="12"/>
      <c r="HN49" s="5073"/>
      <c r="HO49" s="5074"/>
      <c r="HP49" s="5073"/>
      <c r="HQ49" s="5074"/>
      <c r="HR49" s="5073"/>
      <c r="HS49" s="5074"/>
      <c r="HT49" s="1219"/>
      <c r="HU49" s="5080"/>
      <c r="HV49" s="5081"/>
      <c r="HW49" s="1887"/>
      <c r="HX49" s="1218"/>
      <c r="IC49" s="1802">
        <v>27</v>
      </c>
      <c r="ID49" s="1814" t="s">
        <v>255</v>
      </c>
      <c r="IE49" s="1814" t="s">
        <v>598</v>
      </c>
      <c r="IF49" s="1814" t="s">
        <v>1177</v>
      </c>
      <c r="IG49" s="1872" t="s">
        <v>1043</v>
      </c>
      <c r="IH49" s="1814" t="s">
        <v>2076</v>
      </c>
      <c r="II49" s="1815" t="s">
        <v>255</v>
      </c>
      <c r="IK49" s="1802">
        <v>27</v>
      </c>
      <c r="IL49" s="1815" t="s">
        <v>640</v>
      </c>
      <c r="IM49" s="1815" t="s">
        <v>650</v>
      </c>
      <c r="IN49" s="1815" t="s">
        <v>198</v>
      </c>
      <c r="IO49" s="1815" t="s">
        <v>1046</v>
      </c>
      <c r="IP49" s="1815" t="s">
        <v>1003</v>
      </c>
      <c r="IQ49" s="1815" t="s">
        <v>2262</v>
      </c>
      <c r="IR49" s="1815" t="s">
        <v>1004</v>
      </c>
      <c r="IS49" s="1815" t="s">
        <v>2219</v>
      </c>
      <c r="IT49" s="1815" t="s">
        <v>217</v>
      </c>
      <c r="IU49" s="1815" t="s">
        <v>2194</v>
      </c>
      <c r="IV49" s="1815" t="s">
        <v>982</v>
      </c>
      <c r="IW49" s="1815" t="s">
        <v>984</v>
      </c>
      <c r="IX49" s="1824"/>
      <c r="IY49" s="1825"/>
      <c r="IZ49" s="1826"/>
      <c r="JA49" s="1834"/>
      <c r="JC49" s="1892"/>
      <c r="JD49" s="1868"/>
      <c r="JE49" s="1900" t="s">
        <v>2043</v>
      </c>
      <c r="JF49" s="1850">
        <f t="shared" ref="JF49:JF55" ca="1" si="27">IF($JF$46="roll", RANDBETWEEN(JL49,JM49),0)</f>
        <v>0</v>
      </c>
      <c r="JG49" s="1900" t="s">
        <v>246</v>
      </c>
      <c r="JH49" s="1850">
        <v>16</v>
      </c>
      <c r="JI49" s="1901"/>
      <c r="JL49" s="3268">
        <v>1</v>
      </c>
      <c r="JM49" s="3269">
        <f>18+5</f>
        <v>23</v>
      </c>
      <c r="JO49" s="2170" t="s">
        <v>2004</v>
      </c>
      <c r="JP49" s="1819" t="s">
        <v>1999</v>
      </c>
      <c r="JQ49" s="2170" t="s">
        <v>1913</v>
      </c>
      <c r="JR49" s="1819" t="s">
        <v>1992</v>
      </c>
      <c r="JS49" s="3072"/>
      <c r="JT49" s="1828" t="s">
        <v>1959</v>
      </c>
      <c r="JU49" s="3082"/>
      <c r="JV49" s="1828" t="s">
        <v>1961</v>
      </c>
      <c r="JW49" s="3082"/>
      <c r="JX49" s="1828" t="s">
        <v>1976</v>
      </c>
      <c r="JY49" s="3082"/>
      <c r="JZ49" s="1828" t="s">
        <v>2061</v>
      </c>
      <c r="KA49" s="3082"/>
      <c r="KB49" s="1828" t="s">
        <v>1985</v>
      </c>
      <c r="KC49" s="3082"/>
      <c r="KG49" s="1822"/>
      <c r="KH49" s="1821"/>
      <c r="KI49" s="1822"/>
      <c r="KJ49" s="1821"/>
      <c r="KK49" s="1822"/>
      <c r="KQ49" s="1930"/>
      <c r="KR49" s="3053"/>
      <c r="KS49" s="1930"/>
      <c r="KT49" s="3053"/>
      <c r="KV49" s="3048"/>
      <c r="KW49" s="3053"/>
      <c r="KX49" s="3048"/>
      <c r="KY49" s="3053"/>
    </row>
    <row r="50" spans="5:311" ht="17.100000000000001" customHeight="1" thickBot="1" x14ac:dyDescent="0.35">
      <c r="E50" s="2977" t="str">
        <f>IF(E49="JUN","JUL","JAN")</f>
        <v>JAN</v>
      </c>
      <c r="F50" s="2978">
        <f t="shared" si="26"/>
        <v>0</v>
      </c>
      <c r="J50" s="1898" t="str">
        <f t="shared" si="15"/>
        <v/>
      </c>
      <c r="K50" s="3312" t="str">
        <f t="shared" si="16"/>
        <v/>
      </c>
      <c r="L50" s="3381"/>
      <c r="M50" s="3382"/>
      <c r="N50" s="3382"/>
      <c r="O50" s="3382"/>
      <c r="P50" s="3382"/>
      <c r="Q50" s="3382"/>
      <c r="R50" s="3382"/>
      <c r="S50" s="3382"/>
      <c r="T50" s="3382"/>
      <c r="U50" s="3382"/>
      <c r="V50" s="1774"/>
      <c r="W50" s="3381"/>
      <c r="X50" s="3382"/>
      <c r="Y50" s="3382"/>
      <c r="Z50" s="3382"/>
      <c r="AA50" s="3382"/>
      <c r="AB50" s="3382"/>
      <c r="AC50" s="3382"/>
      <c r="AD50" s="3382"/>
      <c r="AE50" s="3382"/>
      <c r="AF50" s="3382"/>
      <c r="AH50" s="3312" t="str">
        <f t="shared" si="17"/>
        <v/>
      </c>
      <c r="AI50" s="3381"/>
      <c r="AJ50" s="3384"/>
      <c r="AK50" s="3382"/>
      <c r="AL50" s="3382"/>
      <c r="AM50" s="3382"/>
      <c r="AN50" s="3382"/>
      <c r="AO50" s="3382"/>
      <c r="AP50" s="3382"/>
      <c r="AQ50" s="3382"/>
      <c r="AR50" s="3382"/>
      <c r="AS50" s="3382"/>
      <c r="AT50" s="3213"/>
      <c r="AU50" s="3384"/>
      <c r="AV50" s="3382"/>
      <c r="AW50" s="3382"/>
      <c r="AX50" s="3382"/>
      <c r="AY50" s="3382"/>
      <c r="AZ50" s="3382"/>
      <c r="BA50" s="3382"/>
      <c r="BB50" s="3382"/>
      <c r="BC50" s="3382"/>
      <c r="BD50" s="3382"/>
      <c r="BE50" s="3311">
        <v>27</v>
      </c>
      <c r="BF50" s="1882" t="str">
        <f t="shared" si="9"/>
        <v/>
      </c>
      <c r="BG50" s="1883">
        <f t="shared" si="10"/>
        <v>0</v>
      </c>
      <c r="BH50" s="1884">
        <f t="shared" si="13"/>
        <v>0</v>
      </c>
      <c r="EB50" s="1829">
        <v>3</v>
      </c>
      <c r="EC50" s="1793">
        <f>ACTIONS!C31</f>
        <v>0</v>
      </c>
      <c r="ED50" s="1793">
        <f>ACTIONS!D31</f>
        <v>0</v>
      </c>
      <c r="EE50" s="1793">
        <f>ACTIONS!E31</f>
        <v>0</v>
      </c>
      <c r="EF50" s="1793">
        <f>ACTIONS!F31</f>
        <v>0</v>
      </c>
      <c r="EG50" s="1793">
        <f>ACTIONS!G31</f>
        <v>0</v>
      </c>
      <c r="EH50" s="1793">
        <f>ACTIONS!H31</f>
        <v>0</v>
      </c>
      <c r="EI50" s="1793">
        <f>ACTIONS!I31</f>
        <v>0</v>
      </c>
      <c r="EJ50" s="1793">
        <f>ACTIONS!J31</f>
        <v>0</v>
      </c>
      <c r="EK50" s="1793">
        <f>ACTIONS!K31</f>
        <v>0</v>
      </c>
      <c r="EM50" s="1829">
        <v>3</v>
      </c>
      <c r="EN50" s="1795">
        <f>ACTIONS!BQ31</f>
        <v>0</v>
      </c>
      <c r="EO50" s="1795">
        <f>ACTIONS!BR31</f>
        <v>0</v>
      </c>
      <c r="EP50" s="1795">
        <f>ACTIONS!BS31</f>
        <v>0</v>
      </c>
      <c r="EQ50" s="1795">
        <f>ACTIONS!BT31</f>
        <v>0</v>
      </c>
      <c r="ER50" s="1795">
        <f>ACTIONS!BU31</f>
        <v>0</v>
      </c>
      <c r="ES50" s="1795">
        <f>ACTIONS!BV31</f>
        <v>0</v>
      </c>
      <c r="ET50" s="1795">
        <f>ACTIONS!BW31</f>
        <v>0</v>
      </c>
      <c r="EU50" s="1795">
        <f>ACTIONS!BX31</f>
        <v>0</v>
      </c>
      <c r="EV50" s="1795">
        <f>ACTIONS!BY31</f>
        <v>0</v>
      </c>
      <c r="EW50" s="1796"/>
      <c r="EX50" s="2403"/>
      <c r="FA50" s="1808"/>
      <c r="FC50" s="2412"/>
      <c r="FD50" s="2412"/>
      <c r="FE50" s="2412"/>
      <c r="FF50" s="2412"/>
      <c r="FG50" s="2415"/>
      <c r="FH50" s="2414"/>
      <c r="FI50" s="2554"/>
      <c r="FJ50" s="1865"/>
      <c r="FL50" s="1919"/>
      <c r="FM50" s="5077" t="s">
        <v>539</v>
      </c>
      <c r="FN50" s="5075"/>
      <c r="FO50" s="5082" t="str">
        <f>IF(AND(FY50=$GQ$24,$GQ$24&lt;&gt;0),"fastest","")</f>
        <v/>
      </c>
      <c r="FP50" s="5083"/>
      <c r="FQ50" s="12"/>
      <c r="FR50" s="5073" t="str">
        <f>IF(ISERROR(FIND("[",MISSIONS!E30)),"", MID(MISSIONS!E30,SEARCH("[",MISSIONS!E30)+1,SEARCH("]",MISSIONS!E30,SEARCH("[",MISSIONS!E30)+1)-SEARCH("[",MISSIONS!E30)-1))</f>
        <v/>
      </c>
      <c r="FS50" s="5074"/>
      <c r="FT50" s="5073" t="str">
        <f>IF(FR50="","",IF(MID(FR50,2,1)="h",MID(FR50,1,1)*60,0))</f>
        <v/>
      </c>
      <c r="FU50" s="5074"/>
      <c r="FV50" s="5073" t="str" cm="1">
        <f t="array" ref="FV50">IF(FR50="","",
_xlfn.IFS(
AND(RIGHT(FR50,1)="m",LEN(FR50)=3),MID(FR50,1,2),
AND(RIGHT(FR50,1)="m",LEN(FR50)=5),MID(FR50,3,2),
AND(RIGHT(FR50,1)="m",LEN(FR50)=2),MID(FR50,1,1),
AND(RIGHT(FR50,1)="m",LEN(FR50)=4),MID(FR50,3,1),
TRUE,0)
)</f>
        <v/>
      </c>
      <c r="FW50" s="5074"/>
      <c r="FX50" s="1219"/>
      <c r="FY50" s="5078" t="str">
        <f>IF( MISSIONS!E30="","",
IF( OR(AND(MISSIONS!U30=100%,MISSIONS!U31=MISSIONS!$AK$2),FR50="",FR50="?"),"",FT50+FV50)
)</f>
        <v/>
      </c>
      <c r="FZ50" s="5079"/>
      <c r="GA50" s="1932"/>
      <c r="GB50" s="1932"/>
      <c r="GC50" s="5077" t="s">
        <v>917</v>
      </c>
      <c r="GD50" s="5075"/>
      <c r="GE50" s="5071" t="str">
        <f>IF(AND(GO50=$GQ$24,$GQ$24&lt;&gt;0),"fastest","")</f>
        <v/>
      </c>
      <c r="GF50" s="5072"/>
      <c r="GG50" s="1887"/>
      <c r="GH50" s="5073" t="str">
        <f>IF(ISERROR(FIND("[",MISSIONS!AB30)),"", MID(MISSIONS!AB30,SEARCH("[",MISSIONS!AB30)+1,SEARCH("]",MISSIONS!AB30,SEARCH("[",MISSIONS!AB30)+1)-SEARCH("[",MISSIONS!AB30)-1))</f>
        <v/>
      </c>
      <c r="GI50" s="5074"/>
      <c r="GJ50" s="5073" t="str">
        <f>IF(GH50="","",IF(MID(GH50,2,1)="h",MID(GH50,1,1)*60,0))</f>
        <v/>
      </c>
      <c r="GK50" s="5074"/>
      <c r="GL50" s="5073" t="str" cm="1">
        <f t="array" ref="GL50">IF(GH50="","",
_xlfn.IFS(
AND(RIGHT(GH50,1)="m",LEN(GH50)=3),MID(GH50,1,2),
AND(RIGHT(GH50,1)="m",LEN(GH50)=5),MID(GH50,3,2),
AND(RIGHT(GH50,1)="m",LEN(GH50)=2),MID(GH50,1,1),
AND(RIGHT(GH50,1)="m",LEN(GH50)=4),MID(GH50,3,1),
TRUE,0)
)</f>
        <v/>
      </c>
      <c r="GM50" s="5074"/>
      <c r="GN50" s="1219"/>
      <c r="GO50" s="5078" t="str">
        <f>IF( MISSIONS!AB30="", "",
IF( OR(MISSIONS!AM30&lt;&gt;"",MISSIONS!AL30=100%,GH50="",GH50="?"),"",GJ50+GL50)
)</f>
        <v/>
      </c>
      <c r="GP50" s="5079"/>
      <c r="GQ50" s="1887"/>
      <c r="GR50" s="1887"/>
      <c r="GS50" s="5077" t="s">
        <v>917</v>
      </c>
      <c r="GT50" s="5075"/>
      <c r="GU50" s="5071" t="str">
        <f>IF(AND(HE50=$GQ$24,$GQ$24&lt;&gt;0),"fastest","")</f>
        <v/>
      </c>
      <c r="GV50" s="5072"/>
      <c r="GW50" s="1887"/>
      <c r="GX50" s="5073" t="str">
        <f>IF(ISERROR(FIND("[",MISSIONS!AQ30)),"", MID(MISSIONS!AQ30,SEARCH("[",MISSIONS!AQ30)+1,SEARCH("]",MISSIONS!AQ30,SEARCH("[",MISSIONS!AQ30)+1)-SEARCH("[",MISSIONS!AQ30)-1))</f>
        <v/>
      </c>
      <c r="GY50" s="5074"/>
      <c r="GZ50" s="5073" t="str">
        <f>IF(GX50="","",IF(MID(GX50,2,1)="h",MID(GX50,1,1)*60,0))</f>
        <v/>
      </c>
      <c r="HA50" s="5074"/>
      <c r="HB50" s="5073" t="str" cm="1">
        <f t="array" ref="HB50">IF(GX50="","",
_xlfn.IFS(
AND(RIGHT(GX50,1)="m",LEN(GX50)=3),MID(GX50,1,2),
AND(RIGHT(GX50,1)="m",LEN(GX50)=5),MID(GX50,3,2),
AND(RIGHT(GX50,1)="m",LEN(GX50)=2),MID(GX50,1,1),
AND(RIGHT(GX50,1)="m",LEN(GX50)=4),MID(GX50,3,1),
TRUE,0)
)</f>
        <v/>
      </c>
      <c r="HC50" s="5074"/>
      <c r="HD50" s="1219"/>
      <c r="HE50" s="5078" t="str">
        <f>IF( MISSIONS!AQ30="", "",
IF( OR(MISSIONS!AO30&lt;&gt;"",MISSIONS!AP30=100%,GX50="",GX50="?"),"",GZ50+HB50)
)</f>
        <v/>
      </c>
      <c r="HF50" s="5079"/>
      <c r="HG50" s="1887"/>
      <c r="HH50" s="1887"/>
      <c r="HI50" s="5077" t="s">
        <v>741</v>
      </c>
      <c r="HJ50" s="5075"/>
      <c r="HK50" s="5082" t="str">
        <f>IF(AND(HU50=$GQ$24,$GQ$24&lt;&gt;0),"fastest","")</f>
        <v/>
      </c>
      <c r="HL50" s="5083"/>
      <c r="HM50" s="12"/>
      <c r="HN50" s="5073" t="str">
        <f>IF(ISERROR(FIND("[",MISSIONS!BH30)),"", MID(MISSIONS!BH30,SEARCH("[",MISSIONS!BH30)+1,SEARCH("]",MISSIONS!BH30,SEARCH("[",MISSIONS!BH30)+1)-SEARCH("[",MISSIONS!BH30)-1))</f>
        <v/>
      </c>
      <c r="HO50" s="5074"/>
      <c r="HP50" s="5073" t="str">
        <f>IF(HN50="","",IF(MID(HN50,2,1)="h",MID(HN50,1,1)*60,0))</f>
        <v/>
      </c>
      <c r="HQ50" s="5074"/>
      <c r="HR50" s="5073" t="str" cm="1">
        <f t="array" ref="HR50">IF(HN50="","",
_xlfn.IFS(
AND(RIGHT(HN50,1)="m",LEN(HN50)=3),MID(HN50,1,2),
AND(RIGHT(HN50,1)="m",LEN(HN50)=5),MID(HN50,3,2),
AND(RIGHT(HN50,1)="m",LEN(HN50)=2),MID(HN50,1,1),
AND(RIGHT(HN50,1)="m",LEN(HN50)=4),MID(HN50,3,1),
TRUE,0)
)</f>
        <v/>
      </c>
      <c r="HS50" s="5074"/>
      <c r="HT50" s="1219"/>
      <c r="HU50" s="5078" t="str">
        <f>IF( MISSIONS!BH30="", "",
IF( OR(MISSIONS!BF30&lt;&gt;"",MISSIONS!BG30=100%,HN50="",HN50="?"),"",HP50+HR50)
)</f>
        <v/>
      </c>
      <c r="HV50" s="5079"/>
      <c r="HW50" s="1887"/>
      <c r="HX50" s="1218"/>
      <c r="IC50" s="1802">
        <v>28</v>
      </c>
      <c r="ID50" s="1814" t="s">
        <v>258</v>
      </c>
      <c r="IE50" s="1814" t="s">
        <v>613</v>
      </c>
      <c r="IF50" s="1814" t="s">
        <v>637</v>
      </c>
      <c r="IG50" s="1814" t="s">
        <v>2313</v>
      </c>
      <c r="IH50" s="1814" t="s">
        <v>2185</v>
      </c>
      <c r="II50" s="1815" t="s">
        <v>258</v>
      </c>
      <c r="IK50" s="1802">
        <v>28</v>
      </c>
      <c r="IL50" s="1815" t="s">
        <v>1041</v>
      </c>
      <c r="IM50" s="1815" t="s">
        <v>2282</v>
      </c>
      <c r="IN50" s="1815" t="s">
        <v>1268</v>
      </c>
      <c r="IO50" s="1815" t="s">
        <v>199</v>
      </c>
      <c r="IP50" s="1815" t="s">
        <v>2177</v>
      </c>
      <c r="IQ50" s="1815" t="s">
        <v>2390</v>
      </c>
      <c r="IR50" s="1815" t="s">
        <v>652</v>
      </c>
      <c r="IS50" s="1815" t="s">
        <v>2220</v>
      </c>
      <c r="IT50" s="1815" t="s">
        <v>596</v>
      </c>
      <c r="IU50" s="1815" t="s">
        <v>1035</v>
      </c>
      <c r="IV50" s="1815" t="s">
        <v>1263</v>
      </c>
      <c r="IW50" s="1815" t="s">
        <v>626</v>
      </c>
      <c r="IX50" s="1824"/>
      <c r="IY50" s="1825"/>
      <c r="IZ50" s="1826"/>
      <c r="JA50" s="1834"/>
      <c r="JC50" s="1892"/>
      <c r="JD50" s="1868"/>
      <c r="JE50" s="1900" t="s">
        <v>2044</v>
      </c>
      <c r="JF50" s="1850">
        <f t="shared" ca="1" si="27"/>
        <v>0</v>
      </c>
      <c r="JG50" s="1900" t="s">
        <v>250</v>
      </c>
      <c r="JH50" s="1850">
        <v>40</v>
      </c>
      <c r="JI50" s="1901"/>
      <c r="JL50" s="3268">
        <v>1</v>
      </c>
      <c r="JM50" s="3269">
        <v>40</v>
      </c>
      <c r="JO50" s="2170" t="s">
        <v>2006</v>
      </c>
      <c r="JP50" s="1819" t="s">
        <v>885</v>
      </c>
      <c r="JQ50" s="2170" t="s">
        <v>1377</v>
      </c>
      <c r="JR50" s="1819" t="s">
        <v>166</v>
      </c>
      <c r="JS50" s="3072"/>
      <c r="JT50" s="3080"/>
      <c r="JU50" s="1821"/>
      <c r="JV50" s="3080"/>
      <c r="JW50" s="1821"/>
      <c r="JX50" s="3080"/>
      <c r="JY50" s="1822"/>
      <c r="JZ50" s="3080"/>
      <c r="KB50" s="3080"/>
      <c r="KG50" s="1822"/>
      <c r="KH50" s="1821"/>
      <c r="KI50" s="1822"/>
      <c r="KJ50" s="1821"/>
      <c r="KK50" s="1822"/>
      <c r="KQ50" s="1930"/>
      <c r="KR50" s="3053"/>
      <c r="KS50" s="1930"/>
      <c r="KT50" s="3053"/>
      <c r="KV50" s="3048"/>
      <c r="KW50" s="3053"/>
      <c r="KX50" s="3048"/>
      <c r="KY50" s="3053"/>
    </row>
    <row r="51" spans="5:311" ht="17.100000000000001" customHeight="1" thickBot="1" x14ac:dyDescent="0.35">
      <c r="E51" s="2977" t="str">
        <f>IF(E50="JUL","AUG","FEB")</f>
        <v>FEB</v>
      </c>
      <c r="F51" s="2978">
        <f t="shared" si="26"/>
        <v>0</v>
      </c>
      <c r="J51" s="1898" t="str">
        <f t="shared" si="15"/>
        <v/>
      </c>
      <c r="K51" s="3312" t="str">
        <f t="shared" si="16"/>
        <v/>
      </c>
      <c r="L51" s="3381"/>
      <c r="M51" s="3382"/>
      <c r="N51" s="3382"/>
      <c r="O51" s="3382"/>
      <c r="P51" s="3382"/>
      <c r="Q51" s="3382"/>
      <c r="R51" s="3382"/>
      <c r="S51" s="3382"/>
      <c r="T51" s="3382"/>
      <c r="U51" s="3382"/>
      <c r="V51" s="1774"/>
      <c r="W51" s="3381"/>
      <c r="X51" s="3382"/>
      <c r="Y51" s="3382"/>
      <c r="Z51" s="3382"/>
      <c r="AA51" s="3382"/>
      <c r="AB51" s="3382"/>
      <c r="AC51" s="3382"/>
      <c r="AD51" s="3382"/>
      <c r="AE51" s="3382"/>
      <c r="AF51" s="3382"/>
      <c r="AH51" s="3312" t="str">
        <f t="shared" si="17"/>
        <v/>
      </c>
      <c r="AI51" s="3381"/>
      <c r="AJ51" s="3384"/>
      <c r="AK51" s="3382"/>
      <c r="AL51" s="3382"/>
      <c r="AM51" s="3382"/>
      <c r="AN51" s="3382"/>
      <c r="AO51" s="3382"/>
      <c r="AP51" s="3382"/>
      <c r="AQ51" s="3382"/>
      <c r="AR51" s="3382"/>
      <c r="AS51" s="3382"/>
      <c r="AT51" s="3213"/>
      <c r="AU51" s="3384"/>
      <c r="AV51" s="3382"/>
      <c r="AW51" s="3382"/>
      <c r="AX51" s="3382"/>
      <c r="AY51" s="3382"/>
      <c r="AZ51" s="3382"/>
      <c r="BA51" s="3382"/>
      <c r="BB51" s="3382"/>
      <c r="BC51" s="3382"/>
      <c r="BD51" s="3382"/>
      <c r="BE51" s="3311">
        <v>28</v>
      </c>
      <c r="BF51" s="1882" t="str">
        <f t="shared" si="9"/>
        <v/>
      </c>
      <c r="BG51" s="1883">
        <f t="shared" si="10"/>
        <v>0</v>
      </c>
      <c r="BH51" s="1884">
        <f t="shared" si="13"/>
        <v>0</v>
      </c>
      <c r="EB51" s="1829">
        <v>2</v>
      </c>
      <c r="EC51" s="1793">
        <f>ACTIONS!C32</f>
        <v>0</v>
      </c>
      <c r="ED51" s="1793">
        <f>ACTIONS!D32</f>
        <v>0</v>
      </c>
      <c r="EE51" s="1793">
        <f>ACTIONS!E32</f>
        <v>0</v>
      </c>
      <c r="EF51" s="1793">
        <f>ACTIONS!F32</f>
        <v>0</v>
      </c>
      <c r="EG51" s="1793">
        <f>ACTIONS!G32</f>
        <v>0</v>
      </c>
      <c r="EH51" s="1793">
        <f>ACTIONS!H32</f>
        <v>0</v>
      </c>
      <c r="EI51" s="1793">
        <f>ACTIONS!I32</f>
        <v>0</v>
      </c>
      <c r="EJ51" s="1793">
        <f>ACTIONS!J32</f>
        <v>0</v>
      </c>
      <c r="EK51" s="1793">
        <f>ACTIONS!K32</f>
        <v>0</v>
      </c>
      <c r="EM51" s="1829">
        <v>2</v>
      </c>
      <c r="EN51" s="1795">
        <f>ACTIONS!BQ32</f>
        <v>0</v>
      </c>
      <c r="EO51" s="1795">
        <f>ACTIONS!BR32</f>
        <v>0</v>
      </c>
      <c r="EP51" s="1795">
        <f>ACTIONS!BS32</f>
        <v>0</v>
      </c>
      <c r="EQ51" s="1795">
        <f>ACTIONS!BT32</f>
        <v>0</v>
      </c>
      <c r="ER51" s="1795">
        <f>ACTIONS!BU32</f>
        <v>0</v>
      </c>
      <c r="ES51" s="1795">
        <f>ACTIONS!BV32</f>
        <v>0</v>
      </c>
      <c r="ET51" s="1795">
        <f>ACTIONS!BW32</f>
        <v>0</v>
      </c>
      <c r="EU51" s="1795">
        <f>ACTIONS!BX32</f>
        <v>0</v>
      </c>
      <c r="EV51" s="1795">
        <f>ACTIONS!BY32</f>
        <v>0</v>
      </c>
      <c r="EW51" s="1796"/>
      <c r="EX51" s="2403"/>
      <c r="EY51" s="2406"/>
      <c r="EZ51" s="2406"/>
      <c r="FA51" s="1813" t="s">
        <v>1485</v>
      </c>
      <c r="FB51" s="2406"/>
      <c r="FC51" s="2407">
        <v>0.5</v>
      </c>
      <c r="FD51" s="2408">
        <v>0.5</v>
      </c>
      <c r="FE51" s="2409">
        <v>0.25</v>
      </c>
      <c r="FF51" s="2410">
        <v>0.125</v>
      </c>
      <c r="FG51" s="1865"/>
      <c r="FH51" s="2403"/>
      <c r="FI51" s="2553" cm="1">
        <f t="array" ref="FI51">_xlfn.IFS($FI$23=$FC$23,FC51,$FI$23=$FD$23,FD51,$FI$23=$FE$23,FE51,$FI$23=$FF$23,FF51,TRUE,FC51)</f>
        <v>0.5</v>
      </c>
      <c r="FJ51" s="1865"/>
      <c r="FL51" s="1919"/>
      <c r="FM51" s="5075"/>
      <c r="FN51" s="5075"/>
      <c r="FO51" s="5084"/>
      <c r="FP51" s="5085"/>
      <c r="FQ51" s="12"/>
      <c r="FR51" s="5073"/>
      <c r="FS51" s="5074"/>
      <c r="FT51" s="5073"/>
      <c r="FU51" s="5074"/>
      <c r="FV51" s="5073"/>
      <c r="FW51" s="5074"/>
      <c r="FX51" s="1219"/>
      <c r="FY51" s="5080"/>
      <c r="FZ51" s="5081"/>
      <c r="GA51" s="1932"/>
      <c r="GB51" s="1932"/>
      <c r="GC51" s="5075"/>
      <c r="GD51" s="5075"/>
      <c r="GE51" s="5071"/>
      <c r="GF51" s="5072"/>
      <c r="GG51" s="1887"/>
      <c r="GH51" s="5073"/>
      <c r="GI51" s="5074"/>
      <c r="GJ51" s="5073"/>
      <c r="GK51" s="5074"/>
      <c r="GL51" s="5073"/>
      <c r="GM51" s="5074"/>
      <c r="GN51" s="1219"/>
      <c r="GO51" s="5080"/>
      <c r="GP51" s="5081"/>
      <c r="GQ51" s="1887"/>
      <c r="GR51" s="1887"/>
      <c r="GS51" s="5075"/>
      <c r="GT51" s="5075"/>
      <c r="GU51" s="5071"/>
      <c r="GV51" s="5072"/>
      <c r="GW51" s="1887"/>
      <c r="GX51" s="5073"/>
      <c r="GY51" s="5074"/>
      <c r="GZ51" s="5073"/>
      <c r="HA51" s="5074"/>
      <c r="HB51" s="5073"/>
      <c r="HC51" s="5074"/>
      <c r="HD51" s="1219"/>
      <c r="HE51" s="5080"/>
      <c r="HF51" s="5081"/>
      <c r="HG51" s="1887"/>
      <c r="HH51" s="1887"/>
      <c r="HI51" s="5075"/>
      <c r="HJ51" s="5075"/>
      <c r="HK51" s="5084"/>
      <c r="HL51" s="5085"/>
      <c r="HM51" s="12"/>
      <c r="HN51" s="5073"/>
      <c r="HO51" s="5074"/>
      <c r="HP51" s="5073"/>
      <c r="HQ51" s="5074"/>
      <c r="HR51" s="5073"/>
      <c r="HS51" s="5074"/>
      <c r="HT51" s="1219"/>
      <c r="HU51" s="5080"/>
      <c r="HV51" s="5081"/>
      <c r="HW51" s="1887"/>
      <c r="HX51" s="1218"/>
      <c r="IC51" s="1804">
        <v>29</v>
      </c>
      <c r="ID51" s="1814" t="s">
        <v>232</v>
      </c>
      <c r="IE51" s="1814" t="s">
        <v>610</v>
      </c>
      <c r="IF51" s="1814" t="s">
        <v>980</v>
      </c>
      <c r="IG51" s="1814" t="s">
        <v>1132</v>
      </c>
      <c r="IH51" s="1814" t="s">
        <v>2319</v>
      </c>
      <c r="II51" s="1815" t="s">
        <v>232</v>
      </c>
      <c r="IK51" s="1804">
        <v>29</v>
      </c>
      <c r="IL51" s="1815" t="s">
        <v>647</v>
      </c>
      <c r="IM51" s="1815" t="s">
        <v>642</v>
      </c>
      <c r="IN51" s="1815" t="s">
        <v>905</v>
      </c>
      <c r="IO51" s="1815" t="s">
        <v>646</v>
      </c>
      <c r="IP51" s="1815" t="s">
        <v>1001</v>
      </c>
      <c r="IQ51" s="1815" t="s">
        <v>214</v>
      </c>
      <c r="IR51" s="1815" t="s">
        <v>215</v>
      </c>
      <c r="IS51" s="1815" t="s">
        <v>2221</v>
      </c>
      <c r="IT51" s="1815" t="s">
        <v>2247</v>
      </c>
      <c r="IU51" s="1815" t="s">
        <v>653</v>
      </c>
      <c r="IV51" s="1815" t="s">
        <v>1038</v>
      </c>
      <c r="IW51" s="1815" t="s">
        <v>2233</v>
      </c>
      <c r="IX51" s="1824"/>
      <c r="IY51" s="1825"/>
      <c r="IZ51" s="1826"/>
      <c r="JA51" s="1834"/>
      <c r="JC51" s="1892"/>
      <c r="JD51" s="1868"/>
      <c r="JE51" s="1900" t="s">
        <v>256</v>
      </c>
      <c r="JF51" s="1850">
        <f t="shared" ca="1" si="27"/>
        <v>0</v>
      </c>
      <c r="JG51" s="1900" t="s">
        <v>257</v>
      </c>
      <c r="JH51" s="1850">
        <v>11557</v>
      </c>
      <c r="JI51" s="1901"/>
      <c r="JL51" s="3268">
        <v>1</v>
      </c>
      <c r="JM51" s="3269">
        <f>(60*30)*18</f>
        <v>32400</v>
      </c>
      <c r="JO51" s="2170" t="s">
        <v>1368</v>
      </c>
      <c r="JP51" s="1819" t="s">
        <v>1998</v>
      </c>
      <c r="JQ51" s="2170" t="s">
        <v>1319</v>
      </c>
      <c r="JR51" s="1819" t="s">
        <v>387</v>
      </c>
      <c r="JS51" s="2060"/>
      <c r="KG51" s="1822"/>
      <c r="KH51" s="1821"/>
      <c r="KI51" s="1822"/>
      <c r="KJ51" s="1821"/>
      <c r="KK51" s="1822"/>
      <c r="KQ51" s="3074"/>
      <c r="KR51" s="3053"/>
      <c r="KS51" s="1930"/>
      <c r="KT51" s="3053"/>
      <c r="KV51" s="3048"/>
      <c r="KW51" s="3053"/>
      <c r="KX51" s="3048"/>
      <c r="KY51" s="3053"/>
    </row>
    <row r="52" spans="5:311" ht="17.100000000000001" customHeight="1" thickBot="1" x14ac:dyDescent="0.35">
      <c r="E52" s="2977" t="str">
        <f>IF(E51="AUG","SEP","MAR")</f>
        <v>MAR</v>
      </c>
      <c r="F52" s="2978">
        <f t="shared" si="26"/>
        <v>0</v>
      </c>
      <c r="J52" s="1898" t="str">
        <f t="shared" si="15"/>
        <v/>
      </c>
      <c r="K52" s="3312" t="str">
        <f t="shared" si="16"/>
        <v/>
      </c>
      <c r="L52" s="3381"/>
      <c r="M52" s="3382"/>
      <c r="N52" s="3382"/>
      <c r="O52" s="3382"/>
      <c r="P52" s="3382"/>
      <c r="Q52" s="3382"/>
      <c r="R52" s="3382"/>
      <c r="S52" s="3382"/>
      <c r="T52" s="3382"/>
      <c r="U52" s="3382"/>
      <c r="V52" s="1774"/>
      <c r="W52" s="3381"/>
      <c r="X52" s="3382"/>
      <c r="Y52" s="3382"/>
      <c r="Z52" s="3382"/>
      <c r="AA52" s="3382"/>
      <c r="AB52" s="3382"/>
      <c r="AC52" s="3382"/>
      <c r="AD52" s="3382"/>
      <c r="AE52" s="3382"/>
      <c r="AF52" s="3382"/>
      <c r="AH52" s="3312" t="str">
        <f t="shared" si="17"/>
        <v/>
      </c>
      <c r="AI52" s="3381"/>
      <c r="AJ52" s="3384"/>
      <c r="AK52" s="3382"/>
      <c r="AL52" s="3382"/>
      <c r="AM52" s="3382"/>
      <c r="AN52" s="3382"/>
      <c r="AO52" s="3382"/>
      <c r="AP52" s="3382"/>
      <c r="AQ52" s="3382"/>
      <c r="AR52" s="3382"/>
      <c r="AS52" s="3382"/>
      <c r="AT52" s="3213"/>
      <c r="AU52" s="3384"/>
      <c r="AV52" s="3382"/>
      <c r="AW52" s="3382"/>
      <c r="AX52" s="3382"/>
      <c r="AY52" s="3382"/>
      <c r="AZ52" s="3382"/>
      <c r="BA52" s="3382"/>
      <c r="BB52" s="3382"/>
      <c r="BC52" s="3382"/>
      <c r="BD52" s="3382"/>
      <c r="BE52" s="3311">
        <v>29</v>
      </c>
      <c r="BF52" s="1882" t="str">
        <f t="shared" si="9"/>
        <v/>
      </c>
      <c r="BG52" s="1883">
        <f t="shared" si="10"/>
        <v>0</v>
      </c>
      <c r="BH52" s="1884">
        <f t="shared" si="13"/>
        <v>0</v>
      </c>
      <c r="EB52" s="1829">
        <v>1</v>
      </c>
      <c r="EC52" s="1793">
        <f>ACTIONS!C33</f>
        <v>0</v>
      </c>
      <c r="ED52" s="1793">
        <f>ACTIONS!D33</f>
        <v>0</v>
      </c>
      <c r="EE52" s="1793">
        <f>ACTIONS!E33</f>
        <v>0</v>
      </c>
      <c r="EF52" s="1793">
        <f>ACTIONS!F33</f>
        <v>0</v>
      </c>
      <c r="EG52" s="1793">
        <f>ACTIONS!G33</f>
        <v>0</v>
      </c>
      <c r="EH52" s="1793">
        <f>ACTIONS!H33</f>
        <v>0</v>
      </c>
      <c r="EI52" s="1793">
        <f>ACTIONS!I33</f>
        <v>0</v>
      </c>
      <c r="EJ52" s="1793">
        <f>ACTIONS!J33</f>
        <v>0</v>
      </c>
      <c r="EK52" s="1793">
        <f>ACTIONS!K33</f>
        <v>0</v>
      </c>
      <c r="EM52" s="1829">
        <v>1</v>
      </c>
      <c r="EN52" s="1795">
        <f>ACTIONS!BQ33</f>
        <v>0</v>
      </c>
      <c r="EO52" s="1795">
        <f>ACTIONS!BR33</f>
        <v>0</v>
      </c>
      <c r="EP52" s="1795">
        <f>ACTIONS!BS33</f>
        <v>0</v>
      </c>
      <c r="EQ52" s="1795">
        <f>ACTIONS!BT33</f>
        <v>0</v>
      </c>
      <c r="ER52" s="1795">
        <f>ACTIONS!BU33</f>
        <v>0</v>
      </c>
      <c r="ES52" s="1795">
        <f>ACTIONS!BV33</f>
        <v>0</v>
      </c>
      <c r="ET52" s="1795">
        <f>ACTIONS!BW33</f>
        <v>0</v>
      </c>
      <c r="EU52" s="1795">
        <f>ACTIONS!BX33</f>
        <v>0</v>
      </c>
      <c r="EV52" s="1795">
        <f>ACTIONS!BY33</f>
        <v>0</v>
      </c>
      <c r="EW52" s="1796"/>
      <c r="EX52" s="2403"/>
      <c r="EY52" s="2406"/>
      <c r="EZ52" s="2406"/>
      <c r="FA52" s="1813" t="s">
        <v>1486</v>
      </c>
      <c r="FB52" s="2406"/>
      <c r="FC52" s="2407">
        <v>0.5</v>
      </c>
      <c r="FD52" s="2408">
        <v>0.5</v>
      </c>
      <c r="FE52" s="2409">
        <v>0.25</v>
      </c>
      <c r="FF52" s="2410">
        <v>0.125</v>
      </c>
      <c r="FG52" s="1865"/>
      <c r="FH52" s="2403"/>
      <c r="FI52" s="2553" cm="1">
        <f t="array" ref="FI52">_xlfn.IFS($FI$23=$FC$23,FC52,$FI$23=$FD$23,FD52,$FI$23=$FE$23,FE52,$FI$23=$FF$23,FF52,TRUE,FC52)</f>
        <v>0.5</v>
      </c>
      <c r="FJ52" s="1865"/>
      <c r="FL52" s="1919"/>
      <c r="FM52" s="5077" t="s">
        <v>540</v>
      </c>
      <c r="FN52" s="5075"/>
      <c r="FO52" s="5082" t="str">
        <f>IF(AND(FY52=$GQ$24,$GQ$24&lt;&gt;0),"fastest","")</f>
        <v/>
      </c>
      <c r="FP52" s="5083"/>
      <c r="FQ52" s="12"/>
      <c r="FR52" s="5073" t="str">
        <f>IF(ISERROR(FIND("[",MISSIONS!E32)),"", MID(MISSIONS!E32,SEARCH("[",MISSIONS!E32)+1,SEARCH("]",MISSIONS!E32,SEARCH("[",MISSIONS!E32)+1)-SEARCH("[",MISSIONS!E32)-1))</f>
        <v/>
      </c>
      <c r="FS52" s="5074"/>
      <c r="FT52" s="5073" t="str">
        <f>IF(FR52="","",IF(MID(FR52,2,1)="h",MID(FR52,1,1)*60,0))</f>
        <v/>
      </c>
      <c r="FU52" s="5074"/>
      <c r="FV52" s="5073" t="str" cm="1">
        <f t="array" ref="FV52">IF(FR52="","",
_xlfn.IFS(
AND(RIGHT(FR52,1)="m",LEN(FR52)=3),MID(FR52,1,2),
AND(RIGHT(FR52,1)="m",LEN(FR52)=5),MID(FR52,3,2),
AND(RIGHT(FR52,1)="m",LEN(FR52)=2),MID(FR52,1,1),
AND(RIGHT(FR52,1)="m",LEN(FR52)=4),MID(FR52,3,1),
TRUE,0)
)</f>
        <v/>
      </c>
      <c r="FW52" s="5074"/>
      <c r="FX52" s="1219"/>
      <c r="FY52" s="5078" t="str">
        <f>IF( MISSIONS!E32="","",
IF( OR(AND(MISSIONS!U32=100%,MISSIONS!U33=MISSIONS!$AK$2),FR52="",FR52="?"),"",FT52+FV52)
)</f>
        <v/>
      </c>
      <c r="FZ52" s="5079"/>
      <c r="GA52" s="1932"/>
      <c r="GB52" s="1932"/>
      <c r="GC52" s="5077" t="s">
        <v>918</v>
      </c>
      <c r="GD52" s="5075"/>
      <c r="GE52" s="5071" t="str">
        <f>IF(AND(GO52=$GQ$24,$GQ$24&lt;&gt;0),"fastest","")</f>
        <v/>
      </c>
      <c r="GF52" s="5072"/>
      <c r="GG52" s="1887"/>
      <c r="GH52" s="5073" t="str">
        <f>IF(ISERROR(FIND("[",MISSIONS!AB32)),"", MID(MISSIONS!AB32,SEARCH("[",MISSIONS!AB32)+1,SEARCH("]",MISSIONS!AB32,SEARCH("[",MISSIONS!AB32)+1)-SEARCH("[",MISSIONS!AB32)-1))</f>
        <v/>
      </c>
      <c r="GI52" s="5074"/>
      <c r="GJ52" s="5073" t="str">
        <f>IF(GH52="","",IF(MID(GH52,2,1)="h",MID(GH52,1,1)*60,0))</f>
        <v/>
      </c>
      <c r="GK52" s="5074"/>
      <c r="GL52" s="5073" t="str" cm="1">
        <f t="array" ref="GL52">IF(GH52="","",
_xlfn.IFS(
AND(RIGHT(GH52,1)="m",LEN(GH52)=3),MID(GH52,1,2),
AND(RIGHT(GH52,1)="m",LEN(GH52)=5),MID(GH52,3,2),
AND(RIGHT(GH52,1)="m",LEN(GH52)=2),MID(GH52,1,1),
AND(RIGHT(GH52,1)="m",LEN(GH52)=4),MID(GH52,3,1),
TRUE,0)
)</f>
        <v/>
      </c>
      <c r="GM52" s="5074"/>
      <c r="GN52" s="1219"/>
      <c r="GO52" s="5078" t="str">
        <f>IF( MISSIONS!AB32="", "",
IF( OR(MISSIONS!AM32&lt;&gt;"",MISSIONS!AL32=100%,GH52="",GH52="?"),"",GJ52+GL52)
)</f>
        <v/>
      </c>
      <c r="GP52" s="5079"/>
      <c r="GQ52" s="1887"/>
      <c r="GR52" s="1887"/>
      <c r="GS52" s="5077" t="s">
        <v>918</v>
      </c>
      <c r="GT52" s="5075"/>
      <c r="GU52" s="5071" t="str">
        <f>IF(AND(HE52=$GQ$24,$GQ$24&lt;&gt;0),"fastest","")</f>
        <v/>
      </c>
      <c r="GV52" s="5072"/>
      <c r="GW52" s="1887"/>
      <c r="GX52" s="5073" t="str">
        <f>IF(ISERROR(FIND("[",MISSIONS!AQ32)),"", MID(MISSIONS!AQ32,SEARCH("[",MISSIONS!AQ32)+1,SEARCH("]",MISSIONS!AQ32,SEARCH("[",MISSIONS!AQ32)+1)-SEARCH("[",MISSIONS!AQ32)-1))</f>
        <v/>
      </c>
      <c r="GY52" s="5074"/>
      <c r="GZ52" s="5073" t="str">
        <f>IF(GX52="","",IF(MID(GX52,2,1)="h",MID(GX52,1,1)*60,0))</f>
        <v/>
      </c>
      <c r="HA52" s="5074"/>
      <c r="HB52" s="5073" t="str" cm="1">
        <f t="array" ref="HB52">IF(GX52="","",
_xlfn.IFS(
AND(RIGHT(GX52,1)="m",LEN(GX52)=3),MID(GX52,1,2),
AND(RIGHT(GX52,1)="m",LEN(GX52)=5),MID(GX52,3,2),
AND(RIGHT(GX52,1)="m",LEN(GX52)=2),MID(GX52,1,1),
AND(RIGHT(GX52,1)="m",LEN(GX52)=4),MID(GX52,3,1),
TRUE,0)
)</f>
        <v/>
      </c>
      <c r="HC52" s="5074"/>
      <c r="HD52" s="1219"/>
      <c r="HE52" s="5078" t="str">
        <f>IF( MISSIONS!AQ32="", "",
IF( OR(MISSIONS!AO32&lt;&gt;"",MISSIONS!AP32=100%,GX52="",GX52="?"),"",GZ52+HB52)
)</f>
        <v/>
      </c>
      <c r="HF52" s="5079"/>
      <c r="HG52" s="1887"/>
      <c r="HH52" s="1887"/>
      <c r="HI52" s="5077" t="s">
        <v>742</v>
      </c>
      <c r="HJ52" s="5075"/>
      <c r="HK52" s="5082" t="str">
        <f>IF(AND(HU52=$GQ$24,$GQ$24&lt;&gt;0),"fastest","")</f>
        <v/>
      </c>
      <c r="HL52" s="5083"/>
      <c r="HM52" s="12"/>
      <c r="HN52" s="5073" t="str">
        <f>IF(ISERROR(FIND("[",MISSIONS!BH32)),"", MID(MISSIONS!BH32,SEARCH("[",MISSIONS!BH32)+1,SEARCH("]",MISSIONS!BH32,SEARCH("[",MISSIONS!BH32)+1)-SEARCH("[",MISSIONS!BH32)-1))</f>
        <v/>
      </c>
      <c r="HO52" s="5074"/>
      <c r="HP52" s="5073" t="str">
        <f>IF(HN52="","",IF(MID(HN52,2,1)="h",MID(HN52,1,1)*60,0))</f>
        <v/>
      </c>
      <c r="HQ52" s="5074"/>
      <c r="HR52" s="5073" t="str" cm="1">
        <f t="array" ref="HR52">IF(HN52="","",
_xlfn.IFS(
AND(RIGHT(HN52,1)="m",LEN(HN52)=3),MID(HN52,1,2),
AND(RIGHT(HN52,1)="m",LEN(HN52)=5),MID(HN52,3,2),
AND(RIGHT(HN52,1)="m",LEN(HN52)=2),MID(HN52,1,1),
AND(RIGHT(HN52,1)="m",LEN(HN52)=4),MID(HN52,3,1),
TRUE,0)
)</f>
        <v/>
      </c>
      <c r="HS52" s="5074"/>
      <c r="HT52" s="1219"/>
      <c r="HU52" s="5078" t="str">
        <f>IF( MISSIONS!BH32="", "",
IF( OR(MISSIONS!BF32&lt;&gt;"",MISSIONS!BG32=100%,HN52="",HN52="?"),"",HP52+HR52)
)</f>
        <v/>
      </c>
      <c r="HV52" s="5079"/>
      <c r="HW52" s="1887"/>
      <c r="HX52" s="1218"/>
      <c r="IC52" s="1802">
        <v>30</v>
      </c>
      <c r="ID52" s="1814" t="s">
        <v>2300</v>
      </c>
      <c r="IE52" s="1814" t="s">
        <v>621</v>
      </c>
      <c r="IF52" s="1814" t="s">
        <v>633</v>
      </c>
      <c r="IG52" s="1814" t="s">
        <v>993</v>
      </c>
      <c r="IH52" s="1814" t="s">
        <v>2069</v>
      </c>
      <c r="II52" s="1815" t="s">
        <v>2300</v>
      </c>
      <c r="IK52" s="1802">
        <v>30</v>
      </c>
      <c r="IL52" s="1815" t="s">
        <v>223</v>
      </c>
      <c r="IM52" s="1815" t="s">
        <v>197</v>
      </c>
      <c r="IN52" s="1815" t="s">
        <v>2279</v>
      </c>
      <c r="IO52" s="1815" t="s">
        <v>906</v>
      </c>
      <c r="IP52" s="1815" t="s">
        <v>2266</v>
      </c>
      <c r="IQ52" s="1815" t="s">
        <v>2263</v>
      </c>
      <c r="IR52" s="1815" t="s">
        <v>2253</v>
      </c>
      <c r="IS52" s="1815" t="s">
        <v>216</v>
      </c>
      <c r="IT52" s="1815" t="s">
        <v>2248</v>
      </c>
      <c r="IU52" s="1815" t="s">
        <v>981</v>
      </c>
      <c r="IV52" s="1815" t="s">
        <v>615</v>
      </c>
      <c r="IW52" s="1815" t="s">
        <v>627</v>
      </c>
      <c r="IX52" s="1824"/>
      <c r="IY52" s="1825"/>
      <c r="IZ52" s="1826"/>
      <c r="JA52" s="1834"/>
      <c r="JC52" s="1892"/>
      <c r="JD52" s="1868"/>
      <c r="JE52" s="1900" t="s">
        <v>2041</v>
      </c>
      <c r="JF52" s="1850">
        <f t="shared" ca="1" si="27"/>
        <v>0</v>
      </c>
      <c r="JG52" s="1900" t="s">
        <v>259</v>
      </c>
      <c r="JH52" s="1850">
        <v>698</v>
      </c>
      <c r="JI52" s="1870" t="s">
        <v>260</v>
      </c>
      <c r="JL52" s="3268">
        <v>1</v>
      </c>
      <c r="JM52" s="3269">
        <f>120*9</f>
        <v>1080</v>
      </c>
      <c r="JO52" s="2170" t="s">
        <v>2017</v>
      </c>
      <c r="JP52" s="1835" t="s">
        <v>712</v>
      </c>
      <c r="JQ52" s="2170" t="s">
        <v>2011</v>
      </c>
      <c r="JR52" s="1819" t="s">
        <v>1982</v>
      </c>
      <c r="JS52" s="2060"/>
      <c r="JT52" s="3048"/>
      <c r="JV52" s="3048"/>
      <c r="JX52" s="1822"/>
      <c r="JY52" s="1822"/>
      <c r="JZ52" s="1822"/>
      <c r="KB52" s="1822"/>
      <c r="KG52" s="1822"/>
      <c r="KH52" s="1821"/>
      <c r="KI52" s="1822"/>
      <c r="KJ52" s="1821"/>
      <c r="KK52" s="1822"/>
      <c r="KQ52" s="3074"/>
      <c r="KR52" s="3053"/>
      <c r="KS52" s="1930"/>
      <c r="KT52" s="3053"/>
      <c r="KV52" s="3048"/>
      <c r="KW52" s="3053"/>
      <c r="KX52" s="3048"/>
      <c r="KY52" s="3053"/>
    </row>
    <row r="53" spans="5:311" ht="16.5" customHeight="1" thickBot="1" x14ac:dyDescent="0.35">
      <c r="E53" s="2977" t="str">
        <f>IF(E52="SEP","OCT","APR")</f>
        <v>APR</v>
      </c>
      <c r="F53" s="2978">
        <f t="shared" si="26"/>
        <v>0</v>
      </c>
      <c r="J53" s="1898" t="str">
        <f t="shared" si="15"/>
        <v/>
      </c>
      <c r="K53" s="3312" t="str">
        <f t="shared" si="16"/>
        <v/>
      </c>
      <c r="L53" s="3381"/>
      <c r="M53" s="3382"/>
      <c r="N53" s="3382"/>
      <c r="O53" s="3382"/>
      <c r="P53" s="3382"/>
      <c r="Q53" s="3382"/>
      <c r="R53" s="3382"/>
      <c r="S53" s="3382"/>
      <c r="T53" s="3382"/>
      <c r="U53" s="3382"/>
      <c r="V53" s="1774"/>
      <c r="W53" s="3381"/>
      <c r="X53" s="3382"/>
      <c r="Y53" s="3382"/>
      <c r="Z53" s="3382"/>
      <c r="AA53" s="3382"/>
      <c r="AB53" s="3382"/>
      <c r="AC53" s="3382"/>
      <c r="AD53" s="3382"/>
      <c r="AE53" s="3382"/>
      <c r="AF53" s="3382"/>
      <c r="AH53" s="3312" t="str">
        <f t="shared" si="17"/>
        <v/>
      </c>
      <c r="AI53" s="3381"/>
      <c r="AJ53" s="3384"/>
      <c r="AK53" s="3382"/>
      <c r="AL53" s="3382"/>
      <c r="AM53" s="3382"/>
      <c r="AN53" s="3382"/>
      <c r="AO53" s="3382"/>
      <c r="AP53" s="3382"/>
      <c r="AQ53" s="3382"/>
      <c r="AR53" s="3382"/>
      <c r="AS53" s="3382"/>
      <c r="AT53" s="3213"/>
      <c r="AU53" s="3384"/>
      <c r="AV53" s="3382"/>
      <c r="AW53" s="3382"/>
      <c r="AX53" s="3382"/>
      <c r="AY53" s="3382"/>
      <c r="AZ53" s="3382"/>
      <c r="BA53" s="3382"/>
      <c r="BB53" s="3382"/>
      <c r="BC53" s="3382"/>
      <c r="BD53" s="3382"/>
      <c r="BE53" s="3311">
        <v>30</v>
      </c>
      <c r="BF53" s="1882" t="str">
        <f t="shared" si="9"/>
        <v/>
      </c>
      <c r="BG53" s="1883">
        <f t="shared" si="10"/>
        <v>0</v>
      </c>
      <c r="BH53" s="1884">
        <f t="shared" si="13"/>
        <v>0</v>
      </c>
      <c r="EB53" s="1796"/>
      <c r="EL53" s="1902"/>
      <c r="EN53" s="1885"/>
      <c r="EU53" s="1796"/>
      <c r="EV53" s="1796"/>
      <c r="EW53" s="1903"/>
      <c r="EX53" s="2403"/>
      <c r="FA53" s="1808"/>
      <c r="FC53" s="2412"/>
      <c r="FD53" s="2412"/>
      <c r="FE53" s="2412"/>
      <c r="FF53" s="2412"/>
      <c r="FG53" s="2415"/>
      <c r="FH53" s="2414"/>
      <c r="FI53" s="2554"/>
      <c r="FJ53" s="1865"/>
      <c r="FL53" s="1919"/>
      <c r="FM53" s="5075"/>
      <c r="FN53" s="5075"/>
      <c r="FO53" s="5084"/>
      <c r="FP53" s="5085"/>
      <c r="FQ53" s="12"/>
      <c r="FR53" s="5073"/>
      <c r="FS53" s="5074"/>
      <c r="FT53" s="5073"/>
      <c r="FU53" s="5074"/>
      <c r="FV53" s="5073"/>
      <c r="FW53" s="5074"/>
      <c r="FX53" s="1219"/>
      <c r="FY53" s="5080"/>
      <c r="FZ53" s="5081"/>
      <c r="GA53" s="1932"/>
      <c r="GB53" s="1932"/>
      <c r="GC53" s="5075"/>
      <c r="GD53" s="5075"/>
      <c r="GE53" s="5071"/>
      <c r="GF53" s="5072"/>
      <c r="GG53" s="1887"/>
      <c r="GH53" s="5073"/>
      <c r="GI53" s="5074"/>
      <c r="GJ53" s="5073"/>
      <c r="GK53" s="5074"/>
      <c r="GL53" s="5073"/>
      <c r="GM53" s="5074"/>
      <c r="GN53" s="1219"/>
      <c r="GO53" s="5080"/>
      <c r="GP53" s="5081"/>
      <c r="GQ53" s="1887"/>
      <c r="GR53" s="1887"/>
      <c r="GS53" s="5075"/>
      <c r="GT53" s="5075"/>
      <c r="GU53" s="5071"/>
      <c r="GV53" s="5072"/>
      <c r="GW53" s="1887"/>
      <c r="GX53" s="5073"/>
      <c r="GY53" s="5074"/>
      <c r="GZ53" s="5073"/>
      <c r="HA53" s="5074"/>
      <c r="HB53" s="5073"/>
      <c r="HC53" s="5074"/>
      <c r="HD53" s="1219"/>
      <c r="HE53" s="5080"/>
      <c r="HF53" s="5081"/>
      <c r="HG53" s="1887"/>
      <c r="HH53" s="1887"/>
      <c r="HI53" s="5075"/>
      <c r="HJ53" s="5075"/>
      <c r="HK53" s="5084"/>
      <c r="HL53" s="5085"/>
      <c r="HM53" s="12"/>
      <c r="HN53" s="5073"/>
      <c r="HO53" s="5074"/>
      <c r="HP53" s="5073"/>
      <c r="HQ53" s="5074"/>
      <c r="HR53" s="5073"/>
      <c r="HS53" s="5074"/>
      <c r="HT53" s="1219"/>
      <c r="HU53" s="5080"/>
      <c r="HV53" s="5081"/>
      <c r="HW53" s="1887"/>
      <c r="HX53" s="1218"/>
      <c r="IC53" s="1802">
        <v>31</v>
      </c>
      <c r="ID53" s="1814" t="s">
        <v>2301</v>
      </c>
      <c r="IE53" s="1814" t="s">
        <v>622</v>
      </c>
      <c r="IF53" s="1814" t="s">
        <v>658</v>
      </c>
      <c r="IG53" s="1814" t="s">
        <v>992</v>
      </c>
      <c r="IH53" s="1814" t="s">
        <v>2320</v>
      </c>
      <c r="II53" s="1815" t="s">
        <v>2301</v>
      </c>
      <c r="IK53" s="1802">
        <v>31</v>
      </c>
      <c r="IL53" s="1815" t="s">
        <v>2381</v>
      </c>
      <c r="IM53" s="1815" t="s">
        <v>2382</v>
      </c>
      <c r="IN53" s="1815" t="s">
        <v>2383</v>
      </c>
      <c r="IO53" s="1815" t="s">
        <v>2384</v>
      </c>
      <c r="IP53" s="1815" t="s">
        <v>2385</v>
      </c>
      <c r="IQ53" s="1815" t="s">
        <v>2386</v>
      </c>
      <c r="IR53" s="1815" t="s">
        <v>2387</v>
      </c>
      <c r="IS53" s="1815" t="s">
        <v>2389</v>
      </c>
      <c r="IT53" s="1815" t="s">
        <v>2407</v>
      </c>
      <c r="IU53" s="1815" t="s">
        <v>2434</v>
      </c>
      <c r="IV53" s="1815" t="s">
        <v>2391</v>
      </c>
      <c r="IW53" s="1815" t="s">
        <v>2392</v>
      </c>
      <c r="IX53" s="1824"/>
      <c r="IY53" s="1904"/>
      <c r="IZ53" s="1907"/>
      <c r="JA53" s="1908"/>
      <c r="JC53" s="1892"/>
      <c r="JD53" s="1868"/>
      <c r="JE53" s="1900" t="s">
        <v>2042</v>
      </c>
      <c r="JF53" s="1850">
        <f t="shared" ca="1" si="27"/>
        <v>0</v>
      </c>
      <c r="JG53" s="1900" t="s">
        <v>262</v>
      </c>
      <c r="JH53" s="1850">
        <v>505</v>
      </c>
      <c r="JI53" s="1901"/>
      <c r="JL53" s="3268">
        <v>1</v>
      </c>
      <c r="JM53" s="3269">
        <f>120*9</f>
        <v>1080</v>
      </c>
      <c r="JO53" s="2170" t="s">
        <v>2016</v>
      </c>
      <c r="JP53" s="1832" t="s">
        <v>707</v>
      </c>
      <c r="JQ53" s="2170" t="s">
        <v>1368</v>
      </c>
      <c r="JR53" s="1819" t="s">
        <v>382</v>
      </c>
      <c r="JS53" s="2060"/>
      <c r="JT53" s="3048"/>
      <c r="JV53" s="3048"/>
      <c r="JX53" s="1851"/>
      <c r="JY53" s="1822"/>
      <c r="JZ53" s="1851"/>
      <c r="KB53" s="1851"/>
      <c r="KG53" s="1822"/>
      <c r="KH53" s="1821"/>
      <c r="KI53" s="1822"/>
      <c r="KJ53" s="1821"/>
      <c r="KK53" s="1822"/>
      <c r="KQ53" s="3074"/>
      <c r="KR53" s="3053"/>
      <c r="KS53" s="1930"/>
      <c r="KT53" s="3053"/>
      <c r="KV53" s="3048"/>
      <c r="KW53" s="3053"/>
      <c r="KX53" s="3048"/>
      <c r="KY53" s="3053"/>
    </row>
    <row r="54" spans="5:311" ht="17.100000000000001" customHeight="1" thickBot="1" x14ac:dyDescent="0.35">
      <c r="E54" s="2977" t="str">
        <f>IF(E53="OCT","NOV","MAY")</f>
        <v>MAY</v>
      </c>
      <c r="F54" s="2978">
        <f t="shared" si="26"/>
        <v>0</v>
      </c>
      <c r="J54" s="1898" t="str">
        <f t="shared" si="15"/>
        <v/>
      </c>
      <c r="K54" s="3312" t="str">
        <f t="shared" si="16"/>
        <v/>
      </c>
      <c r="L54" s="3381"/>
      <c r="M54" s="3382"/>
      <c r="N54" s="3382"/>
      <c r="O54" s="3382"/>
      <c r="P54" s="3382"/>
      <c r="Q54" s="3382"/>
      <c r="R54" s="3382"/>
      <c r="S54" s="3382"/>
      <c r="T54" s="3382"/>
      <c r="U54" s="3382"/>
      <c r="V54" s="1774"/>
      <c r="W54" s="3381"/>
      <c r="X54" s="3382"/>
      <c r="Y54" s="3382"/>
      <c r="Z54" s="3382"/>
      <c r="AA54" s="3382"/>
      <c r="AB54" s="3382"/>
      <c r="AC54" s="3382"/>
      <c r="AD54" s="3382"/>
      <c r="AE54" s="3382"/>
      <c r="AF54" s="3382"/>
      <c r="AH54" s="3312" t="str">
        <f t="shared" si="17"/>
        <v/>
      </c>
      <c r="AI54" s="3381"/>
      <c r="AJ54" s="3384"/>
      <c r="AK54" s="3382"/>
      <c r="AL54" s="3382"/>
      <c r="AM54" s="3382"/>
      <c r="AN54" s="3382"/>
      <c r="AO54" s="3382"/>
      <c r="AP54" s="3382"/>
      <c r="AQ54" s="3382"/>
      <c r="AR54" s="3382"/>
      <c r="AS54" s="3382"/>
      <c r="AT54" s="3213"/>
      <c r="AU54" s="3384"/>
      <c r="AV54" s="3382"/>
      <c r="AW54" s="3382"/>
      <c r="AX54" s="3382"/>
      <c r="AY54" s="3382"/>
      <c r="AZ54" s="3382"/>
      <c r="BA54" s="3382"/>
      <c r="BB54" s="3382"/>
      <c r="BC54" s="3382"/>
      <c r="BD54" s="3382"/>
      <c r="BE54" s="3311">
        <v>31</v>
      </c>
      <c r="BF54" s="1882" t="str">
        <f t="shared" si="9"/>
        <v/>
      </c>
      <c r="BG54" s="1883">
        <f t="shared" si="10"/>
        <v>0</v>
      </c>
      <c r="BH54" s="1884">
        <f t="shared" si="13"/>
        <v>0</v>
      </c>
      <c r="EB54" s="1782"/>
      <c r="EC54" s="1773" t="str">
        <f>ACTIONS!$C$34</f>
        <v>MND1</v>
      </c>
      <c r="ED54" s="1773" t="str">
        <f>ACTIONS!$D$34</f>
        <v>MND2</v>
      </c>
      <c r="EE54" s="1773" t="str">
        <f>ACTIONS!$E$34</f>
        <v>MND3</v>
      </c>
      <c r="EF54" s="1773" t="str">
        <f>ACTIONS!$F$34</f>
        <v>MND4</v>
      </c>
      <c r="EG54" s="1773" t="str">
        <f>ACTIONS!$G$34</f>
        <v>MND5</v>
      </c>
      <c r="EH54" s="1773" t="str">
        <f>ACTIONS!$H$34</f>
        <v>MND6</v>
      </c>
      <c r="EI54" s="1773" t="str">
        <f>ACTIONS!$I$34</f>
        <v>MND7</v>
      </c>
      <c r="EJ54" s="1773" t="str">
        <f>ACTIONS!$J$34</f>
        <v>MND8</v>
      </c>
      <c r="EK54" s="1773" t="str">
        <f>ACTIONS!$K$34</f>
        <v>MND9</v>
      </c>
      <c r="EM54" s="1782"/>
      <c r="EN54" s="1773" t="str">
        <f>ACTIONS!$BQ$34</f>
        <v>BDY1</v>
      </c>
      <c r="EO54" s="1773" t="str">
        <f>ACTIONS!$BR$34</f>
        <v>BDY2</v>
      </c>
      <c r="EP54" s="1773" t="str">
        <f>ACTIONS!$BS$34</f>
        <v>BDY3</v>
      </c>
      <c r="EQ54" s="1773" t="str">
        <f>ACTIONS!$BT$34</f>
        <v>BDY4</v>
      </c>
      <c r="ER54" s="1773" t="str">
        <f>ACTIONS!$BU$34</f>
        <v>BDY5</v>
      </c>
      <c r="ES54" s="1773" t="str">
        <f>ACTIONS!$BV$34</f>
        <v>BDY6</v>
      </c>
      <c r="ET54" s="1773" t="str">
        <f>ACTIONS!$BW$34</f>
        <v>BDY7</v>
      </c>
      <c r="EU54" s="1773" t="str">
        <f>ACTIONS!$BX$34</f>
        <v>BDY8</v>
      </c>
      <c r="EV54" s="1773" t="str">
        <f>ACTIONS!$BY$34</f>
        <v>BDY9</v>
      </c>
      <c r="EW54" s="1903"/>
      <c r="EX54" s="2403"/>
      <c r="EY54" s="2406"/>
      <c r="EZ54" s="2406"/>
      <c r="FA54" s="1813" t="s">
        <v>1497</v>
      </c>
      <c r="FB54" s="2406"/>
      <c r="FC54" s="2407">
        <v>0.125</v>
      </c>
      <c r="FD54" s="2408">
        <v>0</v>
      </c>
      <c r="FE54" s="2409">
        <v>0</v>
      </c>
      <c r="FF54" s="2410">
        <v>0</v>
      </c>
      <c r="FG54" s="1865"/>
      <c r="FH54" s="2403"/>
      <c r="FI54" s="2553" cm="1">
        <f t="array" ref="FI54">_xlfn.IFS($FI$23=$FC$23,FC54,$FI$23=$FD$23,FD54,$FI$23=$FE$23,FE54,$FI$23=$FF$23,FF54,TRUE,FC54)</f>
        <v>0.125</v>
      </c>
      <c r="FJ54" s="1865"/>
      <c r="FL54" s="1919"/>
      <c r="FM54" s="5077" t="s">
        <v>541</v>
      </c>
      <c r="FN54" s="5075"/>
      <c r="FO54" s="5082" t="str">
        <f>IF(AND(FY54=$GQ$24,$GQ$24&lt;&gt;0),"fastest","")</f>
        <v/>
      </c>
      <c r="FP54" s="5083"/>
      <c r="FQ54" s="12"/>
      <c r="FR54" s="5073" t="str">
        <f>IF(ISERROR(FIND("[",MISSIONS!E34)),"", MID(MISSIONS!E34,SEARCH("[",MISSIONS!E34)+1,SEARCH("]",MISSIONS!E34,SEARCH("[",MISSIONS!E34)+1)-SEARCH("[",MISSIONS!E34)-1))</f>
        <v/>
      </c>
      <c r="FS54" s="5074"/>
      <c r="FT54" s="5073" t="str">
        <f>IF(FR54="","",IF(MID(FR54,2,1)="h",MID(FR54,1,1)*60,0))</f>
        <v/>
      </c>
      <c r="FU54" s="5074"/>
      <c r="FV54" s="5073" t="str" cm="1">
        <f t="array" ref="FV54">IF(FR54="","",
_xlfn.IFS(
AND(RIGHT(FR54,1)="m",LEN(FR54)=3),MID(FR54,1,2),
AND(RIGHT(FR54,1)="m",LEN(FR54)=5),MID(FR54,3,2),
AND(RIGHT(FR54,1)="m",LEN(FR54)=2),MID(FR54,1,1),
AND(RIGHT(FR54,1)="m",LEN(FR54)=4),MID(FR54,3,1),
TRUE,0)
)</f>
        <v/>
      </c>
      <c r="FW54" s="5074"/>
      <c r="FX54" s="1219"/>
      <c r="FY54" s="5078" t="str">
        <f>IF( MISSIONS!E34="","",
IF( OR(AND(MISSIONS!U34=100%,MISSIONS!U35=MISSIONS!$AK$2),FR54="",FR54="?"),"",FT54+FV54)
)</f>
        <v/>
      </c>
      <c r="FZ54" s="5079"/>
      <c r="GA54" s="1932"/>
      <c r="GB54" s="1932"/>
      <c r="GC54" s="5077" t="s">
        <v>919</v>
      </c>
      <c r="GD54" s="5075"/>
      <c r="GE54" s="5071" t="str">
        <f>IF(AND(GO54=$GQ$24,$GQ$24&lt;&gt;0),"fastest","")</f>
        <v/>
      </c>
      <c r="GF54" s="5072"/>
      <c r="GG54" s="1887"/>
      <c r="GH54" s="5073" t="str">
        <f>IF(ISERROR(FIND("[",MISSIONS!AB34)),"", MID(MISSIONS!AB34,SEARCH("[",MISSIONS!AB34)+1,SEARCH("]",MISSIONS!AB34,SEARCH("[",MISSIONS!AB34)+1)-SEARCH("[",MISSIONS!AB34)-1))</f>
        <v/>
      </c>
      <c r="GI54" s="5074"/>
      <c r="GJ54" s="5073" t="str">
        <f>IF(GH54="","",IF(MID(GH54,2,1)="h",MID(GH54,1,1)*60,0))</f>
        <v/>
      </c>
      <c r="GK54" s="5074"/>
      <c r="GL54" s="5073" t="str" cm="1">
        <f t="array" ref="GL54">IF(GH54="","",
_xlfn.IFS(
AND(RIGHT(GH54,1)="m",LEN(GH54)=3),MID(GH54,1,2),
AND(RIGHT(GH54,1)="m",LEN(GH54)=5),MID(GH54,3,2),
AND(RIGHT(GH54,1)="m",LEN(GH54)=2),MID(GH54,1,1),
AND(RIGHT(GH54,1)="m",LEN(GH54)=4),MID(GH54,3,1),
TRUE,0)
)</f>
        <v/>
      </c>
      <c r="GM54" s="5074"/>
      <c r="GN54" s="1219"/>
      <c r="GO54" s="5078" t="str">
        <f>IF( MISSIONS!AB34="", "",
IF( OR(MISSIONS!AM34&lt;&gt;"",MISSIONS!AL34=100%,GH54="",GH54="?"),"",GJ54+GL54)
)</f>
        <v/>
      </c>
      <c r="GP54" s="5079"/>
      <c r="GQ54" s="1887"/>
      <c r="GR54" s="1887"/>
      <c r="GS54" s="5077" t="s">
        <v>919</v>
      </c>
      <c r="GT54" s="5075"/>
      <c r="GU54" s="5071" t="str">
        <f>IF(AND(HE54=$GQ$24,$GQ$24&lt;&gt;0),"fastest","")</f>
        <v/>
      </c>
      <c r="GV54" s="5072"/>
      <c r="GW54" s="1887"/>
      <c r="GX54" s="5073" t="str">
        <f>IF(ISERROR(FIND("[",MISSIONS!AQ34)),"", MID(MISSIONS!AQ34,SEARCH("[",MISSIONS!AQ34)+1,SEARCH("]",MISSIONS!AQ34,SEARCH("[",MISSIONS!AQ34)+1)-SEARCH("[",MISSIONS!AQ34)-1))</f>
        <v/>
      </c>
      <c r="GY54" s="5074"/>
      <c r="GZ54" s="5073" t="str">
        <f>IF(GX54="","",IF(MID(GX54,2,1)="h",MID(GX54,1,1)*60,0))</f>
        <v/>
      </c>
      <c r="HA54" s="5074"/>
      <c r="HB54" s="5073" t="str" cm="1">
        <f t="array" ref="HB54">IF(GX54="","",
_xlfn.IFS(
AND(RIGHT(GX54,1)="m",LEN(GX54)=3),MID(GX54,1,2),
AND(RIGHT(GX54,1)="m",LEN(GX54)=5),MID(GX54,3,2),
AND(RIGHT(GX54,1)="m",LEN(GX54)=2),MID(GX54,1,1),
AND(RIGHT(GX54,1)="m",LEN(GX54)=4),MID(GX54,3,1),
TRUE,0)
)</f>
        <v/>
      </c>
      <c r="HC54" s="5074"/>
      <c r="HD54" s="1219"/>
      <c r="HE54" s="5078" t="str">
        <f>IF( MISSIONS!AQ34="", "",
IF( OR(MISSIONS!AO34&lt;&gt;"",MISSIONS!AP34=100%,GX54="",GX54="?"),"",GZ54+HB54)
)</f>
        <v/>
      </c>
      <c r="HF54" s="5079"/>
      <c r="HG54" s="1887"/>
      <c r="HH54" s="1887"/>
      <c r="HI54" s="5077" t="s">
        <v>743</v>
      </c>
      <c r="HJ54" s="5075"/>
      <c r="HK54" s="5082" t="str">
        <f>IF(AND(HU54=$GQ$24,$GQ$24&lt;&gt;0),"fastest","")</f>
        <v/>
      </c>
      <c r="HL54" s="5083"/>
      <c r="HM54" s="12"/>
      <c r="HN54" s="5073" t="str">
        <f>IF(ISERROR(FIND("[",MISSIONS!BH34)),"", MID(MISSIONS!BH34,SEARCH("[",MISSIONS!BH34)+1,SEARCH("]",MISSIONS!BH34,SEARCH("[",MISSIONS!BH34)+1)-SEARCH("[",MISSIONS!BH34)-1))</f>
        <v/>
      </c>
      <c r="HO54" s="5074"/>
      <c r="HP54" s="5073" t="str">
        <f>IF(HN54="","",IF(MID(HN54,2,1)="h",MID(HN54,1,1)*60,0))</f>
        <v/>
      </c>
      <c r="HQ54" s="5074"/>
      <c r="HR54" s="5073" t="str" cm="1">
        <f t="array" ref="HR54">IF(HN54="","",
_xlfn.IFS(
AND(RIGHT(HN54,1)="m",LEN(HN54)=3),MID(HN54,1,2),
AND(RIGHT(HN54,1)="m",LEN(HN54)=5),MID(HN54,3,2),
AND(RIGHT(HN54,1)="m",LEN(HN54)=2),MID(HN54,1,1),
AND(RIGHT(HN54,1)="m",LEN(HN54)=4),MID(HN54,3,1),
TRUE,0)
)</f>
        <v/>
      </c>
      <c r="HS54" s="5074"/>
      <c r="HT54" s="1219"/>
      <c r="HU54" s="5078" t="str">
        <f>IF( MISSIONS!BH34="", "",
IF( OR(MISSIONS!BF34&lt;&gt;"",MISSIONS!BG34=100%,HN54="",HN54="?"),"",HP54+HR54)
)</f>
        <v/>
      </c>
      <c r="HV54" s="5079"/>
      <c r="HW54" s="1887"/>
      <c r="HX54" s="1218"/>
      <c r="HY54" s="1909"/>
      <c r="HZ54" s="1909"/>
      <c r="IB54" s="1808" t="s">
        <v>278</v>
      </c>
      <c r="IC54" s="1782">
        <v>32</v>
      </c>
      <c r="ID54" s="1910" t="str">
        <f>IF(ACTIONS!$AF$155="",ID53,ACTIONS!$AF$155)</f>
        <v>"When your sparring partner scratches or head-butts you, you don’t make a show of it, or protest, or view him with suspicion or as plotting against you. And yet you keep an eye on him, not as an enemy or with suspicion, but with a healthy avoidance. You should act this way with all things in life. We should give a pass to many things with our fellow trainees. For, as I’ve said, it’s possible to avoid without suspicion or hate."
Marcus Aurelius</v>
      </c>
      <c r="IE54" s="1910" t="str">
        <f>IF(ACTIONS!$AF$169="",IE53,ACTIONS!$AF$169)</f>
        <v>"Your depression is not a malfunction. It's a signal. Your depression is a signal. It's telling you something. We feel this way for reasons, and they can be hard to see in the throes of depression ... the very first step, is we have to stop insulting these signals, by saying they're a sign of weakness, or madness or purely biological ... It's only when we truly listen to these signals, and we honour these signals and respect these signals, that we're going to begin to see the liberating, nourishing, deeper solutions."
Johann Hari</v>
      </c>
      <c r="IF54" s="1910" t="str">
        <f>IF(ACTIONS!$AF$183="",IF53,ACTIONS!$AF$183)</f>
        <v>"Your hidden power is your ability to use reason and make choices, however limited or small. Think about the areas of your life where you are under duress or weighed down by obligation. What are the choices available to you, day after day? You might be surprised at how many there actually are. Are you taking advantage? Are you finding the positives?"
Ryan Holiday</v>
      </c>
      <c r="IG54" s="1910" t="str">
        <f>IF(ACTIONS!$AF$155="",IG53,ACTIONS!$AF$155)</f>
        <v>"Your brain doesn't know the difference between something you vividly imagine and actually experience in reality... Be as if. Be as if you are that person already. ... If it feels fake, it's just because you're at the start. So if you just 'be as if' and stay on that path, eventually you start to merge in and you are that person. And that whole realness of when it actually happened is an illusion. In other words, it's a gradual moving and attracting towards. It's not just a flip a switch and then it happens."
Clark Kegley</v>
      </c>
      <c r="IH54" s="1910" t="str">
        <f>IF(ACTIONS!$AF$169="",IH53,ACTIONS!$AF$169)</f>
        <v>"What we have forgotten is that thoughts and words are conventions, and that it is fatal to take conventions too seriously. A convention is a social convenience, as, for example, money ... but it is absurd to take money too seriously, to confuse it with real wealth ... In somewhat the same way, thoughts, ideas and words are 'coins' for real things."
Alan Watts</v>
      </c>
      <c r="II54" s="1910" t="str">
        <f>IF(ACTIONS!$AF$183="",II53,ACTIONS!$AF$183)</f>
        <v>"When your sparring partner scratches or head-butts you, you don’t make a show of it, or protest, or view him with suspicion or as plotting against you. And yet you keep an eye on him, not as an enemy or with suspicion, but with a healthy avoidance. You should act this way with all things in life. We should give a pass to many things with our fellow trainees. For, as I’ve said, it’s possible to avoid without suspicion or hate."
Marcus Aurelius</v>
      </c>
      <c r="IJ54" s="1770" t="s">
        <v>128</v>
      </c>
      <c r="IK54" s="1782">
        <v>32</v>
      </c>
      <c r="IL54" s="1910" t="str">
        <f>IF(ACTIONS!$O$155="",IL53,ACTIONS!$O$155)</f>
        <v>"I know nothing with any certainty, but the sight of the stars makes me dream."
Vincent Van Gogh</v>
      </c>
      <c r="IM54" s="1910" t="str">
        <f>IF(ACTIONS!$O$162="",IM53,ACTIONS!$O$162)</f>
        <v>"Only those who have overcome their fears will truly be free."
Aristotle</v>
      </c>
      <c r="IN54" s="1910" t="str">
        <f>IF(ACTIONS!$O$169="",IN53,ACTIONS!$O$169)</f>
        <v>"Skiing is my favorite sport, because it’s the only sport that is actually better to watch the worse the person is at it."
Demetri Martin</v>
      </c>
      <c r="IO54" s="1910" t="str">
        <f>IF(ACTIONS!$O$176="",IO53,ACTIONS!$O$176)</f>
        <v>"Graffiti’s the most passionate literature there is. It’s always like, ‘U2 Rocks!’ or ‘Bush sucks!’ I want to make indifferent graffiti: ‘Toy Story 2 was okay!’ or ‘This is a bridge!’"
Demetri Martin</v>
      </c>
      <c r="IP54" s="1910" t="str">
        <f>IF(ACTIONS!$O$183="",IP53,ACTIONS!$O$183)</f>
        <v>"It seems like there’s a fine line between having a pet and having a hostage from a different species. You go to somebody’s house: ‘Close the door, he’ll get out! Close the door, he’ll get out!’"
Demetri Martin</v>
      </c>
      <c r="IQ54" s="1910" t="str">
        <f>IF(ACTIONS!$O$190="",IQ53,ACTIONS!$O$190)</f>
        <v>"A treehouse is really insensitive. That’s like killing something and then making one of its friends hold it."
Demetri Martin</v>
      </c>
      <c r="IR54" s="1910" t="str">
        <f>IF(ACTIONS!$AX$155="",IR53,ACTIONS!$AX$155)</f>
        <v>"The worst time to have a heart attack is during a game of charades — especially if your teammates are bad."
Demetri Martin</v>
      </c>
      <c r="IS54" s="1910" t="str">
        <f>IF(ACTIONS!$AX$162="",IS53,ACTIONS!$AX$162)</f>
        <v>"Swimming is a confusing sport, because sometimes you do it for fun, and other times you do it to not die."
Demetri Martin</v>
      </c>
      <c r="IT54" s="1910" t="str">
        <f>IF(ACTIONS!$AX$169="",IT53,ACTIONS!$AX$169)</f>
        <v>"Insanity is doing the same thing over and over again but expecting different results."
Unknown</v>
      </c>
      <c r="IU54" s="1910" t="str">
        <f>IF(ACTIONS!$AX$176="",IU53,ACTIONS!$AX$176)</f>
        <v>"You're either a really good cliff diver or stuff on a rock."
Norm McDonald</v>
      </c>
      <c r="IV54" s="1910" t="str">
        <f>IF(ACTIONS!$AX$183="",IV53,ACTIONS!$AX$183)</f>
        <v>"When I was in school the teachers told me practice makes perfect; then they told me nobody’s perfect so I stopped practicing."
Steven Wright</v>
      </c>
      <c r="IW54" s="1910" t="str">
        <f>IF(ACTIONS!$AX$190="",IW53,ACTIONS!$AX$190)</f>
        <v>"I wear a necklace, cause I wanna know when I'm upside down."
Mitch Hedberg</v>
      </c>
      <c r="IX54" s="1911"/>
      <c r="JC54" s="1892"/>
      <c r="JD54" s="1868"/>
      <c r="JE54" s="1900" t="s">
        <v>264</v>
      </c>
      <c r="JF54" s="1850">
        <f t="shared" ca="1" si="27"/>
        <v>0</v>
      </c>
      <c r="JG54" s="1900" t="s">
        <v>265</v>
      </c>
      <c r="JH54" s="1850">
        <v>2088</v>
      </c>
      <c r="JI54" s="1901"/>
      <c r="JL54" s="3270">
        <f>JOURNEY!$AS$56</f>
        <v>0</v>
      </c>
      <c r="JM54" s="3269">
        <f>10*500</f>
        <v>5000</v>
      </c>
      <c r="JO54" s="2170" t="s">
        <v>2017</v>
      </c>
      <c r="JP54" s="1819" t="s">
        <v>713</v>
      </c>
      <c r="JQ54" s="2170" t="s">
        <v>2021</v>
      </c>
      <c r="JR54" s="1819" t="s">
        <v>1983</v>
      </c>
      <c r="JS54" s="2060"/>
      <c r="JT54" s="3048"/>
      <c r="JV54" s="3048"/>
      <c r="KG54" s="1822"/>
      <c r="KH54" s="1821"/>
      <c r="KI54" s="1822"/>
      <c r="KJ54" s="1821"/>
      <c r="KK54" s="1822"/>
      <c r="KQ54" s="1930"/>
      <c r="KR54" s="3053"/>
      <c r="KS54" s="1930"/>
      <c r="KT54" s="3053"/>
      <c r="KV54" s="3048"/>
      <c r="KW54" s="3053"/>
      <c r="KX54" s="3048"/>
      <c r="KY54" s="3053"/>
    </row>
    <row r="55" spans="5:311" ht="17.100000000000001" customHeight="1" thickBot="1" x14ac:dyDescent="0.35">
      <c r="J55" s="1898" t="str">
        <f t="shared" si="15"/>
        <v/>
      </c>
      <c r="K55" s="3312" t="str">
        <f t="shared" si="16"/>
        <v/>
      </c>
      <c r="L55" s="3381"/>
      <c r="M55" s="3382"/>
      <c r="N55" s="3382"/>
      <c r="O55" s="3382"/>
      <c r="P55" s="3382"/>
      <c r="Q55" s="3382"/>
      <c r="R55" s="3382"/>
      <c r="S55" s="3382"/>
      <c r="T55" s="3382"/>
      <c r="U55" s="3382"/>
      <c r="V55" s="1774"/>
      <c r="W55" s="3381"/>
      <c r="X55" s="3382"/>
      <c r="Y55" s="3382"/>
      <c r="Z55" s="3382"/>
      <c r="AA55" s="3382"/>
      <c r="AB55" s="3382"/>
      <c r="AC55" s="3382"/>
      <c r="AD55" s="3382"/>
      <c r="AE55" s="3382"/>
      <c r="AF55" s="3382"/>
      <c r="AH55" s="3312" t="str">
        <f t="shared" si="17"/>
        <v/>
      </c>
      <c r="AI55" s="3381"/>
      <c r="AJ55" s="3384"/>
      <c r="AK55" s="3382"/>
      <c r="AL55" s="3382"/>
      <c r="AM55" s="3382"/>
      <c r="AN55" s="3382"/>
      <c r="AO55" s="3382"/>
      <c r="AP55" s="3382"/>
      <c r="AQ55" s="3382"/>
      <c r="AR55" s="3382"/>
      <c r="AS55" s="3382"/>
      <c r="AT55" s="3213"/>
      <c r="AU55" s="3384"/>
      <c r="AV55" s="3382"/>
      <c r="AW55" s="3382"/>
      <c r="AX55" s="3382"/>
      <c r="AY55" s="3382"/>
      <c r="AZ55" s="3382"/>
      <c r="BA55" s="3382"/>
      <c r="BB55" s="3382"/>
      <c r="BC55" s="3382"/>
      <c r="BD55" s="3382"/>
      <c r="BE55" s="3311">
        <v>32</v>
      </c>
      <c r="BF55" s="1882" t="str">
        <f t="shared" si="9"/>
        <v/>
      </c>
      <c r="BG55" s="1883">
        <f t="shared" si="10"/>
        <v>0</v>
      </c>
      <c r="BH55" s="1884">
        <f t="shared" si="13"/>
        <v>0</v>
      </c>
      <c r="EB55" s="1773" t="str">
        <f>MISSIONS!$AK$2 &amp; " TOTAL"</f>
        <v>MTH TOTAL</v>
      </c>
      <c r="EC55" s="1912">
        <f t="shared" ref="EC55:EK55" si="28">SUM(EC22:EC52)</f>
        <v>0</v>
      </c>
      <c r="ED55" s="1912">
        <f t="shared" si="28"/>
        <v>0</v>
      </c>
      <c r="EE55" s="1912">
        <f t="shared" si="28"/>
        <v>0</v>
      </c>
      <c r="EF55" s="1912">
        <f t="shared" si="28"/>
        <v>0</v>
      </c>
      <c r="EG55" s="1912">
        <f t="shared" si="28"/>
        <v>0</v>
      </c>
      <c r="EH55" s="1912">
        <f t="shared" si="28"/>
        <v>0</v>
      </c>
      <c r="EI55" s="1912">
        <f t="shared" si="28"/>
        <v>0</v>
      </c>
      <c r="EJ55" s="1912">
        <f t="shared" si="28"/>
        <v>0</v>
      </c>
      <c r="EK55" s="1912">
        <f t="shared" si="28"/>
        <v>0</v>
      </c>
      <c r="EM55" s="1773" t="str">
        <f>MISSIONS!$AK$2 &amp; " TOTAL"</f>
        <v>MTH TOTAL</v>
      </c>
      <c r="EN55" s="1913">
        <f t="shared" ref="EN55:EV55" si="29">SUM(EN22:EN52)</f>
        <v>0</v>
      </c>
      <c r="EO55" s="1913">
        <f t="shared" si="29"/>
        <v>0</v>
      </c>
      <c r="EP55" s="1913">
        <f t="shared" si="29"/>
        <v>0</v>
      </c>
      <c r="EQ55" s="1913">
        <f t="shared" si="29"/>
        <v>0</v>
      </c>
      <c r="ER55" s="1913">
        <f t="shared" si="29"/>
        <v>0</v>
      </c>
      <c r="ES55" s="1913">
        <f t="shared" si="29"/>
        <v>0</v>
      </c>
      <c r="ET55" s="1913">
        <f t="shared" si="29"/>
        <v>0</v>
      </c>
      <c r="EU55" s="1913">
        <f t="shared" si="29"/>
        <v>0</v>
      </c>
      <c r="EV55" s="1913">
        <f t="shared" si="29"/>
        <v>0</v>
      </c>
      <c r="EW55" s="1903"/>
      <c r="EX55" s="2403"/>
      <c r="EY55" s="2406"/>
      <c r="EZ55" s="2406"/>
      <c r="FA55" s="1813" t="s">
        <v>1498</v>
      </c>
      <c r="FB55" s="2406"/>
      <c r="FC55" s="2407">
        <v>0.25</v>
      </c>
      <c r="FD55" s="2408">
        <v>0.125</v>
      </c>
      <c r="FE55" s="2409">
        <v>0</v>
      </c>
      <c r="FF55" s="2410">
        <v>0</v>
      </c>
      <c r="FG55" s="1865"/>
      <c r="FH55" s="2403"/>
      <c r="FI55" s="2553" cm="1">
        <f t="array" ref="FI55">_xlfn.IFS($FI$23=$FC$23,FC55,$FI$23=$FD$23,FD55,$FI$23=$FE$23,FE55,$FI$23=$FF$23,FF55,TRUE,FC55)</f>
        <v>0.25</v>
      </c>
      <c r="FJ55" s="1865"/>
      <c r="FL55" s="1919"/>
      <c r="FM55" s="5075"/>
      <c r="FN55" s="5075"/>
      <c r="FO55" s="5084"/>
      <c r="FP55" s="5085"/>
      <c r="FQ55" s="12"/>
      <c r="FR55" s="5073"/>
      <c r="FS55" s="5074"/>
      <c r="FT55" s="5073"/>
      <c r="FU55" s="5074"/>
      <c r="FV55" s="5073"/>
      <c r="FW55" s="5074"/>
      <c r="FX55" s="1219"/>
      <c r="FY55" s="5080"/>
      <c r="FZ55" s="5081"/>
      <c r="GA55" s="1932"/>
      <c r="GB55" s="1932"/>
      <c r="GC55" s="5075"/>
      <c r="GD55" s="5075"/>
      <c r="GE55" s="5071"/>
      <c r="GF55" s="5072"/>
      <c r="GG55" s="1887"/>
      <c r="GH55" s="5073"/>
      <c r="GI55" s="5074"/>
      <c r="GJ55" s="5073"/>
      <c r="GK55" s="5074"/>
      <c r="GL55" s="5073"/>
      <c r="GM55" s="5074"/>
      <c r="GN55" s="1219"/>
      <c r="GO55" s="5080"/>
      <c r="GP55" s="5081"/>
      <c r="GQ55" s="1887"/>
      <c r="GR55" s="1887"/>
      <c r="GS55" s="5075"/>
      <c r="GT55" s="5075"/>
      <c r="GU55" s="5071"/>
      <c r="GV55" s="5072"/>
      <c r="GW55" s="1887"/>
      <c r="GX55" s="5073"/>
      <c r="GY55" s="5074"/>
      <c r="GZ55" s="5073"/>
      <c r="HA55" s="5074"/>
      <c r="HB55" s="5073"/>
      <c r="HC55" s="5074"/>
      <c r="HD55" s="1219"/>
      <c r="HE55" s="5080"/>
      <c r="HF55" s="5081"/>
      <c r="HG55" s="1887"/>
      <c r="HH55" s="1887"/>
      <c r="HI55" s="5075"/>
      <c r="HJ55" s="5075"/>
      <c r="HK55" s="5084"/>
      <c r="HL55" s="5085"/>
      <c r="HM55" s="12"/>
      <c r="HN55" s="5073"/>
      <c r="HO55" s="5074"/>
      <c r="HP55" s="5073"/>
      <c r="HQ55" s="5074"/>
      <c r="HR55" s="5073"/>
      <c r="HS55" s="5074"/>
      <c r="HT55" s="1219"/>
      <c r="HU55" s="5080"/>
      <c r="HV55" s="5081"/>
      <c r="HW55" s="1887"/>
      <c r="HX55" s="1218"/>
      <c r="HY55" s="1175"/>
      <c r="HZ55" s="1175"/>
      <c r="JC55" s="1892"/>
      <c r="JD55" s="1868"/>
      <c r="JE55" s="1900" t="s">
        <v>267</v>
      </c>
      <c r="JF55" s="1850">
        <f t="shared" ca="1" si="27"/>
        <v>0</v>
      </c>
      <c r="JG55" s="1900" t="s">
        <v>268</v>
      </c>
      <c r="JH55" s="1850">
        <v>90</v>
      </c>
      <c r="JI55" s="1901"/>
      <c r="JL55" s="3268">
        <v>1</v>
      </c>
      <c r="JM55" s="3269">
        <v>300</v>
      </c>
      <c r="JO55" s="2170" t="s">
        <v>2017</v>
      </c>
      <c r="JP55" s="1819" t="s">
        <v>1996</v>
      </c>
      <c r="JQ55" s="2170" t="s">
        <v>2028</v>
      </c>
      <c r="JR55" s="1835" t="s">
        <v>1888</v>
      </c>
      <c r="JS55" s="2060"/>
      <c r="JT55" s="3048"/>
      <c r="JV55" s="3048"/>
      <c r="JX55" s="1851"/>
      <c r="JY55" s="1822"/>
      <c r="JZ55" s="1851"/>
      <c r="KB55" s="1851"/>
      <c r="KG55" s="1822"/>
      <c r="KH55" s="1821"/>
      <c r="KI55" s="1822"/>
      <c r="KJ55" s="1821"/>
      <c r="KK55" s="1822"/>
      <c r="KQ55" s="1930"/>
      <c r="KR55" s="3053"/>
      <c r="KS55" s="1930"/>
      <c r="KT55" s="1764"/>
      <c r="KV55" s="3048"/>
      <c r="KW55" s="3053"/>
      <c r="KX55" s="3048"/>
      <c r="KY55" s="1764"/>
    </row>
    <row r="56" spans="5:311" ht="17.100000000000001" customHeight="1" thickBot="1" x14ac:dyDescent="0.35">
      <c r="J56" s="1898" t="str">
        <f t="shared" si="15"/>
        <v/>
      </c>
      <c r="K56" s="3312" t="str">
        <f t="shared" si="16"/>
        <v/>
      </c>
      <c r="L56" s="3381"/>
      <c r="M56" s="3382"/>
      <c r="N56" s="3382"/>
      <c r="O56" s="3382"/>
      <c r="P56" s="3382"/>
      <c r="Q56" s="3382"/>
      <c r="R56" s="3382"/>
      <c r="S56" s="3382"/>
      <c r="T56" s="3382"/>
      <c r="U56" s="3382"/>
      <c r="V56" s="1774"/>
      <c r="W56" s="3381"/>
      <c r="X56" s="3382"/>
      <c r="Y56" s="3382"/>
      <c r="Z56" s="3382"/>
      <c r="AA56" s="3382"/>
      <c r="AB56" s="3382"/>
      <c r="AC56" s="3382"/>
      <c r="AD56" s="3382"/>
      <c r="AE56" s="3382"/>
      <c r="AF56" s="3382"/>
      <c r="AH56" s="3312" t="str">
        <f t="shared" si="17"/>
        <v/>
      </c>
      <c r="AI56" s="3381"/>
      <c r="AJ56" s="3384"/>
      <c r="AK56" s="3382"/>
      <c r="AL56" s="3382"/>
      <c r="AM56" s="3382"/>
      <c r="AN56" s="3382"/>
      <c r="AO56" s="3382"/>
      <c r="AP56" s="3382"/>
      <c r="AQ56" s="3382"/>
      <c r="AR56" s="3382"/>
      <c r="AS56" s="3382"/>
      <c r="AT56" s="3213"/>
      <c r="AU56" s="3384"/>
      <c r="AV56" s="3382"/>
      <c r="AW56" s="3382"/>
      <c r="AX56" s="3382"/>
      <c r="AY56" s="3382"/>
      <c r="AZ56" s="3382"/>
      <c r="BA56" s="3382"/>
      <c r="BB56" s="3382"/>
      <c r="BC56" s="3382"/>
      <c r="BD56" s="3382"/>
      <c r="BE56" s="3311">
        <v>33</v>
      </c>
      <c r="BF56" s="1882" t="str">
        <f t="shared" ref="BF56:BF87" si="30">ROMAN(AU56)</f>
        <v/>
      </c>
      <c r="BG56" s="1883">
        <f t="shared" ref="BG56:BG87" si="31">SUM(AK56:AS56,AV56:BD56)</f>
        <v>0</v>
      </c>
      <c r="BH56" s="1884">
        <f t="shared" si="13"/>
        <v>0</v>
      </c>
      <c r="EJ56" s="1838" t="s">
        <v>1750</v>
      </c>
      <c r="EK56" s="2839">
        <f>SUM(EC55:EK55)</f>
        <v>0</v>
      </c>
      <c r="EU56" s="1838" t="s">
        <v>1751</v>
      </c>
      <c r="EV56" s="2839">
        <f>SUM(EN55:EV55)</f>
        <v>0</v>
      </c>
      <c r="EX56" s="2403"/>
      <c r="EY56" s="2406"/>
      <c r="EZ56" s="2406"/>
      <c r="FA56" s="1813" t="s">
        <v>1493</v>
      </c>
      <c r="FB56" s="2406"/>
      <c r="FC56" s="2407">
        <v>0.5</v>
      </c>
      <c r="FD56" s="2408">
        <v>0.25</v>
      </c>
      <c r="FE56" s="2409">
        <v>0.125</v>
      </c>
      <c r="FF56" s="2410">
        <v>0</v>
      </c>
      <c r="FG56" s="1865"/>
      <c r="FH56" s="2403"/>
      <c r="FI56" s="2553" cm="1">
        <f t="array" ref="FI56">_xlfn.IFS($FI$23=$FC$23,FC56,$FI$23=$FD$23,FD56,$FI$23=$FE$23,FE56,$FI$23=$FF$23,FF56,TRUE,FC56)</f>
        <v>0.5</v>
      </c>
      <c r="FJ56" s="1865"/>
      <c r="FL56" s="1919"/>
      <c r="FM56" s="5077" t="s">
        <v>542</v>
      </c>
      <c r="FN56" s="5075"/>
      <c r="FO56" s="5082" t="str">
        <f>IF(AND(FY56=$GQ$24,$GQ$24&lt;&gt;0),"fastest","")</f>
        <v/>
      </c>
      <c r="FP56" s="5083"/>
      <c r="FQ56" s="12"/>
      <c r="FR56" s="5073" t="str">
        <f>IF(ISERROR(FIND("[",MISSIONS!E36)),"", MID(MISSIONS!E36,SEARCH("[",MISSIONS!E36)+1,SEARCH("]",MISSIONS!E36,SEARCH("[",MISSIONS!E36)+1)-SEARCH("[",MISSIONS!E36)-1))</f>
        <v/>
      </c>
      <c r="FS56" s="5074"/>
      <c r="FT56" s="5073" t="str">
        <f>IF(FR56="","",IF(MID(FR56,2,1)="h",MID(FR56,1,1)*60,0))</f>
        <v/>
      </c>
      <c r="FU56" s="5074"/>
      <c r="FV56" s="5073" t="str" cm="1">
        <f t="array" ref="FV56">IF(FR56="","",
_xlfn.IFS(
AND(RIGHT(FR56,1)="m",LEN(FR56)=3),MID(FR56,1,2),
AND(RIGHT(FR56,1)="m",LEN(FR56)=5),MID(FR56,3,2),
AND(RIGHT(FR56,1)="m",LEN(FR56)=2),MID(FR56,1,1),
AND(RIGHT(FR56,1)="m",LEN(FR56)=4),MID(FR56,3,1),
TRUE,0)
)</f>
        <v/>
      </c>
      <c r="FW56" s="5074"/>
      <c r="FX56" s="1219"/>
      <c r="FY56" s="5078" t="str">
        <f>IF( MISSIONS!E36="","",
IF( OR(AND(MISSIONS!U36=100%,MISSIONS!U37=MISSIONS!$AK$2),FR56="",FR56="?"),"",FT56+FV56)
)</f>
        <v/>
      </c>
      <c r="FZ56" s="5079"/>
      <c r="GA56" s="1932"/>
      <c r="GB56" s="1932"/>
      <c r="GC56" s="5077" t="s">
        <v>920</v>
      </c>
      <c r="GD56" s="5075"/>
      <c r="GE56" s="5071" t="str">
        <f>IF(AND(GO56=$GQ$24,$GQ$24&lt;&gt;0),"fastest","")</f>
        <v/>
      </c>
      <c r="GF56" s="5072"/>
      <c r="GG56" s="1887"/>
      <c r="GH56" s="5073" t="str">
        <f>IF(ISERROR(FIND("[",MISSIONS!AB36)),"", MID(MISSIONS!AB36,SEARCH("[",MISSIONS!AB36)+1,SEARCH("]",MISSIONS!AB36,SEARCH("[",MISSIONS!AB36)+1)-SEARCH("[",MISSIONS!AB36)-1))</f>
        <v/>
      </c>
      <c r="GI56" s="5074"/>
      <c r="GJ56" s="5073" t="str">
        <f>IF(GH56="","",IF(MID(GH56,2,1)="h",MID(GH56,1,1)*60,0))</f>
        <v/>
      </c>
      <c r="GK56" s="5074"/>
      <c r="GL56" s="5073" t="str" cm="1">
        <f t="array" ref="GL56">IF(GH56="","",
_xlfn.IFS(
AND(RIGHT(GH56,1)="m",LEN(GH56)=3),MID(GH56,1,2),
AND(RIGHT(GH56,1)="m",LEN(GH56)=5),MID(GH56,3,2),
AND(RIGHT(GH56,1)="m",LEN(GH56)=2),MID(GH56,1,1),
AND(RIGHT(GH56,1)="m",LEN(GH56)=4),MID(GH56,3,1),
TRUE,0)
)</f>
        <v/>
      </c>
      <c r="GM56" s="5074"/>
      <c r="GN56" s="1219"/>
      <c r="GO56" s="5078" t="str">
        <f>IF( MISSIONS!AB36="", "",
IF( OR(MISSIONS!AM36&lt;&gt;"",MISSIONS!AL36=100%,GH56="",GH56="?"),"",GJ56+GL56)
)</f>
        <v/>
      </c>
      <c r="GP56" s="5079"/>
      <c r="GQ56" s="1887"/>
      <c r="GR56" s="1887"/>
      <c r="GS56" s="5077" t="s">
        <v>920</v>
      </c>
      <c r="GT56" s="5075"/>
      <c r="GU56" s="5071" t="str">
        <f>IF(AND(HE56=$GQ$24,$GQ$24&lt;&gt;0),"fastest","")</f>
        <v/>
      </c>
      <c r="GV56" s="5072"/>
      <c r="GW56" s="1887"/>
      <c r="GX56" s="5073" t="str">
        <f>IF(ISERROR(FIND("[",MISSIONS!AQ36)),"", MID(MISSIONS!AQ36,SEARCH("[",MISSIONS!AQ36)+1,SEARCH("]",MISSIONS!AQ36,SEARCH("[",MISSIONS!AQ36)+1)-SEARCH("[",MISSIONS!AQ36)-1))</f>
        <v/>
      </c>
      <c r="GY56" s="5074"/>
      <c r="GZ56" s="5073" t="str">
        <f>IF(GX56="","",IF(MID(GX56,2,1)="h",MID(GX56,1,1)*60,0))</f>
        <v/>
      </c>
      <c r="HA56" s="5074"/>
      <c r="HB56" s="5073" t="str" cm="1">
        <f t="array" ref="HB56">IF(GX56="","",
_xlfn.IFS(
AND(RIGHT(GX56,1)="m",LEN(GX56)=3),MID(GX56,1,2),
AND(RIGHT(GX56,1)="m",LEN(GX56)=5),MID(GX56,3,2),
AND(RIGHT(GX56,1)="m",LEN(GX56)=2),MID(GX56,1,1),
AND(RIGHT(GX56,1)="m",LEN(GX56)=4),MID(GX56,3,1),
TRUE,0)
)</f>
        <v/>
      </c>
      <c r="HC56" s="5074"/>
      <c r="HD56" s="1219"/>
      <c r="HE56" s="5078" t="str">
        <f>IF( MISSIONS!AQ36="", "",
IF( OR(MISSIONS!AO36&lt;&gt;"",MISSIONS!AP36=100%,GX56="",GX56="?"),"",GZ56+HB56)
)</f>
        <v/>
      </c>
      <c r="HF56" s="5079"/>
      <c r="HG56" s="1887"/>
      <c r="HH56" s="1887"/>
      <c r="HI56" s="5077" t="s">
        <v>744</v>
      </c>
      <c r="HJ56" s="5075"/>
      <c r="HK56" s="5082" t="str">
        <f>IF(AND(HU56=$GQ$24,$GQ$24&lt;&gt;0),"fastest","")</f>
        <v/>
      </c>
      <c r="HL56" s="5083"/>
      <c r="HM56" s="12"/>
      <c r="HN56" s="5073" t="str">
        <f>IF(ISERROR(FIND("[",MISSIONS!BH36)),"", MID(MISSIONS!BH36,SEARCH("[",MISSIONS!BH36)+1,SEARCH("]",MISSIONS!BH36,SEARCH("[",MISSIONS!BH36)+1)-SEARCH("[",MISSIONS!BH36)-1))</f>
        <v/>
      </c>
      <c r="HO56" s="5074"/>
      <c r="HP56" s="5073" t="str">
        <f>IF(HN56="","",IF(MID(HN56,2,1)="h",MID(HN56,1,1)*60,0))</f>
        <v/>
      </c>
      <c r="HQ56" s="5074"/>
      <c r="HR56" s="5073" t="str" cm="1">
        <f t="array" ref="HR56">IF(HN56="","",
_xlfn.IFS(
AND(RIGHT(HN56,1)="m",LEN(HN56)=3),MID(HN56,1,2),
AND(RIGHT(HN56,1)="m",LEN(HN56)=5),MID(HN56,3,2),
AND(RIGHT(HN56,1)="m",LEN(HN56)=2),MID(HN56,1,1),
AND(RIGHT(HN56,1)="m",LEN(HN56)=4),MID(HN56,3,1),
TRUE,0)
)</f>
        <v/>
      </c>
      <c r="HS56" s="5074"/>
      <c r="HT56" s="1219"/>
      <c r="HU56" s="5078" t="str">
        <f>IF( MISSIONS!BH36="", "",
IF( OR(MISSIONS!BF36&lt;&gt;"",MISSIONS!BG36=100%,HN56="",HN56="?"),"",HP56+HR56)
)</f>
        <v/>
      </c>
      <c r="HV56" s="5079"/>
      <c r="HW56" s="1887"/>
      <c r="HX56" s="1218"/>
      <c r="IC56" s="1822" t="s">
        <v>279</v>
      </c>
      <c r="IK56" s="1822" t="s">
        <v>280</v>
      </c>
      <c r="JC56" s="1892"/>
      <c r="JE56" s="1887"/>
      <c r="JF56" s="1858">
        <f ca="1">COUNTIF(JF48:JF55,"&gt;0")</f>
        <v>0</v>
      </c>
      <c r="JG56" s="1796"/>
      <c r="JH56" s="1858">
        <f>COUNT(JH48:JH55)</f>
        <v>8</v>
      </c>
      <c r="JI56" s="1870" t="s">
        <v>269</v>
      </c>
      <c r="JM56" s="1893"/>
      <c r="JO56" s="2170" t="s">
        <v>1387</v>
      </c>
      <c r="JP56" s="1819" t="s">
        <v>331</v>
      </c>
      <c r="JQ56" s="2170" t="s">
        <v>1385</v>
      </c>
      <c r="JR56" s="1819" t="s">
        <v>1889</v>
      </c>
      <c r="JS56" s="2060"/>
      <c r="JT56" s="3048"/>
      <c r="JV56" s="3048"/>
      <c r="KG56" s="1822"/>
      <c r="KH56" s="1821"/>
      <c r="KI56" s="1822"/>
      <c r="KJ56" s="1821"/>
      <c r="KK56" s="1822"/>
      <c r="KQ56" s="1930"/>
      <c r="KR56" s="3053"/>
      <c r="KS56" s="1930"/>
      <c r="KT56" s="3053"/>
      <c r="KV56" s="3048"/>
      <c r="KW56" s="3053"/>
      <c r="KX56" s="3048"/>
      <c r="KY56" s="3053"/>
    </row>
    <row r="57" spans="5:311" ht="17.100000000000001" customHeight="1" thickBot="1" x14ac:dyDescent="0.35">
      <c r="J57" s="1898" t="str">
        <f t="shared" si="15"/>
        <v/>
      </c>
      <c r="K57" s="3312" t="str">
        <f t="shared" si="16"/>
        <v/>
      </c>
      <c r="L57" s="3381"/>
      <c r="M57" s="3382"/>
      <c r="N57" s="3382"/>
      <c r="O57" s="3382"/>
      <c r="P57" s="3382"/>
      <c r="Q57" s="3382"/>
      <c r="R57" s="3382"/>
      <c r="S57" s="3382"/>
      <c r="T57" s="3382"/>
      <c r="U57" s="3382"/>
      <c r="V57" s="1774"/>
      <c r="W57" s="3381"/>
      <c r="X57" s="3382"/>
      <c r="Y57" s="3382"/>
      <c r="Z57" s="3382"/>
      <c r="AA57" s="3382"/>
      <c r="AB57" s="3382"/>
      <c r="AC57" s="3382"/>
      <c r="AD57" s="3382"/>
      <c r="AE57" s="3382"/>
      <c r="AF57" s="3382"/>
      <c r="AH57" s="3312" t="str">
        <f t="shared" si="17"/>
        <v/>
      </c>
      <c r="AI57" s="3381"/>
      <c r="AJ57" s="3384"/>
      <c r="AK57" s="3382"/>
      <c r="AL57" s="3382"/>
      <c r="AM57" s="3382"/>
      <c r="AN57" s="3382"/>
      <c r="AO57" s="3382"/>
      <c r="AP57" s="3382"/>
      <c r="AQ57" s="3382"/>
      <c r="AR57" s="3382"/>
      <c r="AS57" s="3382"/>
      <c r="AT57" s="3213"/>
      <c r="AU57" s="3384"/>
      <c r="AV57" s="3382"/>
      <c r="AW57" s="3382"/>
      <c r="AX57" s="3382"/>
      <c r="AY57" s="3382"/>
      <c r="AZ57" s="3382"/>
      <c r="BA57" s="3382"/>
      <c r="BB57" s="3382"/>
      <c r="BC57" s="3382"/>
      <c r="BD57" s="3382"/>
      <c r="BE57" s="3311">
        <v>34</v>
      </c>
      <c r="BF57" s="1882" t="str">
        <f t="shared" si="30"/>
        <v/>
      </c>
      <c r="BG57" s="1883">
        <f t="shared" si="31"/>
        <v>0</v>
      </c>
      <c r="BH57" s="1884">
        <f t="shared" ref="BH57:BH88" si="32">IF(BG57&lt;&gt;0,BG57-BG56,0)</f>
        <v>0</v>
      </c>
      <c r="EB57" s="1808"/>
      <c r="EX57" s="2403"/>
      <c r="EY57" s="2406"/>
      <c r="EZ57" s="2406"/>
      <c r="FA57" s="1813" t="s">
        <v>1494</v>
      </c>
      <c r="FB57" s="2406"/>
      <c r="FC57" s="2407">
        <v>1</v>
      </c>
      <c r="FD57" s="2408">
        <v>0.5</v>
      </c>
      <c r="FE57" s="2409">
        <v>0.25</v>
      </c>
      <c r="FF57" s="2410">
        <v>0.125</v>
      </c>
      <c r="FG57" s="1865"/>
      <c r="FH57" s="2403"/>
      <c r="FI57" s="2553" cm="1">
        <f t="array" ref="FI57">_xlfn.IFS($FI$23=$FC$23,FC57,$FI$23=$FD$23,FD57,$FI$23=$FE$23,FE57,$FI$23=$FF$23,FF57,TRUE,FC57)</f>
        <v>1</v>
      </c>
      <c r="FJ57" s="1865"/>
      <c r="FL57" s="1919"/>
      <c r="FM57" s="5075"/>
      <c r="FN57" s="5075"/>
      <c r="FO57" s="5084"/>
      <c r="FP57" s="5085"/>
      <c r="FQ57" s="12"/>
      <c r="FR57" s="5073"/>
      <c r="FS57" s="5074"/>
      <c r="FT57" s="5073"/>
      <c r="FU57" s="5074"/>
      <c r="FV57" s="5073"/>
      <c r="FW57" s="5074"/>
      <c r="FX57" s="1219"/>
      <c r="FY57" s="5080"/>
      <c r="FZ57" s="5081"/>
      <c r="GA57" s="1932"/>
      <c r="GB57" s="1932"/>
      <c r="GC57" s="5075"/>
      <c r="GD57" s="5075"/>
      <c r="GE57" s="5071"/>
      <c r="GF57" s="5072"/>
      <c r="GG57" s="1887"/>
      <c r="GH57" s="5073"/>
      <c r="GI57" s="5074"/>
      <c r="GJ57" s="5073"/>
      <c r="GK57" s="5074"/>
      <c r="GL57" s="5073"/>
      <c r="GM57" s="5074"/>
      <c r="GN57" s="1219"/>
      <c r="GO57" s="5080"/>
      <c r="GP57" s="5081"/>
      <c r="GQ57" s="1887"/>
      <c r="GR57" s="1887"/>
      <c r="GS57" s="5075"/>
      <c r="GT57" s="5075"/>
      <c r="GU57" s="5071"/>
      <c r="GV57" s="5072"/>
      <c r="GW57" s="1887"/>
      <c r="GX57" s="5073"/>
      <c r="GY57" s="5074"/>
      <c r="GZ57" s="5073"/>
      <c r="HA57" s="5074"/>
      <c r="HB57" s="5073"/>
      <c r="HC57" s="5074"/>
      <c r="HD57" s="1219"/>
      <c r="HE57" s="5080"/>
      <c r="HF57" s="5081"/>
      <c r="HG57" s="1887"/>
      <c r="HH57" s="1887"/>
      <c r="HI57" s="5075"/>
      <c r="HJ57" s="5075"/>
      <c r="HK57" s="5084"/>
      <c r="HL57" s="5085"/>
      <c r="HM57" s="12"/>
      <c r="HN57" s="5073"/>
      <c r="HO57" s="5074"/>
      <c r="HP57" s="5073"/>
      <c r="HQ57" s="5074"/>
      <c r="HR57" s="5073"/>
      <c r="HS57" s="5074"/>
      <c r="HT57" s="1219"/>
      <c r="HU57" s="5080"/>
      <c r="HV57" s="5081"/>
      <c r="HW57" s="1887"/>
      <c r="HX57" s="1218"/>
      <c r="IK57" s="1822" t="s">
        <v>281</v>
      </c>
      <c r="JC57" s="1914"/>
      <c r="JD57" s="1915"/>
      <c r="JE57" s="1915"/>
      <c r="JF57" s="1915"/>
      <c r="JG57" s="1915"/>
      <c r="JH57" s="1915"/>
      <c r="JI57" s="1915"/>
      <c r="JJ57" s="1915"/>
      <c r="JK57" s="1915"/>
      <c r="JL57" s="1915"/>
      <c r="JM57" s="1916"/>
      <c r="JO57" s="2170" t="s">
        <v>1387</v>
      </c>
      <c r="JP57" s="1819" t="s">
        <v>1997</v>
      </c>
      <c r="JQ57" s="2170" t="s">
        <v>2030</v>
      </c>
      <c r="JR57" s="1819" t="s">
        <v>1971</v>
      </c>
      <c r="JS57" s="2060"/>
      <c r="JT57" s="3048"/>
      <c r="JV57" s="3048"/>
      <c r="JX57" s="1851"/>
      <c r="JY57" s="1822"/>
      <c r="JZ57" s="1851"/>
      <c r="KB57" s="1851"/>
      <c r="KG57" s="1822"/>
      <c r="KH57" s="1821"/>
      <c r="KI57" s="1822"/>
      <c r="KJ57" s="1821"/>
      <c r="KK57" s="1822"/>
      <c r="KQ57" s="1930"/>
      <c r="KR57" s="3053"/>
      <c r="KS57" s="1930"/>
      <c r="KT57" s="3053"/>
      <c r="KV57" s="3048"/>
      <c r="KW57" s="3053"/>
      <c r="KX57" s="3048"/>
      <c r="KY57" s="3053"/>
    </row>
    <row r="58" spans="5:311" ht="17.100000000000001" customHeight="1" thickBot="1" x14ac:dyDescent="0.35">
      <c r="E58" s="1808"/>
      <c r="J58" s="1898" t="str">
        <f t="shared" si="15"/>
        <v/>
      </c>
      <c r="K58" s="3312" t="str">
        <f t="shared" si="16"/>
        <v/>
      </c>
      <c r="L58" s="3381"/>
      <c r="M58" s="3382"/>
      <c r="N58" s="3382"/>
      <c r="O58" s="3382"/>
      <c r="P58" s="3382"/>
      <c r="Q58" s="3382"/>
      <c r="R58" s="3382"/>
      <c r="S58" s="3382"/>
      <c r="T58" s="3382"/>
      <c r="U58" s="3382"/>
      <c r="V58" s="1774"/>
      <c r="W58" s="3381"/>
      <c r="X58" s="3382"/>
      <c r="Y58" s="3382"/>
      <c r="Z58" s="3382"/>
      <c r="AA58" s="3382"/>
      <c r="AB58" s="3382"/>
      <c r="AC58" s="3382"/>
      <c r="AD58" s="3382"/>
      <c r="AE58" s="3382"/>
      <c r="AF58" s="3382"/>
      <c r="AH58" s="3312" t="str">
        <f t="shared" si="17"/>
        <v/>
      </c>
      <c r="AI58" s="3381"/>
      <c r="AJ58" s="3384"/>
      <c r="AK58" s="3382"/>
      <c r="AL58" s="3382"/>
      <c r="AM58" s="3382"/>
      <c r="AN58" s="3382"/>
      <c r="AO58" s="3382"/>
      <c r="AP58" s="3382"/>
      <c r="AQ58" s="3382"/>
      <c r="AR58" s="3382"/>
      <c r="AS58" s="3382"/>
      <c r="AT58" s="3213"/>
      <c r="AU58" s="3384"/>
      <c r="AV58" s="3382"/>
      <c r="AW58" s="3382"/>
      <c r="AX58" s="3382"/>
      <c r="AY58" s="3382"/>
      <c r="AZ58" s="3382"/>
      <c r="BA58" s="3382"/>
      <c r="BB58" s="3382"/>
      <c r="BC58" s="3382"/>
      <c r="BD58" s="3382"/>
      <c r="BE58" s="3311">
        <v>35</v>
      </c>
      <c r="BF58" s="1882" t="str">
        <f t="shared" si="30"/>
        <v/>
      </c>
      <c r="BG58" s="1883">
        <f t="shared" si="31"/>
        <v>0</v>
      </c>
      <c r="BH58" s="1884">
        <f t="shared" si="32"/>
        <v>0</v>
      </c>
      <c r="EB58" s="5128" t="s">
        <v>282</v>
      </c>
      <c r="EC58" s="5128"/>
      <c r="ED58" s="5128"/>
      <c r="EE58" s="5128"/>
      <c r="EF58" s="5128"/>
      <c r="EG58" s="5128"/>
      <c r="EH58" s="5128"/>
      <c r="EI58" s="5128"/>
      <c r="EJ58" s="5128"/>
      <c r="EK58" s="5128"/>
      <c r="EL58" s="1767"/>
      <c r="EM58" s="5128" t="s">
        <v>282</v>
      </c>
      <c r="EN58" s="5128"/>
      <c r="EO58" s="5128"/>
      <c r="EP58" s="5128"/>
      <c r="EQ58" s="5128"/>
      <c r="ER58" s="5128"/>
      <c r="ES58" s="5128"/>
      <c r="ET58" s="5128"/>
      <c r="EU58" s="5128"/>
      <c r="EV58" s="5128"/>
      <c r="EX58" s="2403"/>
      <c r="EY58" s="2406"/>
      <c r="EZ58" s="2406"/>
      <c r="FA58" s="1813" t="s">
        <v>1495</v>
      </c>
      <c r="FB58" s="2406"/>
      <c r="FC58" s="2407">
        <v>1.5</v>
      </c>
      <c r="FD58" s="2408">
        <v>1</v>
      </c>
      <c r="FE58" s="2409">
        <v>0.5</v>
      </c>
      <c r="FF58" s="2410">
        <v>0.25</v>
      </c>
      <c r="FG58" s="1865"/>
      <c r="FH58" s="2403"/>
      <c r="FI58" s="2553" cm="1">
        <f t="array" ref="FI58">_xlfn.IFS($FI$23=$FC$23,FC58,$FI$23=$FD$23,FD58,$FI$23=$FE$23,FE58,$FI$23=$FF$23,FF58,TRUE,FC58)</f>
        <v>1.5</v>
      </c>
      <c r="FJ58" s="1865"/>
      <c r="FL58" s="1943"/>
      <c r="FM58" s="1944"/>
      <c r="FN58" s="1944"/>
      <c r="FO58" s="1944"/>
      <c r="FP58" s="1944"/>
      <c r="FQ58" s="1944"/>
      <c r="FR58" s="1944"/>
      <c r="FS58" s="1944"/>
      <c r="FT58" s="1944"/>
      <c r="FU58" s="1944"/>
      <c r="FV58" s="1944"/>
      <c r="FW58" s="1944"/>
      <c r="FX58" s="1944"/>
      <c r="FY58" s="1944"/>
      <c r="FZ58" s="1944"/>
      <c r="GA58" s="1944"/>
      <c r="GB58" s="1944"/>
      <c r="GC58" s="1944"/>
      <c r="GD58" s="1944"/>
      <c r="GE58" s="1944"/>
      <c r="GF58" s="1944"/>
      <c r="GG58" s="1944"/>
      <c r="GH58" s="1944"/>
      <c r="GI58" s="1944"/>
      <c r="GJ58" s="1944"/>
      <c r="GK58" s="1944"/>
      <c r="GL58" s="1944"/>
      <c r="GM58" s="1944"/>
      <c r="GN58" s="1944"/>
      <c r="GO58" s="1944"/>
      <c r="GP58" s="1944"/>
      <c r="GQ58" s="1944"/>
      <c r="GR58" s="1944"/>
      <c r="GS58" s="1944"/>
      <c r="GT58" s="1944"/>
      <c r="GU58" s="1944"/>
      <c r="GV58" s="1944"/>
      <c r="GW58" s="1944"/>
      <c r="GX58" s="1944"/>
      <c r="GY58" s="1944"/>
      <c r="GZ58" s="1944"/>
      <c r="HA58" s="1944"/>
      <c r="HB58" s="1944"/>
      <c r="HC58" s="1944"/>
      <c r="HD58" s="1944"/>
      <c r="HE58" s="1944"/>
      <c r="HF58" s="1944"/>
      <c r="HG58" s="1944"/>
      <c r="HH58" s="1944"/>
      <c r="HI58" s="1944"/>
      <c r="HJ58" s="1944"/>
      <c r="HK58" s="1944"/>
      <c r="HL58" s="1944"/>
      <c r="HM58" s="1944"/>
      <c r="HN58" s="1944"/>
      <c r="HO58" s="1944"/>
      <c r="HP58" s="1944"/>
      <c r="HQ58" s="1944"/>
      <c r="HR58" s="1944"/>
      <c r="HS58" s="1944"/>
      <c r="HT58" s="1944"/>
      <c r="HU58" s="1944"/>
      <c r="HV58" s="1944"/>
      <c r="HW58" s="1944"/>
      <c r="HX58" s="1221"/>
      <c r="JO58" s="2170" t="s">
        <v>1387</v>
      </c>
      <c r="JP58" s="1819" t="s">
        <v>436</v>
      </c>
      <c r="JQ58" s="2170" t="s">
        <v>1386</v>
      </c>
      <c r="JR58" s="1819" t="s">
        <v>385</v>
      </c>
      <c r="JS58" s="2060"/>
      <c r="JT58" s="3048"/>
      <c r="JV58" s="3048"/>
      <c r="KG58" s="1791"/>
      <c r="KH58" s="1821"/>
      <c r="KI58" s="1791"/>
      <c r="KJ58" s="1821"/>
      <c r="KK58" s="1822"/>
      <c r="KQ58" s="1930"/>
      <c r="KR58" s="3053"/>
      <c r="KS58" s="1930"/>
      <c r="KT58" s="3053"/>
      <c r="KV58" s="3048"/>
      <c r="KW58" s="3053"/>
      <c r="KX58" s="3048"/>
      <c r="KY58" s="3053"/>
    </row>
    <row r="59" spans="5:311" ht="17.100000000000001" customHeight="1" x14ac:dyDescent="0.3">
      <c r="E59" s="1891"/>
      <c r="J59" s="1898" t="str">
        <f t="shared" si="15"/>
        <v/>
      </c>
      <c r="K59" s="3312" t="str">
        <f t="shared" si="16"/>
        <v/>
      </c>
      <c r="L59" s="3381"/>
      <c r="M59" s="3382"/>
      <c r="N59" s="3382"/>
      <c r="O59" s="3382"/>
      <c r="P59" s="3382"/>
      <c r="Q59" s="3382"/>
      <c r="R59" s="3382"/>
      <c r="S59" s="3382"/>
      <c r="T59" s="3382"/>
      <c r="U59" s="3382"/>
      <c r="V59" s="1774"/>
      <c r="W59" s="3381"/>
      <c r="X59" s="3382"/>
      <c r="Y59" s="3382"/>
      <c r="Z59" s="3382"/>
      <c r="AA59" s="3382"/>
      <c r="AB59" s="3382"/>
      <c r="AC59" s="3382"/>
      <c r="AD59" s="3382"/>
      <c r="AE59" s="3382"/>
      <c r="AF59" s="3382"/>
      <c r="AH59" s="3312" t="str">
        <f t="shared" si="17"/>
        <v/>
      </c>
      <c r="AI59" s="3381"/>
      <c r="AJ59" s="3384"/>
      <c r="AK59" s="3382"/>
      <c r="AL59" s="3382"/>
      <c r="AM59" s="3382"/>
      <c r="AN59" s="3382"/>
      <c r="AO59" s="3382"/>
      <c r="AP59" s="3382"/>
      <c r="AQ59" s="3382"/>
      <c r="AR59" s="3382"/>
      <c r="AS59" s="3382"/>
      <c r="AT59" s="3213"/>
      <c r="AU59" s="3384"/>
      <c r="AV59" s="3382"/>
      <c r="AW59" s="3382"/>
      <c r="AX59" s="3382"/>
      <c r="AY59" s="3382"/>
      <c r="AZ59" s="3382"/>
      <c r="BA59" s="3382"/>
      <c r="BB59" s="3382"/>
      <c r="BC59" s="3382"/>
      <c r="BD59" s="3382"/>
      <c r="BE59" s="3311">
        <v>36</v>
      </c>
      <c r="BF59" s="1882" t="str">
        <f t="shared" si="30"/>
        <v/>
      </c>
      <c r="BG59" s="1883">
        <f t="shared" si="31"/>
        <v>0</v>
      </c>
      <c r="BH59" s="1884">
        <f t="shared" si="32"/>
        <v>0</v>
      </c>
      <c r="EB59" s="1773" t="s">
        <v>171</v>
      </c>
      <c r="EC59" s="1773" t="str">
        <f>ACTIONS!$C$34</f>
        <v>MND1</v>
      </c>
      <c r="ED59" s="1773" t="str">
        <f>ACTIONS!$D$34</f>
        <v>MND2</v>
      </c>
      <c r="EE59" s="1773" t="str">
        <f>ACTIONS!$E$34</f>
        <v>MND3</v>
      </c>
      <c r="EF59" s="1773" t="str">
        <f>ACTIONS!$F$34</f>
        <v>MND4</v>
      </c>
      <c r="EG59" s="1773" t="str">
        <f>ACTIONS!$G$34</f>
        <v>MND5</v>
      </c>
      <c r="EH59" s="1773" t="str">
        <f>ACTIONS!$H$34</f>
        <v>MND6</v>
      </c>
      <c r="EI59" s="1773" t="str">
        <f>ACTIONS!$I$34</f>
        <v>MND7</v>
      </c>
      <c r="EJ59" s="1773" t="str">
        <f>ACTIONS!$J$34</f>
        <v>MND8</v>
      </c>
      <c r="EK59" s="1773" t="str">
        <f>ACTIONS!$K$34</f>
        <v>MND9</v>
      </c>
      <c r="EL59" s="1767"/>
      <c r="EM59" s="1773" t="s">
        <v>171</v>
      </c>
      <c r="EN59" s="1773" t="str">
        <f>ACTIONS!$BQ$34</f>
        <v>BDY1</v>
      </c>
      <c r="EO59" s="1773" t="str">
        <f>ACTIONS!$BR$34</f>
        <v>BDY2</v>
      </c>
      <c r="EP59" s="1773" t="str">
        <f>ACTIONS!$BS$34</f>
        <v>BDY3</v>
      </c>
      <c r="EQ59" s="1773" t="str">
        <f>ACTIONS!$BT$34</f>
        <v>BDY4</v>
      </c>
      <c r="ER59" s="1773" t="str">
        <f>ACTIONS!$BU$34</f>
        <v>BDY5</v>
      </c>
      <c r="ES59" s="1773" t="str">
        <f>ACTIONS!$BV$34</f>
        <v>BDY6</v>
      </c>
      <c r="ET59" s="1773" t="str">
        <f>ACTIONS!$BW$34</f>
        <v>BDY7</v>
      </c>
      <c r="EU59" s="1773" t="str">
        <f>ACTIONS!$BX$34</f>
        <v>BDY8</v>
      </c>
      <c r="EV59" s="1773" t="str">
        <f>ACTIONS!$BY$34</f>
        <v>BDY9</v>
      </c>
      <c r="EX59" s="2403"/>
      <c r="EY59" s="2406"/>
      <c r="EZ59" s="2406"/>
      <c r="FA59" s="1813" t="s">
        <v>1496</v>
      </c>
      <c r="FB59" s="2406"/>
      <c r="FC59" s="2407">
        <v>2</v>
      </c>
      <c r="FD59" s="2408">
        <v>1.5</v>
      </c>
      <c r="FE59" s="2409">
        <v>1</v>
      </c>
      <c r="FF59" s="2410">
        <v>0.5</v>
      </c>
      <c r="FG59" s="1865"/>
      <c r="FH59" s="2403"/>
      <c r="FI59" s="2553" cm="1">
        <f t="array" ref="FI59">_xlfn.IFS($FI$23=$FC$23,FC59,$FI$23=$FD$23,FD59,$FI$23=$FE$23,FE59,$FI$23=$FF$23,FF59,TRUE,FC59)</f>
        <v>2</v>
      </c>
      <c r="FJ59" s="1865"/>
      <c r="IL59" s="3204" t="s">
        <v>2191</v>
      </c>
      <c r="IM59" s="3205"/>
      <c r="IN59" s="3206"/>
      <c r="IO59" s="3207" t="s">
        <v>2192</v>
      </c>
      <c r="IP59" s="3208"/>
      <c r="IQ59" s="1786"/>
      <c r="JC59" s="1888" t="s">
        <v>1247</v>
      </c>
      <c r="JD59" s="1889"/>
      <c r="JE59" s="1889"/>
      <c r="JF59" s="1889"/>
      <c r="JG59" s="1889"/>
      <c r="JH59" s="1889"/>
      <c r="JI59" s="1889"/>
      <c r="JJ59" s="1889"/>
      <c r="JK59" s="1889"/>
      <c r="JL59" s="1889"/>
      <c r="JM59" s="1890"/>
      <c r="JO59" s="2170" t="s">
        <v>2215</v>
      </c>
      <c r="JP59" s="1819" t="s">
        <v>394</v>
      </c>
      <c r="JQ59" s="2170" t="s">
        <v>2013</v>
      </c>
      <c r="JR59" s="1819" t="s">
        <v>1984</v>
      </c>
      <c r="JS59" s="2060"/>
      <c r="JT59" s="3048"/>
      <c r="JV59" s="3048"/>
      <c r="JX59" s="1851"/>
      <c r="JZ59" s="1851"/>
      <c r="KB59" s="1851"/>
      <c r="KG59" s="1822"/>
      <c r="KH59" s="1821"/>
      <c r="KI59" s="1822"/>
      <c r="KJ59" s="1821"/>
      <c r="KK59" s="1822"/>
      <c r="KQ59" s="1930"/>
      <c r="KR59" s="3053"/>
      <c r="KS59" s="1930"/>
      <c r="KT59" s="3053"/>
      <c r="KV59" s="3048"/>
      <c r="KW59" s="3053"/>
      <c r="KX59" s="3048"/>
      <c r="KY59" s="3053"/>
    </row>
    <row r="60" spans="5:311" ht="17.100000000000001" customHeight="1" thickBot="1" x14ac:dyDescent="0.35">
      <c r="E60" s="1808"/>
      <c r="J60" s="1898" t="str">
        <f t="shared" si="15"/>
        <v/>
      </c>
      <c r="K60" s="3312" t="str">
        <f t="shared" si="16"/>
        <v/>
      </c>
      <c r="L60" s="1779"/>
      <c r="M60" s="1779"/>
      <c r="N60" s="1779"/>
      <c r="O60" s="1779"/>
      <c r="P60" s="1779"/>
      <c r="Q60" s="1779"/>
      <c r="R60" s="1779"/>
      <c r="S60" s="1779"/>
      <c r="T60" s="1779"/>
      <c r="U60" s="1779"/>
      <c r="V60" s="1922"/>
      <c r="W60" s="3383"/>
      <c r="X60" s="3383"/>
      <c r="Y60" s="3383"/>
      <c r="Z60" s="3383"/>
      <c r="AA60" s="3383"/>
      <c r="AB60" s="3383"/>
      <c r="AC60" s="3383"/>
      <c r="AD60" s="3383"/>
      <c r="AE60" s="3383"/>
      <c r="AF60" s="3383"/>
      <c r="AH60" s="3312" t="str">
        <f t="shared" si="17"/>
        <v/>
      </c>
      <c r="AI60" s="3383"/>
      <c r="AJ60" s="3385"/>
      <c r="AK60" s="3383"/>
      <c r="AL60" s="3383"/>
      <c r="AM60" s="3383"/>
      <c r="AN60" s="3383"/>
      <c r="AO60" s="3383"/>
      <c r="AP60" s="3383"/>
      <c r="AQ60" s="3383"/>
      <c r="AR60" s="3383"/>
      <c r="AS60" s="3383"/>
      <c r="AT60" s="3213"/>
      <c r="AU60" s="3385"/>
      <c r="AV60" s="3383"/>
      <c r="AW60" s="3383"/>
      <c r="AX60" s="3383"/>
      <c r="AY60" s="3383"/>
      <c r="AZ60" s="3383"/>
      <c r="BA60" s="3383"/>
      <c r="BB60" s="3383"/>
      <c r="BC60" s="3383"/>
      <c r="BD60" s="3383"/>
      <c r="BE60" s="3311">
        <v>37</v>
      </c>
      <c r="BF60" s="1882" t="str">
        <f t="shared" si="30"/>
        <v/>
      </c>
      <c r="BG60" s="1883">
        <f t="shared" si="31"/>
        <v>0</v>
      </c>
      <c r="BH60" s="1884">
        <f t="shared" si="32"/>
        <v>0</v>
      </c>
      <c r="EB60" s="1829">
        <v>31</v>
      </c>
      <c r="EC60" s="1795">
        <f>IF(ACTIONS!C3&gt;0,EC61+1,0)</f>
        <v>0</v>
      </c>
      <c r="ED60" s="1795">
        <f>IF(ACTIONS!D3&gt;0,ED61+1,0)</f>
        <v>0</v>
      </c>
      <c r="EE60" s="1795">
        <f>IF(ACTIONS!E3&gt;0,EE61+1,0)</f>
        <v>0</v>
      </c>
      <c r="EF60" s="1795">
        <f>IF(ACTIONS!F3&gt;0,EF61+1,0)</f>
        <v>0</v>
      </c>
      <c r="EG60" s="1795">
        <f>IF(ACTIONS!G3&gt;0,EG61+1,0)</f>
        <v>0</v>
      </c>
      <c r="EH60" s="1795">
        <f>IF(ACTIONS!H3&gt;0,EH61+1,0)</f>
        <v>0</v>
      </c>
      <c r="EI60" s="1795">
        <f>IF(ACTIONS!I3&gt;0,EI61+1,0)</f>
        <v>0</v>
      </c>
      <c r="EJ60" s="1795">
        <f>IF(ACTIONS!J3&gt;0,EJ61+1,0)</f>
        <v>0</v>
      </c>
      <c r="EK60" s="1795">
        <f>IF(ACTIONS!K3&gt;0,EK61+1,0)</f>
        <v>0</v>
      </c>
      <c r="EL60" s="1767"/>
      <c r="EM60" s="1829">
        <v>31</v>
      </c>
      <c r="EN60" s="1795">
        <f>IF(ACTIONS!BQ3&gt;0,EN61+1,0)</f>
        <v>0</v>
      </c>
      <c r="EO60" s="1795">
        <f>IF(ACTIONS!BR3&gt;0,EO61+1,0)</f>
        <v>0</v>
      </c>
      <c r="EP60" s="1795">
        <f>IF(ACTIONS!BS3&gt;0,EP61+1,0)</f>
        <v>0</v>
      </c>
      <c r="EQ60" s="1795">
        <f>IF(ACTIONS!BT3&gt;0,EQ61+1,0)</f>
        <v>0</v>
      </c>
      <c r="ER60" s="1795">
        <f>IF(ACTIONS!BU3&gt;0,ER61+1,0)</f>
        <v>0</v>
      </c>
      <c r="ES60" s="1795">
        <f>IF(ACTIONS!BV3&gt;0,ES61+1,0)</f>
        <v>0</v>
      </c>
      <c r="ET60" s="1795">
        <f>IF(ACTIONS!BW3&gt;0,ET61+1,0)</f>
        <v>0</v>
      </c>
      <c r="EU60" s="1795">
        <f>IF(ACTIONS!BX3&gt;0,EU61+1,0)</f>
        <v>0</v>
      </c>
      <c r="EV60" s="1795">
        <f>IF(ACTIONS!BY3&gt;0,EV61+1,0)</f>
        <v>0</v>
      </c>
      <c r="EX60" s="2403"/>
      <c r="FG60" s="1865"/>
      <c r="FH60" s="2403"/>
      <c r="FJ60" s="1865"/>
      <c r="JC60" s="1892"/>
      <c r="JM60" s="1893"/>
      <c r="JO60" s="2170" t="s">
        <v>2215</v>
      </c>
      <c r="JP60" s="1819" t="s">
        <v>1986</v>
      </c>
      <c r="JQ60" s="2170" t="s">
        <v>1382</v>
      </c>
      <c r="JR60" s="1819" t="s">
        <v>384</v>
      </c>
      <c r="JS60" s="2060"/>
      <c r="JT60" s="3048"/>
      <c r="JV60" s="3048"/>
      <c r="KG60" s="1822"/>
      <c r="KH60" s="1821"/>
      <c r="KI60" s="1822"/>
      <c r="KJ60" s="1821"/>
      <c r="KK60" s="1822"/>
      <c r="KQ60" s="1930"/>
      <c r="KR60" s="3053"/>
      <c r="KS60" s="1930"/>
      <c r="KT60" s="3053"/>
      <c r="KV60" s="3048"/>
      <c r="KW60" s="3053"/>
      <c r="KX60" s="3048"/>
      <c r="KY60" s="3053"/>
    </row>
    <row r="61" spans="5:311" ht="17.100000000000001" customHeight="1" thickBot="1" x14ac:dyDescent="0.35">
      <c r="E61" s="1898"/>
      <c r="J61" s="1898" t="str">
        <f t="shared" si="15"/>
        <v/>
      </c>
      <c r="K61" s="3312" t="str">
        <f t="shared" si="16"/>
        <v/>
      </c>
      <c r="L61" s="1779"/>
      <c r="M61" s="1779"/>
      <c r="N61" s="1779"/>
      <c r="O61" s="1779"/>
      <c r="P61" s="1779"/>
      <c r="Q61" s="1779"/>
      <c r="R61" s="1779"/>
      <c r="S61" s="1779"/>
      <c r="T61" s="1779"/>
      <c r="U61" s="1779"/>
      <c r="V61" s="1922"/>
      <c r="W61" s="1779"/>
      <c r="X61" s="1779"/>
      <c r="Y61" s="1779"/>
      <c r="Z61" s="1779"/>
      <c r="AA61" s="1779"/>
      <c r="AB61" s="1779"/>
      <c r="AC61" s="1779"/>
      <c r="AD61" s="1779"/>
      <c r="AE61" s="1779"/>
      <c r="AF61" s="1779"/>
      <c r="AH61" s="3312" t="str">
        <f t="shared" si="17"/>
        <v/>
      </c>
      <c r="AI61" s="3383"/>
      <c r="AJ61" s="3385"/>
      <c r="AK61" s="3383"/>
      <c r="AL61" s="3383"/>
      <c r="AM61" s="3383"/>
      <c r="AN61" s="3383"/>
      <c r="AO61" s="3383"/>
      <c r="AP61" s="3383"/>
      <c r="AQ61" s="3383"/>
      <c r="AR61" s="3383"/>
      <c r="AS61" s="3383"/>
      <c r="AT61" s="3213"/>
      <c r="AU61" s="3385"/>
      <c r="AV61" s="3383"/>
      <c r="AW61" s="3383"/>
      <c r="AX61" s="3383"/>
      <c r="AY61" s="3383"/>
      <c r="AZ61" s="3383"/>
      <c r="BA61" s="3383"/>
      <c r="BB61" s="3383"/>
      <c r="BC61" s="3383"/>
      <c r="BD61" s="3383"/>
      <c r="BE61" s="3311">
        <v>38</v>
      </c>
      <c r="BF61" s="1882" t="str">
        <f t="shared" si="30"/>
        <v/>
      </c>
      <c r="BG61" s="1883">
        <f t="shared" si="31"/>
        <v>0</v>
      </c>
      <c r="BH61" s="1884">
        <f t="shared" si="32"/>
        <v>0</v>
      </c>
      <c r="EB61" s="1829">
        <v>30</v>
      </c>
      <c r="EC61" s="1795">
        <f>IF(ACTIONS!C4&gt;0,EC62+1,0)</f>
        <v>0</v>
      </c>
      <c r="ED61" s="1795">
        <f>IF(ACTIONS!D4&gt;0,ED62+1,0)</f>
        <v>0</v>
      </c>
      <c r="EE61" s="1795">
        <f>IF(ACTIONS!E4&gt;0,EE62+1,0)</f>
        <v>0</v>
      </c>
      <c r="EF61" s="1795">
        <f>IF(ACTIONS!F4&gt;0,EF62+1,0)</f>
        <v>0</v>
      </c>
      <c r="EG61" s="1795">
        <f>IF(ACTIONS!G4&gt;0,EG62+1,0)</f>
        <v>0</v>
      </c>
      <c r="EH61" s="1795">
        <f>IF(ACTIONS!H4&gt;0,EH62+1,0)</f>
        <v>0</v>
      </c>
      <c r="EI61" s="1795">
        <f>IF(ACTIONS!I4&gt;0,EI62+1,0)</f>
        <v>0</v>
      </c>
      <c r="EJ61" s="1795">
        <f>IF(ACTIONS!J4&gt;0,EJ62+1,0)</f>
        <v>0</v>
      </c>
      <c r="EK61" s="1795">
        <f>IF(ACTIONS!K4&gt;0,EK62+1,0)</f>
        <v>0</v>
      </c>
      <c r="EM61" s="1829">
        <v>30</v>
      </c>
      <c r="EN61" s="1795">
        <f>IF(ACTIONS!BQ4&gt;0,EN62+1,0)</f>
        <v>0</v>
      </c>
      <c r="EO61" s="1795">
        <f>IF(ACTIONS!BR4&gt;0,EO62+1,0)</f>
        <v>0</v>
      </c>
      <c r="EP61" s="1795">
        <f>IF(ACTIONS!BS4&gt;0,EP62+1,0)</f>
        <v>0</v>
      </c>
      <c r="EQ61" s="1795">
        <f>IF(ACTIONS!BT4&gt;0,EQ62+1,0)</f>
        <v>0</v>
      </c>
      <c r="ER61" s="1795">
        <f>IF(ACTIONS!BU4&gt;0,ER62+1,0)</f>
        <v>0</v>
      </c>
      <c r="ES61" s="1795">
        <f>IF(ACTIONS!BV4&gt;0,ES62+1,0)</f>
        <v>0</v>
      </c>
      <c r="ET61" s="1795">
        <f>IF(ACTIONS!BW4&gt;0,ET62+1,0)</f>
        <v>0</v>
      </c>
      <c r="EU61" s="1795">
        <f>IF(ACTIONS!BX4&gt;0,EU62+1,0)</f>
        <v>0</v>
      </c>
      <c r="EV61" s="1795">
        <f>IF(ACTIONS!BY4&gt;0,EV62+1,0)</f>
        <v>0</v>
      </c>
      <c r="EX61" s="2403"/>
      <c r="EY61" s="1905"/>
      <c r="EZ61" s="1905"/>
      <c r="FA61" s="1905" t="s">
        <v>1089</v>
      </c>
      <c r="FB61" s="1905"/>
      <c r="FC61" s="1906">
        <f>SUM(FC25:FC59)</f>
        <v>18.875</v>
      </c>
      <c r="FD61" s="1906">
        <f>SUM(FD25:FD59)</f>
        <v>12.125</v>
      </c>
      <c r="FE61" s="1906">
        <f>SUM(FE25:FE59)</f>
        <v>6.625</v>
      </c>
      <c r="FF61" s="1906">
        <f>SUM(FF25:FF59)</f>
        <v>3.125</v>
      </c>
      <c r="FG61" s="2550"/>
      <c r="FH61" s="2551"/>
      <c r="FI61" s="2552">
        <f>SUM(FI25:FI59)</f>
        <v>18.875</v>
      </c>
      <c r="FJ61" s="1865"/>
      <c r="HS61" s="1796"/>
      <c r="JC61" s="1892"/>
      <c r="JE61" s="1887"/>
      <c r="JF61" s="1894"/>
      <c r="JG61" s="1895" t="s">
        <v>238</v>
      </c>
      <c r="JH61" s="1896"/>
      <c r="JI61" s="1897"/>
      <c r="JJ61" s="1767"/>
      <c r="JM61" s="1893"/>
      <c r="JN61" s="1789"/>
      <c r="JO61" s="2170" t="s">
        <v>2215</v>
      </c>
      <c r="JP61" s="1819" t="s">
        <v>389</v>
      </c>
      <c r="JQ61" s="2170" t="s">
        <v>1380</v>
      </c>
      <c r="JR61" s="1819" t="s">
        <v>396</v>
      </c>
      <c r="JS61" s="2060"/>
      <c r="JT61" s="3048"/>
      <c r="JV61" s="3048"/>
      <c r="JX61" s="1851"/>
      <c r="JZ61" s="1851"/>
      <c r="KB61" s="1851"/>
      <c r="KG61" s="1822"/>
      <c r="KH61" s="1821"/>
      <c r="KI61" s="1822"/>
      <c r="KJ61" s="1821"/>
      <c r="KK61" s="1822"/>
      <c r="KQ61" s="1930"/>
      <c r="KR61" s="3053"/>
      <c r="KS61" s="1930"/>
      <c r="KT61" s="3053"/>
      <c r="KV61" s="3048"/>
      <c r="KW61" s="3053"/>
      <c r="KX61" s="3048"/>
      <c r="KY61" s="3053"/>
    </row>
    <row r="62" spans="5:311" ht="17.100000000000001" customHeight="1" thickBot="1" x14ac:dyDescent="0.35">
      <c r="E62" s="1808"/>
      <c r="J62" s="1898" t="str">
        <f t="shared" si="15"/>
        <v/>
      </c>
      <c r="K62" s="3312" t="str">
        <f t="shared" si="16"/>
        <v/>
      </c>
      <c r="L62" s="1779"/>
      <c r="M62" s="1779"/>
      <c r="N62" s="1779"/>
      <c r="O62" s="1779"/>
      <c r="P62" s="1779"/>
      <c r="Q62" s="1779"/>
      <c r="R62" s="1779"/>
      <c r="S62" s="1779"/>
      <c r="T62" s="1779"/>
      <c r="U62" s="1779"/>
      <c r="V62" s="1922"/>
      <c r="W62" s="1779"/>
      <c r="X62" s="1779"/>
      <c r="Y62" s="1779"/>
      <c r="Z62" s="1779"/>
      <c r="AA62" s="1779"/>
      <c r="AB62" s="1779"/>
      <c r="AC62" s="1779"/>
      <c r="AD62" s="1779"/>
      <c r="AE62" s="1779"/>
      <c r="AF62" s="1779"/>
      <c r="AH62" s="3312" t="str">
        <f t="shared" si="17"/>
        <v/>
      </c>
      <c r="AI62" s="1779"/>
      <c r="AJ62" s="1928"/>
      <c r="AK62" s="1779"/>
      <c r="AL62" s="1779"/>
      <c r="AM62" s="1779"/>
      <c r="AN62" s="1779"/>
      <c r="AO62" s="1779"/>
      <c r="AP62" s="1779"/>
      <c r="AQ62" s="1779"/>
      <c r="AR62" s="1779"/>
      <c r="AS62" s="1779"/>
      <c r="AT62" s="3213"/>
      <c r="AU62" s="3385"/>
      <c r="AV62" s="3383"/>
      <c r="AW62" s="3383"/>
      <c r="AX62" s="3383"/>
      <c r="AY62" s="3383"/>
      <c r="AZ62" s="3383"/>
      <c r="BA62" s="3383"/>
      <c r="BB62" s="3383"/>
      <c r="BC62" s="3383"/>
      <c r="BD62" s="3383"/>
      <c r="BE62" s="3311">
        <v>39</v>
      </c>
      <c r="BF62" s="1882" t="str">
        <f t="shared" si="30"/>
        <v/>
      </c>
      <c r="BG62" s="1883">
        <f t="shared" si="31"/>
        <v>0</v>
      </c>
      <c r="BH62" s="1884">
        <f t="shared" si="32"/>
        <v>0</v>
      </c>
      <c r="EB62" s="1829">
        <v>29</v>
      </c>
      <c r="EC62" s="1795">
        <f>IF(ACTIONS!C5&gt;0,EC63+1,0)</f>
        <v>0</v>
      </c>
      <c r="ED62" s="1795">
        <f>IF(ACTIONS!D5&gt;0,ED63+1,0)</f>
        <v>0</v>
      </c>
      <c r="EE62" s="1795">
        <f>IF(ACTIONS!E5&gt;0,EE63+1,0)</f>
        <v>0</v>
      </c>
      <c r="EF62" s="1795">
        <f>IF(ACTIONS!F5&gt;0,EF63+1,0)</f>
        <v>0</v>
      </c>
      <c r="EG62" s="1795">
        <f>IF(ACTIONS!G5&gt;0,EG63+1,0)</f>
        <v>0</v>
      </c>
      <c r="EH62" s="1795">
        <f>IF(ACTIONS!H5&gt;0,EH63+1,0)</f>
        <v>0</v>
      </c>
      <c r="EI62" s="1795">
        <f>IF(ACTIONS!I5&gt;0,EI63+1,0)</f>
        <v>0</v>
      </c>
      <c r="EJ62" s="1795">
        <f>IF(ACTIONS!J5&gt;0,EJ63+1,0)</f>
        <v>0</v>
      </c>
      <c r="EK62" s="1795">
        <f>IF(ACTIONS!K5&gt;0,EK63+1,0)</f>
        <v>0</v>
      </c>
      <c r="EM62" s="1829">
        <v>29</v>
      </c>
      <c r="EN62" s="1795">
        <f>IF(ACTIONS!BQ5&gt;0,EN63+1,0)</f>
        <v>0</v>
      </c>
      <c r="EO62" s="1795">
        <f>IF(ACTIONS!BR5&gt;0,EO63+1,0)</f>
        <v>0</v>
      </c>
      <c r="EP62" s="1795">
        <f>IF(ACTIONS!BS5&gt;0,EP63+1,0)</f>
        <v>0</v>
      </c>
      <c r="EQ62" s="1795">
        <f>IF(ACTIONS!BT5&gt;0,EQ63+1,0)</f>
        <v>0</v>
      </c>
      <c r="ER62" s="1795">
        <f>IF(ACTIONS!BU5&gt;0,ER63+1,0)</f>
        <v>0</v>
      </c>
      <c r="ES62" s="1795">
        <f>IF(ACTIONS!BV5&gt;0,ES63+1,0)</f>
        <v>0</v>
      </c>
      <c r="ET62" s="1795">
        <f>IF(ACTIONS!BW5&gt;0,ET63+1,0)</f>
        <v>0</v>
      </c>
      <c r="EU62" s="1795">
        <f>IF(ACTIONS!BX5&gt;0,EU63+1,0)</f>
        <v>0</v>
      </c>
      <c r="EV62" s="1795">
        <f>IF(ACTIONS!BY5&gt;0,EV63+1,0)</f>
        <v>0</v>
      </c>
      <c r="EX62" s="2404"/>
      <c r="EY62" s="1871"/>
      <c r="EZ62" s="1871"/>
      <c r="FA62" s="1871"/>
      <c r="FB62" s="1871"/>
      <c r="FC62" s="1871"/>
      <c r="FD62" s="1871"/>
      <c r="FE62" s="1871"/>
      <c r="FF62" s="1871"/>
      <c r="FG62" s="2405"/>
      <c r="FH62" s="2404"/>
      <c r="FI62" s="1871"/>
      <c r="FJ62" s="2405"/>
      <c r="JC62" s="1892"/>
      <c r="JE62" s="1887"/>
      <c r="JF62" s="1846" t="s">
        <v>240</v>
      </c>
      <c r="JG62" s="1899"/>
      <c r="JH62" s="1846" t="s">
        <v>240</v>
      </c>
      <c r="JI62" s="1870" t="s">
        <v>241</v>
      </c>
      <c r="JM62" s="1893"/>
      <c r="JO62" s="2170" t="s">
        <v>1363</v>
      </c>
      <c r="JP62" s="1819" t="s">
        <v>391</v>
      </c>
      <c r="JQ62" s="2170" t="s">
        <v>1371</v>
      </c>
      <c r="JR62" s="1819" t="s">
        <v>396</v>
      </c>
      <c r="JT62" s="3048"/>
      <c r="JV62" s="3048"/>
      <c r="KG62" s="1822"/>
      <c r="KH62" s="1821"/>
      <c r="KI62" s="1822"/>
      <c r="KJ62" s="1821"/>
      <c r="KK62" s="1822"/>
      <c r="KQ62" s="1930"/>
      <c r="KR62" s="3053"/>
      <c r="KS62" s="1930"/>
      <c r="KT62" s="3053"/>
      <c r="KV62" s="3048"/>
      <c r="KW62" s="3053"/>
      <c r="KX62" s="3048"/>
      <c r="KY62" s="3053"/>
    </row>
    <row r="63" spans="5:311" ht="17.100000000000001" customHeight="1" thickBot="1" x14ac:dyDescent="0.35">
      <c r="J63" s="1898" t="str">
        <f t="shared" si="15"/>
        <v/>
      </c>
      <c r="K63" s="3312" t="str">
        <f t="shared" si="16"/>
        <v/>
      </c>
      <c r="L63" s="1779"/>
      <c r="M63" s="1779"/>
      <c r="N63" s="1779"/>
      <c r="O63" s="1779"/>
      <c r="P63" s="1779"/>
      <c r="Q63" s="1779"/>
      <c r="R63" s="1779"/>
      <c r="S63" s="1779"/>
      <c r="T63" s="1779"/>
      <c r="U63" s="1779"/>
      <c r="V63" s="1922"/>
      <c r="W63" s="1779"/>
      <c r="X63" s="1779"/>
      <c r="Y63" s="1779"/>
      <c r="Z63" s="1779"/>
      <c r="AA63" s="1779"/>
      <c r="AB63" s="1779"/>
      <c r="AC63" s="1779"/>
      <c r="AD63" s="1779"/>
      <c r="AE63" s="1779"/>
      <c r="AF63" s="1779"/>
      <c r="AH63" s="3312" t="str">
        <f t="shared" si="17"/>
        <v/>
      </c>
      <c r="AI63" s="1779"/>
      <c r="AJ63" s="1928"/>
      <c r="AK63" s="1779"/>
      <c r="AL63" s="1779"/>
      <c r="AM63" s="1779"/>
      <c r="AN63" s="1779"/>
      <c r="AO63" s="1779"/>
      <c r="AP63" s="1779"/>
      <c r="AQ63" s="1779"/>
      <c r="AR63" s="1779"/>
      <c r="AS63" s="1779"/>
      <c r="AT63" s="3213"/>
      <c r="AU63" s="3385"/>
      <c r="AV63" s="3383"/>
      <c r="AW63" s="3383"/>
      <c r="AX63" s="3383"/>
      <c r="AY63" s="3383"/>
      <c r="AZ63" s="3383"/>
      <c r="BA63" s="3383"/>
      <c r="BB63" s="3383"/>
      <c r="BC63" s="3383"/>
      <c r="BD63" s="3383"/>
      <c r="BE63" s="3311">
        <v>40</v>
      </c>
      <c r="BF63" s="1882" t="str">
        <f t="shared" si="30"/>
        <v/>
      </c>
      <c r="BG63" s="1883">
        <f t="shared" si="31"/>
        <v>0</v>
      </c>
      <c r="BH63" s="1884">
        <f t="shared" si="32"/>
        <v>0</v>
      </c>
      <c r="EB63" s="1829">
        <v>28</v>
      </c>
      <c r="EC63" s="1795">
        <f>IF(ACTIONS!C6&gt;0,EC64+1,0)</f>
        <v>0</v>
      </c>
      <c r="ED63" s="1795">
        <f>IF(ACTIONS!D6&gt;0,ED64+1,0)</f>
        <v>0</v>
      </c>
      <c r="EE63" s="1795">
        <f>IF(ACTIONS!E6&gt;0,EE64+1,0)</f>
        <v>0</v>
      </c>
      <c r="EF63" s="1795">
        <f>IF(ACTIONS!F6&gt;0,EF64+1,0)</f>
        <v>0</v>
      </c>
      <c r="EG63" s="1795">
        <f>IF(ACTIONS!G6&gt;0,EG64+1,0)</f>
        <v>0</v>
      </c>
      <c r="EH63" s="1795">
        <f>IF(ACTIONS!H6&gt;0,EH64+1,0)</f>
        <v>0</v>
      </c>
      <c r="EI63" s="1795">
        <f>IF(ACTIONS!I6&gt;0,EI64+1,0)</f>
        <v>0</v>
      </c>
      <c r="EJ63" s="1795">
        <f>IF(ACTIONS!J6&gt;0,EJ64+1,0)</f>
        <v>0</v>
      </c>
      <c r="EK63" s="1795">
        <f>IF(ACTIONS!K6&gt;0,EK64+1,0)</f>
        <v>0</v>
      </c>
      <c r="EM63" s="1829">
        <v>28</v>
      </c>
      <c r="EN63" s="1795">
        <f>IF(ACTIONS!BQ6&gt;0,EN64+1,0)</f>
        <v>0</v>
      </c>
      <c r="EO63" s="1795">
        <f>IF(ACTIONS!BR6&gt;0,EO64+1,0)</f>
        <v>0</v>
      </c>
      <c r="EP63" s="1795">
        <f>IF(ACTIONS!BS6&gt;0,EP64+1,0)</f>
        <v>0</v>
      </c>
      <c r="EQ63" s="1795">
        <f>IF(ACTIONS!BT6&gt;0,EQ64+1,0)</f>
        <v>0</v>
      </c>
      <c r="ER63" s="1795">
        <f>IF(ACTIONS!BU6&gt;0,ER64+1,0)</f>
        <v>0</v>
      </c>
      <c r="ES63" s="1795">
        <f>IF(ACTIONS!BV6&gt;0,ES64+1,0)</f>
        <v>0</v>
      </c>
      <c r="ET63" s="1795">
        <f>IF(ACTIONS!BW6&gt;0,ET64+1,0)</f>
        <v>0</v>
      </c>
      <c r="EU63" s="1795">
        <f>IF(ACTIONS!BX6&gt;0,EU64+1,0)</f>
        <v>0</v>
      </c>
      <c r="EV63" s="1795">
        <f>IF(ACTIONS!BY6&gt;0,EV64+1,0)</f>
        <v>0</v>
      </c>
      <c r="JC63" s="1892"/>
      <c r="JD63" s="1900"/>
      <c r="JE63" s="1900" t="s">
        <v>277</v>
      </c>
      <c r="JF63" s="1850">
        <f t="shared" ref="JF63:JF70" ca="1" si="33">IF($JF$61="roll", RANDBETWEEN(1,20),0)</f>
        <v>0</v>
      </c>
      <c r="JG63" s="1900" t="s">
        <v>244</v>
      </c>
      <c r="JH63" s="1850">
        <v>15</v>
      </c>
      <c r="JI63" s="1901"/>
      <c r="JM63" s="1893"/>
      <c r="JO63" s="2170" t="s">
        <v>1369</v>
      </c>
      <c r="JP63" s="1819" t="s">
        <v>390</v>
      </c>
      <c r="JQ63" s="2170" t="s">
        <v>1384</v>
      </c>
      <c r="JR63" s="1819" t="s">
        <v>396</v>
      </c>
      <c r="JT63" s="3048"/>
      <c r="JV63" s="3048"/>
      <c r="JX63" s="1851"/>
      <c r="JZ63" s="1851"/>
      <c r="KB63" s="1851"/>
      <c r="KG63" s="1822"/>
      <c r="KH63" s="1821"/>
      <c r="KI63" s="1822"/>
      <c r="KJ63" s="1821"/>
      <c r="KK63" s="1822"/>
      <c r="KQ63" s="1930"/>
      <c r="KR63" s="3053"/>
      <c r="KS63" s="1930"/>
      <c r="KT63" s="3053"/>
      <c r="KV63" s="3048"/>
      <c r="KW63" s="3053"/>
      <c r="KX63" s="3048"/>
      <c r="KY63" s="3053"/>
    </row>
    <row r="64" spans="5:311" ht="17.100000000000001" customHeight="1" thickBot="1" x14ac:dyDescent="0.35">
      <c r="J64" s="1898" t="str">
        <f t="shared" si="15"/>
        <v/>
      </c>
      <c r="K64" s="3312" t="str">
        <f t="shared" si="16"/>
        <v/>
      </c>
      <c r="L64" s="1779"/>
      <c r="M64" s="1779"/>
      <c r="N64" s="1779"/>
      <c r="O64" s="1779"/>
      <c r="P64" s="1779"/>
      <c r="Q64" s="1779"/>
      <c r="R64" s="1779"/>
      <c r="S64" s="1779"/>
      <c r="T64" s="1779"/>
      <c r="U64" s="1779"/>
      <c r="V64" s="1922"/>
      <c r="W64" s="1779"/>
      <c r="X64" s="1779"/>
      <c r="Y64" s="1779"/>
      <c r="Z64" s="1779"/>
      <c r="AA64" s="1779"/>
      <c r="AB64" s="1779"/>
      <c r="AC64" s="1779"/>
      <c r="AD64" s="1779"/>
      <c r="AE64" s="1779"/>
      <c r="AF64" s="1779"/>
      <c r="AH64" s="3312" t="str">
        <f t="shared" si="17"/>
        <v/>
      </c>
      <c r="AI64" s="1779"/>
      <c r="AJ64" s="1928"/>
      <c r="AK64" s="1779"/>
      <c r="AL64" s="1779"/>
      <c r="AM64" s="1779"/>
      <c r="AN64" s="1779"/>
      <c r="AO64" s="1779"/>
      <c r="AP64" s="1779"/>
      <c r="AQ64" s="1779"/>
      <c r="AR64" s="1779"/>
      <c r="AS64" s="1779"/>
      <c r="AT64" s="3213"/>
      <c r="AU64" s="3385"/>
      <c r="AV64" s="3383"/>
      <c r="AW64" s="3383"/>
      <c r="AX64" s="3383"/>
      <c r="AY64" s="3383"/>
      <c r="AZ64" s="3383"/>
      <c r="BA64" s="3383"/>
      <c r="BB64" s="3383"/>
      <c r="BC64" s="3383"/>
      <c r="BD64" s="3383"/>
      <c r="BE64" s="3311">
        <v>41</v>
      </c>
      <c r="BF64" s="1882" t="str">
        <f t="shared" si="30"/>
        <v/>
      </c>
      <c r="BG64" s="1883">
        <f t="shared" si="31"/>
        <v>0</v>
      </c>
      <c r="BH64" s="1884">
        <f t="shared" si="32"/>
        <v>0</v>
      </c>
      <c r="EB64" s="1829">
        <v>27</v>
      </c>
      <c r="EC64" s="1795">
        <f>IF(ACTIONS!C7&gt;0,EC65+1,0)</f>
        <v>0</v>
      </c>
      <c r="ED64" s="1795">
        <f>IF(ACTIONS!D7&gt;0,ED65+1,0)</f>
        <v>0</v>
      </c>
      <c r="EE64" s="1795">
        <f>IF(ACTIONS!E7&gt;0,EE65+1,0)</f>
        <v>0</v>
      </c>
      <c r="EF64" s="1795">
        <f>IF(ACTIONS!F7&gt;0,EF65+1,0)</f>
        <v>0</v>
      </c>
      <c r="EG64" s="1795">
        <f>IF(ACTIONS!G7&gt;0,EG65+1,0)</f>
        <v>0</v>
      </c>
      <c r="EH64" s="1795">
        <f>IF(ACTIONS!H7&gt;0,EH65+1,0)</f>
        <v>0</v>
      </c>
      <c r="EI64" s="1795">
        <f>IF(ACTIONS!I7&gt;0,EI65+1,0)</f>
        <v>0</v>
      </c>
      <c r="EJ64" s="1795">
        <f>IF(ACTIONS!J7&gt;0,EJ65+1,0)</f>
        <v>0</v>
      </c>
      <c r="EK64" s="1795">
        <f>IF(ACTIONS!K7&gt;0,EK65+1,0)</f>
        <v>0</v>
      </c>
      <c r="EM64" s="1829">
        <v>27</v>
      </c>
      <c r="EN64" s="1795">
        <f>IF(ACTIONS!BQ7&gt;0,EN65+1,0)</f>
        <v>0</v>
      </c>
      <c r="EO64" s="1795">
        <f>IF(ACTIONS!BR7&gt;0,EO65+1,0)</f>
        <v>0</v>
      </c>
      <c r="EP64" s="1795">
        <f>IF(ACTIONS!BS7&gt;0,EP65+1,0)</f>
        <v>0</v>
      </c>
      <c r="EQ64" s="1795">
        <f>IF(ACTIONS!BT7&gt;0,EQ65+1,0)</f>
        <v>0</v>
      </c>
      <c r="ER64" s="1795">
        <f>IF(ACTIONS!BU7&gt;0,ER65+1,0)</f>
        <v>0</v>
      </c>
      <c r="ES64" s="1795">
        <f>IF(ACTIONS!BV7&gt;0,ES65+1,0)</f>
        <v>0</v>
      </c>
      <c r="ET64" s="1795">
        <f>IF(ACTIONS!BW7&gt;0,ET65+1,0)</f>
        <v>0</v>
      </c>
      <c r="EU64" s="1795">
        <f>IF(ACTIONS!BX7&gt;0,EU65+1,0)</f>
        <v>0</v>
      </c>
      <c r="EV64" s="1795">
        <f>IF(ACTIONS!BY7&gt;0,EV65+1,0)</f>
        <v>0</v>
      </c>
      <c r="JC64" s="1892"/>
      <c r="JE64" s="1900"/>
      <c r="JF64" s="1850">
        <f t="shared" ca="1" si="33"/>
        <v>0</v>
      </c>
      <c r="JG64" s="1900" t="s">
        <v>246</v>
      </c>
      <c r="JH64" s="1850">
        <v>14</v>
      </c>
      <c r="JI64" s="1901"/>
      <c r="JM64" s="1893"/>
      <c r="JO64" s="2170" t="s">
        <v>1362</v>
      </c>
      <c r="JP64" s="1819" t="s">
        <v>393</v>
      </c>
      <c r="JQ64" s="2170" t="s">
        <v>1378</v>
      </c>
      <c r="JR64" s="1819" t="s">
        <v>396</v>
      </c>
      <c r="JT64" s="3048"/>
      <c r="JV64" s="3048"/>
      <c r="KG64" s="1822"/>
      <c r="KH64" s="1821"/>
      <c r="KI64" s="1822"/>
      <c r="KJ64" s="1821"/>
      <c r="KK64" s="1822"/>
      <c r="KQ64" s="1930"/>
      <c r="KR64" s="3053"/>
      <c r="KS64" s="1930"/>
      <c r="KT64" s="3053"/>
      <c r="KV64" s="3048"/>
      <c r="KW64" s="3053"/>
      <c r="KX64" s="3048"/>
      <c r="KY64" s="3053"/>
    </row>
    <row r="65" spans="10:311" ht="17.100000000000001" customHeight="1" thickBot="1" x14ac:dyDescent="0.35">
      <c r="J65" s="1898" t="str">
        <f t="shared" si="15"/>
        <v/>
      </c>
      <c r="K65" s="3312" t="str">
        <f t="shared" si="16"/>
        <v/>
      </c>
      <c r="L65" s="1779"/>
      <c r="M65" s="1779"/>
      <c r="N65" s="1779"/>
      <c r="O65" s="1779"/>
      <c r="P65" s="1779"/>
      <c r="Q65" s="1779"/>
      <c r="R65" s="1779"/>
      <c r="S65" s="1779"/>
      <c r="T65" s="1779"/>
      <c r="U65" s="1779"/>
      <c r="V65" s="1922"/>
      <c r="W65" s="1779"/>
      <c r="X65" s="1779"/>
      <c r="Y65" s="1779"/>
      <c r="Z65" s="1779"/>
      <c r="AA65" s="1779"/>
      <c r="AB65" s="1779"/>
      <c r="AC65" s="1779"/>
      <c r="AD65" s="1779"/>
      <c r="AE65" s="1779"/>
      <c r="AF65" s="1779"/>
      <c r="AH65" s="3312" t="str">
        <f t="shared" si="17"/>
        <v/>
      </c>
      <c r="AI65" s="1779"/>
      <c r="AJ65" s="1928"/>
      <c r="AK65" s="1779"/>
      <c r="AL65" s="1779"/>
      <c r="AM65" s="1779"/>
      <c r="AN65" s="1779"/>
      <c r="AO65" s="1779"/>
      <c r="AP65" s="1779"/>
      <c r="AQ65" s="1779"/>
      <c r="AR65" s="1779"/>
      <c r="AS65" s="1779"/>
      <c r="AT65" s="3213"/>
      <c r="AU65" s="3385"/>
      <c r="AV65" s="3383"/>
      <c r="AW65" s="3383"/>
      <c r="AX65" s="3383"/>
      <c r="AY65" s="3383"/>
      <c r="AZ65" s="3383"/>
      <c r="BA65" s="3383"/>
      <c r="BB65" s="3383"/>
      <c r="BC65" s="3383"/>
      <c r="BD65" s="3383"/>
      <c r="BE65" s="3311">
        <v>42</v>
      </c>
      <c r="BF65" s="1882" t="str">
        <f t="shared" si="30"/>
        <v/>
      </c>
      <c r="BG65" s="1883">
        <f t="shared" si="31"/>
        <v>0</v>
      </c>
      <c r="BH65" s="1884">
        <f t="shared" si="32"/>
        <v>0</v>
      </c>
      <c r="EB65" s="1829">
        <v>26</v>
      </c>
      <c r="EC65" s="1795">
        <f>IF(ACTIONS!C8&gt;0,EC66+1,0)</f>
        <v>0</v>
      </c>
      <c r="ED65" s="1795">
        <f>IF(ACTIONS!D8&gt;0,ED66+1,0)</f>
        <v>0</v>
      </c>
      <c r="EE65" s="1795">
        <f>IF(ACTIONS!E8&gt;0,EE66+1,0)</f>
        <v>0</v>
      </c>
      <c r="EF65" s="1795">
        <f>IF(ACTIONS!F8&gt;0,EF66+1,0)</f>
        <v>0</v>
      </c>
      <c r="EG65" s="1795">
        <f>IF(ACTIONS!G8&gt;0,EG66+1,0)</f>
        <v>0</v>
      </c>
      <c r="EH65" s="1795">
        <f>IF(ACTIONS!H8&gt;0,EH66+1,0)</f>
        <v>0</v>
      </c>
      <c r="EI65" s="1795">
        <f>IF(ACTIONS!I8&gt;0,EI66+1,0)</f>
        <v>0</v>
      </c>
      <c r="EJ65" s="1795">
        <f>IF(ACTIONS!J8&gt;0,EJ66+1,0)</f>
        <v>0</v>
      </c>
      <c r="EK65" s="1795">
        <f>IF(ACTIONS!K8&gt;0,EK66+1,0)</f>
        <v>0</v>
      </c>
      <c r="EM65" s="1829">
        <v>26</v>
      </c>
      <c r="EN65" s="1795">
        <f>IF(ACTIONS!BQ8&gt;0,EN66+1,0)</f>
        <v>0</v>
      </c>
      <c r="EO65" s="1795">
        <f>IF(ACTIONS!BR8&gt;0,EO66+1,0)</f>
        <v>0</v>
      </c>
      <c r="EP65" s="1795">
        <f>IF(ACTIONS!BS8&gt;0,EP66+1,0)</f>
        <v>0</v>
      </c>
      <c r="EQ65" s="1795">
        <f>IF(ACTIONS!BT8&gt;0,EQ66+1,0)</f>
        <v>0</v>
      </c>
      <c r="ER65" s="1795">
        <f>IF(ACTIONS!BU8&gt;0,ER66+1,0)</f>
        <v>0</v>
      </c>
      <c r="ES65" s="1795">
        <f>IF(ACTIONS!BV8&gt;0,ES66+1,0)</f>
        <v>0</v>
      </c>
      <c r="ET65" s="1795">
        <f>IF(ACTIONS!BW8&gt;0,ET66+1,0)</f>
        <v>0</v>
      </c>
      <c r="EU65" s="1795">
        <f>IF(ACTIONS!BX8&gt;0,EU66+1,0)</f>
        <v>0</v>
      </c>
      <c r="EV65" s="1795">
        <f>IF(ACTIONS!BY8&gt;0,EV66+1,0)</f>
        <v>0</v>
      </c>
      <c r="FC65" s="2016" t="s">
        <v>2207</v>
      </c>
      <c r="FD65" s="2419"/>
      <c r="FE65" s="2419"/>
      <c r="FF65" s="2419"/>
      <c r="FG65" s="2418"/>
      <c r="FH65" s="2418"/>
      <c r="FJ65" s="2418"/>
      <c r="JC65" s="1892"/>
      <c r="JE65" s="1900"/>
      <c r="JF65" s="1850">
        <f t="shared" ca="1" si="33"/>
        <v>0</v>
      </c>
      <c r="JG65" s="1900" t="s">
        <v>250</v>
      </c>
      <c r="JH65" s="1850">
        <v>1</v>
      </c>
      <c r="JI65" s="1901"/>
      <c r="JM65" s="1893"/>
      <c r="JO65" s="2170" t="s">
        <v>1313</v>
      </c>
      <c r="JP65" s="1832" t="s">
        <v>1881</v>
      </c>
      <c r="JQ65" s="2170" t="s">
        <v>1316</v>
      </c>
      <c r="JR65" s="1819" t="s">
        <v>396</v>
      </c>
      <c r="JT65" s="3048"/>
      <c r="JV65" s="3048"/>
      <c r="JX65" s="1851"/>
      <c r="JZ65" s="1851"/>
      <c r="KB65" s="1851"/>
      <c r="KG65" s="1822"/>
      <c r="KH65" s="1821"/>
      <c r="KI65" s="1822"/>
      <c r="KJ65" s="1821"/>
      <c r="KK65" s="1822"/>
      <c r="KQ65" s="1930"/>
      <c r="KR65" s="1764"/>
      <c r="KS65" s="1930"/>
      <c r="KT65" s="3053"/>
      <c r="KV65" s="3048"/>
      <c r="KW65" s="1764"/>
      <c r="KX65" s="3048"/>
      <c r="KY65" s="3053"/>
    </row>
    <row r="66" spans="10:311" ht="17.100000000000001" customHeight="1" thickBot="1" x14ac:dyDescent="0.35">
      <c r="J66" s="1898" t="str">
        <f t="shared" si="15"/>
        <v/>
      </c>
      <c r="K66" s="3312" t="str">
        <f t="shared" si="16"/>
        <v/>
      </c>
      <c r="L66" s="1779"/>
      <c r="M66" s="1779"/>
      <c r="N66" s="1779"/>
      <c r="O66" s="1779"/>
      <c r="P66" s="1779"/>
      <c r="Q66" s="1779"/>
      <c r="R66" s="1779"/>
      <c r="S66" s="1779"/>
      <c r="T66" s="1779"/>
      <c r="U66" s="1779"/>
      <c r="V66" s="1922"/>
      <c r="W66" s="1779"/>
      <c r="X66" s="1779"/>
      <c r="Y66" s="1779"/>
      <c r="Z66" s="1779"/>
      <c r="AA66" s="1779"/>
      <c r="AB66" s="1779"/>
      <c r="AC66" s="1779"/>
      <c r="AD66" s="1779"/>
      <c r="AE66" s="1779"/>
      <c r="AF66" s="1779"/>
      <c r="AH66" s="3312" t="str">
        <f t="shared" si="17"/>
        <v/>
      </c>
      <c r="AI66" s="1779"/>
      <c r="AJ66" s="1928"/>
      <c r="AK66" s="1779"/>
      <c r="AL66" s="1779"/>
      <c r="AM66" s="1779"/>
      <c r="AN66" s="1779"/>
      <c r="AO66" s="1779"/>
      <c r="AP66" s="1779"/>
      <c r="AQ66" s="1779"/>
      <c r="AR66" s="1779"/>
      <c r="AS66" s="1779"/>
      <c r="AT66" s="3213"/>
      <c r="AU66" s="3385"/>
      <c r="AV66" s="3383"/>
      <c r="AW66" s="3383"/>
      <c r="AX66" s="3383"/>
      <c r="AY66" s="3383"/>
      <c r="AZ66" s="3383"/>
      <c r="BA66" s="3383"/>
      <c r="BB66" s="3383"/>
      <c r="BC66" s="3383"/>
      <c r="BD66" s="3383"/>
      <c r="BE66" s="3311">
        <v>43</v>
      </c>
      <c r="BF66" s="1882" t="str">
        <f t="shared" si="30"/>
        <v/>
      </c>
      <c r="BG66" s="1883">
        <f t="shared" si="31"/>
        <v>0</v>
      </c>
      <c r="BH66" s="1884">
        <f t="shared" si="32"/>
        <v>0</v>
      </c>
      <c r="EB66" s="1829">
        <v>25</v>
      </c>
      <c r="EC66" s="1795">
        <f>IF(ACTIONS!C9&gt;0,EC67+1,0)</f>
        <v>0</v>
      </c>
      <c r="ED66" s="1795">
        <f>IF(ACTIONS!D9&gt;0,ED67+1,0)</f>
        <v>0</v>
      </c>
      <c r="EE66" s="1795">
        <f>IF(ACTIONS!E9&gt;0,EE67+1,0)</f>
        <v>0</v>
      </c>
      <c r="EF66" s="1795">
        <f>IF(ACTIONS!F9&gt;0,EF67+1,0)</f>
        <v>0</v>
      </c>
      <c r="EG66" s="1795">
        <f>IF(ACTIONS!G9&gt;0,EG67+1,0)</f>
        <v>0</v>
      </c>
      <c r="EH66" s="1795">
        <f>IF(ACTIONS!H9&gt;0,EH67+1,0)</f>
        <v>0</v>
      </c>
      <c r="EI66" s="1795">
        <f>IF(ACTIONS!I9&gt;0,EI67+1,0)</f>
        <v>0</v>
      </c>
      <c r="EJ66" s="1795">
        <f>IF(ACTIONS!J9&gt;0,EJ67+1,0)</f>
        <v>0</v>
      </c>
      <c r="EK66" s="1795">
        <f>IF(ACTIONS!K9&gt;0,EK67+1,0)</f>
        <v>0</v>
      </c>
      <c r="EM66" s="1829">
        <v>25</v>
      </c>
      <c r="EN66" s="1795">
        <f>IF(ACTIONS!BQ9&gt;0,EN67+1,0)</f>
        <v>0</v>
      </c>
      <c r="EO66" s="1795">
        <f>IF(ACTIONS!BR9&gt;0,EO67+1,0)</f>
        <v>0</v>
      </c>
      <c r="EP66" s="1795">
        <f>IF(ACTIONS!BS9&gt;0,EP67+1,0)</f>
        <v>0</v>
      </c>
      <c r="EQ66" s="1795">
        <f>IF(ACTIONS!BT9&gt;0,EQ67+1,0)</f>
        <v>0</v>
      </c>
      <c r="ER66" s="1795">
        <f>IF(ACTIONS!BU9&gt;0,ER67+1,0)</f>
        <v>0</v>
      </c>
      <c r="ES66" s="1795">
        <f>IF(ACTIONS!BV9&gt;0,ES67+1,0)</f>
        <v>0</v>
      </c>
      <c r="ET66" s="1795">
        <f>IF(ACTIONS!BW9&gt;0,ET67+1,0)</f>
        <v>0</v>
      </c>
      <c r="EU66" s="1795">
        <f>IF(ACTIONS!BX9&gt;0,EU67+1,0)</f>
        <v>0</v>
      </c>
      <c r="EV66" s="1795">
        <f>IF(ACTIONS!BY9&gt;0,EV67+1,0)</f>
        <v>0</v>
      </c>
      <c r="EX66" s="1855"/>
      <c r="EY66" s="1856"/>
      <c r="EZ66" s="1856"/>
      <c r="FA66" s="1856"/>
      <c r="FB66" s="1856"/>
      <c r="FC66" s="1856"/>
      <c r="FD66" s="1856"/>
      <c r="FE66" s="1856"/>
      <c r="FF66" s="1856"/>
      <c r="FG66" s="1857"/>
      <c r="FH66" s="1855"/>
      <c r="FI66" s="1856"/>
      <c r="FJ66" s="1857"/>
      <c r="JC66" s="1892"/>
      <c r="JE66" s="1900"/>
      <c r="JF66" s="1850">
        <f t="shared" ca="1" si="33"/>
        <v>0</v>
      </c>
      <c r="JG66" s="1900" t="s">
        <v>257</v>
      </c>
      <c r="JH66" s="1850">
        <v>16</v>
      </c>
      <c r="JI66" s="1901"/>
      <c r="JM66" s="1893"/>
      <c r="JO66" s="2170" t="s">
        <v>2019</v>
      </c>
      <c r="JP66" s="1819" t="s">
        <v>1885</v>
      </c>
      <c r="JQ66" s="2170" t="s">
        <v>1374</v>
      </c>
      <c r="JR66" s="1819" t="s">
        <v>396</v>
      </c>
      <c r="JT66" s="3048"/>
      <c r="JV66" s="3048"/>
      <c r="KG66" s="1822"/>
      <c r="KH66" s="1821"/>
      <c r="KI66" s="1822"/>
      <c r="KJ66" s="1821"/>
      <c r="KK66" s="1822"/>
      <c r="KQ66" s="1930"/>
      <c r="KR66" s="1764"/>
      <c r="KS66" s="1930"/>
      <c r="KT66" s="3053"/>
      <c r="KV66" s="3048"/>
      <c r="KW66" s="1764"/>
      <c r="KX66" s="3048"/>
      <c r="KY66" s="3053"/>
    </row>
    <row r="67" spans="10:311" ht="17.100000000000001" customHeight="1" thickBot="1" x14ac:dyDescent="0.35">
      <c r="J67" s="1898" t="str">
        <f t="shared" si="15"/>
        <v/>
      </c>
      <c r="K67" s="3312" t="str">
        <f t="shared" si="16"/>
        <v/>
      </c>
      <c r="L67" s="1779"/>
      <c r="M67" s="1779"/>
      <c r="N67" s="1779"/>
      <c r="O67" s="1779"/>
      <c r="P67" s="1779"/>
      <c r="Q67" s="1779"/>
      <c r="R67" s="1779"/>
      <c r="S67" s="1779"/>
      <c r="T67" s="1779"/>
      <c r="U67" s="1779"/>
      <c r="V67" s="1922"/>
      <c r="W67" s="1779"/>
      <c r="X67" s="1779"/>
      <c r="Y67" s="1779"/>
      <c r="Z67" s="1779"/>
      <c r="AA67" s="1779"/>
      <c r="AB67" s="1779"/>
      <c r="AC67" s="1779"/>
      <c r="AD67" s="1779"/>
      <c r="AE67" s="1779"/>
      <c r="AF67" s="1779"/>
      <c r="AH67" s="3312" t="str">
        <f t="shared" si="17"/>
        <v/>
      </c>
      <c r="AI67" s="1779"/>
      <c r="AJ67" s="1928"/>
      <c r="AK67" s="1779"/>
      <c r="AL67" s="1779"/>
      <c r="AM67" s="1779"/>
      <c r="AN67" s="1779"/>
      <c r="AO67" s="1779"/>
      <c r="AP67" s="1779"/>
      <c r="AQ67" s="1779"/>
      <c r="AR67" s="1779"/>
      <c r="AS67" s="1779"/>
      <c r="AT67" s="3213"/>
      <c r="AU67" s="3385"/>
      <c r="AV67" s="3383"/>
      <c r="AW67" s="3383"/>
      <c r="AX67" s="3383"/>
      <c r="AY67" s="3383"/>
      <c r="AZ67" s="3383"/>
      <c r="BA67" s="3383"/>
      <c r="BB67" s="3383"/>
      <c r="BC67" s="3383"/>
      <c r="BD67" s="3383"/>
      <c r="BE67" s="3311">
        <v>44</v>
      </c>
      <c r="BF67" s="1882" t="str">
        <f t="shared" si="30"/>
        <v/>
      </c>
      <c r="BG67" s="1883">
        <f t="shared" si="31"/>
        <v>0</v>
      </c>
      <c r="BH67" s="1884">
        <f t="shared" si="32"/>
        <v>0</v>
      </c>
      <c r="EB67" s="1829">
        <v>24</v>
      </c>
      <c r="EC67" s="1795">
        <f>IF(ACTIONS!C10&gt;0,EC68+1,0)</f>
        <v>0</v>
      </c>
      <c r="ED67" s="1795">
        <f>IF(ACTIONS!D10&gt;0,ED68+1,0)</f>
        <v>0</v>
      </c>
      <c r="EE67" s="1795">
        <f>IF(ACTIONS!E10&gt;0,EE68+1,0)</f>
        <v>0</v>
      </c>
      <c r="EF67" s="1795">
        <f>IF(ACTIONS!F10&gt;0,EF68+1,0)</f>
        <v>0</v>
      </c>
      <c r="EG67" s="1795">
        <f>IF(ACTIONS!G10&gt;0,EG68+1,0)</f>
        <v>0</v>
      </c>
      <c r="EH67" s="1795">
        <f>IF(ACTIONS!H10&gt;0,EH68+1,0)</f>
        <v>0</v>
      </c>
      <c r="EI67" s="1795">
        <f>IF(ACTIONS!I10&gt;0,EI68+1,0)</f>
        <v>0</v>
      </c>
      <c r="EJ67" s="1795">
        <f>IF(ACTIONS!J10&gt;0,EJ68+1,0)</f>
        <v>0</v>
      </c>
      <c r="EK67" s="1795">
        <f>IF(ACTIONS!K10&gt;0,EK68+1,0)</f>
        <v>0</v>
      </c>
      <c r="EM67" s="1829">
        <v>24</v>
      </c>
      <c r="EN67" s="1795">
        <f>IF(ACTIONS!BQ10&gt;0,EN68+1,0)</f>
        <v>0</v>
      </c>
      <c r="EO67" s="1795">
        <f>IF(ACTIONS!BR10&gt;0,EO68+1,0)</f>
        <v>0</v>
      </c>
      <c r="EP67" s="1795">
        <f>IF(ACTIONS!BS10&gt;0,EP68+1,0)</f>
        <v>0</v>
      </c>
      <c r="EQ67" s="1795">
        <f>IF(ACTIONS!BT10&gt;0,EQ68+1,0)</f>
        <v>0</v>
      </c>
      <c r="ER67" s="1795">
        <f>IF(ACTIONS!BU10&gt;0,ER68+1,0)</f>
        <v>0</v>
      </c>
      <c r="ES67" s="1795">
        <f>IF(ACTIONS!BV10&gt;0,ES68+1,0)</f>
        <v>0</v>
      </c>
      <c r="ET67" s="1795">
        <f>IF(ACTIONS!BW10&gt;0,ET68+1,0)</f>
        <v>0</v>
      </c>
      <c r="EU67" s="1795">
        <f>IF(ACTIONS!BX10&gt;0,EU68+1,0)</f>
        <v>0</v>
      </c>
      <c r="EV67" s="1795">
        <f>IF(ACTIONS!BY10&gt;0,EV68+1,0)</f>
        <v>0</v>
      </c>
      <c r="EX67" s="2403"/>
      <c r="FA67" s="1808"/>
      <c r="FC67" s="2412"/>
      <c r="FD67" s="2412"/>
      <c r="FE67" s="2412"/>
      <c r="FF67" s="2412"/>
      <c r="FG67" s="2415"/>
      <c r="FH67" s="2414"/>
      <c r="FI67" s="2417"/>
      <c r="FJ67" s="1865"/>
      <c r="JC67" s="1892"/>
      <c r="JE67" s="1900"/>
      <c r="JF67" s="1850">
        <f t="shared" ca="1" si="33"/>
        <v>0</v>
      </c>
      <c r="JG67" s="1900" t="s">
        <v>259</v>
      </c>
      <c r="JH67" s="1850">
        <v>10</v>
      </c>
      <c r="JI67" s="1870" t="s">
        <v>260</v>
      </c>
      <c r="JM67" s="1893"/>
      <c r="JO67" s="2170" t="s">
        <v>1367</v>
      </c>
      <c r="JP67" s="1819" t="s">
        <v>379</v>
      </c>
      <c r="JQ67" s="2170" t="s">
        <v>2214</v>
      </c>
      <c r="JR67" s="1819" t="s">
        <v>396</v>
      </c>
      <c r="JT67" s="3048"/>
      <c r="JV67" s="3048"/>
      <c r="JX67" s="1851"/>
      <c r="JZ67" s="1851"/>
      <c r="KB67" s="1851"/>
      <c r="KG67" s="1822"/>
      <c r="KH67" s="1821"/>
      <c r="KI67" s="1822"/>
      <c r="KJ67" s="1821"/>
      <c r="KK67" s="1822"/>
      <c r="KQ67" s="1930"/>
      <c r="KR67" s="3053"/>
      <c r="KS67" s="1930"/>
      <c r="KT67" s="3053"/>
      <c r="KV67" s="3048"/>
      <c r="KW67" s="3053"/>
      <c r="KX67" s="3048"/>
      <c r="KY67" s="3053"/>
    </row>
    <row r="68" spans="10:311" ht="17.100000000000001" customHeight="1" thickBot="1" x14ac:dyDescent="0.35">
      <c r="J68" s="1898" t="str">
        <f t="shared" si="15"/>
        <v/>
      </c>
      <c r="K68" s="3312" t="str">
        <f t="shared" si="16"/>
        <v/>
      </c>
      <c r="L68" s="1779"/>
      <c r="M68" s="1779"/>
      <c r="N68" s="1779"/>
      <c r="O68" s="1779"/>
      <c r="P68" s="1779"/>
      <c r="Q68" s="1779"/>
      <c r="R68" s="1779"/>
      <c r="S68" s="1779"/>
      <c r="T68" s="1779"/>
      <c r="U68" s="1779"/>
      <c r="V68" s="1922"/>
      <c r="W68" s="1779"/>
      <c r="X68" s="1779"/>
      <c r="Y68" s="1779"/>
      <c r="Z68" s="1779"/>
      <c r="AA68" s="1779"/>
      <c r="AB68" s="1779"/>
      <c r="AC68" s="1779"/>
      <c r="AD68" s="1779"/>
      <c r="AE68" s="1779"/>
      <c r="AF68" s="1779"/>
      <c r="AH68" s="3312" t="str">
        <f t="shared" si="17"/>
        <v/>
      </c>
      <c r="AI68" s="1779"/>
      <c r="AJ68" s="1928"/>
      <c r="AK68" s="1779"/>
      <c r="AL68" s="1779"/>
      <c r="AM68" s="1779"/>
      <c r="AN68" s="1779"/>
      <c r="AO68" s="1779"/>
      <c r="AP68" s="1779"/>
      <c r="AQ68" s="1779"/>
      <c r="AR68" s="1779"/>
      <c r="AS68" s="1779"/>
      <c r="AT68" s="3213"/>
      <c r="AU68" s="3385"/>
      <c r="AV68" s="3383"/>
      <c r="AW68" s="3383"/>
      <c r="AX68" s="3383"/>
      <c r="AY68" s="3383"/>
      <c r="AZ68" s="3383"/>
      <c r="BA68" s="3383"/>
      <c r="BB68" s="3383"/>
      <c r="BC68" s="3383"/>
      <c r="BD68" s="3383"/>
      <c r="BE68" s="3311">
        <v>45</v>
      </c>
      <c r="BF68" s="1882" t="str">
        <f t="shared" si="30"/>
        <v/>
      </c>
      <c r="BG68" s="1883">
        <f t="shared" si="31"/>
        <v>0</v>
      </c>
      <c r="BH68" s="1884">
        <f t="shared" si="32"/>
        <v>0</v>
      </c>
      <c r="EB68" s="1829">
        <v>23</v>
      </c>
      <c r="EC68" s="1795">
        <f>IF(ACTIONS!C11&gt;0,EC69+1,0)</f>
        <v>0</v>
      </c>
      <c r="ED68" s="1795">
        <f>IF(ACTIONS!D11&gt;0,ED69+1,0)</f>
        <v>0</v>
      </c>
      <c r="EE68" s="1795">
        <f>IF(ACTIONS!E11&gt;0,EE69+1,0)</f>
        <v>0</v>
      </c>
      <c r="EF68" s="1795">
        <f>IF(ACTIONS!F11&gt;0,EF69+1,0)</f>
        <v>0</v>
      </c>
      <c r="EG68" s="1795">
        <f>IF(ACTIONS!G11&gt;0,EG69+1,0)</f>
        <v>0</v>
      </c>
      <c r="EH68" s="1795">
        <f>IF(ACTIONS!H11&gt;0,EH69+1,0)</f>
        <v>0</v>
      </c>
      <c r="EI68" s="1795">
        <f>IF(ACTIONS!I11&gt;0,EI69+1,0)</f>
        <v>0</v>
      </c>
      <c r="EJ68" s="1795">
        <f>IF(ACTIONS!J11&gt;0,EJ69+1,0)</f>
        <v>0</v>
      </c>
      <c r="EK68" s="1795">
        <f>IF(ACTIONS!K11&gt;0,EK69+1,0)</f>
        <v>0</v>
      </c>
      <c r="EM68" s="1829">
        <v>23</v>
      </c>
      <c r="EN68" s="1795">
        <f>IF(ACTIONS!BQ11&gt;0,EN69+1,0)</f>
        <v>0</v>
      </c>
      <c r="EO68" s="1795">
        <f>IF(ACTIONS!BR11&gt;0,EO69+1,0)</f>
        <v>0</v>
      </c>
      <c r="EP68" s="1795">
        <f>IF(ACTIONS!BS11&gt;0,EP69+1,0)</f>
        <v>0</v>
      </c>
      <c r="EQ68" s="1795">
        <f>IF(ACTIONS!BT11&gt;0,EQ69+1,0)</f>
        <v>0</v>
      </c>
      <c r="ER68" s="1795">
        <f>IF(ACTIONS!BU11&gt;0,ER69+1,0)</f>
        <v>0</v>
      </c>
      <c r="ES68" s="1795">
        <f>IF(ACTIONS!BV11&gt;0,ES69+1,0)</f>
        <v>0</v>
      </c>
      <c r="ET68" s="1795">
        <f>IF(ACTIONS!BW11&gt;0,ET69+1,0)</f>
        <v>0</v>
      </c>
      <c r="EU68" s="1795">
        <f>IF(ACTIONS!BX11&gt;0,EU69+1,0)</f>
        <v>0</v>
      </c>
      <c r="EV68" s="1795">
        <f>IF(ACTIONS!BY11&gt;0,EV69+1,0)</f>
        <v>0</v>
      </c>
      <c r="EX68" s="1864"/>
      <c r="EY68" s="2411"/>
      <c r="EZ68" s="2406"/>
      <c r="FA68" s="2502" t="s">
        <v>1642</v>
      </c>
      <c r="FB68" s="2411"/>
      <c r="FC68" s="2407">
        <v>0.25</v>
      </c>
      <c r="FD68" s="2408">
        <v>0.5</v>
      </c>
      <c r="FE68" s="2409">
        <v>1</v>
      </c>
      <c r="FF68" s="2410">
        <v>1.5</v>
      </c>
      <c r="FG68" s="1865"/>
      <c r="FH68" s="2403"/>
      <c r="FI68" s="2553" cm="1">
        <f t="array" ref="FI68">_xlfn.IFS($FI$23=$FC$23,FC68,$FI$23=$FD$23,FD68,$FI$23=$FE$23,FE68,$FI$23=$FF$23,FF68,TRUE,FC68)</f>
        <v>0.25</v>
      </c>
      <c r="FJ68" s="1865"/>
      <c r="JC68" s="1892"/>
      <c r="JE68" s="1900"/>
      <c r="JF68" s="1850">
        <f t="shared" ca="1" si="33"/>
        <v>0</v>
      </c>
      <c r="JG68" s="1900" t="s">
        <v>262</v>
      </c>
      <c r="JH68" s="1850">
        <v>17</v>
      </c>
      <c r="JI68" s="1901"/>
      <c r="JM68" s="1893"/>
      <c r="JO68" s="2170" t="s">
        <v>1367</v>
      </c>
      <c r="JP68" s="1819" t="s">
        <v>1979</v>
      </c>
      <c r="JQ68" s="2170" t="s">
        <v>1308</v>
      </c>
      <c r="JR68" s="1819" t="s">
        <v>396</v>
      </c>
      <c r="JT68" s="3048"/>
      <c r="JV68" s="3048"/>
      <c r="KG68" s="1791"/>
      <c r="KH68" s="1821"/>
      <c r="KI68" s="1791"/>
      <c r="KJ68" s="1821"/>
      <c r="KK68" s="1822"/>
      <c r="KQ68" s="1930"/>
      <c r="KR68" s="3053"/>
      <c r="KS68" s="1930"/>
      <c r="KT68" s="3053"/>
      <c r="KV68" s="3048"/>
      <c r="KW68" s="3053"/>
      <c r="KX68" s="3048"/>
      <c r="KY68" s="3053"/>
    </row>
    <row r="69" spans="10:311" ht="17.100000000000001" customHeight="1" thickBot="1" x14ac:dyDescent="0.35">
      <c r="J69" s="1898" t="str">
        <f t="shared" si="15"/>
        <v/>
      </c>
      <c r="K69" s="3312" t="str">
        <f t="shared" si="16"/>
        <v/>
      </c>
      <c r="L69" s="1779"/>
      <c r="M69" s="1779"/>
      <c r="N69" s="1779"/>
      <c r="O69" s="1779"/>
      <c r="P69" s="1779"/>
      <c r="Q69" s="1779"/>
      <c r="R69" s="1779"/>
      <c r="S69" s="1779"/>
      <c r="T69" s="1779"/>
      <c r="U69" s="1779"/>
      <c r="V69" s="1922"/>
      <c r="W69" s="1779"/>
      <c r="X69" s="1779"/>
      <c r="Y69" s="1779"/>
      <c r="Z69" s="1779"/>
      <c r="AA69" s="1779"/>
      <c r="AB69" s="1779"/>
      <c r="AC69" s="1779"/>
      <c r="AD69" s="1779"/>
      <c r="AE69" s="1779"/>
      <c r="AF69" s="1779"/>
      <c r="AH69" s="3312" t="str">
        <f t="shared" si="17"/>
        <v/>
      </c>
      <c r="AI69" s="1779"/>
      <c r="AJ69" s="1928"/>
      <c r="AK69" s="1779"/>
      <c r="AL69" s="1779"/>
      <c r="AM69" s="1779"/>
      <c r="AN69" s="1779"/>
      <c r="AO69" s="1779"/>
      <c r="AP69" s="1779"/>
      <c r="AQ69" s="1779"/>
      <c r="AR69" s="1779"/>
      <c r="AS69" s="1779"/>
      <c r="AT69" s="3213"/>
      <c r="AU69" s="3385"/>
      <c r="AV69" s="3383"/>
      <c r="AW69" s="3383"/>
      <c r="AX69" s="3383"/>
      <c r="AY69" s="3383"/>
      <c r="AZ69" s="3383"/>
      <c r="BA69" s="3383"/>
      <c r="BB69" s="3383"/>
      <c r="BC69" s="3383"/>
      <c r="BD69" s="3383"/>
      <c r="BE69" s="3311">
        <v>46</v>
      </c>
      <c r="BF69" s="1882" t="str">
        <f t="shared" si="30"/>
        <v/>
      </c>
      <c r="BG69" s="1883">
        <f t="shared" si="31"/>
        <v>0</v>
      </c>
      <c r="BH69" s="1884">
        <f t="shared" si="32"/>
        <v>0</v>
      </c>
      <c r="EB69" s="1829">
        <v>22</v>
      </c>
      <c r="EC69" s="1795">
        <f>IF(ACTIONS!C12&gt;0,EC70+1,0)</f>
        <v>0</v>
      </c>
      <c r="ED69" s="1795">
        <f>IF(ACTIONS!D12&gt;0,ED70+1,0)</f>
        <v>0</v>
      </c>
      <c r="EE69" s="1795">
        <f>IF(ACTIONS!E12&gt;0,EE70+1,0)</f>
        <v>0</v>
      </c>
      <c r="EF69" s="1795">
        <f>IF(ACTIONS!F12&gt;0,EF70+1,0)</f>
        <v>0</v>
      </c>
      <c r="EG69" s="1795">
        <f>IF(ACTIONS!G12&gt;0,EG70+1,0)</f>
        <v>0</v>
      </c>
      <c r="EH69" s="1795">
        <f>IF(ACTIONS!H12&gt;0,EH70+1,0)</f>
        <v>0</v>
      </c>
      <c r="EI69" s="1795">
        <f>IF(ACTIONS!I12&gt;0,EI70+1,0)</f>
        <v>0</v>
      </c>
      <c r="EJ69" s="1795">
        <f>IF(ACTIONS!J12&gt;0,EJ70+1,0)</f>
        <v>0</v>
      </c>
      <c r="EK69" s="1795">
        <f>IF(ACTIONS!K12&gt;0,EK70+1,0)</f>
        <v>0</v>
      </c>
      <c r="EM69" s="1829">
        <v>22</v>
      </c>
      <c r="EN69" s="1795">
        <f>IF(ACTIONS!BQ12&gt;0,EN70+1,0)</f>
        <v>0</v>
      </c>
      <c r="EO69" s="1795">
        <f>IF(ACTIONS!BR12&gt;0,EO70+1,0)</f>
        <v>0</v>
      </c>
      <c r="EP69" s="1795">
        <f>IF(ACTIONS!BS12&gt;0,EP70+1,0)</f>
        <v>0</v>
      </c>
      <c r="EQ69" s="1795">
        <f>IF(ACTIONS!BT12&gt;0,EQ70+1,0)</f>
        <v>0</v>
      </c>
      <c r="ER69" s="1795">
        <f>IF(ACTIONS!BU12&gt;0,ER70+1,0)</f>
        <v>0</v>
      </c>
      <c r="ES69" s="1795">
        <f>IF(ACTIONS!BV12&gt;0,ES70+1,0)</f>
        <v>0</v>
      </c>
      <c r="ET69" s="1795">
        <f>IF(ACTIONS!BW12&gt;0,ET70+1,0)</f>
        <v>0</v>
      </c>
      <c r="EU69" s="1795">
        <f>IF(ACTIONS!BX12&gt;0,EU70+1,0)</f>
        <v>0</v>
      </c>
      <c r="EV69" s="1795">
        <f>IF(ACTIONS!BY12&gt;0,EV70+1,0)</f>
        <v>0</v>
      </c>
      <c r="EX69" s="1864"/>
      <c r="EY69" s="2411"/>
      <c r="EZ69" s="2406"/>
      <c r="FA69" s="2502" t="s">
        <v>1651</v>
      </c>
      <c r="FB69" s="2411"/>
      <c r="FC69" s="2407">
        <v>0.25</v>
      </c>
      <c r="FD69" s="2408">
        <v>0.5</v>
      </c>
      <c r="FE69" s="2409">
        <v>1</v>
      </c>
      <c r="FF69" s="2410">
        <v>1.5</v>
      </c>
      <c r="FG69" s="1865"/>
      <c r="FH69" s="2403"/>
      <c r="FI69" s="2553" cm="1">
        <f t="array" ref="FI69">_xlfn.IFS($FI$23=$FC$23,FC69,$FI$23=$FD$23,FD69,$FI$23=$FE$23,FE69,$FI$23=$FF$23,FF69,TRUE,FC69)</f>
        <v>0.25</v>
      </c>
      <c r="FJ69" s="1865"/>
      <c r="JC69" s="1892"/>
      <c r="JE69" s="1900"/>
      <c r="JF69" s="1850">
        <f t="shared" ca="1" si="33"/>
        <v>0</v>
      </c>
      <c r="JG69" s="1900" t="s">
        <v>265</v>
      </c>
      <c r="JH69" s="1850">
        <v>11</v>
      </c>
      <c r="JI69" s="1901"/>
      <c r="JM69" s="1893"/>
      <c r="JO69" s="2170" t="s">
        <v>2024</v>
      </c>
      <c r="JP69" s="1832" t="s">
        <v>1977</v>
      </c>
      <c r="JQ69" s="2170" t="s">
        <v>1306</v>
      </c>
      <c r="JR69" s="1819" t="s">
        <v>396</v>
      </c>
      <c r="JT69" s="3048"/>
      <c r="JV69" s="3048"/>
      <c r="JX69" s="1851"/>
      <c r="JZ69" s="1851"/>
      <c r="KB69" s="1851"/>
      <c r="KG69" s="1822"/>
      <c r="KH69" s="1821"/>
      <c r="KI69" s="1822"/>
      <c r="KJ69" s="1821"/>
      <c r="KK69" s="1822"/>
      <c r="KQ69" s="1930"/>
      <c r="KR69" s="3053"/>
      <c r="KS69" s="3052"/>
      <c r="KT69" s="1219"/>
      <c r="KV69" s="3048"/>
      <c r="KW69" s="3053"/>
      <c r="KX69" s="3046"/>
      <c r="KY69" s="1219"/>
    </row>
    <row r="70" spans="10:311" ht="17.100000000000001" customHeight="1" x14ac:dyDescent="0.3">
      <c r="J70" s="1898" t="str">
        <f t="shared" si="15"/>
        <v/>
      </c>
      <c r="K70" s="3312" t="str">
        <f t="shared" si="16"/>
        <v/>
      </c>
      <c r="L70" s="1779"/>
      <c r="M70" s="1779"/>
      <c r="N70" s="1779"/>
      <c r="O70" s="1779"/>
      <c r="P70" s="1779"/>
      <c r="Q70" s="1779"/>
      <c r="R70" s="1779"/>
      <c r="S70" s="1779"/>
      <c r="T70" s="1779"/>
      <c r="U70" s="1779"/>
      <c r="V70" s="1922"/>
      <c r="W70" s="1779"/>
      <c r="X70" s="1779"/>
      <c r="Y70" s="1779"/>
      <c r="Z70" s="1779"/>
      <c r="AA70" s="1779"/>
      <c r="AB70" s="1779"/>
      <c r="AC70" s="1779"/>
      <c r="AD70" s="1779"/>
      <c r="AE70" s="1779"/>
      <c r="AF70" s="1779"/>
      <c r="AH70" s="3312" t="str">
        <f t="shared" si="17"/>
        <v/>
      </c>
      <c r="AI70" s="1779"/>
      <c r="AJ70" s="1928"/>
      <c r="AK70" s="1779"/>
      <c r="AL70" s="1779"/>
      <c r="AM70" s="1779"/>
      <c r="AN70" s="1779"/>
      <c r="AO70" s="1779"/>
      <c r="AP70" s="1779"/>
      <c r="AQ70" s="1779"/>
      <c r="AR70" s="1779"/>
      <c r="AS70" s="1779"/>
      <c r="AT70" s="3213"/>
      <c r="AU70" s="3385"/>
      <c r="AV70" s="3383"/>
      <c r="AW70" s="3383"/>
      <c r="AX70" s="3383"/>
      <c r="AY70" s="3383"/>
      <c r="AZ70" s="3383"/>
      <c r="BA70" s="3383"/>
      <c r="BB70" s="3383"/>
      <c r="BC70" s="3383"/>
      <c r="BD70" s="3383"/>
      <c r="BE70" s="3311">
        <v>47</v>
      </c>
      <c r="BF70" s="1882" t="str">
        <f t="shared" si="30"/>
        <v/>
      </c>
      <c r="BG70" s="1883">
        <f t="shared" si="31"/>
        <v>0</v>
      </c>
      <c r="BH70" s="1884">
        <f t="shared" si="32"/>
        <v>0</v>
      </c>
      <c r="EB70" s="1829">
        <v>21</v>
      </c>
      <c r="EC70" s="1795">
        <f>IF(ACTIONS!C13&gt;0,EC71+1,0)</f>
        <v>0</v>
      </c>
      <c r="ED70" s="1795">
        <f>IF(ACTIONS!D13&gt;0,ED71+1,0)</f>
        <v>0</v>
      </c>
      <c r="EE70" s="1795">
        <f>IF(ACTIONS!E13&gt;0,EE71+1,0)</f>
        <v>0</v>
      </c>
      <c r="EF70" s="1795">
        <f>IF(ACTIONS!F13&gt;0,EF71+1,0)</f>
        <v>0</v>
      </c>
      <c r="EG70" s="1795">
        <f>IF(ACTIONS!G13&gt;0,EG71+1,0)</f>
        <v>0</v>
      </c>
      <c r="EH70" s="1795">
        <f>IF(ACTIONS!H13&gt;0,EH71+1,0)</f>
        <v>0</v>
      </c>
      <c r="EI70" s="1795">
        <f>IF(ACTIONS!I13&gt;0,EI71+1,0)</f>
        <v>0</v>
      </c>
      <c r="EJ70" s="1795">
        <f>IF(ACTIONS!J13&gt;0,EJ71+1,0)</f>
        <v>0</v>
      </c>
      <c r="EK70" s="1795">
        <f>IF(ACTIONS!K13&gt;0,EK71+1,0)</f>
        <v>0</v>
      </c>
      <c r="EM70" s="1829">
        <v>21</v>
      </c>
      <c r="EN70" s="1795">
        <f>IF(ACTIONS!BQ13&gt;0,EN71+1,0)</f>
        <v>0</v>
      </c>
      <c r="EO70" s="1795">
        <f>IF(ACTIONS!BR13&gt;0,EO71+1,0)</f>
        <v>0</v>
      </c>
      <c r="EP70" s="1795">
        <f>IF(ACTIONS!BS13&gt;0,EP71+1,0)</f>
        <v>0</v>
      </c>
      <c r="EQ70" s="1795">
        <f>IF(ACTIONS!BT13&gt;0,EQ71+1,0)</f>
        <v>0</v>
      </c>
      <c r="ER70" s="1795">
        <f>IF(ACTIONS!BU13&gt;0,ER71+1,0)</f>
        <v>0</v>
      </c>
      <c r="ES70" s="1795">
        <f>IF(ACTIONS!BV13&gt;0,ES71+1,0)</f>
        <v>0</v>
      </c>
      <c r="ET70" s="1795">
        <f>IF(ACTIONS!BW13&gt;0,ET71+1,0)</f>
        <v>0</v>
      </c>
      <c r="EU70" s="1795">
        <f>IF(ACTIONS!BX13&gt;0,EU71+1,0)</f>
        <v>0</v>
      </c>
      <c r="EV70" s="1795">
        <f>IF(ACTIONS!BY13&gt;0,EV71+1,0)</f>
        <v>0</v>
      </c>
      <c r="EX70" s="1864"/>
      <c r="EY70" s="2411"/>
      <c r="EZ70" s="2406"/>
      <c r="FA70" s="2502" t="s">
        <v>1652</v>
      </c>
      <c r="FB70" s="2411"/>
      <c r="FC70" s="2407">
        <v>0.25</v>
      </c>
      <c r="FD70" s="2408">
        <v>0.5</v>
      </c>
      <c r="FE70" s="2409">
        <v>1</v>
      </c>
      <c r="FF70" s="2410">
        <v>1.5</v>
      </c>
      <c r="FG70" s="1865"/>
      <c r="FH70" s="2403"/>
      <c r="FI70" s="2553" cm="1">
        <f t="array" ref="FI70">_xlfn.IFS($FI$23=$FC$23,FC70,$FI$23=$FD$23,FD70,$FI$23=$FE$23,FE70,$FI$23=$FF$23,FF70,TRUE,FC70)</f>
        <v>0.25</v>
      </c>
      <c r="FJ70" s="1865"/>
      <c r="JC70" s="1892"/>
      <c r="JD70" s="1924"/>
      <c r="JE70" s="1925"/>
      <c r="JF70" s="1926">
        <f t="shared" ca="1" si="33"/>
        <v>0</v>
      </c>
      <c r="JG70" s="1925" t="s">
        <v>268</v>
      </c>
      <c r="JH70" s="1926">
        <v>10</v>
      </c>
      <c r="JI70" s="1927"/>
      <c r="JJ70" s="1924"/>
      <c r="JM70" s="1893"/>
      <c r="JO70" s="2170" t="s">
        <v>1451</v>
      </c>
      <c r="JP70" s="1819" t="s">
        <v>408</v>
      </c>
      <c r="JQ70" s="2170" t="s">
        <v>1309</v>
      </c>
      <c r="JR70" s="1819" t="s">
        <v>396</v>
      </c>
      <c r="JT70" s="3048"/>
      <c r="JV70" s="3048"/>
      <c r="KG70" s="1822"/>
      <c r="KH70" s="1821"/>
      <c r="KI70" s="1822"/>
      <c r="KJ70" s="1821"/>
      <c r="KK70" s="1822"/>
      <c r="KQ70" s="1930"/>
      <c r="KR70" s="3053"/>
      <c r="KS70" s="3052"/>
      <c r="KT70" s="1219"/>
      <c r="KV70" s="3048"/>
      <c r="KW70" s="3053"/>
      <c r="KX70" s="3046"/>
      <c r="KY70" s="1219"/>
    </row>
    <row r="71" spans="10:311" ht="17.100000000000001" customHeight="1" thickBot="1" x14ac:dyDescent="0.35">
      <c r="J71" s="1898" t="str">
        <f t="shared" si="15"/>
        <v/>
      </c>
      <c r="K71" s="3312" t="str">
        <f t="shared" si="16"/>
        <v/>
      </c>
      <c r="L71" s="1779"/>
      <c r="M71" s="1779"/>
      <c r="N71" s="1779"/>
      <c r="O71" s="1779"/>
      <c r="P71" s="1779"/>
      <c r="Q71" s="1779"/>
      <c r="R71" s="1779"/>
      <c r="S71" s="1779"/>
      <c r="T71" s="1779"/>
      <c r="U71" s="1779"/>
      <c r="V71" s="1922"/>
      <c r="W71" s="1779"/>
      <c r="X71" s="1779"/>
      <c r="Y71" s="1779"/>
      <c r="Z71" s="1779"/>
      <c r="AA71" s="1779"/>
      <c r="AB71" s="1779"/>
      <c r="AC71" s="1779"/>
      <c r="AD71" s="1779"/>
      <c r="AE71" s="1779"/>
      <c r="AF71" s="1779"/>
      <c r="AH71" s="3312" t="str">
        <f t="shared" si="17"/>
        <v/>
      </c>
      <c r="AI71" s="1779"/>
      <c r="AJ71" s="1928"/>
      <c r="AK71" s="1779"/>
      <c r="AL71" s="1779"/>
      <c r="AM71" s="1779"/>
      <c r="AN71" s="1779"/>
      <c r="AO71" s="1779"/>
      <c r="AP71" s="1779"/>
      <c r="AQ71" s="1779"/>
      <c r="AR71" s="1779"/>
      <c r="AS71" s="1779"/>
      <c r="AT71" s="3213"/>
      <c r="AU71" s="3385"/>
      <c r="AV71" s="3383"/>
      <c r="AW71" s="3383"/>
      <c r="AX71" s="3383"/>
      <c r="AY71" s="3383"/>
      <c r="AZ71" s="3383"/>
      <c r="BA71" s="3383"/>
      <c r="BB71" s="3383"/>
      <c r="BC71" s="3383"/>
      <c r="BD71" s="3383"/>
      <c r="BE71" s="3311">
        <v>48</v>
      </c>
      <c r="BF71" s="1882" t="str">
        <f t="shared" si="30"/>
        <v/>
      </c>
      <c r="BG71" s="1883">
        <f t="shared" si="31"/>
        <v>0</v>
      </c>
      <c r="BH71" s="1884">
        <f t="shared" si="32"/>
        <v>0</v>
      </c>
      <c r="EB71" s="1829">
        <v>20</v>
      </c>
      <c r="EC71" s="1795">
        <f>IF(ACTIONS!C14&gt;0,EC72+1,0)</f>
        <v>0</v>
      </c>
      <c r="ED71" s="1795">
        <f>IF(ACTIONS!D14&gt;0,ED72+1,0)</f>
        <v>0</v>
      </c>
      <c r="EE71" s="1795">
        <f>IF(ACTIONS!E14&gt;0,EE72+1,0)</f>
        <v>0</v>
      </c>
      <c r="EF71" s="1795">
        <f>IF(ACTIONS!F14&gt;0,EF72+1,0)</f>
        <v>0</v>
      </c>
      <c r="EG71" s="1795">
        <f>IF(ACTIONS!G14&gt;0,EG72+1,0)</f>
        <v>0</v>
      </c>
      <c r="EH71" s="1795">
        <f>IF(ACTIONS!H14&gt;0,EH72+1,0)</f>
        <v>0</v>
      </c>
      <c r="EI71" s="1795">
        <f>IF(ACTIONS!I14&gt;0,EI72+1,0)</f>
        <v>0</v>
      </c>
      <c r="EJ71" s="1795">
        <f>IF(ACTIONS!J14&gt;0,EJ72+1,0)</f>
        <v>0</v>
      </c>
      <c r="EK71" s="1795">
        <f>IF(ACTIONS!K14&gt;0,EK72+1,0)</f>
        <v>0</v>
      </c>
      <c r="EM71" s="1829">
        <v>20</v>
      </c>
      <c r="EN71" s="1795">
        <f>IF(ACTIONS!BQ14&gt;0,EN72+1,0)</f>
        <v>0</v>
      </c>
      <c r="EO71" s="1795">
        <f>IF(ACTIONS!BR14&gt;0,EO72+1,0)</f>
        <v>0</v>
      </c>
      <c r="EP71" s="1795">
        <f>IF(ACTIONS!BS14&gt;0,EP72+1,0)</f>
        <v>0</v>
      </c>
      <c r="EQ71" s="1795">
        <f>IF(ACTIONS!BT14&gt;0,EQ72+1,0)</f>
        <v>0</v>
      </c>
      <c r="ER71" s="1795">
        <f>IF(ACTIONS!BU14&gt;0,ER72+1,0)</f>
        <v>0</v>
      </c>
      <c r="ES71" s="1795">
        <f>IF(ACTIONS!BV14&gt;0,ES72+1,0)</f>
        <v>0</v>
      </c>
      <c r="ET71" s="1795">
        <f>IF(ACTIONS!BW14&gt;0,ET72+1,0)</f>
        <v>0</v>
      </c>
      <c r="EU71" s="1795">
        <f>IF(ACTIONS!BX14&gt;0,EU72+1,0)</f>
        <v>0</v>
      </c>
      <c r="EV71" s="1795">
        <f>IF(ACTIONS!BY14&gt;0,EV72+1,0)</f>
        <v>0</v>
      </c>
      <c r="EX71" s="2403"/>
      <c r="FA71" s="1808"/>
      <c r="FC71" s="2412"/>
      <c r="FD71" s="2412"/>
      <c r="FE71" s="2412"/>
      <c r="FF71" s="2412"/>
      <c r="FG71" s="2415"/>
      <c r="FH71" s="2414"/>
      <c r="FI71" s="2554"/>
      <c r="FJ71" s="1865"/>
      <c r="JC71" s="1892"/>
      <c r="JD71" s="1900"/>
      <c r="JE71" s="1900" t="s">
        <v>283</v>
      </c>
      <c r="JF71" s="1929">
        <f t="shared" ref="JF71:JF78" ca="1" si="34">IF($JF$61="roll", RANDBETWEEN(1,10),0)</f>
        <v>0</v>
      </c>
      <c r="JG71" s="1900" t="s">
        <v>244</v>
      </c>
      <c r="JH71" s="1929">
        <v>5</v>
      </c>
      <c r="JI71" s="1901"/>
      <c r="JM71" s="1893"/>
      <c r="JO71" s="2170" t="s">
        <v>2022</v>
      </c>
      <c r="JP71" s="1819" t="s">
        <v>1981</v>
      </c>
      <c r="JQ71" s="2170" t="s">
        <v>1307</v>
      </c>
      <c r="JR71" s="1819" t="s">
        <v>396</v>
      </c>
      <c r="JT71" s="3048"/>
      <c r="JV71" s="3048"/>
      <c r="JX71" s="1851"/>
      <c r="JZ71" s="1851"/>
      <c r="KB71" s="1851"/>
      <c r="KG71" s="1822"/>
      <c r="KH71" s="1821"/>
      <c r="KI71" s="1822"/>
      <c r="KJ71" s="1821"/>
      <c r="KK71" s="1822"/>
      <c r="KQ71" s="1930"/>
      <c r="KR71" s="3053"/>
      <c r="KS71" s="3052"/>
      <c r="KT71" s="1219"/>
      <c r="KV71" s="3048"/>
      <c r="KW71" s="3053"/>
      <c r="KX71" s="3046"/>
      <c r="KY71" s="1219"/>
    </row>
    <row r="72" spans="10:311" ht="17.100000000000001" customHeight="1" thickBot="1" x14ac:dyDescent="0.35">
      <c r="J72" s="1898" t="str">
        <f t="shared" si="15"/>
        <v/>
      </c>
      <c r="K72" s="3312" t="str">
        <f t="shared" si="16"/>
        <v/>
      </c>
      <c r="L72" s="1779"/>
      <c r="M72" s="1779"/>
      <c r="N72" s="1779"/>
      <c r="O72" s="1779"/>
      <c r="P72" s="1779"/>
      <c r="Q72" s="1779"/>
      <c r="R72" s="1779"/>
      <c r="S72" s="1779"/>
      <c r="T72" s="1779"/>
      <c r="U72" s="1779"/>
      <c r="V72" s="1922"/>
      <c r="W72" s="1779"/>
      <c r="X72" s="1779"/>
      <c r="Y72" s="1779"/>
      <c r="Z72" s="1779"/>
      <c r="AA72" s="1779"/>
      <c r="AB72" s="1779"/>
      <c r="AC72" s="1779"/>
      <c r="AD72" s="1779"/>
      <c r="AE72" s="1779"/>
      <c r="AF72" s="1779"/>
      <c r="AH72" s="3312" t="str">
        <f t="shared" si="17"/>
        <v/>
      </c>
      <c r="AI72" s="1779"/>
      <c r="AJ72" s="1928"/>
      <c r="AK72" s="1779"/>
      <c r="AL72" s="1779"/>
      <c r="AM72" s="1779"/>
      <c r="AN72" s="1779"/>
      <c r="AO72" s="1779"/>
      <c r="AP72" s="1779"/>
      <c r="AQ72" s="1779"/>
      <c r="AR72" s="1779"/>
      <c r="AS72" s="1779"/>
      <c r="AT72" s="3213"/>
      <c r="AU72" s="3385"/>
      <c r="AV72" s="3383"/>
      <c r="AW72" s="3383"/>
      <c r="AX72" s="3383"/>
      <c r="AY72" s="3383"/>
      <c r="AZ72" s="3383"/>
      <c r="BA72" s="3383"/>
      <c r="BB72" s="3383"/>
      <c r="BC72" s="3383"/>
      <c r="BD72" s="3383"/>
      <c r="BE72" s="3311">
        <v>49</v>
      </c>
      <c r="BF72" s="1882" t="str">
        <f t="shared" si="30"/>
        <v/>
      </c>
      <c r="BG72" s="1883">
        <f t="shared" si="31"/>
        <v>0</v>
      </c>
      <c r="BH72" s="1884">
        <f t="shared" si="32"/>
        <v>0</v>
      </c>
      <c r="EB72" s="1829">
        <v>19</v>
      </c>
      <c r="EC72" s="1795">
        <f>IF(ACTIONS!C15&gt;0,EC73+1,0)</f>
        <v>0</v>
      </c>
      <c r="ED72" s="1795">
        <f>IF(ACTIONS!D15&gt;0,ED73+1,0)</f>
        <v>0</v>
      </c>
      <c r="EE72" s="1795">
        <f>IF(ACTIONS!E15&gt;0,EE73+1,0)</f>
        <v>0</v>
      </c>
      <c r="EF72" s="1795">
        <f>IF(ACTIONS!F15&gt;0,EF73+1,0)</f>
        <v>0</v>
      </c>
      <c r="EG72" s="1795">
        <f>IF(ACTIONS!G15&gt;0,EG73+1,0)</f>
        <v>0</v>
      </c>
      <c r="EH72" s="1795">
        <f>IF(ACTIONS!H15&gt;0,EH73+1,0)</f>
        <v>0</v>
      </c>
      <c r="EI72" s="1795">
        <f>IF(ACTIONS!I15&gt;0,EI73+1,0)</f>
        <v>0</v>
      </c>
      <c r="EJ72" s="1795">
        <f>IF(ACTIONS!J15&gt;0,EJ73+1,0)</f>
        <v>0</v>
      </c>
      <c r="EK72" s="1795">
        <f>IF(ACTIONS!K15&gt;0,EK73+1,0)</f>
        <v>0</v>
      </c>
      <c r="EM72" s="1829">
        <v>19</v>
      </c>
      <c r="EN72" s="1795">
        <f>IF(ACTIONS!BQ15&gt;0,EN73+1,0)</f>
        <v>0</v>
      </c>
      <c r="EO72" s="1795">
        <f>IF(ACTIONS!BR15&gt;0,EO73+1,0)</f>
        <v>0</v>
      </c>
      <c r="EP72" s="1795">
        <f>IF(ACTIONS!BS15&gt;0,EP73+1,0)</f>
        <v>0</v>
      </c>
      <c r="EQ72" s="1795">
        <f>IF(ACTIONS!BT15&gt;0,EQ73+1,0)</f>
        <v>0</v>
      </c>
      <c r="ER72" s="1795">
        <f>IF(ACTIONS!BU15&gt;0,ER73+1,0)</f>
        <v>0</v>
      </c>
      <c r="ES72" s="1795">
        <f>IF(ACTIONS!BV15&gt;0,ES73+1,0)</f>
        <v>0</v>
      </c>
      <c r="ET72" s="1795">
        <f>IF(ACTIONS!BW15&gt;0,ET73+1,0)</f>
        <v>0</v>
      </c>
      <c r="EU72" s="1795">
        <f>IF(ACTIONS!BX15&gt;0,EU73+1,0)</f>
        <v>0</v>
      </c>
      <c r="EV72" s="1795">
        <f>IF(ACTIONS!BY15&gt;0,EV73+1,0)</f>
        <v>0</v>
      </c>
      <c r="EX72" s="1864"/>
      <c r="EY72" s="2411"/>
      <c r="EZ72" s="2406"/>
      <c r="FA72" s="2502" t="s">
        <v>1590</v>
      </c>
      <c r="FB72" s="2411"/>
      <c r="FC72" s="2407">
        <v>0.25</v>
      </c>
      <c r="FD72" s="2408">
        <v>0.5</v>
      </c>
      <c r="FE72" s="2409">
        <v>1</v>
      </c>
      <c r="FF72" s="2410">
        <v>1.5</v>
      </c>
      <c r="FG72" s="1865"/>
      <c r="FH72" s="2403"/>
      <c r="FI72" s="2553" cm="1">
        <f t="array" ref="FI72">_xlfn.IFS($FI$23=$FC$23,FC72,$FI$23=$FD$23,FD72,$FI$23=$FE$23,FE72,$FI$23=$FF$23,FF72,TRUE,FC72)</f>
        <v>0.25</v>
      </c>
      <c r="FJ72" s="1865"/>
      <c r="JC72" s="1892"/>
      <c r="JE72" s="1900"/>
      <c r="JF72" s="1929">
        <f t="shared" ca="1" si="34"/>
        <v>0</v>
      </c>
      <c r="JG72" s="1900" t="s">
        <v>246</v>
      </c>
      <c r="JH72" s="1929">
        <v>6</v>
      </c>
      <c r="JI72" s="1901"/>
      <c r="JM72" s="1893"/>
      <c r="JO72" s="2169" t="s">
        <v>1303</v>
      </c>
      <c r="JP72" s="2012" t="s">
        <v>725</v>
      </c>
      <c r="JQ72" s="2169" t="s">
        <v>1303</v>
      </c>
      <c r="JR72" s="2012" t="s">
        <v>395</v>
      </c>
      <c r="JT72" s="3048"/>
      <c r="JV72" s="3048"/>
      <c r="KG72" s="1822"/>
      <c r="KH72" s="1821"/>
      <c r="KI72" s="1822"/>
      <c r="KJ72" s="1821"/>
      <c r="KK72" s="1822"/>
      <c r="KQ72" s="3052"/>
      <c r="KR72" s="3047"/>
      <c r="KS72" s="3052"/>
      <c r="KT72" s="3047"/>
      <c r="KV72" s="3046"/>
      <c r="KW72" s="3047"/>
      <c r="KX72" s="3046"/>
      <c r="KY72" s="3047"/>
    </row>
    <row r="73" spans="10:311" ht="17.100000000000001" customHeight="1" thickBot="1" x14ac:dyDescent="0.35">
      <c r="J73" s="1898" t="str">
        <f t="shared" si="15"/>
        <v/>
      </c>
      <c r="K73" s="3312" t="str">
        <f t="shared" si="16"/>
        <v/>
      </c>
      <c r="L73" s="1779"/>
      <c r="M73" s="1779"/>
      <c r="N73" s="1779"/>
      <c r="O73" s="1779"/>
      <c r="P73" s="1779"/>
      <c r="Q73" s="1779"/>
      <c r="R73" s="1779"/>
      <c r="S73" s="1779"/>
      <c r="T73" s="1779"/>
      <c r="U73" s="1779"/>
      <c r="V73" s="1922"/>
      <c r="W73" s="1779"/>
      <c r="X73" s="1779"/>
      <c r="Y73" s="1779"/>
      <c r="Z73" s="1779"/>
      <c r="AA73" s="1779"/>
      <c r="AB73" s="1779"/>
      <c r="AC73" s="1779"/>
      <c r="AD73" s="1779"/>
      <c r="AE73" s="1779"/>
      <c r="AF73" s="1779"/>
      <c r="AH73" s="3312" t="str">
        <f t="shared" si="17"/>
        <v/>
      </c>
      <c r="AI73" s="1779"/>
      <c r="AJ73" s="1928"/>
      <c r="AK73" s="1779"/>
      <c r="AL73" s="1779"/>
      <c r="AM73" s="1779"/>
      <c r="AN73" s="1779"/>
      <c r="AO73" s="1779"/>
      <c r="AP73" s="1779"/>
      <c r="AQ73" s="1779"/>
      <c r="AR73" s="1779"/>
      <c r="AS73" s="1779"/>
      <c r="AT73" s="3213"/>
      <c r="AU73" s="3385"/>
      <c r="AV73" s="3383"/>
      <c r="AW73" s="3383"/>
      <c r="AX73" s="3383"/>
      <c r="AY73" s="3383"/>
      <c r="AZ73" s="3383"/>
      <c r="BA73" s="3383"/>
      <c r="BB73" s="3383"/>
      <c r="BC73" s="3383"/>
      <c r="BD73" s="3383"/>
      <c r="BE73" s="3311">
        <v>50</v>
      </c>
      <c r="BF73" s="1882" t="str">
        <f t="shared" si="30"/>
        <v/>
      </c>
      <c r="BG73" s="1883">
        <f t="shared" si="31"/>
        <v>0</v>
      </c>
      <c r="BH73" s="1884">
        <f t="shared" si="32"/>
        <v>0</v>
      </c>
      <c r="EB73" s="1829">
        <v>18</v>
      </c>
      <c r="EC73" s="1795">
        <f>IF(ACTIONS!C16&gt;0,EC74+1,0)</f>
        <v>0</v>
      </c>
      <c r="ED73" s="1795">
        <f>IF(ACTIONS!D16&gt;0,ED74+1,0)</f>
        <v>0</v>
      </c>
      <c r="EE73" s="1795">
        <f>IF(ACTIONS!E16&gt;0,EE74+1,0)</f>
        <v>0</v>
      </c>
      <c r="EF73" s="1795">
        <f>IF(ACTIONS!F16&gt;0,EF74+1,0)</f>
        <v>0</v>
      </c>
      <c r="EG73" s="1795">
        <f>IF(ACTIONS!G16&gt;0,EG74+1,0)</f>
        <v>0</v>
      </c>
      <c r="EH73" s="1795">
        <f>IF(ACTIONS!H16&gt;0,EH74+1,0)</f>
        <v>0</v>
      </c>
      <c r="EI73" s="1795">
        <f>IF(ACTIONS!I16&gt;0,EI74+1,0)</f>
        <v>0</v>
      </c>
      <c r="EJ73" s="1795">
        <f>IF(ACTIONS!J16&gt;0,EJ74+1,0)</f>
        <v>0</v>
      </c>
      <c r="EK73" s="1795">
        <f>IF(ACTIONS!K16&gt;0,EK74+1,0)</f>
        <v>0</v>
      </c>
      <c r="EM73" s="1829">
        <v>18</v>
      </c>
      <c r="EN73" s="1795">
        <f>IF(ACTIONS!BQ16&gt;0,EN74+1,0)</f>
        <v>0</v>
      </c>
      <c r="EO73" s="1795">
        <f>IF(ACTIONS!BR16&gt;0,EO74+1,0)</f>
        <v>0</v>
      </c>
      <c r="EP73" s="1795">
        <f>IF(ACTIONS!BS16&gt;0,EP74+1,0)</f>
        <v>0</v>
      </c>
      <c r="EQ73" s="1795">
        <f>IF(ACTIONS!BT16&gt;0,EQ74+1,0)</f>
        <v>0</v>
      </c>
      <c r="ER73" s="1795">
        <f>IF(ACTIONS!BU16&gt;0,ER74+1,0)</f>
        <v>0</v>
      </c>
      <c r="ES73" s="1795">
        <f>IF(ACTIONS!BV16&gt;0,ES74+1,0)</f>
        <v>0</v>
      </c>
      <c r="ET73" s="1795">
        <f>IF(ACTIONS!BW16&gt;0,ET74+1,0)</f>
        <v>0</v>
      </c>
      <c r="EU73" s="1795">
        <f>IF(ACTIONS!BX16&gt;0,EU74+1,0)</f>
        <v>0</v>
      </c>
      <c r="EV73" s="1795">
        <f>IF(ACTIONS!BY16&gt;0,EV74+1,0)</f>
        <v>0</v>
      </c>
      <c r="EX73" s="1864"/>
      <c r="EY73" s="2411"/>
      <c r="EZ73" s="2406"/>
      <c r="FA73" s="2502" t="s">
        <v>1591</v>
      </c>
      <c r="FB73" s="2411"/>
      <c r="FC73" s="2407">
        <v>0.25</v>
      </c>
      <c r="FD73" s="2408">
        <v>0.5</v>
      </c>
      <c r="FE73" s="2409">
        <v>1</v>
      </c>
      <c r="FF73" s="2410">
        <v>1.5</v>
      </c>
      <c r="FG73" s="1865"/>
      <c r="FH73" s="2403"/>
      <c r="FI73" s="2553" cm="1">
        <f t="array" ref="FI73">_xlfn.IFS($FI$23=$FC$23,FC73,$FI$23=$FD$23,FD73,$FI$23=$FE$23,FE73,$FI$23=$FF$23,FF73,TRUE,FC73)</f>
        <v>0.25</v>
      </c>
      <c r="FJ73" s="1865"/>
      <c r="JC73" s="1892"/>
      <c r="JE73" s="1900"/>
      <c r="JF73" s="1929">
        <f t="shared" ca="1" si="34"/>
        <v>0</v>
      </c>
      <c r="JG73" s="1900" t="s">
        <v>250</v>
      </c>
      <c r="JH73" s="1929">
        <v>4</v>
      </c>
      <c r="JI73" s="1901"/>
      <c r="JM73" s="1893"/>
      <c r="JO73" s="2169" t="s">
        <v>1303</v>
      </c>
      <c r="JP73" s="2012" t="s">
        <v>724</v>
      </c>
      <c r="JQ73" s="2169" t="s">
        <v>1388</v>
      </c>
      <c r="JR73" s="2013"/>
      <c r="JT73" s="3048"/>
      <c r="JV73" s="3048"/>
      <c r="JZ73" s="2016"/>
      <c r="KG73" s="1822"/>
      <c r="KH73" s="1821"/>
      <c r="KI73" s="1822"/>
      <c r="KJ73" s="1821"/>
      <c r="KK73" s="1822"/>
      <c r="KQ73" s="3052"/>
      <c r="KR73" s="3047"/>
      <c r="KS73" s="1930"/>
      <c r="KT73" s="1764"/>
      <c r="KV73" s="3046"/>
      <c r="KW73" s="3047"/>
      <c r="KX73" s="1930"/>
      <c r="KY73" s="1764"/>
    </row>
    <row r="74" spans="10:311" ht="17.100000000000001" customHeight="1" thickBot="1" x14ac:dyDescent="0.35">
      <c r="J74" s="1898" t="str">
        <f t="shared" si="15"/>
        <v/>
      </c>
      <c r="K74" s="3312" t="str">
        <f t="shared" si="16"/>
        <v/>
      </c>
      <c r="L74" s="1779"/>
      <c r="M74" s="1779"/>
      <c r="N74" s="1779"/>
      <c r="O74" s="1779"/>
      <c r="P74" s="1779"/>
      <c r="Q74" s="1779"/>
      <c r="R74" s="1779"/>
      <c r="S74" s="1779"/>
      <c r="T74" s="1779"/>
      <c r="U74" s="1779"/>
      <c r="V74" s="1922"/>
      <c r="W74" s="1779"/>
      <c r="X74" s="1779"/>
      <c r="Y74" s="1779"/>
      <c r="Z74" s="1779"/>
      <c r="AA74" s="1779"/>
      <c r="AB74" s="1779"/>
      <c r="AC74" s="1779"/>
      <c r="AD74" s="1779"/>
      <c r="AE74" s="1779"/>
      <c r="AF74" s="1779"/>
      <c r="AH74" s="3312" t="str">
        <f t="shared" si="17"/>
        <v/>
      </c>
      <c r="AI74" s="1779"/>
      <c r="AJ74" s="1928"/>
      <c r="AK74" s="1779"/>
      <c r="AL74" s="1779"/>
      <c r="AM74" s="1779"/>
      <c r="AN74" s="1779"/>
      <c r="AO74" s="1779"/>
      <c r="AP74" s="1779"/>
      <c r="AQ74" s="1779"/>
      <c r="AR74" s="1779"/>
      <c r="AS74" s="1779"/>
      <c r="AT74" s="3213"/>
      <c r="AU74" s="3385"/>
      <c r="AV74" s="3383"/>
      <c r="AW74" s="3383"/>
      <c r="AX74" s="3383"/>
      <c r="AY74" s="3383"/>
      <c r="AZ74" s="3383"/>
      <c r="BA74" s="3383"/>
      <c r="BB74" s="3383"/>
      <c r="BC74" s="3383"/>
      <c r="BD74" s="3383"/>
      <c r="BE74" s="3311">
        <v>51</v>
      </c>
      <c r="BF74" s="1882" t="str">
        <f t="shared" si="30"/>
        <v/>
      </c>
      <c r="BG74" s="1883">
        <f t="shared" si="31"/>
        <v>0</v>
      </c>
      <c r="BH74" s="1884">
        <f t="shared" si="32"/>
        <v>0</v>
      </c>
      <c r="EB74" s="1829">
        <v>17</v>
      </c>
      <c r="EC74" s="1795">
        <f>IF(ACTIONS!C17&gt;0,EC75+1,0)</f>
        <v>0</v>
      </c>
      <c r="ED74" s="1795">
        <f>IF(ACTIONS!D17&gt;0,ED75+1,0)</f>
        <v>0</v>
      </c>
      <c r="EE74" s="1795">
        <f>IF(ACTIONS!E17&gt;0,EE75+1,0)</f>
        <v>0</v>
      </c>
      <c r="EF74" s="1795">
        <f>IF(ACTIONS!F17&gt;0,EF75+1,0)</f>
        <v>0</v>
      </c>
      <c r="EG74" s="1795">
        <f>IF(ACTIONS!G17&gt;0,EG75+1,0)</f>
        <v>0</v>
      </c>
      <c r="EH74" s="1795">
        <f>IF(ACTIONS!H17&gt;0,EH75+1,0)</f>
        <v>0</v>
      </c>
      <c r="EI74" s="1795">
        <f>IF(ACTIONS!I17&gt;0,EI75+1,0)</f>
        <v>0</v>
      </c>
      <c r="EJ74" s="1795">
        <f>IF(ACTIONS!J17&gt;0,EJ75+1,0)</f>
        <v>0</v>
      </c>
      <c r="EK74" s="1795">
        <f>IF(ACTIONS!K17&gt;0,EK75+1,0)</f>
        <v>0</v>
      </c>
      <c r="EM74" s="1829">
        <v>17</v>
      </c>
      <c r="EN74" s="1795">
        <f>IF(ACTIONS!BQ17&gt;0,EN75+1,0)</f>
        <v>0</v>
      </c>
      <c r="EO74" s="1795">
        <f>IF(ACTIONS!BR17&gt;0,EO75+1,0)</f>
        <v>0</v>
      </c>
      <c r="EP74" s="1795">
        <f>IF(ACTIONS!BS17&gt;0,EP75+1,0)</f>
        <v>0</v>
      </c>
      <c r="EQ74" s="1795">
        <f>IF(ACTIONS!BT17&gt;0,EQ75+1,0)</f>
        <v>0</v>
      </c>
      <c r="ER74" s="1795">
        <f>IF(ACTIONS!BU17&gt;0,ER75+1,0)</f>
        <v>0</v>
      </c>
      <c r="ES74" s="1795">
        <f>IF(ACTIONS!BV17&gt;0,ES75+1,0)</f>
        <v>0</v>
      </c>
      <c r="ET74" s="1795">
        <f>IF(ACTIONS!BW17&gt;0,ET75+1,0)</f>
        <v>0</v>
      </c>
      <c r="EU74" s="1795">
        <f>IF(ACTIONS!BX17&gt;0,EU75+1,0)</f>
        <v>0</v>
      </c>
      <c r="EV74" s="1795">
        <f>IF(ACTIONS!BY17&gt;0,EV75+1,0)</f>
        <v>0</v>
      </c>
      <c r="EX74" s="2403"/>
      <c r="FA74" s="1808"/>
      <c r="FC74" s="2412"/>
      <c r="FD74" s="2412"/>
      <c r="FE74" s="2412"/>
      <c r="FF74" s="2412"/>
      <c r="FG74" s="2415"/>
      <c r="FH74" s="2414"/>
      <c r="FI74" s="2554"/>
      <c r="FJ74" s="1865"/>
      <c r="JC74" s="1892"/>
      <c r="JE74" s="1900"/>
      <c r="JF74" s="1929">
        <f t="shared" ca="1" si="34"/>
        <v>0</v>
      </c>
      <c r="JG74" s="1900" t="s">
        <v>257</v>
      </c>
      <c r="JH74" s="1929">
        <v>2</v>
      </c>
      <c r="JI74" s="1901"/>
      <c r="JM74" s="1893"/>
      <c r="JT74" s="3048"/>
      <c r="JV74" s="3048"/>
      <c r="JZ74" s="2016"/>
      <c r="KG74" s="1822"/>
      <c r="KH74" s="1821"/>
      <c r="KI74" s="1822"/>
      <c r="KJ74" s="1821"/>
      <c r="KK74" s="1822"/>
    </row>
    <row r="75" spans="10:311" ht="17.100000000000001" customHeight="1" thickBot="1" x14ac:dyDescent="0.35">
      <c r="J75" s="1898" t="str">
        <f t="shared" si="15"/>
        <v/>
      </c>
      <c r="K75" s="3312" t="str">
        <f t="shared" si="16"/>
        <v/>
      </c>
      <c r="L75" s="1779"/>
      <c r="M75" s="1779"/>
      <c r="N75" s="1779"/>
      <c r="O75" s="1779"/>
      <c r="P75" s="1779"/>
      <c r="Q75" s="1779"/>
      <c r="R75" s="1779"/>
      <c r="S75" s="1779"/>
      <c r="T75" s="1779"/>
      <c r="U75" s="1779"/>
      <c r="V75" s="1922"/>
      <c r="W75" s="1779"/>
      <c r="X75" s="1779"/>
      <c r="Y75" s="1779"/>
      <c r="Z75" s="1779"/>
      <c r="AA75" s="1779"/>
      <c r="AB75" s="1779"/>
      <c r="AC75" s="1779"/>
      <c r="AD75" s="1779"/>
      <c r="AE75" s="1779"/>
      <c r="AF75" s="1779"/>
      <c r="AH75" s="3312" t="str">
        <f t="shared" si="17"/>
        <v/>
      </c>
      <c r="AI75" s="1779"/>
      <c r="AJ75" s="1928"/>
      <c r="AK75" s="1779"/>
      <c r="AL75" s="1779"/>
      <c r="AM75" s="1779"/>
      <c r="AN75" s="1779"/>
      <c r="AO75" s="1779"/>
      <c r="AP75" s="1779"/>
      <c r="AQ75" s="1779"/>
      <c r="AR75" s="1779"/>
      <c r="AS75" s="1779"/>
      <c r="AT75" s="3213"/>
      <c r="AU75" s="3385"/>
      <c r="AV75" s="3383"/>
      <c r="AW75" s="3383"/>
      <c r="AX75" s="3383"/>
      <c r="AY75" s="3383"/>
      <c r="AZ75" s="3383"/>
      <c r="BA75" s="3383"/>
      <c r="BB75" s="3383"/>
      <c r="BC75" s="3383"/>
      <c r="BD75" s="3383"/>
      <c r="BE75" s="3311">
        <v>52</v>
      </c>
      <c r="BF75" s="1882" t="str">
        <f t="shared" si="30"/>
        <v/>
      </c>
      <c r="BG75" s="1883">
        <f t="shared" si="31"/>
        <v>0</v>
      </c>
      <c r="BH75" s="1884">
        <f t="shared" si="32"/>
        <v>0</v>
      </c>
      <c r="EB75" s="1829">
        <v>16</v>
      </c>
      <c r="EC75" s="1795">
        <f>IF(ACTIONS!C18&gt;0,EC76+1,0)</f>
        <v>0</v>
      </c>
      <c r="ED75" s="1795">
        <f>IF(ACTIONS!D18&gt;0,ED76+1,0)</f>
        <v>0</v>
      </c>
      <c r="EE75" s="1795">
        <f>IF(ACTIONS!E18&gt;0,EE76+1,0)</f>
        <v>0</v>
      </c>
      <c r="EF75" s="1795">
        <f>IF(ACTIONS!F18&gt;0,EF76+1,0)</f>
        <v>0</v>
      </c>
      <c r="EG75" s="1795">
        <f>IF(ACTIONS!G18&gt;0,EG76+1,0)</f>
        <v>0</v>
      </c>
      <c r="EH75" s="1795">
        <f>IF(ACTIONS!H18&gt;0,EH76+1,0)</f>
        <v>0</v>
      </c>
      <c r="EI75" s="1795">
        <f>IF(ACTIONS!I18&gt;0,EI76+1,0)</f>
        <v>0</v>
      </c>
      <c r="EJ75" s="1795">
        <f>IF(ACTIONS!J18&gt;0,EJ76+1,0)</f>
        <v>0</v>
      </c>
      <c r="EK75" s="1795">
        <f>IF(ACTIONS!K18&gt;0,EK76+1,0)</f>
        <v>0</v>
      </c>
      <c r="EM75" s="1829">
        <v>16</v>
      </c>
      <c r="EN75" s="1795">
        <f>IF(ACTIONS!BQ18&gt;0,EN76+1,0)</f>
        <v>0</v>
      </c>
      <c r="EO75" s="1795">
        <f>IF(ACTIONS!BR18&gt;0,EO76+1,0)</f>
        <v>0</v>
      </c>
      <c r="EP75" s="1795">
        <f>IF(ACTIONS!BS18&gt;0,EP76+1,0)</f>
        <v>0</v>
      </c>
      <c r="EQ75" s="1795">
        <f>IF(ACTIONS!BT18&gt;0,EQ76+1,0)</f>
        <v>0</v>
      </c>
      <c r="ER75" s="1795">
        <f>IF(ACTIONS!BU18&gt;0,ER76+1,0)</f>
        <v>0</v>
      </c>
      <c r="ES75" s="1795">
        <f>IF(ACTIONS!BV18&gt;0,ES76+1,0)</f>
        <v>0</v>
      </c>
      <c r="ET75" s="1795">
        <f>IF(ACTIONS!BW18&gt;0,ET76+1,0)</f>
        <v>0</v>
      </c>
      <c r="EU75" s="1795">
        <f>IF(ACTIONS!BX18&gt;0,EU76+1,0)</f>
        <v>0</v>
      </c>
      <c r="EV75" s="1795">
        <f>IF(ACTIONS!BY18&gt;0,EV76+1,0)</f>
        <v>0</v>
      </c>
      <c r="EX75" s="1864"/>
      <c r="EY75" s="2411"/>
      <c r="EZ75" s="2406"/>
      <c r="FA75" s="2502" t="s">
        <v>1639</v>
      </c>
      <c r="FB75" s="2411"/>
      <c r="FC75" s="2407">
        <v>1</v>
      </c>
      <c r="FD75" s="2408">
        <v>1</v>
      </c>
      <c r="FE75" s="2409">
        <v>2</v>
      </c>
      <c r="FF75" s="2410">
        <v>2</v>
      </c>
      <c r="FG75" s="1865"/>
      <c r="FH75" s="2403"/>
      <c r="FI75" s="2553" cm="1">
        <f t="array" ref="FI75">_xlfn.IFS($FI$23=$FC$23,FC75,$FI$23=$FD$23,FD75,$FI$23=$FE$23,FE75,$FI$23=$FF$23,FF75,TRUE,FC75)</f>
        <v>1</v>
      </c>
      <c r="FJ75" s="1865"/>
      <c r="JC75" s="1892"/>
      <c r="JE75" s="1900"/>
      <c r="JF75" s="1929">
        <f t="shared" ca="1" si="34"/>
        <v>0</v>
      </c>
      <c r="JG75" s="1900" t="s">
        <v>259</v>
      </c>
      <c r="JH75" s="1929">
        <v>3</v>
      </c>
      <c r="JI75" s="1870" t="s">
        <v>260</v>
      </c>
      <c r="JM75" s="1893"/>
      <c r="JT75" s="3048"/>
      <c r="JV75" s="3048"/>
      <c r="KG75" s="1822"/>
      <c r="KH75" s="1821"/>
      <c r="KI75" s="1822"/>
      <c r="KJ75" s="1821"/>
      <c r="KK75" s="1822"/>
    </row>
    <row r="76" spans="10:311" ht="17.100000000000001" customHeight="1" thickBot="1" x14ac:dyDescent="0.35">
      <c r="J76" s="1898" t="str">
        <f t="shared" si="15"/>
        <v/>
      </c>
      <c r="K76" s="3312" t="str">
        <f t="shared" si="16"/>
        <v/>
      </c>
      <c r="L76" s="1779"/>
      <c r="M76" s="1779"/>
      <c r="N76" s="1779"/>
      <c r="O76" s="1779"/>
      <c r="P76" s="1779"/>
      <c r="Q76" s="1779"/>
      <c r="R76" s="1779"/>
      <c r="S76" s="1779"/>
      <c r="T76" s="1779"/>
      <c r="U76" s="1779"/>
      <c r="V76" s="1922"/>
      <c r="W76" s="1779"/>
      <c r="X76" s="1779"/>
      <c r="Y76" s="1779"/>
      <c r="Z76" s="1779"/>
      <c r="AA76" s="1779"/>
      <c r="AB76" s="1779"/>
      <c r="AC76" s="1779"/>
      <c r="AD76" s="1779"/>
      <c r="AE76" s="1779"/>
      <c r="AF76" s="1779"/>
      <c r="AH76" s="3312" t="str">
        <f t="shared" si="17"/>
        <v/>
      </c>
      <c r="AI76" s="1779"/>
      <c r="AJ76" s="1928"/>
      <c r="AK76" s="1779"/>
      <c r="AL76" s="1779"/>
      <c r="AM76" s="1779"/>
      <c r="AN76" s="1779"/>
      <c r="AO76" s="1779"/>
      <c r="AP76" s="1779"/>
      <c r="AQ76" s="1779"/>
      <c r="AR76" s="1779"/>
      <c r="AS76" s="1779"/>
      <c r="AT76" s="3213"/>
      <c r="AU76" s="3385"/>
      <c r="AV76" s="3383"/>
      <c r="AW76" s="3383"/>
      <c r="AX76" s="3383"/>
      <c r="AY76" s="3383"/>
      <c r="AZ76" s="3383"/>
      <c r="BA76" s="3383"/>
      <c r="BB76" s="3383"/>
      <c r="BC76" s="3383"/>
      <c r="BD76" s="3383"/>
      <c r="BE76" s="3311">
        <v>53</v>
      </c>
      <c r="BF76" s="1882" t="str">
        <f t="shared" si="30"/>
        <v/>
      </c>
      <c r="BG76" s="1883">
        <f t="shared" si="31"/>
        <v>0</v>
      </c>
      <c r="BH76" s="1884">
        <f t="shared" si="32"/>
        <v>0</v>
      </c>
      <c r="EB76" s="1829">
        <v>15</v>
      </c>
      <c r="EC76" s="1795">
        <f>IF(ACTIONS!C19&gt;0,EC77+1,0)</f>
        <v>0</v>
      </c>
      <c r="ED76" s="1795">
        <f>IF(ACTIONS!D19&gt;0,ED77+1,0)</f>
        <v>0</v>
      </c>
      <c r="EE76" s="1795">
        <f>IF(ACTIONS!E19&gt;0,EE77+1,0)</f>
        <v>0</v>
      </c>
      <c r="EF76" s="1795">
        <f>IF(ACTIONS!F19&gt;0,EF77+1,0)</f>
        <v>0</v>
      </c>
      <c r="EG76" s="1795">
        <f>IF(ACTIONS!G19&gt;0,EG77+1,0)</f>
        <v>0</v>
      </c>
      <c r="EH76" s="1795">
        <f>IF(ACTIONS!H19&gt;0,EH77+1,0)</f>
        <v>0</v>
      </c>
      <c r="EI76" s="1795">
        <f>IF(ACTIONS!I19&gt;0,EI77+1,0)</f>
        <v>0</v>
      </c>
      <c r="EJ76" s="1795">
        <f>IF(ACTIONS!J19&gt;0,EJ77+1,0)</f>
        <v>0</v>
      </c>
      <c r="EK76" s="1795">
        <f>IF(ACTIONS!K19&gt;0,EK77+1,0)</f>
        <v>0</v>
      </c>
      <c r="EM76" s="1829">
        <v>15</v>
      </c>
      <c r="EN76" s="1795">
        <f>IF(ACTIONS!BQ19&gt;0,EN77+1,0)</f>
        <v>0</v>
      </c>
      <c r="EO76" s="1795">
        <f>IF(ACTIONS!BR19&gt;0,EO77+1,0)</f>
        <v>0</v>
      </c>
      <c r="EP76" s="1795">
        <f>IF(ACTIONS!BS19&gt;0,EP77+1,0)</f>
        <v>0</v>
      </c>
      <c r="EQ76" s="1795">
        <f>IF(ACTIONS!BT19&gt;0,EQ77+1,0)</f>
        <v>0</v>
      </c>
      <c r="ER76" s="1795">
        <f>IF(ACTIONS!BU19&gt;0,ER77+1,0)</f>
        <v>0</v>
      </c>
      <c r="ES76" s="1795">
        <f>IF(ACTIONS!BV19&gt;0,ES77+1,0)</f>
        <v>0</v>
      </c>
      <c r="ET76" s="1795">
        <f>IF(ACTIONS!BW19&gt;0,ET77+1,0)</f>
        <v>0</v>
      </c>
      <c r="EU76" s="1795">
        <f>IF(ACTIONS!BX19&gt;0,EU77+1,0)</f>
        <v>0</v>
      </c>
      <c r="EV76" s="1795">
        <f>IF(ACTIONS!BY19&gt;0,EV77+1,0)</f>
        <v>0</v>
      </c>
      <c r="EX76" s="2403"/>
      <c r="FA76" s="1808"/>
      <c r="FC76" s="2412"/>
      <c r="FD76" s="2412"/>
      <c r="FE76" s="2412"/>
      <c r="FF76" s="2412"/>
      <c r="FG76" s="2415"/>
      <c r="FH76" s="2414"/>
      <c r="FI76" s="2554"/>
      <c r="FJ76" s="1865"/>
      <c r="JC76" s="1892"/>
      <c r="JE76" s="1900"/>
      <c r="JF76" s="1929">
        <f t="shared" ca="1" si="34"/>
        <v>0</v>
      </c>
      <c r="JG76" s="1900" t="s">
        <v>262</v>
      </c>
      <c r="JH76" s="1929">
        <v>9</v>
      </c>
      <c r="JI76" s="1901"/>
      <c r="JM76" s="1893"/>
      <c r="JT76" s="3048"/>
      <c r="JV76" s="3048"/>
      <c r="KG76" s="1822"/>
      <c r="KH76" s="1821"/>
      <c r="KI76" s="1822"/>
      <c r="KJ76" s="1821"/>
      <c r="KK76" s="1822"/>
    </row>
    <row r="77" spans="10:311" ht="17.100000000000001" customHeight="1" thickBot="1" x14ac:dyDescent="0.35">
      <c r="J77" s="1898" t="str">
        <f t="shared" si="15"/>
        <v/>
      </c>
      <c r="K77" s="3312" t="str">
        <f t="shared" si="16"/>
        <v/>
      </c>
      <c r="L77" s="1779"/>
      <c r="M77" s="1779"/>
      <c r="N77" s="1779"/>
      <c r="O77" s="1779"/>
      <c r="P77" s="1779"/>
      <c r="Q77" s="1779"/>
      <c r="R77" s="1779"/>
      <c r="S77" s="1779"/>
      <c r="T77" s="1779"/>
      <c r="U77" s="1779"/>
      <c r="V77" s="1922"/>
      <c r="W77" s="1779"/>
      <c r="X77" s="1779"/>
      <c r="Y77" s="1779"/>
      <c r="Z77" s="1779"/>
      <c r="AA77" s="1779"/>
      <c r="AB77" s="1779"/>
      <c r="AC77" s="1779"/>
      <c r="AD77" s="1779"/>
      <c r="AE77" s="1779"/>
      <c r="AF77" s="1779"/>
      <c r="AH77" s="3312" t="str">
        <f t="shared" si="17"/>
        <v/>
      </c>
      <c r="AI77" s="1779"/>
      <c r="AJ77" s="1928"/>
      <c r="AK77" s="1779"/>
      <c r="AL77" s="1779"/>
      <c r="AM77" s="1779"/>
      <c r="AN77" s="1779"/>
      <c r="AO77" s="1779"/>
      <c r="AP77" s="1779"/>
      <c r="AQ77" s="1779"/>
      <c r="AR77" s="1779"/>
      <c r="AS77" s="1779"/>
      <c r="AT77" s="3213"/>
      <c r="AU77" s="3385"/>
      <c r="AV77" s="3383"/>
      <c r="AW77" s="3383"/>
      <c r="AX77" s="3383"/>
      <c r="AY77" s="3383"/>
      <c r="AZ77" s="3383"/>
      <c r="BA77" s="3383"/>
      <c r="BB77" s="3383"/>
      <c r="BC77" s="3383"/>
      <c r="BD77" s="3383"/>
      <c r="BE77" s="3311">
        <v>54</v>
      </c>
      <c r="BF77" s="1882" t="str">
        <f t="shared" si="30"/>
        <v/>
      </c>
      <c r="BG77" s="1883">
        <f t="shared" si="31"/>
        <v>0</v>
      </c>
      <c r="BH77" s="1884">
        <f t="shared" si="32"/>
        <v>0</v>
      </c>
      <c r="EB77" s="1829">
        <v>14</v>
      </c>
      <c r="EC77" s="1795">
        <f>IF(ACTIONS!C20&gt;0,EC78+1,0)</f>
        <v>0</v>
      </c>
      <c r="ED77" s="1795">
        <f>IF(ACTIONS!D20&gt;0,ED78+1,0)</f>
        <v>0</v>
      </c>
      <c r="EE77" s="1795">
        <f>IF(ACTIONS!E20&gt;0,EE78+1,0)</f>
        <v>0</v>
      </c>
      <c r="EF77" s="1795">
        <f>IF(ACTIONS!F20&gt;0,EF78+1,0)</f>
        <v>0</v>
      </c>
      <c r="EG77" s="1795">
        <f>IF(ACTIONS!G20&gt;0,EG78+1,0)</f>
        <v>0</v>
      </c>
      <c r="EH77" s="1795">
        <f>IF(ACTIONS!H20&gt;0,EH78+1,0)</f>
        <v>0</v>
      </c>
      <c r="EI77" s="1795">
        <f>IF(ACTIONS!I20&gt;0,EI78+1,0)</f>
        <v>0</v>
      </c>
      <c r="EJ77" s="1795">
        <f>IF(ACTIONS!J20&gt;0,EJ78+1,0)</f>
        <v>0</v>
      </c>
      <c r="EK77" s="1795">
        <f>IF(ACTIONS!K20&gt;0,EK78+1,0)</f>
        <v>0</v>
      </c>
      <c r="EM77" s="1829">
        <v>14</v>
      </c>
      <c r="EN77" s="1795">
        <f>IF(ACTIONS!BQ20&gt;0,EN78+1,0)</f>
        <v>0</v>
      </c>
      <c r="EO77" s="1795">
        <f>IF(ACTIONS!BR20&gt;0,EO78+1,0)</f>
        <v>0</v>
      </c>
      <c r="EP77" s="1795">
        <f>IF(ACTIONS!BS20&gt;0,EP78+1,0)</f>
        <v>0</v>
      </c>
      <c r="EQ77" s="1795">
        <f>IF(ACTIONS!BT20&gt;0,EQ78+1,0)</f>
        <v>0</v>
      </c>
      <c r="ER77" s="1795">
        <f>IF(ACTIONS!BU20&gt;0,ER78+1,0)</f>
        <v>0</v>
      </c>
      <c r="ES77" s="1795">
        <f>IF(ACTIONS!BV20&gt;0,ES78+1,0)</f>
        <v>0</v>
      </c>
      <c r="ET77" s="1795">
        <f>IF(ACTIONS!BW20&gt;0,ET78+1,0)</f>
        <v>0</v>
      </c>
      <c r="EU77" s="1795">
        <f>IF(ACTIONS!BX20&gt;0,EU78+1,0)</f>
        <v>0</v>
      </c>
      <c r="EV77" s="1795">
        <f>IF(ACTIONS!BY20&gt;0,EV78+1,0)</f>
        <v>0</v>
      </c>
      <c r="EX77" s="1864"/>
      <c r="EY77" s="2411"/>
      <c r="EZ77" s="2406"/>
      <c r="FA77" s="2502" t="s">
        <v>1670</v>
      </c>
      <c r="FB77" s="2411"/>
      <c r="FC77" s="2407">
        <v>1</v>
      </c>
      <c r="FD77" s="2408">
        <v>1</v>
      </c>
      <c r="FE77" s="2409">
        <v>2</v>
      </c>
      <c r="FF77" s="2410">
        <v>2</v>
      </c>
      <c r="FG77" s="1865"/>
      <c r="FH77" s="2403"/>
      <c r="FI77" s="2553" cm="1">
        <f t="array" ref="FI77">_xlfn.IFS($FI$23=$FC$23,FC77,$FI$23=$FD$23,FD77,$FI$23=$FE$23,FE77,$FI$23=$FF$23,FF77,TRUE,FC77)</f>
        <v>1</v>
      </c>
      <c r="FJ77" s="1865"/>
      <c r="JC77" s="1892"/>
      <c r="JE77" s="1900"/>
      <c r="JF77" s="1929">
        <f t="shared" ca="1" si="34"/>
        <v>0</v>
      </c>
      <c r="JG77" s="1900" t="s">
        <v>265</v>
      </c>
      <c r="JH77" s="1929">
        <v>7</v>
      </c>
      <c r="JI77" s="1901"/>
      <c r="JM77" s="1893"/>
      <c r="JT77" s="3048"/>
      <c r="JV77" s="3048"/>
      <c r="KG77" s="1822"/>
      <c r="KH77" s="1821"/>
      <c r="KI77" s="1822"/>
      <c r="KJ77" s="1821"/>
      <c r="KK77" s="1822"/>
      <c r="KV77" s="3048"/>
      <c r="KW77" s="3049"/>
      <c r="KX77" s="3048"/>
      <c r="KY77" s="3053"/>
    </row>
    <row r="78" spans="10:311" ht="17.100000000000001" customHeight="1" thickBot="1" x14ac:dyDescent="0.35">
      <c r="J78" s="1898" t="str">
        <f t="shared" si="15"/>
        <v/>
      </c>
      <c r="K78" s="3312" t="str">
        <f t="shared" si="16"/>
        <v/>
      </c>
      <c r="L78" s="1779"/>
      <c r="M78" s="1779"/>
      <c r="N78" s="1779"/>
      <c r="O78" s="1779"/>
      <c r="P78" s="1779"/>
      <c r="Q78" s="1779"/>
      <c r="R78" s="1779"/>
      <c r="S78" s="1779"/>
      <c r="T78" s="1779"/>
      <c r="U78" s="1779"/>
      <c r="V78" s="1922"/>
      <c r="W78" s="1779"/>
      <c r="X78" s="1779"/>
      <c r="Y78" s="1779"/>
      <c r="Z78" s="1779"/>
      <c r="AA78" s="1779"/>
      <c r="AB78" s="1779"/>
      <c r="AC78" s="1779"/>
      <c r="AD78" s="1779"/>
      <c r="AE78" s="1779"/>
      <c r="AF78" s="1779"/>
      <c r="AH78" s="3312" t="str">
        <f t="shared" si="17"/>
        <v/>
      </c>
      <c r="AI78" s="1779"/>
      <c r="AJ78" s="1928"/>
      <c r="AK78" s="1779"/>
      <c r="AL78" s="1779"/>
      <c r="AM78" s="1779"/>
      <c r="AN78" s="1779"/>
      <c r="AO78" s="1779"/>
      <c r="AP78" s="1779"/>
      <c r="AQ78" s="1779"/>
      <c r="AR78" s="1779"/>
      <c r="AS78" s="1779"/>
      <c r="AT78" s="3213"/>
      <c r="AU78" s="3385"/>
      <c r="AV78" s="3383"/>
      <c r="AW78" s="3383"/>
      <c r="AX78" s="3383"/>
      <c r="AY78" s="3383"/>
      <c r="AZ78" s="3383"/>
      <c r="BA78" s="3383"/>
      <c r="BB78" s="3383"/>
      <c r="BC78" s="3383"/>
      <c r="BD78" s="3383"/>
      <c r="BE78" s="3311">
        <v>55</v>
      </c>
      <c r="BF78" s="1882" t="str">
        <f t="shared" si="30"/>
        <v/>
      </c>
      <c r="BG78" s="1883">
        <f t="shared" si="31"/>
        <v>0</v>
      </c>
      <c r="BH78" s="1884">
        <f t="shared" si="32"/>
        <v>0</v>
      </c>
      <c r="EB78" s="1829">
        <v>13</v>
      </c>
      <c r="EC78" s="1795">
        <f>IF(ACTIONS!C21&gt;0,EC79+1,0)</f>
        <v>0</v>
      </c>
      <c r="ED78" s="1795">
        <f>IF(ACTIONS!D21&gt;0,ED79+1,0)</f>
        <v>0</v>
      </c>
      <c r="EE78" s="1795">
        <f>IF(ACTIONS!E21&gt;0,EE79+1,0)</f>
        <v>0</v>
      </c>
      <c r="EF78" s="1795">
        <f>IF(ACTIONS!F21&gt;0,EF79+1,0)</f>
        <v>0</v>
      </c>
      <c r="EG78" s="1795">
        <f>IF(ACTIONS!G21&gt;0,EG79+1,0)</f>
        <v>0</v>
      </c>
      <c r="EH78" s="1795">
        <f>IF(ACTIONS!H21&gt;0,EH79+1,0)</f>
        <v>0</v>
      </c>
      <c r="EI78" s="1795">
        <f>IF(ACTIONS!I21&gt;0,EI79+1,0)</f>
        <v>0</v>
      </c>
      <c r="EJ78" s="1795">
        <f>IF(ACTIONS!J21&gt;0,EJ79+1,0)</f>
        <v>0</v>
      </c>
      <c r="EK78" s="1795">
        <f>IF(ACTIONS!K21&gt;0,EK79+1,0)</f>
        <v>0</v>
      </c>
      <c r="EM78" s="1829">
        <v>13</v>
      </c>
      <c r="EN78" s="1795">
        <f>IF(ACTIONS!BQ21&gt;0,EN79+1,0)</f>
        <v>0</v>
      </c>
      <c r="EO78" s="1795">
        <f>IF(ACTIONS!BR21&gt;0,EO79+1,0)</f>
        <v>0</v>
      </c>
      <c r="EP78" s="1795">
        <f>IF(ACTIONS!BS21&gt;0,EP79+1,0)</f>
        <v>0</v>
      </c>
      <c r="EQ78" s="1795">
        <f>IF(ACTIONS!BT21&gt;0,EQ79+1,0)</f>
        <v>0</v>
      </c>
      <c r="ER78" s="1795">
        <f>IF(ACTIONS!BU21&gt;0,ER79+1,0)</f>
        <v>0</v>
      </c>
      <c r="ES78" s="1795">
        <f>IF(ACTIONS!BV21&gt;0,ES79+1,0)</f>
        <v>0</v>
      </c>
      <c r="ET78" s="1795">
        <f>IF(ACTIONS!BW21&gt;0,ET79+1,0)</f>
        <v>0</v>
      </c>
      <c r="EU78" s="1795">
        <f>IF(ACTIONS!BX21&gt;0,EU79+1,0)</f>
        <v>0</v>
      </c>
      <c r="EV78" s="1795">
        <f>IF(ACTIONS!BY21&gt;0,EV79+1,0)</f>
        <v>0</v>
      </c>
      <c r="EX78" s="2403"/>
      <c r="FG78" s="1865"/>
      <c r="FH78" s="2403"/>
      <c r="FJ78" s="1865"/>
      <c r="JC78" s="1892"/>
      <c r="JE78" s="1900"/>
      <c r="JF78" s="1929">
        <f t="shared" ca="1" si="34"/>
        <v>0</v>
      </c>
      <c r="JG78" s="1900" t="s">
        <v>268</v>
      </c>
      <c r="JH78" s="1929">
        <v>10</v>
      </c>
      <c r="JI78" s="1901"/>
      <c r="JM78" s="1893"/>
      <c r="JT78" s="3048"/>
      <c r="JV78" s="3048"/>
      <c r="KG78" s="1822"/>
      <c r="KH78" s="1821"/>
      <c r="KI78" s="1822"/>
      <c r="KJ78" s="1821"/>
      <c r="KK78" s="1822"/>
      <c r="KV78" s="3048"/>
      <c r="KW78" s="3049"/>
      <c r="KX78" s="3048"/>
      <c r="KY78" s="3053"/>
    </row>
    <row r="79" spans="10:311" ht="17.100000000000001" customHeight="1" thickBot="1" x14ac:dyDescent="0.35">
      <c r="J79" s="1898" t="str">
        <f t="shared" si="15"/>
        <v/>
      </c>
      <c r="K79" s="3312" t="str">
        <f t="shared" si="16"/>
        <v/>
      </c>
      <c r="L79" s="1779"/>
      <c r="M79" s="1779"/>
      <c r="N79" s="1779"/>
      <c r="O79" s="1779"/>
      <c r="P79" s="1779"/>
      <c r="Q79" s="1779"/>
      <c r="R79" s="1779"/>
      <c r="S79" s="1779"/>
      <c r="T79" s="1779"/>
      <c r="U79" s="1779"/>
      <c r="V79" s="1922"/>
      <c r="W79" s="1779"/>
      <c r="X79" s="1779"/>
      <c r="Y79" s="1779"/>
      <c r="Z79" s="1779"/>
      <c r="AA79" s="1779"/>
      <c r="AB79" s="1779"/>
      <c r="AC79" s="1779"/>
      <c r="AD79" s="1779"/>
      <c r="AE79" s="1779"/>
      <c r="AF79" s="1779"/>
      <c r="AH79" s="3312" t="str">
        <f t="shared" si="17"/>
        <v/>
      </c>
      <c r="AI79" s="1779"/>
      <c r="AJ79" s="1928"/>
      <c r="AK79" s="1779"/>
      <c r="AL79" s="1779"/>
      <c r="AM79" s="1779"/>
      <c r="AN79" s="1779"/>
      <c r="AO79" s="1779"/>
      <c r="AP79" s="1779"/>
      <c r="AQ79" s="1779"/>
      <c r="AR79" s="1779"/>
      <c r="AS79" s="1779"/>
      <c r="AT79" s="3213"/>
      <c r="AU79" s="3385"/>
      <c r="AV79" s="3383"/>
      <c r="AW79" s="3383"/>
      <c r="AX79" s="3383"/>
      <c r="AY79" s="3383"/>
      <c r="AZ79" s="3383"/>
      <c r="BA79" s="3383"/>
      <c r="BB79" s="3383"/>
      <c r="BC79" s="3383"/>
      <c r="BD79" s="3383"/>
      <c r="BE79" s="3311">
        <v>56</v>
      </c>
      <c r="BF79" s="1882" t="str">
        <f t="shared" si="30"/>
        <v/>
      </c>
      <c r="BG79" s="1883">
        <f t="shared" si="31"/>
        <v>0</v>
      </c>
      <c r="BH79" s="1884">
        <f t="shared" si="32"/>
        <v>0</v>
      </c>
      <c r="EB79" s="1829">
        <v>12</v>
      </c>
      <c r="EC79" s="1795">
        <f>IF(ACTIONS!C22&gt;0,EC80+1,0)</f>
        <v>0</v>
      </c>
      <c r="ED79" s="1795">
        <f>IF(ACTIONS!D22&gt;0,ED80+1,0)</f>
        <v>0</v>
      </c>
      <c r="EE79" s="1795">
        <f>IF(ACTIONS!E22&gt;0,EE80+1,0)</f>
        <v>0</v>
      </c>
      <c r="EF79" s="1795">
        <f>IF(ACTIONS!F22&gt;0,EF80+1,0)</f>
        <v>0</v>
      </c>
      <c r="EG79" s="1795">
        <f>IF(ACTIONS!G22&gt;0,EG80+1,0)</f>
        <v>0</v>
      </c>
      <c r="EH79" s="1795">
        <f>IF(ACTIONS!H22&gt;0,EH80+1,0)</f>
        <v>0</v>
      </c>
      <c r="EI79" s="1795">
        <f>IF(ACTIONS!I22&gt;0,EI80+1,0)</f>
        <v>0</v>
      </c>
      <c r="EJ79" s="1795">
        <f>IF(ACTIONS!J22&gt;0,EJ80+1,0)</f>
        <v>0</v>
      </c>
      <c r="EK79" s="1795">
        <f>IF(ACTIONS!K22&gt;0,EK80+1,0)</f>
        <v>0</v>
      </c>
      <c r="EM79" s="1829">
        <v>12</v>
      </c>
      <c r="EN79" s="1795">
        <f>IF(ACTIONS!BQ22&gt;0,EN80+1,0)</f>
        <v>0</v>
      </c>
      <c r="EO79" s="1795">
        <f>IF(ACTIONS!BR22&gt;0,EO80+1,0)</f>
        <v>0</v>
      </c>
      <c r="EP79" s="1795">
        <f>IF(ACTIONS!BS22&gt;0,EP80+1,0)</f>
        <v>0</v>
      </c>
      <c r="EQ79" s="1795">
        <f>IF(ACTIONS!BT22&gt;0,EQ80+1,0)</f>
        <v>0</v>
      </c>
      <c r="ER79" s="1795">
        <f>IF(ACTIONS!BU22&gt;0,ER80+1,0)</f>
        <v>0</v>
      </c>
      <c r="ES79" s="1795">
        <f>IF(ACTIONS!BV22&gt;0,ES80+1,0)</f>
        <v>0</v>
      </c>
      <c r="ET79" s="1795">
        <f>IF(ACTIONS!BW22&gt;0,ET80+1,0)</f>
        <v>0</v>
      </c>
      <c r="EU79" s="1795">
        <f>IF(ACTIONS!BX22&gt;0,EU80+1,0)</f>
        <v>0</v>
      </c>
      <c r="EV79" s="1795">
        <f>IF(ACTIONS!BY22&gt;0,EV80+1,0)</f>
        <v>0</v>
      </c>
      <c r="EX79" s="2403"/>
      <c r="EY79" s="2555"/>
      <c r="EZ79" s="2555"/>
      <c r="FA79" s="2555" t="s">
        <v>1089</v>
      </c>
      <c r="FB79" s="2555"/>
      <c r="FC79" s="2556">
        <f>SUM(FC68:FC77)</f>
        <v>3.25</v>
      </c>
      <c r="FD79" s="2556">
        <f>SUM(FD68:FD77)</f>
        <v>4.5</v>
      </c>
      <c r="FE79" s="2556">
        <f>SUM(FE68:FE77)</f>
        <v>9</v>
      </c>
      <c r="FF79" s="2556">
        <f>SUM(FF68:FF77)</f>
        <v>11.5</v>
      </c>
      <c r="FG79" s="2557"/>
      <c r="FH79" s="2558"/>
      <c r="FI79" s="2559">
        <f>SUM(FI68:FI77)</f>
        <v>3.25</v>
      </c>
      <c r="FJ79" s="1865"/>
      <c r="JC79" s="1892"/>
      <c r="JE79" s="1887"/>
      <c r="JF79" s="1858">
        <f ca="1">COUNTIF(JF63:JF78,"&gt;0")</f>
        <v>0</v>
      </c>
      <c r="JG79" s="1796"/>
      <c r="JH79" s="1858">
        <f>COUNT(JH63:JH78)</f>
        <v>16</v>
      </c>
      <c r="JI79" s="1870" t="s">
        <v>269</v>
      </c>
      <c r="JM79" s="1893"/>
      <c r="JT79" s="3048"/>
      <c r="JV79" s="3048"/>
      <c r="KG79" s="1822"/>
      <c r="KH79" s="1821"/>
      <c r="KI79" s="1822"/>
      <c r="KJ79" s="1821"/>
      <c r="KK79" s="1822"/>
      <c r="KV79" s="3048"/>
      <c r="KW79" s="3049"/>
      <c r="KX79" s="3048"/>
      <c r="KY79" s="3053"/>
    </row>
    <row r="80" spans="10:311" ht="17.100000000000001" customHeight="1" thickBot="1" x14ac:dyDescent="0.35">
      <c r="J80" s="1898" t="str">
        <f t="shared" si="15"/>
        <v/>
      </c>
      <c r="K80" s="3312" t="str">
        <f t="shared" si="16"/>
        <v/>
      </c>
      <c r="L80" s="1779"/>
      <c r="M80" s="1779"/>
      <c r="N80" s="1779"/>
      <c r="O80" s="1779"/>
      <c r="P80" s="1779"/>
      <c r="Q80" s="1779"/>
      <c r="R80" s="1779"/>
      <c r="S80" s="1779"/>
      <c r="T80" s="1779"/>
      <c r="U80" s="1779"/>
      <c r="V80" s="1922"/>
      <c r="W80" s="1779"/>
      <c r="X80" s="1779"/>
      <c r="Y80" s="1779"/>
      <c r="Z80" s="1779"/>
      <c r="AA80" s="1779"/>
      <c r="AB80" s="1779"/>
      <c r="AC80" s="1779"/>
      <c r="AD80" s="1779"/>
      <c r="AE80" s="1779"/>
      <c r="AF80" s="1779"/>
      <c r="AH80" s="3312" t="str">
        <f t="shared" si="17"/>
        <v/>
      </c>
      <c r="AI80" s="1779"/>
      <c r="AJ80" s="1928"/>
      <c r="AK80" s="1779"/>
      <c r="AL80" s="1779"/>
      <c r="AM80" s="1779"/>
      <c r="AN80" s="1779"/>
      <c r="AO80" s="1779"/>
      <c r="AP80" s="1779"/>
      <c r="AQ80" s="1779"/>
      <c r="AR80" s="1779"/>
      <c r="AS80" s="1779"/>
      <c r="AT80" s="3213"/>
      <c r="AU80" s="3385"/>
      <c r="AV80" s="3383"/>
      <c r="AW80" s="3383"/>
      <c r="AX80" s="3383"/>
      <c r="AY80" s="3383"/>
      <c r="AZ80" s="3383"/>
      <c r="BA80" s="3383"/>
      <c r="BB80" s="3383"/>
      <c r="BC80" s="3383"/>
      <c r="BD80" s="3383"/>
      <c r="BE80" s="3311">
        <v>57</v>
      </c>
      <c r="BF80" s="1882" t="str">
        <f t="shared" si="30"/>
        <v/>
      </c>
      <c r="BG80" s="1883">
        <f t="shared" si="31"/>
        <v>0</v>
      </c>
      <c r="BH80" s="1884">
        <f t="shared" si="32"/>
        <v>0</v>
      </c>
      <c r="EB80" s="1829">
        <v>11</v>
      </c>
      <c r="EC80" s="1795">
        <f>IF(ACTIONS!C23&gt;0,EC81+1,0)</f>
        <v>0</v>
      </c>
      <c r="ED80" s="1795">
        <f>IF(ACTIONS!D23&gt;0,ED81+1,0)</f>
        <v>0</v>
      </c>
      <c r="EE80" s="1795">
        <f>IF(ACTIONS!E23&gt;0,EE81+1,0)</f>
        <v>0</v>
      </c>
      <c r="EF80" s="1795">
        <f>IF(ACTIONS!F23&gt;0,EF81+1,0)</f>
        <v>0</v>
      </c>
      <c r="EG80" s="1795">
        <f>IF(ACTIONS!G23&gt;0,EG81+1,0)</f>
        <v>0</v>
      </c>
      <c r="EH80" s="1795">
        <f>IF(ACTIONS!H23&gt;0,EH81+1,0)</f>
        <v>0</v>
      </c>
      <c r="EI80" s="1795">
        <f>IF(ACTIONS!I23&gt;0,EI81+1,0)</f>
        <v>0</v>
      </c>
      <c r="EJ80" s="1795">
        <f>IF(ACTIONS!J23&gt;0,EJ81+1,0)</f>
        <v>0</v>
      </c>
      <c r="EK80" s="1795">
        <f>IF(ACTIONS!K23&gt;0,EK81+1,0)</f>
        <v>0</v>
      </c>
      <c r="EM80" s="1829">
        <v>11</v>
      </c>
      <c r="EN80" s="1795">
        <f>IF(ACTIONS!BQ23&gt;0,EN81+1,0)</f>
        <v>0</v>
      </c>
      <c r="EO80" s="1795">
        <f>IF(ACTIONS!BR23&gt;0,EO81+1,0)</f>
        <v>0</v>
      </c>
      <c r="EP80" s="1795">
        <f>IF(ACTIONS!BS23&gt;0,EP81+1,0)</f>
        <v>0</v>
      </c>
      <c r="EQ80" s="1795">
        <f>IF(ACTIONS!BT23&gt;0,EQ81+1,0)</f>
        <v>0</v>
      </c>
      <c r="ER80" s="1795">
        <f>IF(ACTIONS!BU23&gt;0,ER81+1,0)</f>
        <v>0</v>
      </c>
      <c r="ES80" s="1795">
        <f>IF(ACTIONS!BV23&gt;0,ES81+1,0)</f>
        <v>0</v>
      </c>
      <c r="ET80" s="1795">
        <f>IF(ACTIONS!BW23&gt;0,ET81+1,0)</f>
        <v>0</v>
      </c>
      <c r="EU80" s="1795">
        <f>IF(ACTIONS!BX23&gt;0,EU81+1,0)</f>
        <v>0</v>
      </c>
      <c r="EV80" s="1795">
        <f>IF(ACTIONS!BY23&gt;0,EV81+1,0)</f>
        <v>0</v>
      </c>
      <c r="EX80" s="2404"/>
      <c r="EY80" s="1871"/>
      <c r="EZ80" s="1871"/>
      <c r="FA80" s="1871"/>
      <c r="FB80" s="1871"/>
      <c r="FC80" s="1871"/>
      <c r="FD80" s="1871"/>
      <c r="FE80" s="1871"/>
      <c r="FF80" s="1871"/>
      <c r="FG80" s="2405"/>
      <c r="FH80" s="2404"/>
      <c r="FI80" s="1871"/>
      <c r="FJ80" s="2405"/>
      <c r="JC80" s="1914"/>
      <c r="JD80" s="1915"/>
      <c r="JE80" s="1915"/>
      <c r="JF80" s="1915"/>
      <c r="JG80" s="1915"/>
      <c r="JH80" s="1915"/>
      <c r="JI80" s="1915"/>
      <c r="JJ80" s="1915"/>
      <c r="JK80" s="1915"/>
      <c r="JL80" s="1915"/>
      <c r="JM80" s="1916"/>
      <c r="JT80" s="3048"/>
      <c r="JV80" s="3048"/>
      <c r="KG80" s="1822"/>
      <c r="KH80" s="1821"/>
      <c r="KI80" s="1822"/>
      <c r="KJ80" s="1821"/>
      <c r="KK80" s="1822"/>
      <c r="KV80" s="3048"/>
      <c r="KW80" s="3049"/>
      <c r="KX80" s="3048"/>
      <c r="KY80" s="3053"/>
    </row>
    <row r="81" spans="10:311" ht="17.100000000000001" customHeight="1" x14ac:dyDescent="0.3">
      <c r="J81" s="1898" t="str">
        <f t="shared" si="15"/>
        <v/>
      </c>
      <c r="K81" s="3312" t="str">
        <f t="shared" si="16"/>
        <v/>
      </c>
      <c r="L81" s="1779"/>
      <c r="M81" s="1779"/>
      <c r="N81" s="1779"/>
      <c r="O81" s="1779"/>
      <c r="P81" s="1779"/>
      <c r="Q81" s="1779"/>
      <c r="R81" s="1779"/>
      <c r="S81" s="1779"/>
      <c r="T81" s="1779"/>
      <c r="U81" s="1779"/>
      <c r="V81" s="1922"/>
      <c r="W81" s="1779"/>
      <c r="X81" s="1779"/>
      <c r="Y81" s="1779"/>
      <c r="Z81" s="1779"/>
      <c r="AA81" s="1779"/>
      <c r="AB81" s="1779"/>
      <c r="AC81" s="1779"/>
      <c r="AD81" s="1779"/>
      <c r="AE81" s="1779"/>
      <c r="AF81" s="1779"/>
      <c r="AH81" s="3312" t="str">
        <f t="shared" si="17"/>
        <v/>
      </c>
      <c r="AI81" s="1779"/>
      <c r="AJ81" s="1928"/>
      <c r="AK81" s="1779"/>
      <c r="AL81" s="1779"/>
      <c r="AM81" s="1779"/>
      <c r="AN81" s="1779"/>
      <c r="AO81" s="1779"/>
      <c r="AP81" s="1779"/>
      <c r="AQ81" s="1779"/>
      <c r="AR81" s="1779"/>
      <c r="AS81" s="1779"/>
      <c r="AT81" s="3213"/>
      <c r="AU81" s="3385"/>
      <c r="AV81" s="3383"/>
      <c r="AW81" s="3383"/>
      <c r="AX81" s="3383"/>
      <c r="AY81" s="3383"/>
      <c r="AZ81" s="3383"/>
      <c r="BA81" s="3383"/>
      <c r="BB81" s="3383"/>
      <c r="BC81" s="3383"/>
      <c r="BD81" s="3383"/>
      <c r="BE81" s="3311">
        <v>58</v>
      </c>
      <c r="BF81" s="1882" t="str">
        <f t="shared" si="30"/>
        <v/>
      </c>
      <c r="BG81" s="1883">
        <f t="shared" si="31"/>
        <v>0</v>
      </c>
      <c r="BH81" s="1884">
        <f t="shared" si="32"/>
        <v>0</v>
      </c>
      <c r="EB81" s="1829">
        <v>10</v>
      </c>
      <c r="EC81" s="1795">
        <f>IF(ACTIONS!C24&gt;0,EC82+1,0)</f>
        <v>0</v>
      </c>
      <c r="ED81" s="1795">
        <f>IF(ACTIONS!D24&gt;0,ED82+1,0)</f>
        <v>0</v>
      </c>
      <c r="EE81" s="1795">
        <f>IF(ACTIONS!E24&gt;0,EE82+1,0)</f>
        <v>0</v>
      </c>
      <c r="EF81" s="1795">
        <f>IF(ACTIONS!F24&gt;0,EF82+1,0)</f>
        <v>0</v>
      </c>
      <c r="EG81" s="1795">
        <f>IF(ACTIONS!G24&gt;0,EG82+1,0)</f>
        <v>0</v>
      </c>
      <c r="EH81" s="1795">
        <f>IF(ACTIONS!H24&gt;0,EH82+1,0)</f>
        <v>0</v>
      </c>
      <c r="EI81" s="1795">
        <f>IF(ACTIONS!I24&gt;0,EI82+1,0)</f>
        <v>0</v>
      </c>
      <c r="EJ81" s="1795">
        <f>IF(ACTIONS!J24&gt;0,EJ82+1,0)</f>
        <v>0</v>
      </c>
      <c r="EK81" s="1795">
        <f>IF(ACTIONS!K24&gt;0,EK82+1,0)</f>
        <v>0</v>
      </c>
      <c r="EM81" s="1829">
        <v>10</v>
      </c>
      <c r="EN81" s="1795">
        <f>IF(ACTIONS!BQ24&gt;0,EN82+1,0)</f>
        <v>0</v>
      </c>
      <c r="EO81" s="1795">
        <f>IF(ACTIONS!BR24&gt;0,EO82+1,0)</f>
        <v>0</v>
      </c>
      <c r="EP81" s="1795">
        <f>IF(ACTIONS!BS24&gt;0,EP82+1,0)</f>
        <v>0</v>
      </c>
      <c r="EQ81" s="1795">
        <f>IF(ACTIONS!BT24&gt;0,EQ82+1,0)</f>
        <v>0</v>
      </c>
      <c r="ER81" s="1795">
        <f>IF(ACTIONS!BU24&gt;0,ER82+1,0)</f>
        <v>0</v>
      </c>
      <c r="ES81" s="1795">
        <f>IF(ACTIONS!BV24&gt;0,ES82+1,0)</f>
        <v>0</v>
      </c>
      <c r="ET81" s="1795">
        <f>IF(ACTIONS!BW24&gt;0,ET82+1,0)</f>
        <v>0</v>
      </c>
      <c r="EU81" s="1795">
        <f>IF(ACTIONS!BX24&gt;0,EU82+1,0)</f>
        <v>0</v>
      </c>
      <c r="EV81" s="1795">
        <f>IF(ACTIONS!BY24&gt;0,EV82+1,0)</f>
        <v>0</v>
      </c>
      <c r="JT81" s="3048"/>
      <c r="JV81" s="3048"/>
      <c r="KG81" s="1822"/>
      <c r="KH81" s="1821"/>
      <c r="KI81" s="1822"/>
      <c r="KJ81" s="1821"/>
      <c r="KK81" s="1822"/>
      <c r="KV81" s="3048"/>
      <c r="KW81" s="3049"/>
      <c r="KX81" s="3048"/>
      <c r="KY81" s="3053"/>
    </row>
    <row r="82" spans="10:311" ht="17.100000000000001" customHeight="1" x14ac:dyDescent="0.3">
      <c r="J82" s="1898" t="str">
        <f t="shared" si="15"/>
        <v/>
      </c>
      <c r="K82" s="3312" t="str">
        <f t="shared" si="16"/>
        <v/>
      </c>
      <c r="L82" s="1779"/>
      <c r="M82" s="1779"/>
      <c r="N82" s="1779"/>
      <c r="O82" s="1779"/>
      <c r="P82" s="1779"/>
      <c r="Q82" s="1779"/>
      <c r="R82" s="1779"/>
      <c r="S82" s="1779"/>
      <c r="T82" s="1779"/>
      <c r="U82" s="1779"/>
      <c r="V82" s="1922"/>
      <c r="W82" s="1779"/>
      <c r="X82" s="1779"/>
      <c r="Y82" s="1779"/>
      <c r="Z82" s="1779"/>
      <c r="AA82" s="1779"/>
      <c r="AB82" s="1779"/>
      <c r="AC82" s="1779"/>
      <c r="AD82" s="1779"/>
      <c r="AE82" s="1779"/>
      <c r="AF82" s="1779"/>
      <c r="AH82" s="3312" t="str">
        <f t="shared" si="17"/>
        <v/>
      </c>
      <c r="AI82" s="1779"/>
      <c r="AJ82" s="1928"/>
      <c r="AK82" s="1779"/>
      <c r="AL82" s="1779"/>
      <c r="AM82" s="1779"/>
      <c r="AN82" s="1779"/>
      <c r="AO82" s="1779"/>
      <c r="AP82" s="1779"/>
      <c r="AQ82" s="1779"/>
      <c r="AR82" s="1779"/>
      <c r="AS82" s="1779"/>
      <c r="AT82" s="3213"/>
      <c r="AU82" s="3385"/>
      <c r="AV82" s="3383"/>
      <c r="AW82" s="3383"/>
      <c r="AX82" s="3383"/>
      <c r="AY82" s="3383"/>
      <c r="AZ82" s="3383"/>
      <c r="BA82" s="3383"/>
      <c r="BB82" s="3383"/>
      <c r="BC82" s="3383"/>
      <c r="BD82" s="3383"/>
      <c r="BE82" s="3311">
        <v>59</v>
      </c>
      <c r="BF82" s="1882" t="str">
        <f t="shared" si="30"/>
        <v/>
      </c>
      <c r="BG82" s="1883">
        <f t="shared" si="31"/>
        <v>0</v>
      </c>
      <c r="BH82" s="1884">
        <f t="shared" si="32"/>
        <v>0</v>
      </c>
      <c r="EB82" s="1829">
        <v>9</v>
      </c>
      <c r="EC82" s="1795">
        <f>IF(ACTIONS!C25&gt;0,EC83+1,0)</f>
        <v>0</v>
      </c>
      <c r="ED82" s="1795">
        <f>IF(ACTIONS!D25&gt;0,ED83+1,0)</f>
        <v>0</v>
      </c>
      <c r="EE82" s="1795">
        <f>IF(ACTIONS!E25&gt;0,EE83+1,0)</f>
        <v>0</v>
      </c>
      <c r="EF82" s="1795">
        <f>IF(ACTIONS!F25&gt;0,EF83+1,0)</f>
        <v>0</v>
      </c>
      <c r="EG82" s="1795">
        <f>IF(ACTIONS!G25&gt;0,EG83+1,0)</f>
        <v>0</v>
      </c>
      <c r="EH82" s="1795">
        <f>IF(ACTIONS!H25&gt;0,EH83+1,0)</f>
        <v>0</v>
      </c>
      <c r="EI82" s="1795">
        <f>IF(ACTIONS!I25&gt;0,EI83+1,0)</f>
        <v>0</v>
      </c>
      <c r="EJ82" s="1795">
        <f>IF(ACTIONS!J25&gt;0,EJ83+1,0)</f>
        <v>0</v>
      </c>
      <c r="EK82" s="1795">
        <f>IF(ACTIONS!K25&gt;0,EK83+1,0)</f>
        <v>0</v>
      </c>
      <c r="EM82" s="1829">
        <v>9</v>
      </c>
      <c r="EN82" s="1795">
        <f>IF(ACTIONS!BQ25&gt;0,EN83+1,0)</f>
        <v>0</v>
      </c>
      <c r="EO82" s="1795">
        <f>IF(ACTIONS!BR25&gt;0,EO83+1,0)</f>
        <v>0</v>
      </c>
      <c r="EP82" s="1795">
        <f>IF(ACTIONS!BS25&gt;0,EP83+1,0)</f>
        <v>0</v>
      </c>
      <c r="EQ82" s="1795">
        <f>IF(ACTIONS!BT25&gt;0,EQ83+1,0)</f>
        <v>0</v>
      </c>
      <c r="ER82" s="1795">
        <f>IF(ACTIONS!BU25&gt;0,ER83+1,0)</f>
        <v>0</v>
      </c>
      <c r="ES82" s="1795">
        <f>IF(ACTIONS!BV25&gt;0,ES83+1,0)</f>
        <v>0</v>
      </c>
      <c r="ET82" s="1795">
        <f>IF(ACTIONS!BW25&gt;0,ET83+1,0)</f>
        <v>0</v>
      </c>
      <c r="EU82" s="1795">
        <f>IF(ACTIONS!BX25&gt;0,EU83+1,0)</f>
        <v>0</v>
      </c>
      <c r="EV82" s="1795">
        <f>IF(ACTIONS!BY25&gt;0,EV83+1,0)</f>
        <v>0</v>
      </c>
      <c r="JT82" s="3048"/>
      <c r="KG82" s="1822"/>
      <c r="KH82" s="1821"/>
      <c r="KI82" s="1822"/>
      <c r="KJ82" s="1821"/>
      <c r="KK82" s="1822"/>
      <c r="KV82" s="3048"/>
      <c r="KW82" s="3049"/>
      <c r="KX82" s="3048"/>
      <c r="KY82" s="3053"/>
    </row>
    <row r="83" spans="10:311" ht="17.100000000000001" customHeight="1" x14ac:dyDescent="0.3">
      <c r="J83" s="1898" t="str">
        <f t="shared" si="15"/>
        <v/>
      </c>
      <c r="K83" s="3312" t="str">
        <f t="shared" si="16"/>
        <v/>
      </c>
      <c r="L83" s="1779"/>
      <c r="M83" s="1779"/>
      <c r="N83" s="1779"/>
      <c r="O83" s="1779"/>
      <c r="P83" s="1779"/>
      <c r="Q83" s="1779"/>
      <c r="R83" s="1779"/>
      <c r="S83" s="1779"/>
      <c r="T83" s="1779"/>
      <c r="U83" s="1779"/>
      <c r="V83" s="1922"/>
      <c r="W83" s="1779"/>
      <c r="X83" s="1779"/>
      <c r="Y83" s="1779"/>
      <c r="Z83" s="1779"/>
      <c r="AA83" s="1779"/>
      <c r="AB83" s="1779"/>
      <c r="AC83" s="1779"/>
      <c r="AD83" s="1779"/>
      <c r="AE83" s="1779"/>
      <c r="AF83" s="1779"/>
      <c r="AH83" s="3312" t="str">
        <f t="shared" si="17"/>
        <v/>
      </c>
      <c r="AI83" s="1779"/>
      <c r="AJ83" s="1928"/>
      <c r="AK83" s="1779"/>
      <c r="AL83" s="1779"/>
      <c r="AM83" s="1779"/>
      <c r="AN83" s="1779"/>
      <c r="AO83" s="1779"/>
      <c r="AP83" s="1779"/>
      <c r="AQ83" s="1779"/>
      <c r="AR83" s="1779"/>
      <c r="AS83" s="1779"/>
      <c r="AT83" s="3213"/>
      <c r="AU83" s="3385"/>
      <c r="AV83" s="3383"/>
      <c r="AW83" s="3383"/>
      <c r="AX83" s="3383"/>
      <c r="AY83" s="3383"/>
      <c r="AZ83" s="3383"/>
      <c r="BA83" s="3383"/>
      <c r="BB83" s="3383"/>
      <c r="BC83" s="3383"/>
      <c r="BD83" s="3383"/>
      <c r="BE83" s="3311">
        <v>60</v>
      </c>
      <c r="BF83" s="1882" t="str">
        <f t="shared" si="30"/>
        <v/>
      </c>
      <c r="BG83" s="1883">
        <f t="shared" si="31"/>
        <v>0</v>
      </c>
      <c r="BH83" s="1884">
        <f t="shared" si="32"/>
        <v>0</v>
      </c>
      <c r="EB83" s="1829">
        <v>8</v>
      </c>
      <c r="EC83" s="1795">
        <f>IF(ACTIONS!C26&gt;0,EC84+1,0)</f>
        <v>0</v>
      </c>
      <c r="ED83" s="1795">
        <f>IF(ACTIONS!D26&gt;0,ED84+1,0)</f>
        <v>0</v>
      </c>
      <c r="EE83" s="1795">
        <f>IF(ACTIONS!E26&gt;0,EE84+1,0)</f>
        <v>0</v>
      </c>
      <c r="EF83" s="1795">
        <f>IF(ACTIONS!F26&gt;0,EF84+1,0)</f>
        <v>0</v>
      </c>
      <c r="EG83" s="1795">
        <f>IF(ACTIONS!G26&gt;0,EG84+1,0)</f>
        <v>0</v>
      </c>
      <c r="EH83" s="1795">
        <f>IF(ACTIONS!H26&gt;0,EH84+1,0)</f>
        <v>0</v>
      </c>
      <c r="EI83" s="1795">
        <f>IF(ACTIONS!I26&gt;0,EI84+1,0)</f>
        <v>0</v>
      </c>
      <c r="EJ83" s="1795">
        <f>IF(ACTIONS!J26&gt;0,EJ84+1,0)</f>
        <v>0</v>
      </c>
      <c r="EK83" s="1795">
        <f>IF(ACTIONS!K26&gt;0,EK84+1,0)</f>
        <v>0</v>
      </c>
      <c r="EM83" s="1829">
        <v>8</v>
      </c>
      <c r="EN83" s="1795">
        <f>IF(ACTIONS!BQ26&gt;0,EN84+1,0)</f>
        <v>0</v>
      </c>
      <c r="EO83" s="1795">
        <f>IF(ACTIONS!BR26&gt;0,EO84+1,0)</f>
        <v>0</v>
      </c>
      <c r="EP83" s="1795">
        <f>IF(ACTIONS!BS26&gt;0,EP84+1,0)</f>
        <v>0</v>
      </c>
      <c r="EQ83" s="1795">
        <f>IF(ACTIONS!BT26&gt;0,EQ84+1,0)</f>
        <v>0</v>
      </c>
      <c r="ER83" s="1795">
        <f>IF(ACTIONS!BU26&gt;0,ER84+1,0)</f>
        <v>0</v>
      </c>
      <c r="ES83" s="1795">
        <f>IF(ACTIONS!BV26&gt;0,ES84+1,0)</f>
        <v>0</v>
      </c>
      <c r="ET83" s="1795">
        <f>IF(ACTIONS!BW26&gt;0,ET84+1,0)</f>
        <v>0</v>
      </c>
      <c r="EU83" s="1795">
        <f>IF(ACTIONS!BX26&gt;0,EU84+1,0)</f>
        <v>0</v>
      </c>
      <c r="EV83" s="1795">
        <f>IF(ACTIONS!BY26&gt;0,EV84+1,0)</f>
        <v>0</v>
      </c>
      <c r="FC83" s="2016" t="s">
        <v>2208</v>
      </c>
      <c r="FD83" s="2419"/>
      <c r="FE83" s="2419"/>
      <c r="FF83" s="2419"/>
      <c r="FG83" s="2418"/>
      <c r="FH83" s="2418"/>
      <c r="FJ83" s="2418"/>
      <c r="JD83" s="1779" t="s">
        <v>244</v>
      </c>
      <c r="JE83" s="1779" t="s">
        <v>246</v>
      </c>
      <c r="JF83" s="5101" t="s">
        <v>284</v>
      </c>
      <c r="JG83" s="1779" t="s">
        <v>259</v>
      </c>
      <c r="JH83" s="1779" t="s">
        <v>262</v>
      </c>
      <c r="JT83" s="3048"/>
      <c r="KG83" s="1791"/>
      <c r="KH83" s="1821"/>
      <c r="KI83" s="1791"/>
      <c r="KJ83" s="1821"/>
      <c r="KK83" s="1822"/>
      <c r="KQ83" s="1930"/>
      <c r="KR83" s="3075"/>
      <c r="KS83" s="1771"/>
      <c r="KT83" s="3075"/>
      <c r="KV83" s="3048"/>
      <c r="KW83" s="3049"/>
      <c r="KX83" s="3048"/>
      <c r="KY83" s="3053"/>
    </row>
    <row r="84" spans="10:311" ht="17.100000000000001" customHeight="1" x14ac:dyDescent="0.3">
      <c r="J84" s="1898" t="str">
        <f t="shared" si="15"/>
        <v/>
      </c>
      <c r="K84" s="3312" t="str">
        <f t="shared" si="16"/>
        <v/>
      </c>
      <c r="L84" s="1779"/>
      <c r="M84" s="1779"/>
      <c r="N84" s="1779"/>
      <c r="O84" s="1779"/>
      <c r="P84" s="1779"/>
      <c r="Q84" s="1779"/>
      <c r="R84" s="1779"/>
      <c r="S84" s="1779"/>
      <c r="T84" s="1779"/>
      <c r="U84" s="1779"/>
      <c r="V84" s="1922"/>
      <c r="W84" s="1779"/>
      <c r="X84" s="1779"/>
      <c r="Y84" s="1779"/>
      <c r="Z84" s="1779"/>
      <c r="AA84" s="1779"/>
      <c r="AB84" s="1779"/>
      <c r="AC84" s="1779"/>
      <c r="AD84" s="1779"/>
      <c r="AE84" s="1779"/>
      <c r="AF84" s="1779"/>
      <c r="AH84" s="3312" t="str">
        <f t="shared" si="17"/>
        <v/>
      </c>
      <c r="AI84" s="1779"/>
      <c r="AJ84" s="1928"/>
      <c r="AK84" s="1779"/>
      <c r="AL84" s="1779"/>
      <c r="AM84" s="1779"/>
      <c r="AN84" s="1779"/>
      <c r="AO84" s="1779"/>
      <c r="AP84" s="1779"/>
      <c r="AQ84" s="1779"/>
      <c r="AR84" s="1779"/>
      <c r="AS84" s="1779"/>
      <c r="AT84" s="3213"/>
      <c r="AU84" s="3385"/>
      <c r="AV84" s="3383"/>
      <c r="AW84" s="3383"/>
      <c r="AX84" s="3383"/>
      <c r="AY84" s="3383"/>
      <c r="AZ84" s="3383"/>
      <c r="BA84" s="3383"/>
      <c r="BB84" s="3383"/>
      <c r="BC84" s="3383"/>
      <c r="BD84" s="3383"/>
      <c r="BE84" s="3311">
        <v>61</v>
      </c>
      <c r="BF84" s="1882" t="str">
        <f t="shared" si="30"/>
        <v/>
      </c>
      <c r="BG84" s="1883">
        <f t="shared" si="31"/>
        <v>0</v>
      </c>
      <c r="BH84" s="1884">
        <f t="shared" si="32"/>
        <v>0</v>
      </c>
      <c r="EB84" s="1829">
        <v>7</v>
      </c>
      <c r="EC84" s="1795">
        <f>IF(ACTIONS!C27&gt;0,EC85+1,0)</f>
        <v>0</v>
      </c>
      <c r="ED84" s="1795">
        <f>IF(ACTIONS!D27&gt;0,ED85+1,0)</f>
        <v>0</v>
      </c>
      <c r="EE84" s="1795">
        <f>IF(ACTIONS!E27&gt;0,EE85+1,0)</f>
        <v>0</v>
      </c>
      <c r="EF84" s="1795">
        <f>IF(ACTIONS!F27&gt;0,EF85+1,0)</f>
        <v>0</v>
      </c>
      <c r="EG84" s="1795">
        <f>IF(ACTIONS!G27&gt;0,EG85+1,0)</f>
        <v>0</v>
      </c>
      <c r="EH84" s="1795">
        <f>IF(ACTIONS!H27&gt;0,EH85+1,0)</f>
        <v>0</v>
      </c>
      <c r="EI84" s="1795">
        <f>IF(ACTIONS!I27&gt;0,EI85+1,0)</f>
        <v>0</v>
      </c>
      <c r="EJ84" s="1795">
        <f>IF(ACTIONS!J27&gt;0,EJ85+1,0)</f>
        <v>0</v>
      </c>
      <c r="EK84" s="1795">
        <f>IF(ACTIONS!K27&gt;0,EK85+1,0)</f>
        <v>0</v>
      </c>
      <c r="EM84" s="1829">
        <v>7</v>
      </c>
      <c r="EN84" s="1795">
        <f>IF(ACTIONS!BQ27&gt;0,EN85+1,0)</f>
        <v>0</v>
      </c>
      <c r="EO84" s="1795">
        <f>IF(ACTIONS!BR27&gt;0,EO85+1,0)</f>
        <v>0</v>
      </c>
      <c r="EP84" s="1795">
        <f>IF(ACTIONS!BS27&gt;0,EP85+1,0)</f>
        <v>0</v>
      </c>
      <c r="EQ84" s="1795">
        <f>IF(ACTIONS!BT27&gt;0,EQ85+1,0)</f>
        <v>0</v>
      </c>
      <c r="ER84" s="1795">
        <f>IF(ACTIONS!BU27&gt;0,ER85+1,0)</f>
        <v>0</v>
      </c>
      <c r="ES84" s="1795">
        <f>IF(ACTIONS!BV27&gt;0,ES85+1,0)</f>
        <v>0</v>
      </c>
      <c r="ET84" s="1795">
        <f>IF(ACTIONS!BW27&gt;0,ET85+1,0)</f>
        <v>0</v>
      </c>
      <c r="EU84" s="1795">
        <f>IF(ACTIONS!BX27&gt;0,EU85+1,0)</f>
        <v>0</v>
      </c>
      <c r="EV84" s="1795">
        <f>IF(ACTIONS!BY27&gt;0,EV85+1,0)</f>
        <v>0</v>
      </c>
      <c r="EX84" s="1855"/>
      <c r="EY84" s="1856"/>
      <c r="EZ84" s="1856"/>
      <c r="FA84" s="1856"/>
      <c r="FB84" s="1856"/>
      <c r="FC84" s="1856"/>
      <c r="FD84" s="1856"/>
      <c r="FE84" s="1856"/>
      <c r="FF84" s="1856"/>
      <c r="FG84" s="1857"/>
      <c r="FH84" s="1855"/>
      <c r="FI84" s="1856"/>
      <c r="FJ84" s="1857"/>
      <c r="JD84" s="1779" t="s">
        <v>250</v>
      </c>
      <c r="JE84" s="1779" t="s">
        <v>257</v>
      </c>
      <c r="JF84" s="5101"/>
      <c r="JG84" s="1779" t="s">
        <v>265</v>
      </c>
      <c r="JH84" s="1779" t="s">
        <v>268</v>
      </c>
      <c r="JT84" s="3048"/>
      <c r="KG84" s="1822"/>
      <c r="KH84" s="1821"/>
      <c r="KI84" s="1822"/>
      <c r="KJ84" s="1821"/>
      <c r="KK84" s="1822"/>
      <c r="KQ84" s="1930"/>
      <c r="KR84" s="1764"/>
      <c r="KS84" s="1930"/>
      <c r="KT84" s="1764"/>
    </row>
    <row r="85" spans="10:311" ht="17.100000000000001" customHeight="1" x14ac:dyDescent="0.3">
      <c r="J85" s="1898" t="str">
        <f t="shared" si="15"/>
        <v/>
      </c>
      <c r="K85" s="3312" t="str">
        <f t="shared" si="16"/>
        <v/>
      </c>
      <c r="L85" s="1779"/>
      <c r="M85" s="1779"/>
      <c r="N85" s="1779"/>
      <c r="O85" s="1779"/>
      <c r="P85" s="1779"/>
      <c r="Q85" s="1779"/>
      <c r="R85" s="1779"/>
      <c r="S85" s="1779"/>
      <c r="T85" s="1779"/>
      <c r="U85" s="1779"/>
      <c r="V85" s="1922"/>
      <c r="W85" s="1779"/>
      <c r="X85" s="1779"/>
      <c r="Y85" s="1779"/>
      <c r="Z85" s="1779"/>
      <c r="AA85" s="1779"/>
      <c r="AB85" s="1779"/>
      <c r="AC85" s="1779"/>
      <c r="AD85" s="1779"/>
      <c r="AE85" s="1779"/>
      <c r="AF85" s="1779"/>
      <c r="AH85" s="3312" t="str">
        <f t="shared" si="17"/>
        <v/>
      </c>
      <c r="AI85" s="1779"/>
      <c r="AJ85" s="1928"/>
      <c r="AK85" s="1779"/>
      <c r="AL85" s="1779"/>
      <c r="AM85" s="1779"/>
      <c r="AN85" s="1779"/>
      <c r="AO85" s="1779"/>
      <c r="AP85" s="1779"/>
      <c r="AQ85" s="1779"/>
      <c r="AR85" s="1779"/>
      <c r="AS85" s="1779"/>
      <c r="AT85" s="3213"/>
      <c r="AU85" s="3385"/>
      <c r="AV85" s="3383"/>
      <c r="AW85" s="3383"/>
      <c r="AX85" s="3383"/>
      <c r="AY85" s="3383"/>
      <c r="AZ85" s="3383"/>
      <c r="BA85" s="3383"/>
      <c r="BB85" s="3383"/>
      <c r="BC85" s="3383"/>
      <c r="BD85" s="3383"/>
      <c r="BE85" s="3311">
        <v>62</v>
      </c>
      <c r="BF85" s="1882" t="str">
        <f t="shared" si="30"/>
        <v/>
      </c>
      <c r="BG85" s="1883">
        <f t="shared" si="31"/>
        <v>0</v>
      </c>
      <c r="BH85" s="1884">
        <f t="shared" si="32"/>
        <v>0</v>
      </c>
      <c r="EB85" s="1829">
        <v>6</v>
      </c>
      <c r="EC85" s="1795">
        <f>IF(ACTIONS!C28&gt;0,EC86+1,0)</f>
        <v>0</v>
      </c>
      <c r="ED85" s="1795">
        <f>IF(ACTIONS!D28&gt;0,ED86+1,0)</f>
        <v>0</v>
      </c>
      <c r="EE85" s="1795">
        <f>IF(ACTIONS!E28&gt;0,EE86+1,0)</f>
        <v>0</v>
      </c>
      <c r="EF85" s="1795">
        <f>IF(ACTIONS!F28&gt;0,EF86+1,0)</f>
        <v>0</v>
      </c>
      <c r="EG85" s="1795">
        <f>IF(ACTIONS!G28&gt;0,EG86+1,0)</f>
        <v>0</v>
      </c>
      <c r="EH85" s="1795">
        <f>IF(ACTIONS!H28&gt;0,EH86+1,0)</f>
        <v>0</v>
      </c>
      <c r="EI85" s="1795">
        <f>IF(ACTIONS!I28&gt;0,EI86+1,0)</f>
        <v>0</v>
      </c>
      <c r="EJ85" s="1795">
        <f>IF(ACTIONS!J28&gt;0,EJ86+1,0)</f>
        <v>0</v>
      </c>
      <c r="EK85" s="1795">
        <f>IF(ACTIONS!K28&gt;0,EK86+1,0)</f>
        <v>0</v>
      </c>
      <c r="EM85" s="1829">
        <v>6</v>
      </c>
      <c r="EN85" s="1795">
        <f>IF(ACTIONS!BQ28&gt;0,EN86+1,0)</f>
        <v>0</v>
      </c>
      <c r="EO85" s="1795">
        <f>IF(ACTIONS!BR28&gt;0,EO86+1,0)</f>
        <v>0</v>
      </c>
      <c r="EP85" s="1795">
        <f>IF(ACTIONS!BS28&gt;0,EP86+1,0)</f>
        <v>0</v>
      </c>
      <c r="EQ85" s="1795">
        <f>IF(ACTIONS!BT28&gt;0,EQ86+1,0)</f>
        <v>0</v>
      </c>
      <c r="ER85" s="1795">
        <f>IF(ACTIONS!BU28&gt;0,ER86+1,0)</f>
        <v>0</v>
      </c>
      <c r="ES85" s="1795">
        <f>IF(ACTIONS!BV28&gt;0,ES86+1,0)</f>
        <v>0</v>
      </c>
      <c r="ET85" s="1795">
        <f>IF(ACTIONS!BW28&gt;0,ET86+1,0)</f>
        <v>0</v>
      </c>
      <c r="EU85" s="1795">
        <f>IF(ACTIONS!BX28&gt;0,EU86+1,0)</f>
        <v>0</v>
      </c>
      <c r="EV85" s="1795">
        <f>IF(ACTIONS!BY28&gt;0,EV86+1,0)</f>
        <v>0</v>
      </c>
      <c r="EX85" s="1864"/>
      <c r="EY85" s="3234"/>
      <c r="EZ85" s="1871"/>
      <c r="FA85" s="3235" t="s">
        <v>2209</v>
      </c>
      <c r="FB85" s="3234"/>
      <c r="FC85" s="3236">
        <v>360</v>
      </c>
      <c r="FD85" s="3237">
        <v>480</v>
      </c>
      <c r="FE85" s="3238">
        <v>600</v>
      </c>
      <c r="FF85" s="3239">
        <v>720</v>
      </c>
      <c r="FG85" s="1865"/>
      <c r="FH85" s="2403"/>
      <c r="FI85" s="2553" cm="1">
        <f t="array" ref="FI85">_xlfn.IFS($FI$23=$FC$23,FC85,$FI$23=$FD$23,FD85,$FI$23=$FE$23,FE85,$FI$23=$FF$23,FF85,TRUE,FC85)</f>
        <v>360</v>
      </c>
      <c r="FJ85" s="1865"/>
      <c r="JO85" s="1933"/>
      <c r="JP85" s="1934" t="s">
        <v>695</v>
      </c>
      <c r="JQ85" s="1935"/>
      <c r="JR85" s="1936" t="s">
        <v>527</v>
      </c>
      <c r="JT85" s="3048"/>
      <c r="KG85" s="1822"/>
      <c r="KH85" s="1821"/>
      <c r="KI85" s="1822"/>
      <c r="KJ85" s="1821"/>
      <c r="KK85" s="1822"/>
      <c r="KQ85" s="3076"/>
      <c r="KR85" s="3053"/>
      <c r="KS85" s="3077"/>
      <c r="KT85" s="3053"/>
    </row>
    <row r="86" spans="10:311" ht="17.100000000000001" customHeight="1" thickBot="1" x14ac:dyDescent="0.35">
      <c r="J86" s="1898" t="str">
        <f t="shared" si="15"/>
        <v/>
      </c>
      <c r="K86" s="3312" t="str">
        <f t="shared" si="16"/>
        <v/>
      </c>
      <c r="L86" s="1779"/>
      <c r="M86" s="1779"/>
      <c r="N86" s="1779"/>
      <c r="O86" s="1779"/>
      <c r="P86" s="1779"/>
      <c r="Q86" s="1779"/>
      <c r="R86" s="1779"/>
      <c r="S86" s="1779"/>
      <c r="T86" s="1779"/>
      <c r="U86" s="1779"/>
      <c r="V86" s="1922"/>
      <c r="W86" s="1779"/>
      <c r="X86" s="1779"/>
      <c r="Y86" s="1779"/>
      <c r="Z86" s="1779"/>
      <c r="AA86" s="1779"/>
      <c r="AB86" s="1779"/>
      <c r="AC86" s="1779"/>
      <c r="AD86" s="1779"/>
      <c r="AE86" s="1779"/>
      <c r="AF86" s="1779"/>
      <c r="AH86" s="3312" t="str">
        <f t="shared" si="17"/>
        <v/>
      </c>
      <c r="AI86" s="1779"/>
      <c r="AJ86" s="1928"/>
      <c r="AK86" s="1779"/>
      <c r="AL86" s="1779"/>
      <c r="AM86" s="1779"/>
      <c r="AN86" s="1779"/>
      <c r="AO86" s="1779"/>
      <c r="AP86" s="1779"/>
      <c r="AQ86" s="1779"/>
      <c r="AR86" s="1779"/>
      <c r="AS86" s="1779"/>
      <c r="AT86" s="3213"/>
      <c r="AU86" s="3385"/>
      <c r="AV86" s="3383"/>
      <c r="AW86" s="3383"/>
      <c r="AX86" s="3383"/>
      <c r="AY86" s="3383"/>
      <c r="AZ86" s="3383"/>
      <c r="BA86" s="3383"/>
      <c r="BB86" s="3383"/>
      <c r="BC86" s="3383"/>
      <c r="BD86" s="3383"/>
      <c r="BE86" s="3311">
        <v>63</v>
      </c>
      <c r="BF86" s="1882" t="str">
        <f t="shared" si="30"/>
        <v/>
      </c>
      <c r="BG86" s="1883">
        <f t="shared" si="31"/>
        <v>0</v>
      </c>
      <c r="BH86" s="1884">
        <f t="shared" si="32"/>
        <v>0</v>
      </c>
      <c r="EB86" s="1829">
        <v>5</v>
      </c>
      <c r="EC86" s="1795">
        <f>IF(ACTIONS!C29&gt;0,EC87+1,0)</f>
        <v>0</v>
      </c>
      <c r="ED86" s="1795">
        <f>IF(ACTIONS!D29&gt;0,ED87+1,0)</f>
        <v>0</v>
      </c>
      <c r="EE86" s="1795">
        <f>IF(ACTIONS!E29&gt;0,EE87+1,0)</f>
        <v>0</v>
      </c>
      <c r="EF86" s="1795">
        <f>IF(ACTIONS!F29&gt;0,EF87+1,0)</f>
        <v>0</v>
      </c>
      <c r="EG86" s="1795">
        <f>IF(ACTIONS!G29&gt;0,EG87+1,0)</f>
        <v>0</v>
      </c>
      <c r="EH86" s="1795">
        <f>IF(ACTIONS!H29&gt;0,EH87+1,0)</f>
        <v>0</v>
      </c>
      <c r="EI86" s="1795">
        <f>IF(ACTIONS!I29&gt;0,EI87+1,0)</f>
        <v>0</v>
      </c>
      <c r="EJ86" s="1795">
        <f>IF(ACTIONS!J29&gt;0,EJ87+1,0)</f>
        <v>0</v>
      </c>
      <c r="EK86" s="1795">
        <f>IF(ACTIONS!K29&gt;0,EK87+1,0)</f>
        <v>0</v>
      </c>
      <c r="EM86" s="1829">
        <v>5</v>
      </c>
      <c r="EN86" s="1795">
        <f>IF(ACTIONS!BQ29&gt;0,EN87+1,0)</f>
        <v>0</v>
      </c>
      <c r="EO86" s="1795">
        <f>IF(ACTIONS!BR29&gt;0,EO87+1,0)</f>
        <v>0</v>
      </c>
      <c r="EP86" s="1795">
        <f>IF(ACTIONS!BS29&gt;0,EP87+1,0)</f>
        <v>0</v>
      </c>
      <c r="EQ86" s="1795">
        <f>IF(ACTIONS!BT29&gt;0,EQ87+1,0)</f>
        <v>0</v>
      </c>
      <c r="ER86" s="1795">
        <f>IF(ACTIONS!BU29&gt;0,ER87+1,0)</f>
        <v>0</v>
      </c>
      <c r="ES86" s="1795">
        <f>IF(ACTIONS!BV29&gt;0,ES87+1,0)</f>
        <v>0</v>
      </c>
      <c r="ET86" s="1795">
        <f>IF(ACTIONS!BW29&gt;0,ET87+1,0)</f>
        <v>0</v>
      </c>
      <c r="EU86" s="1795">
        <f>IF(ACTIONS!BX29&gt;0,EU87+1,0)</f>
        <v>0</v>
      </c>
      <c r="EV86" s="1795">
        <f>IF(ACTIONS!BY29&gt;0,EV87+1,0)</f>
        <v>0</v>
      </c>
      <c r="EX86" s="2404"/>
      <c r="EY86" s="1871"/>
      <c r="EZ86" s="1871"/>
      <c r="FA86" s="1871"/>
      <c r="FB86" s="1871"/>
      <c r="FC86" s="1871"/>
      <c r="FD86" s="1871"/>
      <c r="FE86" s="1871"/>
      <c r="FF86" s="1871"/>
      <c r="FG86" s="2405"/>
      <c r="FH86" s="2404"/>
      <c r="FI86" s="1871"/>
      <c r="FJ86" s="2405"/>
      <c r="JO86" s="1937"/>
      <c r="JP86" s="1938"/>
      <c r="JQ86" s="1939"/>
      <c r="JR86" s="1940"/>
      <c r="JT86" s="3048"/>
      <c r="KG86" s="1822"/>
      <c r="KH86" s="1821"/>
      <c r="KI86" s="1822"/>
      <c r="KJ86" s="1821"/>
      <c r="KK86" s="1822"/>
      <c r="KQ86" s="3076"/>
      <c r="KR86" s="3053"/>
      <c r="KS86" s="3077"/>
      <c r="KT86" s="3053"/>
      <c r="KV86" s="3048"/>
      <c r="KW86" s="3049"/>
    </row>
    <row r="87" spans="10:311" ht="17.100000000000001" customHeight="1" x14ac:dyDescent="0.3">
      <c r="J87" s="1898" t="str">
        <f t="shared" si="15"/>
        <v/>
      </c>
      <c r="K87" s="3312" t="str">
        <f t="shared" si="16"/>
        <v/>
      </c>
      <c r="L87" s="1779"/>
      <c r="M87" s="1779"/>
      <c r="N87" s="1779"/>
      <c r="O87" s="1779"/>
      <c r="P87" s="1779"/>
      <c r="Q87" s="1779"/>
      <c r="R87" s="1779"/>
      <c r="S87" s="1779"/>
      <c r="T87" s="1779"/>
      <c r="U87" s="1779"/>
      <c r="V87" s="1922"/>
      <c r="W87" s="1779"/>
      <c r="X87" s="1779"/>
      <c r="Y87" s="1779"/>
      <c r="Z87" s="1779"/>
      <c r="AA87" s="1779"/>
      <c r="AB87" s="1779"/>
      <c r="AC87" s="1779"/>
      <c r="AD87" s="1779"/>
      <c r="AE87" s="1779"/>
      <c r="AF87" s="1779"/>
      <c r="AH87" s="3312" t="str">
        <f t="shared" si="17"/>
        <v/>
      </c>
      <c r="AI87" s="1779"/>
      <c r="AJ87" s="1928"/>
      <c r="AK87" s="1779"/>
      <c r="AL87" s="1779"/>
      <c r="AM87" s="1779"/>
      <c r="AN87" s="1779"/>
      <c r="AO87" s="1779"/>
      <c r="AP87" s="1779"/>
      <c r="AQ87" s="1779"/>
      <c r="AR87" s="1779"/>
      <c r="AS87" s="1779"/>
      <c r="AT87" s="3213"/>
      <c r="AU87" s="3385"/>
      <c r="AV87" s="3383"/>
      <c r="AW87" s="3383"/>
      <c r="AX87" s="3383"/>
      <c r="AY87" s="3383"/>
      <c r="AZ87" s="3383"/>
      <c r="BA87" s="3383"/>
      <c r="BB87" s="3383"/>
      <c r="BC87" s="3383"/>
      <c r="BD87" s="3383"/>
      <c r="BE87" s="3311">
        <v>64</v>
      </c>
      <c r="BF87" s="1882" t="str">
        <f t="shared" si="30"/>
        <v/>
      </c>
      <c r="BG87" s="1883">
        <f t="shared" si="31"/>
        <v>0</v>
      </c>
      <c r="BH87" s="1884">
        <f t="shared" si="32"/>
        <v>0</v>
      </c>
      <c r="EB87" s="1829">
        <v>4</v>
      </c>
      <c r="EC87" s="1795">
        <f>IF(ACTIONS!C30&gt;0,EC88+1,0)</f>
        <v>0</v>
      </c>
      <c r="ED87" s="1795">
        <f>IF(ACTIONS!D30&gt;0,ED88+1,0)</f>
        <v>0</v>
      </c>
      <c r="EE87" s="1795">
        <f>IF(ACTIONS!E30&gt;0,EE88+1,0)</f>
        <v>0</v>
      </c>
      <c r="EF87" s="1795">
        <f>IF(ACTIONS!F30&gt;0,EF88+1,0)</f>
        <v>0</v>
      </c>
      <c r="EG87" s="1795">
        <f>IF(ACTIONS!G30&gt;0,EG88+1,0)</f>
        <v>0</v>
      </c>
      <c r="EH87" s="1795">
        <f>IF(ACTIONS!H30&gt;0,EH88+1,0)</f>
        <v>0</v>
      </c>
      <c r="EI87" s="1795">
        <f>IF(ACTIONS!I30&gt;0,EI88+1,0)</f>
        <v>0</v>
      </c>
      <c r="EJ87" s="1795">
        <f>IF(ACTIONS!J30&gt;0,EJ88+1,0)</f>
        <v>0</v>
      </c>
      <c r="EK87" s="1795">
        <f>IF(ACTIONS!K30&gt;0,EK88+1,0)</f>
        <v>0</v>
      </c>
      <c r="EM87" s="1829">
        <v>4</v>
      </c>
      <c r="EN87" s="1795">
        <f>IF(ACTIONS!BQ30&gt;0,EN88+1,0)</f>
        <v>0</v>
      </c>
      <c r="EO87" s="1795">
        <f>IF(ACTIONS!BR30&gt;0,EO88+1,0)</f>
        <v>0</v>
      </c>
      <c r="EP87" s="1795">
        <f>IF(ACTIONS!BS30&gt;0,EP88+1,0)</f>
        <v>0</v>
      </c>
      <c r="EQ87" s="1795">
        <f>IF(ACTIONS!BT30&gt;0,EQ88+1,0)</f>
        <v>0</v>
      </c>
      <c r="ER87" s="1795">
        <f>IF(ACTIONS!BU30&gt;0,ER88+1,0)</f>
        <v>0</v>
      </c>
      <c r="ES87" s="1795">
        <f>IF(ACTIONS!BV30&gt;0,ES88+1,0)</f>
        <v>0</v>
      </c>
      <c r="ET87" s="1795">
        <f>IF(ACTIONS!BW30&gt;0,ET88+1,0)</f>
        <v>0</v>
      </c>
      <c r="EU87" s="1795">
        <f>IF(ACTIONS!BX30&gt;0,EU88+1,0)</f>
        <v>0</v>
      </c>
      <c r="EV87" s="1795">
        <f>IF(ACTIONS!BY30&gt;0,EV88+1,0)</f>
        <v>0</v>
      </c>
      <c r="EZ87" s="1873"/>
      <c r="FA87" s="1873"/>
      <c r="FB87" s="1873"/>
      <c r="FC87" s="1873"/>
      <c r="FD87" s="1873"/>
      <c r="FE87" s="1873"/>
      <c r="FF87" s="1873"/>
      <c r="FG87" s="1873"/>
      <c r="FH87" s="1873"/>
      <c r="FI87" s="1873"/>
      <c r="JC87" s="1888" t="s">
        <v>1246</v>
      </c>
      <c r="JD87" s="1889"/>
      <c r="JE87" s="1889"/>
      <c r="JF87" s="1889"/>
      <c r="JG87" s="1889"/>
      <c r="JH87" s="1889"/>
      <c r="JI87" s="1889"/>
      <c r="JJ87" s="1889"/>
      <c r="JK87" s="1889"/>
      <c r="JL87" s="1889"/>
      <c r="JM87" s="1890"/>
      <c r="JO87" s="2170" t="s">
        <v>1917</v>
      </c>
      <c r="JP87" s="1835" t="s">
        <v>698</v>
      </c>
      <c r="JQ87" s="2170" t="s">
        <v>1920</v>
      </c>
      <c r="JR87" s="1819" t="s">
        <v>746</v>
      </c>
      <c r="JT87" s="3048"/>
      <c r="KG87" s="1822"/>
      <c r="KH87" s="1821"/>
      <c r="KI87" s="1822"/>
      <c r="KJ87" s="1821"/>
      <c r="KK87" s="1822"/>
      <c r="KQ87" s="3076"/>
      <c r="KR87" s="3053"/>
      <c r="KS87" s="3077"/>
      <c r="KT87" s="3053"/>
      <c r="KV87" s="3048"/>
      <c r="KW87" s="3049"/>
    </row>
    <row r="88" spans="10:311" ht="17.100000000000001" customHeight="1" thickBot="1" x14ac:dyDescent="0.35">
      <c r="J88" s="1898" t="str">
        <f t="shared" si="15"/>
        <v/>
      </c>
      <c r="K88" s="3312" t="str">
        <f t="shared" si="16"/>
        <v/>
      </c>
      <c r="L88" s="1779"/>
      <c r="M88" s="1779"/>
      <c r="N88" s="1779"/>
      <c r="O88" s="1779"/>
      <c r="P88" s="1779"/>
      <c r="Q88" s="1779"/>
      <c r="R88" s="1779"/>
      <c r="S88" s="1779"/>
      <c r="T88" s="1779"/>
      <c r="U88" s="1779"/>
      <c r="V88" s="1922"/>
      <c r="W88" s="1779"/>
      <c r="X88" s="1779"/>
      <c r="Y88" s="1779"/>
      <c r="Z88" s="1779"/>
      <c r="AA88" s="1779"/>
      <c r="AB88" s="1779"/>
      <c r="AC88" s="1779"/>
      <c r="AD88" s="1779"/>
      <c r="AE88" s="1779"/>
      <c r="AF88" s="1779"/>
      <c r="AH88" s="3312" t="str">
        <f t="shared" si="17"/>
        <v/>
      </c>
      <c r="AI88" s="1779"/>
      <c r="AJ88" s="1928"/>
      <c r="AK88" s="1779"/>
      <c r="AL88" s="1779"/>
      <c r="AM88" s="1779"/>
      <c r="AN88" s="1779"/>
      <c r="AO88" s="1779"/>
      <c r="AP88" s="1779"/>
      <c r="AQ88" s="1779"/>
      <c r="AR88" s="1779"/>
      <c r="AS88" s="1779"/>
      <c r="AT88" s="3213"/>
      <c r="AU88" s="3385"/>
      <c r="AV88" s="3383"/>
      <c r="AW88" s="3383"/>
      <c r="AX88" s="3383"/>
      <c r="AY88" s="3383"/>
      <c r="AZ88" s="3383"/>
      <c r="BA88" s="3383"/>
      <c r="BB88" s="3383"/>
      <c r="BC88" s="3383"/>
      <c r="BD88" s="3383"/>
      <c r="BE88" s="3311">
        <v>65</v>
      </c>
      <c r="BF88" s="1882" t="str">
        <f t="shared" ref="BF88:BF119" si="35">ROMAN(AU88)</f>
        <v/>
      </c>
      <c r="BG88" s="1883">
        <f t="shared" ref="BG88:BG119" si="36">SUM(AK88:AS88,AV88:BD88)</f>
        <v>0</v>
      </c>
      <c r="BH88" s="1884">
        <f t="shared" si="32"/>
        <v>0</v>
      </c>
      <c r="EB88" s="1829">
        <v>3</v>
      </c>
      <c r="EC88" s="1795">
        <f>IF(ACTIONS!C31&gt;0,EC89+1,0)</f>
        <v>0</v>
      </c>
      <c r="ED88" s="1795">
        <f>IF(ACTIONS!D31&gt;0,ED89+1,0)</f>
        <v>0</v>
      </c>
      <c r="EE88" s="1795">
        <f>IF(ACTIONS!E31&gt;0,EE89+1,0)</f>
        <v>0</v>
      </c>
      <c r="EF88" s="1795">
        <f>IF(ACTIONS!F31&gt;0,EF89+1,0)</f>
        <v>0</v>
      </c>
      <c r="EG88" s="1795">
        <f>IF(ACTIONS!G31&gt;0,EG89+1,0)</f>
        <v>0</v>
      </c>
      <c r="EH88" s="1795">
        <f>IF(ACTIONS!H31&gt;0,EH89+1,0)</f>
        <v>0</v>
      </c>
      <c r="EI88" s="1795">
        <f>IF(ACTIONS!I31&gt;0,EI89+1,0)</f>
        <v>0</v>
      </c>
      <c r="EJ88" s="1795">
        <f>IF(ACTIONS!J31&gt;0,EJ89+1,0)</f>
        <v>0</v>
      </c>
      <c r="EK88" s="1795">
        <f>IF(ACTIONS!K31&gt;0,EK89+1,0)</f>
        <v>0</v>
      </c>
      <c r="EM88" s="1829">
        <v>3</v>
      </c>
      <c r="EN88" s="1795">
        <f>IF(ACTIONS!BQ31&gt;0,EN89+1,0)</f>
        <v>0</v>
      </c>
      <c r="EO88" s="1795">
        <f>IF(ACTIONS!BR31&gt;0,EO89+1,0)</f>
        <v>0</v>
      </c>
      <c r="EP88" s="1795">
        <f>IF(ACTIONS!BS31&gt;0,EP89+1,0)</f>
        <v>0</v>
      </c>
      <c r="EQ88" s="1795">
        <f>IF(ACTIONS!BT31&gt;0,EQ89+1,0)</f>
        <v>0</v>
      </c>
      <c r="ER88" s="1795">
        <f>IF(ACTIONS!BU31&gt;0,ER89+1,0)</f>
        <v>0</v>
      </c>
      <c r="ES88" s="1795">
        <f>IF(ACTIONS!BV31&gt;0,ES89+1,0)</f>
        <v>0</v>
      </c>
      <c r="ET88" s="1795">
        <f>IF(ACTIONS!BW31&gt;0,ET89+1,0)</f>
        <v>0</v>
      </c>
      <c r="EU88" s="1795">
        <f>IF(ACTIONS!BX31&gt;0,EU89+1,0)</f>
        <v>0</v>
      </c>
      <c r="EV88" s="1795">
        <f>IF(ACTIONS!BY31&gt;0,EV89+1,0)</f>
        <v>0</v>
      </c>
      <c r="EX88" s="7"/>
      <c r="EY88" s="7"/>
      <c r="EZ88" s="2632"/>
      <c r="FA88" s="1175"/>
      <c r="FC88" s="1953" t="s">
        <v>2210</v>
      </c>
      <c r="FD88" s="1953" t="s">
        <v>2211</v>
      </c>
      <c r="FE88" s="1953" t="s">
        <v>2212</v>
      </c>
      <c r="FF88" s="1953" t="s">
        <v>2213</v>
      </c>
      <c r="JC88" s="1892"/>
      <c r="JM88" s="1893"/>
      <c r="JO88" s="2170" t="s">
        <v>1759</v>
      </c>
      <c r="JP88" s="1819" t="s">
        <v>1779</v>
      </c>
      <c r="JQ88" s="2170" t="s">
        <v>1383</v>
      </c>
      <c r="JR88" s="1819" t="s">
        <v>704</v>
      </c>
      <c r="JT88" s="3048"/>
      <c r="KG88" s="1822"/>
      <c r="KH88" s="1821"/>
      <c r="KI88" s="1822"/>
      <c r="KJ88" s="1821"/>
      <c r="KK88" s="1822"/>
      <c r="KQ88" s="3076"/>
      <c r="KR88" s="3053"/>
      <c r="KS88" s="3077"/>
      <c r="KT88" s="3053"/>
      <c r="KV88" s="3048"/>
      <c r="KW88" s="3049"/>
    </row>
    <row r="89" spans="10:311" ht="17.100000000000001" customHeight="1" thickBot="1" x14ac:dyDescent="0.35">
      <c r="J89" s="1898" t="str">
        <f t="shared" si="15"/>
        <v/>
      </c>
      <c r="K89" s="3312" t="str">
        <f t="shared" si="16"/>
        <v/>
      </c>
      <c r="L89" s="1779"/>
      <c r="M89" s="1779"/>
      <c r="N89" s="1779"/>
      <c r="O89" s="1779"/>
      <c r="P89" s="1779"/>
      <c r="Q89" s="1779"/>
      <c r="R89" s="1779"/>
      <c r="S89" s="1779"/>
      <c r="T89" s="1779"/>
      <c r="U89" s="1779"/>
      <c r="V89" s="1922"/>
      <c r="W89" s="1779"/>
      <c r="X89" s="1779"/>
      <c r="Y89" s="1779"/>
      <c r="Z89" s="1779"/>
      <c r="AA89" s="1779"/>
      <c r="AB89" s="1779"/>
      <c r="AC89" s="1779"/>
      <c r="AD89" s="1779"/>
      <c r="AE89" s="1779"/>
      <c r="AF89" s="1779"/>
      <c r="AH89" s="3312" t="str">
        <f t="shared" si="17"/>
        <v/>
      </c>
      <c r="AI89" s="1779"/>
      <c r="AJ89" s="1928"/>
      <c r="AK89" s="1779"/>
      <c r="AL89" s="1779"/>
      <c r="AM89" s="1779"/>
      <c r="AN89" s="1779"/>
      <c r="AO89" s="1779"/>
      <c r="AP89" s="1779"/>
      <c r="AQ89" s="1779"/>
      <c r="AR89" s="1779"/>
      <c r="AS89" s="1779"/>
      <c r="AT89" s="3213"/>
      <c r="AU89" s="3385"/>
      <c r="AV89" s="3383"/>
      <c r="AW89" s="3383"/>
      <c r="AX89" s="3383"/>
      <c r="AY89" s="3383"/>
      <c r="AZ89" s="3383"/>
      <c r="BA89" s="3383"/>
      <c r="BB89" s="3383"/>
      <c r="BC89" s="3383"/>
      <c r="BD89" s="3383"/>
      <c r="BE89" s="3311">
        <v>66</v>
      </c>
      <c r="BF89" s="1882" t="str">
        <f t="shared" si="35"/>
        <v/>
      </c>
      <c r="BG89" s="1883">
        <f t="shared" si="36"/>
        <v>0</v>
      </c>
      <c r="BH89" s="1884">
        <f t="shared" ref="BH89:BH116" si="37">IF(BG89&lt;&gt;0,BG89-BG88,0)</f>
        <v>0</v>
      </c>
      <c r="EB89" s="1829">
        <v>2</v>
      </c>
      <c r="EC89" s="1795">
        <f>IF(ACTIONS!C32&gt;0,EC90+1,0)</f>
        <v>0</v>
      </c>
      <c r="ED89" s="1795">
        <f>IF(ACTIONS!D32&gt;0,ED90+1,0)</f>
        <v>0</v>
      </c>
      <c r="EE89" s="1795">
        <f>IF(ACTIONS!E32&gt;0,EE90+1,0)</f>
        <v>0</v>
      </c>
      <c r="EF89" s="1795">
        <f>IF(ACTIONS!F32&gt;0,EF90+1,0)</f>
        <v>0</v>
      </c>
      <c r="EG89" s="1795">
        <f>IF(ACTIONS!G32&gt;0,EG90+1,0)</f>
        <v>0</v>
      </c>
      <c r="EH89" s="1795">
        <f>IF(ACTIONS!H32&gt;0,EH90+1,0)</f>
        <v>0</v>
      </c>
      <c r="EI89" s="1795">
        <f>IF(ACTIONS!I32&gt;0,EI90+1,0)</f>
        <v>0</v>
      </c>
      <c r="EJ89" s="1795">
        <f>IF(ACTIONS!J32&gt;0,EJ90+1,0)</f>
        <v>0</v>
      </c>
      <c r="EK89" s="1795">
        <f>IF(ACTIONS!K32&gt;0,EK90+1,0)</f>
        <v>0</v>
      </c>
      <c r="EM89" s="1829">
        <v>2</v>
      </c>
      <c r="EN89" s="1795">
        <f>IF(ACTIONS!BQ32&gt;0,EN90+1,0)</f>
        <v>0</v>
      </c>
      <c r="EO89" s="1795">
        <f>IF(ACTIONS!BR32&gt;0,EO90+1,0)</f>
        <v>0</v>
      </c>
      <c r="EP89" s="1795">
        <f>IF(ACTIONS!BS32&gt;0,EP90+1,0)</f>
        <v>0</v>
      </c>
      <c r="EQ89" s="1795">
        <f>IF(ACTIONS!BT32&gt;0,EQ90+1,0)</f>
        <v>0</v>
      </c>
      <c r="ER89" s="1795">
        <f>IF(ACTIONS!BU32&gt;0,ER90+1,0)</f>
        <v>0</v>
      </c>
      <c r="ES89" s="1795">
        <f>IF(ACTIONS!BV32&gt;0,ES90+1,0)</f>
        <v>0</v>
      </c>
      <c r="ET89" s="1795">
        <f>IF(ACTIONS!BW32&gt;0,ET90+1,0)</f>
        <v>0</v>
      </c>
      <c r="EU89" s="1795">
        <f>IF(ACTIONS!BX32&gt;0,EU90+1,0)</f>
        <v>0</v>
      </c>
      <c r="EV89" s="1795">
        <f>IF(ACTIONS!BY32&gt;0,EV90+1,0)</f>
        <v>0</v>
      </c>
      <c r="JC89" s="1892"/>
      <c r="JF89" s="1894"/>
      <c r="JG89" s="1895" t="s">
        <v>238</v>
      </c>
      <c r="JH89" s="1896"/>
      <c r="JI89" s="1897"/>
      <c r="JJ89" s="1767"/>
      <c r="JM89" s="1893"/>
      <c r="JN89" s="1789"/>
      <c r="JO89" s="2170" t="s">
        <v>2035</v>
      </c>
      <c r="JP89" s="1819" t="s">
        <v>1786</v>
      </c>
      <c r="JQ89" s="2170" t="s">
        <v>1921</v>
      </c>
      <c r="JR89" s="1819" t="s">
        <v>440</v>
      </c>
      <c r="JT89" s="3048"/>
      <c r="KG89" s="1822"/>
      <c r="KH89" s="1821"/>
      <c r="KI89" s="1822"/>
      <c r="KJ89" s="1821"/>
      <c r="KK89" s="1822"/>
      <c r="KQ89" s="3076"/>
      <c r="KR89" s="1764"/>
      <c r="KS89" s="3077"/>
      <c r="KT89" s="3053"/>
      <c r="KV89" s="3048"/>
      <c r="KW89" s="3049"/>
    </row>
    <row r="90" spans="10:311" ht="17.100000000000001" customHeight="1" thickBot="1" x14ac:dyDescent="0.35">
      <c r="J90" s="1898" t="str">
        <f t="shared" ref="J90:J143" si="38">IF(L90&lt;&gt;"",J89+1,"")</f>
        <v/>
      </c>
      <c r="K90" s="3312" t="str">
        <f t="shared" ref="K90:K126" si="39">IF(AND(L89&lt;&gt;"",L90=""),"&gt; &gt; &gt; &gt;","")</f>
        <v/>
      </c>
      <c r="L90" s="1779"/>
      <c r="M90" s="1779"/>
      <c r="N90" s="1779"/>
      <c r="O90" s="1779"/>
      <c r="P90" s="1779"/>
      <c r="Q90" s="1779"/>
      <c r="R90" s="1779"/>
      <c r="S90" s="1779"/>
      <c r="T90" s="1779"/>
      <c r="U90" s="1779"/>
      <c r="V90" s="1922"/>
      <c r="W90" s="1779"/>
      <c r="X90" s="1779"/>
      <c r="Y90" s="1779"/>
      <c r="Z90" s="1779"/>
      <c r="AA90" s="1779"/>
      <c r="AB90" s="1779"/>
      <c r="AC90" s="1779"/>
      <c r="AD90" s="1779"/>
      <c r="AE90" s="1779"/>
      <c r="AF90" s="1779"/>
      <c r="AH90" s="3312" t="str">
        <f t="shared" ref="AH90:AH126" si="40">IF(AND(AI89&lt;&gt;"",AI90=""),"&gt; &gt; &gt; &gt;","")</f>
        <v/>
      </c>
      <c r="AI90" s="1779"/>
      <c r="AJ90" s="1928"/>
      <c r="AK90" s="1779"/>
      <c r="AL90" s="1779"/>
      <c r="AM90" s="1779"/>
      <c r="AN90" s="1779"/>
      <c r="AO90" s="1779"/>
      <c r="AP90" s="1779"/>
      <c r="AQ90" s="1779"/>
      <c r="AR90" s="1779"/>
      <c r="AS90" s="1779"/>
      <c r="AT90" s="3213"/>
      <c r="AU90" s="3385"/>
      <c r="AV90" s="3383"/>
      <c r="AW90" s="3383"/>
      <c r="AX90" s="3383"/>
      <c r="AY90" s="3383"/>
      <c r="AZ90" s="3383"/>
      <c r="BA90" s="3383"/>
      <c r="BB90" s="3383"/>
      <c r="BC90" s="3383"/>
      <c r="BD90" s="3383"/>
      <c r="BE90" s="3311">
        <v>67</v>
      </c>
      <c r="BF90" s="1882" t="str">
        <f t="shared" si="35"/>
        <v/>
      </c>
      <c r="BG90" s="1883">
        <f t="shared" si="36"/>
        <v>0</v>
      </c>
      <c r="BH90" s="1884">
        <f t="shared" si="37"/>
        <v>0</v>
      </c>
      <c r="EB90" s="1829">
        <v>1</v>
      </c>
      <c r="EC90" s="1795">
        <f>IF(ACTIONS!C33&gt;0,EC91+1,0)</f>
        <v>0</v>
      </c>
      <c r="ED90" s="1795">
        <f>IF(ACTIONS!D33&gt;0,ED91+1,0)</f>
        <v>0</v>
      </c>
      <c r="EE90" s="1795">
        <f>IF(ACTIONS!E33&gt;0,EE91+1,0)</f>
        <v>0</v>
      </c>
      <c r="EF90" s="1795">
        <f>IF(ACTIONS!F33&gt;0,EF91+1,0)</f>
        <v>0</v>
      </c>
      <c r="EG90" s="1795">
        <f>IF(ACTIONS!G33&gt;0,EG91+1,0)</f>
        <v>0</v>
      </c>
      <c r="EH90" s="1795">
        <f>IF(ACTIONS!H33&gt;0,EH91+1,0)</f>
        <v>0</v>
      </c>
      <c r="EI90" s="1795">
        <f>IF(ACTIONS!I33&gt;0,EI91+1,0)</f>
        <v>0</v>
      </c>
      <c r="EJ90" s="1795">
        <f>IF(ACTIONS!J33&gt;0,EJ91+1,0)</f>
        <v>0</v>
      </c>
      <c r="EK90" s="1795">
        <f>IF(ACTIONS!K33&gt;0,EK91+1,0)</f>
        <v>0</v>
      </c>
      <c r="EM90" s="1829">
        <v>1</v>
      </c>
      <c r="EN90" s="1795">
        <f>IF(ACTIONS!BQ33&gt;0,EN91+1,0)</f>
        <v>0</v>
      </c>
      <c r="EO90" s="1795">
        <f>IF(ACTIONS!BR33&gt;0,EO91+1,0)</f>
        <v>0</v>
      </c>
      <c r="EP90" s="1795">
        <f>IF(ACTIONS!BS33&gt;0,EP91+1,0)</f>
        <v>0</v>
      </c>
      <c r="EQ90" s="1795">
        <f>IF(ACTIONS!BT33&gt;0,EQ91+1,0)</f>
        <v>0</v>
      </c>
      <c r="ER90" s="1795">
        <f>IF(ACTIONS!BU33&gt;0,ER91+1,0)</f>
        <v>0</v>
      </c>
      <c r="ES90" s="1795">
        <f>IF(ACTIONS!BV33&gt;0,ES91+1,0)</f>
        <v>0</v>
      </c>
      <c r="ET90" s="1795">
        <f>IF(ACTIONS!BW33&gt;0,ET91+1,0)</f>
        <v>0</v>
      </c>
      <c r="EU90" s="1795">
        <f>IF(ACTIONS!BX33&gt;0,EU91+1,0)</f>
        <v>0</v>
      </c>
      <c r="EV90" s="1795">
        <f>IF(ACTIONS!BY33&gt;0,EV91+1,0)</f>
        <v>0</v>
      </c>
      <c r="JC90" s="1892"/>
      <c r="JE90" s="1887"/>
      <c r="JF90" s="1846" t="s">
        <v>240</v>
      </c>
      <c r="JG90" s="1899"/>
      <c r="JH90" s="1846" t="s">
        <v>240</v>
      </c>
      <c r="JI90" s="1870" t="s">
        <v>241</v>
      </c>
      <c r="JM90" s="3286" t="s">
        <v>2356</v>
      </c>
      <c r="JO90" s="2170" t="s">
        <v>1892</v>
      </c>
      <c r="JP90" s="1819" t="s">
        <v>711</v>
      </c>
      <c r="JQ90" s="2170" t="s">
        <v>1925</v>
      </c>
      <c r="JR90" s="1819" t="s">
        <v>700</v>
      </c>
      <c r="JT90" s="3048"/>
      <c r="KG90" s="1822"/>
      <c r="KH90" s="1821"/>
      <c r="KI90" s="1822"/>
      <c r="KJ90" s="1821"/>
      <c r="KK90" s="1822"/>
      <c r="KQ90" s="3076"/>
      <c r="KR90" s="3053"/>
      <c r="KS90" s="3077"/>
      <c r="KT90" s="3053"/>
    </row>
    <row r="91" spans="10:311" ht="17.100000000000001" customHeight="1" thickBot="1" x14ac:dyDescent="0.35">
      <c r="J91" s="1898" t="str">
        <f t="shared" si="38"/>
        <v/>
      </c>
      <c r="K91" s="3312" t="str">
        <f t="shared" si="39"/>
        <v/>
      </c>
      <c r="L91" s="1779"/>
      <c r="M91" s="1779"/>
      <c r="N91" s="1779"/>
      <c r="O91" s="1779"/>
      <c r="P91" s="1779"/>
      <c r="Q91" s="1779"/>
      <c r="R91" s="1779"/>
      <c r="S91" s="1779"/>
      <c r="T91" s="1779"/>
      <c r="U91" s="1779"/>
      <c r="V91" s="1922"/>
      <c r="W91" s="1779"/>
      <c r="X91" s="1779"/>
      <c r="Y91" s="1779"/>
      <c r="Z91" s="1779"/>
      <c r="AA91" s="1779"/>
      <c r="AB91" s="1779"/>
      <c r="AC91" s="1779"/>
      <c r="AD91" s="1779"/>
      <c r="AE91" s="1779"/>
      <c r="AF91" s="1779"/>
      <c r="AH91" s="3312" t="str">
        <f t="shared" si="40"/>
        <v/>
      </c>
      <c r="AI91" s="1779"/>
      <c r="AJ91" s="1928"/>
      <c r="AK91" s="1779"/>
      <c r="AL91" s="1779"/>
      <c r="AM91" s="1779"/>
      <c r="AN91" s="1779"/>
      <c r="AO91" s="1779"/>
      <c r="AP91" s="1779"/>
      <c r="AQ91" s="1779"/>
      <c r="AR91" s="1779"/>
      <c r="AS91" s="1779"/>
      <c r="AT91" s="3213"/>
      <c r="AU91" s="3385"/>
      <c r="AV91" s="3383"/>
      <c r="AW91" s="3383"/>
      <c r="AX91" s="3383"/>
      <c r="AY91" s="3383"/>
      <c r="AZ91" s="3383"/>
      <c r="BA91" s="3383"/>
      <c r="BB91" s="3383"/>
      <c r="BC91" s="3383"/>
      <c r="BD91" s="3383"/>
      <c r="BE91" s="3311">
        <v>68</v>
      </c>
      <c r="BF91" s="1882" t="str">
        <f t="shared" si="35"/>
        <v/>
      </c>
      <c r="BG91" s="1883">
        <f t="shared" si="36"/>
        <v>0</v>
      </c>
      <c r="BH91" s="1884">
        <f t="shared" si="37"/>
        <v>0</v>
      </c>
      <c r="EB91" s="5148"/>
      <c r="EC91" s="1941"/>
      <c r="ED91" s="1880"/>
      <c r="EE91" s="1880"/>
      <c r="EF91" s="1880"/>
      <c r="EG91" s="1880"/>
      <c r="EH91" s="1880"/>
      <c r="EI91" s="1880"/>
      <c r="EJ91" s="1880"/>
      <c r="EK91" s="1880"/>
      <c r="EM91" s="5148"/>
      <c r="EN91" s="1941"/>
      <c r="EO91" s="1880"/>
      <c r="EP91" s="1880"/>
      <c r="EQ91" s="1880"/>
      <c r="ER91" s="1880"/>
      <c r="ES91" s="1880"/>
      <c r="ET91" s="1880"/>
      <c r="EU91" s="1880"/>
      <c r="EV91" s="1880"/>
      <c r="JC91" s="1942"/>
      <c r="JE91" s="1900" t="s">
        <v>277</v>
      </c>
      <c r="JF91" s="1850">
        <f t="shared" ref="JF91:JF114" ca="1" si="41">IF($JF$89="roll", RANDBETWEEN(1,19),0)</f>
        <v>0</v>
      </c>
      <c r="JG91" s="1900" t="s">
        <v>338</v>
      </c>
      <c r="JH91" s="1850">
        <v>1</v>
      </c>
      <c r="JI91" s="1901"/>
      <c r="JL91" s="13"/>
      <c r="JM91" s="3287">
        <f>LEN('^'!$BS$55)</f>
        <v>4</v>
      </c>
      <c r="JO91" s="2170" t="s">
        <v>1312</v>
      </c>
      <c r="JP91" s="1819" t="s">
        <v>894</v>
      </c>
      <c r="JQ91" s="2170" t="s">
        <v>1903</v>
      </c>
      <c r="JR91" s="1819" t="s">
        <v>701</v>
      </c>
      <c r="JT91" s="3048"/>
      <c r="KG91" s="1822"/>
      <c r="KH91" s="1821"/>
      <c r="KI91" s="1822"/>
      <c r="KJ91" s="1821"/>
      <c r="KK91" s="1822"/>
      <c r="KQ91" s="3076"/>
      <c r="KR91" s="3053"/>
      <c r="KS91" s="3077"/>
      <c r="KT91" s="3053"/>
      <c r="KV91" s="3048"/>
      <c r="KX91" s="3048"/>
    </row>
    <row r="92" spans="10:311" ht="17.100000000000001" customHeight="1" thickBot="1" x14ac:dyDescent="0.35">
      <c r="J92" s="1898" t="str">
        <f t="shared" si="38"/>
        <v/>
      </c>
      <c r="K92" s="3312" t="str">
        <f t="shared" si="39"/>
        <v/>
      </c>
      <c r="L92" s="1779"/>
      <c r="M92" s="1779"/>
      <c r="N92" s="1779"/>
      <c r="O92" s="1779"/>
      <c r="P92" s="1779"/>
      <c r="Q92" s="1779"/>
      <c r="R92" s="1779"/>
      <c r="S92" s="1779"/>
      <c r="T92" s="1779"/>
      <c r="U92" s="1779"/>
      <c r="V92" s="1922"/>
      <c r="W92" s="1779"/>
      <c r="X92" s="1779"/>
      <c r="Y92" s="1779"/>
      <c r="Z92" s="1779"/>
      <c r="AA92" s="1779"/>
      <c r="AB92" s="1779"/>
      <c r="AC92" s="1779"/>
      <c r="AD92" s="1779"/>
      <c r="AE92" s="1779"/>
      <c r="AF92" s="1779"/>
      <c r="AH92" s="3312" t="str">
        <f t="shared" si="40"/>
        <v/>
      </c>
      <c r="AI92" s="1779"/>
      <c r="AJ92" s="1928"/>
      <c r="AK92" s="1779"/>
      <c r="AL92" s="1779"/>
      <c r="AM92" s="1779"/>
      <c r="AN92" s="1779"/>
      <c r="AO92" s="1779"/>
      <c r="AP92" s="1779"/>
      <c r="AQ92" s="1779"/>
      <c r="AR92" s="1779"/>
      <c r="AS92" s="1779"/>
      <c r="AT92" s="3213"/>
      <c r="AU92" s="3385"/>
      <c r="AV92" s="3383"/>
      <c r="AW92" s="3383"/>
      <c r="AX92" s="3383"/>
      <c r="AY92" s="3383"/>
      <c r="AZ92" s="3383"/>
      <c r="BA92" s="3383"/>
      <c r="BB92" s="3383"/>
      <c r="BC92" s="3383"/>
      <c r="BD92" s="3383"/>
      <c r="BE92" s="3311">
        <v>69</v>
      </c>
      <c r="BF92" s="1882" t="str">
        <f t="shared" si="35"/>
        <v/>
      </c>
      <c r="BG92" s="1883">
        <f t="shared" si="36"/>
        <v>0</v>
      </c>
      <c r="BH92" s="1884">
        <f t="shared" si="37"/>
        <v>0</v>
      </c>
      <c r="EB92" s="5148"/>
      <c r="EM92" s="5148"/>
      <c r="EU92" s="1808"/>
      <c r="EV92" s="1808"/>
      <c r="JC92" s="1892"/>
      <c r="JE92" s="1808"/>
      <c r="JF92" s="1850">
        <f t="shared" ca="1" si="41"/>
        <v>0</v>
      </c>
      <c r="JG92" s="1900" t="s">
        <v>339</v>
      </c>
      <c r="JH92" s="1850">
        <v>4</v>
      </c>
      <c r="JI92" s="1901"/>
      <c r="JL92" s="13"/>
      <c r="JM92" s="3269"/>
      <c r="JO92" s="2170" t="s">
        <v>2025</v>
      </c>
      <c r="JP92" s="1819" t="s">
        <v>375</v>
      </c>
      <c r="JQ92" s="2170" t="s">
        <v>1923</v>
      </c>
      <c r="JR92" s="1819" t="s">
        <v>966</v>
      </c>
      <c r="JT92" s="3048"/>
      <c r="KG92" s="1822"/>
      <c r="KH92" s="1821"/>
      <c r="KI92" s="1822"/>
      <c r="KJ92" s="1821"/>
      <c r="KK92" s="1822"/>
      <c r="KQ92" s="3076"/>
      <c r="KR92" s="3053"/>
      <c r="KS92" s="3077"/>
      <c r="KT92" s="3053"/>
      <c r="KX92" s="3048"/>
    </row>
    <row r="93" spans="10:311" ht="17.100000000000001" customHeight="1" thickBot="1" x14ac:dyDescent="0.35">
      <c r="J93" s="1898" t="str">
        <f t="shared" si="38"/>
        <v/>
      </c>
      <c r="K93" s="3312" t="str">
        <f t="shared" si="39"/>
        <v/>
      </c>
      <c r="L93" s="1779"/>
      <c r="M93" s="1779"/>
      <c r="N93" s="1779"/>
      <c r="O93" s="1779"/>
      <c r="P93" s="1779"/>
      <c r="Q93" s="1779"/>
      <c r="R93" s="1779"/>
      <c r="S93" s="1779"/>
      <c r="T93" s="1779"/>
      <c r="U93" s="1779"/>
      <c r="V93" s="1922"/>
      <c r="W93" s="1779"/>
      <c r="X93" s="1779"/>
      <c r="Y93" s="1779"/>
      <c r="Z93" s="1779"/>
      <c r="AA93" s="1779"/>
      <c r="AB93" s="1779"/>
      <c r="AC93" s="1779"/>
      <c r="AD93" s="1779"/>
      <c r="AE93" s="1779"/>
      <c r="AF93" s="1779"/>
      <c r="AH93" s="3312" t="str">
        <f t="shared" si="40"/>
        <v/>
      </c>
      <c r="AI93" s="1779"/>
      <c r="AJ93" s="1928"/>
      <c r="AK93" s="1779"/>
      <c r="AL93" s="1779"/>
      <c r="AM93" s="1779"/>
      <c r="AN93" s="1779"/>
      <c r="AO93" s="1779"/>
      <c r="AP93" s="1779"/>
      <c r="AQ93" s="1779"/>
      <c r="AR93" s="1779"/>
      <c r="AS93" s="1779"/>
      <c r="AT93" s="3213"/>
      <c r="AU93" s="3385"/>
      <c r="AV93" s="3383"/>
      <c r="AW93" s="3383"/>
      <c r="AX93" s="3383"/>
      <c r="AY93" s="3383"/>
      <c r="AZ93" s="3383"/>
      <c r="BA93" s="3383"/>
      <c r="BB93" s="3383"/>
      <c r="BC93" s="3383"/>
      <c r="BD93" s="3383"/>
      <c r="BE93" s="3311">
        <v>70</v>
      </c>
      <c r="BF93" s="1882" t="str">
        <f t="shared" si="35"/>
        <v/>
      </c>
      <c r="BG93" s="1883">
        <f t="shared" si="36"/>
        <v>0</v>
      </c>
      <c r="BH93" s="1884">
        <f t="shared" si="37"/>
        <v>0</v>
      </c>
      <c r="EB93" s="1782"/>
      <c r="EC93" s="1773" t="str">
        <f>ACTIONS!$C$34</f>
        <v>MND1</v>
      </c>
      <c r="ED93" s="1773" t="str">
        <f>ACTIONS!$D$34</f>
        <v>MND2</v>
      </c>
      <c r="EE93" s="1773" t="str">
        <f>ACTIONS!$E$34</f>
        <v>MND3</v>
      </c>
      <c r="EF93" s="1773" t="str">
        <f>ACTIONS!$F$34</f>
        <v>MND4</v>
      </c>
      <c r="EG93" s="1773" t="str">
        <f>ACTIONS!$G$34</f>
        <v>MND5</v>
      </c>
      <c r="EH93" s="1773" t="str">
        <f>ACTIONS!$H$34</f>
        <v>MND6</v>
      </c>
      <c r="EI93" s="1773" t="str">
        <f>ACTIONS!$I$34</f>
        <v>MND7</v>
      </c>
      <c r="EJ93" s="1773" t="str">
        <f>ACTIONS!$J$34</f>
        <v>MND8</v>
      </c>
      <c r="EK93" s="1773" t="str">
        <f>ACTIONS!$K$34</f>
        <v>MND9</v>
      </c>
      <c r="EM93" s="1782"/>
      <c r="EN93" s="1773" t="str">
        <f>ACTIONS!$BQ$34</f>
        <v>BDY1</v>
      </c>
      <c r="EO93" s="1773" t="str">
        <f>ACTIONS!$BR$34</f>
        <v>BDY2</v>
      </c>
      <c r="EP93" s="1773" t="str">
        <f>ACTIONS!$BS$34</f>
        <v>BDY3</v>
      </c>
      <c r="EQ93" s="1773" t="str">
        <f>ACTIONS!$BT$34</f>
        <v>BDY4</v>
      </c>
      <c r="ER93" s="1773" t="str">
        <f>ACTIONS!$BU$34</f>
        <v>BDY5</v>
      </c>
      <c r="ES93" s="1773" t="str">
        <f>ACTIONS!$BV$34</f>
        <v>BDY6</v>
      </c>
      <c r="ET93" s="1773" t="str">
        <f>ACTIONS!$BW$34</f>
        <v>BDY7</v>
      </c>
      <c r="EU93" s="1773" t="str">
        <f>ACTIONS!$BX$34</f>
        <v>BDY8</v>
      </c>
      <c r="EV93" s="1773" t="str">
        <f>ACTIONS!$BY$34</f>
        <v>BDY9</v>
      </c>
      <c r="JC93" s="1892"/>
      <c r="JE93" s="1900"/>
      <c r="JF93" s="1850">
        <f t="shared" ca="1" si="41"/>
        <v>0</v>
      </c>
      <c r="JG93" s="1900" t="s">
        <v>340</v>
      </c>
      <c r="JH93" s="1850">
        <v>7</v>
      </c>
      <c r="JI93" s="1901"/>
      <c r="JM93" s="3269"/>
      <c r="JO93" s="2170" t="s">
        <v>1905</v>
      </c>
      <c r="JP93" s="1819" t="s">
        <v>903</v>
      </c>
      <c r="JQ93" s="2170" t="s">
        <v>1897</v>
      </c>
      <c r="JR93" s="1819" t="s">
        <v>935</v>
      </c>
      <c r="JT93" s="3048"/>
      <c r="KG93" s="1822"/>
      <c r="KH93" s="1821"/>
      <c r="KI93" s="1822"/>
      <c r="KJ93" s="1821"/>
      <c r="KK93" s="1822"/>
      <c r="KQ93" s="3076"/>
      <c r="KR93" s="3053"/>
      <c r="KS93" s="3077"/>
      <c r="KT93" s="3053"/>
      <c r="KV93" s="3048"/>
    </row>
    <row r="94" spans="10:311" ht="17.100000000000001" customHeight="1" thickBot="1" x14ac:dyDescent="0.35">
      <c r="J94" s="1898" t="str">
        <f t="shared" si="38"/>
        <v/>
      </c>
      <c r="K94" s="3312" t="str">
        <f t="shared" si="39"/>
        <v/>
      </c>
      <c r="L94" s="1779"/>
      <c r="M94" s="1779"/>
      <c r="N94" s="1779"/>
      <c r="O94" s="1779"/>
      <c r="P94" s="1779"/>
      <c r="Q94" s="1779"/>
      <c r="R94" s="1779"/>
      <c r="S94" s="1779"/>
      <c r="T94" s="1779"/>
      <c r="U94" s="1779"/>
      <c r="V94" s="1922"/>
      <c r="W94" s="1779"/>
      <c r="X94" s="1779"/>
      <c r="Y94" s="1779"/>
      <c r="Z94" s="1779"/>
      <c r="AA94" s="1779"/>
      <c r="AB94" s="1779"/>
      <c r="AC94" s="1779"/>
      <c r="AD94" s="1779"/>
      <c r="AE94" s="1779"/>
      <c r="AF94" s="1779"/>
      <c r="AH94" s="3312" t="str">
        <f t="shared" si="40"/>
        <v/>
      </c>
      <c r="AI94" s="1779"/>
      <c r="AJ94" s="1928"/>
      <c r="AK94" s="1779"/>
      <c r="AL94" s="1779"/>
      <c r="AM94" s="1779"/>
      <c r="AN94" s="1779"/>
      <c r="AO94" s="1779"/>
      <c r="AP94" s="1779"/>
      <c r="AQ94" s="1779"/>
      <c r="AR94" s="1779"/>
      <c r="AS94" s="1779"/>
      <c r="AT94" s="3213"/>
      <c r="AU94" s="3385"/>
      <c r="AV94" s="3383"/>
      <c r="AW94" s="3383"/>
      <c r="AX94" s="3383"/>
      <c r="AY94" s="3383"/>
      <c r="AZ94" s="3383"/>
      <c r="BA94" s="3383"/>
      <c r="BB94" s="3383"/>
      <c r="BC94" s="3383"/>
      <c r="BD94" s="3383"/>
      <c r="BE94" s="3311">
        <v>71</v>
      </c>
      <c r="BF94" s="1882" t="str">
        <f t="shared" si="35"/>
        <v/>
      </c>
      <c r="BG94" s="1883">
        <f t="shared" si="36"/>
        <v>0</v>
      </c>
      <c r="BH94" s="1884">
        <f t="shared" si="37"/>
        <v>0</v>
      </c>
      <c r="EB94" s="1773" t="s">
        <v>285</v>
      </c>
      <c r="EC94" s="1912">
        <f t="shared" ref="EC94:EK94" si="42">COUNTIF(EC60:EC90,"&lt;&gt;0")</f>
        <v>0</v>
      </c>
      <c r="ED94" s="1912">
        <f t="shared" si="42"/>
        <v>0</v>
      </c>
      <c r="EE94" s="1912">
        <f t="shared" si="42"/>
        <v>0</v>
      </c>
      <c r="EF94" s="1912">
        <f t="shared" si="42"/>
        <v>0</v>
      </c>
      <c r="EG94" s="1912">
        <f t="shared" si="42"/>
        <v>0</v>
      </c>
      <c r="EH94" s="1912">
        <f t="shared" si="42"/>
        <v>0</v>
      </c>
      <c r="EI94" s="1912">
        <f t="shared" si="42"/>
        <v>0</v>
      </c>
      <c r="EJ94" s="1912">
        <f t="shared" si="42"/>
        <v>0</v>
      </c>
      <c r="EK94" s="1912">
        <f t="shared" si="42"/>
        <v>0</v>
      </c>
      <c r="EM94" s="1773" t="s">
        <v>285</v>
      </c>
      <c r="EN94" s="1912">
        <f t="shared" ref="EN94:EV94" si="43">COUNTIF(EN60:EN90,"&lt;&gt;0")</f>
        <v>0</v>
      </c>
      <c r="EO94" s="1912">
        <f t="shared" si="43"/>
        <v>0</v>
      </c>
      <c r="EP94" s="1912">
        <f t="shared" si="43"/>
        <v>0</v>
      </c>
      <c r="EQ94" s="1912">
        <f t="shared" si="43"/>
        <v>0</v>
      </c>
      <c r="ER94" s="1912">
        <f t="shared" si="43"/>
        <v>0</v>
      </c>
      <c r="ES94" s="1912">
        <f t="shared" si="43"/>
        <v>0</v>
      </c>
      <c r="ET94" s="1912">
        <f t="shared" si="43"/>
        <v>0</v>
      </c>
      <c r="EU94" s="1912">
        <f t="shared" si="43"/>
        <v>0</v>
      </c>
      <c r="EV94" s="1912">
        <f t="shared" si="43"/>
        <v>0</v>
      </c>
      <c r="JC94" s="1892"/>
      <c r="JE94" s="1900"/>
      <c r="JF94" s="1850">
        <f t="shared" ca="1" si="41"/>
        <v>0</v>
      </c>
      <c r="JG94" s="1900" t="s">
        <v>341</v>
      </c>
      <c r="JH94" s="1850">
        <v>2</v>
      </c>
      <c r="JI94" s="1901"/>
      <c r="JM94" s="1893"/>
      <c r="JO94" s="2170" t="s">
        <v>1938</v>
      </c>
      <c r="JP94" s="1835" t="s">
        <v>706</v>
      </c>
      <c r="JQ94" s="2170" t="s">
        <v>1898</v>
      </c>
      <c r="JR94" s="1819" t="s">
        <v>702</v>
      </c>
      <c r="JT94" s="3048"/>
      <c r="KG94" s="1822"/>
      <c r="KH94" s="1821"/>
      <c r="KI94" s="1822"/>
      <c r="KJ94" s="1821"/>
      <c r="KK94" s="1822"/>
      <c r="KQ94" s="3076"/>
      <c r="KR94" s="3053"/>
      <c r="KS94" s="3077"/>
      <c r="KT94" s="3053"/>
      <c r="KV94" s="3048"/>
    </row>
    <row r="95" spans="10:311" ht="17.100000000000001" customHeight="1" thickBot="1" x14ac:dyDescent="0.35">
      <c r="J95" s="1898" t="str">
        <f t="shared" si="38"/>
        <v/>
      </c>
      <c r="K95" s="3312" t="str">
        <f t="shared" si="39"/>
        <v/>
      </c>
      <c r="L95" s="1779"/>
      <c r="M95" s="1779"/>
      <c r="N95" s="1779"/>
      <c r="O95" s="1779"/>
      <c r="P95" s="1779"/>
      <c r="Q95" s="1779"/>
      <c r="R95" s="1779"/>
      <c r="S95" s="1779"/>
      <c r="T95" s="1779"/>
      <c r="U95" s="1779"/>
      <c r="V95" s="1922"/>
      <c r="W95" s="1779"/>
      <c r="X95" s="1779"/>
      <c r="Y95" s="1779"/>
      <c r="Z95" s="1779"/>
      <c r="AA95" s="1779"/>
      <c r="AB95" s="1779"/>
      <c r="AC95" s="1779"/>
      <c r="AD95" s="1779"/>
      <c r="AE95" s="1779"/>
      <c r="AF95" s="1779"/>
      <c r="AH95" s="3312" t="str">
        <f t="shared" si="40"/>
        <v/>
      </c>
      <c r="AI95" s="1779"/>
      <c r="AJ95" s="1928"/>
      <c r="AK95" s="1779"/>
      <c r="AL95" s="1779"/>
      <c r="AM95" s="1779"/>
      <c r="AN95" s="1779"/>
      <c r="AO95" s="1779"/>
      <c r="AP95" s="1779"/>
      <c r="AQ95" s="1779"/>
      <c r="AR95" s="1779"/>
      <c r="AS95" s="1779"/>
      <c r="AT95" s="3213"/>
      <c r="AU95" s="3385"/>
      <c r="AV95" s="3383"/>
      <c r="AW95" s="3383"/>
      <c r="AX95" s="3383"/>
      <c r="AY95" s="3383"/>
      <c r="AZ95" s="3383"/>
      <c r="BA95" s="3383"/>
      <c r="BB95" s="3383"/>
      <c r="BC95" s="3383"/>
      <c r="BD95" s="3383"/>
      <c r="BE95" s="3311">
        <v>72</v>
      </c>
      <c r="BF95" s="1882" t="str">
        <f t="shared" si="35"/>
        <v/>
      </c>
      <c r="BG95" s="1883">
        <f t="shared" si="36"/>
        <v>0</v>
      </c>
      <c r="BH95" s="1884">
        <f t="shared" si="37"/>
        <v>0</v>
      </c>
      <c r="EB95" s="1773" t="s">
        <v>286</v>
      </c>
      <c r="EC95" s="1912">
        <f t="shared" ref="EC95:EK95" si="44">MAX(EC60:EC90)</f>
        <v>0</v>
      </c>
      <c r="ED95" s="1912">
        <f t="shared" si="44"/>
        <v>0</v>
      </c>
      <c r="EE95" s="1912">
        <f t="shared" si="44"/>
        <v>0</v>
      </c>
      <c r="EF95" s="1912">
        <f t="shared" si="44"/>
        <v>0</v>
      </c>
      <c r="EG95" s="1912">
        <f t="shared" si="44"/>
        <v>0</v>
      </c>
      <c r="EH95" s="1912">
        <f t="shared" si="44"/>
        <v>0</v>
      </c>
      <c r="EI95" s="1912">
        <f t="shared" si="44"/>
        <v>0</v>
      </c>
      <c r="EJ95" s="1912">
        <f t="shared" si="44"/>
        <v>0</v>
      </c>
      <c r="EK95" s="1912">
        <f t="shared" si="44"/>
        <v>0</v>
      </c>
      <c r="EM95" s="1773" t="s">
        <v>286</v>
      </c>
      <c r="EN95" s="1912">
        <f t="shared" ref="EN95:EV95" si="45">MAX(EN60:EN90)</f>
        <v>0</v>
      </c>
      <c r="EO95" s="1912">
        <f t="shared" si="45"/>
        <v>0</v>
      </c>
      <c r="EP95" s="1912">
        <f t="shared" si="45"/>
        <v>0</v>
      </c>
      <c r="EQ95" s="1912">
        <f t="shared" si="45"/>
        <v>0</v>
      </c>
      <c r="ER95" s="1912">
        <f t="shared" si="45"/>
        <v>0</v>
      </c>
      <c r="ES95" s="1912">
        <f t="shared" si="45"/>
        <v>0</v>
      </c>
      <c r="ET95" s="1912">
        <f t="shared" si="45"/>
        <v>0</v>
      </c>
      <c r="EU95" s="1912">
        <f t="shared" si="45"/>
        <v>0</v>
      </c>
      <c r="EV95" s="1912">
        <f t="shared" si="45"/>
        <v>0</v>
      </c>
      <c r="JC95" s="1892"/>
      <c r="JE95" s="1900"/>
      <c r="JF95" s="1850">
        <f t="shared" ca="1" si="41"/>
        <v>0</v>
      </c>
      <c r="JG95" s="1900" t="s">
        <v>342</v>
      </c>
      <c r="JH95" s="1850">
        <v>12</v>
      </c>
      <c r="JI95" s="1870" t="s">
        <v>260</v>
      </c>
      <c r="JM95" s="1893"/>
      <c r="JO95" s="2170" t="s">
        <v>1937</v>
      </c>
      <c r="JP95" s="1819" t="s">
        <v>696</v>
      </c>
      <c r="JQ95" s="2170" t="s">
        <v>1390</v>
      </c>
      <c r="JR95" s="1819" t="s">
        <v>1908</v>
      </c>
      <c r="JT95" s="3048"/>
      <c r="KG95" s="1822"/>
      <c r="KH95" s="1821"/>
      <c r="KI95" s="1822"/>
      <c r="KJ95" s="1821"/>
      <c r="KK95" s="1822"/>
      <c r="KQ95" s="3076"/>
      <c r="KR95" s="3053"/>
      <c r="KS95" s="3077"/>
      <c r="KT95" s="3053"/>
      <c r="KV95" s="3048"/>
      <c r="KW95" s="3049"/>
    </row>
    <row r="96" spans="10:311" ht="17.100000000000001" customHeight="1" thickBot="1" x14ac:dyDescent="0.35">
      <c r="J96" s="1898" t="str">
        <f t="shared" si="38"/>
        <v/>
      </c>
      <c r="K96" s="3312" t="str">
        <f t="shared" si="39"/>
        <v/>
      </c>
      <c r="L96" s="1779"/>
      <c r="M96" s="1779"/>
      <c r="N96" s="1779"/>
      <c r="O96" s="1779"/>
      <c r="P96" s="1779"/>
      <c r="Q96" s="1779"/>
      <c r="R96" s="1779"/>
      <c r="S96" s="1779"/>
      <c r="T96" s="1779"/>
      <c r="U96" s="1779"/>
      <c r="V96" s="1922"/>
      <c r="W96" s="1779"/>
      <c r="X96" s="1779"/>
      <c r="Y96" s="1779"/>
      <c r="Z96" s="1779"/>
      <c r="AA96" s="1779"/>
      <c r="AB96" s="1779"/>
      <c r="AC96" s="1779"/>
      <c r="AD96" s="1779"/>
      <c r="AE96" s="1779"/>
      <c r="AF96" s="1779"/>
      <c r="AH96" s="3312" t="str">
        <f t="shared" si="40"/>
        <v/>
      </c>
      <c r="AI96" s="1779"/>
      <c r="AJ96" s="1928"/>
      <c r="AK96" s="1779"/>
      <c r="AL96" s="1779"/>
      <c r="AM96" s="1779"/>
      <c r="AN96" s="1779"/>
      <c r="AO96" s="1779"/>
      <c r="AP96" s="1779"/>
      <c r="AQ96" s="1779"/>
      <c r="AR96" s="1779"/>
      <c r="AS96" s="1779"/>
      <c r="AT96" s="3213"/>
      <c r="AU96" s="3385"/>
      <c r="AV96" s="3383"/>
      <c r="AW96" s="3383"/>
      <c r="AX96" s="3383"/>
      <c r="AY96" s="3383"/>
      <c r="AZ96" s="3383"/>
      <c r="BA96" s="3383"/>
      <c r="BB96" s="3383"/>
      <c r="BC96" s="3383"/>
      <c r="BD96" s="3383"/>
      <c r="BE96" s="3311">
        <v>73</v>
      </c>
      <c r="BF96" s="1882" t="str">
        <f t="shared" si="35"/>
        <v/>
      </c>
      <c r="BG96" s="1883">
        <f t="shared" si="36"/>
        <v>0</v>
      </c>
      <c r="BH96" s="1884">
        <f t="shared" si="37"/>
        <v>0</v>
      </c>
      <c r="JC96" s="1892"/>
      <c r="JE96" s="1900"/>
      <c r="JF96" s="1850">
        <f t="shared" ca="1" si="41"/>
        <v>0</v>
      </c>
      <c r="JG96" s="1900" t="s">
        <v>343</v>
      </c>
      <c r="JH96" s="1850">
        <v>17</v>
      </c>
      <c r="JI96" s="1901"/>
      <c r="JM96" s="1893"/>
      <c r="JO96" s="2170" t="s">
        <v>1911</v>
      </c>
      <c r="JP96" s="1819" t="s">
        <v>707</v>
      </c>
      <c r="JQ96" s="2170" t="s">
        <v>1382</v>
      </c>
      <c r="JR96" s="1819" t="s">
        <v>703</v>
      </c>
      <c r="JT96" s="3048"/>
      <c r="KG96" s="1822"/>
      <c r="KH96" s="1821"/>
      <c r="KI96" s="1822"/>
      <c r="KJ96" s="1821"/>
      <c r="KK96" s="1822"/>
      <c r="KQ96" s="3076"/>
      <c r="KR96" s="3053"/>
      <c r="KS96" s="3077"/>
      <c r="KT96" s="3053"/>
      <c r="KV96" s="3048"/>
      <c r="KW96" s="3049"/>
    </row>
    <row r="97" spans="10:309" ht="17.100000000000001" customHeight="1" thickBot="1" x14ac:dyDescent="0.35">
      <c r="J97" s="1898" t="str">
        <f t="shared" si="38"/>
        <v/>
      </c>
      <c r="K97" s="3312" t="str">
        <f t="shared" si="39"/>
        <v/>
      </c>
      <c r="L97" s="1779"/>
      <c r="M97" s="1779"/>
      <c r="N97" s="1779"/>
      <c r="O97" s="1779"/>
      <c r="P97" s="1779"/>
      <c r="Q97" s="1779"/>
      <c r="R97" s="1779"/>
      <c r="S97" s="1779"/>
      <c r="T97" s="1779"/>
      <c r="U97" s="1779"/>
      <c r="V97" s="1922"/>
      <c r="W97" s="1779"/>
      <c r="X97" s="1779"/>
      <c r="Y97" s="1779"/>
      <c r="Z97" s="1779"/>
      <c r="AA97" s="1779"/>
      <c r="AB97" s="1779"/>
      <c r="AC97" s="1779"/>
      <c r="AD97" s="1779"/>
      <c r="AE97" s="1779"/>
      <c r="AF97" s="1779"/>
      <c r="AH97" s="3312" t="str">
        <f t="shared" si="40"/>
        <v/>
      </c>
      <c r="AI97" s="1779"/>
      <c r="AJ97" s="1928"/>
      <c r="AK97" s="1779"/>
      <c r="AL97" s="1779"/>
      <c r="AM97" s="1779"/>
      <c r="AN97" s="1779"/>
      <c r="AO97" s="1779"/>
      <c r="AP97" s="1779"/>
      <c r="AQ97" s="1779"/>
      <c r="AR97" s="1779"/>
      <c r="AS97" s="1779"/>
      <c r="AT97" s="3213"/>
      <c r="AU97" s="3385"/>
      <c r="AV97" s="3383"/>
      <c r="AW97" s="3383"/>
      <c r="AX97" s="3383"/>
      <c r="AY97" s="3383"/>
      <c r="AZ97" s="3383"/>
      <c r="BA97" s="3383"/>
      <c r="BB97" s="3383"/>
      <c r="BC97" s="3383"/>
      <c r="BD97" s="3383"/>
      <c r="BE97" s="3311">
        <v>74</v>
      </c>
      <c r="BF97" s="1882" t="str">
        <f t="shared" si="35"/>
        <v/>
      </c>
      <c r="BG97" s="1883">
        <f t="shared" si="36"/>
        <v>0</v>
      </c>
      <c r="BH97" s="1884">
        <f t="shared" si="37"/>
        <v>0</v>
      </c>
      <c r="EB97" s="1868"/>
      <c r="EM97" s="1773"/>
      <c r="EN97" s="1912"/>
      <c r="EO97" s="1912"/>
      <c r="EP97" s="1912"/>
      <c r="EQ97" s="1912"/>
      <c r="ER97" s="1912"/>
      <c r="ES97" s="1912"/>
      <c r="ET97" s="1912"/>
      <c r="EU97" s="1912"/>
      <c r="EV97" s="1912">
        <f>COUNTIF(EV60:EV90,PROGRESS!$BJ$35*2)</f>
        <v>31</v>
      </c>
      <c r="IC97" s="1796"/>
      <c r="ID97" s="1796"/>
      <c r="IE97" s="1796"/>
      <c r="IF97" s="1796"/>
      <c r="IG97" s="1796"/>
      <c r="IH97" s="1796"/>
      <c r="II97" s="1796"/>
      <c r="IJ97" s="1796"/>
      <c r="IK97" s="1796"/>
      <c r="IL97" s="1796"/>
      <c r="IM97" s="1796"/>
      <c r="IN97" s="1796"/>
      <c r="IO97" s="1796"/>
      <c r="IP97" s="1796"/>
      <c r="IQ97" s="1796"/>
      <c r="IR97" s="1796"/>
      <c r="IS97" s="1796"/>
      <c r="IT97" s="1796"/>
      <c r="IU97" s="1796"/>
      <c r="IV97" s="1796"/>
      <c r="IW97" s="1796"/>
      <c r="IX97" s="1796"/>
      <c r="IY97" s="1796"/>
      <c r="JC97" s="1892"/>
      <c r="JE97" s="1900"/>
      <c r="JF97" s="1850">
        <f t="shared" ca="1" si="41"/>
        <v>0</v>
      </c>
      <c r="JG97" s="1900" t="s">
        <v>344</v>
      </c>
      <c r="JH97" s="1850">
        <v>14</v>
      </c>
      <c r="JI97" s="1901"/>
      <c r="JM97" s="1893"/>
      <c r="JO97" s="2170" t="s">
        <v>1936</v>
      </c>
      <c r="JP97" s="1819" t="s">
        <v>885</v>
      </c>
      <c r="JQ97" s="2170" t="s">
        <v>1893</v>
      </c>
      <c r="JR97" s="1819" t="s">
        <v>1924</v>
      </c>
      <c r="JT97" s="3048"/>
      <c r="KG97" s="1822"/>
      <c r="KH97" s="1821"/>
      <c r="KI97" s="1822"/>
      <c r="KJ97" s="1821"/>
      <c r="KK97" s="1822"/>
      <c r="KQ97" s="3076"/>
      <c r="KR97" s="3053"/>
      <c r="KS97" s="3077"/>
      <c r="KT97" s="3053"/>
      <c r="KV97" s="3048"/>
      <c r="KW97" s="3049"/>
    </row>
    <row r="98" spans="10:309" ht="17.100000000000001" customHeight="1" thickBot="1" x14ac:dyDescent="0.35">
      <c r="J98" s="1898" t="str">
        <f t="shared" si="38"/>
        <v/>
      </c>
      <c r="K98" s="3312" t="str">
        <f t="shared" si="39"/>
        <v/>
      </c>
      <c r="L98" s="1779"/>
      <c r="M98" s="1779"/>
      <c r="N98" s="1779"/>
      <c r="O98" s="1779"/>
      <c r="P98" s="1779"/>
      <c r="Q98" s="1779"/>
      <c r="R98" s="1779"/>
      <c r="S98" s="1779"/>
      <c r="T98" s="1779"/>
      <c r="U98" s="1779"/>
      <c r="V98" s="1922"/>
      <c r="W98" s="1779"/>
      <c r="X98" s="1779"/>
      <c r="Y98" s="1779"/>
      <c r="Z98" s="1779"/>
      <c r="AA98" s="1779"/>
      <c r="AB98" s="1779"/>
      <c r="AC98" s="1779"/>
      <c r="AD98" s="1779"/>
      <c r="AE98" s="1779"/>
      <c r="AF98" s="1779"/>
      <c r="AH98" s="3312" t="str">
        <f t="shared" si="40"/>
        <v/>
      </c>
      <c r="AI98" s="1779"/>
      <c r="AJ98" s="1928"/>
      <c r="AK98" s="1779"/>
      <c r="AL98" s="1779"/>
      <c r="AM98" s="1779"/>
      <c r="AN98" s="1779"/>
      <c r="AO98" s="1779"/>
      <c r="AP98" s="1779"/>
      <c r="AQ98" s="1779"/>
      <c r="AR98" s="1779"/>
      <c r="AS98" s="1779"/>
      <c r="AT98" s="3213"/>
      <c r="AU98" s="3385"/>
      <c r="AV98" s="3383"/>
      <c r="AW98" s="3383"/>
      <c r="AX98" s="3383"/>
      <c r="AY98" s="3383"/>
      <c r="AZ98" s="3383"/>
      <c r="BA98" s="3383"/>
      <c r="BB98" s="3383"/>
      <c r="BC98" s="3383"/>
      <c r="BD98" s="3383"/>
      <c r="BE98" s="3311">
        <v>75</v>
      </c>
      <c r="BF98" s="1882" t="str">
        <f t="shared" si="35"/>
        <v/>
      </c>
      <c r="BG98" s="1883">
        <f t="shared" si="36"/>
        <v>0</v>
      </c>
      <c r="BH98" s="1884">
        <f t="shared" si="37"/>
        <v>0</v>
      </c>
      <c r="IC98" s="1796"/>
      <c r="ID98" s="1796"/>
      <c r="IE98" s="1796"/>
      <c r="IF98" s="1796"/>
      <c r="IG98" s="1796"/>
      <c r="IH98" s="1796"/>
      <c r="II98" s="1796"/>
      <c r="IJ98" s="1796"/>
      <c r="IK98" s="1796"/>
      <c r="IL98" s="1796"/>
      <c r="IM98" s="1796"/>
      <c r="IN98" s="1796"/>
      <c r="IO98" s="1796"/>
      <c r="IP98" s="1796"/>
      <c r="IQ98" s="1796"/>
      <c r="IR98" s="1796"/>
      <c r="IS98" s="1796"/>
      <c r="IT98" s="1796"/>
      <c r="IU98" s="1796"/>
      <c r="IV98" s="1796"/>
      <c r="IW98" s="1796"/>
      <c r="IX98" s="1796"/>
      <c r="IY98" s="1796"/>
      <c r="JC98" s="1892"/>
      <c r="JE98" s="1900"/>
      <c r="JF98" s="1850">
        <f t="shared" ca="1" si="41"/>
        <v>0</v>
      </c>
      <c r="JG98" s="1900" t="s">
        <v>345</v>
      </c>
      <c r="JH98" s="1850">
        <v>16</v>
      </c>
      <c r="JI98" s="1901"/>
      <c r="JM98" s="1893"/>
      <c r="JO98" s="2170" t="s">
        <v>1904</v>
      </c>
      <c r="JP98" s="1819" t="s">
        <v>708</v>
      </c>
      <c r="JQ98" s="2170" t="s">
        <v>1389</v>
      </c>
      <c r="JR98" s="1819" t="s">
        <v>1909</v>
      </c>
      <c r="JT98" s="3048"/>
      <c r="KG98" s="1791"/>
      <c r="KH98" s="1821"/>
      <c r="KI98" s="1791"/>
      <c r="KJ98" s="1821"/>
      <c r="KK98" s="1822"/>
      <c r="KQ98" s="3076"/>
      <c r="KR98" s="3053"/>
      <c r="KS98" s="3077"/>
      <c r="KT98" s="3053"/>
    </row>
    <row r="99" spans="10:309" ht="17.100000000000001" customHeight="1" thickBot="1" x14ac:dyDescent="0.35">
      <c r="J99" s="1898" t="str">
        <f t="shared" si="38"/>
        <v/>
      </c>
      <c r="K99" s="3312" t="str">
        <f t="shared" si="39"/>
        <v/>
      </c>
      <c r="L99" s="1779"/>
      <c r="M99" s="1779"/>
      <c r="N99" s="1779"/>
      <c r="O99" s="1779"/>
      <c r="P99" s="1779"/>
      <c r="Q99" s="1779"/>
      <c r="R99" s="1779"/>
      <c r="S99" s="1779"/>
      <c r="T99" s="1779"/>
      <c r="U99" s="1779"/>
      <c r="V99" s="1922"/>
      <c r="W99" s="1779"/>
      <c r="X99" s="1779"/>
      <c r="Y99" s="1779"/>
      <c r="Z99" s="1779"/>
      <c r="AA99" s="1779"/>
      <c r="AB99" s="1779"/>
      <c r="AC99" s="1779"/>
      <c r="AD99" s="1779"/>
      <c r="AE99" s="1779"/>
      <c r="AF99" s="1779"/>
      <c r="AH99" s="3312" t="str">
        <f t="shared" si="40"/>
        <v/>
      </c>
      <c r="AI99" s="1779"/>
      <c r="AJ99" s="1928"/>
      <c r="AK99" s="1779"/>
      <c r="AL99" s="1779"/>
      <c r="AM99" s="1779"/>
      <c r="AN99" s="1779"/>
      <c r="AO99" s="1779"/>
      <c r="AP99" s="1779"/>
      <c r="AQ99" s="1779"/>
      <c r="AR99" s="1779"/>
      <c r="AS99" s="1779"/>
      <c r="AT99" s="3213"/>
      <c r="AU99" s="3385"/>
      <c r="AV99" s="3383"/>
      <c r="AW99" s="3383"/>
      <c r="AX99" s="3383"/>
      <c r="AY99" s="3383"/>
      <c r="AZ99" s="3383"/>
      <c r="BA99" s="3383"/>
      <c r="BB99" s="3383"/>
      <c r="BC99" s="3383"/>
      <c r="BD99" s="3383"/>
      <c r="BE99" s="3311">
        <v>76</v>
      </c>
      <c r="BF99" s="1882" t="str">
        <f t="shared" si="35"/>
        <v/>
      </c>
      <c r="BG99" s="1883">
        <f t="shared" si="36"/>
        <v>0</v>
      </c>
      <c r="BH99" s="1884">
        <f t="shared" si="37"/>
        <v>0</v>
      </c>
      <c r="IC99" s="1796"/>
      <c r="ID99" s="1796"/>
      <c r="IE99" s="1796"/>
      <c r="IF99" s="1796"/>
      <c r="IG99" s="1796"/>
      <c r="IH99" s="1796"/>
      <c r="II99" s="1796"/>
      <c r="IJ99" s="1796"/>
      <c r="IK99" s="1796"/>
      <c r="IL99" s="1796"/>
      <c r="IM99" s="1796"/>
      <c r="IN99" s="1796"/>
      <c r="IO99" s="1796"/>
      <c r="IP99" s="1796"/>
      <c r="IQ99" s="1796"/>
      <c r="IR99" s="1796"/>
      <c r="IS99" s="1796"/>
      <c r="IT99" s="1796"/>
      <c r="IU99" s="1796"/>
      <c r="IV99" s="1796"/>
      <c r="IW99" s="1796"/>
      <c r="IX99" s="1796"/>
      <c r="IY99" s="1796"/>
      <c r="JC99" s="1892"/>
      <c r="JD99" s="1900"/>
      <c r="JF99" s="1850">
        <f t="shared" ca="1" si="41"/>
        <v>0</v>
      </c>
      <c r="JG99" s="1900" t="s">
        <v>354</v>
      </c>
      <c r="JH99" s="1850">
        <v>4</v>
      </c>
      <c r="JI99" s="1901"/>
      <c r="JM99" s="1893"/>
      <c r="JO99" s="2170" t="s">
        <v>1931</v>
      </c>
      <c r="JP99" s="1819" t="s">
        <v>1137</v>
      </c>
      <c r="JQ99" s="2170" t="s">
        <v>1894</v>
      </c>
      <c r="JR99" s="1819" t="s">
        <v>1565</v>
      </c>
      <c r="JT99" s="3048"/>
      <c r="KG99" s="1822"/>
      <c r="KH99" s="1821"/>
      <c r="KI99" s="1822"/>
      <c r="KJ99" s="1821"/>
      <c r="KK99" s="1822"/>
      <c r="KQ99" s="3076"/>
      <c r="KR99" s="3053"/>
      <c r="KS99" s="3077"/>
      <c r="KT99" s="3053"/>
    </row>
    <row r="100" spans="10:309" ht="17.100000000000001" customHeight="1" thickBot="1" x14ac:dyDescent="0.35">
      <c r="J100" s="1898" t="str">
        <f t="shared" si="38"/>
        <v/>
      </c>
      <c r="K100" s="3312" t="str">
        <f t="shared" si="39"/>
        <v/>
      </c>
      <c r="L100" s="1779"/>
      <c r="M100" s="1779"/>
      <c r="N100" s="1779"/>
      <c r="O100" s="1779"/>
      <c r="P100" s="1779"/>
      <c r="Q100" s="1779"/>
      <c r="R100" s="1779"/>
      <c r="S100" s="1779"/>
      <c r="T100" s="1779"/>
      <c r="U100" s="1779"/>
      <c r="V100" s="1922"/>
      <c r="W100" s="1779"/>
      <c r="X100" s="1779"/>
      <c r="Y100" s="1779"/>
      <c r="Z100" s="1779"/>
      <c r="AA100" s="1779"/>
      <c r="AB100" s="1779"/>
      <c r="AC100" s="1779"/>
      <c r="AD100" s="1779"/>
      <c r="AE100" s="1779"/>
      <c r="AF100" s="1779"/>
      <c r="AH100" s="3312" t="str">
        <f t="shared" si="40"/>
        <v/>
      </c>
      <c r="AI100" s="1779"/>
      <c r="AJ100" s="1928"/>
      <c r="AK100" s="1779"/>
      <c r="AL100" s="1779"/>
      <c r="AM100" s="1779"/>
      <c r="AN100" s="1779"/>
      <c r="AO100" s="1779"/>
      <c r="AP100" s="1779"/>
      <c r="AQ100" s="1779"/>
      <c r="AR100" s="1779"/>
      <c r="AS100" s="1779"/>
      <c r="AT100" s="3213"/>
      <c r="AU100" s="3385"/>
      <c r="AV100" s="3383"/>
      <c r="AW100" s="3383"/>
      <c r="AX100" s="3383"/>
      <c r="AY100" s="3383"/>
      <c r="AZ100" s="3383"/>
      <c r="BA100" s="3383"/>
      <c r="BB100" s="3383"/>
      <c r="BC100" s="3383"/>
      <c r="BD100" s="3383"/>
      <c r="BE100" s="3311">
        <v>77</v>
      </c>
      <c r="BF100" s="1882" t="str">
        <f t="shared" si="35"/>
        <v/>
      </c>
      <c r="BG100" s="1883">
        <f t="shared" si="36"/>
        <v>0</v>
      </c>
      <c r="BH100" s="1884">
        <f t="shared" si="37"/>
        <v>0</v>
      </c>
      <c r="IC100" s="1796"/>
      <c r="ID100" s="1796"/>
      <c r="IE100" s="1796"/>
      <c r="IF100" s="1796"/>
      <c r="IG100" s="1796"/>
      <c r="IH100" s="1796"/>
      <c r="II100" s="1796"/>
      <c r="IJ100" s="1796"/>
      <c r="IK100" s="1796"/>
      <c r="IL100" s="1796"/>
      <c r="IM100" s="1796"/>
      <c r="IN100" s="1796"/>
      <c r="IO100" s="1796"/>
      <c r="IP100" s="1796"/>
      <c r="IQ100" s="1796"/>
      <c r="IR100" s="1796"/>
      <c r="IS100" s="1796"/>
      <c r="IT100" s="1796"/>
      <c r="IU100" s="1796"/>
      <c r="IV100" s="1796"/>
      <c r="IW100" s="1796"/>
      <c r="IX100" s="1796"/>
      <c r="IY100" s="1796"/>
      <c r="JC100" s="1892"/>
      <c r="JD100" s="1900"/>
      <c r="JF100" s="1850">
        <f t="shared" ca="1" si="41"/>
        <v>0</v>
      </c>
      <c r="JG100" s="1900" t="s">
        <v>355</v>
      </c>
      <c r="JH100" s="1850">
        <v>7</v>
      </c>
      <c r="JI100" s="1901"/>
      <c r="JM100" s="1893"/>
      <c r="JO100" s="2170" t="s">
        <v>1901</v>
      </c>
      <c r="JP100" s="1819" t="s">
        <v>712</v>
      </c>
      <c r="JQ100" s="2170" t="s">
        <v>1926</v>
      </c>
      <c r="JR100" s="1819" t="s">
        <v>398</v>
      </c>
      <c r="JT100" s="3048"/>
      <c r="KG100" s="1822"/>
      <c r="KH100" s="1821"/>
      <c r="KI100" s="1822"/>
      <c r="KJ100" s="1821"/>
      <c r="KK100" s="1822"/>
      <c r="KQ100" s="3076"/>
      <c r="KR100" s="3053"/>
      <c r="KS100" s="3077"/>
      <c r="KT100" s="3053"/>
      <c r="KV100" s="3048"/>
      <c r="KW100" s="3049"/>
    </row>
    <row r="101" spans="10:309" ht="17.100000000000001" customHeight="1" thickBot="1" x14ac:dyDescent="0.35">
      <c r="J101" s="1898" t="str">
        <f t="shared" si="38"/>
        <v/>
      </c>
      <c r="K101" s="3312" t="str">
        <f t="shared" si="39"/>
        <v/>
      </c>
      <c r="L101" s="1779"/>
      <c r="M101" s="1779"/>
      <c r="N101" s="1779"/>
      <c r="O101" s="1779"/>
      <c r="P101" s="1779"/>
      <c r="Q101" s="1779"/>
      <c r="R101" s="1779"/>
      <c r="S101" s="1779"/>
      <c r="T101" s="1779"/>
      <c r="U101" s="1779"/>
      <c r="V101" s="1922"/>
      <c r="W101" s="1779"/>
      <c r="X101" s="1779"/>
      <c r="Y101" s="1779"/>
      <c r="Z101" s="1779"/>
      <c r="AA101" s="1779"/>
      <c r="AB101" s="1779"/>
      <c r="AC101" s="1779"/>
      <c r="AD101" s="1779"/>
      <c r="AE101" s="1779"/>
      <c r="AF101" s="1779"/>
      <c r="AH101" s="3312" t="str">
        <f t="shared" si="40"/>
        <v/>
      </c>
      <c r="AI101" s="1779"/>
      <c r="AJ101" s="1928"/>
      <c r="AK101" s="1779"/>
      <c r="AL101" s="1779"/>
      <c r="AM101" s="1779"/>
      <c r="AN101" s="1779"/>
      <c r="AO101" s="1779"/>
      <c r="AP101" s="1779"/>
      <c r="AQ101" s="1779"/>
      <c r="AR101" s="1779"/>
      <c r="AS101" s="1779"/>
      <c r="AT101" s="3213"/>
      <c r="AU101" s="3385"/>
      <c r="AV101" s="3383"/>
      <c r="AW101" s="3383"/>
      <c r="AX101" s="3383"/>
      <c r="AY101" s="3383"/>
      <c r="AZ101" s="3383"/>
      <c r="BA101" s="3383"/>
      <c r="BB101" s="3383"/>
      <c r="BC101" s="3383"/>
      <c r="BD101" s="3383"/>
      <c r="BE101" s="3311">
        <v>78</v>
      </c>
      <c r="BF101" s="1882" t="str">
        <f t="shared" si="35"/>
        <v/>
      </c>
      <c r="BG101" s="1883">
        <f t="shared" si="36"/>
        <v>0</v>
      </c>
      <c r="BH101" s="1884">
        <f t="shared" si="37"/>
        <v>0</v>
      </c>
      <c r="EB101" s="5145" t="s">
        <v>287</v>
      </c>
      <c r="EC101" s="5120" t="s">
        <v>288</v>
      </c>
      <c r="ED101" s="5120" t="s">
        <v>173</v>
      </c>
      <c r="EE101" s="5120" t="s">
        <v>285</v>
      </c>
      <c r="EF101" s="5120" t="s">
        <v>286</v>
      </c>
      <c r="EG101" s="5120"/>
      <c r="EH101" s="5120" t="s">
        <v>474</v>
      </c>
      <c r="EI101" s="5120" t="s">
        <v>289</v>
      </c>
      <c r="EJ101" s="5120" t="s">
        <v>290</v>
      </c>
      <c r="EK101" s="5120"/>
      <c r="EN101" s="1822"/>
      <c r="IC101" s="1796"/>
      <c r="ID101" s="1796"/>
      <c r="IE101" s="1796"/>
      <c r="IF101" s="1796"/>
      <c r="IG101" s="1796"/>
      <c r="IH101" s="1796"/>
      <c r="II101" s="1796"/>
      <c r="IJ101" s="1796"/>
      <c r="IK101" s="1796"/>
      <c r="IL101" s="1796"/>
      <c r="IM101" s="1796"/>
      <c r="IN101" s="1796"/>
      <c r="IO101" s="1796"/>
      <c r="IP101" s="1796"/>
      <c r="IQ101" s="1796"/>
      <c r="IR101" s="1796"/>
      <c r="IS101" s="1796"/>
      <c r="IT101" s="1796"/>
      <c r="IU101" s="1796"/>
      <c r="IV101" s="1796"/>
      <c r="IW101" s="1796"/>
      <c r="IX101" s="1796"/>
      <c r="IY101" s="1796"/>
      <c r="JC101" s="1892"/>
      <c r="JD101" s="1900"/>
      <c r="JF101" s="1850">
        <f t="shared" ca="1" si="41"/>
        <v>0</v>
      </c>
      <c r="JG101" s="1900" t="s">
        <v>356</v>
      </c>
      <c r="JH101" s="1850">
        <v>6</v>
      </c>
      <c r="JI101" s="1901"/>
      <c r="JM101" s="1893"/>
      <c r="JO101" s="2170" t="s">
        <v>1891</v>
      </c>
      <c r="JP101" s="1819" t="s">
        <v>713</v>
      </c>
      <c r="JQ101" s="2170" t="s">
        <v>1929</v>
      </c>
      <c r="JR101" s="1819" t="s">
        <v>1930</v>
      </c>
      <c r="KG101" s="1822"/>
      <c r="KH101" s="1821"/>
      <c r="KI101" s="1822"/>
      <c r="KJ101" s="1821"/>
      <c r="KK101" s="1822"/>
      <c r="KQ101" s="3076"/>
      <c r="KR101" s="3053"/>
      <c r="KS101" s="3077"/>
      <c r="KT101" s="3053"/>
      <c r="KV101" s="3048"/>
    </row>
    <row r="102" spans="10:309" ht="17.100000000000001" customHeight="1" thickBot="1" x14ac:dyDescent="0.35">
      <c r="J102" s="1898" t="str">
        <f t="shared" si="38"/>
        <v/>
      </c>
      <c r="K102" s="3312" t="str">
        <f t="shared" si="39"/>
        <v/>
      </c>
      <c r="L102" s="1779"/>
      <c r="M102" s="1779"/>
      <c r="N102" s="1779"/>
      <c r="O102" s="1779"/>
      <c r="P102" s="1779"/>
      <c r="Q102" s="1779"/>
      <c r="R102" s="1779"/>
      <c r="S102" s="1779"/>
      <c r="T102" s="1779"/>
      <c r="U102" s="1779"/>
      <c r="V102" s="1922"/>
      <c r="W102" s="1779"/>
      <c r="X102" s="1779"/>
      <c r="Y102" s="1779"/>
      <c r="Z102" s="1779"/>
      <c r="AA102" s="1779"/>
      <c r="AB102" s="1779"/>
      <c r="AC102" s="1779"/>
      <c r="AD102" s="1779"/>
      <c r="AE102" s="1779"/>
      <c r="AF102" s="1779"/>
      <c r="AH102" s="3312" t="str">
        <f t="shared" si="40"/>
        <v/>
      </c>
      <c r="AI102" s="1779"/>
      <c r="AJ102" s="1928"/>
      <c r="AK102" s="1779"/>
      <c r="AL102" s="1779"/>
      <c r="AM102" s="1779"/>
      <c r="AN102" s="1779"/>
      <c r="AO102" s="1779"/>
      <c r="AP102" s="1779"/>
      <c r="AQ102" s="1779"/>
      <c r="AR102" s="1779"/>
      <c r="AS102" s="1779"/>
      <c r="AT102" s="3213"/>
      <c r="AU102" s="3385"/>
      <c r="AV102" s="3383"/>
      <c r="AW102" s="3383"/>
      <c r="AX102" s="3383"/>
      <c r="AY102" s="3383"/>
      <c r="AZ102" s="3383"/>
      <c r="BA102" s="3383"/>
      <c r="BB102" s="3383"/>
      <c r="BC102" s="3383"/>
      <c r="BD102" s="3383"/>
      <c r="BE102" s="3311">
        <v>79</v>
      </c>
      <c r="BF102" s="1882" t="str">
        <f t="shared" si="35"/>
        <v/>
      </c>
      <c r="BG102" s="1883">
        <f t="shared" si="36"/>
        <v>0</v>
      </c>
      <c r="BH102" s="1884">
        <f t="shared" si="37"/>
        <v>0</v>
      </c>
      <c r="EB102" s="5146"/>
      <c r="EC102" s="5121"/>
      <c r="ED102" s="5121"/>
      <c r="EE102" s="5121"/>
      <c r="EF102" s="5121"/>
      <c r="EG102" s="5121"/>
      <c r="EH102" s="5121"/>
      <c r="EI102" s="5121"/>
      <c r="EJ102" s="5121"/>
      <c r="EK102" s="5121"/>
      <c r="EN102" s="1822" t="s">
        <v>475</v>
      </c>
      <c r="IC102" s="1796"/>
      <c r="ID102" s="1796"/>
      <c r="IE102" s="1796"/>
      <c r="IF102" s="1796"/>
      <c r="IG102" s="1796"/>
      <c r="IH102" s="1796"/>
      <c r="II102" s="1796"/>
      <c r="IJ102" s="1796"/>
      <c r="IK102" s="1796"/>
      <c r="IL102" s="1796"/>
      <c r="IM102" s="1796"/>
      <c r="IN102" s="1796"/>
      <c r="IO102" s="1796"/>
      <c r="IP102" s="1796"/>
      <c r="IQ102" s="1796"/>
      <c r="IR102" s="1796"/>
      <c r="IS102" s="1796"/>
      <c r="IT102" s="1796"/>
      <c r="IU102" s="1796"/>
      <c r="IV102" s="1796"/>
      <c r="IW102" s="1796"/>
      <c r="IX102" s="1796"/>
      <c r="IY102" s="1796"/>
      <c r="JC102" s="1892"/>
      <c r="JD102" s="1900"/>
      <c r="JF102" s="1850">
        <f t="shared" ca="1" si="41"/>
        <v>0</v>
      </c>
      <c r="JG102" s="1900" t="s">
        <v>357</v>
      </c>
      <c r="JH102" s="1850">
        <v>10</v>
      </c>
      <c r="JI102" s="1901"/>
      <c r="JM102" s="1893"/>
      <c r="JO102" s="2170" t="s">
        <v>1896</v>
      </c>
      <c r="JP102" s="1819" t="s">
        <v>1912</v>
      </c>
      <c r="JQ102" s="2170" t="s">
        <v>1383</v>
      </c>
      <c r="JR102" s="1819" t="s">
        <v>704</v>
      </c>
      <c r="KG102" s="1822"/>
      <c r="KH102" s="1821"/>
      <c r="KI102" s="1822"/>
      <c r="KJ102" s="1821"/>
      <c r="KK102" s="1822"/>
      <c r="KQ102" s="3076"/>
      <c r="KR102" s="3053"/>
      <c r="KS102" s="3078"/>
      <c r="KT102" s="3047"/>
    </row>
    <row r="103" spans="10:309" ht="17.100000000000001" customHeight="1" thickBot="1" x14ac:dyDescent="0.35">
      <c r="J103" s="1898" t="str">
        <f t="shared" si="38"/>
        <v/>
      </c>
      <c r="K103" s="3312" t="str">
        <f t="shared" si="39"/>
        <v/>
      </c>
      <c r="L103" s="1779"/>
      <c r="M103" s="1779"/>
      <c r="N103" s="1779"/>
      <c r="O103" s="1779"/>
      <c r="P103" s="1779"/>
      <c r="Q103" s="1779"/>
      <c r="R103" s="1779"/>
      <c r="S103" s="1779"/>
      <c r="T103" s="1779"/>
      <c r="U103" s="1779"/>
      <c r="V103" s="1922"/>
      <c r="W103" s="1779"/>
      <c r="X103" s="1779"/>
      <c r="Y103" s="1779"/>
      <c r="Z103" s="1779"/>
      <c r="AA103" s="1779"/>
      <c r="AB103" s="1779"/>
      <c r="AC103" s="1779"/>
      <c r="AD103" s="1779"/>
      <c r="AE103" s="1779"/>
      <c r="AF103" s="1779"/>
      <c r="AH103" s="3312" t="str">
        <f t="shared" si="40"/>
        <v/>
      </c>
      <c r="AI103" s="1779"/>
      <c r="AJ103" s="1928"/>
      <c r="AK103" s="1779"/>
      <c r="AL103" s="1779"/>
      <c r="AM103" s="1779"/>
      <c r="AN103" s="1779"/>
      <c r="AO103" s="1779"/>
      <c r="AP103" s="1779"/>
      <c r="AQ103" s="1779"/>
      <c r="AR103" s="1779"/>
      <c r="AS103" s="1779"/>
      <c r="AT103" s="3213"/>
      <c r="AU103" s="3385"/>
      <c r="AV103" s="3383"/>
      <c r="AW103" s="3383"/>
      <c r="AX103" s="3383"/>
      <c r="AY103" s="3383"/>
      <c r="AZ103" s="3383"/>
      <c r="BA103" s="3383"/>
      <c r="BB103" s="3383"/>
      <c r="BC103" s="3383"/>
      <c r="BD103" s="3383"/>
      <c r="BE103" s="3311">
        <v>80</v>
      </c>
      <c r="BF103" s="1882" t="str">
        <f t="shared" si="35"/>
        <v/>
      </c>
      <c r="BG103" s="1883">
        <f t="shared" si="36"/>
        <v>0</v>
      </c>
      <c r="BH103" s="1884">
        <f t="shared" si="37"/>
        <v>0</v>
      </c>
      <c r="EB103" s="5146"/>
      <c r="EC103" s="5122"/>
      <c r="ED103" s="5122"/>
      <c r="EE103" s="5122"/>
      <c r="EF103" s="5122"/>
      <c r="EG103" s="5122"/>
      <c r="EH103" s="5122"/>
      <c r="EI103" s="5122"/>
      <c r="EJ103" s="5122"/>
      <c r="EK103" s="5122"/>
      <c r="EN103" s="1873">
        <v>1</v>
      </c>
      <c r="EO103" s="1873">
        <v>2</v>
      </c>
      <c r="EP103" s="1873">
        <v>3</v>
      </c>
      <c r="EQ103" s="1873">
        <v>4</v>
      </c>
      <c r="ER103" s="1873">
        <v>5</v>
      </c>
      <c r="ES103" s="1873">
        <v>6</v>
      </c>
      <c r="ET103" s="1873">
        <v>7</v>
      </c>
      <c r="EU103" s="1873">
        <v>8</v>
      </c>
      <c r="EV103" s="1873">
        <v>9</v>
      </c>
      <c r="IC103" s="1796"/>
      <c r="ID103" s="1796"/>
      <c r="IE103" s="1796"/>
      <c r="IF103" s="1796"/>
      <c r="IG103" s="1796"/>
      <c r="IH103" s="1796"/>
      <c r="II103" s="1796"/>
      <c r="IJ103" s="1796"/>
      <c r="IK103" s="1796"/>
      <c r="IL103" s="1796"/>
      <c r="IM103" s="1796"/>
      <c r="IN103" s="1796"/>
      <c r="IO103" s="1796"/>
      <c r="IP103" s="1796"/>
      <c r="IQ103" s="1796"/>
      <c r="IR103" s="1796"/>
      <c r="IS103" s="1796"/>
      <c r="IT103" s="1796"/>
      <c r="IU103" s="1796"/>
      <c r="IV103" s="1796"/>
      <c r="IW103" s="1796"/>
      <c r="IX103" s="1796"/>
      <c r="IY103" s="1796"/>
      <c r="JC103" s="1892"/>
      <c r="JD103" s="1900"/>
      <c r="JF103" s="1850">
        <f t="shared" ca="1" si="41"/>
        <v>0</v>
      </c>
      <c r="JG103" s="1900" t="s">
        <v>358</v>
      </c>
      <c r="JH103" s="1850">
        <v>6</v>
      </c>
      <c r="JI103" s="1901"/>
      <c r="JM103" s="1893"/>
      <c r="JO103" s="2170" t="s">
        <v>1379</v>
      </c>
      <c r="JP103" s="1819" t="s">
        <v>1928</v>
      </c>
      <c r="JQ103" s="2170" t="s">
        <v>1911</v>
      </c>
      <c r="JR103" s="1819" t="s">
        <v>2429</v>
      </c>
      <c r="KG103" s="1822"/>
      <c r="KH103" s="1821"/>
      <c r="KI103" s="1822"/>
      <c r="KJ103" s="1821"/>
      <c r="KK103" s="1822"/>
      <c r="KQ103" s="3076"/>
      <c r="KR103" s="3053"/>
      <c r="KS103" s="3078"/>
      <c r="KT103" s="3047"/>
      <c r="KV103" s="3048"/>
    </row>
    <row r="104" spans="10:309" ht="17.100000000000001" customHeight="1" thickBot="1" x14ac:dyDescent="0.35">
      <c r="J104" s="1898" t="str">
        <f t="shared" si="38"/>
        <v/>
      </c>
      <c r="K104" s="3312" t="str">
        <f t="shared" si="39"/>
        <v/>
      </c>
      <c r="L104" s="1779"/>
      <c r="M104" s="1779"/>
      <c r="N104" s="1779"/>
      <c r="O104" s="1779"/>
      <c r="P104" s="1779"/>
      <c r="Q104" s="1779"/>
      <c r="R104" s="1779"/>
      <c r="S104" s="1779"/>
      <c r="T104" s="1779"/>
      <c r="U104" s="1779"/>
      <c r="V104" s="1922"/>
      <c r="W104" s="1779"/>
      <c r="X104" s="1779"/>
      <c r="Y104" s="1779"/>
      <c r="Z104" s="1779"/>
      <c r="AA104" s="1779"/>
      <c r="AB104" s="1779"/>
      <c r="AC104" s="1779"/>
      <c r="AD104" s="1779"/>
      <c r="AE104" s="1779"/>
      <c r="AF104" s="1779"/>
      <c r="AH104" s="3312" t="str">
        <f t="shared" si="40"/>
        <v/>
      </c>
      <c r="AI104" s="1779"/>
      <c r="AJ104" s="1928"/>
      <c r="AK104" s="1779"/>
      <c r="AL104" s="1779"/>
      <c r="AM104" s="1779"/>
      <c r="AN104" s="1779"/>
      <c r="AO104" s="1779"/>
      <c r="AP104" s="1779"/>
      <c r="AQ104" s="1779"/>
      <c r="AR104" s="1779"/>
      <c r="AS104" s="1779"/>
      <c r="AT104" s="3213"/>
      <c r="AU104" s="3385"/>
      <c r="AV104" s="3383"/>
      <c r="AW104" s="3383"/>
      <c r="AX104" s="3383"/>
      <c r="AY104" s="3383"/>
      <c r="AZ104" s="3383"/>
      <c r="BA104" s="3383"/>
      <c r="BB104" s="3383"/>
      <c r="BC104" s="3383"/>
      <c r="BD104" s="3383"/>
      <c r="BE104" s="3311">
        <v>81</v>
      </c>
      <c r="BF104" s="1882" t="str">
        <f t="shared" si="35"/>
        <v/>
      </c>
      <c r="BG104" s="1883">
        <f t="shared" si="36"/>
        <v>0</v>
      </c>
      <c r="BH104" s="1884">
        <f t="shared" si="37"/>
        <v>0</v>
      </c>
      <c r="EB104" s="5146"/>
      <c r="EC104" s="1782" t="str">
        <f>ACTIONS!$C$34</f>
        <v>MND1</v>
      </c>
      <c r="ED104" s="1810">
        <f>SUM(EC22:EC52)</f>
        <v>0</v>
      </c>
      <c r="EE104" s="1810">
        <f>EC94</f>
        <v>0</v>
      </c>
      <c r="EF104" s="1810">
        <f>EC95</f>
        <v>0</v>
      </c>
      <c r="EG104" s="1801"/>
      <c r="EH104" s="1801">
        <f>MAX($EC$127:$EC$157)</f>
        <v>0</v>
      </c>
      <c r="EI104" s="1801">
        <f>SUM(EN104:EV104)</f>
        <v>0</v>
      </c>
      <c r="EJ104" s="1801">
        <f>COUNTIF(ACTIONS!$C$3:$C$33,"&gt;="&amp;PROGRESS!Z27)</f>
        <v>0</v>
      </c>
      <c r="EK104" s="1801"/>
      <c r="EM104" s="1796"/>
      <c r="EN104" s="1801" t="str">
        <f>IF(PROGRESS!$W$27=PROGRESS!$CQ$46,COUNTIF($EC$60:$EC$90,PROGRESS!$Z$27*EN$103),"")</f>
        <v/>
      </c>
      <c r="EO104" s="1801" t="str">
        <f>IF(PROGRESS!$W$27=PROGRESS!$CQ$46,COUNTIF($EC$60:$EC$90,PROGRESS!$Z$27*EO$103),"")</f>
        <v/>
      </c>
      <c r="EP104" s="1801" t="str">
        <f>IF(PROGRESS!$W$27=PROGRESS!$CQ$46,COUNTIF($EC$60:$EC$90,PROGRESS!$Z$27*EP$103),"")</f>
        <v/>
      </c>
      <c r="EQ104" s="1801" t="str">
        <f>IF(PROGRESS!$W$27=PROGRESS!$CQ$46,COUNTIF($EC$60:$EC$90,PROGRESS!$Z$27*EQ$103),"")</f>
        <v/>
      </c>
      <c r="ER104" s="1801" t="str">
        <f>IF(PROGRESS!$W$27=PROGRESS!$CQ$46,COUNTIF($EC$60:$EC$90,PROGRESS!$Z$27*ER$103),"")</f>
        <v/>
      </c>
      <c r="ES104" s="1801" t="str">
        <f>IF(PROGRESS!$W$27=PROGRESS!$CQ$46,COUNTIF($EC$60:$EC$90,PROGRESS!$Z$27*ES$103),"")</f>
        <v/>
      </c>
      <c r="ET104" s="1801" t="str">
        <f>IF(PROGRESS!$W$27=PROGRESS!$CQ$46,COUNTIF($EC$60:$EC$90,PROGRESS!$Z$27*ET$103),"")</f>
        <v/>
      </c>
      <c r="EU104" s="1801" t="str">
        <f>IF(PROGRESS!$W$27=PROGRESS!$CQ$46,COUNTIF($EC$60:$EC$90,PROGRESS!$Z$27*EU$103),"")</f>
        <v/>
      </c>
      <c r="EV104" s="1801" t="str">
        <f>IF(PROGRESS!$W$27=PROGRESS!$CQ$46,COUNTIF($EC$60:$EC$90,PROGRESS!$Z$27*EV$103),"")</f>
        <v/>
      </c>
      <c r="IC104" s="1796"/>
      <c r="ID104" s="1796"/>
      <c r="IE104" s="1796"/>
      <c r="IF104" s="1796"/>
      <c r="IG104" s="1796"/>
      <c r="IH104" s="1796"/>
      <c r="II104" s="1796"/>
      <c r="IJ104" s="1796"/>
      <c r="IK104" s="1796"/>
      <c r="IL104" s="1796"/>
      <c r="IM104" s="1796"/>
      <c r="IN104" s="1796"/>
      <c r="IO104" s="1796"/>
      <c r="IP104" s="1796"/>
      <c r="IQ104" s="1796"/>
      <c r="IR104" s="1796"/>
      <c r="IS104" s="1796"/>
      <c r="IT104" s="1796"/>
      <c r="IU104" s="1796"/>
      <c r="IV104" s="1796"/>
      <c r="IW104" s="1796"/>
      <c r="IX104" s="1796"/>
      <c r="IY104" s="1796"/>
      <c r="JC104" s="1892"/>
      <c r="JD104" s="1900"/>
      <c r="JF104" s="1850">
        <f t="shared" ca="1" si="41"/>
        <v>0</v>
      </c>
      <c r="JG104" s="1900" t="s">
        <v>359</v>
      </c>
      <c r="JH104" s="1850">
        <v>5</v>
      </c>
      <c r="JI104" s="1901"/>
      <c r="JM104" s="1893"/>
      <c r="JO104" s="3054" t="s">
        <v>1910</v>
      </c>
      <c r="JP104" s="1819" t="s">
        <v>697</v>
      </c>
      <c r="JQ104" s="2169" t="s">
        <v>1919</v>
      </c>
      <c r="JR104" s="2012" t="s">
        <v>400</v>
      </c>
      <c r="KG104" s="1822"/>
      <c r="KH104" s="1821"/>
      <c r="KI104" s="1822"/>
      <c r="KJ104" s="1821"/>
      <c r="KK104" s="1822"/>
      <c r="KQ104" s="3076"/>
      <c r="KR104" s="3053"/>
      <c r="KS104" s="3078"/>
      <c r="KT104" s="3047"/>
      <c r="KV104" s="3048"/>
    </row>
    <row r="105" spans="10:309" ht="17.100000000000001" customHeight="1" thickBot="1" x14ac:dyDescent="0.35">
      <c r="J105" s="1898" t="str">
        <f t="shared" si="38"/>
        <v/>
      </c>
      <c r="K105" s="3312" t="str">
        <f t="shared" si="39"/>
        <v/>
      </c>
      <c r="L105" s="1779"/>
      <c r="M105" s="1779"/>
      <c r="N105" s="1779"/>
      <c r="O105" s="1779"/>
      <c r="P105" s="1779"/>
      <c r="Q105" s="1779"/>
      <c r="R105" s="1779"/>
      <c r="S105" s="1779"/>
      <c r="T105" s="1779"/>
      <c r="U105" s="1779"/>
      <c r="V105" s="1922"/>
      <c r="W105" s="1779"/>
      <c r="X105" s="1779"/>
      <c r="Y105" s="1779"/>
      <c r="Z105" s="1779"/>
      <c r="AA105" s="1779"/>
      <c r="AB105" s="1779"/>
      <c r="AC105" s="1779"/>
      <c r="AD105" s="1779"/>
      <c r="AE105" s="1779"/>
      <c r="AF105" s="1779"/>
      <c r="AH105" s="3312" t="str">
        <f t="shared" si="40"/>
        <v/>
      </c>
      <c r="AI105" s="1779"/>
      <c r="AJ105" s="1928"/>
      <c r="AK105" s="1779"/>
      <c r="AL105" s="1779"/>
      <c r="AM105" s="1779"/>
      <c r="AN105" s="1779"/>
      <c r="AO105" s="1779"/>
      <c r="AP105" s="1779"/>
      <c r="AQ105" s="1779"/>
      <c r="AR105" s="1779"/>
      <c r="AS105" s="1779"/>
      <c r="AT105" s="3213"/>
      <c r="AU105" s="3385"/>
      <c r="AV105" s="3383"/>
      <c r="AW105" s="3383"/>
      <c r="AX105" s="3383"/>
      <c r="AY105" s="3383"/>
      <c r="AZ105" s="3383"/>
      <c r="BA105" s="3383"/>
      <c r="BB105" s="3383"/>
      <c r="BC105" s="3383"/>
      <c r="BD105" s="3383"/>
      <c r="BE105" s="3311">
        <v>82</v>
      </c>
      <c r="BF105" s="1882" t="str">
        <f t="shared" si="35"/>
        <v/>
      </c>
      <c r="BG105" s="1883">
        <f t="shared" si="36"/>
        <v>0</v>
      </c>
      <c r="BH105" s="1884">
        <f t="shared" si="37"/>
        <v>0</v>
      </c>
      <c r="EB105" s="5146"/>
      <c r="EC105" s="1782" t="str">
        <f>ACTIONS!$D$34</f>
        <v>MND2</v>
      </c>
      <c r="ED105" s="1810">
        <f>SUM(ED22:ED52)</f>
        <v>0</v>
      </c>
      <c r="EE105" s="1810">
        <f>ED94</f>
        <v>0</v>
      </c>
      <c r="EF105" s="1810">
        <f>ED95</f>
        <v>0</v>
      </c>
      <c r="EG105" s="1801"/>
      <c r="EH105" s="1801">
        <f>MAX($ED$127:$ED$157)</f>
        <v>0</v>
      </c>
      <c r="EI105" s="1801">
        <f t="shared" ref="EI105:EI122" si="46">SUM(EN105:EV105)</f>
        <v>0</v>
      </c>
      <c r="EJ105" s="1801">
        <f>COUNTIF(ACTIONS!$D$3:$D$33,"&gt;="&amp;PROGRESS!Z28)</f>
        <v>0</v>
      </c>
      <c r="EK105" s="1801"/>
      <c r="EM105" s="1796"/>
      <c r="EN105" s="1801" t="str">
        <f>IF(PROGRESS!$W$28=PROGRESS!$CQ$46,COUNTIF($ED$60:$ED$90,PROGRESS!$Z$28*EN$103),"")</f>
        <v/>
      </c>
      <c r="EO105" s="1801" t="str">
        <f>IF(PROGRESS!$W$28=PROGRESS!$CQ$46,COUNTIF($ED$60:$ED$90,PROGRESS!$Z$28*EO$103),"")</f>
        <v/>
      </c>
      <c r="EP105" s="1801" t="str">
        <f>IF(PROGRESS!$W$28=PROGRESS!$CQ$46,COUNTIF($ED$60:$ED$90,PROGRESS!$Z$28*EP$103),"")</f>
        <v/>
      </c>
      <c r="EQ105" s="1801" t="str">
        <f>IF(PROGRESS!$W$28=PROGRESS!$CQ$46,COUNTIF($ED$60:$ED$90,PROGRESS!$Z$28*EQ$103),"")</f>
        <v/>
      </c>
      <c r="ER105" s="1801" t="str">
        <f>IF(PROGRESS!$W$28=PROGRESS!$CQ$46,COUNTIF($ED$60:$ED$90,PROGRESS!$Z$28*ER$103),"")</f>
        <v/>
      </c>
      <c r="ES105" s="1801" t="str">
        <f>IF(PROGRESS!$W$28=PROGRESS!$CQ$46,COUNTIF($ED$60:$ED$90,PROGRESS!$Z$28*ES$103),"")</f>
        <v/>
      </c>
      <c r="ET105" s="1801" t="str">
        <f>IF(PROGRESS!$W$28=PROGRESS!$CQ$46,COUNTIF($ED$60:$ED$90,PROGRESS!$Z$28*ET$103),"")</f>
        <v/>
      </c>
      <c r="EU105" s="1801" t="str">
        <f>IF(PROGRESS!$W$28=PROGRESS!$CQ$46,COUNTIF($ED$60:$ED$90,PROGRESS!$Z$28*EU$103),"")</f>
        <v/>
      </c>
      <c r="EV105" s="1801" t="str">
        <f>IF(PROGRESS!$W$28=PROGRESS!$CQ$46,COUNTIF($ED$60:$ED$90,PROGRESS!$Z$28*EV$103),"")</f>
        <v/>
      </c>
      <c r="IC105" s="1796"/>
      <c r="ID105" s="1796"/>
      <c r="IE105" s="1796"/>
      <c r="IF105" s="1796"/>
      <c r="IG105" s="1796"/>
      <c r="IH105" s="1796"/>
      <c r="II105" s="1796"/>
      <c r="IJ105" s="1796"/>
      <c r="IK105" s="1796"/>
      <c r="IL105" s="1796"/>
      <c r="IM105" s="1796"/>
      <c r="IN105" s="1796"/>
      <c r="IO105" s="1796"/>
      <c r="IP105" s="1796"/>
      <c r="IQ105" s="1796"/>
      <c r="IR105" s="1796"/>
      <c r="IS105" s="1796"/>
      <c r="IT105" s="1796"/>
      <c r="IU105" s="1796"/>
      <c r="IV105" s="1796"/>
      <c r="IW105" s="1796"/>
      <c r="IX105" s="1796"/>
      <c r="IY105" s="1796"/>
      <c r="JC105" s="1892"/>
      <c r="JD105" s="1900"/>
      <c r="JF105" s="1850">
        <f t="shared" ca="1" si="41"/>
        <v>0</v>
      </c>
      <c r="JG105" s="1900" t="s">
        <v>360</v>
      </c>
      <c r="JH105" s="1850">
        <v>2</v>
      </c>
      <c r="JI105" s="1901"/>
      <c r="JM105" s="1893"/>
      <c r="JO105" s="3054" t="s">
        <v>1899</v>
      </c>
      <c r="JP105" s="1819" t="s">
        <v>709</v>
      </c>
      <c r="JQ105" s="2169" t="s">
        <v>1900</v>
      </c>
      <c r="JR105" s="2012" t="s">
        <v>395</v>
      </c>
      <c r="KG105" s="1822"/>
      <c r="KH105" s="1821"/>
      <c r="KI105" s="1822"/>
      <c r="KJ105" s="1821"/>
      <c r="KK105" s="1822"/>
      <c r="KQ105" s="3076"/>
      <c r="KR105" s="3053"/>
      <c r="KS105" s="3078"/>
      <c r="KT105" s="3047"/>
      <c r="KV105" s="3048"/>
    </row>
    <row r="106" spans="10:309" ht="17.100000000000001" customHeight="1" thickBot="1" x14ac:dyDescent="0.35">
      <c r="J106" s="1898" t="str">
        <f t="shared" si="38"/>
        <v/>
      </c>
      <c r="K106" s="3312" t="str">
        <f t="shared" si="39"/>
        <v/>
      </c>
      <c r="L106" s="1779"/>
      <c r="M106" s="1779"/>
      <c r="N106" s="1779"/>
      <c r="O106" s="1779"/>
      <c r="P106" s="1779"/>
      <c r="Q106" s="1779"/>
      <c r="R106" s="1779"/>
      <c r="S106" s="1779"/>
      <c r="T106" s="1779"/>
      <c r="U106" s="1779"/>
      <c r="V106" s="1922"/>
      <c r="W106" s="1779"/>
      <c r="X106" s="1779"/>
      <c r="Y106" s="1779"/>
      <c r="Z106" s="1779"/>
      <c r="AA106" s="1779"/>
      <c r="AB106" s="1779"/>
      <c r="AC106" s="1779"/>
      <c r="AD106" s="1779"/>
      <c r="AE106" s="1779"/>
      <c r="AF106" s="1779"/>
      <c r="AH106" s="3312" t="str">
        <f t="shared" si="40"/>
        <v/>
      </c>
      <c r="AI106" s="1779"/>
      <c r="AJ106" s="1928"/>
      <c r="AK106" s="1779"/>
      <c r="AL106" s="1779"/>
      <c r="AM106" s="1779"/>
      <c r="AN106" s="1779"/>
      <c r="AO106" s="1779"/>
      <c r="AP106" s="1779"/>
      <c r="AQ106" s="1779"/>
      <c r="AR106" s="1779"/>
      <c r="AS106" s="1779"/>
      <c r="AT106" s="3213"/>
      <c r="AU106" s="1928"/>
      <c r="AV106" s="1779"/>
      <c r="AW106" s="1779"/>
      <c r="AX106" s="1779"/>
      <c r="AY106" s="1779"/>
      <c r="AZ106" s="1779"/>
      <c r="BA106" s="1779"/>
      <c r="BB106" s="1779"/>
      <c r="BC106" s="1779"/>
      <c r="BD106" s="1779"/>
      <c r="BE106" s="3311">
        <v>83</v>
      </c>
      <c r="BF106" s="1882" t="str">
        <f t="shared" si="35"/>
        <v/>
      </c>
      <c r="BG106" s="1883">
        <f t="shared" si="36"/>
        <v>0</v>
      </c>
      <c r="BH106" s="1884">
        <f t="shared" si="37"/>
        <v>0</v>
      </c>
      <c r="EB106" s="5146"/>
      <c r="EC106" s="1782" t="str">
        <f>ACTIONS!$E$34</f>
        <v>MND3</v>
      </c>
      <c r="ED106" s="1810">
        <f>SUM(EE22:EE52)</f>
        <v>0</v>
      </c>
      <c r="EE106" s="1810">
        <f>EE94</f>
        <v>0</v>
      </c>
      <c r="EF106" s="1810">
        <f>EE95</f>
        <v>0</v>
      </c>
      <c r="EG106" s="1801"/>
      <c r="EH106" s="1801">
        <f>MAX($EE$127:$EE$157)</f>
        <v>0</v>
      </c>
      <c r="EI106" s="1801">
        <f t="shared" si="46"/>
        <v>0</v>
      </c>
      <c r="EJ106" s="1801">
        <f>COUNTIF(ACTIONS!$E3:$E$33,"&gt;="&amp;PROGRESS!Z29)</f>
        <v>0</v>
      </c>
      <c r="EK106" s="1801"/>
      <c r="EM106" s="1796"/>
      <c r="EN106" s="1801" t="str">
        <f>IF(PROGRESS!$W$29=PROGRESS!$CQ$46,COUNTIF($EE$60:$EE$90,PROGRESS!$Z$29*EN$103),"")</f>
        <v/>
      </c>
      <c r="EO106" s="1801" t="str">
        <f>IF(PROGRESS!$W$29=PROGRESS!$CQ$46,COUNTIF($EE$60:$EE$90,PROGRESS!$Z$29*EO$103),"")</f>
        <v/>
      </c>
      <c r="EP106" s="1801" t="str">
        <f>IF(PROGRESS!$W$29=PROGRESS!$CQ$46,COUNTIF($EE$60:$EE$90,PROGRESS!$Z$29*EP$103),"")</f>
        <v/>
      </c>
      <c r="EQ106" s="1801" t="str">
        <f>IF(PROGRESS!$W$29=PROGRESS!$CQ$46,COUNTIF($EE$60:$EE$90,PROGRESS!$Z$29*EQ$103),"")</f>
        <v/>
      </c>
      <c r="ER106" s="1801" t="str">
        <f>IF(PROGRESS!$W$29=PROGRESS!$CQ$46,COUNTIF($EE$60:$EE$90,PROGRESS!$Z$29*ER$103),"")</f>
        <v/>
      </c>
      <c r="ES106" s="1801" t="str">
        <f>IF(PROGRESS!$W$29=PROGRESS!$CQ$46,COUNTIF($EE$60:$EE$90,PROGRESS!$Z$29*ES$103),"")</f>
        <v/>
      </c>
      <c r="ET106" s="1801" t="str">
        <f>IF(PROGRESS!$W$29=PROGRESS!$CQ$46,COUNTIF($EE$60:$EE$90,PROGRESS!$Z$29*ET$103),"")</f>
        <v/>
      </c>
      <c r="EU106" s="1801" t="str">
        <f>IF(PROGRESS!$W$29=PROGRESS!$CQ$46,COUNTIF($EE$60:$EE$90,PROGRESS!$Z$29*EU$103),"")</f>
        <v/>
      </c>
      <c r="EV106" s="1801" t="str">
        <f>IF(PROGRESS!$W$29=PROGRESS!$CQ$46,COUNTIF($EE$60:$EE$90,PROGRESS!$Z$29*EV$103),"")</f>
        <v/>
      </c>
      <c r="IC106" s="1796"/>
      <c r="ID106" s="1796"/>
      <c r="IE106" s="1796"/>
      <c r="IF106" s="1796"/>
      <c r="IG106" s="1796"/>
      <c r="IH106" s="1796"/>
      <c r="II106" s="1796"/>
      <c r="IJ106" s="1796"/>
      <c r="IK106" s="1796"/>
      <c r="IL106" s="1796"/>
      <c r="IM106" s="1796"/>
      <c r="IN106" s="1796"/>
      <c r="IO106" s="1796"/>
      <c r="IP106" s="1796"/>
      <c r="IQ106" s="1796"/>
      <c r="IR106" s="1796"/>
      <c r="IS106" s="1796"/>
      <c r="IT106" s="1796"/>
      <c r="IU106" s="1796"/>
      <c r="IV106" s="1796"/>
      <c r="IW106" s="1796"/>
      <c r="IX106" s="1796"/>
      <c r="IY106" s="1796"/>
      <c r="JC106" s="1892"/>
      <c r="JD106" s="1900"/>
      <c r="JF106" s="1850">
        <f t="shared" ca="1" si="41"/>
        <v>0</v>
      </c>
      <c r="JG106" s="1900" t="s">
        <v>361</v>
      </c>
      <c r="JH106" s="1850">
        <v>8</v>
      </c>
      <c r="JI106" s="1901"/>
      <c r="JM106" s="1893"/>
      <c r="JO106" s="2170" t="s">
        <v>1918</v>
      </c>
      <c r="JP106" s="1819" t="s">
        <v>884</v>
      </c>
      <c r="JQ106" s="3069" t="s">
        <v>1925</v>
      </c>
      <c r="JR106" s="3070" t="s">
        <v>715</v>
      </c>
      <c r="KG106" s="1822"/>
      <c r="KH106" s="1821"/>
      <c r="KI106" s="1822"/>
      <c r="KJ106" s="1821"/>
      <c r="KK106" s="1822"/>
      <c r="KQ106" s="3076"/>
      <c r="KR106" s="3053"/>
      <c r="KS106" s="3078"/>
      <c r="KT106" s="3047"/>
    </row>
    <row r="107" spans="10:309" ht="17.100000000000001" customHeight="1" thickBot="1" x14ac:dyDescent="0.35">
      <c r="J107" s="1898" t="str">
        <f t="shared" si="38"/>
        <v/>
      </c>
      <c r="K107" s="3312" t="str">
        <f t="shared" si="39"/>
        <v/>
      </c>
      <c r="L107" s="1779"/>
      <c r="M107" s="1779"/>
      <c r="N107" s="1779"/>
      <c r="O107" s="1779"/>
      <c r="P107" s="1779"/>
      <c r="Q107" s="1779"/>
      <c r="R107" s="1779"/>
      <c r="S107" s="1779"/>
      <c r="T107" s="1779"/>
      <c r="U107" s="1779"/>
      <c r="V107" s="1922"/>
      <c r="W107" s="1779"/>
      <c r="X107" s="1779"/>
      <c r="Y107" s="1779"/>
      <c r="Z107" s="1779"/>
      <c r="AA107" s="1779"/>
      <c r="AB107" s="1779"/>
      <c r="AC107" s="1779"/>
      <c r="AD107" s="1779"/>
      <c r="AE107" s="1779"/>
      <c r="AF107" s="1779"/>
      <c r="AH107" s="3312" t="str">
        <f t="shared" si="40"/>
        <v/>
      </c>
      <c r="AI107" s="1779"/>
      <c r="AJ107" s="1928"/>
      <c r="AK107" s="1779"/>
      <c r="AL107" s="1779"/>
      <c r="AM107" s="1779"/>
      <c r="AN107" s="1779"/>
      <c r="AO107" s="1779"/>
      <c r="AP107" s="1779"/>
      <c r="AQ107" s="1779"/>
      <c r="AR107" s="1779"/>
      <c r="AS107" s="1779"/>
      <c r="AT107" s="3213"/>
      <c r="AU107" s="1928"/>
      <c r="AV107" s="1779"/>
      <c r="AW107" s="1779"/>
      <c r="AX107" s="1779"/>
      <c r="AY107" s="1779"/>
      <c r="AZ107" s="1779"/>
      <c r="BA107" s="1779"/>
      <c r="BB107" s="1779"/>
      <c r="BC107" s="1779"/>
      <c r="BD107" s="1779"/>
      <c r="BE107" s="3311">
        <v>84</v>
      </c>
      <c r="BF107" s="1882" t="str">
        <f t="shared" si="35"/>
        <v/>
      </c>
      <c r="BG107" s="1883">
        <f t="shared" si="36"/>
        <v>0</v>
      </c>
      <c r="BH107" s="1884">
        <f t="shared" si="37"/>
        <v>0</v>
      </c>
      <c r="EB107" s="5146"/>
      <c r="EC107" s="1782" t="str">
        <f>ACTIONS!$F$34</f>
        <v>MND4</v>
      </c>
      <c r="ED107" s="1810">
        <f>SUM(EF22:EF52)</f>
        <v>0</v>
      </c>
      <c r="EE107" s="1810">
        <f>EF94</f>
        <v>0</v>
      </c>
      <c r="EF107" s="1810">
        <f>EF95</f>
        <v>0</v>
      </c>
      <c r="EG107" s="1801"/>
      <c r="EH107" s="1801">
        <f>MAX($EF$127:$EF$157)</f>
        <v>0</v>
      </c>
      <c r="EI107" s="1801">
        <f t="shared" si="46"/>
        <v>0</v>
      </c>
      <c r="EJ107" s="1801">
        <f>COUNTIF(ACTIONS!$F$3:$F$33,"&gt;="&amp;PROGRESS!Z30)</f>
        <v>0</v>
      </c>
      <c r="EK107" s="1801"/>
      <c r="EM107" s="1796"/>
      <c r="EN107" s="1801" t="str">
        <f>IF(PROGRESS!$W$30=PROGRESS!$CQ$46,COUNTIF($EF$60:$EF$90,PROGRESS!$Z$30*EN$103),"")</f>
        <v/>
      </c>
      <c r="EO107" s="1801" t="str">
        <f>IF(PROGRESS!$W$30=PROGRESS!$CQ$46,COUNTIF($EF$60:$EF$90,PROGRESS!$Z$30*EO$103),"")</f>
        <v/>
      </c>
      <c r="EP107" s="1801" t="str">
        <f>IF(PROGRESS!$W$30=PROGRESS!$CQ$46,COUNTIF($EF$60:$EF$90,PROGRESS!$Z$30*EP$103),"")</f>
        <v/>
      </c>
      <c r="EQ107" s="1801" t="str">
        <f>IF(PROGRESS!$W$30=PROGRESS!$CQ$46,COUNTIF($EF$60:$EF$90,PROGRESS!$Z$30*EQ$103),"")</f>
        <v/>
      </c>
      <c r="ER107" s="1801" t="str">
        <f>IF(PROGRESS!$W$30=PROGRESS!$CQ$46,COUNTIF($EF$60:$EF$90,PROGRESS!$Z$30*ER$103),"")</f>
        <v/>
      </c>
      <c r="ES107" s="1801" t="str">
        <f>IF(PROGRESS!$W$30=PROGRESS!$CQ$46,COUNTIF($EF$60:$EF$90,PROGRESS!$Z$30*ES$103),"")</f>
        <v/>
      </c>
      <c r="ET107" s="1801" t="str">
        <f>IF(PROGRESS!$W$30=PROGRESS!$CQ$46,COUNTIF($EF$60:$EF$90,PROGRESS!$Z$30*ET$103),"")</f>
        <v/>
      </c>
      <c r="EU107" s="1801" t="str">
        <f>IF(PROGRESS!$W$30=PROGRESS!$CQ$46,COUNTIF($EF$60:$EF$90,PROGRESS!$Z$30*EU$103),"")</f>
        <v/>
      </c>
      <c r="EV107" s="1801" t="str">
        <f>IF(PROGRESS!$W$30=PROGRESS!$CQ$46,COUNTIF($EF$60:$EF$90,PROGRESS!$Z$30*EV$103),"")</f>
        <v/>
      </c>
      <c r="IC107" s="1796"/>
      <c r="ID107" s="1796"/>
      <c r="IE107" s="1796"/>
      <c r="IF107" s="1796"/>
      <c r="IG107" s="1796"/>
      <c r="IH107" s="1796"/>
      <c r="II107" s="1796"/>
      <c r="IJ107" s="1796"/>
      <c r="IK107" s="1796"/>
      <c r="IL107" s="1796"/>
      <c r="IM107" s="1796"/>
      <c r="IN107" s="1796"/>
      <c r="IO107" s="1796"/>
      <c r="IP107" s="1796"/>
      <c r="IQ107" s="1796"/>
      <c r="IR107" s="1796"/>
      <c r="IS107" s="1796"/>
      <c r="IT107" s="1796"/>
      <c r="IU107" s="1796"/>
      <c r="IV107" s="1796"/>
      <c r="IW107" s="1796"/>
      <c r="IX107" s="1796"/>
      <c r="IY107" s="1796"/>
      <c r="JC107" s="1892"/>
      <c r="JE107" s="1900"/>
      <c r="JF107" s="1850">
        <f t="shared" ca="1" si="41"/>
        <v>0</v>
      </c>
      <c r="JG107" s="1900" t="s">
        <v>346</v>
      </c>
      <c r="JH107" s="1850">
        <v>17</v>
      </c>
      <c r="JI107" s="1901"/>
      <c r="JM107" s="1893"/>
      <c r="JO107" s="2170" t="s">
        <v>1932</v>
      </c>
      <c r="JP107" s="1819" t="s">
        <v>1933</v>
      </c>
      <c r="JQ107" s="3069" t="s">
        <v>1923</v>
      </c>
      <c r="JR107" s="3070" t="s">
        <v>716</v>
      </c>
      <c r="KG107" s="1822"/>
      <c r="KH107" s="1821"/>
      <c r="KI107" s="1822"/>
      <c r="KJ107" s="1821"/>
      <c r="KK107" s="1822"/>
      <c r="KQ107" s="3076"/>
      <c r="KR107" s="3053"/>
      <c r="KS107" s="3078"/>
      <c r="KT107" s="3047"/>
      <c r="KV107" s="3048"/>
    </row>
    <row r="108" spans="10:309" ht="17.100000000000001" customHeight="1" thickBot="1" x14ac:dyDescent="0.35">
      <c r="J108" s="1898" t="str">
        <f t="shared" si="38"/>
        <v/>
      </c>
      <c r="K108" s="3312" t="str">
        <f t="shared" si="39"/>
        <v/>
      </c>
      <c r="L108" s="1779"/>
      <c r="M108" s="1779"/>
      <c r="N108" s="1779"/>
      <c r="O108" s="1779"/>
      <c r="P108" s="1779"/>
      <c r="Q108" s="1779"/>
      <c r="R108" s="1779"/>
      <c r="S108" s="1779"/>
      <c r="T108" s="1779"/>
      <c r="U108" s="1779"/>
      <c r="V108" s="1922"/>
      <c r="W108" s="1779"/>
      <c r="X108" s="1779"/>
      <c r="Y108" s="1779"/>
      <c r="Z108" s="1779"/>
      <c r="AA108" s="1779"/>
      <c r="AB108" s="1779"/>
      <c r="AC108" s="1779"/>
      <c r="AD108" s="1779"/>
      <c r="AE108" s="1779"/>
      <c r="AF108" s="1779"/>
      <c r="AH108" s="3312" t="str">
        <f t="shared" si="40"/>
        <v/>
      </c>
      <c r="AI108" s="1779"/>
      <c r="AJ108" s="1928"/>
      <c r="AK108" s="1779"/>
      <c r="AL108" s="1779"/>
      <c r="AM108" s="1779"/>
      <c r="AN108" s="1779"/>
      <c r="AO108" s="1779"/>
      <c r="AP108" s="1779"/>
      <c r="AQ108" s="1779"/>
      <c r="AR108" s="1779"/>
      <c r="AS108" s="1779"/>
      <c r="AT108" s="3213"/>
      <c r="AU108" s="1928"/>
      <c r="AV108" s="1779"/>
      <c r="AW108" s="1779"/>
      <c r="AX108" s="1779"/>
      <c r="AY108" s="1779"/>
      <c r="AZ108" s="1779"/>
      <c r="BA108" s="1779"/>
      <c r="BB108" s="1779"/>
      <c r="BC108" s="1779"/>
      <c r="BD108" s="1779"/>
      <c r="BE108" s="3311">
        <v>85</v>
      </c>
      <c r="BF108" s="1882" t="str">
        <f t="shared" si="35"/>
        <v/>
      </c>
      <c r="BG108" s="1883">
        <f t="shared" si="36"/>
        <v>0</v>
      </c>
      <c r="BH108" s="1884">
        <f t="shared" si="37"/>
        <v>0</v>
      </c>
      <c r="EB108" s="5146"/>
      <c r="EC108" s="1782" t="str">
        <f>ACTIONS!$G$34</f>
        <v>MND5</v>
      </c>
      <c r="ED108" s="1810">
        <f>SUM(EG22:EG52)</f>
        <v>0</v>
      </c>
      <c r="EE108" s="1810">
        <f>EG94</f>
        <v>0</v>
      </c>
      <c r="EF108" s="1810">
        <f>EG95</f>
        <v>0</v>
      </c>
      <c r="EG108" s="1801"/>
      <c r="EH108" s="1801">
        <f>MAX($EG$127:$EG$157)</f>
        <v>0</v>
      </c>
      <c r="EI108" s="1801">
        <f t="shared" si="46"/>
        <v>0</v>
      </c>
      <c r="EJ108" s="1801">
        <f>COUNTIF(ACTIONS!$G$3:$G$33,"&gt;="&amp;PROGRESS!Z31)</f>
        <v>0</v>
      </c>
      <c r="EK108" s="1801"/>
      <c r="EM108" s="1796"/>
      <c r="EN108" s="1801" t="str">
        <f>IF(PROGRESS!$W$31=PROGRESS!$CQ$46,COUNTIF($EG$60:$EG$90,PROGRESS!$Z$31*EN$103),"")</f>
        <v/>
      </c>
      <c r="EO108" s="1801" t="str">
        <f>IF(PROGRESS!$W$31=PROGRESS!$CQ$46,COUNTIF($EG$60:$EG$90,PROGRESS!$Z$31*EO$103),"")</f>
        <v/>
      </c>
      <c r="EP108" s="1801" t="str">
        <f>IF(PROGRESS!$W$31=PROGRESS!$CQ$46,COUNTIF($EG$60:$EG$90,PROGRESS!$Z$31*EP$103),"")</f>
        <v/>
      </c>
      <c r="EQ108" s="1801" t="str">
        <f>IF(PROGRESS!$W$31=PROGRESS!$CQ$46,COUNTIF($EG$60:$EG$90,PROGRESS!$Z$31*EQ$103),"")</f>
        <v/>
      </c>
      <c r="ER108" s="1801" t="str">
        <f>IF(PROGRESS!$W$31=PROGRESS!$CQ$46,COUNTIF($EG$60:$EG$90,PROGRESS!$Z$31*ER$103),"")</f>
        <v/>
      </c>
      <c r="ES108" s="1801" t="str">
        <f>IF(PROGRESS!$W$31=PROGRESS!$CQ$46,COUNTIF($EG$60:$EG$90,PROGRESS!$Z$31*ES$103),"")</f>
        <v/>
      </c>
      <c r="ET108" s="1801" t="str">
        <f>IF(PROGRESS!$W$31=PROGRESS!$CQ$46,COUNTIF($EG$60:$EG$90,PROGRESS!$Z$31*ET$103),"")</f>
        <v/>
      </c>
      <c r="EU108" s="1801" t="str">
        <f>IF(PROGRESS!$W$31=PROGRESS!$CQ$46,COUNTIF($EG$60:$EG$90,PROGRESS!$Z$31*EU$103),"")</f>
        <v/>
      </c>
      <c r="EV108" s="1801" t="str">
        <f>IF(PROGRESS!$W$31=PROGRESS!$CQ$46,COUNTIF($EG$60:$EG$90,PROGRESS!$Z$31*EV$103),"")</f>
        <v/>
      </c>
      <c r="IC108" s="1796"/>
      <c r="ID108" s="1796"/>
      <c r="IE108" s="1796"/>
      <c r="IF108" s="1796"/>
      <c r="IG108" s="1796"/>
      <c r="IH108" s="1796"/>
      <c r="II108" s="1796"/>
      <c r="IJ108" s="1796"/>
      <c r="IK108" s="1796"/>
      <c r="IL108" s="1796"/>
      <c r="IM108" s="1796"/>
      <c r="IN108" s="1796"/>
      <c r="IO108" s="1796"/>
      <c r="IP108" s="1796"/>
      <c r="IQ108" s="1796"/>
      <c r="IR108" s="1796"/>
      <c r="IS108" s="1796"/>
      <c r="IT108" s="1796"/>
      <c r="IU108" s="1796"/>
      <c r="IV108" s="1796"/>
      <c r="IW108" s="1796"/>
      <c r="IX108" s="1796"/>
      <c r="IY108" s="1796"/>
      <c r="JC108" s="1892"/>
      <c r="JE108" s="1900"/>
      <c r="JF108" s="1850">
        <f t="shared" ca="1" si="41"/>
        <v>0</v>
      </c>
      <c r="JG108" s="1900" t="s">
        <v>347</v>
      </c>
      <c r="JH108" s="1850">
        <v>8</v>
      </c>
      <c r="JI108" s="1901"/>
      <c r="JM108" s="1893"/>
      <c r="JO108" s="2170" t="s">
        <v>1934</v>
      </c>
      <c r="JP108" s="1819" t="s">
        <v>1935</v>
      </c>
      <c r="JQ108" s="3069" t="s">
        <v>1898</v>
      </c>
      <c r="JR108" s="3070" t="s">
        <v>717</v>
      </c>
      <c r="KG108" s="1822"/>
      <c r="KH108" s="1821"/>
      <c r="KI108" s="1822"/>
      <c r="KJ108" s="1821"/>
      <c r="KK108" s="1822"/>
      <c r="KQ108" s="3076"/>
      <c r="KR108" s="3053"/>
      <c r="KS108" s="3078"/>
      <c r="KT108" s="3047"/>
    </row>
    <row r="109" spans="10:309" ht="17.100000000000001" customHeight="1" thickBot="1" x14ac:dyDescent="0.35">
      <c r="J109" s="1898" t="str">
        <f t="shared" si="38"/>
        <v/>
      </c>
      <c r="K109" s="3312" t="str">
        <f t="shared" si="39"/>
        <v/>
      </c>
      <c r="L109" s="1779"/>
      <c r="M109" s="1779"/>
      <c r="N109" s="1779"/>
      <c r="O109" s="1779"/>
      <c r="P109" s="1779"/>
      <c r="Q109" s="1779"/>
      <c r="R109" s="1779"/>
      <c r="S109" s="1779"/>
      <c r="T109" s="1779"/>
      <c r="U109" s="1779"/>
      <c r="V109" s="1922"/>
      <c r="W109" s="1779"/>
      <c r="X109" s="1779"/>
      <c r="Y109" s="1779"/>
      <c r="Z109" s="1779"/>
      <c r="AA109" s="1779"/>
      <c r="AB109" s="1779"/>
      <c r="AC109" s="1779"/>
      <c r="AD109" s="1779"/>
      <c r="AE109" s="1779"/>
      <c r="AF109" s="1779"/>
      <c r="AH109" s="3312" t="str">
        <f t="shared" si="40"/>
        <v/>
      </c>
      <c r="AI109" s="1779"/>
      <c r="AJ109" s="1928"/>
      <c r="AK109" s="1779"/>
      <c r="AL109" s="1779"/>
      <c r="AM109" s="1779"/>
      <c r="AN109" s="1779"/>
      <c r="AO109" s="1779"/>
      <c r="AP109" s="1779"/>
      <c r="AQ109" s="1779"/>
      <c r="AR109" s="1779"/>
      <c r="AS109" s="1779"/>
      <c r="AT109" s="3213"/>
      <c r="AU109" s="1928"/>
      <c r="AV109" s="1779"/>
      <c r="AW109" s="1779"/>
      <c r="AX109" s="1779"/>
      <c r="AY109" s="1779"/>
      <c r="AZ109" s="1779"/>
      <c r="BA109" s="1779"/>
      <c r="BB109" s="1779"/>
      <c r="BC109" s="1779"/>
      <c r="BD109" s="1779"/>
      <c r="BE109" s="3311">
        <v>86</v>
      </c>
      <c r="BF109" s="1882" t="str">
        <f t="shared" si="35"/>
        <v/>
      </c>
      <c r="BG109" s="1883">
        <f t="shared" si="36"/>
        <v>0</v>
      </c>
      <c r="BH109" s="1884">
        <f t="shared" si="37"/>
        <v>0</v>
      </c>
      <c r="EB109" s="5146"/>
      <c r="EC109" s="1782" t="str">
        <f>ACTIONS!$H$34</f>
        <v>MND6</v>
      </c>
      <c r="ED109" s="1810">
        <f>SUM(EH22:EH52)</f>
        <v>0</v>
      </c>
      <c r="EE109" s="1810">
        <f>EH94</f>
        <v>0</v>
      </c>
      <c r="EF109" s="1810">
        <f>EH95</f>
        <v>0</v>
      </c>
      <c r="EG109" s="1801"/>
      <c r="EH109" s="1801">
        <f>MAX($EH$127:$EH$157)</f>
        <v>0</v>
      </c>
      <c r="EI109" s="1801">
        <f t="shared" si="46"/>
        <v>0</v>
      </c>
      <c r="EJ109" s="1801">
        <f>COUNTIF(ACTIONS!$H$3:$H$33,"&gt;="&amp;PROGRESS!Z32)</f>
        <v>0</v>
      </c>
      <c r="EK109" s="1801"/>
      <c r="EM109" s="1796"/>
      <c r="EN109" s="1801" t="str">
        <f>IF(PROGRESS!$W$32=PROGRESS!$CQ$46,COUNTIF($EH$60:$EH$90,PROGRESS!$Z$32*EN$103),"")</f>
        <v/>
      </c>
      <c r="EO109" s="1801" t="str">
        <f>IF(PROGRESS!$W$32=PROGRESS!$CQ$46,COUNTIF($EH$60:$EH$90,PROGRESS!$Z$32*EO$103),"")</f>
        <v/>
      </c>
      <c r="EP109" s="1801" t="str">
        <f>IF(PROGRESS!$W$32=PROGRESS!$CQ$46,COUNTIF($EH$60:$EH$90,PROGRESS!$Z$32*EP$103),"")</f>
        <v/>
      </c>
      <c r="EQ109" s="1801" t="str">
        <f>IF(PROGRESS!$W$32=PROGRESS!$CQ$46,COUNTIF($EH$60:$EH$90,PROGRESS!$Z$32*EQ$103),"")</f>
        <v/>
      </c>
      <c r="ER109" s="1801" t="str">
        <f>IF(PROGRESS!$W$32=PROGRESS!$CQ$46,COUNTIF($EH$60:$EH$90,PROGRESS!$Z$32*ER$103),"")</f>
        <v/>
      </c>
      <c r="ES109" s="1801" t="str">
        <f>IF(PROGRESS!$W$32=PROGRESS!$CQ$46,COUNTIF($EH$60:$EH$90,PROGRESS!$Z$32*ES$103),"")</f>
        <v/>
      </c>
      <c r="ET109" s="1801" t="str">
        <f>IF(PROGRESS!$W$32=PROGRESS!$CQ$46,COUNTIF($EH$60:$EH$90,PROGRESS!$Z$32*ET$103),"")</f>
        <v/>
      </c>
      <c r="EU109" s="1801" t="str">
        <f>IF(PROGRESS!$W$32=PROGRESS!$CQ$46,COUNTIF($EH$60:$EH$90,PROGRESS!$Z$32*EU$103),"")</f>
        <v/>
      </c>
      <c r="EV109" s="1801" t="str">
        <f>IF(PROGRESS!$W$32=PROGRESS!$CQ$46,COUNTIF($EH$60:$EH$90,PROGRESS!$Z$32*EV$103),"")</f>
        <v/>
      </c>
      <c r="IC109" s="1796"/>
      <c r="ID109" s="1796"/>
      <c r="IE109" s="1796"/>
      <c r="IF109" s="1796"/>
      <c r="IG109" s="1796"/>
      <c r="IH109" s="1796"/>
      <c r="II109" s="1796"/>
      <c r="IJ109" s="1796"/>
      <c r="IK109" s="1796"/>
      <c r="IL109" s="1796"/>
      <c r="IM109" s="1796"/>
      <c r="IN109" s="1796"/>
      <c r="IO109" s="1796"/>
      <c r="IP109" s="1796"/>
      <c r="IQ109" s="1796"/>
      <c r="IR109" s="1796"/>
      <c r="IS109" s="1796"/>
      <c r="IT109" s="1796"/>
      <c r="IU109" s="1796"/>
      <c r="IV109" s="1796"/>
      <c r="IW109" s="1796"/>
      <c r="IX109" s="1796"/>
      <c r="IY109" s="1796"/>
      <c r="JC109" s="1892"/>
      <c r="JE109" s="1900"/>
      <c r="JF109" s="1850">
        <f t="shared" ca="1" si="41"/>
        <v>0</v>
      </c>
      <c r="JG109" s="1900" t="s">
        <v>348</v>
      </c>
      <c r="JH109" s="1850">
        <v>10</v>
      </c>
      <c r="JI109" s="1901"/>
      <c r="JM109" s="1893"/>
      <c r="JO109" s="2170" t="s">
        <v>1902</v>
      </c>
      <c r="JP109" s="1819" t="s">
        <v>550</v>
      </c>
      <c r="JQ109" s="3069" t="s">
        <v>1893</v>
      </c>
      <c r="JR109" s="3070" t="s">
        <v>718</v>
      </c>
      <c r="KG109" s="1822"/>
      <c r="KH109" s="1821"/>
      <c r="KI109" s="1822"/>
      <c r="KJ109" s="1821"/>
      <c r="KK109" s="1822"/>
      <c r="KQ109" s="3076"/>
      <c r="KR109" s="3053"/>
      <c r="KS109" s="3078"/>
      <c r="KT109" s="3047"/>
      <c r="KV109" s="3046"/>
    </row>
    <row r="110" spans="10:309" ht="17.100000000000001" customHeight="1" thickBot="1" x14ac:dyDescent="0.35">
      <c r="J110" s="1898" t="str">
        <f t="shared" si="38"/>
        <v/>
      </c>
      <c r="K110" s="3312" t="str">
        <f t="shared" si="39"/>
        <v/>
      </c>
      <c r="L110" s="1779"/>
      <c r="M110" s="1779"/>
      <c r="N110" s="1779"/>
      <c r="O110" s="1779"/>
      <c r="P110" s="1779"/>
      <c r="Q110" s="1779"/>
      <c r="R110" s="1779"/>
      <c r="S110" s="1779"/>
      <c r="T110" s="1779"/>
      <c r="U110" s="1779"/>
      <c r="V110" s="1922"/>
      <c r="W110" s="1779"/>
      <c r="X110" s="1779"/>
      <c r="Y110" s="1779"/>
      <c r="Z110" s="1779"/>
      <c r="AA110" s="1779"/>
      <c r="AB110" s="1779"/>
      <c r="AC110" s="1779"/>
      <c r="AD110" s="1779"/>
      <c r="AE110" s="1779"/>
      <c r="AF110" s="1779"/>
      <c r="AH110" s="3312" t="str">
        <f t="shared" si="40"/>
        <v/>
      </c>
      <c r="AI110" s="1779"/>
      <c r="AJ110" s="1928"/>
      <c r="AK110" s="1779"/>
      <c r="AL110" s="1779"/>
      <c r="AM110" s="1779"/>
      <c r="AN110" s="1779"/>
      <c r="AO110" s="1779"/>
      <c r="AP110" s="1779"/>
      <c r="AQ110" s="1779"/>
      <c r="AR110" s="1779"/>
      <c r="AS110" s="1779"/>
      <c r="AT110" s="3213"/>
      <c r="AU110" s="1928"/>
      <c r="AV110" s="1779"/>
      <c r="AW110" s="1779"/>
      <c r="AX110" s="1779"/>
      <c r="AY110" s="1779"/>
      <c r="AZ110" s="1779"/>
      <c r="BA110" s="1779"/>
      <c r="BB110" s="1779"/>
      <c r="BC110" s="1779"/>
      <c r="BD110" s="1779"/>
      <c r="BE110" s="3311">
        <v>87</v>
      </c>
      <c r="BF110" s="1882" t="str">
        <f t="shared" si="35"/>
        <v/>
      </c>
      <c r="BG110" s="1883">
        <f t="shared" si="36"/>
        <v>0</v>
      </c>
      <c r="BH110" s="1884">
        <f t="shared" si="37"/>
        <v>0</v>
      </c>
      <c r="EB110" s="5146"/>
      <c r="EC110" s="1782" t="str">
        <f>ACTIONS!$I$34</f>
        <v>MND7</v>
      </c>
      <c r="ED110" s="1810">
        <f>SUM(EI22:EI52)</f>
        <v>0</v>
      </c>
      <c r="EE110" s="1810">
        <f>EI94</f>
        <v>0</v>
      </c>
      <c r="EF110" s="1810">
        <f>EI95</f>
        <v>0</v>
      </c>
      <c r="EG110" s="1801"/>
      <c r="EH110" s="1801">
        <f>MAX($EI$127:$EI$157)</f>
        <v>0</v>
      </c>
      <c r="EI110" s="1801">
        <f t="shared" si="46"/>
        <v>0</v>
      </c>
      <c r="EJ110" s="1801">
        <f>COUNTIF(ACTIONS!$I$3:$I$33,"&gt;="&amp;PROGRESS!Z33)</f>
        <v>0</v>
      </c>
      <c r="EK110" s="1801"/>
      <c r="EM110" s="1796"/>
      <c r="EN110" s="1801" t="str">
        <f>IF(PROGRESS!$W$33=PROGRESS!$CQ$46,COUNTIF($EI$60:$EI$90,PROGRESS!$Z$33*EN$103),"")</f>
        <v/>
      </c>
      <c r="EO110" s="1801" t="str">
        <f>IF(PROGRESS!$W$33=PROGRESS!$CQ$46,COUNTIF($EI$60:$EI$90,PROGRESS!$Z$33*EO$103),"")</f>
        <v/>
      </c>
      <c r="EP110" s="1801" t="str">
        <f>IF(PROGRESS!$W$33=PROGRESS!$CQ$46,COUNTIF($EI$60:$EI$90,PROGRESS!$Z$33*EP$103),"")</f>
        <v/>
      </c>
      <c r="EQ110" s="1801" t="str">
        <f>IF(PROGRESS!$W$33=PROGRESS!$CQ$46,COUNTIF($EI$60:$EI$90,PROGRESS!$Z$33*EQ$103),"")</f>
        <v/>
      </c>
      <c r="ER110" s="1801" t="str">
        <f>IF(PROGRESS!$W$33=PROGRESS!$CQ$46,COUNTIF($EI$60:$EI$90,PROGRESS!$Z$33*ER$103),"")</f>
        <v/>
      </c>
      <c r="ES110" s="1801" t="str">
        <f>IF(PROGRESS!$W$33=PROGRESS!$CQ$46,COUNTIF($EI$60:$EI$90,PROGRESS!$Z$33*ES$103),"")</f>
        <v/>
      </c>
      <c r="ET110" s="1801" t="str">
        <f>IF(PROGRESS!$W$33=PROGRESS!$CQ$46,COUNTIF($EI$60:$EI$90,PROGRESS!$Z$33*ET$103),"")</f>
        <v/>
      </c>
      <c r="EU110" s="1801" t="str">
        <f>IF(PROGRESS!$W$33=PROGRESS!$CQ$46,COUNTIF($EI$60:$EI$90,PROGRESS!$Z$33*EU$103),"")</f>
        <v/>
      </c>
      <c r="EV110" s="1801" t="str">
        <f>IF(PROGRESS!$W$33=PROGRESS!$CQ$46,COUNTIF($EI$60:$EI$90,PROGRESS!$Z$33*EV$103),"")</f>
        <v/>
      </c>
      <c r="IC110" s="1796"/>
      <c r="ID110" s="1796"/>
      <c r="IE110" s="1796"/>
      <c r="IF110" s="1796"/>
      <c r="IG110" s="1796"/>
      <c r="IH110" s="1796"/>
      <c r="II110" s="1796"/>
      <c r="IJ110" s="1796"/>
      <c r="IK110" s="1796"/>
      <c r="IL110" s="1796"/>
      <c r="IM110" s="1796"/>
      <c r="IN110" s="1796"/>
      <c r="IO110" s="1796"/>
      <c r="IP110" s="1796"/>
      <c r="IQ110" s="1796"/>
      <c r="IR110" s="1796"/>
      <c r="IS110" s="1796"/>
      <c r="IT110" s="1796"/>
      <c r="IU110" s="1796"/>
      <c r="IV110" s="1796"/>
      <c r="IW110" s="1796"/>
      <c r="IX110" s="1796"/>
      <c r="IY110" s="1796"/>
      <c r="JC110" s="1892"/>
      <c r="JE110" s="1900"/>
      <c r="JF110" s="1850">
        <f t="shared" ca="1" si="41"/>
        <v>0</v>
      </c>
      <c r="JG110" s="1900" t="s">
        <v>349</v>
      </c>
      <c r="JH110" s="1850">
        <v>15</v>
      </c>
      <c r="JI110" s="1901"/>
      <c r="JM110" s="1893"/>
      <c r="JO110" s="2170" t="s">
        <v>1911</v>
      </c>
      <c r="JP110" s="1819" t="s">
        <v>707</v>
      </c>
      <c r="JQ110" s="3069" t="s">
        <v>1903</v>
      </c>
      <c r="JR110" s="3070" t="s">
        <v>722</v>
      </c>
      <c r="KG110" s="1822"/>
      <c r="KH110" s="1821"/>
      <c r="KI110" s="1822"/>
      <c r="KJ110" s="1821"/>
      <c r="KK110" s="1822"/>
      <c r="KQ110" s="3076"/>
      <c r="KR110" s="3053"/>
      <c r="KS110" s="3078"/>
      <c r="KT110" s="3047"/>
      <c r="KV110" s="3046"/>
      <c r="KW110" s="3047"/>
    </row>
    <row r="111" spans="10:309" ht="17.100000000000001" customHeight="1" thickBot="1" x14ac:dyDescent="0.35">
      <c r="J111" s="1898" t="str">
        <f t="shared" si="38"/>
        <v/>
      </c>
      <c r="K111" s="3312" t="str">
        <f t="shared" si="39"/>
        <v/>
      </c>
      <c r="L111" s="1779"/>
      <c r="M111" s="1779"/>
      <c r="N111" s="1779"/>
      <c r="O111" s="1779"/>
      <c r="P111" s="1779"/>
      <c r="Q111" s="1779"/>
      <c r="R111" s="1779"/>
      <c r="S111" s="1779"/>
      <c r="T111" s="1779"/>
      <c r="U111" s="1779"/>
      <c r="V111" s="1922"/>
      <c r="W111" s="1779"/>
      <c r="X111" s="1779"/>
      <c r="Y111" s="1779"/>
      <c r="Z111" s="1779"/>
      <c r="AA111" s="1779"/>
      <c r="AB111" s="1779"/>
      <c r="AC111" s="1779"/>
      <c r="AD111" s="1779"/>
      <c r="AE111" s="1779"/>
      <c r="AF111" s="1779"/>
      <c r="AH111" s="3312" t="str">
        <f t="shared" si="40"/>
        <v/>
      </c>
      <c r="AI111" s="1779"/>
      <c r="AJ111" s="1928"/>
      <c r="AK111" s="1779"/>
      <c r="AL111" s="1779"/>
      <c r="AM111" s="1779"/>
      <c r="AN111" s="1779"/>
      <c r="AO111" s="1779"/>
      <c r="AP111" s="1779"/>
      <c r="AQ111" s="1779"/>
      <c r="AR111" s="1779"/>
      <c r="AS111" s="1779"/>
      <c r="AT111" s="3213"/>
      <c r="AU111" s="1928"/>
      <c r="AV111" s="1779"/>
      <c r="AW111" s="1779"/>
      <c r="AX111" s="1779"/>
      <c r="AY111" s="1779"/>
      <c r="AZ111" s="1779"/>
      <c r="BA111" s="1779"/>
      <c r="BB111" s="1779"/>
      <c r="BC111" s="1779"/>
      <c r="BD111" s="1779"/>
      <c r="BE111" s="3311">
        <v>88</v>
      </c>
      <c r="BF111" s="1882" t="str">
        <f t="shared" si="35"/>
        <v/>
      </c>
      <c r="BG111" s="1883">
        <f t="shared" si="36"/>
        <v>0</v>
      </c>
      <c r="BH111" s="1884">
        <f t="shared" si="37"/>
        <v>0</v>
      </c>
      <c r="EB111" s="5146"/>
      <c r="EC111" s="1782" t="str">
        <f>ACTIONS!$J$34</f>
        <v>MND8</v>
      </c>
      <c r="ED111" s="1810">
        <f>SUM(EJ22:EJ52)</f>
        <v>0</v>
      </c>
      <c r="EE111" s="1810">
        <f>EJ94</f>
        <v>0</v>
      </c>
      <c r="EF111" s="1810">
        <f>EJ95</f>
        <v>0</v>
      </c>
      <c r="EG111" s="1801"/>
      <c r="EH111" s="1801">
        <f>MAX($EJ$127:$EJ$157)</f>
        <v>0</v>
      </c>
      <c r="EI111" s="1801">
        <f t="shared" si="46"/>
        <v>0</v>
      </c>
      <c r="EJ111" s="1801">
        <f>COUNTIF(ACTIONS!$J$3:$J$33,"&gt;="&amp;PROGRESS!Z34)</f>
        <v>0</v>
      </c>
      <c r="EK111" s="1801"/>
      <c r="EM111" s="1796"/>
      <c r="EN111" s="1801" t="str">
        <f>IF(PROGRESS!$W$34=PROGRESS!$CQ$46,COUNTIF($EJ$60:$EJ$90,PROGRESS!$Z$34*EN$103),"")</f>
        <v/>
      </c>
      <c r="EO111" s="1801" t="str">
        <f>IF(PROGRESS!$W$34=PROGRESS!$CQ$46,COUNTIF($EJ$60:$EJ$90,PROGRESS!$Z$34*EO$103),"")</f>
        <v/>
      </c>
      <c r="EP111" s="1801" t="str">
        <f>IF(PROGRESS!$W$34=PROGRESS!$CQ$46,COUNTIF($EJ$60:$EJ$90,PROGRESS!$Z$34*EP$103),"")</f>
        <v/>
      </c>
      <c r="EQ111" s="1801" t="str">
        <f>IF(PROGRESS!$W$34=PROGRESS!$CQ$46,COUNTIF($EJ$60:$EJ$90,PROGRESS!$Z$34*EQ$103),"")</f>
        <v/>
      </c>
      <c r="ER111" s="1801" t="str">
        <f>IF(PROGRESS!$W$34=PROGRESS!$CQ$46,COUNTIF($EJ$60:$EJ$90,PROGRESS!$Z$34*ER$103),"")</f>
        <v/>
      </c>
      <c r="ES111" s="1801" t="str">
        <f>IF(PROGRESS!$W$34=PROGRESS!$CQ$46,COUNTIF($EJ$60:$EJ$90,PROGRESS!$Z$34*ES$103),"")</f>
        <v/>
      </c>
      <c r="ET111" s="1801" t="str">
        <f>IF(PROGRESS!$W$34=PROGRESS!$CQ$46,COUNTIF($EJ$60:$EJ$90,PROGRESS!$Z$34*ET$103),"")</f>
        <v/>
      </c>
      <c r="EU111" s="1801" t="str">
        <f>IF(PROGRESS!$W$34=PROGRESS!$CQ$46,COUNTIF($EJ$60:$EJ$90,PROGRESS!$Z$34*EU$103),"")</f>
        <v/>
      </c>
      <c r="EV111" s="1801" t="str">
        <f>IF(PROGRESS!$W$34=PROGRESS!$CQ$46,COUNTIF($EJ$60:$EJ$90,PROGRESS!$Z$34*EV$103),"")</f>
        <v/>
      </c>
      <c r="IC111" s="1796"/>
      <c r="ID111" s="1796"/>
      <c r="IE111" s="1796"/>
      <c r="IF111" s="1796"/>
      <c r="IG111" s="1796"/>
      <c r="IH111" s="1796"/>
      <c r="II111" s="1796"/>
      <c r="IJ111" s="1796"/>
      <c r="IK111" s="1796"/>
      <c r="IL111" s="1796"/>
      <c r="IM111" s="1796"/>
      <c r="IN111" s="1796"/>
      <c r="IO111" s="1796"/>
      <c r="IP111" s="1796"/>
      <c r="IQ111" s="1796"/>
      <c r="IR111" s="1796"/>
      <c r="IS111" s="1796"/>
      <c r="IT111" s="1796"/>
      <c r="IU111" s="1796"/>
      <c r="IV111" s="1796"/>
      <c r="IW111" s="1796"/>
      <c r="IX111" s="1796"/>
      <c r="IY111" s="1796"/>
      <c r="JC111" s="1892"/>
      <c r="JE111" s="1900"/>
      <c r="JF111" s="1850">
        <f t="shared" ca="1" si="41"/>
        <v>0</v>
      </c>
      <c r="JG111" s="1900" t="s">
        <v>350</v>
      </c>
      <c r="JH111" s="1850">
        <v>3</v>
      </c>
      <c r="JI111" s="1901"/>
      <c r="JM111" s="1893"/>
      <c r="JO111" s="3054" t="s">
        <v>1895</v>
      </c>
      <c r="JP111" s="1835" t="s">
        <v>699</v>
      </c>
      <c r="JQ111" s="3069" t="s">
        <v>1383</v>
      </c>
      <c r="JR111" s="3070" t="s">
        <v>719</v>
      </c>
      <c r="KG111" s="1822"/>
      <c r="KH111" s="1821"/>
      <c r="KI111" s="1822"/>
      <c r="KJ111" s="1821"/>
      <c r="KK111" s="1822"/>
      <c r="KQ111" s="3076"/>
      <c r="KR111" s="3053"/>
      <c r="KS111" s="3078"/>
      <c r="KT111" s="3047"/>
      <c r="KV111" s="3046"/>
      <c r="KW111" s="3047"/>
    </row>
    <row r="112" spans="10:309" ht="17.100000000000001" customHeight="1" thickBot="1" x14ac:dyDescent="0.35">
      <c r="J112" s="1898" t="str">
        <f t="shared" si="38"/>
        <v/>
      </c>
      <c r="K112" s="3312" t="str">
        <f t="shared" si="39"/>
        <v/>
      </c>
      <c r="L112" s="1779"/>
      <c r="M112" s="1779"/>
      <c r="N112" s="1779"/>
      <c r="O112" s="1779"/>
      <c r="P112" s="1779"/>
      <c r="Q112" s="1779"/>
      <c r="R112" s="1779"/>
      <c r="S112" s="1779"/>
      <c r="T112" s="1779"/>
      <c r="U112" s="1779"/>
      <c r="V112" s="1922"/>
      <c r="W112" s="1779"/>
      <c r="X112" s="1779"/>
      <c r="Y112" s="1779"/>
      <c r="Z112" s="1779"/>
      <c r="AA112" s="1779"/>
      <c r="AB112" s="1779"/>
      <c r="AC112" s="1779"/>
      <c r="AD112" s="1779"/>
      <c r="AE112" s="1779"/>
      <c r="AF112" s="1779"/>
      <c r="AH112" s="3312" t="str">
        <f t="shared" si="40"/>
        <v/>
      </c>
      <c r="AI112" s="1779"/>
      <c r="AJ112" s="1928"/>
      <c r="AK112" s="1779"/>
      <c r="AL112" s="1779"/>
      <c r="AM112" s="1779"/>
      <c r="AN112" s="1779"/>
      <c r="AO112" s="1779"/>
      <c r="AP112" s="1779"/>
      <c r="AQ112" s="1779"/>
      <c r="AR112" s="1779"/>
      <c r="AS112" s="1779"/>
      <c r="AT112" s="3213"/>
      <c r="AU112" s="1928"/>
      <c r="AV112" s="1779"/>
      <c r="AW112" s="1779"/>
      <c r="AX112" s="1779"/>
      <c r="AY112" s="1779"/>
      <c r="AZ112" s="1779"/>
      <c r="BA112" s="1779"/>
      <c r="BB112" s="1779"/>
      <c r="BC112" s="1779"/>
      <c r="BD112" s="1779"/>
      <c r="BE112" s="3311">
        <v>89</v>
      </c>
      <c r="BF112" s="1882" t="str">
        <f t="shared" si="35"/>
        <v/>
      </c>
      <c r="BG112" s="1883">
        <f t="shared" si="36"/>
        <v>0</v>
      </c>
      <c r="BH112" s="1884">
        <f t="shared" si="37"/>
        <v>0</v>
      </c>
      <c r="EB112" s="5146"/>
      <c r="EC112" s="1782" t="str">
        <f>ACTIONS!$K$34</f>
        <v>MND9</v>
      </c>
      <c r="ED112" s="1810">
        <f>SUM(EK22:EK52)</f>
        <v>0</v>
      </c>
      <c r="EE112" s="1810">
        <f>EK94</f>
        <v>0</v>
      </c>
      <c r="EF112" s="1810">
        <f>EK95</f>
        <v>0</v>
      </c>
      <c r="EG112" s="1801"/>
      <c r="EH112" s="1801">
        <f>MAX($EK$127:$EK$157)</f>
        <v>0</v>
      </c>
      <c r="EI112" s="1801">
        <f t="shared" si="46"/>
        <v>0</v>
      </c>
      <c r="EJ112" s="1801">
        <f>COUNTIF(ACTIONS!$K$3:$K$33,"&gt;="&amp;PROGRESS!Z35)</f>
        <v>0</v>
      </c>
      <c r="EK112" s="1801"/>
      <c r="EM112" s="1796"/>
      <c r="EN112" s="1801" t="str">
        <f>IF(PROGRESS!$W$35=PROGRESS!$CQ$46,COUNTIF($EK$60:$EK$90,PROGRESS!$Z$35*EN$103),"")</f>
        <v/>
      </c>
      <c r="EO112" s="1801" t="str">
        <f>IF(PROGRESS!$W$35=PROGRESS!$CQ$46,COUNTIF($EK$60:$EK$90,PROGRESS!$Z$35*EO$103),"")</f>
        <v/>
      </c>
      <c r="EP112" s="1801" t="str">
        <f>IF(PROGRESS!$W$35=PROGRESS!$CQ$46,COUNTIF($EK$60:$EK$90,PROGRESS!$Z$35*EP$103),"")</f>
        <v/>
      </c>
      <c r="EQ112" s="1801" t="str">
        <f>IF(PROGRESS!$W$35=PROGRESS!$CQ$46,COUNTIF($EK$60:$EK$90,PROGRESS!$Z$35*EQ$103),"")</f>
        <v/>
      </c>
      <c r="ER112" s="1801" t="str">
        <f>IF(PROGRESS!$W$35=PROGRESS!$CQ$46,COUNTIF($EK$60:$EK$90,PROGRESS!$Z$35*ER$103),"")</f>
        <v/>
      </c>
      <c r="ES112" s="1801" t="str">
        <f>IF(PROGRESS!$W$35=PROGRESS!$CQ$46,COUNTIF($EK$60:$EK$90,PROGRESS!$Z$35*ES$103),"")</f>
        <v/>
      </c>
      <c r="ET112" s="1801" t="str">
        <f>IF(PROGRESS!$W$35=PROGRESS!$CQ$46,COUNTIF($EK$60:$EK$90,PROGRESS!$Z$35*ET$103),"")</f>
        <v/>
      </c>
      <c r="EU112" s="1801" t="str">
        <f>IF(PROGRESS!$W$35=PROGRESS!$CQ$46,COUNTIF($EK$60:$EK$90,PROGRESS!$Z$35*EU$103),"")</f>
        <v/>
      </c>
      <c r="EV112" s="1801" t="str">
        <f>IF(PROGRESS!$W$35=PROGRESS!$CQ$46,COUNTIF($EK$60:$EK$90,PROGRESS!$Z$35*EV$103),"")</f>
        <v/>
      </c>
      <c r="IC112" s="1796"/>
      <c r="ID112" s="1796"/>
      <c r="IE112" s="1796"/>
      <c r="IF112" s="1796"/>
      <c r="IG112" s="1796"/>
      <c r="IH112" s="1796"/>
      <c r="II112" s="1796"/>
      <c r="IJ112" s="1796"/>
      <c r="IK112" s="1796"/>
      <c r="IL112" s="1796"/>
      <c r="IM112" s="1796"/>
      <c r="IN112" s="1796"/>
      <c r="IO112" s="1796"/>
      <c r="IP112" s="1796"/>
      <c r="IQ112" s="1796"/>
      <c r="IR112" s="1796"/>
      <c r="IS112" s="1796"/>
      <c r="IT112" s="1796"/>
      <c r="IU112" s="1796"/>
      <c r="IV112" s="1796"/>
      <c r="IW112" s="1796"/>
      <c r="IX112" s="1796"/>
      <c r="IY112" s="1796"/>
      <c r="JC112" s="1892"/>
      <c r="JE112" s="1900"/>
      <c r="JF112" s="1850">
        <f t="shared" ca="1" si="41"/>
        <v>0</v>
      </c>
      <c r="JG112" s="1900" t="s">
        <v>351</v>
      </c>
      <c r="JH112" s="1850">
        <v>2</v>
      </c>
      <c r="JI112" s="1901"/>
      <c r="JM112" s="1893"/>
      <c r="JO112" s="2170" t="s">
        <v>1378</v>
      </c>
      <c r="JP112" s="1819" t="s">
        <v>399</v>
      </c>
      <c r="JQ112" s="3069" t="s">
        <v>1897</v>
      </c>
      <c r="JR112" s="3070" t="s">
        <v>720</v>
      </c>
      <c r="KG112" s="1822"/>
      <c r="KH112" s="1821"/>
      <c r="KI112" s="1822"/>
      <c r="KJ112" s="1821"/>
      <c r="KK112" s="1822"/>
      <c r="KQ112" s="3076"/>
      <c r="KR112" s="3053"/>
      <c r="KS112" s="3078"/>
      <c r="KT112" s="3047"/>
      <c r="KV112" s="3046"/>
      <c r="KW112" s="3047"/>
    </row>
    <row r="113" spans="10:311" ht="17.100000000000001" customHeight="1" thickBot="1" x14ac:dyDescent="0.35">
      <c r="J113" s="1898" t="str">
        <f t="shared" si="38"/>
        <v/>
      </c>
      <c r="K113" s="3312" t="str">
        <f t="shared" si="39"/>
        <v/>
      </c>
      <c r="L113" s="1779"/>
      <c r="M113" s="1779"/>
      <c r="N113" s="1779"/>
      <c r="O113" s="1779"/>
      <c r="P113" s="1779"/>
      <c r="Q113" s="1779"/>
      <c r="R113" s="1779"/>
      <c r="S113" s="1779"/>
      <c r="T113" s="1779"/>
      <c r="U113" s="1779"/>
      <c r="V113" s="1922"/>
      <c r="W113" s="1779"/>
      <c r="X113" s="1779"/>
      <c r="Y113" s="1779"/>
      <c r="Z113" s="1779"/>
      <c r="AA113" s="1779"/>
      <c r="AB113" s="1779"/>
      <c r="AC113" s="1779"/>
      <c r="AD113" s="1779"/>
      <c r="AE113" s="1779"/>
      <c r="AF113" s="1779"/>
      <c r="AH113" s="3312" t="str">
        <f t="shared" si="40"/>
        <v/>
      </c>
      <c r="AI113" s="1779"/>
      <c r="AJ113" s="1928"/>
      <c r="AK113" s="1779"/>
      <c r="AL113" s="1779"/>
      <c r="AM113" s="1779"/>
      <c r="AN113" s="1779"/>
      <c r="AO113" s="1779"/>
      <c r="AP113" s="1779"/>
      <c r="AQ113" s="1779"/>
      <c r="AR113" s="1779"/>
      <c r="AS113" s="1779"/>
      <c r="AT113" s="3213"/>
      <c r="AU113" s="1928"/>
      <c r="AV113" s="1779"/>
      <c r="AW113" s="1779"/>
      <c r="AX113" s="1779"/>
      <c r="AY113" s="1779"/>
      <c r="AZ113" s="1779"/>
      <c r="BA113" s="1779"/>
      <c r="BB113" s="1779"/>
      <c r="BC113" s="1779"/>
      <c r="BD113" s="1779"/>
      <c r="BE113" s="3311">
        <v>90</v>
      </c>
      <c r="BF113" s="1882" t="str">
        <f t="shared" si="35"/>
        <v/>
      </c>
      <c r="BG113" s="1883">
        <f t="shared" si="36"/>
        <v>0</v>
      </c>
      <c r="BH113" s="1884">
        <f t="shared" si="37"/>
        <v>0</v>
      </c>
      <c r="EB113" s="5146"/>
      <c r="EC113" s="1859"/>
      <c r="ED113" s="1813"/>
      <c r="EE113" s="1813"/>
      <c r="EF113" s="1813"/>
      <c r="EG113" s="1813"/>
      <c r="EH113" s="1813"/>
      <c r="EI113" s="1813"/>
      <c r="EJ113" s="1813"/>
      <c r="EK113" s="1860"/>
      <c r="EM113" s="1796"/>
      <c r="EN113" s="1813"/>
      <c r="IC113" s="1796"/>
      <c r="ID113" s="1796"/>
      <c r="IE113" s="1796"/>
      <c r="IF113" s="1796"/>
      <c r="IG113" s="1796"/>
      <c r="IH113" s="1796"/>
      <c r="II113" s="1796"/>
      <c r="IJ113" s="1796"/>
      <c r="IK113" s="1796"/>
      <c r="IL113" s="1796"/>
      <c r="IM113" s="1796"/>
      <c r="IN113" s="1796"/>
      <c r="IO113" s="1796"/>
      <c r="IP113" s="1796"/>
      <c r="IQ113" s="1796"/>
      <c r="IR113" s="1796"/>
      <c r="IS113" s="1796"/>
      <c r="IT113" s="1796"/>
      <c r="IU113" s="1796"/>
      <c r="IV113" s="1796"/>
      <c r="IW113" s="1796"/>
      <c r="IX113" s="1796"/>
      <c r="IY113" s="1796"/>
      <c r="JC113" s="1892"/>
      <c r="JE113" s="1900"/>
      <c r="JF113" s="1850">
        <f t="shared" ca="1" si="41"/>
        <v>0</v>
      </c>
      <c r="JG113" s="1900" t="s">
        <v>352</v>
      </c>
      <c r="JH113" s="1850">
        <v>11</v>
      </c>
      <c r="JI113" s="1901"/>
      <c r="JM113" s="1893"/>
      <c r="JO113" s="2170" t="s">
        <v>1916</v>
      </c>
      <c r="JP113" s="1819" t="s">
        <v>888</v>
      </c>
      <c r="JQ113" s="3069" t="s">
        <v>1390</v>
      </c>
      <c r="JR113" s="3070" t="s">
        <v>721</v>
      </c>
      <c r="KG113" s="1822"/>
      <c r="KH113" s="1821"/>
      <c r="KI113" s="1822"/>
      <c r="KJ113" s="1821"/>
      <c r="KK113" s="1822"/>
      <c r="KQ113" s="3076"/>
      <c r="KR113" s="3053"/>
      <c r="KS113" s="3078"/>
      <c r="KT113" s="3047"/>
    </row>
    <row r="114" spans="10:311" ht="17.100000000000001" customHeight="1" x14ac:dyDescent="0.3">
      <c r="J114" s="1898" t="str">
        <f t="shared" si="38"/>
        <v/>
      </c>
      <c r="K114" s="3312" t="str">
        <f t="shared" si="39"/>
        <v/>
      </c>
      <c r="L114" s="1779"/>
      <c r="M114" s="1779"/>
      <c r="N114" s="1779"/>
      <c r="O114" s="1779"/>
      <c r="P114" s="1779"/>
      <c r="Q114" s="1779"/>
      <c r="R114" s="1779"/>
      <c r="S114" s="1779"/>
      <c r="T114" s="1779"/>
      <c r="U114" s="1779"/>
      <c r="V114" s="1922"/>
      <c r="W114" s="1779"/>
      <c r="X114" s="1779"/>
      <c r="Y114" s="1779"/>
      <c r="Z114" s="1779"/>
      <c r="AA114" s="1779"/>
      <c r="AB114" s="1779"/>
      <c r="AC114" s="1779"/>
      <c r="AD114" s="1779"/>
      <c r="AE114" s="1779"/>
      <c r="AF114" s="1779"/>
      <c r="AH114" s="3312" t="str">
        <f t="shared" si="40"/>
        <v/>
      </c>
      <c r="AI114" s="1779"/>
      <c r="AJ114" s="1928"/>
      <c r="AK114" s="1779"/>
      <c r="AL114" s="1779"/>
      <c r="AM114" s="1779"/>
      <c r="AN114" s="1779"/>
      <c r="AO114" s="1779"/>
      <c r="AP114" s="1779"/>
      <c r="AQ114" s="1779"/>
      <c r="AR114" s="1779"/>
      <c r="AS114" s="1779"/>
      <c r="AT114" s="3213"/>
      <c r="AU114" s="1928"/>
      <c r="AV114" s="1779"/>
      <c r="AW114" s="1779"/>
      <c r="AX114" s="1779"/>
      <c r="AY114" s="1779"/>
      <c r="AZ114" s="1779"/>
      <c r="BA114" s="1779"/>
      <c r="BB114" s="1779"/>
      <c r="BC114" s="1779"/>
      <c r="BD114" s="1779"/>
      <c r="BE114" s="3311">
        <v>91</v>
      </c>
      <c r="BF114" s="1882" t="str">
        <f t="shared" si="35"/>
        <v/>
      </c>
      <c r="BG114" s="1883">
        <f t="shared" si="36"/>
        <v>0</v>
      </c>
      <c r="BH114" s="1884">
        <f t="shared" si="37"/>
        <v>0</v>
      </c>
      <c r="EB114" s="5146"/>
      <c r="EC114" s="1782" t="str">
        <f>ACTIONS!$BQ$34</f>
        <v>BDY1</v>
      </c>
      <c r="ED114" s="1810">
        <f>SUM(EN22:EN52)</f>
        <v>0</v>
      </c>
      <c r="EE114" s="1810">
        <f>EN94</f>
        <v>0</v>
      </c>
      <c r="EF114" s="1810">
        <f>EN95</f>
        <v>0</v>
      </c>
      <c r="EG114" s="1801"/>
      <c r="EH114" s="1801">
        <f>MAX($EN$127:$EN$157)</f>
        <v>0</v>
      </c>
      <c r="EI114" s="1801">
        <f t="shared" si="46"/>
        <v>0</v>
      </c>
      <c r="EJ114" s="1801">
        <f>COUNTIF(ACTIONS!$BQ$3:$BQ$33,"&gt;="&amp;PROGRESS!BJ27)</f>
        <v>0</v>
      </c>
      <c r="EK114" s="1801"/>
      <c r="EM114" s="1796"/>
      <c r="EN114" s="1801" t="str">
        <f>IF(PROGRESS!$BG$27=PROGRESS!$DJ$46,COUNTIF($EN$60:$EN$90,PROGRESS!$BJ$27*EN$103),"")</f>
        <v/>
      </c>
      <c r="EO114" s="1801" t="str">
        <f>IF(PROGRESS!$BG$27=PROGRESS!$DJ$46,COUNTIF($EN$60:$EN$90,PROGRESS!$BJ$27*EO$103),"")</f>
        <v/>
      </c>
      <c r="EP114" s="1801" t="str">
        <f>IF(PROGRESS!$BG$27=PROGRESS!$DJ$46,COUNTIF($EN$60:$EN$90,PROGRESS!$BJ$27*EP$103),"")</f>
        <v/>
      </c>
      <c r="EQ114" s="1801" t="str">
        <f>IF(PROGRESS!$BG$27=PROGRESS!$DJ$46,COUNTIF($EN$60:$EN$90,PROGRESS!$BJ$27*EQ$103),"")</f>
        <v/>
      </c>
      <c r="ER114" s="1801" t="str">
        <f>IF(PROGRESS!$BG$27=PROGRESS!$DJ$46,COUNTIF($EN$60:$EN$90,PROGRESS!$BJ$27*ER$103),"")</f>
        <v/>
      </c>
      <c r="ES114" s="1801" t="str">
        <f>IF(PROGRESS!$BG$27=PROGRESS!$DJ$46,COUNTIF($EN$60:$EN$90,PROGRESS!$BJ$27*ES$103),"")</f>
        <v/>
      </c>
      <c r="ET114" s="1801" t="str">
        <f>IF(PROGRESS!$BG$27=PROGRESS!$DJ$46,COUNTIF($EN$60:$EN$90,PROGRESS!$BJ$27*ET$103),"")</f>
        <v/>
      </c>
      <c r="EU114" s="1801" t="str">
        <f>IF(PROGRESS!$BG$27=PROGRESS!$DJ$46,COUNTIF($EN$60:$EN$90,PROGRESS!$BJ$27*EU$103),"")</f>
        <v/>
      </c>
      <c r="EV114" s="1801" t="str">
        <f>IF(PROGRESS!$BG$27=PROGRESS!$DJ$46,COUNTIF($EN$60:$EN$90,PROGRESS!$BJ$27*EV$103),"")</f>
        <v/>
      </c>
      <c r="IC114" s="1796"/>
      <c r="ID114" s="1796"/>
      <c r="IE114" s="1796"/>
      <c r="IF114" s="1796"/>
      <c r="IG114" s="1796"/>
      <c r="IH114" s="1796"/>
      <c r="II114" s="1796"/>
      <c r="IJ114" s="1796"/>
      <c r="IK114" s="1796"/>
      <c r="IL114" s="1796"/>
      <c r="IM114" s="1796"/>
      <c r="IN114" s="1796"/>
      <c r="IO114" s="1796"/>
      <c r="IP114" s="1796"/>
      <c r="IQ114" s="1796"/>
      <c r="IR114" s="1796"/>
      <c r="IS114" s="1796"/>
      <c r="IT114" s="1796"/>
      <c r="IU114" s="1796"/>
      <c r="IV114" s="1796"/>
      <c r="IW114" s="1796"/>
      <c r="IX114" s="1796"/>
      <c r="IY114" s="1796"/>
      <c r="JC114" s="1945"/>
      <c r="JE114" s="1925"/>
      <c r="JF114" s="1926">
        <f t="shared" ca="1" si="41"/>
        <v>0</v>
      </c>
      <c r="JG114" s="1925" t="s">
        <v>353</v>
      </c>
      <c r="JH114" s="1926">
        <v>3</v>
      </c>
      <c r="JI114" s="1927"/>
      <c r="JM114" s="3286" t="s">
        <v>2357</v>
      </c>
      <c r="JO114" s="2170" t="s">
        <v>1915</v>
      </c>
      <c r="JP114" s="1819" t="s">
        <v>887</v>
      </c>
      <c r="KG114" s="1791"/>
      <c r="KH114" s="1821"/>
      <c r="KI114" s="1791"/>
      <c r="KJ114" s="1821"/>
      <c r="KK114" s="1822"/>
      <c r="KQ114" s="3076"/>
      <c r="KR114" s="3053"/>
      <c r="KS114" s="3078"/>
      <c r="KT114" s="3047"/>
      <c r="KV114" s="3046"/>
      <c r="KW114" s="3047"/>
    </row>
    <row r="115" spans="10:311" ht="17.100000000000001" customHeight="1" thickBot="1" x14ac:dyDescent="0.35">
      <c r="J115" s="1898" t="str">
        <f t="shared" si="38"/>
        <v/>
      </c>
      <c r="K115" s="3312" t="str">
        <f t="shared" si="39"/>
        <v/>
      </c>
      <c r="L115" s="1779"/>
      <c r="M115" s="1779"/>
      <c r="N115" s="1779"/>
      <c r="O115" s="1779"/>
      <c r="P115" s="1779"/>
      <c r="Q115" s="1779"/>
      <c r="R115" s="1779"/>
      <c r="S115" s="1779"/>
      <c r="T115" s="1779"/>
      <c r="U115" s="1779"/>
      <c r="V115" s="1922"/>
      <c r="W115" s="1779"/>
      <c r="X115" s="1779"/>
      <c r="Y115" s="1779"/>
      <c r="Z115" s="1779"/>
      <c r="AA115" s="1779"/>
      <c r="AB115" s="1779"/>
      <c r="AC115" s="1779"/>
      <c r="AD115" s="1779"/>
      <c r="AE115" s="1779"/>
      <c r="AF115" s="1779"/>
      <c r="AH115" s="3312" t="str">
        <f t="shared" si="40"/>
        <v/>
      </c>
      <c r="AI115" s="1779"/>
      <c r="AJ115" s="1928"/>
      <c r="AK115" s="1779"/>
      <c r="AL115" s="1779"/>
      <c r="AM115" s="1779"/>
      <c r="AN115" s="1779"/>
      <c r="AO115" s="1779"/>
      <c r="AP115" s="1779"/>
      <c r="AQ115" s="1779"/>
      <c r="AR115" s="1779"/>
      <c r="AS115" s="1779"/>
      <c r="AT115" s="3213"/>
      <c r="AU115" s="1928"/>
      <c r="AV115" s="1779"/>
      <c r="AW115" s="1779"/>
      <c r="AX115" s="1779"/>
      <c r="AY115" s="1779"/>
      <c r="AZ115" s="1779"/>
      <c r="BA115" s="1779"/>
      <c r="BB115" s="1779"/>
      <c r="BC115" s="1779"/>
      <c r="BD115" s="1779"/>
      <c r="BE115" s="3311">
        <v>92</v>
      </c>
      <c r="BF115" s="1882" t="str">
        <f t="shared" si="35"/>
        <v/>
      </c>
      <c r="BG115" s="1883">
        <f t="shared" si="36"/>
        <v>0</v>
      </c>
      <c r="BH115" s="1884">
        <f t="shared" si="37"/>
        <v>0</v>
      </c>
      <c r="EB115" s="5146"/>
      <c r="EC115" s="1782" t="str">
        <f>ACTIONS!$BR$34</f>
        <v>BDY2</v>
      </c>
      <c r="ED115" s="1810">
        <f>SUM(EO22:EO52)</f>
        <v>0</v>
      </c>
      <c r="EE115" s="1810">
        <f>EO94</f>
        <v>0</v>
      </c>
      <c r="EF115" s="1810">
        <f>EO95</f>
        <v>0</v>
      </c>
      <c r="EG115" s="1801"/>
      <c r="EH115" s="1801">
        <f>MAX($EO$127:$EO$157)</f>
        <v>0</v>
      </c>
      <c r="EI115" s="1801">
        <f t="shared" si="46"/>
        <v>0</v>
      </c>
      <c r="EJ115" s="1801">
        <f>COUNTIF(ACTIONS!$BR$3:$BR$33,"&gt;="&amp;PROGRESS!BJ28)</f>
        <v>0</v>
      </c>
      <c r="EK115" s="1801"/>
      <c r="EM115" s="1796"/>
      <c r="EN115" s="1801" t="str">
        <f>IF(PROGRESS!$BG$28=PROGRESS!$DJ$46,COUNTIF($EO$60:$EO$90,PROGRESS!$BJ$28*EN$103),"")</f>
        <v/>
      </c>
      <c r="EO115" s="1801" t="str">
        <f>IF(PROGRESS!$BG$28=PROGRESS!$DJ$46,COUNTIF($EO$60:$EO$90,PROGRESS!$BJ$28*EO$103),"")</f>
        <v/>
      </c>
      <c r="EP115" s="1801" t="str">
        <f>IF(PROGRESS!$BG$28=PROGRESS!$DJ$46,COUNTIF($EO$60:$EO$90,PROGRESS!$BJ$28*EP$103),"")</f>
        <v/>
      </c>
      <c r="EQ115" s="1801" t="str">
        <f>IF(PROGRESS!$BG$28=PROGRESS!$DJ$46,COUNTIF($EO$60:$EO$90,PROGRESS!$BJ$28*EQ$103),"")</f>
        <v/>
      </c>
      <c r="ER115" s="1801" t="str">
        <f>IF(PROGRESS!$BG$28=PROGRESS!$DJ$46,COUNTIF($EO$60:$EO$90,PROGRESS!$BJ$28*ER$103),"")</f>
        <v/>
      </c>
      <c r="ES115" s="1801" t="str">
        <f>IF(PROGRESS!$BG$28=PROGRESS!$DJ$46,COUNTIF($EO$60:$EO$90,PROGRESS!$BJ$28*ES$103),"")</f>
        <v/>
      </c>
      <c r="ET115" s="1801" t="str">
        <f>IF(PROGRESS!$BG$28=PROGRESS!$DJ$46,COUNTIF($EO$60:$EO$90,PROGRESS!$BJ$28*ET$103),"")</f>
        <v/>
      </c>
      <c r="EU115" s="1801" t="str">
        <f>IF(PROGRESS!$BG$28=PROGRESS!$DJ$46,COUNTIF($EO$60:$EO$90,PROGRESS!$BJ$28*EU$103),"")</f>
        <v/>
      </c>
      <c r="EV115" s="1801" t="str">
        <f>IF(PROGRESS!$BG$28=PROGRESS!$DJ$46,COUNTIF($EO$60:$EO$90,PROGRESS!$BJ$28*EV$103),"")</f>
        <v/>
      </c>
      <c r="IC115" s="1796"/>
      <c r="ID115" s="1796"/>
      <c r="IE115" s="1796"/>
      <c r="IF115" s="1796"/>
      <c r="IG115" s="1796"/>
      <c r="IH115" s="1796"/>
      <c r="II115" s="1796"/>
      <c r="IJ115" s="1796"/>
      <c r="IK115" s="1796"/>
      <c r="IL115" s="1796"/>
      <c r="IM115" s="1796"/>
      <c r="IN115" s="1796"/>
      <c r="IO115" s="1796"/>
      <c r="IP115" s="1796"/>
      <c r="IQ115" s="1796"/>
      <c r="IR115" s="1796"/>
      <c r="IS115" s="1796"/>
      <c r="IT115" s="1796"/>
      <c r="IU115" s="1796"/>
      <c r="IV115" s="1796"/>
      <c r="IW115" s="1796"/>
      <c r="IX115" s="1796"/>
      <c r="IY115" s="1796"/>
      <c r="JC115" s="1942"/>
      <c r="JE115" s="1900" t="s">
        <v>283</v>
      </c>
      <c r="JF115" s="1929">
        <f t="shared" ref="JF115:JF138" ca="1" si="47">IF($JF$89="roll", RANDBETWEEN(1,10),0)</f>
        <v>0</v>
      </c>
      <c r="JG115" s="1900" t="s">
        <v>338</v>
      </c>
      <c r="JH115" s="1929">
        <v>1</v>
      </c>
      <c r="JI115" s="1901"/>
      <c r="JL115" s="13"/>
      <c r="JM115" s="3287">
        <f>LEN('^'!$BS$49)</f>
        <v>5</v>
      </c>
      <c r="JO115" s="2170" t="s">
        <v>1914</v>
      </c>
      <c r="JP115" s="1819" t="s">
        <v>886</v>
      </c>
      <c r="KG115" s="1822"/>
      <c r="KH115" s="1821"/>
      <c r="KI115" s="1822"/>
      <c r="KJ115" s="1821"/>
      <c r="KK115" s="1822"/>
      <c r="KQ115" s="3076"/>
      <c r="KR115" s="3053"/>
      <c r="KS115" s="3078"/>
      <c r="KT115" s="3047"/>
      <c r="KV115" s="3046"/>
      <c r="KW115" s="3047"/>
    </row>
    <row r="116" spans="10:311" ht="17.100000000000001" customHeight="1" thickBot="1" x14ac:dyDescent="0.35">
      <c r="J116" s="1898" t="str">
        <f t="shared" si="38"/>
        <v/>
      </c>
      <c r="K116" s="3312" t="str">
        <f t="shared" si="39"/>
        <v/>
      </c>
      <c r="L116" s="1779"/>
      <c r="M116" s="1779"/>
      <c r="N116" s="1779"/>
      <c r="O116" s="1779"/>
      <c r="P116" s="1779"/>
      <c r="Q116" s="1779"/>
      <c r="R116" s="1779"/>
      <c r="S116" s="1779"/>
      <c r="T116" s="1779"/>
      <c r="U116" s="1779"/>
      <c r="V116" s="1922"/>
      <c r="W116" s="1779"/>
      <c r="X116" s="1779"/>
      <c r="Y116" s="1779"/>
      <c r="Z116" s="1779"/>
      <c r="AA116" s="1779"/>
      <c r="AB116" s="1779"/>
      <c r="AC116" s="1779"/>
      <c r="AD116" s="1779"/>
      <c r="AE116" s="1779"/>
      <c r="AF116" s="1779"/>
      <c r="AH116" s="3312" t="str">
        <f t="shared" si="40"/>
        <v/>
      </c>
      <c r="AI116" s="1779"/>
      <c r="AJ116" s="1928"/>
      <c r="AK116" s="1779"/>
      <c r="AL116" s="1779"/>
      <c r="AM116" s="1779"/>
      <c r="AN116" s="1779"/>
      <c r="AO116" s="1779"/>
      <c r="AP116" s="1779"/>
      <c r="AQ116" s="1779"/>
      <c r="AR116" s="1779"/>
      <c r="AS116" s="1779"/>
      <c r="AT116" s="3213"/>
      <c r="AU116" s="1928"/>
      <c r="AV116" s="1779"/>
      <c r="AW116" s="1779"/>
      <c r="AX116" s="1779"/>
      <c r="AY116" s="1779"/>
      <c r="AZ116" s="1779"/>
      <c r="BA116" s="1779"/>
      <c r="BB116" s="1779"/>
      <c r="BC116" s="1779"/>
      <c r="BD116" s="1779"/>
      <c r="BE116" s="3311">
        <v>93</v>
      </c>
      <c r="BF116" s="1882" t="str">
        <f t="shared" si="35"/>
        <v/>
      </c>
      <c r="BG116" s="1883">
        <f t="shared" si="36"/>
        <v>0</v>
      </c>
      <c r="BH116" s="1884">
        <f t="shared" si="37"/>
        <v>0</v>
      </c>
      <c r="EB116" s="5146"/>
      <c r="EC116" s="1782" t="str">
        <f>ACTIONS!$BS$34</f>
        <v>BDY3</v>
      </c>
      <c r="ED116" s="1810">
        <f>SUM(EP22:EP52)</f>
        <v>0</v>
      </c>
      <c r="EE116" s="1810">
        <f>EP94</f>
        <v>0</v>
      </c>
      <c r="EF116" s="1810">
        <f>EP95</f>
        <v>0</v>
      </c>
      <c r="EG116" s="1801"/>
      <c r="EH116" s="1801">
        <f>MAX($EP$127:$EP$157)</f>
        <v>0</v>
      </c>
      <c r="EI116" s="1801">
        <f t="shared" si="46"/>
        <v>0</v>
      </c>
      <c r="EJ116" s="1801">
        <f>COUNTIF(ACTIONS!$BS$3:$BS$33,"&gt;="&amp;PROGRESS!BJ29)</f>
        <v>0</v>
      </c>
      <c r="EK116" s="1801"/>
      <c r="EM116" s="1796"/>
      <c r="EN116" s="1801" t="str">
        <f>IF(PROGRESS!$BG$29=PROGRESS!$DJ$46,COUNTIF($EP$60:$EP$90,PROGRESS!$BJ$29*EN$103),"")</f>
        <v/>
      </c>
      <c r="EO116" s="1801" t="str">
        <f>IF(PROGRESS!$BG$29=PROGRESS!$DJ$46,COUNTIF($EP$60:$EP$90,PROGRESS!$BJ$29*EO$103),"")</f>
        <v/>
      </c>
      <c r="EP116" s="1801" t="str">
        <f>IF(PROGRESS!$BG$29=PROGRESS!$DJ$46,COUNTIF($EP$60:$EP$90,PROGRESS!$BJ$29*EP$103),"")</f>
        <v/>
      </c>
      <c r="EQ116" s="1801" t="str">
        <f>IF(PROGRESS!$BG$29=PROGRESS!$DJ$46,COUNTIF($EP$60:$EP$90,PROGRESS!$BJ$29*EQ$103),"")</f>
        <v/>
      </c>
      <c r="ER116" s="1801" t="str">
        <f>IF(PROGRESS!$BG$29=PROGRESS!$DJ$46,COUNTIF($EP$60:$EP$90,PROGRESS!$BJ$29*ER$103),"")</f>
        <v/>
      </c>
      <c r="ES116" s="1801" t="str">
        <f>IF(PROGRESS!$BG$29=PROGRESS!$DJ$46,COUNTIF($EP$60:$EP$90,PROGRESS!$BJ$29*ES$103),"")</f>
        <v/>
      </c>
      <c r="ET116" s="1801" t="str">
        <f>IF(PROGRESS!$BG$29=PROGRESS!$DJ$46,COUNTIF($EP$60:$EP$90,PROGRESS!$BJ$29*ET$103),"")</f>
        <v/>
      </c>
      <c r="EU116" s="1801" t="str">
        <f>IF(PROGRESS!$BG$29=PROGRESS!$DJ$46,COUNTIF($EP$60:$EP$90,PROGRESS!$BJ$29*EU$103),"")</f>
        <v/>
      </c>
      <c r="EV116" s="1801" t="str">
        <f>IF(PROGRESS!$BG$29=PROGRESS!$DJ$46,COUNTIF($EP$60:$EP$90,PROGRESS!$BJ$29*EV$103),"")</f>
        <v/>
      </c>
      <c r="IC116" s="1796"/>
      <c r="ID116" s="1796"/>
      <c r="IE116" s="1796"/>
      <c r="IF116" s="1796"/>
      <c r="IG116" s="1796"/>
      <c r="IH116" s="1796"/>
      <c r="II116" s="1796"/>
      <c r="IJ116" s="1796"/>
      <c r="IK116" s="1796"/>
      <c r="IL116" s="1796"/>
      <c r="IM116" s="1796"/>
      <c r="IN116" s="1796"/>
      <c r="IO116" s="1796"/>
      <c r="IP116" s="1796"/>
      <c r="IQ116" s="1796"/>
      <c r="IR116" s="1796"/>
      <c r="IS116" s="1796"/>
      <c r="IT116" s="1796"/>
      <c r="IU116" s="1796"/>
      <c r="IV116" s="1796"/>
      <c r="IW116" s="1796"/>
      <c r="IX116" s="1796"/>
      <c r="IY116" s="1796"/>
      <c r="JC116" s="1892"/>
      <c r="JE116" s="1808"/>
      <c r="JF116" s="1929">
        <f t="shared" ca="1" si="47"/>
        <v>0</v>
      </c>
      <c r="JG116" s="1900" t="s">
        <v>339</v>
      </c>
      <c r="JH116" s="1850">
        <v>1</v>
      </c>
      <c r="JI116" s="1901"/>
      <c r="JM116" s="1893"/>
      <c r="JO116" s="2170" t="s">
        <v>1318</v>
      </c>
      <c r="JP116" s="1819" t="s">
        <v>430</v>
      </c>
      <c r="KG116" s="1822"/>
      <c r="KH116" s="1821"/>
      <c r="KI116" s="1822"/>
      <c r="KJ116" s="1821"/>
      <c r="KK116" s="1822"/>
      <c r="KQ116" s="3076"/>
      <c r="KR116" s="1764"/>
      <c r="KS116" s="3078"/>
      <c r="KT116" s="3047"/>
      <c r="KV116" s="3046"/>
      <c r="KW116" s="3047"/>
    </row>
    <row r="117" spans="10:311" ht="17.100000000000001" customHeight="1" thickBot="1" x14ac:dyDescent="0.35">
      <c r="J117" s="1898" t="str">
        <f t="shared" si="38"/>
        <v/>
      </c>
      <c r="K117" s="3312" t="str">
        <f t="shared" si="39"/>
        <v/>
      </c>
      <c r="L117" s="1779"/>
      <c r="M117" s="1779"/>
      <c r="N117" s="1779"/>
      <c r="O117" s="1779"/>
      <c r="P117" s="1779"/>
      <c r="Q117" s="1779"/>
      <c r="R117" s="1779"/>
      <c r="S117" s="1779"/>
      <c r="T117" s="1779"/>
      <c r="U117" s="1779"/>
      <c r="V117" s="1922"/>
      <c r="W117" s="1779"/>
      <c r="X117" s="1779"/>
      <c r="Y117" s="1779"/>
      <c r="Z117" s="1779"/>
      <c r="AA117" s="1779"/>
      <c r="AB117" s="1779"/>
      <c r="AC117" s="1779"/>
      <c r="AD117" s="1779"/>
      <c r="AE117" s="1779"/>
      <c r="AF117" s="1779"/>
      <c r="AH117" s="3312" t="str">
        <f t="shared" si="40"/>
        <v/>
      </c>
      <c r="AI117" s="1779"/>
      <c r="AJ117" s="1928"/>
      <c r="AK117" s="1779"/>
      <c r="AL117" s="1779"/>
      <c r="AM117" s="1779"/>
      <c r="AN117" s="1779"/>
      <c r="AO117" s="1779"/>
      <c r="AP117" s="1779"/>
      <c r="AQ117" s="1779"/>
      <c r="AR117" s="1779"/>
      <c r="AS117" s="1779"/>
      <c r="AT117" s="3213"/>
      <c r="AU117" s="1928"/>
      <c r="AV117" s="1779"/>
      <c r="AW117" s="1779"/>
      <c r="AX117" s="1779"/>
      <c r="AY117" s="1779"/>
      <c r="AZ117" s="1779"/>
      <c r="BA117" s="1779"/>
      <c r="BB117" s="1779"/>
      <c r="BC117" s="1779"/>
      <c r="BD117" s="1779"/>
      <c r="BE117" s="3311">
        <v>94</v>
      </c>
      <c r="BF117" s="1882" t="str">
        <f t="shared" si="35"/>
        <v/>
      </c>
      <c r="BG117" s="1883">
        <f t="shared" si="36"/>
        <v>0</v>
      </c>
      <c r="BH117" s="1884">
        <f t="shared" ref="BH117:BH126" si="48">IF(BG117&lt;&gt;0,BG117-BG116,0)</f>
        <v>0</v>
      </c>
      <c r="EB117" s="5146"/>
      <c r="EC117" s="1782" t="str">
        <f>ACTIONS!$BT$34</f>
        <v>BDY4</v>
      </c>
      <c r="ED117" s="1810">
        <f>SUM(EQ22:EQ52)</f>
        <v>0</v>
      </c>
      <c r="EE117" s="1810">
        <f>EQ94</f>
        <v>0</v>
      </c>
      <c r="EF117" s="1810">
        <f>EQ95</f>
        <v>0</v>
      </c>
      <c r="EG117" s="1801"/>
      <c r="EH117" s="1801">
        <f>MAX($EQ$127:$EQ$157)</f>
        <v>0</v>
      </c>
      <c r="EI117" s="1801">
        <f t="shared" si="46"/>
        <v>0</v>
      </c>
      <c r="EJ117" s="1801">
        <f>COUNTIF(ACTIONS!$BT$3:$BT$33,"&gt;="&amp;PROGRESS!BJ30)</f>
        <v>0</v>
      </c>
      <c r="EK117" s="1801"/>
      <c r="EM117" s="1796"/>
      <c r="EN117" s="1801" t="str">
        <f>IF(PROGRESS!$BG$30=PROGRESS!$DJ$46,COUNTIF($EQ$60:$EQ$90,PROGRESS!$BJ$30*EN$103),"")</f>
        <v/>
      </c>
      <c r="EO117" s="1801" t="str">
        <f>IF(PROGRESS!$BG$30=PROGRESS!$DJ$46,COUNTIF($EQ$60:$EQ$90,PROGRESS!$BJ$30*EO$103),"")</f>
        <v/>
      </c>
      <c r="EP117" s="1801" t="str">
        <f>IF(PROGRESS!$BG$30=PROGRESS!$DJ$46,COUNTIF($EQ$60:$EQ$90,PROGRESS!$BJ$30*EP$103),"")</f>
        <v/>
      </c>
      <c r="EQ117" s="1801" t="str">
        <f>IF(PROGRESS!$BG$30=PROGRESS!$DJ$46,COUNTIF($EQ$60:$EQ$90,PROGRESS!$BJ$30*EQ$103),"")</f>
        <v/>
      </c>
      <c r="ER117" s="1801" t="str">
        <f>IF(PROGRESS!$BG$30=PROGRESS!$DJ$46,COUNTIF($EQ$60:$EQ$90,PROGRESS!$BJ$30*ER$103),"")</f>
        <v/>
      </c>
      <c r="ES117" s="1801" t="str">
        <f>IF(PROGRESS!$BG$30=PROGRESS!$DJ$46,COUNTIF($EQ$60:$EQ$90,PROGRESS!$BJ$30*ES$103),"")</f>
        <v/>
      </c>
      <c r="ET117" s="1801" t="str">
        <f>IF(PROGRESS!$BG$30=PROGRESS!$DJ$46,COUNTIF($EQ$60:$EQ$90,PROGRESS!$BJ$30*ET$103),"")</f>
        <v/>
      </c>
      <c r="EU117" s="1801" t="str">
        <f>IF(PROGRESS!$BG$30=PROGRESS!$DJ$46,COUNTIF($EQ$60:$EQ$90,PROGRESS!$BJ$30*EU$103),"")</f>
        <v/>
      </c>
      <c r="EV117" s="1801" t="str">
        <f>IF(PROGRESS!$BG$30=PROGRESS!$DJ$46,COUNTIF($EQ$60:$EQ$90,PROGRESS!$BJ$30*EV$103),"")</f>
        <v/>
      </c>
      <c r="IC117" s="1796"/>
      <c r="ID117" s="1796"/>
      <c r="IE117" s="1796"/>
      <c r="IF117" s="1796"/>
      <c r="IG117" s="1796"/>
      <c r="IH117" s="1796"/>
      <c r="II117" s="1796"/>
      <c r="IJ117" s="1796"/>
      <c r="IK117" s="1796"/>
      <c r="IL117" s="1796"/>
      <c r="IM117" s="1796"/>
      <c r="IN117" s="1796"/>
      <c r="IO117" s="1796"/>
      <c r="IP117" s="1796"/>
      <c r="IQ117" s="1796"/>
      <c r="IR117" s="1796"/>
      <c r="IS117" s="1796"/>
      <c r="IT117" s="1796"/>
      <c r="IU117" s="1796"/>
      <c r="IV117" s="1796"/>
      <c r="IW117" s="1796"/>
      <c r="IX117" s="1796"/>
      <c r="IY117" s="1796"/>
      <c r="JC117" s="1892"/>
      <c r="JE117" s="1900"/>
      <c r="JF117" s="1929">
        <f t="shared" ca="1" si="47"/>
        <v>0</v>
      </c>
      <c r="JG117" s="1900" t="s">
        <v>340</v>
      </c>
      <c r="JH117" s="1850">
        <v>3</v>
      </c>
      <c r="JI117" s="1901"/>
      <c r="JM117" s="1893"/>
      <c r="JO117" s="2170" t="s">
        <v>1939</v>
      </c>
      <c r="JP117" s="1819" t="s">
        <v>931</v>
      </c>
      <c r="KG117" s="1822"/>
      <c r="KH117" s="1821"/>
      <c r="KI117" s="1822"/>
      <c r="KJ117" s="1821"/>
      <c r="KK117" s="1822"/>
      <c r="KQ117" s="3076"/>
      <c r="KR117" s="3053"/>
      <c r="KS117" s="3078"/>
      <c r="KT117" s="3047"/>
    </row>
    <row r="118" spans="10:311" ht="17.100000000000001" customHeight="1" thickBot="1" x14ac:dyDescent="0.35">
      <c r="J118" s="1898" t="str">
        <f t="shared" si="38"/>
        <v/>
      </c>
      <c r="K118" s="3312" t="str">
        <f t="shared" si="39"/>
        <v/>
      </c>
      <c r="L118" s="1779"/>
      <c r="M118" s="1779"/>
      <c r="N118" s="1779"/>
      <c r="O118" s="1779"/>
      <c r="P118" s="1779"/>
      <c r="Q118" s="1779"/>
      <c r="R118" s="1779"/>
      <c r="S118" s="1779"/>
      <c r="T118" s="1779"/>
      <c r="U118" s="1779"/>
      <c r="V118" s="1922"/>
      <c r="W118" s="1779"/>
      <c r="X118" s="1779"/>
      <c r="Y118" s="1779"/>
      <c r="Z118" s="1779"/>
      <c r="AA118" s="1779"/>
      <c r="AB118" s="1779"/>
      <c r="AC118" s="1779"/>
      <c r="AD118" s="1779"/>
      <c r="AE118" s="1779"/>
      <c r="AF118" s="1779"/>
      <c r="AH118" s="3312" t="str">
        <f t="shared" si="40"/>
        <v/>
      </c>
      <c r="AI118" s="1779"/>
      <c r="AJ118" s="1928"/>
      <c r="AK118" s="1779"/>
      <c r="AL118" s="1779"/>
      <c r="AM118" s="1779"/>
      <c r="AN118" s="1779"/>
      <c r="AO118" s="1779"/>
      <c r="AP118" s="1779"/>
      <c r="AQ118" s="1779"/>
      <c r="AR118" s="1779"/>
      <c r="AS118" s="1779"/>
      <c r="AT118" s="3213"/>
      <c r="AU118" s="1928"/>
      <c r="AV118" s="1779"/>
      <c r="AW118" s="1779"/>
      <c r="AX118" s="1779"/>
      <c r="AY118" s="1779"/>
      <c r="AZ118" s="1779"/>
      <c r="BA118" s="1779"/>
      <c r="BB118" s="1779"/>
      <c r="BC118" s="1779"/>
      <c r="BD118" s="1779"/>
      <c r="BE118" s="3311">
        <v>95</v>
      </c>
      <c r="BF118" s="1882" t="str">
        <f t="shared" si="35"/>
        <v/>
      </c>
      <c r="BG118" s="1883">
        <f t="shared" si="36"/>
        <v>0</v>
      </c>
      <c r="BH118" s="1884">
        <f t="shared" si="48"/>
        <v>0</v>
      </c>
      <c r="EB118" s="5146"/>
      <c r="EC118" s="1782" t="str">
        <f>ACTIONS!$BU$34</f>
        <v>BDY5</v>
      </c>
      <c r="ED118" s="1810">
        <f>SUM(ER22:ER52)</f>
        <v>0</v>
      </c>
      <c r="EE118" s="1810">
        <f>ER94</f>
        <v>0</v>
      </c>
      <c r="EF118" s="1810">
        <f>ER95</f>
        <v>0</v>
      </c>
      <c r="EG118" s="1801"/>
      <c r="EH118" s="1801">
        <f>MAX($ER$127:$ER$157)</f>
        <v>0</v>
      </c>
      <c r="EI118" s="1801">
        <f t="shared" si="46"/>
        <v>0</v>
      </c>
      <c r="EJ118" s="1801">
        <f>COUNTIF(ACTIONS!$BU$3:$BU$33,"&gt;="&amp;PROGRESS!BJ31)</f>
        <v>0</v>
      </c>
      <c r="EK118" s="1801"/>
      <c r="EM118" s="1796"/>
      <c r="EN118" s="1801" t="str">
        <f>IF(PROGRESS!$BG$31=PROGRESS!$DJ$46,COUNTIF($ER$60:$ER$90,PROGRESS!$BJ$31*EN$103),"")</f>
        <v/>
      </c>
      <c r="EO118" s="1801" t="str">
        <f>IF(PROGRESS!$BG$31=PROGRESS!$DJ$46,COUNTIF($ER$60:$ER$90,PROGRESS!$BJ$31*EO$103),"")</f>
        <v/>
      </c>
      <c r="EP118" s="1801" t="str">
        <f>IF(PROGRESS!$BG$31=PROGRESS!$DJ$46,COUNTIF($ER$60:$ER$90,PROGRESS!$BJ$31*EP$103),"")</f>
        <v/>
      </c>
      <c r="EQ118" s="1801" t="str">
        <f>IF(PROGRESS!$BG$31=PROGRESS!$DJ$46,COUNTIF($ER$60:$ER$90,PROGRESS!$BJ$31*EQ$103),"")</f>
        <v/>
      </c>
      <c r="ER118" s="1801" t="str">
        <f>IF(PROGRESS!$BG$31=PROGRESS!$DJ$46,COUNTIF($ER$60:$ER$90,PROGRESS!$BJ$31*ER$103),"")</f>
        <v/>
      </c>
      <c r="ES118" s="1801" t="str">
        <f>IF(PROGRESS!$BG$31=PROGRESS!$DJ$46,COUNTIF($ER$60:$ER$90,PROGRESS!$BJ$31*ES$103),"")</f>
        <v/>
      </c>
      <c r="ET118" s="1801" t="str">
        <f>IF(PROGRESS!$BG$31=PROGRESS!$DJ$46,COUNTIF($ER$60:$ER$90,PROGRESS!$BJ$31*ET$103),"")</f>
        <v/>
      </c>
      <c r="EU118" s="1801" t="str">
        <f>IF(PROGRESS!$BG$31=PROGRESS!$DJ$46,COUNTIF($ER$60:$ER$90,PROGRESS!$BJ$31*EU$103),"")</f>
        <v/>
      </c>
      <c r="EV118" s="1801" t="str">
        <f>IF(PROGRESS!$BG$31=PROGRESS!$DJ$46,COUNTIF($ER$60:$ER$90,PROGRESS!$BJ$31*EV$103),"")</f>
        <v/>
      </c>
      <c r="IC118" s="1796"/>
      <c r="ID118" s="1796"/>
      <c r="IE118" s="1796"/>
      <c r="IF118" s="1796"/>
      <c r="IG118" s="1796"/>
      <c r="IH118" s="1796"/>
      <c r="II118" s="1796"/>
      <c r="IJ118" s="1796"/>
      <c r="IK118" s="1796"/>
      <c r="IL118" s="1796"/>
      <c r="IM118" s="1796"/>
      <c r="IN118" s="1796"/>
      <c r="IO118" s="1796"/>
      <c r="IP118" s="1796"/>
      <c r="IQ118" s="1796"/>
      <c r="IR118" s="1796"/>
      <c r="IS118" s="1796"/>
      <c r="IT118" s="1796"/>
      <c r="IU118" s="1796"/>
      <c r="IV118" s="1796"/>
      <c r="IW118" s="1796"/>
      <c r="IX118" s="1796"/>
      <c r="IY118" s="1796"/>
      <c r="JC118" s="1892"/>
      <c r="JE118" s="1900"/>
      <c r="JF118" s="1929">
        <f t="shared" ca="1" si="47"/>
        <v>0</v>
      </c>
      <c r="JG118" s="1900" t="s">
        <v>341</v>
      </c>
      <c r="JH118" s="1850">
        <v>6</v>
      </c>
      <c r="JI118" s="1901"/>
      <c r="JM118" s="1893"/>
      <c r="JO118" s="3054" t="s">
        <v>1368</v>
      </c>
      <c r="JP118" s="1819" t="s">
        <v>2432</v>
      </c>
      <c r="KG118" s="1822"/>
      <c r="KH118" s="1821"/>
      <c r="KI118" s="1822"/>
      <c r="KJ118" s="1821"/>
      <c r="KK118" s="1822"/>
      <c r="KQ118" s="3076"/>
      <c r="KR118" s="3053"/>
      <c r="KS118" s="3078"/>
      <c r="KT118" s="3047"/>
    </row>
    <row r="119" spans="10:311" ht="17.100000000000001" customHeight="1" thickBot="1" x14ac:dyDescent="0.35">
      <c r="J119" s="1898" t="str">
        <f t="shared" si="38"/>
        <v/>
      </c>
      <c r="K119" s="3312" t="str">
        <f t="shared" si="39"/>
        <v/>
      </c>
      <c r="L119" s="1779"/>
      <c r="M119" s="1779"/>
      <c r="N119" s="1779"/>
      <c r="O119" s="1779"/>
      <c r="P119" s="1779"/>
      <c r="Q119" s="1779"/>
      <c r="R119" s="1779"/>
      <c r="S119" s="1779"/>
      <c r="T119" s="1779"/>
      <c r="U119" s="1779"/>
      <c r="V119" s="1922"/>
      <c r="W119" s="1779"/>
      <c r="X119" s="1779"/>
      <c r="Y119" s="1779"/>
      <c r="Z119" s="1779"/>
      <c r="AA119" s="1779"/>
      <c r="AB119" s="1779"/>
      <c r="AC119" s="1779"/>
      <c r="AD119" s="1779"/>
      <c r="AE119" s="1779"/>
      <c r="AF119" s="1779"/>
      <c r="AH119" s="3312" t="str">
        <f t="shared" si="40"/>
        <v/>
      </c>
      <c r="AI119" s="1779"/>
      <c r="AJ119" s="1928"/>
      <c r="AK119" s="1779"/>
      <c r="AL119" s="1779"/>
      <c r="AM119" s="1779"/>
      <c r="AN119" s="1779"/>
      <c r="AO119" s="1779"/>
      <c r="AP119" s="1779"/>
      <c r="AQ119" s="1779"/>
      <c r="AR119" s="1779"/>
      <c r="AS119" s="1779"/>
      <c r="AT119" s="3213"/>
      <c r="AU119" s="1928"/>
      <c r="AV119" s="1779"/>
      <c r="AW119" s="1779"/>
      <c r="AX119" s="1779"/>
      <c r="AY119" s="1779"/>
      <c r="AZ119" s="1779"/>
      <c r="BA119" s="1779"/>
      <c r="BB119" s="1779"/>
      <c r="BC119" s="1779"/>
      <c r="BD119" s="1779"/>
      <c r="BE119" s="3311">
        <v>96</v>
      </c>
      <c r="BF119" s="1882" t="str">
        <f t="shared" si="35"/>
        <v/>
      </c>
      <c r="BG119" s="1883">
        <f t="shared" si="36"/>
        <v>0</v>
      </c>
      <c r="BH119" s="1884">
        <f t="shared" si="48"/>
        <v>0</v>
      </c>
      <c r="EB119" s="5146"/>
      <c r="EC119" s="1782" t="str">
        <f>ACTIONS!$BV$34</f>
        <v>BDY6</v>
      </c>
      <c r="ED119" s="1810">
        <f>SUM(ES22:ES52)</f>
        <v>0</v>
      </c>
      <c r="EE119" s="1810">
        <f>ES94</f>
        <v>0</v>
      </c>
      <c r="EF119" s="1810">
        <f>ES95</f>
        <v>0</v>
      </c>
      <c r="EG119" s="1801"/>
      <c r="EH119" s="1801">
        <f>MAX($ES$127:$ES$157)</f>
        <v>0</v>
      </c>
      <c r="EI119" s="1801">
        <f t="shared" si="46"/>
        <v>0</v>
      </c>
      <c r="EJ119" s="1801">
        <f>COUNTIF(ACTIONS!$BV$3:$BV$33,"&gt;="&amp;PROGRESS!BJ32)</f>
        <v>0</v>
      </c>
      <c r="EK119" s="1801"/>
      <c r="EM119" s="1796"/>
      <c r="EN119" s="1801" t="str">
        <f>IF(PROGRESS!$BG$32=PROGRESS!$DJ$46,COUNTIF($ES$60:$ES$90,PROGRESS!$BJ$32*EN$103),"")</f>
        <v/>
      </c>
      <c r="EO119" s="1801" t="str">
        <f>IF(PROGRESS!$BG$32=PROGRESS!$DJ$46,COUNTIF($ES$60:$ES$90,PROGRESS!$BJ$32*EO$103),"")</f>
        <v/>
      </c>
      <c r="EP119" s="1801" t="str">
        <f>IF(PROGRESS!$BG$32=PROGRESS!$DJ$46,COUNTIF($ES$60:$ES$90,PROGRESS!$BJ$32*EP$103),"")</f>
        <v/>
      </c>
      <c r="EQ119" s="1801" t="str">
        <f>IF(PROGRESS!$BG$32=PROGRESS!$DJ$46,COUNTIF($ES$60:$ES$90,PROGRESS!$BJ$32*EQ$103),"")</f>
        <v/>
      </c>
      <c r="ER119" s="1801" t="str">
        <f>IF(PROGRESS!$BG$32=PROGRESS!$DJ$46,COUNTIF($ES$60:$ES$90,PROGRESS!$BJ$32*ER$103),"")</f>
        <v/>
      </c>
      <c r="ES119" s="1801" t="str">
        <f>IF(PROGRESS!$BG$32=PROGRESS!$DJ$46,COUNTIF($ES$60:$ES$90,PROGRESS!$BJ$32*ES$103),"")</f>
        <v/>
      </c>
      <c r="ET119" s="1801" t="str">
        <f>IF(PROGRESS!$BG$32=PROGRESS!$DJ$46,COUNTIF($ES$60:$ES$90,PROGRESS!$BJ$32*ET$103),"")</f>
        <v/>
      </c>
      <c r="EU119" s="1801" t="str">
        <f>IF(PROGRESS!$BG$32=PROGRESS!$DJ$46,COUNTIF($ES$60:$ES$90,PROGRESS!$BJ$32*EU$103),"")</f>
        <v/>
      </c>
      <c r="EV119" s="1801" t="str">
        <f>IF(PROGRESS!$BG$32=PROGRESS!$DJ$46,COUNTIF($ES$60:$ES$90,PROGRESS!$BJ$32*EV$103),"")</f>
        <v/>
      </c>
      <c r="IC119" s="1796"/>
      <c r="ID119" s="1796"/>
      <c r="IE119" s="1796"/>
      <c r="IF119" s="1796"/>
      <c r="IG119" s="1796"/>
      <c r="IH119" s="1796"/>
      <c r="II119" s="1796"/>
      <c r="IJ119" s="1796"/>
      <c r="IK119" s="1796"/>
      <c r="IL119" s="1796"/>
      <c r="IM119" s="1796"/>
      <c r="IN119" s="1796"/>
      <c r="IO119" s="1796"/>
      <c r="IP119" s="1796"/>
      <c r="IQ119" s="1796"/>
      <c r="IR119" s="1796"/>
      <c r="IS119" s="1796"/>
      <c r="IT119" s="1796"/>
      <c r="IU119" s="1796"/>
      <c r="IV119" s="1796"/>
      <c r="IW119" s="1796"/>
      <c r="IX119" s="1796"/>
      <c r="IY119" s="1796"/>
      <c r="JC119" s="1892"/>
      <c r="JE119" s="1900"/>
      <c r="JF119" s="1929">
        <f t="shared" ca="1" si="47"/>
        <v>0</v>
      </c>
      <c r="JG119" s="1900" t="s">
        <v>342</v>
      </c>
      <c r="JH119" s="1850">
        <v>8</v>
      </c>
      <c r="JI119" s="1870" t="s">
        <v>260</v>
      </c>
      <c r="JM119" s="1893"/>
      <c r="JO119" s="3054" t="s">
        <v>2011</v>
      </c>
      <c r="JP119" s="1819" t="s">
        <v>2433</v>
      </c>
      <c r="KG119" s="1791"/>
      <c r="KH119" s="1821"/>
      <c r="KI119" s="1822"/>
      <c r="KJ119" s="1821"/>
      <c r="KK119" s="1822"/>
      <c r="KQ119" s="3079"/>
      <c r="KR119" s="3047"/>
      <c r="KS119" s="3078"/>
      <c r="KT119" s="3047"/>
      <c r="KV119" s="3046"/>
    </row>
    <row r="120" spans="10:311" ht="17.100000000000001" customHeight="1" thickBot="1" x14ac:dyDescent="0.35">
      <c r="J120" s="1898" t="str">
        <f t="shared" si="38"/>
        <v/>
      </c>
      <c r="K120" s="3312" t="str">
        <f t="shared" si="39"/>
        <v/>
      </c>
      <c r="L120" s="1779"/>
      <c r="M120" s="1779"/>
      <c r="N120" s="1779"/>
      <c r="O120" s="1779"/>
      <c r="P120" s="1779"/>
      <c r="Q120" s="1779"/>
      <c r="R120" s="1779"/>
      <c r="S120" s="1779"/>
      <c r="T120" s="1779"/>
      <c r="U120" s="1779"/>
      <c r="V120" s="1922"/>
      <c r="W120" s="1779"/>
      <c r="X120" s="1779"/>
      <c r="Y120" s="1779"/>
      <c r="Z120" s="1779"/>
      <c r="AA120" s="1779"/>
      <c r="AB120" s="1779"/>
      <c r="AC120" s="1779"/>
      <c r="AD120" s="1779"/>
      <c r="AE120" s="1779"/>
      <c r="AF120" s="1779"/>
      <c r="AH120" s="3312" t="str">
        <f t="shared" si="40"/>
        <v/>
      </c>
      <c r="AI120" s="1779"/>
      <c r="AJ120" s="1928"/>
      <c r="AK120" s="1779"/>
      <c r="AL120" s="1779"/>
      <c r="AM120" s="1779"/>
      <c r="AN120" s="1779"/>
      <c r="AO120" s="1779"/>
      <c r="AP120" s="1779"/>
      <c r="AQ120" s="1779"/>
      <c r="AR120" s="1779"/>
      <c r="AS120" s="1779"/>
      <c r="AT120" s="3213"/>
      <c r="AU120" s="1928"/>
      <c r="AV120" s="1779"/>
      <c r="AW120" s="1779"/>
      <c r="AX120" s="1779"/>
      <c r="AY120" s="1779"/>
      <c r="AZ120" s="1779"/>
      <c r="BA120" s="1779"/>
      <c r="BB120" s="1779"/>
      <c r="BC120" s="1779"/>
      <c r="BD120" s="1779"/>
      <c r="BE120" s="3311">
        <v>97</v>
      </c>
      <c r="BF120" s="1882" t="str">
        <f t="shared" ref="BF120:BF126" si="49">ROMAN(AU120)</f>
        <v/>
      </c>
      <c r="BG120" s="1883">
        <f t="shared" ref="BG120:BG126" si="50">SUM(AK120:AS120,AV120:BD120)</f>
        <v>0</v>
      </c>
      <c r="BH120" s="1884">
        <f t="shared" si="48"/>
        <v>0</v>
      </c>
      <c r="EB120" s="5146"/>
      <c r="EC120" s="1782" t="str">
        <f>ACTIONS!$BW$34</f>
        <v>BDY7</v>
      </c>
      <c r="ED120" s="1810">
        <f>SUM(ET22:ET52)</f>
        <v>0</v>
      </c>
      <c r="EE120" s="1810">
        <f>ET94</f>
        <v>0</v>
      </c>
      <c r="EF120" s="1810">
        <f>ET95</f>
        <v>0</v>
      </c>
      <c r="EG120" s="1801"/>
      <c r="EH120" s="1801">
        <f>MAX($ET$127:$ET$157)</f>
        <v>0</v>
      </c>
      <c r="EI120" s="1801">
        <f t="shared" si="46"/>
        <v>0</v>
      </c>
      <c r="EJ120" s="1801">
        <f>COUNTIF(ACTIONS!$BW$3:$BW$33,"&gt;="&amp;PROGRESS!BJ33)</f>
        <v>0</v>
      </c>
      <c r="EK120" s="1801"/>
      <c r="EM120" s="1796"/>
      <c r="EN120" s="1801" t="str">
        <f>IF(PROGRESS!$BG$33=PROGRESS!$DJ$46,COUNTIF($ET$60:$ET$90,PROGRESS!$BJ$33*EN$103),"")</f>
        <v/>
      </c>
      <c r="EO120" s="1801" t="str">
        <f>IF(PROGRESS!$BG$33=PROGRESS!$DJ$46,COUNTIF($ET$60:$ET$90,PROGRESS!$BJ$33*EO$103),"")</f>
        <v/>
      </c>
      <c r="EP120" s="1801" t="str">
        <f>IF(PROGRESS!$BG$33=PROGRESS!$DJ$46,COUNTIF($ET$60:$ET$90,PROGRESS!$BJ$33*EP$103),"")</f>
        <v/>
      </c>
      <c r="EQ120" s="1801" t="str">
        <f>IF(PROGRESS!$BG$33=PROGRESS!$DJ$46,COUNTIF($ET$60:$ET$90,PROGRESS!$BJ$33*EQ$103),"")</f>
        <v/>
      </c>
      <c r="ER120" s="1801" t="str">
        <f>IF(PROGRESS!$BG$33=PROGRESS!$DJ$46,COUNTIF($ET$60:$ET$90,PROGRESS!$BJ$33*ER$103),"")</f>
        <v/>
      </c>
      <c r="ES120" s="1801" t="str">
        <f>IF(PROGRESS!$BG$33=PROGRESS!$DJ$46,COUNTIF($ET$60:$ET$90,PROGRESS!$BJ$33*ES$103),"")</f>
        <v/>
      </c>
      <c r="ET120" s="1801" t="str">
        <f>IF(PROGRESS!$BG$33=PROGRESS!$DJ$46,COUNTIF($ET$60:$ET$90,PROGRESS!$BJ$33*ET$103),"")</f>
        <v/>
      </c>
      <c r="EU120" s="1801" t="str">
        <f>IF(PROGRESS!$BG$33=PROGRESS!$DJ$46,COUNTIF($ET$60:$ET$90,PROGRESS!$BJ$33*EU$103),"")</f>
        <v/>
      </c>
      <c r="EV120" s="1801" t="str">
        <f>IF(PROGRESS!$BG$33=PROGRESS!$DJ$46,COUNTIF($ET$60:$ET$90,PROGRESS!$BJ$33*EV$103),"")</f>
        <v/>
      </c>
      <c r="IC120" s="1796"/>
      <c r="ID120" s="1796"/>
      <c r="IE120" s="1796"/>
      <c r="IF120" s="1796"/>
      <c r="IG120" s="1796"/>
      <c r="IH120" s="1796"/>
      <c r="II120" s="1796"/>
      <c r="IJ120" s="1796"/>
      <c r="IK120" s="1796"/>
      <c r="IL120" s="1796"/>
      <c r="IM120" s="1796"/>
      <c r="IN120" s="1796"/>
      <c r="IO120" s="1796"/>
      <c r="IP120" s="1796"/>
      <c r="IQ120" s="1796"/>
      <c r="IR120" s="1796"/>
      <c r="IS120" s="1796"/>
      <c r="IT120" s="1796"/>
      <c r="IU120" s="1796"/>
      <c r="IV120" s="1796"/>
      <c r="IW120" s="1796"/>
      <c r="IX120" s="1796"/>
      <c r="IY120" s="1796"/>
      <c r="JC120" s="1892"/>
      <c r="JE120" s="1900"/>
      <c r="JF120" s="1929">
        <f t="shared" ca="1" si="47"/>
        <v>0</v>
      </c>
      <c r="JG120" s="1900" t="s">
        <v>343</v>
      </c>
      <c r="JH120" s="1850">
        <v>8</v>
      </c>
      <c r="JI120" s="1901"/>
      <c r="JM120" s="1893"/>
      <c r="JO120" s="2170" t="s">
        <v>1894</v>
      </c>
      <c r="JP120" s="1819" t="s">
        <v>1565</v>
      </c>
      <c r="KG120" s="1822"/>
      <c r="KH120" s="1821"/>
      <c r="KI120" s="1822"/>
      <c r="KJ120" s="1821"/>
      <c r="KK120" s="1822"/>
      <c r="KQ120" s="3079"/>
      <c r="KR120" s="3047"/>
      <c r="KS120" s="1930"/>
      <c r="KT120" s="1764"/>
      <c r="KV120" s="3046"/>
    </row>
    <row r="121" spans="10:311" ht="17.100000000000001" customHeight="1" thickBot="1" x14ac:dyDescent="0.35">
      <c r="J121" s="1898" t="str">
        <f t="shared" si="38"/>
        <v/>
      </c>
      <c r="K121" s="3312" t="str">
        <f t="shared" si="39"/>
        <v/>
      </c>
      <c r="L121" s="1779"/>
      <c r="M121" s="1779"/>
      <c r="N121" s="1779"/>
      <c r="O121" s="1779"/>
      <c r="P121" s="1779"/>
      <c r="Q121" s="1779"/>
      <c r="R121" s="1779"/>
      <c r="S121" s="1779"/>
      <c r="T121" s="1779"/>
      <c r="U121" s="1779"/>
      <c r="V121" s="1922"/>
      <c r="W121" s="1779"/>
      <c r="X121" s="1779"/>
      <c r="Y121" s="1779"/>
      <c r="Z121" s="1779"/>
      <c r="AA121" s="1779"/>
      <c r="AB121" s="1779"/>
      <c r="AC121" s="1779"/>
      <c r="AD121" s="1779"/>
      <c r="AE121" s="1779"/>
      <c r="AF121" s="1779"/>
      <c r="AH121" s="3312" t="str">
        <f t="shared" si="40"/>
        <v/>
      </c>
      <c r="AI121" s="1779"/>
      <c r="AJ121" s="1928"/>
      <c r="AK121" s="1779"/>
      <c r="AL121" s="1779"/>
      <c r="AM121" s="1779"/>
      <c r="AN121" s="1779"/>
      <c r="AO121" s="1779"/>
      <c r="AP121" s="1779"/>
      <c r="AQ121" s="1779"/>
      <c r="AR121" s="1779"/>
      <c r="AS121" s="1779"/>
      <c r="AT121" s="3213"/>
      <c r="AU121" s="1928"/>
      <c r="AV121" s="1779"/>
      <c r="AW121" s="1779"/>
      <c r="AX121" s="1779"/>
      <c r="AY121" s="1779"/>
      <c r="AZ121" s="1779"/>
      <c r="BA121" s="1779"/>
      <c r="BB121" s="1779"/>
      <c r="BC121" s="1779"/>
      <c r="BD121" s="1779"/>
      <c r="BE121" s="3311">
        <v>98</v>
      </c>
      <c r="BF121" s="1882" t="str">
        <f t="shared" si="49"/>
        <v/>
      </c>
      <c r="BG121" s="1883">
        <f t="shared" si="50"/>
        <v>0</v>
      </c>
      <c r="BH121" s="1884">
        <f t="shared" si="48"/>
        <v>0</v>
      </c>
      <c r="EB121" s="5146"/>
      <c r="EC121" s="1782" t="str">
        <f>ACTIONS!$BX$34</f>
        <v>BDY8</v>
      </c>
      <c r="ED121" s="1810">
        <f>SUM(EU22:EU52)</f>
        <v>0</v>
      </c>
      <c r="EE121" s="1810">
        <f>EU94</f>
        <v>0</v>
      </c>
      <c r="EF121" s="1810">
        <f>EU95</f>
        <v>0</v>
      </c>
      <c r="EG121" s="1801"/>
      <c r="EH121" s="1801">
        <f>MAX($EU$127:$EU$157)</f>
        <v>0</v>
      </c>
      <c r="EI121" s="1801">
        <f t="shared" si="46"/>
        <v>0</v>
      </c>
      <c r="EJ121" s="1801">
        <f>COUNTIF(ACTIONS!$BX$3:$BX$33,"&gt;="&amp;PROGRESS!BJ34)</f>
        <v>0</v>
      </c>
      <c r="EK121" s="1801"/>
      <c r="EM121" s="1796"/>
      <c r="EN121" s="1801" t="str">
        <f>IF(PROGRESS!$BG$34=PROGRESS!$DJ$46,COUNTIF($EU$60:$EU$90,PROGRESS!$BJ$34*EN$103),"")</f>
        <v/>
      </c>
      <c r="EO121" s="1801" t="str">
        <f>IF(PROGRESS!$BG$34=PROGRESS!$DJ$46,COUNTIF($EU$60:$EU$90,PROGRESS!$BJ$34*EO$103),"")</f>
        <v/>
      </c>
      <c r="EP121" s="1801" t="str">
        <f>IF(PROGRESS!$BG$34=PROGRESS!$DJ$46,COUNTIF($EU$60:$EU$90,PROGRESS!$BJ$34*EP$103),"")</f>
        <v/>
      </c>
      <c r="EQ121" s="1801" t="str">
        <f>IF(PROGRESS!$BG$34=PROGRESS!$DJ$46,COUNTIF($EU$60:$EU$90,PROGRESS!$BJ$34*EQ$103),"")</f>
        <v/>
      </c>
      <c r="ER121" s="1801" t="str">
        <f>IF(PROGRESS!$BG$34=PROGRESS!$DJ$46,COUNTIF($EU$60:$EU$90,PROGRESS!$BJ$34*ER$103),"")</f>
        <v/>
      </c>
      <c r="ES121" s="1801" t="str">
        <f>IF(PROGRESS!$BG$34=PROGRESS!$DJ$46,COUNTIF($EU$60:$EU$90,PROGRESS!$BJ$34*ES$103),"")</f>
        <v/>
      </c>
      <c r="ET121" s="1801" t="str">
        <f>IF(PROGRESS!$BG$34=PROGRESS!$DJ$46,COUNTIF($EU$60:$EU$90,PROGRESS!$BJ$34*ET$103),"")</f>
        <v/>
      </c>
      <c r="EU121" s="1801" t="str">
        <f>IF(PROGRESS!$BG$34=PROGRESS!$DJ$46,COUNTIF($EU$60:$EU$90,PROGRESS!$BJ$34*EU$103),"")</f>
        <v/>
      </c>
      <c r="EV121" s="1801" t="str">
        <f>IF(PROGRESS!$BG$34=PROGRESS!$DJ$46,COUNTIF($EU$60:$EU$90,PROGRESS!$BJ$34*EV$103),"")</f>
        <v/>
      </c>
      <c r="IC121" s="1796"/>
      <c r="ID121" s="1796"/>
      <c r="IE121" s="1796"/>
      <c r="IF121" s="1796"/>
      <c r="IG121" s="1796"/>
      <c r="IH121" s="1796"/>
      <c r="II121" s="1796"/>
      <c r="IJ121" s="1796"/>
      <c r="IK121" s="1796"/>
      <c r="IL121" s="1796"/>
      <c r="IM121" s="1796"/>
      <c r="IN121" s="1796"/>
      <c r="IO121" s="1796"/>
      <c r="IP121" s="1796"/>
      <c r="IQ121" s="1796"/>
      <c r="IR121" s="1796"/>
      <c r="IS121" s="1796"/>
      <c r="IT121" s="1796"/>
      <c r="IU121" s="1796"/>
      <c r="IV121" s="1796"/>
      <c r="IW121" s="1796"/>
      <c r="IX121" s="1796"/>
      <c r="IY121" s="1796"/>
      <c r="JC121" s="1892"/>
      <c r="JE121" s="1900"/>
      <c r="JF121" s="1929">
        <f t="shared" ca="1" si="47"/>
        <v>0</v>
      </c>
      <c r="JG121" s="1900" t="s">
        <v>344</v>
      </c>
      <c r="JH121" s="1850">
        <v>5</v>
      </c>
      <c r="JI121" s="1901"/>
      <c r="JM121" s="1893"/>
      <c r="JO121" s="2169" t="s">
        <v>1919</v>
      </c>
      <c r="JP121" s="2012" t="s">
        <v>400</v>
      </c>
      <c r="KG121" s="1822"/>
      <c r="KH121" s="1821"/>
      <c r="KI121" s="1822"/>
      <c r="KJ121" s="1821"/>
      <c r="KK121" s="1822"/>
      <c r="KQ121" s="3079"/>
      <c r="KR121" s="3047"/>
      <c r="KS121" s="1930"/>
      <c r="KT121" s="1764"/>
      <c r="KX121" s="3046"/>
      <c r="KY121" s="3047"/>
    </row>
    <row r="122" spans="10:311" ht="17.100000000000001" customHeight="1" thickBot="1" x14ac:dyDescent="0.35">
      <c r="J122" s="1898" t="str">
        <f t="shared" si="38"/>
        <v/>
      </c>
      <c r="K122" s="3312" t="str">
        <f t="shared" si="39"/>
        <v/>
      </c>
      <c r="L122" s="1779"/>
      <c r="M122" s="1779"/>
      <c r="N122" s="1779"/>
      <c r="O122" s="1779"/>
      <c r="P122" s="1779"/>
      <c r="Q122" s="1779"/>
      <c r="R122" s="1779"/>
      <c r="S122" s="1779"/>
      <c r="T122" s="1779"/>
      <c r="U122" s="1779"/>
      <c r="V122" s="1922"/>
      <c r="W122" s="1779"/>
      <c r="X122" s="1779"/>
      <c r="Y122" s="1779"/>
      <c r="Z122" s="1779"/>
      <c r="AA122" s="1779"/>
      <c r="AB122" s="1779"/>
      <c r="AC122" s="1779"/>
      <c r="AD122" s="1779"/>
      <c r="AE122" s="1779"/>
      <c r="AF122" s="1779"/>
      <c r="AH122" s="3312" t="str">
        <f t="shared" si="40"/>
        <v/>
      </c>
      <c r="AI122" s="1779"/>
      <c r="AJ122" s="1928"/>
      <c r="AK122" s="1779"/>
      <c r="AL122" s="1779"/>
      <c r="AM122" s="1779"/>
      <c r="AN122" s="1779"/>
      <c r="AO122" s="1779"/>
      <c r="AP122" s="1779"/>
      <c r="AQ122" s="1779"/>
      <c r="AR122" s="1779"/>
      <c r="AS122" s="1779"/>
      <c r="AT122" s="3213"/>
      <c r="AU122" s="1928"/>
      <c r="AV122" s="1779"/>
      <c r="AW122" s="1779"/>
      <c r="AX122" s="1779"/>
      <c r="AY122" s="1779"/>
      <c r="AZ122" s="1779"/>
      <c r="BA122" s="1779"/>
      <c r="BB122" s="1779"/>
      <c r="BC122" s="1779"/>
      <c r="BD122" s="1779"/>
      <c r="BE122" s="3311">
        <v>99</v>
      </c>
      <c r="BF122" s="1882" t="str">
        <f t="shared" si="49"/>
        <v/>
      </c>
      <c r="BG122" s="1883">
        <f t="shared" si="50"/>
        <v>0</v>
      </c>
      <c r="BH122" s="1884">
        <f t="shared" si="48"/>
        <v>0</v>
      </c>
      <c r="EB122" s="5147"/>
      <c r="EC122" s="1782" t="str">
        <f>ACTIONS!$BY$34</f>
        <v>BDY9</v>
      </c>
      <c r="ED122" s="1810">
        <f>SUM(EV22:EV52)</f>
        <v>0</v>
      </c>
      <c r="EE122" s="1810">
        <f>EV94</f>
        <v>0</v>
      </c>
      <c r="EF122" s="1810">
        <f>EV95</f>
        <v>0</v>
      </c>
      <c r="EG122" s="1801"/>
      <c r="EH122" s="1801">
        <f>MAX($EV$127:$EV$157)</f>
        <v>0</v>
      </c>
      <c r="EI122" s="1801">
        <f t="shared" si="46"/>
        <v>0</v>
      </c>
      <c r="EJ122" s="1801">
        <f>COUNTIF(ACTIONS!$BY$3:$BY$33,"&gt;="&amp;PROGRESS!BJ35)</f>
        <v>0</v>
      </c>
      <c r="EK122" s="1801"/>
      <c r="EM122" s="1796"/>
      <c r="EN122" s="1801" t="str">
        <f>IF(PROGRESS!$BG$35=PROGRESS!$DJ$46,COUNTIF($EV$60:$EV$90,PROGRESS!$BJ$35*EN$103),"")</f>
        <v/>
      </c>
      <c r="EO122" s="1801" t="str">
        <f>IF(PROGRESS!$BG$35=PROGRESS!$DJ$46,COUNTIF($EV$60:$EV$90,PROGRESS!$BJ$35*EO$103),"")</f>
        <v/>
      </c>
      <c r="EP122" s="1801" t="str">
        <f>IF(PROGRESS!$BG$35=PROGRESS!$DJ$46,COUNTIF($EV$60:$EV$90,PROGRESS!$BJ$35*EP$103),"")</f>
        <v/>
      </c>
      <c r="EQ122" s="1801" t="str">
        <f>IF(PROGRESS!$BG$35=PROGRESS!$DJ$46,COUNTIF($EV$60:$EV$90,PROGRESS!$BJ$35*EQ$103),"")</f>
        <v/>
      </c>
      <c r="ER122" s="1801" t="str">
        <f>IF(PROGRESS!$BG$35=PROGRESS!$DJ$46,COUNTIF($EV$60:$EV$90,PROGRESS!$BJ$35*ER$103),"")</f>
        <v/>
      </c>
      <c r="ES122" s="1801" t="str">
        <f>IF(PROGRESS!$BG$35=PROGRESS!$DJ$46,COUNTIF($EV$60:$EV$90,PROGRESS!$BJ$35*ES$103),"")</f>
        <v/>
      </c>
      <c r="ET122" s="1801" t="str">
        <f>IF(PROGRESS!$BG$35=PROGRESS!$DJ$46,COUNTIF($EV$60:$EV$90,PROGRESS!$BJ$35*ET$103),"")</f>
        <v/>
      </c>
      <c r="EU122" s="1801" t="str">
        <f>IF(PROGRESS!$BG$35=PROGRESS!$DJ$46,COUNTIF($EV$60:$EV$90,PROGRESS!$BJ$35*EU$103),"")</f>
        <v/>
      </c>
      <c r="EV122" s="1801" t="str">
        <f>IF(PROGRESS!$BG$35=PROGRESS!$DJ$46,COUNTIF($EV$60:$EV$90,PROGRESS!$BJ$35*EV$103),"")</f>
        <v/>
      </c>
      <c r="IC122" s="1796"/>
      <c r="ID122" s="1796"/>
      <c r="IE122" s="1796"/>
      <c r="IF122" s="1796"/>
      <c r="IG122" s="1796"/>
      <c r="IH122" s="1796"/>
      <c r="II122" s="1796"/>
      <c r="IJ122" s="1796"/>
      <c r="IK122" s="1796"/>
      <c r="IL122" s="1796"/>
      <c r="IM122" s="1796"/>
      <c r="IN122" s="1796"/>
      <c r="IO122" s="1796"/>
      <c r="IP122" s="1796"/>
      <c r="IQ122" s="1796"/>
      <c r="IR122" s="1796"/>
      <c r="IS122" s="1796"/>
      <c r="IT122" s="1796"/>
      <c r="IU122" s="1796"/>
      <c r="IV122" s="1796"/>
      <c r="IW122" s="1796"/>
      <c r="IX122" s="1796"/>
      <c r="IY122" s="1796"/>
      <c r="JC122" s="1892"/>
      <c r="JE122" s="1900"/>
      <c r="JF122" s="1929">
        <f t="shared" ca="1" si="47"/>
        <v>0</v>
      </c>
      <c r="JG122" s="1900" t="s">
        <v>345</v>
      </c>
      <c r="JH122" s="1850">
        <v>8</v>
      </c>
      <c r="JI122" s="1901"/>
      <c r="JM122" s="1893"/>
      <c r="JO122" s="2169" t="s">
        <v>1922</v>
      </c>
      <c r="JP122" s="2012" t="s">
        <v>395</v>
      </c>
      <c r="KG122" s="1822"/>
      <c r="KH122" s="1821"/>
      <c r="KI122" s="1822"/>
      <c r="KJ122" s="1821"/>
      <c r="KK122" s="1822"/>
      <c r="KQ122" s="3079"/>
      <c r="KR122" s="3047"/>
      <c r="KS122" s="1930"/>
      <c r="KT122" s="1764"/>
      <c r="KV122" s="3046"/>
      <c r="KX122" s="3046"/>
      <c r="KY122" s="3047"/>
    </row>
    <row r="123" spans="10:311" ht="17.100000000000001" customHeight="1" thickBot="1" x14ac:dyDescent="0.35">
      <c r="J123" s="1898" t="str">
        <f t="shared" si="38"/>
        <v/>
      </c>
      <c r="K123" s="3312" t="str">
        <f t="shared" si="39"/>
        <v/>
      </c>
      <c r="L123" s="1779"/>
      <c r="M123" s="1779"/>
      <c r="N123" s="1779"/>
      <c r="O123" s="1779"/>
      <c r="P123" s="1779"/>
      <c r="Q123" s="1779"/>
      <c r="R123" s="1779"/>
      <c r="S123" s="1779"/>
      <c r="T123" s="1779"/>
      <c r="U123" s="1779"/>
      <c r="V123" s="1922"/>
      <c r="W123" s="1779"/>
      <c r="X123" s="1779"/>
      <c r="Y123" s="1779"/>
      <c r="Z123" s="1779"/>
      <c r="AA123" s="1779"/>
      <c r="AB123" s="1779"/>
      <c r="AC123" s="1779"/>
      <c r="AD123" s="1779"/>
      <c r="AE123" s="1779"/>
      <c r="AF123" s="1779"/>
      <c r="AH123" s="3312" t="str">
        <f t="shared" si="40"/>
        <v/>
      </c>
      <c r="AI123" s="1779"/>
      <c r="AJ123" s="1928"/>
      <c r="AK123" s="1779"/>
      <c r="AL123" s="1779"/>
      <c r="AM123" s="1779"/>
      <c r="AN123" s="1779"/>
      <c r="AO123" s="1779"/>
      <c r="AP123" s="1779"/>
      <c r="AQ123" s="1779"/>
      <c r="AR123" s="1779"/>
      <c r="AS123" s="1779"/>
      <c r="AT123" s="3213"/>
      <c r="AU123" s="1928"/>
      <c r="AV123" s="1779"/>
      <c r="AW123" s="1779"/>
      <c r="AX123" s="1779"/>
      <c r="AY123" s="1779"/>
      <c r="AZ123" s="1779"/>
      <c r="BA123" s="1779"/>
      <c r="BB123" s="1779"/>
      <c r="BC123" s="1779"/>
      <c r="BD123" s="1779"/>
      <c r="BE123" s="3311">
        <v>100</v>
      </c>
      <c r="BF123" s="1882" t="str">
        <f t="shared" si="49"/>
        <v/>
      </c>
      <c r="BG123" s="1883">
        <f t="shared" si="50"/>
        <v>0</v>
      </c>
      <c r="BH123" s="1884">
        <f t="shared" si="48"/>
        <v>0</v>
      </c>
      <c r="IC123" s="1796"/>
      <c r="ID123" s="1796"/>
      <c r="IE123" s="1796"/>
      <c r="IF123" s="1796"/>
      <c r="IG123" s="1796"/>
      <c r="IH123" s="1796"/>
      <c r="II123" s="1796"/>
      <c r="IJ123" s="1796"/>
      <c r="IK123" s="1796"/>
      <c r="IL123" s="1796"/>
      <c r="IM123" s="1796"/>
      <c r="IN123" s="1796"/>
      <c r="IO123" s="1796"/>
      <c r="IP123" s="1796"/>
      <c r="IQ123" s="1796"/>
      <c r="IR123" s="1796"/>
      <c r="IS123" s="1796"/>
      <c r="IT123" s="1796"/>
      <c r="IU123" s="1796"/>
      <c r="IV123" s="1796"/>
      <c r="IW123" s="1796"/>
      <c r="IX123" s="1796"/>
      <c r="IY123" s="1796"/>
      <c r="JC123" s="1892"/>
      <c r="JE123" s="1900"/>
      <c r="JF123" s="1929">
        <f t="shared" ca="1" si="47"/>
        <v>0</v>
      </c>
      <c r="JG123" s="1900" t="s">
        <v>354</v>
      </c>
      <c r="JH123" s="1850">
        <v>1</v>
      </c>
      <c r="JI123" s="1901"/>
      <c r="JM123" s="1893"/>
      <c r="JO123" s="3069" t="s">
        <v>1368</v>
      </c>
      <c r="JP123" s="3070" t="s">
        <v>715</v>
      </c>
      <c r="KG123" s="1822"/>
      <c r="KH123" s="1821"/>
      <c r="KI123" s="1822"/>
      <c r="KJ123" s="1821"/>
      <c r="KK123" s="1822"/>
      <c r="KQ123" s="3079"/>
      <c r="KR123" s="3047"/>
      <c r="KS123" s="1930"/>
      <c r="KT123" s="1764"/>
      <c r="KV123" s="3046"/>
      <c r="KX123" s="3046"/>
      <c r="KY123" s="3047"/>
    </row>
    <row r="124" spans="10:311" ht="17.100000000000001" customHeight="1" thickBot="1" x14ac:dyDescent="0.35">
      <c r="J124" s="1898" t="str">
        <f t="shared" si="38"/>
        <v/>
      </c>
      <c r="K124" s="3312" t="str">
        <f t="shared" si="39"/>
        <v/>
      </c>
      <c r="L124" s="1779"/>
      <c r="M124" s="1779"/>
      <c r="N124" s="1779"/>
      <c r="O124" s="1779"/>
      <c r="P124" s="1779"/>
      <c r="Q124" s="1779"/>
      <c r="R124" s="1779"/>
      <c r="S124" s="1779"/>
      <c r="T124" s="1779"/>
      <c r="U124" s="1779"/>
      <c r="V124" s="1922"/>
      <c r="W124" s="1779"/>
      <c r="X124" s="1779"/>
      <c r="Y124" s="1779"/>
      <c r="Z124" s="1779"/>
      <c r="AA124" s="1779"/>
      <c r="AB124" s="1779"/>
      <c r="AC124" s="1779"/>
      <c r="AD124" s="1779"/>
      <c r="AE124" s="1779"/>
      <c r="AF124" s="1779"/>
      <c r="AH124" s="3312" t="str">
        <f t="shared" si="40"/>
        <v/>
      </c>
      <c r="AI124" s="1779"/>
      <c r="AJ124" s="1928"/>
      <c r="AK124" s="1779"/>
      <c r="AL124" s="1779"/>
      <c r="AM124" s="1779"/>
      <c r="AN124" s="1779"/>
      <c r="AO124" s="1779"/>
      <c r="AP124" s="1779"/>
      <c r="AQ124" s="1779"/>
      <c r="AR124" s="1779"/>
      <c r="AS124" s="1779"/>
      <c r="AT124" s="3213"/>
      <c r="AU124" s="1928"/>
      <c r="AV124" s="1779"/>
      <c r="AW124" s="1779"/>
      <c r="AX124" s="1779"/>
      <c r="AY124" s="1779"/>
      <c r="AZ124" s="1779"/>
      <c r="BA124" s="1779"/>
      <c r="BB124" s="1779"/>
      <c r="BC124" s="1779"/>
      <c r="BD124" s="1779"/>
      <c r="BE124" s="3311">
        <v>101</v>
      </c>
      <c r="BF124" s="1882" t="str">
        <f t="shared" si="49"/>
        <v/>
      </c>
      <c r="BG124" s="1883">
        <f t="shared" si="50"/>
        <v>0</v>
      </c>
      <c r="BH124" s="1884">
        <f t="shared" si="48"/>
        <v>0</v>
      </c>
      <c r="HU124" s="2631"/>
      <c r="HV124" s="2633"/>
      <c r="HY124" s="3233"/>
      <c r="HZ124" s="3233"/>
      <c r="IC124" s="1796"/>
      <c r="ID124" s="1796"/>
      <c r="IE124" s="1796"/>
      <c r="IF124" s="1796"/>
      <c r="IG124" s="1796"/>
      <c r="IH124" s="1796"/>
      <c r="II124" s="1796"/>
      <c r="IJ124" s="1796"/>
      <c r="IK124" s="1796"/>
      <c r="IL124" s="1796"/>
      <c r="IM124" s="1796"/>
      <c r="IN124" s="1796"/>
      <c r="IO124" s="1796"/>
      <c r="IP124" s="1796"/>
      <c r="IQ124" s="1796"/>
      <c r="IR124" s="1796"/>
      <c r="IS124" s="1796"/>
      <c r="IT124" s="1796"/>
      <c r="IU124" s="1796"/>
      <c r="IV124" s="1796"/>
      <c r="IW124" s="1796"/>
      <c r="IX124" s="1796"/>
      <c r="IY124" s="1796"/>
      <c r="JC124" s="1892"/>
      <c r="JE124" s="1900"/>
      <c r="JF124" s="1929">
        <f t="shared" ca="1" si="47"/>
        <v>0</v>
      </c>
      <c r="JG124" s="1900" t="s">
        <v>355</v>
      </c>
      <c r="JH124" s="1850">
        <v>4</v>
      </c>
      <c r="JI124" s="1901"/>
      <c r="JM124" s="1893"/>
      <c r="JO124" s="3069" t="s">
        <v>1904</v>
      </c>
      <c r="JP124" s="3070" t="s">
        <v>716</v>
      </c>
      <c r="KG124" s="1822"/>
      <c r="KH124" s="1821"/>
      <c r="KI124" s="1822"/>
      <c r="KJ124" s="1821"/>
      <c r="KK124" s="1822"/>
      <c r="KQ124" s="3079"/>
      <c r="KR124" s="3047"/>
      <c r="KS124" s="1930"/>
      <c r="KT124" s="1764"/>
      <c r="KV124" s="3046"/>
      <c r="KX124" s="3046"/>
      <c r="KY124" s="3047"/>
    </row>
    <row r="125" spans="10:311" ht="17.100000000000001" customHeight="1" thickBot="1" x14ac:dyDescent="0.35">
      <c r="J125" s="1898" t="str">
        <f t="shared" si="38"/>
        <v/>
      </c>
      <c r="K125" s="3312" t="str">
        <f t="shared" si="39"/>
        <v/>
      </c>
      <c r="L125" s="1779"/>
      <c r="M125" s="1779"/>
      <c r="N125" s="1779"/>
      <c r="O125" s="1779"/>
      <c r="P125" s="1779"/>
      <c r="Q125" s="1779"/>
      <c r="R125" s="1779"/>
      <c r="S125" s="1779"/>
      <c r="T125" s="1779"/>
      <c r="U125" s="1779"/>
      <c r="V125" s="1922"/>
      <c r="W125" s="1779"/>
      <c r="X125" s="1779"/>
      <c r="Y125" s="1779"/>
      <c r="Z125" s="1779"/>
      <c r="AA125" s="1779"/>
      <c r="AB125" s="1779"/>
      <c r="AC125" s="1779"/>
      <c r="AD125" s="1779"/>
      <c r="AE125" s="1779"/>
      <c r="AF125" s="1779"/>
      <c r="AH125" s="3312" t="str">
        <f t="shared" si="40"/>
        <v/>
      </c>
      <c r="AI125" s="1779"/>
      <c r="AJ125" s="1928"/>
      <c r="AK125" s="1779"/>
      <c r="AL125" s="1779"/>
      <c r="AM125" s="1779"/>
      <c r="AN125" s="1779"/>
      <c r="AO125" s="1779"/>
      <c r="AP125" s="1779"/>
      <c r="AQ125" s="1779"/>
      <c r="AR125" s="1779"/>
      <c r="AS125" s="1779"/>
      <c r="AT125" s="3213"/>
      <c r="AU125" s="1928"/>
      <c r="AV125" s="1779"/>
      <c r="AW125" s="1779"/>
      <c r="AX125" s="1779"/>
      <c r="AY125" s="1779"/>
      <c r="AZ125" s="1779"/>
      <c r="BA125" s="1779"/>
      <c r="BB125" s="1779"/>
      <c r="BC125" s="1779"/>
      <c r="BD125" s="1779"/>
      <c r="BE125" s="3311">
        <v>102</v>
      </c>
      <c r="BF125" s="1882" t="str">
        <f t="shared" si="49"/>
        <v/>
      </c>
      <c r="BG125" s="1883">
        <f t="shared" si="50"/>
        <v>0</v>
      </c>
      <c r="BH125" s="1884">
        <f t="shared" si="48"/>
        <v>0</v>
      </c>
      <c r="EB125" s="5128" t="s">
        <v>291</v>
      </c>
      <c r="EC125" s="5128"/>
      <c r="ED125" s="5128"/>
      <c r="EE125" s="5128"/>
      <c r="EF125" s="5128"/>
      <c r="EG125" s="5128"/>
      <c r="EH125" s="5128"/>
      <c r="EI125" s="5128"/>
      <c r="EJ125" s="5128"/>
      <c r="EK125" s="5128"/>
      <c r="EL125" s="1767"/>
      <c r="EM125" s="5128" t="s">
        <v>291</v>
      </c>
      <c r="EN125" s="5128"/>
      <c r="EO125" s="5128"/>
      <c r="EP125" s="5128"/>
      <c r="EQ125" s="5128"/>
      <c r="ER125" s="5128"/>
      <c r="ES125" s="5128"/>
      <c r="ET125" s="5128"/>
      <c r="EU125" s="5128"/>
      <c r="EV125" s="5128"/>
      <c r="HU125" s="2631"/>
      <c r="HV125" s="2633"/>
      <c r="HY125" s="1873"/>
      <c r="HZ125" s="1873"/>
      <c r="IC125" s="1796"/>
      <c r="ID125" s="1796"/>
      <c r="IE125" s="1796"/>
      <c r="IF125" s="1796"/>
      <c r="IG125" s="1796"/>
      <c r="IH125" s="1796"/>
      <c r="II125" s="1796"/>
      <c r="IJ125" s="1796"/>
      <c r="IK125" s="1796"/>
      <c r="IL125" s="1796"/>
      <c r="IM125" s="1796"/>
      <c r="IN125" s="1796"/>
      <c r="IO125" s="1796"/>
      <c r="IP125" s="1796"/>
      <c r="IQ125" s="1796"/>
      <c r="IR125" s="1796"/>
      <c r="IS125" s="1796"/>
      <c r="IT125" s="1796"/>
      <c r="IU125" s="1796"/>
      <c r="IV125" s="1796"/>
      <c r="IW125" s="1796"/>
      <c r="IX125" s="1796"/>
      <c r="IY125" s="1796"/>
      <c r="JC125" s="1892"/>
      <c r="JE125" s="1900"/>
      <c r="JF125" s="1929">
        <f t="shared" ca="1" si="47"/>
        <v>0</v>
      </c>
      <c r="JG125" s="1900" t="s">
        <v>356</v>
      </c>
      <c r="JH125" s="1850">
        <v>5</v>
      </c>
      <c r="JI125" s="1901"/>
      <c r="JM125" s="1893"/>
      <c r="JO125" s="3069" t="s">
        <v>1892</v>
      </c>
      <c r="JP125" s="3070" t="s">
        <v>717</v>
      </c>
      <c r="KG125" s="1822"/>
      <c r="KH125" s="1821"/>
      <c r="KI125" s="1822"/>
      <c r="KJ125" s="1821"/>
      <c r="KK125" s="1822"/>
      <c r="KQ125" s="3079"/>
      <c r="KR125" s="3047"/>
      <c r="KS125" s="1930"/>
      <c r="KT125" s="1764"/>
      <c r="KV125" s="3046"/>
      <c r="KX125" s="3046"/>
      <c r="KY125" s="3047"/>
    </row>
    <row r="126" spans="10:311" ht="17.100000000000001" customHeight="1" thickBot="1" x14ac:dyDescent="0.35">
      <c r="J126" s="1898" t="str">
        <f t="shared" si="38"/>
        <v/>
      </c>
      <c r="K126" s="3312" t="str">
        <f t="shared" si="39"/>
        <v/>
      </c>
      <c r="L126" s="1779"/>
      <c r="M126" s="1779"/>
      <c r="N126" s="1779"/>
      <c r="O126" s="1779"/>
      <c r="P126" s="1779"/>
      <c r="Q126" s="1779"/>
      <c r="R126" s="1779"/>
      <c r="S126" s="1779"/>
      <c r="T126" s="1779"/>
      <c r="U126" s="1779"/>
      <c r="V126" s="1922"/>
      <c r="W126" s="1779"/>
      <c r="X126" s="1779"/>
      <c r="Y126" s="1779"/>
      <c r="Z126" s="1779"/>
      <c r="AA126" s="1779"/>
      <c r="AB126" s="1779"/>
      <c r="AC126" s="1779"/>
      <c r="AD126" s="1779"/>
      <c r="AE126" s="1779"/>
      <c r="AF126" s="1779"/>
      <c r="AH126" s="3312" t="str">
        <f t="shared" si="40"/>
        <v/>
      </c>
      <c r="AI126" s="1779"/>
      <c r="AJ126" s="1928"/>
      <c r="AK126" s="1779"/>
      <c r="AL126" s="1779"/>
      <c r="AM126" s="1779"/>
      <c r="AN126" s="1779"/>
      <c r="AO126" s="1779"/>
      <c r="AP126" s="1779"/>
      <c r="AQ126" s="1779"/>
      <c r="AR126" s="1779"/>
      <c r="AS126" s="1779"/>
      <c r="AT126" s="3213"/>
      <c r="AU126" s="1928"/>
      <c r="AV126" s="1779"/>
      <c r="AW126" s="1779"/>
      <c r="AX126" s="1779"/>
      <c r="AY126" s="1779"/>
      <c r="AZ126" s="1779"/>
      <c r="BA126" s="1779"/>
      <c r="BB126" s="1779"/>
      <c r="BC126" s="1779"/>
      <c r="BD126" s="1779"/>
      <c r="BE126" s="3311">
        <v>103</v>
      </c>
      <c r="BF126" s="1882" t="str">
        <f t="shared" si="49"/>
        <v/>
      </c>
      <c r="BG126" s="1883">
        <f t="shared" si="50"/>
        <v>0</v>
      </c>
      <c r="BH126" s="1884">
        <f t="shared" si="48"/>
        <v>0</v>
      </c>
      <c r="EB126" s="1773" t="s">
        <v>171</v>
      </c>
      <c r="EC126" s="1773" t="str">
        <f>ACTIONS!$C$34</f>
        <v>MND1</v>
      </c>
      <c r="ED126" s="1773" t="str">
        <f>ACTIONS!$D$34</f>
        <v>MND2</v>
      </c>
      <c r="EE126" s="1773" t="str">
        <f>ACTIONS!$E$34</f>
        <v>MND3</v>
      </c>
      <c r="EF126" s="1773" t="str">
        <f>ACTIONS!$F$34</f>
        <v>MND4</v>
      </c>
      <c r="EG126" s="1773" t="str">
        <f>ACTIONS!$G$34</f>
        <v>MND5</v>
      </c>
      <c r="EH126" s="1773" t="str">
        <f>ACTIONS!$H$34</f>
        <v>MND6</v>
      </c>
      <c r="EI126" s="1773" t="str">
        <f>ACTIONS!$I$34</f>
        <v>MND7</v>
      </c>
      <c r="EJ126" s="1773" t="str">
        <f>ACTIONS!$J$34</f>
        <v>MND8</v>
      </c>
      <c r="EK126" s="1773" t="str">
        <f>ACTIONS!$K$34</f>
        <v>MND9</v>
      </c>
      <c r="EL126" s="1767"/>
      <c r="EM126" s="1773" t="s">
        <v>171</v>
      </c>
      <c r="EN126" s="1773" t="str">
        <f>ACTIONS!$BQ$34</f>
        <v>BDY1</v>
      </c>
      <c r="EO126" s="1773" t="str">
        <f>ACTIONS!$BR$34</f>
        <v>BDY2</v>
      </c>
      <c r="EP126" s="1773" t="str">
        <f>ACTIONS!$BS$34</f>
        <v>BDY3</v>
      </c>
      <c r="EQ126" s="1773" t="str">
        <f>ACTIONS!$BT$34</f>
        <v>BDY4</v>
      </c>
      <c r="ER126" s="1773" t="str">
        <f>ACTIONS!$BU$34</f>
        <v>BDY5</v>
      </c>
      <c r="ES126" s="1773" t="str">
        <f>ACTIONS!$BV$34</f>
        <v>BDY6</v>
      </c>
      <c r="ET126" s="1773" t="str">
        <f>ACTIONS!$BW$34</f>
        <v>BDY7</v>
      </c>
      <c r="EU126" s="1773" t="str">
        <f>ACTIONS!$BX$34</f>
        <v>BDY8</v>
      </c>
      <c r="EV126" s="1773" t="str">
        <f>ACTIONS!$BY$34</f>
        <v>BDY9</v>
      </c>
      <c r="HU126" s="2631"/>
      <c r="HV126" s="2633"/>
      <c r="HY126" s="1873"/>
      <c r="HZ126" s="1873"/>
      <c r="IC126" s="1796"/>
      <c r="ID126" s="1796"/>
      <c r="IE126" s="1796"/>
      <c r="IF126" s="1796"/>
      <c r="IG126" s="1796"/>
      <c r="IH126" s="1796"/>
      <c r="II126" s="1796"/>
      <c r="IJ126" s="1796"/>
      <c r="IK126" s="1796"/>
      <c r="IL126" s="1796"/>
      <c r="IM126" s="1796"/>
      <c r="IN126" s="1796"/>
      <c r="IO126" s="1796"/>
      <c r="IP126" s="1796"/>
      <c r="IQ126" s="1796"/>
      <c r="IR126" s="1796"/>
      <c r="IS126" s="1796"/>
      <c r="IT126" s="1796"/>
      <c r="IU126" s="1796"/>
      <c r="IV126" s="1796"/>
      <c r="IW126" s="1796"/>
      <c r="IX126" s="1796"/>
      <c r="IY126" s="1796"/>
      <c r="JC126" s="1892"/>
      <c r="JE126" s="1900"/>
      <c r="JF126" s="1929">
        <f t="shared" ca="1" si="47"/>
        <v>0</v>
      </c>
      <c r="JG126" s="1900" t="s">
        <v>357</v>
      </c>
      <c r="JH126" s="1850">
        <v>6</v>
      </c>
      <c r="JI126" s="1901"/>
      <c r="JM126" s="1893"/>
      <c r="JO126" s="3069" t="s">
        <v>1896</v>
      </c>
      <c r="JP126" s="3070" t="s">
        <v>718</v>
      </c>
      <c r="KG126" s="1822"/>
      <c r="KH126" s="1821"/>
      <c r="KI126" s="1822"/>
      <c r="KJ126" s="1821"/>
      <c r="KK126" s="1822"/>
      <c r="KQ126" s="3079"/>
      <c r="KR126" s="3047"/>
      <c r="KS126" s="1930"/>
      <c r="KT126" s="1764"/>
      <c r="KX126" s="3046"/>
      <c r="KY126" s="3047"/>
    </row>
    <row r="127" spans="10:311" ht="17.100000000000001" customHeight="1" thickBot="1" x14ac:dyDescent="0.35">
      <c r="J127" s="1898" t="str">
        <f t="shared" si="38"/>
        <v/>
      </c>
      <c r="K127" s="3312" t="str">
        <f t="shared" ref="K127:K143" si="51">IF(AND(L126&lt;&gt;"",L127=""),"&gt; &gt; &gt; &gt;","")</f>
        <v/>
      </c>
      <c r="L127" s="1779"/>
      <c r="M127" s="1779"/>
      <c r="N127" s="1779"/>
      <c r="O127" s="1779"/>
      <c r="P127" s="1779"/>
      <c r="Q127" s="1779"/>
      <c r="R127" s="1779"/>
      <c r="S127" s="1779"/>
      <c r="T127" s="1779"/>
      <c r="U127" s="1779"/>
      <c r="V127" s="1922"/>
      <c r="W127" s="1779"/>
      <c r="X127" s="1779"/>
      <c r="Y127" s="1779"/>
      <c r="Z127" s="1779"/>
      <c r="AA127" s="1779"/>
      <c r="AB127" s="1779"/>
      <c r="AC127" s="1779"/>
      <c r="AD127" s="1779"/>
      <c r="AE127" s="1779"/>
      <c r="AF127" s="1779"/>
      <c r="AH127" s="3312" t="str">
        <f t="shared" ref="AH127:AH143" si="52">IF(AND(AI126&lt;&gt;"",AI127=""),"&gt; &gt; &gt; &gt;","")</f>
        <v/>
      </c>
      <c r="AI127" s="1779"/>
      <c r="AJ127" s="1928"/>
      <c r="AK127" s="1779"/>
      <c r="AL127" s="1779"/>
      <c r="AM127" s="1779"/>
      <c r="AN127" s="1779"/>
      <c r="AO127" s="1779"/>
      <c r="AP127" s="1779"/>
      <c r="AQ127" s="1779"/>
      <c r="AR127" s="1779"/>
      <c r="AS127" s="1779"/>
      <c r="AT127" s="3213"/>
      <c r="AU127" s="1928"/>
      <c r="AV127" s="1779"/>
      <c r="AW127" s="1779"/>
      <c r="AX127" s="1779"/>
      <c r="AY127" s="1779"/>
      <c r="AZ127" s="1779"/>
      <c r="BA127" s="1779"/>
      <c r="BB127" s="1779"/>
      <c r="BC127" s="1779"/>
      <c r="BD127" s="1779"/>
      <c r="BE127" s="3311">
        <v>104</v>
      </c>
      <c r="BF127" s="1882" t="str">
        <f t="shared" ref="BF127:BF143" si="53">ROMAN(AU127)</f>
        <v/>
      </c>
      <c r="BG127" s="1883">
        <f t="shared" ref="BG127:BG143" si="54">SUM(AK127:AS127,AV127:BD127)</f>
        <v>0</v>
      </c>
      <c r="BH127" s="1884">
        <f t="shared" ref="BH127:BH143" si="55">IF(BG127&lt;&gt;0,BG127-BG126,0)</f>
        <v>0</v>
      </c>
      <c r="EB127" s="1829">
        <v>31</v>
      </c>
      <c r="EC127" s="1795">
        <f>IF(AND(ACTIONS!C3&gt;=PROGRESS!$Z$27, PROGRESS!$Z$27&lt;&gt;0),EC128+1,0)</f>
        <v>0</v>
      </c>
      <c r="ED127" s="1795">
        <f>IF(AND(ACTIONS!D3&gt;=PROGRESS!$Z$28, PROGRESS!$Z$28&lt;&gt;0),ED128+1,0)</f>
        <v>0</v>
      </c>
      <c r="EE127" s="1795">
        <f>IF(AND(ACTIONS!E3&gt;=PROGRESS!$Z$29, PROGRESS!$Z$29&lt;&gt;0),EE128+1,0)</f>
        <v>0</v>
      </c>
      <c r="EF127" s="1795">
        <f>IF(AND(ACTIONS!F3&gt;=PROGRESS!$Z$30, PROGRESS!$Z$30&lt;&gt;0),EF128+1,0)</f>
        <v>0</v>
      </c>
      <c r="EG127" s="1795">
        <f>IF(AND(ACTIONS!G3&gt;=PROGRESS!$Z$31, PROGRESS!$Z$31&lt;&gt;0),EG128+1,0)</f>
        <v>0</v>
      </c>
      <c r="EH127" s="1795">
        <f>IF(AND(ACTIONS!H3&gt;=PROGRESS!$Z$32, PROGRESS!$Z$32&lt;&gt;0),EH128+1,0)</f>
        <v>0</v>
      </c>
      <c r="EI127" s="1795">
        <f>IF(AND(ACTIONS!I3&gt;=PROGRESS!$Z$33,PROGRESS!$Z$33&lt;&gt;0),EI128+1,0)</f>
        <v>0</v>
      </c>
      <c r="EJ127" s="1795">
        <f>IF(AND(ACTIONS!J3&gt;=PROGRESS!$Z$34, PROGRESS!$Z$34&lt;&gt;0),EJ128+1,0)</f>
        <v>0</v>
      </c>
      <c r="EK127" s="1795">
        <f>IF(AND(ACTIONS!K3&gt;=PROGRESS!$Z$35,PROGRESS!$Z$35&lt;&gt;0),EK128+1,0)</f>
        <v>0</v>
      </c>
      <c r="EL127" s="1767"/>
      <c r="EM127" s="1829">
        <v>31</v>
      </c>
      <c r="EN127" s="1795">
        <f>IF(AND(ACTIONS!BQ3&gt;=PROGRESS!$BJ$27,PROGRESS!$BJ$27&lt;&gt;0),EN128+1,0)</f>
        <v>0</v>
      </c>
      <c r="EO127" s="1795">
        <f>IF(AND(ACTIONS!BR3&gt;=PROGRESS!$BJ$28,PROGRESS!$BJ$28&lt;&gt;0),EO128+1,0)</f>
        <v>0</v>
      </c>
      <c r="EP127" s="1795">
        <f>IF(AND(ACTIONS!BS3&gt;=PROGRESS!$BJ$29,PROGRESS!$BJ$29&lt;&gt;0),EP128+1,0)</f>
        <v>0</v>
      </c>
      <c r="EQ127" s="1795">
        <f>IF(AND(ACTIONS!BT3&gt;=PROGRESS!$BJ$30,PROGRESS!$BJ$30&lt;&gt;0),EQ128+1,0)</f>
        <v>0</v>
      </c>
      <c r="ER127" s="1795">
        <f>IF(AND(ACTIONS!BU3&gt;=PROGRESS!$BJ$31,PROGRESS!$BJ$31&lt;&gt;0),ER128+1,0)</f>
        <v>0</v>
      </c>
      <c r="ES127" s="1795">
        <f>IF(AND(ACTIONS!BV3&gt;=PROGRESS!$BJ$32,PROGRESS!$BJ$32&lt;&gt;0),ES128+1,0)</f>
        <v>0</v>
      </c>
      <c r="ET127" s="1795">
        <f>IF(AND(ACTIONS!BW3&gt;=PROGRESS!$BJ$33,PROGRESS!$BJ$33&lt;&gt;0),ET128+1,0)</f>
        <v>0</v>
      </c>
      <c r="EU127" s="1795">
        <f>IF(AND(ACTIONS!BX3&gt;=PROGRESS!$BJ$34,PROGRESS!$BJ$34&lt;&gt;0),EU128+1,0)</f>
        <v>0</v>
      </c>
      <c r="EV127" s="1795">
        <f>IF(AND(ACTIONS!BY3&gt;=PROGRESS!$BJ$35,PROGRESS!$BJ$35&lt;&gt;0),EV128+1,0)</f>
        <v>0</v>
      </c>
      <c r="HU127" s="2631"/>
      <c r="HV127" s="2633"/>
      <c r="HY127" s="1873"/>
      <c r="HZ127" s="1873"/>
      <c r="IC127" s="1796"/>
      <c r="ID127" s="1796"/>
      <c r="IE127" s="1796"/>
      <c r="IF127" s="1796"/>
      <c r="IG127" s="1796"/>
      <c r="IH127" s="1796"/>
      <c r="II127" s="1796"/>
      <c r="IJ127" s="1796"/>
      <c r="IK127" s="1796"/>
      <c r="IL127" s="1796"/>
      <c r="IM127" s="1796"/>
      <c r="IN127" s="1796"/>
      <c r="IO127" s="1796"/>
      <c r="IP127" s="1796"/>
      <c r="IQ127" s="1796"/>
      <c r="IR127" s="1796"/>
      <c r="IS127" s="1796"/>
      <c r="IT127" s="1796"/>
      <c r="IU127" s="1796"/>
      <c r="IV127" s="1796"/>
      <c r="IW127" s="1796"/>
      <c r="IX127" s="1796"/>
      <c r="IY127" s="1796"/>
      <c r="JC127" s="1892"/>
      <c r="JE127" s="1900"/>
      <c r="JF127" s="1929">
        <f t="shared" ca="1" si="47"/>
        <v>0</v>
      </c>
      <c r="JG127" s="1900" t="s">
        <v>358</v>
      </c>
      <c r="JH127" s="1850">
        <v>5</v>
      </c>
      <c r="JI127" s="1901"/>
      <c r="JM127" s="1893"/>
      <c r="JO127" s="3069" t="s">
        <v>1910</v>
      </c>
      <c r="JP127" s="3070" t="s">
        <v>722</v>
      </c>
      <c r="KG127" s="1822"/>
      <c r="KH127" s="1821"/>
      <c r="KI127" s="1822"/>
      <c r="KJ127" s="1821"/>
      <c r="KK127" s="1822"/>
      <c r="KQ127" s="3079"/>
      <c r="KR127" s="3047"/>
      <c r="KS127" s="1930"/>
      <c r="KT127" s="1764"/>
      <c r="KV127" s="3048"/>
      <c r="KX127" s="3046"/>
      <c r="KY127" s="3047"/>
    </row>
    <row r="128" spans="10:311" ht="17.100000000000001" customHeight="1" thickBot="1" x14ac:dyDescent="0.35">
      <c r="J128" s="1898" t="str">
        <f t="shared" si="38"/>
        <v/>
      </c>
      <c r="K128" s="3312" t="str">
        <f t="shared" si="51"/>
        <v/>
      </c>
      <c r="L128" s="1779"/>
      <c r="M128" s="1779"/>
      <c r="N128" s="1779"/>
      <c r="O128" s="1779"/>
      <c r="P128" s="1779"/>
      <c r="Q128" s="1779"/>
      <c r="R128" s="1779"/>
      <c r="S128" s="1779"/>
      <c r="T128" s="1779"/>
      <c r="U128" s="1779"/>
      <c r="V128" s="1922"/>
      <c r="W128" s="1779"/>
      <c r="X128" s="1779"/>
      <c r="Y128" s="1779"/>
      <c r="Z128" s="1779"/>
      <c r="AA128" s="1779"/>
      <c r="AB128" s="1779"/>
      <c r="AC128" s="1779"/>
      <c r="AD128" s="1779"/>
      <c r="AE128" s="1779"/>
      <c r="AF128" s="1779"/>
      <c r="AH128" s="3312" t="str">
        <f t="shared" si="52"/>
        <v/>
      </c>
      <c r="AI128" s="1779"/>
      <c r="AJ128" s="1928"/>
      <c r="AK128" s="1779"/>
      <c r="AL128" s="1779"/>
      <c r="AM128" s="1779"/>
      <c r="AN128" s="1779"/>
      <c r="AO128" s="1779"/>
      <c r="AP128" s="1779"/>
      <c r="AQ128" s="1779"/>
      <c r="AR128" s="1779"/>
      <c r="AS128" s="1779"/>
      <c r="AT128" s="3213"/>
      <c r="AU128" s="1928"/>
      <c r="AV128" s="1779"/>
      <c r="AW128" s="1779"/>
      <c r="AX128" s="1779"/>
      <c r="AY128" s="1779"/>
      <c r="AZ128" s="1779"/>
      <c r="BA128" s="1779"/>
      <c r="BB128" s="1779"/>
      <c r="BC128" s="1779"/>
      <c r="BD128" s="1779"/>
      <c r="BE128" s="3311">
        <v>105</v>
      </c>
      <c r="BF128" s="1882" t="str">
        <f t="shared" si="53"/>
        <v/>
      </c>
      <c r="BG128" s="1883">
        <f t="shared" si="54"/>
        <v>0</v>
      </c>
      <c r="BH128" s="1884">
        <f t="shared" si="55"/>
        <v>0</v>
      </c>
      <c r="EB128" s="1829">
        <v>30</v>
      </c>
      <c r="EC128" s="1795">
        <f>IF(AND(ACTIONS!C4&gt;=PROGRESS!$Z$27, PROGRESS!$Z$27&lt;&gt;0),EC129+1,0)</f>
        <v>0</v>
      </c>
      <c r="ED128" s="1795">
        <f>IF(AND(ACTIONS!D4&gt;=PROGRESS!$Z$28, PROGRESS!$Z$28&lt;&gt;0),ED129+1,0)</f>
        <v>0</v>
      </c>
      <c r="EE128" s="1795">
        <f>IF(AND(ACTIONS!E4&gt;=PROGRESS!$Z$29, PROGRESS!$Z$29&lt;&gt;0),EE129+1,0)</f>
        <v>0</v>
      </c>
      <c r="EF128" s="1795">
        <f>IF(AND(ACTIONS!F4&gt;=PROGRESS!$Z$30, PROGRESS!$Z$30&lt;&gt;0),EF129+1,0)</f>
        <v>0</v>
      </c>
      <c r="EG128" s="1795">
        <f>IF(AND(ACTIONS!G4&gt;=PROGRESS!$Z$31, PROGRESS!$Z$31&lt;&gt;0),EG129+1,0)</f>
        <v>0</v>
      </c>
      <c r="EH128" s="1795">
        <f>IF(AND(ACTIONS!H4&gt;=PROGRESS!$Z$32, PROGRESS!$Z$32&lt;&gt;0),EH129+1,0)</f>
        <v>0</v>
      </c>
      <c r="EI128" s="1795">
        <f>IF(AND(ACTIONS!I4&gt;=PROGRESS!$Z$33,PROGRESS!$Z$33&lt;&gt;0),EI129+1,0)</f>
        <v>0</v>
      </c>
      <c r="EJ128" s="1795">
        <f>IF(AND(ACTIONS!J4&gt;=PROGRESS!$Z$34, PROGRESS!$Z$34&lt;&gt;0),EJ129+1,0)</f>
        <v>0</v>
      </c>
      <c r="EK128" s="1795">
        <f>IF(AND(ACTIONS!K4&gt;=PROGRESS!$Z$35,PROGRESS!$Z$35&lt;&gt;0),EK129+1,0)</f>
        <v>0</v>
      </c>
      <c r="EM128" s="1829">
        <v>30</v>
      </c>
      <c r="EN128" s="1795">
        <f>IF(AND(ACTIONS!BQ4&gt;=PROGRESS!$BJ$27,PROGRESS!$BJ$27&lt;&gt;0),EN129+1,0)</f>
        <v>0</v>
      </c>
      <c r="EO128" s="1795">
        <f>IF(AND(ACTIONS!BR4&gt;=PROGRESS!$BJ$28,PROGRESS!$BJ$28&lt;&gt;0),EO129+1,0)</f>
        <v>0</v>
      </c>
      <c r="EP128" s="1795">
        <f>IF(AND(ACTIONS!BS4&gt;=PROGRESS!$BJ$29,PROGRESS!$BJ$29&lt;&gt;0),EP129+1,0)</f>
        <v>0</v>
      </c>
      <c r="EQ128" s="1795">
        <f>IF(AND(ACTIONS!BT4&gt;=PROGRESS!$BJ$30,PROGRESS!$BJ$30&lt;&gt;0),EQ129+1,0)</f>
        <v>0</v>
      </c>
      <c r="ER128" s="1795">
        <f>IF(AND(ACTIONS!BU4&gt;=PROGRESS!$BJ$31,PROGRESS!$BJ$31&lt;&gt;0),ER129+1,0)</f>
        <v>0</v>
      </c>
      <c r="ES128" s="1795">
        <f>IF(AND(ACTIONS!BV4&gt;=PROGRESS!$BJ$32,PROGRESS!$BJ$32&lt;&gt;0),ES129+1,0)</f>
        <v>0</v>
      </c>
      <c r="ET128" s="1795">
        <f>IF(AND(ACTIONS!BW4&gt;=PROGRESS!$BJ$33,PROGRESS!$BJ$33&lt;&gt;0),ET129+1,0)</f>
        <v>0</v>
      </c>
      <c r="EU128" s="1795">
        <f>IF(AND(ACTIONS!BX4&gt;=PROGRESS!$BJ$34,PROGRESS!$BJ$34&lt;&gt;0),EU129+1,0)</f>
        <v>0</v>
      </c>
      <c r="EV128" s="1795">
        <f>IF(AND(ACTIONS!BY4&gt;=PROGRESS!$BJ$35,PROGRESS!$BJ$35&lt;&gt;0),EV129+1,0)</f>
        <v>0</v>
      </c>
      <c r="HU128" s="2631"/>
      <c r="HV128" s="2633"/>
      <c r="HY128" s="1873"/>
      <c r="HZ128" s="1873"/>
      <c r="IC128" s="1796"/>
      <c r="ID128" s="1796"/>
      <c r="IE128" s="1796"/>
      <c r="IF128" s="1796"/>
      <c r="IG128" s="1796"/>
      <c r="IH128" s="1796"/>
      <c r="II128" s="1796"/>
      <c r="IJ128" s="1796"/>
      <c r="IK128" s="1796"/>
      <c r="IL128" s="1796"/>
      <c r="IM128" s="1796"/>
      <c r="IN128" s="1796"/>
      <c r="IO128" s="1796"/>
      <c r="IP128" s="1796"/>
      <c r="IQ128" s="1796"/>
      <c r="IR128" s="1796"/>
      <c r="IS128" s="1796"/>
      <c r="IT128" s="1796"/>
      <c r="IU128" s="1796"/>
      <c r="IV128" s="1796"/>
      <c r="IW128" s="1796"/>
      <c r="IX128" s="1796"/>
      <c r="IY128" s="1796"/>
      <c r="JC128" s="1892"/>
      <c r="JE128" s="1900"/>
      <c r="JF128" s="1929">
        <f t="shared" ca="1" si="47"/>
        <v>0</v>
      </c>
      <c r="JG128" s="1900" t="s">
        <v>359</v>
      </c>
      <c r="JH128" s="1850">
        <v>1</v>
      </c>
      <c r="JI128" s="1901"/>
      <c r="JM128" s="1893"/>
      <c r="JO128" s="3069" t="s">
        <v>1899</v>
      </c>
      <c r="JP128" s="3070" t="s">
        <v>719</v>
      </c>
      <c r="KG128" s="1822"/>
      <c r="KH128" s="1821"/>
      <c r="KI128" s="1822"/>
      <c r="KJ128" s="1821"/>
      <c r="KK128" s="1822"/>
      <c r="KQ128" s="3079"/>
      <c r="KR128" s="3047"/>
      <c r="KS128" s="1930"/>
      <c r="KT128" s="1764"/>
      <c r="KV128" s="3048"/>
      <c r="KX128" s="3046"/>
      <c r="KY128" s="3047"/>
    </row>
    <row r="129" spans="10:311" ht="17.100000000000001" customHeight="1" thickBot="1" x14ac:dyDescent="0.35">
      <c r="J129" s="1898" t="str">
        <f t="shared" si="38"/>
        <v/>
      </c>
      <c r="K129" s="3312" t="str">
        <f t="shared" si="51"/>
        <v/>
      </c>
      <c r="L129" s="1779"/>
      <c r="M129" s="1779"/>
      <c r="N129" s="1779"/>
      <c r="O129" s="1779"/>
      <c r="P129" s="1779"/>
      <c r="Q129" s="1779"/>
      <c r="R129" s="1779"/>
      <c r="S129" s="1779"/>
      <c r="T129" s="1779"/>
      <c r="U129" s="1779"/>
      <c r="V129" s="1922"/>
      <c r="W129" s="1779"/>
      <c r="X129" s="1779"/>
      <c r="Y129" s="1779"/>
      <c r="Z129" s="1779"/>
      <c r="AA129" s="1779"/>
      <c r="AB129" s="1779"/>
      <c r="AC129" s="1779"/>
      <c r="AD129" s="1779"/>
      <c r="AE129" s="1779"/>
      <c r="AF129" s="1779"/>
      <c r="AH129" s="3312" t="str">
        <f t="shared" si="52"/>
        <v/>
      </c>
      <c r="AI129" s="1779"/>
      <c r="AJ129" s="1928"/>
      <c r="AK129" s="1779"/>
      <c r="AL129" s="1779"/>
      <c r="AM129" s="1779"/>
      <c r="AN129" s="1779"/>
      <c r="AO129" s="1779"/>
      <c r="AP129" s="1779"/>
      <c r="AQ129" s="1779"/>
      <c r="AR129" s="1779"/>
      <c r="AS129" s="1779"/>
      <c r="AT129" s="3213"/>
      <c r="AU129" s="1928"/>
      <c r="AV129" s="1779"/>
      <c r="AW129" s="1779"/>
      <c r="AX129" s="1779"/>
      <c r="AY129" s="1779"/>
      <c r="AZ129" s="1779"/>
      <c r="BA129" s="1779"/>
      <c r="BB129" s="1779"/>
      <c r="BC129" s="1779"/>
      <c r="BD129" s="1779"/>
      <c r="BE129" s="3311">
        <v>106</v>
      </c>
      <c r="BF129" s="1882" t="str">
        <f t="shared" si="53"/>
        <v/>
      </c>
      <c r="BG129" s="1883">
        <f t="shared" si="54"/>
        <v>0</v>
      </c>
      <c r="BH129" s="1884">
        <f t="shared" si="55"/>
        <v>0</v>
      </c>
      <c r="EB129" s="1829">
        <v>29</v>
      </c>
      <c r="EC129" s="1795">
        <f>IF(AND(ACTIONS!C5&gt;=PROGRESS!$Z$27, PROGRESS!$Z$27&lt;&gt;0),EC130+1,0)</f>
        <v>0</v>
      </c>
      <c r="ED129" s="1795">
        <f>IF(AND(ACTIONS!D5&gt;=PROGRESS!$Z$28, PROGRESS!$Z$28&lt;&gt;0),ED130+1,0)</f>
        <v>0</v>
      </c>
      <c r="EE129" s="1795">
        <f>IF(AND(ACTIONS!E5&gt;=PROGRESS!$Z$29, PROGRESS!$Z$29&lt;&gt;0),EE130+1,0)</f>
        <v>0</v>
      </c>
      <c r="EF129" s="1795">
        <f>IF(AND(ACTIONS!F5&gt;=PROGRESS!$Z$30, PROGRESS!$Z$30&lt;&gt;0),EF130+1,0)</f>
        <v>0</v>
      </c>
      <c r="EG129" s="1795">
        <f>IF(AND(ACTIONS!G5&gt;=PROGRESS!$Z$31, PROGRESS!$Z$31&lt;&gt;0),EG130+1,0)</f>
        <v>0</v>
      </c>
      <c r="EH129" s="1795">
        <f>IF(AND(ACTIONS!H5&gt;=PROGRESS!$Z$32, PROGRESS!$Z$32&lt;&gt;0),EH130+1,0)</f>
        <v>0</v>
      </c>
      <c r="EI129" s="1795">
        <f>IF(AND(ACTIONS!I5&gt;=PROGRESS!$Z$33,PROGRESS!$Z$33&lt;&gt;0),EI130+1,0)</f>
        <v>0</v>
      </c>
      <c r="EJ129" s="1795">
        <f>IF(AND(ACTIONS!J5&gt;=PROGRESS!$Z$34, PROGRESS!$Z$34&lt;&gt;0),EJ130+1,0)</f>
        <v>0</v>
      </c>
      <c r="EK129" s="1795">
        <f>IF(AND(ACTIONS!K5&gt;=PROGRESS!$Z$35,PROGRESS!$Z$35&lt;&gt;0),EK130+1,0)</f>
        <v>0</v>
      </c>
      <c r="EM129" s="1829">
        <v>29</v>
      </c>
      <c r="EN129" s="1795">
        <f>IF(AND(ACTIONS!BQ5&gt;=PROGRESS!$BJ$27,PROGRESS!$BJ$27&lt;&gt;0),EN130+1,0)</f>
        <v>0</v>
      </c>
      <c r="EO129" s="1795">
        <f>IF(AND(ACTIONS!BR5&gt;=PROGRESS!$BJ$28,PROGRESS!$BJ$28&lt;&gt;0),EO130+1,0)</f>
        <v>0</v>
      </c>
      <c r="EP129" s="1795">
        <f>IF(AND(ACTIONS!BS5&gt;=PROGRESS!$BJ$29,PROGRESS!$BJ$29&lt;&gt;0),EP130+1,0)</f>
        <v>0</v>
      </c>
      <c r="EQ129" s="1795">
        <f>IF(AND(ACTIONS!BT5&gt;=PROGRESS!$BJ$30,PROGRESS!$BJ$30&lt;&gt;0),EQ130+1,0)</f>
        <v>0</v>
      </c>
      <c r="ER129" s="1795">
        <f>IF(AND(ACTIONS!BU5&gt;=PROGRESS!$BJ$31,PROGRESS!$BJ$31&lt;&gt;0),ER130+1,0)</f>
        <v>0</v>
      </c>
      <c r="ES129" s="1795">
        <f>IF(AND(ACTIONS!BV5&gt;=PROGRESS!$BJ$32,PROGRESS!$BJ$32&lt;&gt;0),ES130+1,0)</f>
        <v>0</v>
      </c>
      <c r="ET129" s="1795">
        <f>IF(AND(ACTIONS!BW5&gt;=PROGRESS!$BJ$33,PROGRESS!$BJ$33&lt;&gt;0),ET130+1,0)</f>
        <v>0</v>
      </c>
      <c r="EU129" s="1795">
        <f>IF(AND(ACTIONS!BX5&gt;=PROGRESS!$BJ$34,PROGRESS!$BJ$34&lt;&gt;0),EU130+1,0)</f>
        <v>0</v>
      </c>
      <c r="EV129" s="1795">
        <f>IF(AND(ACTIONS!BY5&gt;=PROGRESS!$BJ$35,PROGRESS!$BJ$35&lt;&gt;0),EV130+1,0)</f>
        <v>0</v>
      </c>
      <c r="HU129" s="2631"/>
      <c r="HV129" s="2633"/>
      <c r="HY129" s="1873"/>
      <c r="HZ129" s="1873"/>
      <c r="IC129" s="1796"/>
      <c r="ID129" s="1796"/>
      <c r="IE129" s="1796"/>
      <c r="IF129" s="1796"/>
      <c r="IG129" s="1796"/>
      <c r="IH129" s="1796"/>
      <c r="II129" s="1796"/>
      <c r="IJ129" s="1796"/>
      <c r="IK129" s="1796"/>
      <c r="IL129" s="1796"/>
      <c r="IM129" s="1796"/>
      <c r="IN129" s="1796"/>
      <c r="IO129" s="1796"/>
      <c r="IP129" s="1796"/>
      <c r="IQ129" s="1796"/>
      <c r="IR129" s="1796"/>
      <c r="IS129" s="1796"/>
      <c r="IT129" s="1796"/>
      <c r="IU129" s="1796"/>
      <c r="IV129" s="1796"/>
      <c r="IW129" s="1796"/>
      <c r="IX129" s="1796"/>
      <c r="IY129" s="1796"/>
      <c r="JC129" s="1892"/>
      <c r="JE129" s="1900"/>
      <c r="JF129" s="1929">
        <f t="shared" ca="1" si="47"/>
        <v>0</v>
      </c>
      <c r="JG129" s="1900" t="s">
        <v>360</v>
      </c>
      <c r="JH129" s="1850">
        <v>4</v>
      </c>
      <c r="JI129" s="1901"/>
      <c r="JM129" s="1893"/>
      <c r="JO129" s="3069" t="s">
        <v>1891</v>
      </c>
      <c r="JP129" s="3070" t="s">
        <v>720</v>
      </c>
      <c r="KG129" s="1822"/>
      <c r="KH129" s="1821"/>
      <c r="KI129" s="1822"/>
      <c r="KJ129" s="1821"/>
      <c r="KK129" s="1822"/>
      <c r="KQ129" s="3079"/>
      <c r="KR129" s="3047"/>
      <c r="KS129" s="1930"/>
      <c r="KT129" s="1764"/>
      <c r="KV129" s="3048"/>
    </row>
    <row r="130" spans="10:311" ht="17.100000000000001" customHeight="1" thickBot="1" x14ac:dyDescent="0.35">
      <c r="J130" s="1898" t="str">
        <f t="shared" si="38"/>
        <v/>
      </c>
      <c r="K130" s="3312" t="str">
        <f t="shared" si="51"/>
        <v/>
      </c>
      <c r="L130" s="1779"/>
      <c r="M130" s="1779"/>
      <c r="N130" s="1779"/>
      <c r="O130" s="1779"/>
      <c r="P130" s="1779"/>
      <c r="Q130" s="1779"/>
      <c r="R130" s="1779"/>
      <c r="S130" s="1779"/>
      <c r="T130" s="1779"/>
      <c r="U130" s="1779"/>
      <c r="V130" s="1922"/>
      <c r="W130" s="1779"/>
      <c r="X130" s="1779"/>
      <c r="Y130" s="1779"/>
      <c r="Z130" s="1779"/>
      <c r="AA130" s="1779"/>
      <c r="AB130" s="1779"/>
      <c r="AC130" s="1779"/>
      <c r="AD130" s="1779"/>
      <c r="AE130" s="1779"/>
      <c r="AF130" s="1779"/>
      <c r="AH130" s="3312" t="str">
        <f t="shared" si="52"/>
        <v/>
      </c>
      <c r="AI130" s="1779"/>
      <c r="AJ130" s="1928"/>
      <c r="AK130" s="1779"/>
      <c r="AL130" s="1779"/>
      <c r="AM130" s="1779"/>
      <c r="AN130" s="1779"/>
      <c r="AO130" s="1779"/>
      <c r="AP130" s="1779"/>
      <c r="AQ130" s="1779"/>
      <c r="AR130" s="1779"/>
      <c r="AS130" s="1779"/>
      <c r="AT130" s="3213"/>
      <c r="AU130" s="1928"/>
      <c r="AV130" s="1779"/>
      <c r="AW130" s="1779"/>
      <c r="AX130" s="1779"/>
      <c r="AY130" s="1779"/>
      <c r="AZ130" s="1779"/>
      <c r="BA130" s="1779"/>
      <c r="BB130" s="1779"/>
      <c r="BC130" s="1779"/>
      <c r="BD130" s="1779"/>
      <c r="BE130" s="3311">
        <v>107</v>
      </c>
      <c r="BF130" s="1882" t="str">
        <f t="shared" si="53"/>
        <v/>
      </c>
      <c r="BG130" s="1883">
        <f t="shared" si="54"/>
        <v>0</v>
      </c>
      <c r="BH130" s="1884">
        <f t="shared" si="55"/>
        <v>0</v>
      </c>
      <c r="EB130" s="1829">
        <v>28</v>
      </c>
      <c r="EC130" s="1795">
        <f>IF(AND(ACTIONS!C6&gt;=PROGRESS!$Z$27, PROGRESS!$Z$27&lt;&gt;0),EC131+1,0)</f>
        <v>0</v>
      </c>
      <c r="ED130" s="1795">
        <f>IF(AND(ACTIONS!D6&gt;=PROGRESS!$Z$28, PROGRESS!$Z$28&lt;&gt;0),ED131+1,0)</f>
        <v>0</v>
      </c>
      <c r="EE130" s="1795">
        <f>IF(AND(ACTIONS!E6&gt;=PROGRESS!$Z$29, PROGRESS!$Z$29&lt;&gt;0),EE131+1,0)</f>
        <v>0</v>
      </c>
      <c r="EF130" s="1795">
        <f>IF(AND(ACTIONS!F6&gt;=PROGRESS!$Z$30, PROGRESS!$Z$30&lt;&gt;0),EF131+1,0)</f>
        <v>0</v>
      </c>
      <c r="EG130" s="1795">
        <f>IF(AND(ACTIONS!G6&gt;=PROGRESS!$Z$31, PROGRESS!$Z$31&lt;&gt;0),EG131+1,0)</f>
        <v>0</v>
      </c>
      <c r="EH130" s="1795">
        <f>IF(AND(ACTIONS!H6&gt;=PROGRESS!$Z$32, PROGRESS!$Z$32&lt;&gt;0),EH131+1,0)</f>
        <v>0</v>
      </c>
      <c r="EI130" s="1795">
        <f>IF(AND(ACTIONS!I6&gt;=PROGRESS!$Z$33,PROGRESS!$Z$33&lt;&gt;0),EI131+1,0)</f>
        <v>0</v>
      </c>
      <c r="EJ130" s="1795">
        <f>IF(AND(ACTIONS!J6&gt;=PROGRESS!$Z$34, PROGRESS!$Z$34&lt;&gt;0),EJ131+1,0)</f>
        <v>0</v>
      </c>
      <c r="EK130" s="1795">
        <f>IF(AND(ACTIONS!K6&gt;=PROGRESS!$Z$35,PROGRESS!$Z$35&lt;&gt;0),EK131+1,0)</f>
        <v>0</v>
      </c>
      <c r="EM130" s="1829">
        <v>28</v>
      </c>
      <c r="EN130" s="1795">
        <f>IF(AND(ACTIONS!BQ6&gt;=PROGRESS!$BJ$27,PROGRESS!$BJ$27&lt;&gt;0),EN131+1,0)</f>
        <v>0</v>
      </c>
      <c r="EO130" s="1795">
        <f>IF(AND(ACTIONS!BR6&gt;=PROGRESS!$BJ$28,PROGRESS!$BJ$28&lt;&gt;0),EO131+1,0)</f>
        <v>0</v>
      </c>
      <c r="EP130" s="1795">
        <f>IF(AND(ACTIONS!BS6&gt;=PROGRESS!$BJ$29,PROGRESS!$BJ$29&lt;&gt;0),EP131+1,0)</f>
        <v>0</v>
      </c>
      <c r="EQ130" s="1795">
        <f>IF(AND(ACTIONS!BT6&gt;=PROGRESS!$BJ$30,PROGRESS!$BJ$30&lt;&gt;0),EQ131+1,0)</f>
        <v>0</v>
      </c>
      <c r="ER130" s="1795">
        <f>IF(AND(ACTIONS!BU6&gt;=PROGRESS!$BJ$31,PROGRESS!$BJ$31&lt;&gt;0),ER131+1,0)</f>
        <v>0</v>
      </c>
      <c r="ES130" s="1795">
        <f>IF(AND(ACTIONS!BV6&gt;=PROGRESS!$BJ$32,PROGRESS!$BJ$32&lt;&gt;0),ES131+1,0)</f>
        <v>0</v>
      </c>
      <c r="ET130" s="1795">
        <f>IF(AND(ACTIONS!BW6&gt;=PROGRESS!$BJ$33,PROGRESS!$BJ$33&lt;&gt;0),ET131+1,0)</f>
        <v>0</v>
      </c>
      <c r="EU130" s="1795">
        <f>IF(AND(ACTIONS!BX6&gt;=PROGRESS!$BJ$34,PROGRESS!$BJ$34&lt;&gt;0),EU131+1,0)</f>
        <v>0</v>
      </c>
      <c r="EV130" s="1795">
        <f>IF(AND(ACTIONS!BY6&gt;=PROGRESS!$BJ$35,PROGRESS!$BJ$35&lt;&gt;0),EV131+1,0)</f>
        <v>0</v>
      </c>
      <c r="HU130" s="2631"/>
      <c r="HV130" s="2633"/>
      <c r="HY130" s="1873"/>
      <c r="HZ130" s="1873"/>
      <c r="IC130" s="1796"/>
      <c r="ID130" s="1796"/>
      <c r="IE130" s="1796"/>
      <c r="IF130" s="1796"/>
      <c r="IG130" s="1796"/>
      <c r="IH130" s="1796"/>
      <c r="II130" s="1796"/>
      <c r="IJ130" s="1796"/>
      <c r="IK130" s="1796"/>
      <c r="IL130" s="1796"/>
      <c r="IM130" s="1796"/>
      <c r="IN130" s="1796"/>
      <c r="IO130" s="1796"/>
      <c r="IP130" s="1796"/>
      <c r="IQ130" s="1796"/>
      <c r="IR130" s="1796"/>
      <c r="IS130" s="1796"/>
      <c r="IT130" s="1796"/>
      <c r="IU130" s="1796"/>
      <c r="IV130" s="1796"/>
      <c r="IW130" s="1796"/>
      <c r="IX130" s="1796"/>
      <c r="IY130" s="1796"/>
      <c r="JC130" s="1892"/>
      <c r="JE130" s="1900"/>
      <c r="JF130" s="1929">
        <f t="shared" ca="1" si="47"/>
        <v>0</v>
      </c>
      <c r="JG130" s="1900" t="s">
        <v>361</v>
      </c>
      <c r="JH130" s="1850">
        <v>7</v>
      </c>
      <c r="JI130" s="1901"/>
      <c r="JM130" s="1893"/>
      <c r="JO130" s="3069" t="s">
        <v>1911</v>
      </c>
      <c r="JP130" s="3070" t="s">
        <v>721</v>
      </c>
      <c r="KG130" s="1822"/>
      <c r="KH130" s="1821"/>
      <c r="KI130" s="1822"/>
      <c r="KJ130" s="1821"/>
      <c r="KK130" s="1822"/>
      <c r="KQ130" s="3079"/>
      <c r="KR130" s="3047"/>
      <c r="KS130" s="1930"/>
      <c r="KT130" s="1764"/>
      <c r="KV130" s="3048"/>
    </row>
    <row r="131" spans="10:311" ht="17.100000000000001" customHeight="1" thickBot="1" x14ac:dyDescent="0.35">
      <c r="J131" s="1898" t="str">
        <f t="shared" si="38"/>
        <v/>
      </c>
      <c r="K131" s="3312" t="str">
        <f t="shared" si="51"/>
        <v/>
      </c>
      <c r="L131" s="1779"/>
      <c r="M131" s="1779"/>
      <c r="N131" s="1779"/>
      <c r="O131" s="1779"/>
      <c r="P131" s="1779"/>
      <c r="Q131" s="1779"/>
      <c r="R131" s="1779"/>
      <c r="S131" s="1779"/>
      <c r="T131" s="1779"/>
      <c r="U131" s="1779"/>
      <c r="V131" s="1922"/>
      <c r="W131" s="1779"/>
      <c r="X131" s="1779"/>
      <c r="Y131" s="1779"/>
      <c r="Z131" s="1779"/>
      <c r="AA131" s="1779"/>
      <c r="AB131" s="1779"/>
      <c r="AC131" s="1779"/>
      <c r="AD131" s="1779"/>
      <c r="AE131" s="1779"/>
      <c r="AF131" s="1779"/>
      <c r="AH131" s="3312" t="str">
        <f t="shared" si="52"/>
        <v/>
      </c>
      <c r="AI131" s="1779"/>
      <c r="AJ131" s="1928"/>
      <c r="AK131" s="1779"/>
      <c r="AL131" s="1779"/>
      <c r="AM131" s="1779"/>
      <c r="AN131" s="1779"/>
      <c r="AO131" s="1779"/>
      <c r="AP131" s="1779"/>
      <c r="AQ131" s="1779"/>
      <c r="AR131" s="1779"/>
      <c r="AS131" s="1779"/>
      <c r="AT131" s="3213"/>
      <c r="AU131" s="1928"/>
      <c r="AV131" s="1779"/>
      <c r="AW131" s="1779"/>
      <c r="AX131" s="1779"/>
      <c r="AY131" s="1779"/>
      <c r="AZ131" s="1779"/>
      <c r="BA131" s="1779"/>
      <c r="BB131" s="1779"/>
      <c r="BC131" s="1779"/>
      <c r="BD131" s="1779"/>
      <c r="BE131" s="3311">
        <v>108</v>
      </c>
      <c r="BF131" s="1882" t="str">
        <f t="shared" si="53"/>
        <v/>
      </c>
      <c r="BG131" s="1883">
        <f t="shared" si="54"/>
        <v>0</v>
      </c>
      <c r="BH131" s="1884">
        <f t="shared" si="55"/>
        <v>0</v>
      </c>
      <c r="EB131" s="1829">
        <v>27</v>
      </c>
      <c r="EC131" s="1795">
        <f>IF(AND(ACTIONS!C7&gt;=PROGRESS!$Z$27, PROGRESS!$Z$27&lt;&gt;0),EC132+1,0)</f>
        <v>0</v>
      </c>
      <c r="ED131" s="1795">
        <f>IF(AND(ACTIONS!D7&gt;=PROGRESS!$Z$28, PROGRESS!$Z$28&lt;&gt;0),ED132+1,0)</f>
        <v>0</v>
      </c>
      <c r="EE131" s="1795">
        <f>IF(AND(ACTIONS!E7&gt;=PROGRESS!$Z$29, PROGRESS!$Z$29&lt;&gt;0),EE132+1,0)</f>
        <v>0</v>
      </c>
      <c r="EF131" s="1795">
        <f>IF(AND(ACTIONS!F7&gt;=PROGRESS!$Z$30, PROGRESS!$Z$30&lt;&gt;0),EF132+1,0)</f>
        <v>0</v>
      </c>
      <c r="EG131" s="1795">
        <f>IF(AND(ACTIONS!G7&gt;=PROGRESS!$Z$31, PROGRESS!$Z$31&lt;&gt;0),EG132+1,0)</f>
        <v>0</v>
      </c>
      <c r="EH131" s="1795">
        <f>IF(AND(ACTIONS!H7&gt;=PROGRESS!$Z$32, PROGRESS!$Z$32&lt;&gt;0),EH132+1,0)</f>
        <v>0</v>
      </c>
      <c r="EI131" s="1795">
        <f>IF(AND(ACTIONS!I7&gt;=PROGRESS!$Z$33,PROGRESS!$Z$33&lt;&gt;0),EI132+1,0)</f>
        <v>0</v>
      </c>
      <c r="EJ131" s="1795">
        <f>IF(AND(ACTIONS!J7&gt;=PROGRESS!$Z$34, PROGRESS!$Z$34&lt;&gt;0),EJ132+1,0)</f>
        <v>0</v>
      </c>
      <c r="EK131" s="1795">
        <f>IF(AND(ACTIONS!K7&gt;=PROGRESS!$Z$35,PROGRESS!$Z$35&lt;&gt;0),EK132+1,0)</f>
        <v>0</v>
      </c>
      <c r="EM131" s="1829">
        <v>27</v>
      </c>
      <c r="EN131" s="1795">
        <f>IF(AND(ACTIONS!BQ7&gt;=PROGRESS!$BJ$27,PROGRESS!$BJ$27&lt;&gt;0),EN132+1,0)</f>
        <v>0</v>
      </c>
      <c r="EO131" s="1795">
        <f>IF(AND(ACTIONS!BR7&gt;=PROGRESS!$BJ$28,PROGRESS!$BJ$28&lt;&gt;0),EO132+1,0)</f>
        <v>0</v>
      </c>
      <c r="EP131" s="1795">
        <f>IF(AND(ACTIONS!BS7&gt;=PROGRESS!$BJ$29,PROGRESS!$BJ$29&lt;&gt;0),EP132+1,0)</f>
        <v>0</v>
      </c>
      <c r="EQ131" s="1795">
        <f>IF(AND(ACTIONS!BT7&gt;=PROGRESS!$BJ$30,PROGRESS!$BJ$30&lt;&gt;0),EQ132+1,0)</f>
        <v>0</v>
      </c>
      <c r="ER131" s="1795">
        <f>IF(AND(ACTIONS!BU7&gt;=PROGRESS!$BJ$31,PROGRESS!$BJ$31&lt;&gt;0),ER132+1,0)</f>
        <v>0</v>
      </c>
      <c r="ES131" s="1795">
        <f>IF(AND(ACTIONS!BV7&gt;=PROGRESS!$BJ$32,PROGRESS!$BJ$32&lt;&gt;0),ES132+1,0)</f>
        <v>0</v>
      </c>
      <c r="ET131" s="1795">
        <f>IF(AND(ACTIONS!BW7&gt;=PROGRESS!$BJ$33,PROGRESS!$BJ$33&lt;&gt;0),ET132+1,0)</f>
        <v>0</v>
      </c>
      <c r="EU131" s="1795">
        <f>IF(AND(ACTIONS!BX7&gt;=PROGRESS!$BJ$34,PROGRESS!$BJ$34&lt;&gt;0),EU132+1,0)</f>
        <v>0</v>
      </c>
      <c r="EV131" s="1795">
        <f>IF(AND(ACTIONS!BY7&gt;=PROGRESS!$BJ$35,PROGRESS!$BJ$35&lt;&gt;0),EV132+1,0)</f>
        <v>0</v>
      </c>
      <c r="HU131" s="2631"/>
      <c r="HV131" s="2633"/>
      <c r="HY131" s="1873"/>
      <c r="HZ131" s="1873"/>
      <c r="IC131" s="1796"/>
      <c r="ID131" s="1796"/>
      <c r="IE131" s="1796"/>
      <c r="IF131" s="1796"/>
      <c r="IG131" s="1796"/>
      <c r="IH131" s="1796"/>
      <c r="II131" s="1796"/>
      <c r="IJ131" s="1796"/>
      <c r="IK131" s="1796"/>
      <c r="IL131" s="1796"/>
      <c r="IM131" s="1796"/>
      <c r="IN131" s="1796"/>
      <c r="IO131" s="1796"/>
      <c r="IP131" s="1796"/>
      <c r="IQ131" s="1796"/>
      <c r="IR131" s="1796"/>
      <c r="IS131" s="1796"/>
      <c r="IT131" s="1796"/>
      <c r="IU131" s="1796"/>
      <c r="IV131" s="1796"/>
      <c r="IW131" s="1796"/>
      <c r="IX131" s="1796"/>
      <c r="IY131" s="1796"/>
      <c r="JC131" s="1892"/>
      <c r="JE131" s="1900"/>
      <c r="JF131" s="1929">
        <f t="shared" ca="1" si="47"/>
        <v>0</v>
      </c>
      <c r="JG131" s="1900" t="s">
        <v>346</v>
      </c>
      <c r="JH131" s="1850">
        <v>3</v>
      </c>
      <c r="JI131" s="1901"/>
      <c r="JM131" s="1893"/>
      <c r="KG131" s="1822"/>
      <c r="KH131" s="1821"/>
      <c r="KI131" s="1822"/>
      <c r="KJ131" s="1821"/>
      <c r="KK131" s="1822"/>
      <c r="KQ131" s="3079"/>
      <c r="KR131" s="3047"/>
      <c r="KS131" s="1930"/>
      <c r="KT131" s="1764"/>
      <c r="KV131" s="3048"/>
      <c r="KX131" s="3046"/>
      <c r="KY131" s="3047"/>
    </row>
    <row r="132" spans="10:311" ht="17.100000000000001" customHeight="1" thickBot="1" x14ac:dyDescent="0.35">
      <c r="J132" s="1898" t="str">
        <f t="shared" si="38"/>
        <v/>
      </c>
      <c r="K132" s="3312" t="str">
        <f t="shared" si="51"/>
        <v/>
      </c>
      <c r="L132" s="1779"/>
      <c r="M132" s="1779"/>
      <c r="N132" s="1779"/>
      <c r="O132" s="1779"/>
      <c r="P132" s="1779"/>
      <c r="Q132" s="1779"/>
      <c r="R132" s="1779"/>
      <c r="S132" s="1779"/>
      <c r="T132" s="1779"/>
      <c r="U132" s="1779"/>
      <c r="V132" s="1922"/>
      <c r="W132" s="1779"/>
      <c r="X132" s="1779"/>
      <c r="Y132" s="1779"/>
      <c r="Z132" s="1779"/>
      <c r="AA132" s="1779"/>
      <c r="AB132" s="1779"/>
      <c r="AC132" s="1779"/>
      <c r="AD132" s="1779"/>
      <c r="AE132" s="1779"/>
      <c r="AF132" s="1779"/>
      <c r="AH132" s="3312" t="str">
        <f t="shared" si="52"/>
        <v/>
      </c>
      <c r="AI132" s="1779"/>
      <c r="AJ132" s="1928"/>
      <c r="AK132" s="1779"/>
      <c r="AL132" s="1779"/>
      <c r="AM132" s="1779"/>
      <c r="AN132" s="1779"/>
      <c r="AO132" s="1779"/>
      <c r="AP132" s="1779"/>
      <c r="AQ132" s="1779"/>
      <c r="AR132" s="1779"/>
      <c r="AS132" s="1779"/>
      <c r="AT132" s="3213"/>
      <c r="AU132" s="1928"/>
      <c r="AV132" s="1779"/>
      <c r="AW132" s="1779"/>
      <c r="AX132" s="1779"/>
      <c r="AY132" s="1779"/>
      <c r="AZ132" s="1779"/>
      <c r="BA132" s="1779"/>
      <c r="BB132" s="1779"/>
      <c r="BC132" s="1779"/>
      <c r="BD132" s="1779"/>
      <c r="BE132" s="3311">
        <v>109</v>
      </c>
      <c r="BF132" s="1882" t="str">
        <f t="shared" si="53"/>
        <v/>
      </c>
      <c r="BG132" s="1883">
        <f t="shared" si="54"/>
        <v>0</v>
      </c>
      <c r="BH132" s="1884">
        <f t="shared" si="55"/>
        <v>0</v>
      </c>
      <c r="EB132" s="1829">
        <v>26</v>
      </c>
      <c r="EC132" s="1795">
        <f>IF(AND(ACTIONS!C8&gt;=PROGRESS!$Z$27, PROGRESS!$Z$27&lt;&gt;0),EC133+1,0)</f>
        <v>0</v>
      </c>
      <c r="ED132" s="1795">
        <f>IF(AND(ACTIONS!D8&gt;=PROGRESS!$Z$28, PROGRESS!$Z$28&lt;&gt;0),ED133+1,0)</f>
        <v>0</v>
      </c>
      <c r="EE132" s="1795">
        <f>IF(AND(ACTIONS!E8&gt;=PROGRESS!$Z$29, PROGRESS!$Z$29&lt;&gt;0),EE133+1,0)</f>
        <v>0</v>
      </c>
      <c r="EF132" s="1795">
        <f>IF(AND(ACTIONS!F8&gt;=PROGRESS!$Z$30, PROGRESS!$Z$30&lt;&gt;0),EF133+1,0)</f>
        <v>0</v>
      </c>
      <c r="EG132" s="1795">
        <f>IF(AND(ACTIONS!G8&gt;=PROGRESS!$Z$31, PROGRESS!$Z$31&lt;&gt;0),EG133+1,0)</f>
        <v>0</v>
      </c>
      <c r="EH132" s="1795">
        <f>IF(AND(ACTIONS!H8&gt;=PROGRESS!$Z$32, PROGRESS!$Z$32&lt;&gt;0),EH133+1,0)</f>
        <v>0</v>
      </c>
      <c r="EI132" s="1795">
        <f>IF(AND(ACTIONS!I8&gt;=PROGRESS!$Z$33,PROGRESS!$Z$33&lt;&gt;0),EI133+1,0)</f>
        <v>0</v>
      </c>
      <c r="EJ132" s="1795">
        <f>IF(AND(ACTIONS!J8&gt;=PROGRESS!$Z$34, PROGRESS!$Z$34&lt;&gt;0),EJ133+1,0)</f>
        <v>0</v>
      </c>
      <c r="EK132" s="1795">
        <f>IF(AND(ACTIONS!K8&gt;=PROGRESS!$Z$35,PROGRESS!$Z$35&lt;&gt;0),EK133+1,0)</f>
        <v>0</v>
      </c>
      <c r="EM132" s="1829">
        <v>26</v>
      </c>
      <c r="EN132" s="1795">
        <f>IF(AND(ACTIONS!BQ8&gt;=PROGRESS!$BJ$27,PROGRESS!$BJ$27&lt;&gt;0),EN133+1,0)</f>
        <v>0</v>
      </c>
      <c r="EO132" s="1795">
        <f>IF(AND(ACTIONS!BR8&gt;=PROGRESS!$BJ$28,PROGRESS!$BJ$28&lt;&gt;0),EO133+1,0)</f>
        <v>0</v>
      </c>
      <c r="EP132" s="1795">
        <f>IF(AND(ACTIONS!BS8&gt;=PROGRESS!$BJ$29,PROGRESS!$BJ$29&lt;&gt;0),EP133+1,0)</f>
        <v>0</v>
      </c>
      <c r="EQ132" s="1795">
        <f>IF(AND(ACTIONS!BT8&gt;=PROGRESS!$BJ$30,PROGRESS!$BJ$30&lt;&gt;0),EQ133+1,0)</f>
        <v>0</v>
      </c>
      <c r="ER132" s="1795">
        <f>IF(AND(ACTIONS!BU8&gt;=PROGRESS!$BJ$31,PROGRESS!$BJ$31&lt;&gt;0),ER133+1,0)</f>
        <v>0</v>
      </c>
      <c r="ES132" s="1795">
        <f>IF(AND(ACTIONS!BV8&gt;=PROGRESS!$BJ$32,PROGRESS!$BJ$32&lt;&gt;0),ES133+1,0)</f>
        <v>0</v>
      </c>
      <c r="ET132" s="1795">
        <f>IF(AND(ACTIONS!BW8&gt;=PROGRESS!$BJ$33,PROGRESS!$BJ$33&lt;&gt;0),ET133+1,0)</f>
        <v>0</v>
      </c>
      <c r="EU132" s="1795">
        <f>IF(AND(ACTIONS!BX8&gt;=PROGRESS!$BJ$34,PROGRESS!$BJ$34&lt;&gt;0),EU133+1,0)</f>
        <v>0</v>
      </c>
      <c r="EV132" s="1795">
        <f>IF(AND(ACTIONS!BY8&gt;=PROGRESS!$BJ$35,PROGRESS!$BJ$35&lt;&gt;0),EV133+1,0)</f>
        <v>0</v>
      </c>
      <c r="HU132" s="2631"/>
      <c r="HV132" s="2633"/>
      <c r="HY132" s="1873"/>
      <c r="HZ132" s="1873"/>
      <c r="IC132" s="1796"/>
      <c r="ID132" s="1796"/>
      <c r="IE132" s="1796"/>
      <c r="IF132" s="1796"/>
      <c r="IG132" s="1796"/>
      <c r="IH132" s="1796"/>
      <c r="II132" s="1796"/>
      <c r="IJ132" s="1796"/>
      <c r="IK132" s="1796"/>
      <c r="IL132" s="1796"/>
      <c r="IM132" s="1796"/>
      <c r="IN132" s="1796"/>
      <c r="IO132" s="1796"/>
      <c r="IP132" s="1796"/>
      <c r="IQ132" s="1796"/>
      <c r="IR132" s="1796"/>
      <c r="IS132" s="1796"/>
      <c r="IT132" s="1796"/>
      <c r="IU132" s="1796"/>
      <c r="IV132" s="1796"/>
      <c r="IW132" s="1796"/>
      <c r="IX132" s="1796"/>
      <c r="IY132" s="1796"/>
      <c r="JC132" s="1892"/>
      <c r="JE132" s="1900"/>
      <c r="JF132" s="1929">
        <f t="shared" ca="1" si="47"/>
        <v>0</v>
      </c>
      <c r="JG132" s="1900" t="s">
        <v>347</v>
      </c>
      <c r="JH132" s="1850">
        <v>4</v>
      </c>
      <c r="JI132" s="1901"/>
      <c r="JM132" s="1893"/>
      <c r="KG132" s="1822"/>
      <c r="KH132" s="1821"/>
      <c r="KI132" s="1822"/>
      <c r="KJ132" s="1821"/>
      <c r="KK132" s="1822"/>
      <c r="KQ132" s="3079"/>
      <c r="KR132" s="3047"/>
      <c r="KS132" s="1930"/>
      <c r="KT132" s="1764"/>
      <c r="KX132" s="3046"/>
      <c r="KY132" s="3047"/>
    </row>
    <row r="133" spans="10:311" ht="17.100000000000001" customHeight="1" thickBot="1" x14ac:dyDescent="0.35">
      <c r="J133" s="1898" t="str">
        <f t="shared" si="38"/>
        <v/>
      </c>
      <c r="K133" s="3312" t="str">
        <f t="shared" si="51"/>
        <v/>
      </c>
      <c r="L133" s="1779"/>
      <c r="M133" s="1779"/>
      <c r="N133" s="1779"/>
      <c r="O133" s="1779"/>
      <c r="P133" s="1779"/>
      <c r="Q133" s="1779"/>
      <c r="R133" s="1779"/>
      <c r="S133" s="1779"/>
      <c r="T133" s="1779"/>
      <c r="U133" s="1779"/>
      <c r="V133" s="1922"/>
      <c r="W133" s="1779"/>
      <c r="X133" s="1779"/>
      <c r="Y133" s="1779"/>
      <c r="Z133" s="1779"/>
      <c r="AA133" s="1779"/>
      <c r="AB133" s="1779"/>
      <c r="AC133" s="1779"/>
      <c r="AD133" s="1779"/>
      <c r="AE133" s="1779"/>
      <c r="AF133" s="1779"/>
      <c r="AH133" s="3312" t="str">
        <f t="shared" si="52"/>
        <v/>
      </c>
      <c r="AI133" s="1779"/>
      <c r="AJ133" s="1928"/>
      <c r="AK133" s="1779"/>
      <c r="AL133" s="1779"/>
      <c r="AM133" s="1779"/>
      <c r="AN133" s="1779"/>
      <c r="AO133" s="1779"/>
      <c r="AP133" s="1779"/>
      <c r="AQ133" s="1779"/>
      <c r="AR133" s="1779"/>
      <c r="AS133" s="1779"/>
      <c r="AT133" s="3213"/>
      <c r="AU133" s="1928"/>
      <c r="AV133" s="1779"/>
      <c r="AW133" s="1779"/>
      <c r="AX133" s="1779"/>
      <c r="AY133" s="1779"/>
      <c r="AZ133" s="1779"/>
      <c r="BA133" s="1779"/>
      <c r="BB133" s="1779"/>
      <c r="BC133" s="1779"/>
      <c r="BD133" s="1779"/>
      <c r="BE133" s="3311">
        <v>110</v>
      </c>
      <c r="BF133" s="1882" t="str">
        <f t="shared" si="53"/>
        <v/>
      </c>
      <c r="BG133" s="1883">
        <f t="shared" si="54"/>
        <v>0</v>
      </c>
      <c r="BH133" s="1884">
        <f t="shared" si="55"/>
        <v>0</v>
      </c>
      <c r="EB133" s="1829">
        <v>25</v>
      </c>
      <c r="EC133" s="1795">
        <f>IF(AND(ACTIONS!C9&gt;=PROGRESS!$Z$27, PROGRESS!$Z$27&lt;&gt;0),EC134+1,0)</f>
        <v>0</v>
      </c>
      <c r="ED133" s="1795">
        <f>IF(AND(ACTIONS!D9&gt;=PROGRESS!$Z$28, PROGRESS!$Z$28&lt;&gt;0),ED134+1,0)</f>
        <v>0</v>
      </c>
      <c r="EE133" s="1795">
        <f>IF(AND(ACTIONS!E9&gt;=PROGRESS!$Z$29, PROGRESS!$Z$29&lt;&gt;0),EE134+1,0)</f>
        <v>0</v>
      </c>
      <c r="EF133" s="1795">
        <f>IF(AND(ACTIONS!F9&gt;=PROGRESS!$Z$30, PROGRESS!$Z$30&lt;&gt;0),EF134+1,0)</f>
        <v>0</v>
      </c>
      <c r="EG133" s="1795">
        <f>IF(AND(ACTIONS!G9&gt;=PROGRESS!$Z$31, PROGRESS!$Z$31&lt;&gt;0),EG134+1,0)</f>
        <v>0</v>
      </c>
      <c r="EH133" s="1795">
        <f>IF(AND(ACTIONS!H9&gt;=PROGRESS!$Z$32, PROGRESS!$Z$32&lt;&gt;0),EH134+1,0)</f>
        <v>0</v>
      </c>
      <c r="EI133" s="1795">
        <f>IF(AND(ACTIONS!I9&gt;=PROGRESS!$Z$33,PROGRESS!$Z$33&lt;&gt;0),EI134+1,0)</f>
        <v>0</v>
      </c>
      <c r="EJ133" s="1795">
        <f>IF(AND(ACTIONS!J9&gt;=PROGRESS!$Z$34, PROGRESS!$Z$34&lt;&gt;0),EJ134+1,0)</f>
        <v>0</v>
      </c>
      <c r="EK133" s="1795">
        <f>IF(AND(ACTIONS!K9&gt;=PROGRESS!$Z$35,PROGRESS!$Z$35&lt;&gt;0),EK134+1,0)</f>
        <v>0</v>
      </c>
      <c r="EM133" s="1829">
        <v>25</v>
      </c>
      <c r="EN133" s="1795">
        <f>IF(AND(ACTIONS!BQ9&gt;=PROGRESS!$BJ$27,PROGRESS!$BJ$27&lt;&gt;0),EN134+1,0)</f>
        <v>0</v>
      </c>
      <c r="EO133" s="1795">
        <f>IF(AND(ACTIONS!BR9&gt;=PROGRESS!$BJ$28,PROGRESS!$BJ$28&lt;&gt;0),EO134+1,0)</f>
        <v>0</v>
      </c>
      <c r="EP133" s="1795">
        <f>IF(AND(ACTIONS!BS9&gt;=PROGRESS!$BJ$29,PROGRESS!$BJ$29&lt;&gt;0),EP134+1,0)</f>
        <v>0</v>
      </c>
      <c r="EQ133" s="1795">
        <f>IF(AND(ACTIONS!BT9&gt;=PROGRESS!$BJ$30,PROGRESS!$BJ$30&lt;&gt;0),EQ134+1,0)</f>
        <v>0</v>
      </c>
      <c r="ER133" s="1795">
        <f>IF(AND(ACTIONS!BU9&gt;=PROGRESS!$BJ$31,PROGRESS!$BJ$31&lt;&gt;0),ER134+1,0)</f>
        <v>0</v>
      </c>
      <c r="ES133" s="1795">
        <f>IF(AND(ACTIONS!BV9&gt;=PROGRESS!$BJ$32,PROGRESS!$BJ$32&lt;&gt;0),ES134+1,0)</f>
        <v>0</v>
      </c>
      <c r="ET133" s="1795">
        <f>IF(AND(ACTIONS!BW9&gt;=PROGRESS!$BJ$33,PROGRESS!$BJ$33&lt;&gt;0),ET134+1,0)</f>
        <v>0</v>
      </c>
      <c r="EU133" s="1795">
        <f>IF(AND(ACTIONS!BX9&gt;=PROGRESS!$BJ$34,PROGRESS!$BJ$34&lt;&gt;0),EU134+1,0)</f>
        <v>0</v>
      </c>
      <c r="EV133" s="1795">
        <f>IF(AND(ACTIONS!BY9&gt;=PROGRESS!$BJ$35,PROGRESS!$BJ$35&lt;&gt;0),EV134+1,0)</f>
        <v>0</v>
      </c>
      <c r="HU133" s="2631"/>
      <c r="HV133" s="2633"/>
      <c r="HY133" s="1873"/>
      <c r="HZ133" s="1873"/>
      <c r="IC133" s="1796"/>
      <c r="ID133" s="1796"/>
      <c r="IE133" s="1796"/>
      <c r="IF133" s="1796"/>
      <c r="IG133" s="1796"/>
      <c r="IH133" s="1796"/>
      <c r="II133" s="1796"/>
      <c r="IJ133" s="1796"/>
      <c r="IK133" s="1796"/>
      <c r="IL133" s="1796"/>
      <c r="IM133" s="1796"/>
      <c r="IN133" s="1796"/>
      <c r="IO133" s="1796"/>
      <c r="IP133" s="1796"/>
      <c r="IQ133" s="1796"/>
      <c r="IR133" s="1796"/>
      <c r="IS133" s="1796"/>
      <c r="IT133" s="1796"/>
      <c r="IU133" s="1796"/>
      <c r="IV133" s="1796"/>
      <c r="IW133" s="1796"/>
      <c r="IX133" s="1796"/>
      <c r="IY133" s="1796"/>
      <c r="JC133" s="1892"/>
      <c r="JE133" s="1900"/>
      <c r="JF133" s="1929">
        <f t="shared" ca="1" si="47"/>
        <v>0</v>
      </c>
      <c r="JG133" s="1900" t="s">
        <v>348</v>
      </c>
      <c r="JH133" s="1850">
        <v>5</v>
      </c>
      <c r="JI133" s="1901"/>
      <c r="JM133" s="1893"/>
      <c r="KG133" s="1822"/>
      <c r="KH133" s="1821"/>
      <c r="KI133" s="1822"/>
      <c r="KJ133" s="1821"/>
      <c r="KK133" s="1822"/>
      <c r="KQ133" s="3079"/>
      <c r="KR133" s="3047"/>
      <c r="KS133" s="1930"/>
      <c r="KT133" s="1764"/>
      <c r="KV133" s="3046"/>
      <c r="KX133" s="3046"/>
      <c r="KY133" s="3047"/>
    </row>
    <row r="134" spans="10:311" ht="17.100000000000001" customHeight="1" thickBot="1" x14ac:dyDescent="0.35">
      <c r="J134" s="1898" t="str">
        <f t="shared" si="38"/>
        <v/>
      </c>
      <c r="K134" s="3312" t="str">
        <f t="shared" si="51"/>
        <v/>
      </c>
      <c r="L134" s="1779"/>
      <c r="M134" s="1779"/>
      <c r="N134" s="1779"/>
      <c r="O134" s="1779"/>
      <c r="P134" s="1779"/>
      <c r="Q134" s="1779"/>
      <c r="R134" s="1779"/>
      <c r="S134" s="1779"/>
      <c r="T134" s="1779"/>
      <c r="U134" s="1779"/>
      <c r="V134" s="1922"/>
      <c r="W134" s="1779"/>
      <c r="X134" s="1779"/>
      <c r="Y134" s="1779"/>
      <c r="Z134" s="1779"/>
      <c r="AA134" s="1779"/>
      <c r="AB134" s="1779"/>
      <c r="AC134" s="1779"/>
      <c r="AD134" s="1779"/>
      <c r="AE134" s="1779"/>
      <c r="AF134" s="1779"/>
      <c r="AH134" s="3312" t="str">
        <f t="shared" si="52"/>
        <v/>
      </c>
      <c r="AI134" s="1779"/>
      <c r="AJ134" s="1928"/>
      <c r="AK134" s="1779"/>
      <c r="AL134" s="1779"/>
      <c r="AM134" s="1779"/>
      <c r="AN134" s="1779"/>
      <c r="AO134" s="1779"/>
      <c r="AP134" s="1779"/>
      <c r="AQ134" s="1779"/>
      <c r="AR134" s="1779"/>
      <c r="AS134" s="1779"/>
      <c r="AT134" s="3213"/>
      <c r="AU134" s="1928"/>
      <c r="AV134" s="1779"/>
      <c r="AW134" s="1779"/>
      <c r="AX134" s="1779"/>
      <c r="AY134" s="1779"/>
      <c r="AZ134" s="1779"/>
      <c r="BA134" s="1779"/>
      <c r="BB134" s="1779"/>
      <c r="BC134" s="1779"/>
      <c r="BD134" s="1779"/>
      <c r="BE134" s="3311">
        <v>111</v>
      </c>
      <c r="BF134" s="1882" t="str">
        <f t="shared" si="53"/>
        <v/>
      </c>
      <c r="BG134" s="1883">
        <f t="shared" si="54"/>
        <v>0</v>
      </c>
      <c r="BH134" s="1884">
        <f t="shared" si="55"/>
        <v>0</v>
      </c>
      <c r="EB134" s="1829">
        <v>24</v>
      </c>
      <c r="EC134" s="1795">
        <f>IF(AND(ACTIONS!C10&gt;=PROGRESS!$Z$27, PROGRESS!$Z$27&lt;&gt;0),EC135+1,0)</f>
        <v>0</v>
      </c>
      <c r="ED134" s="1795">
        <f>IF(AND(ACTIONS!D10&gt;=PROGRESS!$Z$28, PROGRESS!$Z$28&lt;&gt;0),ED135+1,0)</f>
        <v>0</v>
      </c>
      <c r="EE134" s="1795">
        <f>IF(AND(ACTIONS!E10&gt;=PROGRESS!$Z$29, PROGRESS!$Z$29&lt;&gt;0),EE135+1,0)</f>
        <v>0</v>
      </c>
      <c r="EF134" s="1795">
        <f>IF(AND(ACTIONS!F10&gt;=PROGRESS!$Z$30, PROGRESS!$Z$30&lt;&gt;0),EF135+1,0)</f>
        <v>0</v>
      </c>
      <c r="EG134" s="1795">
        <f>IF(AND(ACTIONS!G10&gt;=PROGRESS!$Z$31, PROGRESS!$Z$31&lt;&gt;0),EG135+1,0)</f>
        <v>0</v>
      </c>
      <c r="EH134" s="1795">
        <f>IF(AND(ACTIONS!H10&gt;=PROGRESS!$Z$32, PROGRESS!$Z$32&lt;&gt;0),EH135+1,0)</f>
        <v>0</v>
      </c>
      <c r="EI134" s="1795">
        <f>IF(AND(ACTIONS!I10&gt;=PROGRESS!$Z$33,PROGRESS!$Z$33&lt;&gt;0),EI135+1,0)</f>
        <v>0</v>
      </c>
      <c r="EJ134" s="1795">
        <f>IF(AND(ACTIONS!J10&gt;=PROGRESS!$Z$34, PROGRESS!$Z$34&lt;&gt;0),EJ135+1,0)</f>
        <v>0</v>
      </c>
      <c r="EK134" s="1795">
        <f>IF(AND(ACTIONS!K10&gt;=PROGRESS!$Z$35,PROGRESS!$Z$35&lt;&gt;0),EK135+1,0)</f>
        <v>0</v>
      </c>
      <c r="EM134" s="1829">
        <v>24</v>
      </c>
      <c r="EN134" s="1795">
        <f>IF(AND(ACTIONS!BQ10&gt;=PROGRESS!$BJ$27,PROGRESS!$BJ$27&lt;&gt;0),EN135+1,0)</f>
        <v>0</v>
      </c>
      <c r="EO134" s="1795">
        <f>IF(AND(ACTIONS!BR10&gt;=PROGRESS!$BJ$28,PROGRESS!$BJ$28&lt;&gt;0),EO135+1,0)</f>
        <v>0</v>
      </c>
      <c r="EP134" s="1795">
        <f>IF(AND(ACTIONS!BS10&gt;=PROGRESS!$BJ$29,PROGRESS!$BJ$29&lt;&gt;0),EP135+1,0)</f>
        <v>0</v>
      </c>
      <c r="EQ134" s="1795">
        <f>IF(AND(ACTIONS!BT10&gt;=PROGRESS!$BJ$30,PROGRESS!$BJ$30&lt;&gt;0),EQ135+1,0)</f>
        <v>0</v>
      </c>
      <c r="ER134" s="1795">
        <f>IF(AND(ACTIONS!BU10&gt;=PROGRESS!$BJ$31,PROGRESS!$BJ$31&lt;&gt;0),ER135+1,0)</f>
        <v>0</v>
      </c>
      <c r="ES134" s="1795">
        <f>IF(AND(ACTIONS!BV10&gt;=PROGRESS!$BJ$32,PROGRESS!$BJ$32&lt;&gt;0),ES135+1,0)</f>
        <v>0</v>
      </c>
      <c r="ET134" s="1795">
        <f>IF(AND(ACTIONS!BW10&gt;=PROGRESS!$BJ$33,PROGRESS!$BJ$33&lt;&gt;0),ET135+1,0)</f>
        <v>0</v>
      </c>
      <c r="EU134" s="1795">
        <f>IF(AND(ACTIONS!BX10&gt;=PROGRESS!$BJ$34,PROGRESS!$BJ$34&lt;&gt;0),EU135+1,0)</f>
        <v>0</v>
      </c>
      <c r="EV134" s="1795">
        <f>IF(AND(ACTIONS!BY10&gt;=PROGRESS!$BJ$35,PROGRESS!$BJ$35&lt;&gt;0),EV135+1,0)</f>
        <v>0</v>
      </c>
      <c r="HU134" s="2631"/>
      <c r="HV134" s="2633"/>
      <c r="HY134" s="1873"/>
      <c r="HZ134" s="1873"/>
      <c r="IC134" s="1796"/>
      <c r="ID134" s="1796"/>
      <c r="IE134" s="1796"/>
      <c r="IF134" s="1796"/>
      <c r="IG134" s="1796"/>
      <c r="IH134" s="1796"/>
      <c r="II134" s="1796"/>
      <c r="IJ134" s="1796"/>
      <c r="IK134" s="1796"/>
      <c r="IL134" s="1796"/>
      <c r="IM134" s="1796"/>
      <c r="IN134" s="1796"/>
      <c r="IO134" s="1796"/>
      <c r="IP134" s="1796"/>
      <c r="IQ134" s="1796"/>
      <c r="IR134" s="1796"/>
      <c r="IS134" s="1796"/>
      <c r="IT134" s="1796"/>
      <c r="IU134" s="1796"/>
      <c r="IV134" s="1796"/>
      <c r="IW134" s="1796"/>
      <c r="IX134" s="1796"/>
      <c r="IY134" s="1796"/>
      <c r="JC134" s="1892"/>
      <c r="JE134" s="1900"/>
      <c r="JF134" s="1929">
        <f t="shared" ca="1" si="47"/>
        <v>0</v>
      </c>
      <c r="JG134" s="1900" t="s">
        <v>349</v>
      </c>
      <c r="JH134" s="1850">
        <v>3</v>
      </c>
      <c r="JI134" s="1901"/>
      <c r="JM134" s="1893"/>
      <c r="KG134" s="1822"/>
      <c r="KH134" s="1821"/>
      <c r="KI134" s="1822"/>
      <c r="KJ134" s="1821"/>
      <c r="KK134" s="1822"/>
      <c r="KQ134" s="3079"/>
      <c r="KR134" s="3047"/>
      <c r="KS134" s="1930"/>
      <c r="KT134" s="1764"/>
      <c r="KV134" s="3046"/>
      <c r="KX134" s="3046"/>
      <c r="KY134" s="3047"/>
    </row>
    <row r="135" spans="10:311" ht="17.100000000000001" customHeight="1" thickBot="1" x14ac:dyDescent="0.35">
      <c r="J135" s="1898" t="str">
        <f t="shared" si="38"/>
        <v/>
      </c>
      <c r="K135" s="3312" t="str">
        <f t="shared" si="51"/>
        <v/>
      </c>
      <c r="L135" s="1779"/>
      <c r="M135" s="1779"/>
      <c r="N135" s="1779"/>
      <c r="O135" s="1779"/>
      <c r="P135" s="1779"/>
      <c r="Q135" s="1779"/>
      <c r="R135" s="1779"/>
      <c r="S135" s="1779"/>
      <c r="T135" s="1779"/>
      <c r="U135" s="1779"/>
      <c r="V135" s="1922"/>
      <c r="W135" s="1779"/>
      <c r="X135" s="1779"/>
      <c r="Y135" s="1779"/>
      <c r="Z135" s="1779"/>
      <c r="AA135" s="1779"/>
      <c r="AB135" s="1779"/>
      <c r="AC135" s="1779"/>
      <c r="AD135" s="1779"/>
      <c r="AE135" s="1779"/>
      <c r="AF135" s="1779"/>
      <c r="AH135" s="3312" t="str">
        <f t="shared" si="52"/>
        <v/>
      </c>
      <c r="AI135" s="1779"/>
      <c r="AJ135" s="1928"/>
      <c r="AK135" s="1779"/>
      <c r="AL135" s="1779"/>
      <c r="AM135" s="1779"/>
      <c r="AN135" s="1779"/>
      <c r="AO135" s="1779"/>
      <c r="AP135" s="1779"/>
      <c r="AQ135" s="1779"/>
      <c r="AR135" s="1779"/>
      <c r="AS135" s="1779"/>
      <c r="AT135" s="3213"/>
      <c r="AU135" s="1928"/>
      <c r="AV135" s="1779"/>
      <c r="AW135" s="1779"/>
      <c r="AX135" s="1779"/>
      <c r="AY135" s="1779"/>
      <c r="AZ135" s="1779"/>
      <c r="BA135" s="1779"/>
      <c r="BB135" s="1779"/>
      <c r="BC135" s="1779"/>
      <c r="BD135" s="1779"/>
      <c r="BE135" s="3311">
        <v>112</v>
      </c>
      <c r="BF135" s="1882" t="str">
        <f t="shared" si="53"/>
        <v/>
      </c>
      <c r="BG135" s="1883">
        <f t="shared" si="54"/>
        <v>0</v>
      </c>
      <c r="BH135" s="1884">
        <f t="shared" si="55"/>
        <v>0</v>
      </c>
      <c r="EB135" s="1829">
        <v>23</v>
      </c>
      <c r="EC135" s="1795">
        <f>IF(AND(ACTIONS!C11&gt;=PROGRESS!$Z$27, PROGRESS!$Z$27&lt;&gt;0),EC136+1,0)</f>
        <v>0</v>
      </c>
      <c r="ED135" s="1795">
        <f>IF(AND(ACTIONS!D11&gt;=PROGRESS!$Z$28, PROGRESS!$Z$28&lt;&gt;0),ED136+1,0)</f>
        <v>0</v>
      </c>
      <c r="EE135" s="1795">
        <f>IF(AND(ACTIONS!E11&gt;=PROGRESS!$Z$29, PROGRESS!$Z$29&lt;&gt;0),EE136+1,0)</f>
        <v>0</v>
      </c>
      <c r="EF135" s="1795">
        <f>IF(AND(ACTIONS!F11&gt;=PROGRESS!$Z$30, PROGRESS!$Z$30&lt;&gt;0),EF136+1,0)</f>
        <v>0</v>
      </c>
      <c r="EG135" s="1795">
        <f>IF(AND(ACTIONS!G11&gt;=PROGRESS!$Z$31, PROGRESS!$Z$31&lt;&gt;0),EG136+1,0)</f>
        <v>0</v>
      </c>
      <c r="EH135" s="1795">
        <f>IF(AND(ACTIONS!H11&gt;=PROGRESS!$Z$32, PROGRESS!$Z$32&lt;&gt;0),EH136+1,0)</f>
        <v>0</v>
      </c>
      <c r="EI135" s="1795">
        <f>IF(AND(ACTIONS!I11&gt;=PROGRESS!$Z$33,PROGRESS!$Z$33&lt;&gt;0),EI136+1,0)</f>
        <v>0</v>
      </c>
      <c r="EJ135" s="1795">
        <f>IF(AND(ACTIONS!J11&gt;=PROGRESS!$Z$34, PROGRESS!$Z$34&lt;&gt;0),EJ136+1,0)</f>
        <v>0</v>
      </c>
      <c r="EK135" s="1795">
        <f>IF(AND(ACTIONS!K11&gt;=PROGRESS!$Z$35,PROGRESS!$Z$35&lt;&gt;0),EK136+1,0)</f>
        <v>0</v>
      </c>
      <c r="EM135" s="1829">
        <v>23</v>
      </c>
      <c r="EN135" s="1795">
        <f>IF(AND(ACTIONS!BQ11&gt;=PROGRESS!$BJ$27,PROGRESS!$BJ$27&lt;&gt;0),EN136+1,0)</f>
        <v>0</v>
      </c>
      <c r="EO135" s="1795">
        <f>IF(AND(ACTIONS!BR11&gt;=PROGRESS!$BJ$28,PROGRESS!$BJ$28&lt;&gt;0),EO136+1,0)</f>
        <v>0</v>
      </c>
      <c r="EP135" s="1795">
        <f>IF(AND(ACTIONS!BS11&gt;=PROGRESS!$BJ$29,PROGRESS!$BJ$29&lt;&gt;0),EP136+1,0)</f>
        <v>0</v>
      </c>
      <c r="EQ135" s="1795">
        <f>IF(AND(ACTIONS!BT11&gt;=PROGRESS!$BJ$30,PROGRESS!$BJ$30&lt;&gt;0),EQ136+1,0)</f>
        <v>0</v>
      </c>
      <c r="ER135" s="1795">
        <f>IF(AND(ACTIONS!BU11&gt;=PROGRESS!$BJ$31,PROGRESS!$BJ$31&lt;&gt;0),ER136+1,0)</f>
        <v>0</v>
      </c>
      <c r="ES135" s="1795">
        <f>IF(AND(ACTIONS!BV11&gt;=PROGRESS!$BJ$32,PROGRESS!$BJ$32&lt;&gt;0),ES136+1,0)</f>
        <v>0</v>
      </c>
      <c r="ET135" s="1795">
        <f>IF(AND(ACTIONS!BW11&gt;=PROGRESS!$BJ$33,PROGRESS!$BJ$33&lt;&gt;0),ET136+1,0)</f>
        <v>0</v>
      </c>
      <c r="EU135" s="1795">
        <f>IF(AND(ACTIONS!BX11&gt;=PROGRESS!$BJ$34,PROGRESS!$BJ$34&lt;&gt;0),EU136+1,0)</f>
        <v>0</v>
      </c>
      <c r="EV135" s="1795">
        <f>IF(AND(ACTIONS!BY11&gt;=PROGRESS!$BJ$35,PROGRESS!$BJ$35&lt;&gt;0),EV136+1,0)</f>
        <v>0</v>
      </c>
      <c r="HU135" s="2631"/>
      <c r="HV135" s="2633"/>
      <c r="HY135" s="1873"/>
      <c r="HZ135" s="1873"/>
      <c r="IC135" s="1796"/>
      <c r="ID135" s="1796"/>
      <c r="IE135" s="1796"/>
      <c r="IF135" s="1796"/>
      <c r="IG135" s="1796"/>
      <c r="IH135" s="1796"/>
      <c r="II135" s="1796"/>
      <c r="IJ135" s="1796"/>
      <c r="IK135" s="1796"/>
      <c r="IL135" s="1796"/>
      <c r="IM135" s="1796"/>
      <c r="IN135" s="1796"/>
      <c r="IO135" s="1796"/>
      <c r="IP135" s="1796"/>
      <c r="IQ135" s="1796"/>
      <c r="IR135" s="1796"/>
      <c r="IS135" s="1796"/>
      <c r="IT135" s="1796"/>
      <c r="IU135" s="1796"/>
      <c r="IV135" s="1796"/>
      <c r="IW135" s="1796"/>
      <c r="IX135" s="1796"/>
      <c r="IY135" s="1796"/>
      <c r="JC135" s="1892"/>
      <c r="JE135" s="1900"/>
      <c r="JF135" s="1929">
        <f t="shared" ca="1" si="47"/>
        <v>0</v>
      </c>
      <c r="JG135" s="1900" t="s">
        <v>350</v>
      </c>
      <c r="JH135" s="1850">
        <v>5</v>
      </c>
      <c r="JI135" s="1901"/>
      <c r="JM135" s="1893"/>
      <c r="KG135" s="1822"/>
      <c r="KH135" s="1821"/>
      <c r="KI135" s="1822"/>
      <c r="KJ135" s="1821"/>
      <c r="KK135" s="1822"/>
      <c r="KQ135" s="3079"/>
      <c r="KR135" s="3047"/>
      <c r="KS135" s="1930"/>
      <c r="KT135" s="1764"/>
      <c r="KV135" s="3046"/>
    </row>
    <row r="136" spans="10:311" ht="17.100000000000001" customHeight="1" thickBot="1" x14ac:dyDescent="0.35">
      <c r="J136" s="1898" t="str">
        <f t="shared" si="38"/>
        <v/>
      </c>
      <c r="K136" s="3312" t="str">
        <f t="shared" si="51"/>
        <v/>
      </c>
      <c r="L136" s="1779"/>
      <c r="M136" s="1779"/>
      <c r="N136" s="1779"/>
      <c r="O136" s="1779"/>
      <c r="P136" s="1779"/>
      <c r="Q136" s="1779"/>
      <c r="R136" s="1779"/>
      <c r="S136" s="1779"/>
      <c r="T136" s="1779"/>
      <c r="U136" s="1779"/>
      <c r="V136" s="1922"/>
      <c r="W136" s="1779"/>
      <c r="X136" s="1779"/>
      <c r="Y136" s="1779"/>
      <c r="Z136" s="1779"/>
      <c r="AA136" s="1779"/>
      <c r="AB136" s="1779"/>
      <c r="AC136" s="1779"/>
      <c r="AD136" s="1779"/>
      <c r="AE136" s="1779"/>
      <c r="AF136" s="1779"/>
      <c r="AH136" s="3312" t="str">
        <f t="shared" si="52"/>
        <v/>
      </c>
      <c r="AI136" s="1779"/>
      <c r="AJ136" s="1928"/>
      <c r="AK136" s="1779"/>
      <c r="AL136" s="1779"/>
      <c r="AM136" s="1779"/>
      <c r="AN136" s="1779"/>
      <c r="AO136" s="1779"/>
      <c r="AP136" s="1779"/>
      <c r="AQ136" s="1779"/>
      <c r="AR136" s="1779"/>
      <c r="AS136" s="1779"/>
      <c r="AT136" s="3213"/>
      <c r="AU136" s="1928"/>
      <c r="AV136" s="1779"/>
      <c r="AW136" s="1779"/>
      <c r="AX136" s="1779"/>
      <c r="AY136" s="1779"/>
      <c r="AZ136" s="1779"/>
      <c r="BA136" s="1779"/>
      <c r="BB136" s="1779"/>
      <c r="BC136" s="1779"/>
      <c r="BD136" s="1779"/>
      <c r="BE136" s="3311">
        <v>113</v>
      </c>
      <c r="BF136" s="1882" t="str">
        <f t="shared" si="53"/>
        <v/>
      </c>
      <c r="BG136" s="1883">
        <f t="shared" si="54"/>
        <v>0</v>
      </c>
      <c r="BH136" s="1884">
        <f t="shared" si="55"/>
        <v>0</v>
      </c>
      <c r="EB136" s="1829">
        <v>22</v>
      </c>
      <c r="EC136" s="1795">
        <f>IF(AND(ACTIONS!C12&gt;=PROGRESS!$Z$27, PROGRESS!$Z$27&lt;&gt;0),EC137+1,0)</f>
        <v>0</v>
      </c>
      <c r="ED136" s="1795">
        <f>IF(AND(ACTIONS!D12&gt;=PROGRESS!$Z$28, PROGRESS!$Z$28&lt;&gt;0),ED137+1,0)</f>
        <v>0</v>
      </c>
      <c r="EE136" s="1795">
        <f>IF(AND(ACTIONS!E12&gt;=PROGRESS!$Z$29, PROGRESS!$Z$29&lt;&gt;0),EE137+1,0)</f>
        <v>0</v>
      </c>
      <c r="EF136" s="1795">
        <f>IF(AND(ACTIONS!F12&gt;=PROGRESS!$Z$30, PROGRESS!$Z$30&lt;&gt;0),EF137+1,0)</f>
        <v>0</v>
      </c>
      <c r="EG136" s="1795">
        <f>IF(AND(ACTIONS!G12&gt;=PROGRESS!$Z$31, PROGRESS!$Z$31&lt;&gt;0),EG137+1,0)</f>
        <v>0</v>
      </c>
      <c r="EH136" s="1795">
        <f>IF(AND(ACTIONS!H12&gt;=PROGRESS!$Z$32, PROGRESS!$Z$32&lt;&gt;0),EH137+1,0)</f>
        <v>0</v>
      </c>
      <c r="EI136" s="1795">
        <f>IF(AND(ACTIONS!I12&gt;=PROGRESS!$Z$33,PROGRESS!$Z$33&lt;&gt;0),EI137+1,0)</f>
        <v>0</v>
      </c>
      <c r="EJ136" s="1795">
        <f>IF(AND(ACTIONS!J12&gt;=PROGRESS!$Z$34, PROGRESS!$Z$34&lt;&gt;0),EJ137+1,0)</f>
        <v>0</v>
      </c>
      <c r="EK136" s="1795">
        <f>IF(AND(ACTIONS!K12&gt;=PROGRESS!$Z$35,PROGRESS!$Z$35&lt;&gt;0),EK137+1,0)</f>
        <v>0</v>
      </c>
      <c r="EM136" s="1829">
        <v>22</v>
      </c>
      <c r="EN136" s="1795">
        <f>IF(AND(ACTIONS!BQ12&gt;=PROGRESS!$BJ$27,PROGRESS!$BJ$27&lt;&gt;0),EN137+1,0)</f>
        <v>0</v>
      </c>
      <c r="EO136" s="1795">
        <f>IF(AND(ACTIONS!BR12&gt;=PROGRESS!$BJ$28,PROGRESS!$BJ$28&lt;&gt;0),EO137+1,0)</f>
        <v>0</v>
      </c>
      <c r="EP136" s="1795">
        <f>IF(AND(ACTIONS!BS12&gt;=PROGRESS!$BJ$29,PROGRESS!$BJ$29&lt;&gt;0),EP137+1,0)</f>
        <v>0</v>
      </c>
      <c r="EQ136" s="1795">
        <f>IF(AND(ACTIONS!BT12&gt;=PROGRESS!$BJ$30,PROGRESS!$BJ$30&lt;&gt;0),EQ137+1,0)</f>
        <v>0</v>
      </c>
      <c r="ER136" s="1795">
        <f>IF(AND(ACTIONS!BU12&gt;=PROGRESS!$BJ$31,PROGRESS!$BJ$31&lt;&gt;0),ER137+1,0)</f>
        <v>0</v>
      </c>
      <c r="ES136" s="1795">
        <f>IF(AND(ACTIONS!BV12&gt;=PROGRESS!$BJ$32,PROGRESS!$BJ$32&lt;&gt;0),ES137+1,0)</f>
        <v>0</v>
      </c>
      <c r="ET136" s="1795">
        <f>IF(AND(ACTIONS!BW12&gt;=PROGRESS!$BJ$33,PROGRESS!$BJ$33&lt;&gt;0),ET137+1,0)</f>
        <v>0</v>
      </c>
      <c r="EU136" s="1795">
        <f>IF(AND(ACTIONS!BX12&gt;=PROGRESS!$BJ$34,PROGRESS!$BJ$34&lt;&gt;0),EU137+1,0)</f>
        <v>0</v>
      </c>
      <c r="EV136" s="1795">
        <f>IF(AND(ACTIONS!BY12&gt;=PROGRESS!$BJ$35,PROGRESS!$BJ$35&lt;&gt;0),EV137+1,0)</f>
        <v>0</v>
      </c>
      <c r="HU136" s="2631"/>
      <c r="HV136" s="2633"/>
      <c r="HY136" s="1873"/>
      <c r="HZ136" s="1873"/>
      <c r="IC136" s="1796"/>
      <c r="ID136" s="1796"/>
      <c r="IE136" s="1796"/>
      <c r="IF136" s="1796"/>
      <c r="IG136" s="1796"/>
      <c r="IH136" s="1796"/>
      <c r="II136" s="1796"/>
      <c r="IJ136" s="1796"/>
      <c r="IK136" s="1796"/>
      <c r="IL136" s="1796"/>
      <c r="IM136" s="1796"/>
      <c r="IN136" s="1796"/>
      <c r="IO136" s="1796"/>
      <c r="IP136" s="1796"/>
      <c r="IQ136" s="1796"/>
      <c r="IR136" s="1796"/>
      <c r="IS136" s="1796"/>
      <c r="IT136" s="1796"/>
      <c r="IU136" s="1796"/>
      <c r="IV136" s="1796"/>
      <c r="IW136" s="1796"/>
      <c r="IX136" s="1796"/>
      <c r="IY136" s="1796"/>
      <c r="JC136" s="1892"/>
      <c r="JE136" s="1900"/>
      <c r="JF136" s="1929">
        <f t="shared" ca="1" si="47"/>
        <v>0</v>
      </c>
      <c r="JG136" s="1900" t="s">
        <v>351</v>
      </c>
      <c r="JH136" s="1850">
        <v>6</v>
      </c>
      <c r="JI136" s="1901"/>
      <c r="JM136" s="1893"/>
      <c r="KG136" s="1822"/>
      <c r="KH136" s="1821"/>
      <c r="KI136" s="1822"/>
      <c r="KJ136" s="1821"/>
      <c r="KK136" s="1822"/>
      <c r="KQ136" s="3079"/>
      <c r="KR136" s="3047"/>
      <c r="KS136" s="1930"/>
      <c r="KT136" s="1764"/>
      <c r="KV136" s="3046"/>
    </row>
    <row r="137" spans="10:311" ht="17.100000000000001" customHeight="1" thickBot="1" x14ac:dyDescent="0.35">
      <c r="J137" s="1898" t="str">
        <f t="shared" si="38"/>
        <v/>
      </c>
      <c r="K137" s="3312" t="str">
        <f t="shared" si="51"/>
        <v/>
      </c>
      <c r="L137" s="1779"/>
      <c r="M137" s="1779"/>
      <c r="N137" s="1779"/>
      <c r="O137" s="1779"/>
      <c r="P137" s="1779"/>
      <c r="Q137" s="1779"/>
      <c r="R137" s="1779"/>
      <c r="S137" s="1779"/>
      <c r="T137" s="1779"/>
      <c r="U137" s="1779"/>
      <c r="V137" s="1922"/>
      <c r="W137" s="1779"/>
      <c r="X137" s="1779"/>
      <c r="Y137" s="1779"/>
      <c r="Z137" s="1779"/>
      <c r="AA137" s="1779"/>
      <c r="AB137" s="1779"/>
      <c r="AC137" s="1779"/>
      <c r="AD137" s="1779"/>
      <c r="AE137" s="1779"/>
      <c r="AF137" s="1779"/>
      <c r="AH137" s="3312" t="str">
        <f t="shared" si="52"/>
        <v/>
      </c>
      <c r="AI137" s="1779"/>
      <c r="AJ137" s="1928"/>
      <c r="AK137" s="1779"/>
      <c r="AL137" s="1779"/>
      <c r="AM137" s="1779"/>
      <c r="AN137" s="1779"/>
      <c r="AO137" s="1779"/>
      <c r="AP137" s="1779"/>
      <c r="AQ137" s="1779"/>
      <c r="AR137" s="1779"/>
      <c r="AS137" s="1779"/>
      <c r="AT137" s="3213"/>
      <c r="AU137" s="1928"/>
      <c r="AV137" s="1779"/>
      <c r="AW137" s="1779"/>
      <c r="AX137" s="1779"/>
      <c r="AY137" s="1779"/>
      <c r="AZ137" s="1779"/>
      <c r="BA137" s="1779"/>
      <c r="BB137" s="1779"/>
      <c r="BC137" s="1779"/>
      <c r="BD137" s="1779"/>
      <c r="BE137" s="3311">
        <v>114</v>
      </c>
      <c r="BF137" s="1882" t="str">
        <f t="shared" si="53"/>
        <v/>
      </c>
      <c r="BG137" s="1883">
        <f t="shared" si="54"/>
        <v>0</v>
      </c>
      <c r="BH137" s="1884">
        <f t="shared" si="55"/>
        <v>0</v>
      </c>
      <c r="EB137" s="1829">
        <v>21</v>
      </c>
      <c r="EC137" s="1795">
        <f>IF(AND(ACTIONS!C13&gt;=PROGRESS!$Z$27, PROGRESS!$Z$27&lt;&gt;0),EC138+1,0)</f>
        <v>0</v>
      </c>
      <c r="ED137" s="1795">
        <f>IF(AND(ACTIONS!D13&gt;=PROGRESS!$Z$28, PROGRESS!$Z$28&lt;&gt;0),ED138+1,0)</f>
        <v>0</v>
      </c>
      <c r="EE137" s="1795">
        <f>IF(AND(ACTIONS!E13&gt;=PROGRESS!$Z$29, PROGRESS!$Z$29&lt;&gt;0),EE138+1,0)</f>
        <v>0</v>
      </c>
      <c r="EF137" s="1795">
        <f>IF(AND(ACTIONS!F13&gt;=PROGRESS!$Z$30, PROGRESS!$Z$30&lt;&gt;0),EF138+1,0)</f>
        <v>0</v>
      </c>
      <c r="EG137" s="1795">
        <f>IF(AND(ACTIONS!G13&gt;=PROGRESS!$Z$31, PROGRESS!$Z$31&lt;&gt;0),EG138+1,0)</f>
        <v>0</v>
      </c>
      <c r="EH137" s="1795">
        <f>IF(AND(ACTIONS!H13&gt;=PROGRESS!$Z$32, PROGRESS!$Z$32&lt;&gt;0),EH138+1,0)</f>
        <v>0</v>
      </c>
      <c r="EI137" s="1795">
        <f>IF(AND(ACTIONS!I13&gt;=PROGRESS!$Z$33,PROGRESS!$Z$33&lt;&gt;0),EI138+1,0)</f>
        <v>0</v>
      </c>
      <c r="EJ137" s="1795">
        <f>IF(AND(ACTIONS!J13&gt;=PROGRESS!$Z$34, PROGRESS!$Z$34&lt;&gt;0),EJ138+1,0)</f>
        <v>0</v>
      </c>
      <c r="EK137" s="1795">
        <f>IF(AND(ACTIONS!K13&gt;=PROGRESS!$Z$35,PROGRESS!$Z$35&lt;&gt;0),EK138+1,0)</f>
        <v>0</v>
      </c>
      <c r="EM137" s="1829">
        <v>21</v>
      </c>
      <c r="EN137" s="1795">
        <f>IF(AND(ACTIONS!BQ13&gt;=PROGRESS!$BJ$27,PROGRESS!$BJ$27&lt;&gt;0),EN138+1,0)</f>
        <v>0</v>
      </c>
      <c r="EO137" s="1795">
        <f>IF(AND(ACTIONS!BR13&gt;=PROGRESS!$BJ$28,PROGRESS!$BJ$28&lt;&gt;0),EO138+1,0)</f>
        <v>0</v>
      </c>
      <c r="EP137" s="1795">
        <f>IF(AND(ACTIONS!BS13&gt;=PROGRESS!$BJ$29,PROGRESS!$BJ$29&lt;&gt;0),EP138+1,0)</f>
        <v>0</v>
      </c>
      <c r="EQ137" s="1795">
        <f>IF(AND(ACTIONS!BT13&gt;=PROGRESS!$BJ$30,PROGRESS!$BJ$30&lt;&gt;0),EQ138+1,0)</f>
        <v>0</v>
      </c>
      <c r="ER137" s="1795">
        <f>IF(AND(ACTIONS!BU13&gt;=PROGRESS!$BJ$31,PROGRESS!$BJ$31&lt;&gt;0),ER138+1,0)</f>
        <v>0</v>
      </c>
      <c r="ES137" s="1795">
        <f>IF(AND(ACTIONS!BV13&gt;=PROGRESS!$BJ$32,PROGRESS!$BJ$32&lt;&gt;0),ES138+1,0)</f>
        <v>0</v>
      </c>
      <c r="ET137" s="1795">
        <f>IF(AND(ACTIONS!BW13&gt;=PROGRESS!$BJ$33,PROGRESS!$BJ$33&lt;&gt;0),ET138+1,0)</f>
        <v>0</v>
      </c>
      <c r="EU137" s="1795">
        <f>IF(AND(ACTIONS!BX13&gt;=PROGRESS!$BJ$34,PROGRESS!$BJ$34&lt;&gt;0),EU138+1,0)</f>
        <v>0</v>
      </c>
      <c r="EV137" s="1795">
        <f>IF(AND(ACTIONS!BY13&gt;=PROGRESS!$BJ$35,PROGRESS!$BJ$35&lt;&gt;0),EV138+1,0)</f>
        <v>0</v>
      </c>
      <c r="HU137" s="2631"/>
      <c r="HV137" s="2633"/>
      <c r="HY137" s="1873"/>
      <c r="HZ137" s="1873"/>
      <c r="IC137" s="1796"/>
      <c r="ID137" s="1796"/>
      <c r="IE137" s="1796"/>
      <c r="IF137" s="1796"/>
      <c r="IG137" s="1796"/>
      <c r="IH137" s="1796"/>
      <c r="II137" s="1796"/>
      <c r="IJ137" s="1796"/>
      <c r="IK137" s="1796"/>
      <c r="IL137" s="1796"/>
      <c r="IM137" s="1796"/>
      <c r="IN137" s="1796"/>
      <c r="IO137" s="1796"/>
      <c r="IP137" s="1796"/>
      <c r="IQ137" s="1796"/>
      <c r="IR137" s="1796"/>
      <c r="IS137" s="1796"/>
      <c r="IT137" s="1796"/>
      <c r="IU137" s="1796"/>
      <c r="IV137" s="1796"/>
      <c r="IW137" s="1796"/>
      <c r="IX137" s="1796"/>
      <c r="IY137" s="1796"/>
      <c r="JC137" s="1892"/>
      <c r="JE137" s="1900"/>
      <c r="JF137" s="1929">
        <f t="shared" ca="1" si="47"/>
        <v>0</v>
      </c>
      <c r="JG137" s="1900" t="s">
        <v>352</v>
      </c>
      <c r="JH137" s="1850">
        <v>9</v>
      </c>
      <c r="JI137" s="1901"/>
      <c r="JM137" s="1893"/>
      <c r="KG137" s="1822"/>
      <c r="KH137" s="1821"/>
      <c r="KI137" s="1822"/>
      <c r="KJ137" s="1821"/>
      <c r="KK137" s="1822"/>
      <c r="KS137" s="3046"/>
      <c r="KV137" s="3046"/>
    </row>
    <row r="138" spans="10:311" ht="17.100000000000001" customHeight="1" thickBot="1" x14ac:dyDescent="0.35">
      <c r="J138" s="1898" t="str">
        <f t="shared" si="38"/>
        <v/>
      </c>
      <c r="K138" s="3312" t="str">
        <f t="shared" si="51"/>
        <v/>
      </c>
      <c r="L138" s="1779"/>
      <c r="M138" s="1779"/>
      <c r="N138" s="1779"/>
      <c r="O138" s="1779"/>
      <c r="P138" s="1779"/>
      <c r="Q138" s="1779"/>
      <c r="R138" s="1779"/>
      <c r="S138" s="1779"/>
      <c r="T138" s="1779"/>
      <c r="U138" s="1779"/>
      <c r="V138" s="1922"/>
      <c r="W138" s="1779"/>
      <c r="X138" s="1779"/>
      <c r="Y138" s="1779"/>
      <c r="Z138" s="1779"/>
      <c r="AA138" s="1779"/>
      <c r="AB138" s="1779"/>
      <c r="AC138" s="1779"/>
      <c r="AD138" s="1779"/>
      <c r="AE138" s="1779"/>
      <c r="AF138" s="1779"/>
      <c r="AH138" s="3312" t="str">
        <f t="shared" si="52"/>
        <v/>
      </c>
      <c r="AI138" s="1779"/>
      <c r="AJ138" s="1928"/>
      <c r="AK138" s="1779"/>
      <c r="AL138" s="1779"/>
      <c r="AM138" s="1779"/>
      <c r="AN138" s="1779"/>
      <c r="AO138" s="1779"/>
      <c r="AP138" s="1779"/>
      <c r="AQ138" s="1779"/>
      <c r="AR138" s="1779"/>
      <c r="AS138" s="1779"/>
      <c r="AT138" s="3213"/>
      <c r="AU138" s="1928"/>
      <c r="AV138" s="1779"/>
      <c r="AW138" s="1779"/>
      <c r="AX138" s="1779"/>
      <c r="AY138" s="1779"/>
      <c r="AZ138" s="1779"/>
      <c r="BA138" s="1779"/>
      <c r="BB138" s="1779"/>
      <c r="BC138" s="1779"/>
      <c r="BD138" s="1779"/>
      <c r="BE138" s="3311">
        <v>115</v>
      </c>
      <c r="BF138" s="1882" t="str">
        <f t="shared" si="53"/>
        <v/>
      </c>
      <c r="BG138" s="1883">
        <f t="shared" si="54"/>
        <v>0</v>
      </c>
      <c r="BH138" s="1884">
        <f t="shared" si="55"/>
        <v>0</v>
      </c>
      <c r="EB138" s="1829">
        <v>20</v>
      </c>
      <c r="EC138" s="1795">
        <f>IF(AND(ACTIONS!C14&gt;=PROGRESS!$Z$27, PROGRESS!$Z$27&lt;&gt;0),EC139+1,0)</f>
        <v>0</v>
      </c>
      <c r="ED138" s="1795">
        <f>IF(AND(ACTIONS!D14&gt;=PROGRESS!$Z$28, PROGRESS!$Z$28&lt;&gt;0),ED139+1,0)</f>
        <v>0</v>
      </c>
      <c r="EE138" s="1795">
        <f>IF(AND(ACTIONS!E14&gt;=PROGRESS!$Z$29, PROGRESS!$Z$29&lt;&gt;0),EE139+1,0)</f>
        <v>0</v>
      </c>
      <c r="EF138" s="1795">
        <f>IF(AND(ACTIONS!F14&gt;=PROGRESS!$Z$30, PROGRESS!$Z$30&lt;&gt;0),EF139+1,0)</f>
        <v>0</v>
      </c>
      <c r="EG138" s="1795">
        <f>IF(AND(ACTIONS!G14&gt;=PROGRESS!$Z$31, PROGRESS!$Z$31&lt;&gt;0),EG139+1,0)</f>
        <v>0</v>
      </c>
      <c r="EH138" s="1795">
        <f>IF(AND(ACTIONS!H14&gt;=PROGRESS!$Z$32, PROGRESS!$Z$32&lt;&gt;0),EH139+1,0)</f>
        <v>0</v>
      </c>
      <c r="EI138" s="1795">
        <f>IF(AND(ACTIONS!I14&gt;=PROGRESS!$Z$33,PROGRESS!$Z$33&lt;&gt;0),EI139+1,0)</f>
        <v>0</v>
      </c>
      <c r="EJ138" s="1795">
        <f>IF(AND(ACTIONS!J14&gt;=PROGRESS!$Z$34, PROGRESS!$Z$34&lt;&gt;0),EJ139+1,0)</f>
        <v>0</v>
      </c>
      <c r="EK138" s="1795">
        <f>IF(AND(ACTIONS!K14&gt;=PROGRESS!$Z$35,PROGRESS!$Z$35&lt;&gt;0),EK139+1,0)</f>
        <v>0</v>
      </c>
      <c r="EM138" s="1829">
        <v>20</v>
      </c>
      <c r="EN138" s="1795">
        <f>IF(AND(ACTIONS!BQ14&gt;=PROGRESS!$BJ$27,PROGRESS!$BJ$27&lt;&gt;0),EN139+1,0)</f>
        <v>0</v>
      </c>
      <c r="EO138" s="1795">
        <f>IF(AND(ACTIONS!BR14&gt;=PROGRESS!$BJ$28,PROGRESS!$BJ$28&lt;&gt;0),EO139+1,0)</f>
        <v>0</v>
      </c>
      <c r="EP138" s="1795">
        <f>IF(AND(ACTIONS!BS14&gt;=PROGRESS!$BJ$29,PROGRESS!$BJ$29&lt;&gt;0),EP139+1,0)</f>
        <v>0</v>
      </c>
      <c r="EQ138" s="1795">
        <f>IF(AND(ACTIONS!BT14&gt;=PROGRESS!$BJ$30,PROGRESS!$BJ$30&lt;&gt;0),EQ139+1,0)</f>
        <v>0</v>
      </c>
      <c r="ER138" s="1795">
        <f>IF(AND(ACTIONS!BU14&gt;=PROGRESS!$BJ$31,PROGRESS!$BJ$31&lt;&gt;0),ER139+1,0)</f>
        <v>0</v>
      </c>
      <c r="ES138" s="1795">
        <f>IF(AND(ACTIONS!BV14&gt;=PROGRESS!$BJ$32,PROGRESS!$BJ$32&lt;&gt;0),ES139+1,0)</f>
        <v>0</v>
      </c>
      <c r="ET138" s="1795">
        <f>IF(AND(ACTIONS!BW14&gt;=PROGRESS!$BJ$33,PROGRESS!$BJ$33&lt;&gt;0),ET139+1,0)</f>
        <v>0</v>
      </c>
      <c r="EU138" s="1795">
        <f>IF(AND(ACTIONS!BX14&gt;=PROGRESS!$BJ$34,PROGRESS!$BJ$34&lt;&gt;0),EU139+1,0)</f>
        <v>0</v>
      </c>
      <c r="EV138" s="1795">
        <f>IF(AND(ACTIONS!BY14&gt;=PROGRESS!$BJ$35,PROGRESS!$BJ$35&lt;&gt;0),EV139+1,0)</f>
        <v>0</v>
      </c>
      <c r="IC138" s="1796"/>
      <c r="ID138" s="1796"/>
      <c r="IE138" s="1796"/>
      <c r="IF138" s="1796"/>
      <c r="IG138" s="1796"/>
      <c r="IH138" s="1796"/>
      <c r="II138" s="1796"/>
      <c r="IJ138" s="1796"/>
      <c r="IK138" s="1796"/>
      <c r="IL138" s="1796"/>
      <c r="IM138" s="1796"/>
      <c r="IN138" s="1796"/>
      <c r="IO138" s="1796"/>
      <c r="IP138" s="1796"/>
      <c r="IQ138" s="1796"/>
      <c r="IR138" s="1796"/>
      <c r="IS138" s="1796"/>
      <c r="IT138" s="1796"/>
      <c r="IU138" s="1796"/>
      <c r="IV138" s="1796"/>
      <c r="IW138" s="1796"/>
      <c r="IX138" s="1796"/>
      <c r="IY138" s="1796"/>
      <c r="JC138" s="1892"/>
      <c r="JE138" s="1900"/>
      <c r="JF138" s="1929">
        <f t="shared" ca="1" si="47"/>
        <v>0</v>
      </c>
      <c r="JG138" s="1900" t="s">
        <v>353</v>
      </c>
      <c r="JH138" s="1850">
        <v>4</v>
      </c>
      <c r="JI138" s="1901"/>
      <c r="JM138" s="1893"/>
      <c r="KG138" s="1822"/>
      <c r="KH138" s="1821"/>
      <c r="KI138" s="1822"/>
      <c r="KJ138" s="1821"/>
      <c r="KK138" s="1822"/>
      <c r="KS138" s="3046"/>
      <c r="KV138" s="3046"/>
    </row>
    <row r="139" spans="10:311" ht="17.100000000000001" customHeight="1" thickBot="1" x14ac:dyDescent="0.35">
      <c r="J139" s="1898" t="str">
        <f t="shared" si="38"/>
        <v/>
      </c>
      <c r="K139" s="3312" t="str">
        <f t="shared" si="51"/>
        <v/>
      </c>
      <c r="L139" s="1779"/>
      <c r="M139" s="1779"/>
      <c r="N139" s="1779"/>
      <c r="O139" s="1779"/>
      <c r="P139" s="1779"/>
      <c r="Q139" s="1779"/>
      <c r="R139" s="1779"/>
      <c r="S139" s="1779"/>
      <c r="T139" s="1779"/>
      <c r="U139" s="1779"/>
      <c r="V139" s="1922"/>
      <c r="W139" s="1779"/>
      <c r="X139" s="1779"/>
      <c r="Y139" s="1779"/>
      <c r="Z139" s="1779"/>
      <c r="AA139" s="1779"/>
      <c r="AB139" s="1779"/>
      <c r="AC139" s="1779"/>
      <c r="AD139" s="1779"/>
      <c r="AE139" s="1779"/>
      <c r="AF139" s="1779"/>
      <c r="AH139" s="3312" t="str">
        <f t="shared" si="52"/>
        <v/>
      </c>
      <c r="AI139" s="1779"/>
      <c r="AJ139" s="1928"/>
      <c r="AK139" s="1779"/>
      <c r="AL139" s="1779"/>
      <c r="AM139" s="1779"/>
      <c r="AN139" s="1779"/>
      <c r="AO139" s="1779"/>
      <c r="AP139" s="1779"/>
      <c r="AQ139" s="1779"/>
      <c r="AR139" s="1779"/>
      <c r="AS139" s="1779"/>
      <c r="AT139" s="3213"/>
      <c r="AU139" s="1928"/>
      <c r="AV139" s="1779"/>
      <c r="AW139" s="1779"/>
      <c r="AX139" s="1779"/>
      <c r="AY139" s="1779"/>
      <c r="AZ139" s="1779"/>
      <c r="BA139" s="1779"/>
      <c r="BB139" s="1779"/>
      <c r="BC139" s="1779"/>
      <c r="BD139" s="1779"/>
      <c r="BE139" s="3311">
        <v>116</v>
      </c>
      <c r="BF139" s="1882" t="str">
        <f t="shared" si="53"/>
        <v/>
      </c>
      <c r="BG139" s="1883">
        <f t="shared" si="54"/>
        <v>0</v>
      </c>
      <c r="BH139" s="1884">
        <f t="shared" si="55"/>
        <v>0</v>
      </c>
      <c r="EB139" s="1829">
        <v>19</v>
      </c>
      <c r="EC139" s="1795">
        <f>IF(AND(ACTIONS!C15&gt;=PROGRESS!$Z$27, PROGRESS!$Z$27&lt;&gt;0),EC140+1,0)</f>
        <v>0</v>
      </c>
      <c r="ED139" s="1795">
        <f>IF(AND(ACTIONS!D15&gt;=PROGRESS!$Z$28, PROGRESS!$Z$28&lt;&gt;0),ED140+1,0)</f>
        <v>0</v>
      </c>
      <c r="EE139" s="1795">
        <f>IF(AND(ACTIONS!E15&gt;=PROGRESS!$Z$29, PROGRESS!$Z$29&lt;&gt;0),EE140+1,0)</f>
        <v>0</v>
      </c>
      <c r="EF139" s="1795">
        <f>IF(AND(ACTIONS!F15&gt;=PROGRESS!$Z$30, PROGRESS!$Z$30&lt;&gt;0),EF140+1,0)</f>
        <v>0</v>
      </c>
      <c r="EG139" s="1795">
        <f>IF(AND(ACTIONS!G15&gt;=PROGRESS!$Z$31, PROGRESS!$Z$31&lt;&gt;0),EG140+1,0)</f>
        <v>0</v>
      </c>
      <c r="EH139" s="1795">
        <f>IF(AND(ACTIONS!H15&gt;=PROGRESS!$Z$32, PROGRESS!$Z$32&lt;&gt;0),EH140+1,0)</f>
        <v>0</v>
      </c>
      <c r="EI139" s="1795">
        <f>IF(AND(ACTIONS!I15&gt;=PROGRESS!$Z$33,PROGRESS!$Z$33&lt;&gt;0),EI140+1,0)</f>
        <v>0</v>
      </c>
      <c r="EJ139" s="1795">
        <f>IF(AND(ACTIONS!J15&gt;=PROGRESS!$Z$34, PROGRESS!$Z$34&lt;&gt;0),EJ140+1,0)</f>
        <v>0</v>
      </c>
      <c r="EK139" s="1795">
        <f>IF(AND(ACTIONS!K15&gt;=PROGRESS!$Z$35,PROGRESS!$Z$35&lt;&gt;0),EK140+1,0)</f>
        <v>0</v>
      </c>
      <c r="EM139" s="1829">
        <v>19</v>
      </c>
      <c r="EN139" s="1795">
        <f>IF(AND(ACTIONS!BQ15&gt;=PROGRESS!$BJ$27,PROGRESS!$BJ$27&lt;&gt;0),EN140+1,0)</f>
        <v>0</v>
      </c>
      <c r="EO139" s="1795">
        <f>IF(AND(ACTIONS!BR15&gt;=PROGRESS!$BJ$28,PROGRESS!$BJ$28&lt;&gt;0),EO140+1,0)</f>
        <v>0</v>
      </c>
      <c r="EP139" s="1795">
        <f>IF(AND(ACTIONS!BS15&gt;=PROGRESS!$BJ$29,PROGRESS!$BJ$29&lt;&gt;0),EP140+1,0)</f>
        <v>0</v>
      </c>
      <c r="EQ139" s="1795">
        <f>IF(AND(ACTIONS!BT15&gt;=PROGRESS!$BJ$30,PROGRESS!$BJ$30&lt;&gt;0),EQ140+1,0)</f>
        <v>0</v>
      </c>
      <c r="ER139" s="1795">
        <f>IF(AND(ACTIONS!BU15&gt;=PROGRESS!$BJ$31,PROGRESS!$BJ$31&lt;&gt;0),ER140+1,0)</f>
        <v>0</v>
      </c>
      <c r="ES139" s="1795">
        <f>IF(AND(ACTIONS!BV15&gt;=PROGRESS!$BJ$32,PROGRESS!$BJ$32&lt;&gt;0),ES140+1,0)</f>
        <v>0</v>
      </c>
      <c r="ET139" s="1795">
        <f>IF(AND(ACTIONS!BW15&gt;=PROGRESS!$BJ$33,PROGRESS!$BJ$33&lt;&gt;0),ET140+1,0)</f>
        <v>0</v>
      </c>
      <c r="EU139" s="1795">
        <f>IF(AND(ACTIONS!BX15&gt;=PROGRESS!$BJ$34,PROGRESS!$BJ$34&lt;&gt;0),EU140+1,0)</f>
        <v>0</v>
      </c>
      <c r="EV139" s="1795">
        <f>IF(AND(ACTIONS!BY15&gt;=PROGRESS!$BJ$35,PROGRESS!$BJ$35&lt;&gt;0),EV140+1,0)</f>
        <v>0</v>
      </c>
      <c r="IC139" s="1796"/>
      <c r="ID139" s="1796"/>
      <c r="IE139" s="1796"/>
      <c r="IF139" s="1796"/>
      <c r="IG139" s="1796"/>
      <c r="IH139" s="1796"/>
      <c r="II139" s="1796"/>
      <c r="IJ139" s="1796"/>
      <c r="IK139" s="1796"/>
      <c r="IL139" s="1796"/>
      <c r="IM139" s="1796"/>
      <c r="IN139" s="1796"/>
      <c r="IO139" s="1796"/>
      <c r="IP139" s="1796"/>
      <c r="IQ139" s="1796"/>
      <c r="IR139" s="1796"/>
      <c r="IS139" s="1796"/>
      <c r="IT139" s="1796"/>
      <c r="IU139" s="1796"/>
      <c r="IV139" s="1796"/>
      <c r="IW139" s="1796"/>
      <c r="IX139" s="1796"/>
      <c r="IY139" s="1796"/>
      <c r="JC139" s="1892"/>
      <c r="JM139" s="1893"/>
      <c r="KG139" s="1822"/>
      <c r="KH139" s="1821"/>
      <c r="KI139" s="1822"/>
      <c r="KJ139" s="1821"/>
      <c r="KK139" s="1822"/>
      <c r="KS139" s="3046"/>
    </row>
    <row r="140" spans="10:311" ht="17.100000000000001" customHeight="1" thickBot="1" x14ac:dyDescent="0.35">
      <c r="J140" s="1898" t="str">
        <f t="shared" si="38"/>
        <v/>
      </c>
      <c r="K140" s="3312" t="str">
        <f t="shared" si="51"/>
        <v/>
      </c>
      <c r="L140" s="1779"/>
      <c r="M140" s="1779"/>
      <c r="N140" s="1779"/>
      <c r="O140" s="1779"/>
      <c r="P140" s="1779"/>
      <c r="Q140" s="1779"/>
      <c r="R140" s="1779"/>
      <c r="S140" s="1779"/>
      <c r="T140" s="1779"/>
      <c r="U140" s="1779"/>
      <c r="V140" s="1922"/>
      <c r="W140" s="1779"/>
      <c r="X140" s="1779"/>
      <c r="Y140" s="1779"/>
      <c r="Z140" s="1779"/>
      <c r="AA140" s="1779"/>
      <c r="AB140" s="1779"/>
      <c r="AC140" s="1779"/>
      <c r="AD140" s="1779"/>
      <c r="AE140" s="1779"/>
      <c r="AF140" s="1779"/>
      <c r="AH140" s="3312" t="str">
        <f t="shared" si="52"/>
        <v/>
      </c>
      <c r="AI140" s="1779"/>
      <c r="AJ140" s="1928"/>
      <c r="AK140" s="1779"/>
      <c r="AL140" s="1779"/>
      <c r="AM140" s="1779"/>
      <c r="AN140" s="1779"/>
      <c r="AO140" s="1779"/>
      <c r="AP140" s="1779"/>
      <c r="AQ140" s="1779"/>
      <c r="AR140" s="1779"/>
      <c r="AS140" s="1779"/>
      <c r="AT140" s="3213"/>
      <c r="AU140" s="1928"/>
      <c r="AV140" s="1779"/>
      <c r="AW140" s="1779"/>
      <c r="AX140" s="1779"/>
      <c r="AY140" s="1779"/>
      <c r="AZ140" s="1779"/>
      <c r="BA140" s="1779"/>
      <c r="BB140" s="1779"/>
      <c r="BC140" s="1779"/>
      <c r="BD140" s="1779"/>
      <c r="BE140" s="3311">
        <v>117</v>
      </c>
      <c r="BF140" s="1882" t="str">
        <f t="shared" si="53"/>
        <v/>
      </c>
      <c r="BG140" s="1883">
        <f t="shared" si="54"/>
        <v>0</v>
      </c>
      <c r="BH140" s="1884">
        <f t="shared" si="55"/>
        <v>0</v>
      </c>
      <c r="EB140" s="1829">
        <v>18</v>
      </c>
      <c r="EC140" s="1795">
        <f>IF(AND(ACTIONS!C16&gt;=PROGRESS!$Z$27, PROGRESS!$Z$27&lt;&gt;0),EC141+1,0)</f>
        <v>0</v>
      </c>
      <c r="ED140" s="1795">
        <f>IF(AND(ACTIONS!D16&gt;=PROGRESS!$Z$28, PROGRESS!$Z$28&lt;&gt;0),ED141+1,0)</f>
        <v>0</v>
      </c>
      <c r="EE140" s="1795">
        <f>IF(AND(ACTIONS!E16&gt;=PROGRESS!$Z$29, PROGRESS!$Z$29&lt;&gt;0),EE141+1,0)</f>
        <v>0</v>
      </c>
      <c r="EF140" s="1795">
        <f>IF(AND(ACTIONS!F16&gt;=PROGRESS!$Z$30, PROGRESS!$Z$30&lt;&gt;0),EF141+1,0)</f>
        <v>0</v>
      </c>
      <c r="EG140" s="1795">
        <f>IF(AND(ACTIONS!G16&gt;=PROGRESS!$Z$31, PROGRESS!$Z$31&lt;&gt;0),EG141+1,0)</f>
        <v>0</v>
      </c>
      <c r="EH140" s="1795">
        <f>IF(AND(ACTIONS!H16&gt;=PROGRESS!$Z$32, PROGRESS!$Z$32&lt;&gt;0),EH141+1,0)</f>
        <v>0</v>
      </c>
      <c r="EI140" s="1795">
        <f>IF(AND(ACTIONS!I16&gt;=PROGRESS!$Z$33,PROGRESS!$Z$33&lt;&gt;0),EI141+1,0)</f>
        <v>0</v>
      </c>
      <c r="EJ140" s="1795">
        <f>IF(AND(ACTIONS!J16&gt;=PROGRESS!$Z$34, PROGRESS!$Z$34&lt;&gt;0),EJ141+1,0)</f>
        <v>0</v>
      </c>
      <c r="EK140" s="1795">
        <f>IF(AND(ACTIONS!K16&gt;=PROGRESS!$Z$35,PROGRESS!$Z$35&lt;&gt;0),EK141+1,0)</f>
        <v>0</v>
      </c>
      <c r="EM140" s="1829">
        <v>18</v>
      </c>
      <c r="EN140" s="1795">
        <f>IF(AND(ACTIONS!BQ16&gt;=PROGRESS!$BJ$27,PROGRESS!$BJ$27&lt;&gt;0),EN141+1,0)</f>
        <v>0</v>
      </c>
      <c r="EO140" s="1795">
        <f>IF(AND(ACTIONS!BR16&gt;=PROGRESS!$BJ$28,PROGRESS!$BJ$28&lt;&gt;0),EO141+1,0)</f>
        <v>0</v>
      </c>
      <c r="EP140" s="1795">
        <f>IF(AND(ACTIONS!BS16&gt;=PROGRESS!$BJ$29,PROGRESS!$BJ$29&lt;&gt;0),EP141+1,0)</f>
        <v>0</v>
      </c>
      <c r="EQ140" s="1795">
        <f>IF(AND(ACTIONS!BT16&gt;=PROGRESS!$BJ$30,PROGRESS!$BJ$30&lt;&gt;0),EQ141+1,0)</f>
        <v>0</v>
      </c>
      <c r="ER140" s="1795">
        <f>IF(AND(ACTIONS!BU16&gt;=PROGRESS!$BJ$31,PROGRESS!$BJ$31&lt;&gt;0),ER141+1,0)</f>
        <v>0</v>
      </c>
      <c r="ES140" s="1795">
        <f>IF(AND(ACTIONS!BV16&gt;=PROGRESS!$BJ$32,PROGRESS!$BJ$32&lt;&gt;0),ES141+1,0)</f>
        <v>0</v>
      </c>
      <c r="ET140" s="1795">
        <f>IF(AND(ACTIONS!BW16&gt;=PROGRESS!$BJ$33,PROGRESS!$BJ$33&lt;&gt;0),ET141+1,0)</f>
        <v>0</v>
      </c>
      <c r="EU140" s="1795">
        <f>IF(AND(ACTIONS!BX16&gt;=PROGRESS!$BJ$34,PROGRESS!$BJ$34&lt;&gt;0),EU141+1,0)</f>
        <v>0</v>
      </c>
      <c r="EV140" s="1795">
        <f>IF(AND(ACTIONS!BY16&gt;=PROGRESS!$BJ$35,PROGRESS!$BJ$35&lt;&gt;0),EV141+1,0)</f>
        <v>0</v>
      </c>
      <c r="IC140" s="1796"/>
      <c r="ID140" s="1796"/>
      <c r="IE140" s="1796"/>
      <c r="IF140" s="1796"/>
      <c r="IG140" s="1796"/>
      <c r="IH140" s="1796"/>
      <c r="II140" s="1796"/>
      <c r="IJ140" s="1796"/>
      <c r="IK140" s="1796"/>
      <c r="IL140" s="1796"/>
      <c r="IM140" s="1796"/>
      <c r="IN140" s="1796"/>
      <c r="IO140" s="1796"/>
      <c r="IP140" s="1796"/>
      <c r="IQ140" s="1796"/>
      <c r="IR140" s="1796"/>
      <c r="IS140" s="1796"/>
      <c r="IT140" s="1796"/>
      <c r="IU140" s="1796"/>
      <c r="IV140" s="1796"/>
      <c r="IW140" s="1796"/>
      <c r="IX140" s="1796"/>
      <c r="IY140" s="1796"/>
      <c r="JC140" s="1892"/>
      <c r="JE140" s="1887"/>
      <c r="JF140" s="1858">
        <f ca="1">COUNTIF(JF91:JF138,"&gt;0")</f>
        <v>0</v>
      </c>
      <c r="JH140" s="1858">
        <f>COUNT(JH91:JH138)</f>
        <v>48</v>
      </c>
      <c r="JI140" s="1870" t="s">
        <v>269</v>
      </c>
      <c r="JM140" s="1893"/>
      <c r="KG140" s="1822"/>
      <c r="KH140" s="1821"/>
      <c r="KI140" s="1822"/>
      <c r="KJ140" s="1821"/>
      <c r="KK140" s="1822"/>
      <c r="KV140" s="3046"/>
    </row>
    <row r="141" spans="10:311" ht="17.100000000000001" customHeight="1" thickBot="1" x14ac:dyDescent="0.35">
      <c r="J141" s="1898" t="str">
        <f t="shared" si="38"/>
        <v/>
      </c>
      <c r="K141" s="3312" t="str">
        <f t="shared" si="51"/>
        <v/>
      </c>
      <c r="L141" s="1779"/>
      <c r="M141" s="1779"/>
      <c r="N141" s="1779"/>
      <c r="O141" s="1779"/>
      <c r="P141" s="1779"/>
      <c r="Q141" s="1779"/>
      <c r="R141" s="1779"/>
      <c r="S141" s="1779"/>
      <c r="T141" s="1779"/>
      <c r="U141" s="1779"/>
      <c r="V141" s="1922"/>
      <c r="W141" s="1779"/>
      <c r="X141" s="1779"/>
      <c r="Y141" s="1779"/>
      <c r="Z141" s="1779"/>
      <c r="AA141" s="1779"/>
      <c r="AB141" s="1779"/>
      <c r="AC141" s="1779"/>
      <c r="AD141" s="1779"/>
      <c r="AE141" s="1779"/>
      <c r="AF141" s="1779"/>
      <c r="AH141" s="3312" t="str">
        <f t="shared" si="52"/>
        <v/>
      </c>
      <c r="AI141" s="1779"/>
      <c r="AJ141" s="1928"/>
      <c r="AK141" s="1779"/>
      <c r="AL141" s="1779"/>
      <c r="AM141" s="1779"/>
      <c r="AN141" s="1779"/>
      <c r="AO141" s="1779"/>
      <c r="AP141" s="1779"/>
      <c r="AQ141" s="1779"/>
      <c r="AR141" s="1779"/>
      <c r="AS141" s="1779"/>
      <c r="AT141" s="3213"/>
      <c r="AU141" s="1928"/>
      <c r="AV141" s="1779"/>
      <c r="AW141" s="1779"/>
      <c r="AX141" s="1779"/>
      <c r="AY141" s="1779"/>
      <c r="AZ141" s="1779"/>
      <c r="BA141" s="1779"/>
      <c r="BB141" s="1779"/>
      <c r="BC141" s="1779"/>
      <c r="BD141" s="1779"/>
      <c r="BE141" s="3311">
        <v>118</v>
      </c>
      <c r="BF141" s="1882" t="str">
        <f t="shared" si="53"/>
        <v/>
      </c>
      <c r="BG141" s="1883">
        <f t="shared" si="54"/>
        <v>0</v>
      </c>
      <c r="BH141" s="1884">
        <f t="shared" si="55"/>
        <v>0</v>
      </c>
      <c r="EB141" s="1829">
        <v>17</v>
      </c>
      <c r="EC141" s="1795">
        <f>IF(AND(ACTIONS!C17&gt;=PROGRESS!$Z$27, PROGRESS!$Z$27&lt;&gt;0),EC142+1,0)</f>
        <v>0</v>
      </c>
      <c r="ED141" s="1795">
        <f>IF(AND(ACTIONS!D17&gt;=PROGRESS!$Z$28, PROGRESS!$Z$28&lt;&gt;0),ED142+1,0)</f>
        <v>0</v>
      </c>
      <c r="EE141" s="1795">
        <f>IF(AND(ACTIONS!E17&gt;=PROGRESS!$Z$29, PROGRESS!$Z$29&lt;&gt;0),EE142+1,0)</f>
        <v>0</v>
      </c>
      <c r="EF141" s="1795">
        <f>IF(AND(ACTIONS!F17&gt;=PROGRESS!$Z$30, PROGRESS!$Z$30&lt;&gt;0),EF142+1,0)</f>
        <v>0</v>
      </c>
      <c r="EG141" s="1795">
        <f>IF(AND(ACTIONS!G17&gt;=PROGRESS!$Z$31, PROGRESS!$Z$31&lt;&gt;0),EG142+1,0)</f>
        <v>0</v>
      </c>
      <c r="EH141" s="1795">
        <f>IF(AND(ACTIONS!H17&gt;=PROGRESS!$Z$32, PROGRESS!$Z$32&lt;&gt;0),EH142+1,0)</f>
        <v>0</v>
      </c>
      <c r="EI141" s="1795">
        <f>IF(AND(ACTIONS!I17&gt;=PROGRESS!$Z$33,PROGRESS!$Z$33&lt;&gt;0),EI142+1,0)</f>
        <v>0</v>
      </c>
      <c r="EJ141" s="1795">
        <f>IF(AND(ACTIONS!J17&gt;=PROGRESS!$Z$34, PROGRESS!$Z$34&lt;&gt;0),EJ142+1,0)</f>
        <v>0</v>
      </c>
      <c r="EK141" s="1795">
        <f>IF(AND(ACTIONS!K17&gt;=PROGRESS!$Z$35,PROGRESS!$Z$35&lt;&gt;0),EK142+1,0)</f>
        <v>0</v>
      </c>
      <c r="EM141" s="1829">
        <v>17</v>
      </c>
      <c r="EN141" s="1795">
        <f>IF(AND(ACTIONS!BQ17&gt;=PROGRESS!$BJ$27,PROGRESS!$BJ$27&lt;&gt;0),EN142+1,0)</f>
        <v>0</v>
      </c>
      <c r="EO141" s="1795">
        <f>IF(AND(ACTIONS!BR17&gt;=PROGRESS!$BJ$28,PROGRESS!$BJ$28&lt;&gt;0),EO142+1,0)</f>
        <v>0</v>
      </c>
      <c r="EP141" s="1795">
        <f>IF(AND(ACTIONS!BS17&gt;=PROGRESS!$BJ$29,PROGRESS!$BJ$29&lt;&gt;0),EP142+1,0)</f>
        <v>0</v>
      </c>
      <c r="EQ141" s="1795">
        <f>IF(AND(ACTIONS!BT17&gt;=PROGRESS!$BJ$30,PROGRESS!$BJ$30&lt;&gt;0),EQ142+1,0)</f>
        <v>0</v>
      </c>
      <c r="ER141" s="1795">
        <f>IF(AND(ACTIONS!BU17&gt;=PROGRESS!$BJ$31,PROGRESS!$BJ$31&lt;&gt;0),ER142+1,0)</f>
        <v>0</v>
      </c>
      <c r="ES141" s="1795">
        <f>IF(AND(ACTIONS!BV17&gt;=PROGRESS!$BJ$32,PROGRESS!$BJ$32&lt;&gt;0),ES142+1,0)</f>
        <v>0</v>
      </c>
      <c r="ET141" s="1795">
        <f>IF(AND(ACTIONS!BW17&gt;=PROGRESS!$BJ$33,PROGRESS!$BJ$33&lt;&gt;0),ET142+1,0)</f>
        <v>0</v>
      </c>
      <c r="EU141" s="1795">
        <f>IF(AND(ACTIONS!BX17&gt;=PROGRESS!$BJ$34,PROGRESS!$BJ$34&lt;&gt;0),EU142+1,0)</f>
        <v>0</v>
      </c>
      <c r="EV141" s="1795">
        <f>IF(AND(ACTIONS!BY17&gt;=PROGRESS!$BJ$35,PROGRESS!$BJ$35&lt;&gt;0),EV142+1,0)</f>
        <v>0</v>
      </c>
      <c r="IB141" s="2635"/>
      <c r="IC141" s="1796"/>
      <c r="ID141" s="1796"/>
      <c r="IE141" s="1796"/>
      <c r="IF141" s="1796"/>
      <c r="IG141" s="1796"/>
      <c r="IH141" s="1796"/>
      <c r="II141" s="1796"/>
      <c r="IJ141" s="1796"/>
      <c r="IK141" s="1796"/>
      <c r="IL141" s="1796"/>
      <c r="IM141" s="1796"/>
      <c r="IN141" s="1796"/>
      <c r="IO141" s="1796"/>
      <c r="IP141" s="1796"/>
      <c r="IQ141" s="1796"/>
      <c r="IR141" s="1796"/>
      <c r="IS141" s="1796"/>
      <c r="IT141" s="1796"/>
      <c r="IU141" s="1796"/>
      <c r="IV141" s="1796"/>
      <c r="IW141" s="1796"/>
      <c r="IX141" s="1796"/>
      <c r="IY141" s="1796"/>
      <c r="JC141" s="1914"/>
      <c r="JD141" s="1915"/>
      <c r="JE141" s="1915"/>
      <c r="JF141" s="1915"/>
      <c r="JG141" s="1915"/>
      <c r="JH141" s="1915"/>
      <c r="JI141" s="1915"/>
      <c r="JJ141" s="1915"/>
      <c r="JK141" s="1915"/>
      <c r="JL141" s="1915"/>
      <c r="JM141" s="1916"/>
      <c r="KG141" s="1822"/>
      <c r="KH141" s="1821"/>
      <c r="KI141" s="1822"/>
      <c r="KJ141" s="1821"/>
      <c r="KK141" s="1822"/>
      <c r="KV141" s="3046"/>
    </row>
    <row r="142" spans="10:311" ht="17.100000000000001" customHeight="1" x14ac:dyDescent="0.3">
      <c r="J142" s="1898" t="str">
        <f t="shared" si="38"/>
        <v/>
      </c>
      <c r="K142" s="3312" t="str">
        <f t="shared" si="51"/>
        <v/>
      </c>
      <c r="L142" s="1779"/>
      <c r="M142" s="1779"/>
      <c r="N142" s="1779"/>
      <c r="O142" s="1779"/>
      <c r="P142" s="1779"/>
      <c r="Q142" s="1779"/>
      <c r="R142" s="1779"/>
      <c r="S142" s="1779"/>
      <c r="T142" s="1779"/>
      <c r="U142" s="1779"/>
      <c r="V142" s="1922"/>
      <c r="W142" s="1779"/>
      <c r="X142" s="1779"/>
      <c r="Y142" s="1779"/>
      <c r="Z142" s="1779"/>
      <c r="AA142" s="1779"/>
      <c r="AB142" s="1779"/>
      <c r="AC142" s="1779"/>
      <c r="AD142" s="1779"/>
      <c r="AE142" s="1779"/>
      <c r="AF142" s="1779"/>
      <c r="AH142" s="3312" t="str">
        <f t="shared" si="52"/>
        <v/>
      </c>
      <c r="AI142" s="1779"/>
      <c r="AJ142" s="1928"/>
      <c r="AK142" s="1779"/>
      <c r="AL142" s="1779"/>
      <c r="AM142" s="1779"/>
      <c r="AN142" s="1779"/>
      <c r="AO142" s="1779"/>
      <c r="AP142" s="1779"/>
      <c r="AQ142" s="1779"/>
      <c r="AR142" s="1779"/>
      <c r="AS142" s="1779"/>
      <c r="AT142" s="3213"/>
      <c r="AU142" s="1928"/>
      <c r="AV142" s="1779"/>
      <c r="AW142" s="1779"/>
      <c r="AX142" s="1779"/>
      <c r="AY142" s="1779"/>
      <c r="AZ142" s="1779"/>
      <c r="BA142" s="1779"/>
      <c r="BB142" s="1779"/>
      <c r="BC142" s="1779"/>
      <c r="BD142" s="1779"/>
      <c r="BE142" s="3311">
        <v>119</v>
      </c>
      <c r="BF142" s="1882" t="str">
        <f t="shared" si="53"/>
        <v/>
      </c>
      <c r="BG142" s="1883">
        <f t="shared" si="54"/>
        <v>0</v>
      </c>
      <c r="BH142" s="1884">
        <f t="shared" si="55"/>
        <v>0</v>
      </c>
      <c r="EB142" s="1829">
        <v>16</v>
      </c>
      <c r="EC142" s="1795">
        <f>IF(AND(ACTIONS!C18&gt;=PROGRESS!$Z$27, PROGRESS!$Z$27&lt;&gt;0),EC143+1,0)</f>
        <v>0</v>
      </c>
      <c r="ED142" s="1795">
        <f>IF(AND(ACTIONS!D18&gt;=PROGRESS!$Z$28, PROGRESS!$Z$28&lt;&gt;0),ED143+1,0)</f>
        <v>0</v>
      </c>
      <c r="EE142" s="1795">
        <f>IF(AND(ACTIONS!E18&gt;=PROGRESS!$Z$29, PROGRESS!$Z$29&lt;&gt;0),EE143+1,0)</f>
        <v>0</v>
      </c>
      <c r="EF142" s="1795">
        <f>IF(AND(ACTIONS!F18&gt;=PROGRESS!$Z$30, PROGRESS!$Z$30&lt;&gt;0),EF143+1,0)</f>
        <v>0</v>
      </c>
      <c r="EG142" s="1795">
        <f>IF(AND(ACTIONS!G18&gt;=PROGRESS!$Z$31, PROGRESS!$Z$31&lt;&gt;0),EG143+1,0)</f>
        <v>0</v>
      </c>
      <c r="EH142" s="1795">
        <f>IF(AND(ACTIONS!H18&gt;=PROGRESS!$Z$32, PROGRESS!$Z$32&lt;&gt;0),EH143+1,0)</f>
        <v>0</v>
      </c>
      <c r="EI142" s="1795">
        <f>IF(AND(ACTIONS!I18&gt;=PROGRESS!$Z$33,PROGRESS!$Z$33&lt;&gt;0),EI143+1,0)</f>
        <v>0</v>
      </c>
      <c r="EJ142" s="1795">
        <f>IF(AND(ACTIONS!J18&gt;=PROGRESS!$Z$34, PROGRESS!$Z$34&lt;&gt;0),EJ143+1,0)</f>
        <v>0</v>
      </c>
      <c r="EK142" s="1795">
        <f>IF(AND(ACTIONS!K18&gt;=PROGRESS!$Z$35,PROGRESS!$Z$35&lt;&gt;0),EK143+1,0)</f>
        <v>0</v>
      </c>
      <c r="EM142" s="1829">
        <v>16</v>
      </c>
      <c r="EN142" s="1795">
        <f>IF(AND(ACTIONS!BQ18&gt;=PROGRESS!$BJ$27,PROGRESS!$BJ$27&lt;&gt;0),EN143+1,0)</f>
        <v>0</v>
      </c>
      <c r="EO142" s="1795">
        <f>IF(AND(ACTIONS!BR18&gt;=PROGRESS!$BJ$28,PROGRESS!$BJ$28&lt;&gt;0),EO143+1,0)</f>
        <v>0</v>
      </c>
      <c r="EP142" s="1795">
        <f>IF(AND(ACTIONS!BS18&gt;=PROGRESS!$BJ$29,PROGRESS!$BJ$29&lt;&gt;0),EP143+1,0)</f>
        <v>0</v>
      </c>
      <c r="EQ142" s="1795">
        <f>IF(AND(ACTIONS!BT18&gt;=PROGRESS!$BJ$30,PROGRESS!$BJ$30&lt;&gt;0),EQ143+1,0)</f>
        <v>0</v>
      </c>
      <c r="ER142" s="1795">
        <f>IF(AND(ACTIONS!BU18&gt;=PROGRESS!$BJ$31,PROGRESS!$BJ$31&lt;&gt;0),ER143+1,0)</f>
        <v>0</v>
      </c>
      <c r="ES142" s="1795">
        <f>IF(AND(ACTIONS!BV18&gt;=PROGRESS!$BJ$32,PROGRESS!$BJ$32&lt;&gt;0),ES143+1,0)</f>
        <v>0</v>
      </c>
      <c r="ET142" s="1795">
        <f>IF(AND(ACTIONS!BW18&gt;=PROGRESS!$BJ$33,PROGRESS!$BJ$33&lt;&gt;0),ET143+1,0)</f>
        <v>0</v>
      </c>
      <c r="EU142" s="1795">
        <f>IF(AND(ACTIONS!BX18&gt;=PROGRESS!$BJ$34,PROGRESS!$BJ$34&lt;&gt;0),EU143+1,0)</f>
        <v>0</v>
      </c>
      <c r="EV142" s="1795">
        <f>IF(AND(ACTIONS!BY18&gt;=PROGRESS!$BJ$35,PROGRESS!$BJ$35&lt;&gt;0),EV143+1,0)</f>
        <v>0</v>
      </c>
      <c r="IB142" s="2635"/>
      <c r="IC142" s="1796"/>
      <c r="ID142" s="1796"/>
      <c r="IE142" s="1796"/>
      <c r="IF142" s="1796"/>
      <c r="IG142" s="1796"/>
      <c r="IH142" s="1796"/>
      <c r="II142" s="1796"/>
      <c r="IJ142" s="1796"/>
      <c r="IK142" s="1796"/>
      <c r="IL142" s="1796"/>
      <c r="IM142" s="1796"/>
      <c r="IN142" s="1796"/>
      <c r="IO142" s="1796"/>
      <c r="IP142" s="1796"/>
      <c r="IQ142" s="1796"/>
      <c r="IR142" s="1796"/>
      <c r="IS142" s="1796"/>
      <c r="IT142" s="1796"/>
      <c r="IU142" s="1796"/>
      <c r="IV142" s="1796"/>
      <c r="IW142" s="1796"/>
      <c r="IX142" s="1796"/>
      <c r="IY142" s="1796"/>
      <c r="KS142" s="3046"/>
    </row>
    <row r="143" spans="10:311" ht="17.100000000000001" customHeight="1" x14ac:dyDescent="0.3">
      <c r="J143" s="1898" t="str">
        <f t="shared" si="38"/>
        <v/>
      </c>
      <c r="K143" s="3312" t="str">
        <f t="shared" si="51"/>
        <v/>
      </c>
      <c r="L143" s="1779"/>
      <c r="M143" s="1779"/>
      <c r="N143" s="1779"/>
      <c r="O143" s="1779"/>
      <c r="P143" s="1779"/>
      <c r="Q143" s="1779"/>
      <c r="R143" s="1779"/>
      <c r="S143" s="1779"/>
      <c r="T143" s="1779"/>
      <c r="U143" s="1779"/>
      <c r="V143" s="1922"/>
      <c r="W143" s="1779"/>
      <c r="X143" s="1779"/>
      <c r="Y143" s="1779"/>
      <c r="Z143" s="1779"/>
      <c r="AA143" s="1779"/>
      <c r="AB143" s="1779"/>
      <c r="AC143" s="1779"/>
      <c r="AD143" s="1779"/>
      <c r="AE143" s="1779"/>
      <c r="AF143" s="1779"/>
      <c r="AH143" s="3312" t="str">
        <f t="shared" si="52"/>
        <v/>
      </c>
      <c r="AI143" s="1779"/>
      <c r="AJ143" s="1928"/>
      <c r="AK143" s="1779"/>
      <c r="AL143" s="1779"/>
      <c r="AM143" s="1779"/>
      <c r="AN143" s="1779"/>
      <c r="AO143" s="1779"/>
      <c r="AP143" s="1779"/>
      <c r="AQ143" s="1779"/>
      <c r="AR143" s="1779"/>
      <c r="AS143" s="1779"/>
      <c r="AT143" s="3213"/>
      <c r="AU143" s="1928"/>
      <c r="AV143" s="1779"/>
      <c r="AW143" s="1779"/>
      <c r="AX143" s="1779"/>
      <c r="AY143" s="1779"/>
      <c r="AZ143" s="1779"/>
      <c r="BA143" s="1779"/>
      <c r="BB143" s="1779"/>
      <c r="BC143" s="1779"/>
      <c r="BD143" s="1779"/>
      <c r="BE143" s="3311">
        <v>120</v>
      </c>
      <c r="BF143" s="1882" t="str">
        <f t="shared" si="53"/>
        <v/>
      </c>
      <c r="BG143" s="1883">
        <f t="shared" si="54"/>
        <v>0</v>
      </c>
      <c r="BH143" s="1884">
        <f t="shared" si="55"/>
        <v>0</v>
      </c>
      <c r="EB143" s="1829">
        <v>15</v>
      </c>
      <c r="EC143" s="1795">
        <f>IF(AND(ACTIONS!C19&gt;=PROGRESS!$Z$27, PROGRESS!$Z$27&lt;&gt;0),EC144+1,0)</f>
        <v>0</v>
      </c>
      <c r="ED143" s="1795">
        <f>IF(AND(ACTIONS!D19&gt;=PROGRESS!$Z$28, PROGRESS!$Z$28&lt;&gt;0),ED144+1,0)</f>
        <v>0</v>
      </c>
      <c r="EE143" s="1795">
        <f>IF(AND(ACTIONS!E19&gt;=PROGRESS!$Z$29, PROGRESS!$Z$29&lt;&gt;0),EE144+1,0)</f>
        <v>0</v>
      </c>
      <c r="EF143" s="1795">
        <f>IF(AND(ACTIONS!F19&gt;=PROGRESS!$Z$30, PROGRESS!$Z$30&lt;&gt;0),EF144+1,0)</f>
        <v>0</v>
      </c>
      <c r="EG143" s="1795">
        <f>IF(AND(ACTIONS!G19&gt;=PROGRESS!$Z$31, PROGRESS!$Z$31&lt;&gt;0),EG144+1,0)</f>
        <v>0</v>
      </c>
      <c r="EH143" s="1795">
        <f>IF(AND(ACTIONS!H19&gt;=PROGRESS!$Z$32, PROGRESS!$Z$32&lt;&gt;0),EH144+1,0)</f>
        <v>0</v>
      </c>
      <c r="EI143" s="1795">
        <f>IF(AND(ACTIONS!I19&gt;=PROGRESS!$Z$33,PROGRESS!$Z$33&lt;&gt;0),EI144+1,0)</f>
        <v>0</v>
      </c>
      <c r="EJ143" s="1795">
        <f>IF(AND(ACTIONS!J19&gt;=PROGRESS!$Z$34, PROGRESS!$Z$34&lt;&gt;0),EJ144+1,0)</f>
        <v>0</v>
      </c>
      <c r="EK143" s="1795">
        <f>IF(AND(ACTIONS!K19&gt;=PROGRESS!$Z$35,PROGRESS!$Z$35&lt;&gt;0),EK144+1,0)</f>
        <v>0</v>
      </c>
      <c r="EM143" s="1829">
        <v>15</v>
      </c>
      <c r="EN143" s="1795">
        <f>IF(AND(ACTIONS!BQ19&gt;=PROGRESS!$BJ$27,PROGRESS!$BJ$27&lt;&gt;0),EN144+1,0)</f>
        <v>0</v>
      </c>
      <c r="EO143" s="1795">
        <f>IF(AND(ACTIONS!BR19&gt;=PROGRESS!$BJ$28,PROGRESS!$BJ$28&lt;&gt;0),EO144+1,0)</f>
        <v>0</v>
      </c>
      <c r="EP143" s="1795">
        <f>IF(AND(ACTIONS!BS19&gt;=PROGRESS!$BJ$29,PROGRESS!$BJ$29&lt;&gt;0),EP144+1,0)</f>
        <v>0</v>
      </c>
      <c r="EQ143" s="1795">
        <f>IF(AND(ACTIONS!BT19&gt;=PROGRESS!$BJ$30,PROGRESS!$BJ$30&lt;&gt;0),EQ144+1,0)</f>
        <v>0</v>
      </c>
      <c r="ER143" s="1795">
        <f>IF(AND(ACTIONS!BU19&gt;=PROGRESS!$BJ$31,PROGRESS!$BJ$31&lt;&gt;0),ER144+1,0)</f>
        <v>0</v>
      </c>
      <c r="ES143" s="1795">
        <f>IF(AND(ACTIONS!BV19&gt;=PROGRESS!$BJ$32,PROGRESS!$BJ$32&lt;&gt;0),ES144+1,0)</f>
        <v>0</v>
      </c>
      <c r="ET143" s="1795">
        <f>IF(AND(ACTIONS!BW19&gt;=PROGRESS!$BJ$33,PROGRESS!$BJ$33&lt;&gt;0),ET144+1,0)</f>
        <v>0</v>
      </c>
      <c r="EU143" s="1795">
        <f>IF(AND(ACTIONS!BX19&gt;=PROGRESS!$BJ$34,PROGRESS!$BJ$34&lt;&gt;0),EU144+1,0)</f>
        <v>0</v>
      </c>
      <c r="EV143" s="1795">
        <f>IF(AND(ACTIONS!BY19&gt;=PROGRESS!$BJ$35,PROGRESS!$BJ$35&lt;&gt;0),EV144+1,0)</f>
        <v>0</v>
      </c>
      <c r="HU143" s="1796"/>
      <c r="HV143" s="1796"/>
      <c r="HW143" s="1796"/>
      <c r="HX143" s="1796"/>
      <c r="HZ143" s="1796"/>
      <c r="IB143" s="2635"/>
      <c r="IC143" s="1796"/>
      <c r="ID143" s="1796"/>
      <c r="IE143" s="1796"/>
      <c r="IF143" s="1796"/>
      <c r="IG143" s="1796"/>
      <c r="IH143" s="1796"/>
      <c r="II143" s="1796"/>
      <c r="IJ143" s="1796"/>
      <c r="IK143" s="1796"/>
      <c r="IL143" s="1796"/>
      <c r="IM143" s="1796"/>
      <c r="IN143" s="1796"/>
      <c r="IO143" s="1796"/>
      <c r="IP143" s="1796"/>
      <c r="IQ143" s="1796"/>
      <c r="IR143" s="1796"/>
      <c r="IS143" s="1796"/>
      <c r="IT143" s="1796"/>
      <c r="IU143" s="1796"/>
      <c r="IV143" s="1796"/>
      <c r="IW143" s="1796"/>
      <c r="IX143" s="1796"/>
      <c r="IY143" s="1796"/>
      <c r="KS143" s="3046"/>
    </row>
    <row r="144" spans="10:311" ht="17.100000000000001" customHeight="1" x14ac:dyDescent="0.2">
      <c r="EB144" s="1829">
        <v>14</v>
      </c>
      <c r="EC144" s="1795">
        <f>IF(AND(ACTIONS!C20&gt;=PROGRESS!$Z$27, PROGRESS!$Z$27&lt;&gt;0),EC145+1,0)</f>
        <v>0</v>
      </c>
      <c r="ED144" s="1795">
        <f>IF(AND(ACTIONS!D20&gt;=PROGRESS!$Z$28, PROGRESS!$Z$28&lt;&gt;0),ED145+1,0)</f>
        <v>0</v>
      </c>
      <c r="EE144" s="1795">
        <f>IF(AND(ACTIONS!E20&gt;=PROGRESS!$Z$29, PROGRESS!$Z$29&lt;&gt;0),EE145+1,0)</f>
        <v>0</v>
      </c>
      <c r="EF144" s="1795">
        <f>IF(AND(ACTIONS!F20&gt;=PROGRESS!$Z$30, PROGRESS!$Z$30&lt;&gt;0),EF145+1,0)</f>
        <v>0</v>
      </c>
      <c r="EG144" s="1795">
        <f>IF(AND(ACTIONS!G20&gt;=PROGRESS!$Z$31, PROGRESS!$Z$31&lt;&gt;0),EG145+1,0)</f>
        <v>0</v>
      </c>
      <c r="EH144" s="1795">
        <f>IF(AND(ACTIONS!H20&gt;=PROGRESS!$Z$32, PROGRESS!$Z$32&lt;&gt;0),EH145+1,0)</f>
        <v>0</v>
      </c>
      <c r="EI144" s="1795">
        <f>IF(AND(ACTIONS!I20&gt;=PROGRESS!$Z$33,PROGRESS!$Z$33&lt;&gt;0),EI145+1,0)</f>
        <v>0</v>
      </c>
      <c r="EJ144" s="1795">
        <f>IF(AND(ACTIONS!J20&gt;=PROGRESS!$Z$34, PROGRESS!$Z$34&lt;&gt;0),EJ145+1,0)</f>
        <v>0</v>
      </c>
      <c r="EK144" s="1795">
        <f>IF(AND(ACTIONS!K20&gt;=PROGRESS!$Z$35,PROGRESS!$Z$35&lt;&gt;0),EK145+1,0)</f>
        <v>0</v>
      </c>
      <c r="EM144" s="1829">
        <v>14</v>
      </c>
      <c r="EN144" s="1795">
        <f>IF(AND(ACTIONS!BQ20&gt;=PROGRESS!$BJ$27,PROGRESS!$BJ$27&lt;&gt;0),EN145+1,0)</f>
        <v>0</v>
      </c>
      <c r="EO144" s="1795">
        <f>IF(AND(ACTIONS!BR20&gt;=PROGRESS!$BJ$28,PROGRESS!$BJ$28&lt;&gt;0),EO145+1,0)</f>
        <v>0</v>
      </c>
      <c r="EP144" s="1795">
        <f>IF(AND(ACTIONS!BS20&gt;=PROGRESS!$BJ$29,PROGRESS!$BJ$29&lt;&gt;0),EP145+1,0)</f>
        <v>0</v>
      </c>
      <c r="EQ144" s="1795">
        <f>IF(AND(ACTIONS!BT20&gt;=PROGRESS!$BJ$30,PROGRESS!$BJ$30&lt;&gt;0),EQ145+1,0)</f>
        <v>0</v>
      </c>
      <c r="ER144" s="1795">
        <f>IF(AND(ACTIONS!BU20&gt;=PROGRESS!$BJ$31,PROGRESS!$BJ$31&lt;&gt;0),ER145+1,0)</f>
        <v>0</v>
      </c>
      <c r="ES144" s="1795">
        <f>IF(AND(ACTIONS!BV20&gt;=PROGRESS!$BJ$32,PROGRESS!$BJ$32&lt;&gt;0),ES145+1,0)</f>
        <v>0</v>
      </c>
      <c r="ET144" s="1795">
        <f>IF(AND(ACTIONS!BW20&gt;=PROGRESS!$BJ$33,PROGRESS!$BJ$33&lt;&gt;0),ET145+1,0)</f>
        <v>0</v>
      </c>
      <c r="EU144" s="1795">
        <f>IF(AND(ACTIONS!BX20&gt;=PROGRESS!$BJ$34,PROGRESS!$BJ$34&lt;&gt;0),EU145+1,0)</f>
        <v>0</v>
      </c>
      <c r="EV144" s="1795">
        <f>IF(AND(ACTIONS!BY20&gt;=PROGRESS!$BJ$35,PROGRESS!$BJ$35&lt;&gt;0),EV145+1,0)</f>
        <v>0</v>
      </c>
      <c r="IB144" s="2635"/>
      <c r="IC144" s="1796"/>
      <c r="ID144" s="1796"/>
      <c r="IE144" s="1796"/>
      <c r="IF144" s="1796"/>
      <c r="IG144" s="1796"/>
      <c r="IH144" s="1796"/>
      <c r="II144" s="1796"/>
      <c r="IJ144" s="1796"/>
      <c r="IK144" s="1796"/>
      <c r="IL144" s="1796"/>
      <c r="IM144" s="1796"/>
      <c r="IN144" s="1796"/>
      <c r="IO144" s="1796"/>
      <c r="IP144" s="1796"/>
      <c r="IQ144" s="1796"/>
      <c r="IR144" s="1796"/>
      <c r="IS144" s="1796"/>
      <c r="IT144" s="1796"/>
      <c r="IU144" s="1796"/>
      <c r="IV144" s="1796"/>
      <c r="IW144" s="1796"/>
      <c r="IX144" s="1796"/>
      <c r="IY144" s="1796"/>
      <c r="JC144" s="1796"/>
      <c r="JD144" s="3041"/>
      <c r="JE144" s="3041"/>
      <c r="JF144" s="3041"/>
      <c r="JG144" s="3041"/>
      <c r="JH144" s="3041"/>
      <c r="JI144" s="3041"/>
      <c r="JJ144" s="3041"/>
      <c r="JK144" s="3041"/>
      <c r="JL144" s="3041"/>
      <c r="JM144" s="3041"/>
      <c r="KS144" s="3046"/>
    </row>
    <row r="145" spans="10:309" ht="17.100000000000001" customHeight="1" x14ac:dyDescent="0.2">
      <c r="EB145" s="1829">
        <v>13</v>
      </c>
      <c r="EC145" s="1795">
        <f>IF(AND(ACTIONS!C21&gt;=PROGRESS!$Z$27, PROGRESS!$Z$27&lt;&gt;0),EC146+1,0)</f>
        <v>0</v>
      </c>
      <c r="ED145" s="1795">
        <f>IF(AND(ACTIONS!D21&gt;=PROGRESS!$Z$28, PROGRESS!$Z$28&lt;&gt;0),ED146+1,0)</f>
        <v>0</v>
      </c>
      <c r="EE145" s="1795">
        <f>IF(AND(ACTIONS!E21&gt;=PROGRESS!$Z$29, PROGRESS!$Z$29&lt;&gt;0),EE146+1,0)</f>
        <v>0</v>
      </c>
      <c r="EF145" s="1795">
        <f>IF(AND(ACTIONS!F21&gt;=PROGRESS!$Z$30, PROGRESS!$Z$30&lt;&gt;0),EF146+1,0)</f>
        <v>0</v>
      </c>
      <c r="EG145" s="1795">
        <f>IF(AND(ACTIONS!G21&gt;=PROGRESS!$Z$31, PROGRESS!$Z$31&lt;&gt;0),EG146+1,0)</f>
        <v>0</v>
      </c>
      <c r="EH145" s="1795">
        <f>IF(AND(ACTIONS!H21&gt;=PROGRESS!$Z$32, PROGRESS!$Z$32&lt;&gt;0),EH146+1,0)</f>
        <v>0</v>
      </c>
      <c r="EI145" s="1795">
        <f>IF(AND(ACTIONS!I21&gt;=PROGRESS!$Z$33,PROGRESS!$Z$33&lt;&gt;0),EI146+1,0)</f>
        <v>0</v>
      </c>
      <c r="EJ145" s="1795">
        <f>IF(AND(ACTIONS!J21&gt;=PROGRESS!$Z$34, PROGRESS!$Z$34&lt;&gt;0),EJ146+1,0)</f>
        <v>0</v>
      </c>
      <c r="EK145" s="1795">
        <f>IF(AND(ACTIONS!K21&gt;=PROGRESS!$Z$35,PROGRESS!$Z$35&lt;&gt;0),EK146+1,0)</f>
        <v>0</v>
      </c>
      <c r="EM145" s="1829">
        <v>13</v>
      </c>
      <c r="EN145" s="1795">
        <f>IF(AND(ACTIONS!BQ21&gt;=PROGRESS!$BJ$27,PROGRESS!$BJ$27&lt;&gt;0),EN146+1,0)</f>
        <v>0</v>
      </c>
      <c r="EO145" s="1795">
        <f>IF(AND(ACTIONS!BR21&gt;=PROGRESS!$BJ$28,PROGRESS!$BJ$28&lt;&gt;0),EO146+1,0)</f>
        <v>0</v>
      </c>
      <c r="EP145" s="1795">
        <f>IF(AND(ACTIONS!BS21&gt;=PROGRESS!$BJ$29,PROGRESS!$BJ$29&lt;&gt;0),EP146+1,0)</f>
        <v>0</v>
      </c>
      <c r="EQ145" s="1795">
        <f>IF(AND(ACTIONS!BT21&gt;=PROGRESS!$BJ$30,PROGRESS!$BJ$30&lt;&gt;0),EQ146+1,0)</f>
        <v>0</v>
      </c>
      <c r="ER145" s="1795">
        <f>IF(AND(ACTIONS!BU21&gt;=PROGRESS!$BJ$31,PROGRESS!$BJ$31&lt;&gt;0),ER146+1,0)</f>
        <v>0</v>
      </c>
      <c r="ES145" s="1795">
        <f>IF(AND(ACTIONS!BV21&gt;=PROGRESS!$BJ$32,PROGRESS!$BJ$32&lt;&gt;0),ES146+1,0)</f>
        <v>0</v>
      </c>
      <c r="ET145" s="1795">
        <f>IF(AND(ACTIONS!BW21&gt;=PROGRESS!$BJ$33,PROGRESS!$BJ$33&lt;&gt;0),ET146+1,0)</f>
        <v>0</v>
      </c>
      <c r="EU145" s="1795">
        <f>IF(AND(ACTIONS!BX21&gt;=PROGRESS!$BJ$34,PROGRESS!$BJ$34&lt;&gt;0),EU146+1,0)</f>
        <v>0</v>
      </c>
      <c r="EV145" s="1795">
        <f>IF(AND(ACTIONS!BY21&gt;=PROGRESS!$BJ$35,PROGRESS!$BJ$35&lt;&gt;0),EV146+1,0)</f>
        <v>0</v>
      </c>
      <c r="IB145" s="2635"/>
      <c r="IC145" s="1796"/>
      <c r="ID145" s="1796"/>
      <c r="IE145" s="1796"/>
      <c r="IF145" s="1796"/>
      <c r="IG145" s="1796"/>
      <c r="IH145" s="1796"/>
      <c r="II145" s="1796"/>
      <c r="IJ145" s="1796"/>
      <c r="IK145" s="1796"/>
      <c r="IL145" s="1796"/>
      <c r="IM145" s="1796"/>
      <c r="IN145" s="1796"/>
      <c r="IO145" s="1796"/>
      <c r="IP145" s="1796"/>
      <c r="IQ145" s="1796"/>
      <c r="IR145" s="1796"/>
      <c r="IS145" s="1796"/>
      <c r="IT145" s="1796"/>
      <c r="IU145" s="1796"/>
      <c r="IV145" s="1796"/>
      <c r="IW145" s="1796"/>
      <c r="IX145" s="1796"/>
      <c r="IY145" s="1796"/>
      <c r="JC145" s="1796"/>
      <c r="JI145" s="1796"/>
      <c r="JJ145" s="1796"/>
      <c r="JK145" s="1796"/>
      <c r="JL145" s="1796"/>
      <c r="JM145" s="1796"/>
      <c r="KS145" s="3046"/>
      <c r="KV145" s="3046"/>
      <c r="KW145" s="3047"/>
    </row>
    <row r="146" spans="10:309" ht="17.100000000000001" customHeight="1" x14ac:dyDescent="0.2">
      <c r="EB146" s="1829">
        <v>12</v>
      </c>
      <c r="EC146" s="1795">
        <f>IF(AND(ACTIONS!C22&gt;=PROGRESS!$Z$27, PROGRESS!$Z$27&lt;&gt;0),EC147+1,0)</f>
        <v>0</v>
      </c>
      <c r="ED146" s="1795">
        <f>IF(AND(ACTIONS!D22&gt;=PROGRESS!$Z$28, PROGRESS!$Z$28&lt;&gt;0),ED147+1,0)</f>
        <v>0</v>
      </c>
      <c r="EE146" s="1795">
        <f>IF(AND(ACTIONS!E22&gt;=PROGRESS!$Z$29, PROGRESS!$Z$29&lt;&gt;0),EE147+1,0)</f>
        <v>0</v>
      </c>
      <c r="EF146" s="1795">
        <f>IF(AND(ACTIONS!F22&gt;=PROGRESS!$Z$30, PROGRESS!$Z$30&lt;&gt;0),EF147+1,0)</f>
        <v>0</v>
      </c>
      <c r="EG146" s="1795">
        <f>IF(AND(ACTIONS!G22&gt;=PROGRESS!$Z$31, PROGRESS!$Z$31&lt;&gt;0),EG147+1,0)</f>
        <v>0</v>
      </c>
      <c r="EH146" s="1795">
        <f>IF(AND(ACTIONS!H22&gt;=PROGRESS!$Z$32, PROGRESS!$Z$32&lt;&gt;0),EH147+1,0)</f>
        <v>0</v>
      </c>
      <c r="EI146" s="1795">
        <f>IF(AND(ACTIONS!I22&gt;=PROGRESS!$Z$33,PROGRESS!$Z$33&lt;&gt;0),EI147+1,0)</f>
        <v>0</v>
      </c>
      <c r="EJ146" s="1795">
        <f>IF(AND(ACTIONS!J22&gt;=PROGRESS!$Z$34, PROGRESS!$Z$34&lt;&gt;0),EJ147+1,0)</f>
        <v>0</v>
      </c>
      <c r="EK146" s="1795">
        <f>IF(AND(ACTIONS!K22&gt;=PROGRESS!$Z$35,PROGRESS!$Z$35&lt;&gt;0),EK147+1,0)</f>
        <v>0</v>
      </c>
      <c r="EM146" s="1829">
        <v>12</v>
      </c>
      <c r="EN146" s="1795">
        <f>IF(AND(ACTIONS!BQ22&gt;=PROGRESS!$BJ$27,PROGRESS!$BJ$27&lt;&gt;0),EN147+1,0)</f>
        <v>0</v>
      </c>
      <c r="EO146" s="1795">
        <f>IF(AND(ACTIONS!BR22&gt;=PROGRESS!$BJ$28,PROGRESS!$BJ$28&lt;&gt;0),EO147+1,0)</f>
        <v>0</v>
      </c>
      <c r="EP146" s="1795">
        <f>IF(AND(ACTIONS!BS22&gt;=PROGRESS!$BJ$29,PROGRESS!$BJ$29&lt;&gt;0),EP147+1,0)</f>
        <v>0</v>
      </c>
      <c r="EQ146" s="1795">
        <f>IF(AND(ACTIONS!BT22&gt;=PROGRESS!$BJ$30,PROGRESS!$BJ$30&lt;&gt;0),EQ147+1,0)</f>
        <v>0</v>
      </c>
      <c r="ER146" s="1795">
        <f>IF(AND(ACTIONS!BU22&gt;=PROGRESS!$BJ$31,PROGRESS!$BJ$31&lt;&gt;0),ER147+1,0)</f>
        <v>0</v>
      </c>
      <c r="ES146" s="1795">
        <f>IF(AND(ACTIONS!BV22&gt;=PROGRESS!$BJ$32,PROGRESS!$BJ$32&lt;&gt;0),ES147+1,0)</f>
        <v>0</v>
      </c>
      <c r="ET146" s="1795">
        <f>IF(AND(ACTIONS!BW22&gt;=PROGRESS!$BJ$33,PROGRESS!$BJ$33&lt;&gt;0),ET147+1,0)</f>
        <v>0</v>
      </c>
      <c r="EU146" s="1795">
        <f>IF(AND(ACTIONS!BX22&gt;=PROGRESS!$BJ$34,PROGRESS!$BJ$34&lt;&gt;0),EU147+1,0)</f>
        <v>0</v>
      </c>
      <c r="EV146" s="1795">
        <f>IF(AND(ACTIONS!BY22&gt;=PROGRESS!$BJ$35,PROGRESS!$BJ$35&lt;&gt;0),EV147+1,0)</f>
        <v>0</v>
      </c>
      <c r="IB146" s="2635"/>
      <c r="IC146" s="1796"/>
      <c r="ID146" s="1796"/>
      <c r="IE146" s="1796"/>
      <c r="IF146" s="1796"/>
      <c r="IG146" s="1796"/>
      <c r="IH146" s="1796"/>
      <c r="II146" s="1796"/>
      <c r="IJ146" s="1796"/>
      <c r="IK146" s="1796"/>
      <c r="IL146" s="1796"/>
      <c r="IM146" s="1796"/>
      <c r="IN146" s="1796"/>
      <c r="IO146" s="1796"/>
      <c r="IP146" s="1796"/>
      <c r="IQ146" s="1796"/>
      <c r="IR146" s="1796"/>
      <c r="IS146" s="1796"/>
      <c r="IT146" s="1796"/>
      <c r="IU146" s="1796"/>
      <c r="IV146" s="1796"/>
      <c r="IW146" s="1796"/>
      <c r="IX146" s="1796"/>
      <c r="IY146" s="1796"/>
      <c r="JC146" s="1796"/>
      <c r="JD146" s="3042"/>
      <c r="JE146" s="3042"/>
      <c r="JF146" s="3042"/>
      <c r="JG146" s="3042"/>
      <c r="JH146" s="3042"/>
      <c r="JK146" s="3042"/>
      <c r="JL146" s="3042"/>
      <c r="JM146" s="3042"/>
      <c r="KS146" s="3046"/>
      <c r="KV146" s="3046"/>
      <c r="KW146" s="3047"/>
    </row>
    <row r="147" spans="10:309" ht="17.100000000000001" customHeight="1" x14ac:dyDescent="0.2">
      <c r="J147" s="1796"/>
      <c r="K147" s="1796"/>
      <c r="L147" s="1796"/>
      <c r="M147" s="1796"/>
      <c r="N147" s="1796"/>
      <c r="O147" s="1796"/>
      <c r="P147" s="1796"/>
      <c r="Q147" s="1796"/>
      <c r="R147" s="1796"/>
      <c r="S147" s="1796"/>
      <c r="T147" s="1796"/>
      <c r="U147" s="1796"/>
      <c r="V147" s="1796"/>
      <c r="W147" s="1796"/>
      <c r="X147" s="1796"/>
      <c r="Y147" s="1796"/>
      <c r="Z147" s="1796"/>
      <c r="AA147" s="1796"/>
      <c r="AB147" s="1796"/>
      <c r="AC147" s="1796"/>
      <c r="AD147" s="1796"/>
      <c r="AE147" s="1796"/>
      <c r="AF147" s="1796"/>
      <c r="AG147" s="1796"/>
      <c r="AH147" s="1796"/>
      <c r="AI147" s="1796"/>
      <c r="AJ147" s="1796"/>
      <c r="AK147" s="1796"/>
      <c r="AL147" s="1796"/>
      <c r="AM147" s="1796"/>
      <c r="AN147" s="1796"/>
      <c r="AO147" s="1796"/>
      <c r="AP147" s="1796"/>
      <c r="AQ147" s="1796"/>
      <c r="AR147" s="1796"/>
      <c r="AS147" s="1796"/>
      <c r="AT147" s="1796"/>
      <c r="AU147" s="1796"/>
      <c r="AV147" s="1796"/>
      <c r="AW147" s="1796"/>
      <c r="AX147" s="1796"/>
      <c r="AY147" s="1796"/>
      <c r="AZ147" s="1796"/>
      <c r="BA147" s="1796"/>
      <c r="BB147" s="1796"/>
      <c r="BC147" s="1796"/>
      <c r="BD147" s="1796"/>
      <c r="BE147" s="1796"/>
      <c r="EB147" s="1829">
        <v>11</v>
      </c>
      <c r="EC147" s="1795">
        <f>IF(AND(ACTIONS!C23&gt;=PROGRESS!$Z$27, PROGRESS!$Z$27&lt;&gt;0),EC148+1,0)</f>
        <v>0</v>
      </c>
      <c r="ED147" s="1795">
        <f>IF(AND(ACTIONS!D23&gt;=PROGRESS!$Z$28, PROGRESS!$Z$28&lt;&gt;0),ED148+1,0)</f>
        <v>0</v>
      </c>
      <c r="EE147" s="1795">
        <f>IF(AND(ACTIONS!E23&gt;=PROGRESS!$Z$29, PROGRESS!$Z$29&lt;&gt;0),EE148+1,0)</f>
        <v>0</v>
      </c>
      <c r="EF147" s="1795">
        <f>IF(AND(ACTIONS!F23&gt;=PROGRESS!$Z$30, PROGRESS!$Z$30&lt;&gt;0),EF148+1,0)</f>
        <v>0</v>
      </c>
      <c r="EG147" s="1795">
        <f>IF(AND(ACTIONS!G23&gt;=PROGRESS!$Z$31, PROGRESS!$Z$31&lt;&gt;0),EG148+1,0)</f>
        <v>0</v>
      </c>
      <c r="EH147" s="1795">
        <f>IF(AND(ACTIONS!H23&gt;=PROGRESS!$Z$32, PROGRESS!$Z$32&lt;&gt;0),EH148+1,0)</f>
        <v>0</v>
      </c>
      <c r="EI147" s="1795">
        <f>IF(AND(ACTIONS!I23&gt;=PROGRESS!$Z$33,PROGRESS!$Z$33&lt;&gt;0),EI148+1,0)</f>
        <v>0</v>
      </c>
      <c r="EJ147" s="1795">
        <f>IF(AND(ACTIONS!J23&gt;=PROGRESS!$Z$34, PROGRESS!$Z$34&lt;&gt;0),EJ148+1,0)</f>
        <v>0</v>
      </c>
      <c r="EK147" s="1795">
        <f>IF(AND(ACTIONS!K23&gt;=PROGRESS!$Z$35,PROGRESS!$Z$35&lt;&gt;0),EK148+1,0)</f>
        <v>0</v>
      </c>
      <c r="EM147" s="1829">
        <v>11</v>
      </c>
      <c r="EN147" s="1795">
        <f>IF(AND(ACTIONS!BQ23&gt;=PROGRESS!$BJ$27,PROGRESS!$BJ$27&lt;&gt;0),EN148+1,0)</f>
        <v>0</v>
      </c>
      <c r="EO147" s="1795">
        <f>IF(AND(ACTIONS!BR23&gt;=PROGRESS!$BJ$28,PROGRESS!$BJ$28&lt;&gt;0),EO148+1,0)</f>
        <v>0</v>
      </c>
      <c r="EP147" s="1795">
        <f>IF(AND(ACTIONS!BS23&gt;=PROGRESS!$BJ$29,PROGRESS!$BJ$29&lt;&gt;0),EP148+1,0)</f>
        <v>0</v>
      </c>
      <c r="EQ147" s="1795">
        <f>IF(AND(ACTIONS!BT23&gt;=PROGRESS!$BJ$30,PROGRESS!$BJ$30&lt;&gt;0),EQ148+1,0)</f>
        <v>0</v>
      </c>
      <c r="ER147" s="1795">
        <f>IF(AND(ACTIONS!BU23&gt;=PROGRESS!$BJ$31,PROGRESS!$BJ$31&lt;&gt;0),ER148+1,0)</f>
        <v>0</v>
      </c>
      <c r="ES147" s="1795">
        <f>IF(AND(ACTIONS!BV23&gt;=PROGRESS!$BJ$32,PROGRESS!$BJ$32&lt;&gt;0),ES148+1,0)</f>
        <v>0</v>
      </c>
      <c r="ET147" s="1795">
        <f>IF(AND(ACTIONS!BW23&gt;=PROGRESS!$BJ$33,PROGRESS!$BJ$33&lt;&gt;0),ET148+1,0)</f>
        <v>0</v>
      </c>
      <c r="EU147" s="1795">
        <f>IF(AND(ACTIONS!BX23&gt;=PROGRESS!$BJ$34,PROGRESS!$BJ$34&lt;&gt;0),EU148+1,0)</f>
        <v>0</v>
      </c>
      <c r="EV147" s="1795">
        <f>IF(AND(ACTIONS!BY23&gt;=PROGRESS!$BJ$35,PROGRESS!$BJ$35&lt;&gt;0),EV148+1,0)</f>
        <v>0</v>
      </c>
      <c r="IB147" s="2635"/>
      <c r="IC147" s="1796"/>
      <c r="ID147" s="1796"/>
      <c r="IE147" s="1796"/>
      <c r="IF147" s="1796"/>
      <c r="IG147" s="1796"/>
      <c r="IH147" s="1796"/>
      <c r="II147" s="1796"/>
      <c r="IJ147" s="1796"/>
      <c r="IK147" s="1796"/>
      <c r="IL147" s="1796"/>
      <c r="IM147" s="1796"/>
      <c r="IN147" s="1796"/>
      <c r="IO147" s="1796"/>
      <c r="IP147" s="1796"/>
      <c r="IQ147" s="1796"/>
      <c r="IR147" s="1796"/>
      <c r="IS147" s="1796"/>
      <c r="IT147" s="1796"/>
      <c r="IU147" s="1796"/>
      <c r="IV147" s="1796"/>
      <c r="IW147" s="1796"/>
      <c r="IX147" s="1796"/>
      <c r="IY147" s="1796"/>
      <c r="JB147" s="1796"/>
      <c r="JC147" s="1796"/>
      <c r="JD147" s="1796"/>
      <c r="JE147" s="1796"/>
      <c r="JF147" s="1796"/>
      <c r="JG147" s="1796"/>
      <c r="JH147" s="1796"/>
      <c r="JI147" s="1796"/>
      <c r="JJ147" s="1796"/>
      <c r="JK147" s="1796"/>
      <c r="JL147" s="1796"/>
      <c r="JM147" s="1796"/>
      <c r="JN147" s="1796"/>
      <c r="KS147" s="3046"/>
      <c r="KV147" s="3046"/>
      <c r="KW147" s="3047"/>
    </row>
    <row r="148" spans="10:309" ht="17.100000000000001" customHeight="1" x14ac:dyDescent="0.2">
      <c r="J148" s="1796"/>
      <c r="K148" s="1796"/>
      <c r="L148" s="1796"/>
      <c r="M148" s="1796"/>
      <c r="N148" s="1796"/>
      <c r="O148" s="1796"/>
      <c r="P148" s="1796"/>
      <c r="Q148" s="1796"/>
      <c r="R148" s="1796"/>
      <c r="S148" s="1796"/>
      <c r="T148" s="1796"/>
      <c r="U148" s="1796"/>
      <c r="V148" s="1796"/>
      <c r="W148" s="1796"/>
      <c r="X148" s="1796"/>
      <c r="Y148" s="1796"/>
      <c r="Z148" s="1796"/>
      <c r="AA148" s="1796"/>
      <c r="AB148" s="1796"/>
      <c r="AC148" s="1796"/>
      <c r="AD148" s="1796"/>
      <c r="AE148" s="1796"/>
      <c r="AF148" s="1796"/>
      <c r="AG148" s="1796"/>
      <c r="AH148" s="1796"/>
      <c r="AI148" s="1796"/>
      <c r="AJ148" s="1796"/>
      <c r="AK148" s="1796"/>
      <c r="AL148" s="1796"/>
      <c r="AM148" s="1796"/>
      <c r="AN148" s="1796"/>
      <c r="AO148" s="1796"/>
      <c r="AP148" s="1796"/>
      <c r="AQ148" s="1796"/>
      <c r="AR148" s="1796"/>
      <c r="AS148" s="1796"/>
      <c r="AT148" s="1796"/>
      <c r="AU148" s="1796"/>
      <c r="AV148" s="1796"/>
      <c r="AW148" s="1796"/>
      <c r="AX148" s="1796"/>
      <c r="AY148" s="1796"/>
      <c r="AZ148" s="1796"/>
      <c r="BA148" s="1796"/>
      <c r="BB148" s="1796"/>
      <c r="BC148" s="1796"/>
      <c r="BD148" s="1796"/>
      <c r="BE148" s="1796"/>
      <c r="EB148" s="1829">
        <v>10</v>
      </c>
      <c r="EC148" s="1795">
        <f>IF(AND(ACTIONS!C24&gt;=PROGRESS!$Z$27, PROGRESS!$Z$27&lt;&gt;0),EC149+1,0)</f>
        <v>0</v>
      </c>
      <c r="ED148" s="1795">
        <f>IF(AND(ACTIONS!D24&gt;=PROGRESS!$Z$28, PROGRESS!$Z$28&lt;&gt;0),ED149+1,0)</f>
        <v>0</v>
      </c>
      <c r="EE148" s="1795">
        <f>IF(AND(ACTIONS!E24&gt;=PROGRESS!$Z$29, PROGRESS!$Z$29&lt;&gt;0),EE149+1,0)</f>
        <v>0</v>
      </c>
      <c r="EF148" s="1795">
        <f>IF(AND(ACTIONS!F24&gt;=PROGRESS!$Z$30, PROGRESS!$Z$30&lt;&gt;0),EF149+1,0)</f>
        <v>0</v>
      </c>
      <c r="EG148" s="1795">
        <f>IF(AND(ACTIONS!G24&gt;=PROGRESS!$Z$31, PROGRESS!$Z$31&lt;&gt;0),EG149+1,0)</f>
        <v>0</v>
      </c>
      <c r="EH148" s="1795">
        <f>IF(AND(ACTIONS!H24&gt;=PROGRESS!$Z$32, PROGRESS!$Z$32&lt;&gt;0),EH149+1,0)</f>
        <v>0</v>
      </c>
      <c r="EI148" s="1795">
        <f>IF(AND(ACTIONS!I24&gt;=PROGRESS!$Z$33,PROGRESS!$Z$33&lt;&gt;0),EI149+1,0)</f>
        <v>0</v>
      </c>
      <c r="EJ148" s="1795">
        <f>IF(AND(ACTIONS!J24&gt;=PROGRESS!$Z$34, PROGRESS!$Z$34&lt;&gt;0),EJ149+1,0)</f>
        <v>0</v>
      </c>
      <c r="EK148" s="1795">
        <f>IF(AND(ACTIONS!K24&gt;=PROGRESS!$Z$35,PROGRESS!$Z$35&lt;&gt;0),EK149+1,0)</f>
        <v>0</v>
      </c>
      <c r="EM148" s="1829">
        <v>10</v>
      </c>
      <c r="EN148" s="1795">
        <f>IF(AND(ACTIONS!BQ24&gt;=PROGRESS!$BJ$27,PROGRESS!$BJ$27&lt;&gt;0),EN149+1,0)</f>
        <v>0</v>
      </c>
      <c r="EO148" s="1795">
        <f>IF(AND(ACTIONS!BR24&gt;=PROGRESS!$BJ$28,PROGRESS!$BJ$28&lt;&gt;0),EO149+1,0)</f>
        <v>0</v>
      </c>
      <c r="EP148" s="1795">
        <f>IF(AND(ACTIONS!BS24&gt;=PROGRESS!$BJ$29,PROGRESS!$BJ$29&lt;&gt;0),EP149+1,0)</f>
        <v>0</v>
      </c>
      <c r="EQ148" s="1795">
        <f>IF(AND(ACTIONS!BT24&gt;=PROGRESS!$BJ$30,PROGRESS!$BJ$30&lt;&gt;0),EQ149+1,0)</f>
        <v>0</v>
      </c>
      <c r="ER148" s="1795">
        <f>IF(AND(ACTIONS!BU24&gt;=PROGRESS!$BJ$31,PROGRESS!$BJ$31&lt;&gt;0),ER149+1,0)</f>
        <v>0</v>
      </c>
      <c r="ES148" s="1795">
        <f>IF(AND(ACTIONS!BV24&gt;=PROGRESS!$BJ$32,PROGRESS!$BJ$32&lt;&gt;0),ES149+1,0)</f>
        <v>0</v>
      </c>
      <c r="ET148" s="1795">
        <f>IF(AND(ACTIONS!BW24&gt;=PROGRESS!$BJ$33,PROGRESS!$BJ$33&lt;&gt;0),ET149+1,0)</f>
        <v>0</v>
      </c>
      <c r="EU148" s="1795">
        <f>IF(AND(ACTIONS!BX24&gt;=PROGRESS!$BJ$34,PROGRESS!$BJ$34&lt;&gt;0),EU149+1,0)</f>
        <v>0</v>
      </c>
      <c r="EV148" s="1795">
        <f>IF(AND(ACTIONS!BY24&gt;=PROGRESS!$BJ$35,PROGRESS!$BJ$35&lt;&gt;0),EV149+1,0)</f>
        <v>0</v>
      </c>
      <c r="IB148" s="2635"/>
      <c r="IC148" s="1796"/>
      <c r="ID148" s="1796"/>
      <c r="IE148" s="1796"/>
      <c r="IF148" s="1796"/>
      <c r="IG148" s="1796"/>
      <c r="IH148" s="1796"/>
      <c r="II148" s="1796"/>
      <c r="IJ148" s="1796"/>
      <c r="IK148" s="1796"/>
      <c r="IL148" s="1796"/>
      <c r="IM148" s="1796"/>
      <c r="IN148" s="1796"/>
      <c r="IO148" s="1796"/>
      <c r="IP148" s="1796"/>
      <c r="IQ148" s="1796"/>
      <c r="IR148" s="1796"/>
      <c r="IS148" s="1796"/>
      <c r="IT148" s="1796"/>
      <c r="IU148" s="1796"/>
      <c r="IV148" s="1796"/>
      <c r="IW148" s="1796"/>
      <c r="IX148" s="1796"/>
      <c r="IY148" s="1796"/>
      <c r="JB148" s="1796"/>
      <c r="JC148" s="3043"/>
      <c r="JD148" s="3044"/>
      <c r="JE148" s="3044"/>
      <c r="JF148" s="3044"/>
      <c r="JG148" s="3044"/>
      <c r="JH148" s="3044"/>
      <c r="JI148" s="3044"/>
      <c r="JJ148" s="3044"/>
      <c r="JK148" s="3044"/>
      <c r="JL148" s="3044"/>
      <c r="JM148" s="3044"/>
      <c r="JN148" s="1796"/>
      <c r="KS148" s="3046"/>
    </row>
    <row r="149" spans="10:309" ht="17.100000000000001" customHeight="1" x14ac:dyDescent="0.2">
      <c r="J149" s="1796"/>
      <c r="K149" s="1796"/>
      <c r="L149" s="1796"/>
      <c r="M149" s="1796"/>
      <c r="N149" s="1796"/>
      <c r="O149" s="1796"/>
      <c r="P149" s="1796"/>
      <c r="Q149" s="1796"/>
      <c r="R149" s="1796"/>
      <c r="S149" s="1796"/>
      <c r="T149" s="1796"/>
      <c r="U149" s="1796"/>
      <c r="V149" s="1796"/>
      <c r="W149" s="1796"/>
      <c r="X149" s="1796"/>
      <c r="Y149" s="1796"/>
      <c r="Z149" s="1796"/>
      <c r="AA149" s="1796"/>
      <c r="AB149" s="1796"/>
      <c r="AC149" s="1796"/>
      <c r="AD149" s="1796"/>
      <c r="AE149" s="1796"/>
      <c r="AF149" s="1796"/>
      <c r="AG149" s="1796"/>
      <c r="AH149" s="1796"/>
      <c r="AI149" s="1796"/>
      <c r="AJ149" s="1796"/>
      <c r="AK149" s="1796"/>
      <c r="AL149" s="1796"/>
      <c r="AM149" s="1796"/>
      <c r="AN149" s="1796"/>
      <c r="AO149" s="1796"/>
      <c r="AP149" s="1796"/>
      <c r="AQ149" s="1796"/>
      <c r="AR149" s="1796"/>
      <c r="AS149" s="1796"/>
      <c r="AT149" s="1796"/>
      <c r="AU149" s="1796"/>
      <c r="AV149" s="1796"/>
      <c r="AW149" s="1796"/>
      <c r="AX149" s="1796"/>
      <c r="AY149" s="1796"/>
      <c r="AZ149" s="1796"/>
      <c r="BA149" s="1796"/>
      <c r="BB149" s="1796"/>
      <c r="BC149" s="1796"/>
      <c r="BD149" s="1796"/>
      <c r="BE149" s="1796"/>
      <c r="EB149" s="1829">
        <v>9</v>
      </c>
      <c r="EC149" s="1795">
        <f>IF(AND(ACTIONS!C25&gt;=PROGRESS!$Z$27, PROGRESS!$Z$27&lt;&gt;0),EC150+1,0)</f>
        <v>0</v>
      </c>
      <c r="ED149" s="1795">
        <f>IF(AND(ACTIONS!D25&gt;=PROGRESS!$Z$28, PROGRESS!$Z$28&lt;&gt;0),ED150+1,0)</f>
        <v>0</v>
      </c>
      <c r="EE149" s="1795">
        <f>IF(AND(ACTIONS!E25&gt;=PROGRESS!$Z$29, PROGRESS!$Z$29&lt;&gt;0),EE150+1,0)</f>
        <v>0</v>
      </c>
      <c r="EF149" s="1795">
        <f>IF(AND(ACTIONS!F25&gt;=PROGRESS!$Z$30, PROGRESS!$Z$30&lt;&gt;0),EF150+1,0)</f>
        <v>0</v>
      </c>
      <c r="EG149" s="1795">
        <f>IF(AND(ACTIONS!G25&gt;=PROGRESS!$Z$31, PROGRESS!$Z$31&lt;&gt;0),EG150+1,0)</f>
        <v>0</v>
      </c>
      <c r="EH149" s="1795">
        <f>IF(AND(ACTIONS!H25&gt;=PROGRESS!$Z$32, PROGRESS!$Z$32&lt;&gt;0),EH150+1,0)</f>
        <v>0</v>
      </c>
      <c r="EI149" s="1795">
        <f>IF(AND(ACTIONS!I25&gt;=PROGRESS!$Z$33,PROGRESS!$Z$33&lt;&gt;0),EI150+1,0)</f>
        <v>0</v>
      </c>
      <c r="EJ149" s="1795">
        <f>IF(AND(ACTIONS!J25&gt;=PROGRESS!$Z$34, PROGRESS!$Z$34&lt;&gt;0),EJ150+1,0)</f>
        <v>0</v>
      </c>
      <c r="EK149" s="1795">
        <f>IF(AND(ACTIONS!K25&gt;=PROGRESS!$Z$35,PROGRESS!$Z$35&lt;&gt;0),EK150+1,0)</f>
        <v>0</v>
      </c>
      <c r="EM149" s="1829">
        <v>9</v>
      </c>
      <c r="EN149" s="1795">
        <f>IF(AND(ACTIONS!BQ25&gt;=PROGRESS!$BJ$27,PROGRESS!$BJ$27&lt;&gt;0),EN150+1,0)</f>
        <v>0</v>
      </c>
      <c r="EO149" s="1795">
        <f>IF(AND(ACTIONS!BR25&gt;=PROGRESS!$BJ$28,PROGRESS!$BJ$28&lt;&gt;0),EO150+1,0)</f>
        <v>0</v>
      </c>
      <c r="EP149" s="1795">
        <f>IF(AND(ACTIONS!BS25&gt;=PROGRESS!$BJ$29,PROGRESS!$BJ$29&lt;&gt;0),EP150+1,0)</f>
        <v>0</v>
      </c>
      <c r="EQ149" s="1795">
        <f>IF(AND(ACTIONS!BT25&gt;=PROGRESS!$BJ$30,PROGRESS!$BJ$30&lt;&gt;0),EQ150+1,0)</f>
        <v>0</v>
      </c>
      <c r="ER149" s="1795">
        <f>IF(AND(ACTIONS!BU25&gt;=PROGRESS!$BJ$31,PROGRESS!$BJ$31&lt;&gt;0),ER150+1,0)</f>
        <v>0</v>
      </c>
      <c r="ES149" s="1795">
        <f>IF(AND(ACTIONS!BV25&gt;=PROGRESS!$BJ$32,PROGRESS!$BJ$32&lt;&gt;0),ES150+1,0)</f>
        <v>0</v>
      </c>
      <c r="ET149" s="1795">
        <f>IF(AND(ACTIONS!BW25&gt;=PROGRESS!$BJ$33,PROGRESS!$BJ$33&lt;&gt;0),ET150+1,0)</f>
        <v>0</v>
      </c>
      <c r="EU149" s="1795">
        <f>IF(AND(ACTIONS!BX25&gt;=PROGRESS!$BJ$34,PROGRESS!$BJ$34&lt;&gt;0),EU150+1,0)</f>
        <v>0</v>
      </c>
      <c r="EV149" s="1795">
        <f>IF(AND(ACTIONS!BY25&gt;=PROGRESS!$BJ$35,PROGRESS!$BJ$35&lt;&gt;0),EV150+1,0)</f>
        <v>0</v>
      </c>
      <c r="IB149" s="2635"/>
      <c r="IC149" s="1796"/>
      <c r="ID149" s="1796"/>
      <c r="IE149" s="1796"/>
      <c r="IF149" s="1796"/>
      <c r="IG149" s="1796"/>
      <c r="IH149" s="1796"/>
      <c r="II149" s="1796"/>
      <c r="IJ149" s="1796"/>
      <c r="IK149" s="1796"/>
      <c r="IL149" s="1796"/>
      <c r="IM149" s="1796"/>
      <c r="IN149" s="1796"/>
      <c r="IO149" s="1796"/>
      <c r="IP149" s="1796"/>
      <c r="IQ149" s="1796"/>
      <c r="IR149" s="1796"/>
      <c r="IS149" s="1796"/>
      <c r="IT149" s="1796"/>
      <c r="IU149" s="1796"/>
      <c r="IV149" s="1796"/>
      <c r="IW149" s="1796"/>
      <c r="IX149" s="1796"/>
      <c r="IY149" s="1796"/>
      <c r="JB149" s="1796"/>
      <c r="JC149" s="3043"/>
      <c r="JD149" s="3182" t="s">
        <v>1181</v>
      </c>
      <c r="JE149" s="3183" t="s">
        <v>1188</v>
      </c>
      <c r="JF149" s="3184" t="s">
        <v>1195</v>
      </c>
      <c r="JG149" s="3185" t="s">
        <v>1198</v>
      </c>
      <c r="JH149" s="3186" t="s">
        <v>1201</v>
      </c>
      <c r="JI149" s="3187" t="s">
        <v>1204</v>
      </c>
      <c r="JJ149" s="3188" t="s">
        <v>1207</v>
      </c>
      <c r="JK149" s="3189" t="s">
        <v>1210</v>
      </c>
      <c r="JL149" s="3190" t="s">
        <v>1213</v>
      </c>
      <c r="JM149" s="3191" t="s">
        <v>1216</v>
      </c>
      <c r="JN149" s="1796"/>
      <c r="KS149" s="3046"/>
      <c r="KV149" s="3046"/>
      <c r="KW149" s="3047"/>
    </row>
    <row r="150" spans="10:309" ht="17.100000000000001" customHeight="1" x14ac:dyDescent="0.2">
      <c r="J150" s="1796"/>
      <c r="K150" s="1796"/>
      <c r="L150" s="1796"/>
      <c r="M150" s="1796"/>
      <c r="N150" s="1796"/>
      <c r="O150" s="1796"/>
      <c r="P150" s="1796"/>
      <c r="Q150" s="1796"/>
      <c r="R150" s="1796"/>
      <c r="S150" s="1796"/>
      <c r="T150" s="1796"/>
      <c r="U150" s="1796"/>
      <c r="V150" s="1796"/>
      <c r="W150" s="1796"/>
      <c r="X150" s="1796"/>
      <c r="Y150" s="1796"/>
      <c r="Z150" s="1796"/>
      <c r="AA150" s="1796"/>
      <c r="AB150" s="1796"/>
      <c r="AC150" s="1796"/>
      <c r="AD150" s="1796"/>
      <c r="AE150" s="1796"/>
      <c r="AF150" s="1796"/>
      <c r="AG150" s="1796"/>
      <c r="AH150" s="1796"/>
      <c r="AI150" s="1796"/>
      <c r="AJ150" s="1796"/>
      <c r="AK150" s="1796"/>
      <c r="AL150" s="1796"/>
      <c r="AM150" s="1796"/>
      <c r="AN150" s="1796"/>
      <c r="AO150" s="1796"/>
      <c r="AP150" s="1796"/>
      <c r="AQ150" s="1796"/>
      <c r="AR150" s="1796"/>
      <c r="AS150" s="1796"/>
      <c r="AT150" s="1796"/>
      <c r="AU150" s="1796"/>
      <c r="AV150" s="1796"/>
      <c r="AW150" s="1796"/>
      <c r="AX150" s="1796"/>
      <c r="AY150" s="1796"/>
      <c r="AZ150" s="1796"/>
      <c r="BA150" s="1796"/>
      <c r="BB150" s="1796"/>
      <c r="BC150" s="1796"/>
      <c r="BD150" s="1796"/>
      <c r="BE150" s="1796"/>
      <c r="EB150" s="1829">
        <v>8</v>
      </c>
      <c r="EC150" s="1795">
        <f>IF(AND(ACTIONS!C26&gt;=PROGRESS!$Z$27, PROGRESS!$Z$27&lt;&gt;0),EC151+1,0)</f>
        <v>0</v>
      </c>
      <c r="ED150" s="1795">
        <f>IF(AND(ACTIONS!D26&gt;=PROGRESS!$Z$28, PROGRESS!$Z$28&lt;&gt;0),ED151+1,0)</f>
        <v>0</v>
      </c>
      <c r="EE150" s="1795">
        <f>IF(AND(ACTIONS!E26&gt;=PROGRESS!$Z$29, PROGRESS!$Z$29&lt;&gt;0),EE151+1,0)</f>
        <v>0</v>
      </c>
      <c r="EF150" s="1795">
        <f>IF(AND(ACTIONS!F26&gt;=PROGRESS!$Z$30, PROGRESS!$Z$30&lt;&gt;0),EF151+1,0)</f>
        <v>0</v>
      </c>
      <c r="EG150" s="1795">
        <f>IF(AND(ACTIONS!G26&gt;=PROGRESS!$Z$31, PROGRESS!$Z$31&lt;&gt;0),EG151+1,0)</f>
        <v>0</v>
      </c>
      <c r="EH150" s="1795">
        <f>IF(AND(ACTIONS!H26&gt;=PROGRESS!$Z$32, PROGRESS!$Z$32&lt;&gt;0),EH151+1,0)</f>
        <v>0</v>
      </c>
      <c r="EI150" s="1795">
        <f>IF(AND(ACTIONS!I26&gt;=PROGRESS!$Z$33,PROGRESS!$Z$33&lt;&gt;0),EI151+1,0)</f>
        <v>0</v>
      </c>
      <c r="EJ150" s="1795">
        <f>IF(AND(ACTIONS!J26&gt;=PROGRESS!$Z$34, PROGRESS!$Z$34&lt;&gt;0),EJ151+1,0)</f>
        <v>0</v>
      </c>
      <c r="EK150" s="1795">
        <f>IF(AND(ACTIONS!K26&gt;=PROGRESS!$Z$35,PROGRESS!$Z$35&lt;&gt;0),EK151+1,0)</f>
        <v>0</v>
      </c>
      <c r="EM150" s="1829">
        <v>8</v>
      </c>
      <c r="EN150" s="1795">
        <f>IF(AND(ACTIONS!BQ26&gt;=PROGRESS!$BJ$27,PROGRESS!$BJ$27&lt;&gt;0),EN151+1,0)</f>
        <v>0</v>
      </c>
      <c r="EO150" s="1795">
        <f>IF(AND(ACTIONS!BR26&gt;=PROGRESS!$BJ$28,PROGRESS!$BJ$28&lt;&gt;0),EO151+1,0)</f>
        <v>0</v>
      </c>
      <c r="EP150" s="1795">
        <f>IF(AND(ACTIONS!BS26&gt;=PROGRESS!$BJ$29,PROGRESS!$BJ$29&lt;&gt;0),EP151+1,0)</f>
        <v>0</v>
      </c>
      <c r="EQ150" s="1795">
        <f>IF(AND(ACTIONS!BT26&gt;=PROGRESS!$BJ$30,PROGRESS!$BJ$30&lt;&gt;0),EQ151+1,0)</f>
        <v>0</v>
      </c>
      <c r="ER150" s="1795">
        <f>IF(AND(ACTIONS!BU26&gt;=PROGRESS!$BJ$31,PROGRESS!$BJ$31&lt;&gt;0),ER151+1,0)</f>
        <v>0</v>
      </c>
      <c r="ES150" s="1795">
        <f>IF(AND(ACTIONS!BV26&gt;=PROGRESS!$BJ$32,PROGRESS!$BJ$32&lt;&gt;0),ES151+1,0)</f>
        <v>0</v>
      </c>
      <c r="ET150" s="1795">
        <f>IF(AND(ACTIONS!BW26&gt;=PROGRESS!$BJ$33,PROGRESS!$BJ$33&lt;&gt;0),ET151+1,0)</f>
        <v>0</v>
      </c>
      <c r="EU150" s="1795">
        <f>IF(AND(ACTIONS!BX26&gt;=PROGRESS!$BJ$34,PROGRESS!$BJ$34&lt;&gt;0),EU151+1,0)</f>
        <v>0</v>
      </c>
      <c r="EV150" s="1795">
        <f>IF(AND(ACTIONS!BY26&gt;=PROGRESS!$BJ$35,PROGRESS!$BJ$35&lt;&gt;0),EV151+1,0)</f>
        <v>0</v>
      </c>
      <c r="IC150" s="1796"/>
      <c r="ID150" s="1796"/>
      <c r="IE150" s="1796"/>
      <c r="IF150" s="1796"/>
      <c r="IG150" s="1796"/>
      <c r="IH150" s="1796"/>
      <c r="II150" s="1796"/>
      <c r="IJ150" s="1796"/>
      <c r="IK150" s="1796"/>
      <c r="IL150" s="1796"/>
      <c r="IM150" s="1796"/>
      <c r="IN150" s="1796"/>
      <c r="IO150" s="1796"/>
      <c r="IP150" s="1796"/>
      <c r="IQ150" s="1796"/>
      <c r="IR150" s="1796"/>
      <c r="IS150" s="1796"/>
      <c r="IT150" s="1796"/>
      <c r="IU150" s="1796"/>
      <c r="IV150" s="1796"/>
      <c r="IW150" s="1796"/>
      <c r="IX150" s="1796"/>
      <c r="IY150" s="1796"/>
      <c r="JB150" s="1796"/>
      <c r="JC150" s="3043"/>
      <c r="JD150" s="3182" t="s">
        <v>1182</v>
      </c>
      <c r="JE150" s="3183" t="s">
        <v>1189</v>
      </c>
      <c r="JF150" s="3184" t="s">
        <v>1196</v>
      </c>
      <c r="JG150" s="3185" t="s">
        <v>1199</v>
      </c>
      <c r="JH150" s="3186" t="s">
        <v>1202</v>
      </c>
      <c r="JI150" s="3187" t="s">
        <v>1205</v>
      </c>
      <c r="JJ150" s="3188" t="s">
        <v>1208</v>
      </c>
      <c r="JK150" s="3189" t="s">
        <v>1211</v>
      </c>
      <c r="JL150" s="3190" t="s">
        <v>1214</v>
      </c>
      <c r="JM150" s="3191" t="s">
        <v>1217</v>
      </c>
      <c r="JN150" s="1796"/>
      <c r="KV150" s="3046"/>
      <c r="KW150" s="3047"/>
    </row>
    <row r="151" spans="10:309" ht="17.100000000000001" customHeight="1" x14ac:dyDescent="0.2">
      <c r="J151" s="1796"/>
      <c r="K151" s="1796"/>
      <c r="L151" s="1796"/>
      <c r="M151" s="1796"/>
      <c r="N151" s="1796"/>
      <c r="O151" s="1796"/>
      <c r="P151" s="1796"/>
      <c r="Q151" s="1796"/>
      <c r="R151" s="1796"/>
      <c r="S151" s="1796"/>
      <c r="T151" s="1796"/>
      <c r="U151" s="1796"/>
      <c r="V151" s="1796"/>
      <c r="W151" s="1796"/>
      <c r="X151" s="1796"/>
      <c r="Y151" s="1796"/>
      <c r="Z151" s="1796"/>
      <c r="AA151" s="1796"/>
      <c r="AB151" s="1796"/>
      <c r="AC151" s="1796"/>
      <c r="AD151" s="1796"/>
      <c r="AE151" s="1796"/>
      <c r="AF151" s="1796"/>
      <c r="AG151" s="1796"/>
      <c r="AH151" s="1796"/>
      <c r="AI151" s="1796"/>
      <c r="AJ151" s="1796"/>
      <c r="AK151" s="1796"/>
      <c r="AL151" s="1796"/>
      <c r="AM151" s="1796"/>
      <c r="AN151" s="1796"/>
      <c r="AO151" s="1796"/>
      <c r="AP151" s="1796"/>
      <c r="AQ151" s="1796"/>
      <c r="AR151" s="1796"/>
      <c r="AS151" s="1796"/>
      <c r="AT151" s="1796"/>
      <c r="AU151" s="1796"/>
      <c r="AV151" s="1796"/>
      <c r="AW151" s="1796"/>
      <c r="AX151" s="1796"/>
      <c r="AY151" s="1796"/>
      <c r="AZ151" s="1796"/>
      <c r="BA151" s="1796"/>
      <c r="BB151" s="1796"/>
      <c r="BC151" s="1796"/>
      <c r="BD151" s="1796"/>
      <c r="BE151" s="1796"/>
      <c r="EB151" s="1829">
        <v>7</v>
      </c>
      <c r="EC151" s="1795">
        <f>IF(AND(ACTIONS!C27&gt;=PROGRESS!$Z$27, PROGRESS!$Z$27&lt;&gt;0),EC152+1,0)</f>
        <v>0</v>
      </c>
      <c r="ED151" s="1795">
        <f>IF(AND(ACTIONS!D27&gt;=PROGRESS!$Z$28, PROGRESS!$Z$28&lt;&gt;0),ED152+1,0)</f>
        <v>0</v>
      </c>
      <c r="EE151" s="1795">
        <f>IF(AND(ACTIONS!E27&gt;=PROGRESS!$Z$29, PROGRESS!$Z$29&lt;&gt;0),EE152+1,0)</f>
        <v>0</v>
      </c>
      <c r="EF151" s="1795">
        <f>IF(AND(ACTIONS!F27&gt;=PROGRESS!$Z$30, PROGRESS!$Z$30&lt;&gt;0),EF152+1,0)</f>
        <v>0</v>
      </c>
      <c r="EG151" s="1795">
        <f>IF(AND(ACTIONS!G27&gt;=PROGRESS!$Z$31, PROGRESS!$Z$31&lt;&gt;0),EG152+1,0)</f>
        <v>0</v>
      </c>
      <c r="EH151" s="1795">
        <f>IF(AND(ACTIONS!H27&gt;=PROGRESS!$Z$32, PROGRESS!$Z$32&lt;&gt;0),EH152+1,0)</f>
        <v>0</v>
      </c>
      <c r="EI151" s="1795">
        <f>IF(AND(ACTIONS!I27&gt;=PROGRESS!$Z$33,PROGRESS!$Z$33&lt;&gt;0),EI152+1,0)</f>
        <v>0</v>
      </c>
      <c r="EJ151" s="1795">
        <f>IF(AND(ACTIONS!J27&gt;=PROGRESS!$Z$34, PROGRESS!$Z$34&lt;&gt;0),EJ152+1,0)</f>
        <v>0</v>
      </c>
      <c r="EK151" s="1795">
        <f>IF(AND(ACTIONS!K27&gt;=PROGRESS!$Z$35,PROGRESS!$Z$35&lt;&gt;0),EK152+1,0)</f>
        <v>0</v>
      </c>
      <c r="EM151" s="1829">
        <v>7</v>
      </c>
      <c r="EN151" s="1795">
        <f>IF(AND(ACTIONS!BQ27&gt;=PROGRESS!$BJ$27,PROGRESS!$BJ$27&lt;&gt;0),EN152+1,0)</f>
        <v>0</v>
      </c>
      <c r="EO151" s="1795">
        <f>IF(AND(ACTIONS!BR27&gt;=PROGRESS!$BJ$28,PROGRESS!$BJ$28&lt;&gt;0),EO152+1,0)</f>
        <v>0</v>
      </c>
      <c r="EP151" s="1795">
        <f>IF(AND(ACTIONS!BS27&gt;=PROGRESS!$BJ$29,PROGRESS!$BJ$29&lt;&gt;0),EP152+1,0)</f>
        <v>0</v>
      </c>
      <c r="EQ151" s="1795">
        <f>IF(AND(ACTIONS!BT27&gt;=PROGRESS!$BJ$30,PROGRESS!$BJ$30&lt;&gt;0),EQ152+1,0)</f>
        <v>0</v>
      </c>
      <c r="ER151" s="1795">
        <f>IF(AND(ACTIONS!BU27&gt;=PROGRESS!$BJ$31,PROGRESS!$BJ$31&lt;&gt;0),ER152+1,0)</f>
        <v>0</v>
      </c>
      <c r="ES151" s="1795">
        <f>IF(AND(ACTIONS!BV27&gt;=PROGRESS!$BJ$32,PROGRESS!$BJ$32&lt;&gt;0),ES152+1,0)</f>
        <v>0</v>
      </c>
      <c r="ET151" s="1795">
        <f>IF(AND(ACTIONS!BW27&gt;=PROGRESS!$BJ$33,PROGRESS!$BJ$33&lt;&gt;0),ET152+1,0)</f>
        <v>0</v>
      </c>
      <c r="EU151" s="1795">
        <f>IF(AND(ACTIONS!BX27&gt;=PROGRESS!$BJ$34,PROGRESS!$BJ$34&lt;&gt;0),EU152+1,0)</f>
        <v>0</v>
      </c>
      <c r="EV151" s="1795">
        <f>IF(AND(ACTIONS!BY27&gt;=PROGRESS!$BJ$35,PROGRESS!$BJ$35&lt;&gt;0),EV152+1,0)</f>
        <v>0</v>
      </c>
      <c r="IC151" s="1796"/>
      <c r="ID151" s="1796"/>
      <c r="IE151" s="1796"/>
      <c r="IF151" s="1796"/>
      <c r="IG151" s="1796"/>
      <c r="IH151" s="1796"/>
      <c r="II151" s="1796"/>
      <c r="IJ151" s="1796"/>
      <c r="IK151" s="1796"/>
      <c r="IL151" s="1796"/>
      <c r="IM151" s="1796"/>
      <c r="IN151" s="1796"/>
      <c r="IO151" s="1796"/>
      <c r="IP151" s="1796"/>
      <c r="IQ151" s="1796"/>
      <c r="IR151" s="1796"/>
      <c r="IS151" s="1796"/>
      <c r="IT151" s="1796"/>
      <c r="IU151" s="1796"/>
      <c r="IV151" s="1796"/>
      <c r="IW151" s="1796"/>
      <c r="IX151" s="1796"/>
      <c r="IY151" s="1796"/>
      <c r="JB151" s="1796"/>
      <c r="JC151" s="3043"/>
      <c r="JD151" s="3182" t="s">
        <v>1183</v>
      </c>
      <c r="JE151" s="3183" t="s">
        <v>1190</v>
      </c>
      <c r="JF151" s="3184" t="s">
        <v>1197</v>
      </c>
      <c r="JG151" s="3185" t="s">
        <v>1200</v>
      </c>
      <c r="JH151" s="3186" t="s">
        <v>1203</v>
      </c>
      <c r="JI151" s="3187" t="s">
        <v>1206</v>
      </c>
      <c r="JJ151" s="3188" t="s">
        <v>1209</v>
      </c>
      <c r="JK151" s="3189" t="s">
        <v>1212</v>
      </c>
      <c r="JL151" s="3190" t="s">
        <v>1215</v>
      </c>
      <c r="JM151" s="3191" t="s">
        <v>1218</v>
      </c>
      <c r="JN151" s="1796"/>
      <c r="KV151" s="3046"/>
      <c r="KW151" s="3047"/>
    </row>
    <row r="152" spans="10:309" ht="17.100000000000001" customHeight="1" x14ac:dyDescent="0.2">
      <c r="EB152" s="1829">
        <v>6</v>
      </c>
      <c r="EC152" s="1795">
        <f>IF(AND(ACTIONS!C28&gt;=PROGRESS!$Z$27, PROGRESS!$Z$27&lt;&gt;0),EC153+1,0)</f>
        <v>0</v>
      </c>
      <c r="ED152" s="1795">
        <f>IF(AND(ACTIONS!D28&gt;=PROGRESS!$Z$28, PROGRESS!$Z$28&lt;&gt;0),ED153+1,0)</f>
        <v>0</v>
      </c>
      <c r="EE152" s="1795">
        <f>IF(AND(ACTIONS!E28&gt;=PROGRESS!$Z$29, PROGRESS!$Z$29&lt;&gt;0),EE153+1,0)</f>
        <v>0</v>
      </c>
      <c r="EF152" s="1795">
        <f>IF(AND(ACTIONS!F28&gt;=PROGRESS!$Z$30, PROGRESS!$Z$30&lt;&gt;0),EF153+1,0)</f>
        <v>0</v>
      </c>
      <c r="EG152" s="1795">
        <f>IF(AND(ACTIONS!G28&gt;=PROGRESS!$Z$31, PROGRESS!$Z$31&lt;&gt;0),EG153+1,0)</f>
        <v>0</v>
      </c>
      <c r="EH152" s="1795">
        <f>IF(AND(ACTIONS!H28&gt;=PROGRESS!$Z$32, PROGRESS!$Z$32&lt;&gt;0),EH153+1,0)</f>
        <v>0</v>
      </c>
      <c r="EI152" s="1795">
        <f>IF(AND(ACTIONS!I28&gt;=PROGRESS!$Z$33,PROGRESS!$Z$33&lt;&gt;0),EI153+1,0)</f>
        <v>0</v>
      </c>
      <c r="EJ152" s="1795">
        <f>IF(AND(ACTIONS!J28&gt;=PROGRESS!$Z$34, PROGRESS!$Z$34&lt;&gt;0),EJ153+1,0)</f>
        <v>0</v>
      </c>
      <c r="EK152" s="1795">
        <f>IF(AND(ACTIONS!K28&gt;=PROGRESS!$Z$35,PROGRESS!$Z$35&lt;&gt;0),EK153+1,0)</f>
        <v>0</v>
      </c>
      <c r="EM152" s="1829">
        <v>6</v>
      </c>
      <c r="EN152" s="1795">
        <f>IF(AND(ACTIONS!BQ28&gt;=PROGRESS!$BJ$27,PROGRESS!$BJ$27&lt;&gt;0),EN153+1,0)</f>
        <v>0</v>
      </c>
      <c r="EO152" s="1795">
        <f>IF(AND(ACTIONS!BR28&gt;=PROGRESS!$BJ$28,PROGRESS!$BJ$28&lt;&gt;0),EO153+1,0)</f>
        <v>0</v>
      </c>
      <c r="EP152" s="1795">
        <f>IF(AND(ACTIONS!BS28&gt;=PROGRESS!$BJ$29,PROGRESS!$BJ$29&lt;&gt;0),EP153+1,0)</f>
        <v>0</v>
      </c>
      <c r="EQ152" s="1795">
        <f>IF(AND(ACTIONS!BT28&gt;=PROGRESS!$BJ$30,PROGRESS!$BJ$30&lt;&gt;0),EQ153+1,0)</f>
        <v>0</v>
      </c>
      <c r="ER152" s="1795">
        <f>IF(AND(ACTIONS!BU28&gt;=PROGRESS!$BJ$31,PROGRESS!$BJ$31&lt;&gt;0),ER153+1,0)</f>
        <v>0</v>
      </c>
      <c r="ES152" s="1795">
        <f>IF(AND(ACTIONS!BV28&gt;=PROGRESS!$BJ$32,PROGRESS!$BJ$32&lt;&gt;0),ES153+1,0)</f>
        <v>0</v>
      </c>
      <c r="ET152" s="1795">
        <f>IF(AND(ACTIONS!BW28&gt;=PROGRESS!$BJ$33,PROGRESS!$BJ$33&lt;&gt;0),ET153+1,0)</f>
        <v>0</v>
      </c>
      <c r="EU152" s="1795">
        <f>IF(AND(ACTIONS!BX28&gt;=PROGRESS!$BJ$34,PROGRESS!$BJ$34&lt;&gt;0),EU153+1,0)</f>
        <v>0</v>
      </c>
      <c r="EV152" s="1795">
        <f>IF(AND(ACTIONS!BY28&gt;=PROGRESS!$BJ$35,PROGRESS!$BJ$35&lt;&gt;0),EV153+1,0)</f>
        <v>0</v>
      </c>
      <c r="FV152" s="2636"/>
      <c r="FW152" s="2636"/>
      <c r="FX152" s="2636"/>
      <c r="FY152" s="2636"/>
      <c r="FZ152" s="2636"/>
      <c r="GA152" s="2636"/>
      <c r="GB152" s="2636"/>
      <c r="GC152" s="2636"/>
      <c r="GD152" s="2636"/>
      <c r="GE152" s="2636"/>
      <c r="GF152" s="2636"/>
      <c r="GG152" s="2636"/>
      <c r="GH152" s="2636"/>
      <c r="GI152" s="2636"/>
      <c r="GJ152" s="2636"/>
      <c r="GK152" s="2636"/>
      <c r="GL152" s="2636"/>
      <c r="GM152" s="2636"/>
      <c r="GN152" s="2636"/>
      <c r="GO152" s="2636"/>
      <c r="GP152" s="2636"/>
      <c r="GQ152" s="2636"/>
      <c r="GR152" s="2636"/>
      <c r="GS152" s="2636"/>
      <c r="GT152" s="2636"/>
      <c r="GU152" s="2636"/>
      <c r="GV152" s="2636"/>
      <c r="GW152" s="2636"/>
      <c r="GX152" s="2636"/>
      <c r="GY152" s="2636"/>
      <c r="GZ152" s="2636"/>
      <c r="HA152" s="2636"/>
      <c r="HB152" s="2636"/>
      <c r="HC152" s="2636"/>
      <c r="HD152" s="2636"/>
      <c r="HE152" s="2636"/>
      <c r="HF152" s="2636"/>
      <c r="HG152" s="2636"/>
      <c r="HH152" s="2636"/>
      <c r="HI152" s="2636"/>
      <c r="HJ152" s="2636"/>
      <c r="HK152" s="2636"/>
      <c r="HL152" s="2636"/>
      <c r="HM152" s="2636"/>
      <c r="HN152" s="2636"/>
      <c r="IC152" s="1796"/>
      <c r="ID152" s="1796"/>
      <c r="IE152" s="1796"/>
      <c r="IF152" s="1796"/>
      <c r="IG152" s="1796"/>
      <c r="IH152" s="1796"/>
      <c r="II152" s="1796"/>
      <c r="IJ152" s="1796"/>
      <c r="IK152" s="1796"/>
      <c r="IL152" s="1796"/>
      <c r="IM152" s="1796"/>
      <c r="IN152" s="1796"/>
      <c r="IO152" s="1796"/>
      <c r="IP152" s="1796"/>
      <c r="IQ152" s="1796"/>
      <c r="IR152" s="1796"/>
      <c r="IS152" s="1796"/>
      <c r="IT152" s="1796"/>
      <c r="IU152" s="1796"/>
      <c r="IV152" s="1796"/>
      <c r="IW152" s="1796"/>
      <c r="IX152" s="1796"/>
      <c r="IY152" s="1796"/>
      <c r="JB152" s="1796"/>
      <c r="JC152" s="3043"/>
      <c r="JD152" s="3202" t="s">
        <v>1342</v>
      </c>
      <c r="JE152" s="3202" t="s">
        <v>1346</v>
      </c>
      <c r="JF152" s="3202" t="s">
        <v>1439</v>
      </c>
      <c r="JG152" s="3202" t="s">
        <v>1184</v>
      </c>
      <c r="JH152" s="3202" t="s">
        <v>1191</v>
      </c>
      <c r="JI152" s="3202" t="s">
        <v>1184</v>
      </c>
      <c r="JJ152" s="3202" t="s">
        <v>1185</v>
      </c>
      <c r="JK152" s="3202" t="s">
        <v>1186</v>
      </c>
      <c r="JL152" s="3191" t="s">
        <v>2168</v>
      </c>
      <c r="JM152" s="3191" t="s">
        <v>2167</v>
      </c>
      <c r="JN152" s="1796"/>
      <c r="KS152" s="3046"/>
    </row>
    <row r="153" spans="10:309" ht="17.100000000000001" customHeight="1" x14ac:dyDescent="0.2">
      <c r="EB153" s="1829">
        <v>5</v>
      </c>
      <c r="EC153" s="1795">
        <f>IF(AND(ACTIONS!C29&gt;=PROGRESS!$Z$27, PROGRESS!$Z$27&lt;&gt;0),EC154+1,0)</f>
        <v>0</v>
      </c>
      <c r="ED153" s="1795">
        <f>IF(AND(ACTIONS!D29&gt;=PROGRESS!$Z$28, PROGRESS!$Z$28&lt;&gt;0),ED154+1,0)</f>
        <v>0</v>
      </c>
      <c r="EE153" s="1795">
        <f>IF(AND(ACTIONS!E29&gt;=PROGRESS!$Z$29, PROGRESS!$Z$29&lt;&gt;0),EE154+1,0)</f>
        <v>0</v>
      </c>
      <c r="EF153" s="1795">
        <f>IF(AND(ACTIONS!F29&gt;=PROGRESS!$Z$30, PROGRESS!$Z$30&lt;&gt;0),EF154+1,0)</f>
        <v>0</v>
      </c>
      <c r="EG153" s="1795">
        <f>IF(AND(ACTIONS!G29&gt;=PROGRESS!$Z$31, PROGRESS!$Z$31&lt;&gt;0),EG154+1,0)</f>
        <v>0</v>
      </c>
      <c r="EH153" s="1795">
        <f>IF(AND(ACTIONS!H29&gt;=PROGRESS!$Z$32, PROGRESS!$Z$32&lt;&gt;0),EH154+1,0)</f>
        <v>0</v>
      </c>
      <c r="EI153" s="1795">
        <f>IF(AND(ACTIONS!I29&gt;=PROGRESS!$Z$33,PROGRESS!$Z$33&lt;&gt;0),EI154+1,0)</f>
        <v>0</v>
      </c>
      <c r="EJ153" s="1795">
        <f>IF(AND(ACTIONS!J29&gt;=PROGRESS!$Z$34, PROGRESS!$Z$34&lt;&gt;0),EJ154+1,0)</f>
        <v>0</v>
      </c>
      <c r="EK153" s="1795">
        <f>IF(AND(ACTIONS!K29&gt;=PROGRESS!$Z$35,PROGRESS!$Z$35&lt;&gt;0),EK154+1,0)</f>
        <v>0</v>
      </c>
      <c r="EM153" s="1829">
        <v>5</v>
      </c>
      <c r="EN153" s="1795">
        <f>IF(AND(ACTIONS!BQ29&gt;=PROGRESS!$BJ$27,PROGRESS!$BJ$27&lt;&gt;0),EN154+1,0)</f>
        <v>0</v>
      </c>
      <c r="EO153" s="1795">
        <f>IF(AND(ACTIONS!BR29&gt;=PROGRESS!$BJ$28,PROGRESS!$BJ$28&lt;&gt;0),EO154+1,0)</f>
        <v>0</v>
      </c>
      <c r="EP153" s="1795">
        <f>IF(AND(ACTIONS!BS29&gt;=PROGRESS!$BJ$29,PROGRESS!$BJ$29&lt;&gt;0),EP154+1,0)</f>
        <v>0</v>
      </c>
      <c r="EQ153" s="1795">
        <f>IF(AND(ACTIONS!BT29&gt;=PROGRESS!$BJ$30,PROGRESS!$BJ$30&lt;&gt;0),EQ154+1,0)</f>
        <v>0</v>
      </c>
      <c r="ER153" s="1795">
        <f>IF(AND(ACTIONS!BU29&gt;=PROGRESS!$BJ$31,PROGRESS!$BJ$31&lt;&gt;0),ER154+1,0)</f>
        <v>0</v>
      </c>
      <c r="ES153" s="1795">
        <f>IF(AND(ACTIONS!BV29&gt;=PROGRESS!$BJ$32,PROGRESS!$BJ$32&lt;&gt;0),ES154+1,0)</f>
        <v>0</v>
      </c>
      <c r="ET153" s="1795">
        <f>IF(AND(ACTIONS!BW29&gt;=PROGRESS!$BJ$33,PROGRESS!$BJ$33&lt;&gt;0),ET154+1,0)</f>
        <v>0</v>
      </c>
      <c r="EU153" s="1795">
        <f>IF(AND(ACTIONS!BX29&gt;=PROGRESS!$BJ$34,PROGRESS!$BJ$34&lt;&gt;0),EU154+1,0)</f>
        <v>0</v>
      </c>
      <c r="EV153" s="1795">
        <f>IF(AND(ACTIONS!BY29&gt;=PROGRESS!$BJ$35,PROGRESS!$BJ$35&lt;&gt;0),EV154+1,0)</f>
        <v>0</v>
      </c>
      <c r="FV153" s="2636"/>
      <c r="FW153" s="2636"/>
      <c r="FX153" s="2636"/>
      <c r="FY153" s="2636"/>
      <c r="FZ153" s="2636"/>
      <c r="GA153" s="2636"/>
      <c r="GB153" s="2636"/>
      <c r="GC153" s="2636"/>
      <c r="GD153" s="2636"/>
      <c r="GE153" s="2636"/>
      <c r="GF153" s="2636"/>
      <c r="GG153" s="2636"/>
      <c r="GH153" s="2636"/>
      <c r="GI153" s="2636"/>
      <c r="GJ153" s="2636"/>
      <c r="GK153" s="2636"/>
      <c r="GL153" s="2636"/>
      <c r="GM153" s="2636"/>
      <c r="GN153" s="2636"/>
      <c r="GO153" s="2636"/>
      <c r="GP153" s="2636"/>
      <c r="GQ153" s="2636"/>
      <c r="GR153" s="2636"/>
      <c r="GS153" s="2636"/>
      <c r="GT153" s="2636"/>
      <c r="GU153" s="2636"/>
      <c r="GV153" s="2636"/>
      <c r="GW153" s="2636"/>
      <c r="GX153" s="2636"/>
      <c r="GY153" s="2636"/>
      <c r="GZ153" s="2636"/>
      <c r="HA153" s="2636"/>
      <c r="HB153" s="2636"/>
      <c r="HC153" s="2636"/>
      <c r="HD153" s="2636"/>
      <c r="HE153" s="2636"/>
      <c r="HF153" s="2636"/>
      <c r="HG153" s="2636"/>
      <c r="HH153" s="2636"/>
      <c r="HI153" s="2636"/>
      <c r="HJ153" s="2636"/>
      <c r="HK153" s="2636"/>
      <c r="HL153" s="2636"/>
      <c r="HM153" s="2636"/>
      <c r="HN153" s="2636"/>
      <c r="IC153" s="1796"/>
      <c r="ID153" s="1796"/>
      <c r="IE153" s="1796"/>
      <c r="IF153" s="1796"/>
      <c r="IG153" s="1796"/>
      <c r="IH153" s="1796"/>
      <c r="II153" s="1796"/>
      <c r="IJ153" s="1796"/>
      <c r="IK153" s="1796"/>
      <c r="IL153" s="1796"/>
      <c r="IM153" s="1796"/>
      <c r="IN153" s="1796"/>
      <c r="IO153" s="1796"/>
      <c r="IP153" s="1796"/>
      <c r="IQ153" s="1796"/>
      <c r="IR153" s="1796"/>
      <c r="IS153" s="1796"/>
      <c r="IT153" s="1796"/>
      <c r="IU153" s="1796"/>
      <c r="IV153" s="1796"/>
      <c r="IW153" s="1796"/>
      <c r="IX153" s="1796"/>
      <c r="IY153" s="1796"/>
      <c r="JB153" s="1796"/>
      <c r="JC153" s="3043"/>
      <c r="JD153" s="3202" t="s">
        <v>1343</v>
      </c>
      <c r="JE153" s="3202" t="s">
        <v>1347</v>
      </c>
      <c r="JF153" s="3202" t="s">
        <v>1440</v>
      </c>
      <c r="JG153" s="3202" t="s">
        <v>1185</v>
      </c>
      <c r="JH153" s="3202" t="s">
        <v>1192</v>
      </c>
      <c r="JI153" s="3202" t="s">
        <v>1443</v>
      </c>
      <c r="JJ153" s="3202" t="s">
        <v>1444</v>
      </c>
      <c r="JK153" s="3202" t="s">
        <v>1445</v>
      </c>
      <c r="JL153" s="3202" t="s">
        <v>1446</v>
      </c>
      <c r="JM153" s="3202" t="s">
        <v>1447</v>
      </c>
      <c r="JN153" s="1796"/>
      <c r="KS153" s="3046"/>
      <c r="KV153" s="3046"/>
      <c r="KW153" s="3047"/>
    </row>
    <row r="154" spans="10:309" ht="17.100000000000001" customHeight="1" x14ac:dyDescent="0.2">
      <c r="EB154" s="1829">
        <v>4</v>
      </c>
      <c r="EC154" s="1795">
        <f>IF(AND(ACTIONS!C30&gt;=PROGRESS!$Z$27, PROGRESS!$Z$27&lt;&gt;0),EC155+1,0)</f>
        <v>0</v>
      </c>
      <c r="ED154" s="1795">
        <f>IF(AND(ACTIONS!D30&gt;=PROGRESS!$Z$28, PROGRESS!$Z$28&lt;&gt;0),ED155+1,0)</f>
        <v>0</v>
      </c>
      <c r="EE154" s="1795">
        <f>IF(AND(ACTIONS!E30&gt;=PROGRESS!$Z$29, PROGRESS!$Z$29&lt;&gt;0),EE155+1,0)</f>
        <v>0</v>
      </c>
      <c r="EF154" s="1795">
        <f>IF(AND(ACTIONS!F30&gt;=PROGRESS!$Z$30, PROGRESS!$Z$30&lt;&gt;0),EF155+1,0)</f>
        <v>0</v>
      </c>
      <c r="EG154" s="1795">
        <f>IF(AND(ACTIONS!G30&gt;=PROGRESS!$Z$31, PROGRESS!$Z$31&lt;&gt;0),EG155+1,0)</f>
        <v>0</v>
      </c>
      <c r="EH154" s="1795">
        <f>IF(AND(ACTIONS!H30&gt;=PROGRESS!$Z$32, PROGRESS!$Z$32&lt;&gt;0),EH155+1,0)</f>
        <v>0</v>
      </c>
      <c r="EI154" s="1795">
        <f>IF(AND(ACTIONS!I30&gt;=PROGRESS!$Z$33,PROGRESS!$Z$33&lt;&gt;0),EI155+1,0)</f>
        <v>0</v>
      </c>
      <c r="EJ154" s="1795">
        <f>IF(AND(ACTIONS!J30&gt;=PROGRESS!$Z$34, PROGRESS!$Z$34&lt;&gt;0),EJ155+1,0)</f>
        <v>0</v>
      </c>
      <c r="EK154" s="1795">
        <f>IF(AND(ACTIONS!K30&gt;=PROGRESS!$Z$35,PROGRESS!$Z$35&lt;&gt;0),EK155+1,0)</f>
        <v>0</v>
      </c>
      <c r="EM154" s="1829">
        <v>4</v>
      </c>
      <c r="EN154" s="1795">
        <f>IF(AND(ACTIONS!BQ30&gt;=PROGRESS!$BJ$27,PROGRESS!$BJ$27&lt;&gt;0),EN155+1,0)</f>
        <v>0</v>
      </c>
      <c r="EO154" s="1795">
        <f>IF(AND(ACTIONS!BR30&gt;=PROGRESS!$BJ$28,PROGRESS!$BJ$28&lt;&gt;0),EO155+1,0)</f>
        <v>0</v>
      </c>
      <c r="EP154" s="1795">
        <f>IF(AND(ACTIONS!BS30&gt;=PROGRESS!$BJ$29,PROGRESS!$BJ$29&lt;&gt;0),EP155+1,0)</f>
        <v>0</v>
      </c>
      <c r="EQ154" s="1795">
        <f>IF(AND(ACTIONS!BT30&gt;=PROGRESS!$BJ$30,PROGRESS!$BJ$30&lt;&gt;0),EQ155+1,0)</f>
        <v>0</v>
      </c>
      <c r="ER154" s="1795">
        <f>IF(AND(ACTIONS!BU30&gt;=PROGRESS!$BJ$31,PROGRESS!$BJ$31&lt;&gt;0),ER155+1,0)</f>
        <v>0</v>
      </c>
      <c r="ES154" s="1795">
        <f>IF(AND(ACTIONS!BV30&gt;=PROGRESS!$BJ$32,PROGRESS!$BJ$32&lt;&gt;0),ES155+1,0)</f>
        <v>0</v>
      </c>
      <c r="ET154" s="1795">
        <f>IF(AND(ACTIONS!BW30&gt;=PROGRESS!$BJ$33,PROGRESS!$BJ$33&lt;&gt;0),ET155+1,0)</f>
        <v>0</v>
      </c>
      <c r="EU154" s="1795">
        <f>IF(AND(ACTIONS!BX30&gt;=PROGRESS!$BJ$34,PROGRESS!$BJ$34&lt;&gt;0),EU155+1,0)</f>
        <v>0</v>
      </c>
      <c r="EV154" s="1795">
        <f>IF(AND(ACTIONS!BY30&gt;=PROGRESS!$BJ$35,PROGRESS!$BJ$35&lt;&gt;0),EV155+1,0)</f>
        <v>0</v>
      </c>
      <c r="FV154" s="2636"/>
      <c r="FW154" s="2636"/>
      <c r="FX154" s="2636"/>
      <c r="FY154" s="2636"/>
      <c r="FZ154" s="2636"/>
      <c r="GA154" s="2636"/>
      <c r="GB154" s="2636"/>
      <c r="GC154" s="2636"/>
      <c r="GD154" s="2636"/>
      <c r="GE154" s="2636"/>
      <c r="GF154" s="2636"/>
      <c r="GG154" s="2636"/>
      <c r="GH154" s="2636"/>
      <c r="GI154" s="2636"/>
      <c r="GJ154" s="2636"/>
      <c r="GK154" s="2636"/>
      <c r="GL154" s="2636"/>
      <c r="GM154" s="2636"/>
      <c r="GN154" s="2636"/>
      <c r="GO154" s="2636"/>
      <c r="GP154" s="2636"/>
      <c r="GQ154" s="2636"/>
      <c r="GR154" s="2636"/>
      <c r="GS154" s="2636"/>
      <c r="GT154" s="2636"/>
      <c r="GU154" s="2636"/>
      <c r="GV154" s="2636"/>
      <c r="GW154" s="2636"/>
      <c r="GX154" s="2636"/>
      <c r="GY154" s="2636"/>
      <c r="GZ154" s="2636"/>
      <c r="HA154" s="2636"/>
      <c r="HB154" s="2636"/>
      <c r="HC154" s="2636"/>
      <c r="HD154" s="2636"/>
      <c r="HE154" s="2636"/>
      <c r="HF154" s="2636"/>
      <c r="HG154" s="2636"/>
      <c r="HH154" s="2636"/>
      <c r="HI154" s="2636"/>
      <c r="HJ154" s="2636"/>
      <c r="HK154" s="2636"/>
      <c r="HL154" s="2636"/>
      <c r="HM154" s="2636"/>
      <c r="HN154" s="2636"/>
      <c r="IC154" s="1796"/>
      <c r="ID154" s="1796"/>
      <c r="IE154" s="1796"/>
      <c r="IF154" s="1796"/>
      <c r="IG154" s="1796"/>
      <c r="IH154" s="1796"/>
      <c r="II154" s="1796"/>
      <c r="IJ154" s="1796"/>
      <c r="IK154" s="1796"/>
      <c r="IL154" s="1796"/>
      <c r="IM154" s="1796"/>
      <c r="IN154" s="1796"/>
      <c r="IO154" s="1796"/>
      <c r="IP154" s="1796"/>
      <c r="IQ154" s="1796"/>
      <c r="IR154" s="1796"/>
      <c r="IS154" s="1796"/>
      <c r="IT154" s="1796"/>
      <c r="IU154" s="1796"/>
      <c r="IV154" s="1796"/>
      <c r="IW154" s="1796"/>
      <c r="IX154" s="1796"/>
      <c r="IY154" s="1796"/>
      <c r="JB154" s="1796"/>
      <c r="JC154" s="3043"/>
      <c r="JD154" s="3202" t="s">
        <v>1344</v>
      </c>
      <c r="JE154" s="3202" t="s">
        <v>1348</v>
      </c>
      <c r="JF154" s="3202" t="s">
        <v>1441</v>
      </c>
      <c r="JG154" s="3202" t="s">
        <v>1186</v>
      </c>
      <c r="JH154" s="3202" t="s">
        <v>1193</v>
      </c>
      <c r="JI154" s="3202" t="s">
        <v>1345</v>
      </c>
      <c r="JJ154" s="3202" t="s">
        <v>1349</v>
      </c>
      <c r="JK154" s="3202" t="s">
        <v>1442</v>
      </c>
      <c r="JL154" s="3202" t="s">
        <v>1187</v>
      </c>
      <c r="JM154" s="3202" t="s">
        <v>1194</v>
      </c>
      <c r="JN154" s="1796"/>
      <c r="KS154" s="3046"/>
      <c r="KV154" s="3046"/>
      <c r="KW154" s="3047"/>
    </row>
    <row r="155" spans="10:309" ht="17.100000000000001" customHeight="1" x14ac:dyDescent="0.2">
      <c r="EB155" s="1829">
        <v>3</v>
      </c>
      <c r="EC155" s="1795">
        <f>IF(AND(ACTIONS!C31&gt;=PROGRESS!$Z$27, PROGRESS!$Z$27&lt;&gt;0),EC156+1,0)</f>
        <v>0</v>
      </c>
      <c r="ED155" s="1795">
        <f>IF(AND(ACTIONS!D31&gt;=PROGRESS!$Z$28, PROGRESS!$Z$28&lt;&gt;0),ED156+1,0)</f>
        <v>0</v>
      </c>
      <c r="EE155" s="1795">
        <f>IF(AND(ACTIONS!E31&gt;=PROGRESS!$Z$29, PROGRESS!$Z$29&lt;&gt;0),EE156+1,0)</f>
        <v>0</v>
      </c>
      <c r="EF155" s="1795">
        <f>IF(AND(ACTIONS!F31&gt;=PROGRESS!$Z$30, PROGRESS!$Z$30&lt;&gt;0),EF156+1,0)</f>
        <v>0</v>
      </c>
      <c r="EG155" s="1795">
        <f>IF(AND(ACTIONS!G31&gt;=PROGRESS!$Z$31, PROGRESS!$Z$31&lt;&gt;0),EG156+1,0)</f>
        <v>0</v>
      </c>
      <c r="EH155" s="1795">
        <f>IF(AND(ACTIONS!H31&gt;=PROGRESS!$Z$32, PROGRESS!$Z$32&lt;&gt;0),EH156+1,0)</f>
        <v>0</v>
      </c>
      <c r="EI155" s="1795">
        <f>IF(AND(ACTIONS!I31&gt;=PROGRESS!$Z$33,PROGRESS!$Z$33&lt;&gt;0),EI156+1,0)</f>
        <v>0</v>
      </c>
      <c r="EJ155" s="1795">
        <f>IF(AND(ACTIONS!J31&gt;=PROGRESS!$Z$34, PROGRESS!$Z$34&lt;&gt;0),EJ156+1,0)</f>
        <v>0</v>
      </c>
      <c r="EK155" s="1795">
        <f>IF(AND(ACTIONS!K31&gt;=PROGRESS!$Z$35,PROGRESS!$Z$35&lt;&gt;0),EK156+1,0)</f>
        <v>0</v>
      </c>
      <c r="EM155" s="1829">
        <v>3</v>
      </c>
      <c r="EN155" s="1795">
        <f>IF(AND(ACTIONS!BQ31&gt;=PROGRESS!$BJ$27,PROGRESS!$BJ$27&lt;&gt;0),EN156+1,0)</f>
        <v>0</v>
      </c>
      <c r="EO155" s="1795">
        <f>IF(AND(ACTIONS!BR31&gt;=PROGRESS!$BJ$28,PROGRESS!$BJ$28&lt;&gt;0),EO156+1,0)</f>
        <v>0</v>
      </c>
      <c r="EP155" s="1795">
        <f>IF(AND(ACTIONS!BS31&gt;=PROGRESS!$BJ$29,PROGRESS!$BJ$29&lt;&gt;0),EP156+1,0)</f>
        <v>0</v>
      </c>
      <c r="EQ155" s="1795">
        <f>IF(AND(ACTIONS!BT31&gt;=PROGRESS!$BJ$30,PROGRESS!$BJ$30&lt;&gt;0),EQ156+1,0)</f>
        <v>0</v>
      </c>
      <c r="ER155" s="1795">
        <f>IF(AND(ACTIONS!BU31&gt;=PROGRESS!$BJ$31,PROGRESS!$BJ$31&lt;&gt;0),ER156+1,0)</f>
        <v>0</v>
      </c>
      <c r="ES155" s="1795">
        <f>IF(AND(ACTIONS!BV31&gt;=PROGRESS!$BJ$32,PROGRESS!$BJ$32&lt;&gt;0),ES156+1,0)</f>
        <v>0</v>
      </c>
      <c r="ET155" s="1795">
        <f>IF(AND(ACTIONS!BW31&gt;=PROGRESS!$BJ$33,PROGRESS!$BJ$33&lt;&gt;0),ET156+1,0)</f>
        <v>0</v>
      </c>
      <c r="EU155" s="1795">
        <f>IF(AND(ACTIONS!BX31&gt;=PROGRESS!$BJ$34,PROGRESS!$BJ$34&lt;&gt;0),EU156+1,0)</f>
        <v>0</v>
      </c>
      <c r="EV155" s="1795">
        <f>IF(AND(ACTIONS!BY31&gt;=PROGRESS!$BJ$35,PROGRESS!$BJ$35&lt;&gt;0),EV156+1,0)</f>
        <v>0</v>
      </c>
      <c r="FV155" s="2636"/>
      <c r="FW155" s="2636"/>
      <c r="FX155" s="2636"/>
      <c r="FY155" s="2636"/>
      <c r="FZ155" s="2636"/>
      <c r="GA155" s="2636"/>
      <c r="GB155" s="2636"/>
      <c r="GC155" s="2636"/>
      <c r="GD155" s="2636"/>
      <c r="GE155" s="2636"/>
      <c r="GF155" s="2636"/>
      <c r="GG155" s="2636"/>
      <c r="GH155" s="2636"/>
      <c r="GI155" s="2636"/>
      <c r="GJ155" s="2636"/>
      <c r="GK155" s="2636"/>
      <c r="GL155" s="2636"/>
      <c r="GM155" s="2636"/>
      <c r="GN155" s="2636"/>
      <c r="GO155" s="2636"/>
      <c r="GP155" s="2636"/>
      <c r="GQ155" s="2636"/>
      <c r="GR155" s="2636"/>
      <c r="GS155" s="2636"/>
      <c r="GT155" s="2636"/>
      <c r="GU155" s="2636"/>
      <c r="GV155" s="2636"/>
      <c r="GW155" s="2636"/>
      <c r="GX155" s="2636"/>
      <c r="GY155" s="2636"/>
      <c r="GZ155" s="2636"/>
      <c r="HA155" s="2636"/>
      <c r="HB155" s="2636"/>
      <c r="HC155" s="2636"/>
      <c r="HD155" s="2636"/>
      <c r="HE155" s="2636"/>
      <c r="HF155" s="2636"/>
      <c r="HG155" s="2636"/>
      <c r="HH155" s="2636"/>
      <c r="HI155" s="2636"/>
      <c r="HJ155" s="2636"/>
      <c r="HK155" s="2636"/>
      <c r="HL155" s="2636"/>
      <c r="HM155" s="2636"/>
      <c r="HN155" s="2636"/>
      <c r="IC155" s="1796"/>
      <c r="ID155" s="1796"/>
      <c r="IE155" s="1796"/>
      <c r="IF155" s="1796"/>
      <c r="IG155" s="1796"/>
      <c r="IH155" s="1796"/>
      <c r="II155" s="1796"/>
      <c r="IJ155" s="1796"/>
      <c r="IK155" s="1796"/>
      <c r="IL155" s="1796"/>
      <c r="IM155" s="1796"/>
      <c r="IN155" s="1796"/>
      <c r="IO155" s="1796"/>
      <c r="IP155" s="1796"/>
      <c r="IQ155" s="1796"/>
      <c r="IR155" s="1796"/>
      <c r="IS155" s="1796"/>
      <c r="IT155" s="1796"/>
      <c r="IU155" s="1796"/>
      <c r="IV155" s="1796"/>
      <c r="IW155" s="1796"/>
      <c r="IX155" s="1796"/>
      <c r="IY155" s="1796"/>
      <c r="JB155" s="1796"/>
      <c r="JC155" s="3043"/>
      <c r="JD155" s="3199" t="s">
        <v>1724</v>
      </c>
      <c r="JE155" s="3199" t="s">
        <v>1724</v>
      </c>
      <c r="JF155" s="3200" t="s">
        <v>1718</v>
      </c>
      <c r="JG155" s="3200" t="s">
        <v>1718</v>
      </c>
      <c r="JH155" s="3200" t="s">
        <v>1717</v>
      </c>
      <c r="JI155" s="3200" t="s">
        <v>1717</v>
      </c>
      <c r="JJ155" s="3201" t="s">
        <v>1719</v>
      </c>
      <c r="JK155" s="3201" t="s">
        <v>1719</v>
      </c>
      <c r="JL155" s="3201" t="s">
        <v>1719</v>
      </c>
      <c r="JM155" s="3201" t="s">
        <v>1719</v>
      </c>
      <c r="JN155" s="1796"/>
      <c r="KS155" s="3046"/>
      <c r="KV155" s="3046"/>
      <c r="KW155" s="3047"/>
    </row>
    <row r="156" spans="10:309" ht="17.100000000000001" customHeight="1" x14ac:dyDescent="0.2">
      <c r="EB156" s="1829">
        <v>2</v>
      </c>
      <c r="EC156" s="1795">
        <f>IF(AND(ACTIONS!C32&gt;=PROGRESS!$Z$27, PROGRESS!$Z$27&lt;&gt;0),EC157+1,0)</f>
        <v>0</v>
      </c>
      <c r="ED156" s="1795">
        <f>IF(AND(ACTIONS!D32&gt;=PROGRESS!$Z$28, PROGRESS!$Z$28&lt;&gt;0),ED157+1,0)</f>
        <v>0</v>
      </c>
      <c r="EE156" s="1795">
        <f>IF(AND(ACTIONS!E32&gt;=PROGRESS!$Z$29, PROGRESS!$Z$29&lt;&gt;0),EE157+1,0)</f>
        <v>0</v>
      </c>
      <c r="EF156" s="1795">
        <f>IF(AND(ACTIONS!F32&gt;=PROGRESS!$Z$30, PROGRESS!$Z$30&lt;&gt;0),EF157+1,0)</f>
        <v>0</v>
      </c>
      <c r="EG156" s="1795">
        <f>IF(AND(ACTIONS!G32&gt;=PROGRESS!$Z$31, PROGRESS!$Z$31&lt;&gt;0),EG157+1,0)</f>
        <v>0</v>
      </c>
      <c r="EH156" s="1795">
        <f>IF(AND(ACTIONS!H32&gt;=PROGRESS!$Z$32, PROGRESS!$Z$32&lt;&gt;0),EH157+1,0)</f>
        <v>0</v>
      </c>
      <c r="EI156" s="1795">
        <f>IF(AND(ACTIONS!I32&gt;=PROGRESS!$Z$33,PROGRESS!$Z$33&lt;&gt;0),EI157+1,0)</f>
        <v>0</v>
      </c>
      <c r="EJ156" s="1795">
        <f>IF(AND(ACTIONS!J32&gt;=PROGRESS!$Z$34, PROGRESS!$Z$34&lt;&gt;0),EJ157+1,0)</f>
        <v>0</v>
      </c>
      <c r="EK156" s="1795">
        <f>IF(AND(ACTIONS!K32&gt;=PROGRESS!$Z$35,PROGRESS!$Z$35&lt;&gt;0),EK157+1,0)</f>
        <v>0</v>
      </c>
      <c r="EM156" s="1829">
        <v>2</v>
      </c>
      <c r="EN156" s="1795">
        <f>IF(AND(ACTIONS!BQ32&gt;=PROGRESS!$BJ$27,PROGRESS!$BJ$27&lt;&gt;0),EN157+1,0)</f>
        <v>0</v>
      </c>
      <c r="EO156" s="1795">
        <f>IF(AND(ACTIONS!BR32&gt;=PROGRESS!$BJ$28,PROGRESS!$BJ$28&lt;&gt;0),EO157+1,0)</f>
        <v>0</v>
      </c>
      <c r="EP156" s="1795">
        <f>IF(AND(ACTIONS!BS32&gt;=PROGRESS!$BJ$29,PROGRESS!$BJ$29&lt;&gt;0),EP157+1,0)</f>
        <v>0</v>
      </c>
      <c r="EQ156" s="1795">
        <f>IF(AND(ACTIONS!BT32&gt;=PROGRESS!$BJ$30,PROGRESS!$BJ$30&lt;&gt;0),EQ157+1,0)</f>
        <v>0</v>
      </c>
      <c r="ER156" s="1795">
        <f>IF(AND(ACTIONS!BU32&gt;=PROGRESS!$BJ$31,PROGRESS!$BJ$31&lt;&gt;0),ER157+1,0)</f>
        <v>0</v>
      </c>
      <c r="ES156" s="1795">
        <f>IF(AND(ACTIONS!BV32&gt;=PROGRESS!$BJ$32,PROGRESS!$BJ$32&lt;&gt;0),ES157+1,0)</f>
        <v>0</v>
      </c>
      <c r="ET156" s="1795">
        <f>IF(AND(ACTIONS!BW32&gt;=PROGRESS!$BJ$33,PROGRESS!$BJ$33&lt;&gt;0),ET157+1,0)</f>
        <v>0</v>
      </c>
      <c r="EU156" s="1795">
        <f>IF(AND(ACTIONS!BX32&gt;=PROGRESS!$BJ$34,PROGRESS!$BJ$34&lt;&gt;0),EU157+1,0)</f>
        <v>0</v>
      </c>
      <c r="EV156" s="1795">
        <f>IF(AND(ACTIONS!BY32&gt;=PROGRESS!$BJ$35,PROGRESS!$BJ$35&lt;&gt;0),EV157+1,0)</f>
        <v>0</v>
      </c>
      <c r="FV156" s="2636"/>
      <c r="FW156" s="2636"/>
      <c r="FX156" s="2636"/>
      <c r="FY156" s="2636"/>
      <c r="FZ156" s="2636"/>
      <c r="GA156" s="2636"/>
      <c r="GB156" s="2636"/>
      <c r="GC156" s="2636"/>
      <c r="GD156" s="2636"/>
      <c r="GE156" s="2636"/>
      <c r="GF156" s="2636"/>
      <c r="GG156" s="2636"/>
      <c r="GH156" s="2636"/>
      <c r="GI156" s="2636"/>
      <c r="GJ156" s="2636"/>
      <c r="GK156" s="2636"/>
      <c r="GL156" s="2636"/>
      <c r="GM156" s="2636"/>
      <c r="GN156" s="2636"/>
      <c r="GO156" s="2636"/>
      <c r="GP156" s="2636"/>
      <c r="GQ156" s="2636"/>
      <c r="GR156" s="2636"/>
      <c r="GS156" s="2636"/>
      <c r="GT156" s="2636"/>
      <c r="GU156" s="2636"/>
      <c r="GV156" s="2636"/>
      <c r="GW156" s="2636"/>
      <c r="GX156" s="2636"/>
      <c r="GY156" s="2636"/>
      <c r="GZ156" s="2636"/>
      <c r="HA156" s="2636"/>
      <c r="HB156" s="2636"/>
      <c r="HC156" s="2636"/>
      <c r="HD156" s="2636"/>
      <c r="HE156" s="2636"/>
      <c r="HF156" s="2636"/>
      <c r="HG156" s="2636"/>
      <c r="HH156" s="2636"/>
      <c r="HI156" s="2636"/>
      <c r="HJ156" s="2636"/>
      <c r="HK156" s="2636"/>
      <c r="HL156" s="2636"/>
      <c r="HM156" s="2636"/>
      <c r="HN156" s="2636"/>
      <c r="IC156" s="1796"/>
      <c r="ID156" s="1796"/>
      <c r="IE156" s="1796"/>
      <c r="IF156" s="1796"/>
      <c r="IG156" s="1796"/>
      <c r="IH156" s="1796"/>
      <c r="II156" s="1796"/>
      <c r="IJ156" s="1796"/>
      <c r="IK156" s="1796"/>
      <c r="IL156" s="1796"/>
      <c r="IM156" s="1796"/>
      <c r="IN156" s="1796"/>
      <c r="IO156" s="1796"/>
      <c r="IP156" s="1796"/>
      <c r="IQ156" s="1796"/>
      <c r="IR156" s="1796"/>
      <c r="IS156" s="1796"/>
      <c r="IT156" s="1796"/>
      <c r="IU156" s="1796"/>
      <c r="IV156" s="1796"/>
      <c r="IW156" s="1796"/>
      <c r="IX156" s="1796"/>
      <c r="IY156" s="1796"/>
      <c r="JB156" s="1796"/>
      <c r="JC156" s="3043"/>
      <c r="JD156" s="3197" t="s">
        <v>453</v>
      </c>
      <c r="JE156" s="3197" t="s">
        <v>453</v>
      </c>
      <c r="JF156" s="3197" t="s">
        <v>453</v>
      </c>
      <c r="JG156" s="3196" t="s">
        <v>452</v>
      </c>
      <c r="JH156" s="3196" t="s">
        <v>452</v>
      </c>
      <c r="JI156" s="3196" t="s">
        <v>452</v>
      </c>
      <c r="JJ156" s="3198" t="s">
        <v>1179</v>
      </c>
      <c r="JK156" s="3198" t="s">
        <v>1179</v>
      </c>
      <c r="JL156" s="3193" t="s">
        <v>1180</v>
      </c>
      <c r="JM156" s="3193" t="s">
        <v>1180</v>
      </c>
      <c r="JN156" s="1796"/>
      <c r="KS156" s="3046"/>
    </row>
    <row r="157" spans="10:309" ht="17.100000000000001" customHeight="1" x14ac:dyDescent="0.2">
      <c r="EB157" s="1829">
        <v>1</v>
      </c>
      <c r="EC157" s="1795">
        <f>IF(AND(ACTIONS!C33&gt;=PROGRESS!$Z$27, PROGRESS!$Z$27&lt;&gt;0),EC158+1,0)</f>
        <v>0</v>
      </c>
      <c r="ED157" s="1795">
        <f>IF(AND(ACTIONS!D33&gt;=PROGRESS!$Z$28, PROGRESS!$Z$28&lt;&gt;0),ED158+1,0)</f>
        <v>0</v>
      </c>
      <c r="EE157" s="1795">
        <f>IF(AND(ACTIONS!E33&gt;=PROGRESS!$Z$29, PROGRESS!$Z$29&lt;&gt;0),EE158+1,0)</f>
        <v>0</v>
      </c>
      <c r="EF157" s="1795">
        <f>IF(AND(ACTIONS!F33&gt;=PROGRESS!$Z$30, PROGRESS!$Z$30&lt;&gt;0),EF158+1,0)</f>
        <v>0</v>
      </c>
      <c r="EG157" s="1795">
        <f>IF(AND(ACTIONS!G33&gt;=PROGRESS!$Z$31, PROGRESS!$Z$31&lt;&gt;0),EG158+1,0)</f>
        <v>0</v>
      </c>
      <c r="EH157" s="1795">
        <f>IF(AND(ACTIONS!H33&gt;=PROGRESS!$Z$32, PROGRESS!$Z$32&lt;&gt;0),EH158+1,0)</f>
        <v>0</v>
      </c>
      <c r="EI157" s="1795">
        <f>IF(AND(ACTIONS!I33&gt;=PROGRESS!$Z$33,PROGRESS!$Z$33&lt;&gt;0),EI158+1,0)</f>
        <v>0</v>
      </c>
      <c r="EJ157" s="1795">
        <f>IF(AND(ACTIONS!J33&gt;=PROGRESS!$Z$34, PROGRESS!$Z$34&lt;&gt;0),EJ158+1,0)</f>
        <v>0</v>
      </c>
      <c r="EK157" s="1795">
        <f>IF(AND(ACTIONS!K33&gt;=PROGRESS!$Z$35,PROGRESS!$Z$35&lt;&gt;0),EK158+1,0)</f>
        <v>0</v>
      </c>
      <c r="EM157" s="1829">
        <v>1</v>
      </c>
      <c r="EN157" s="1795">
        <f>IF(AND(ACTIONS!BQ33&gt;=PROGRESS!$BJ$27,PROGRESS!$BJ$27&lt;&gt;0),EN158+1,0)</f>
        <v>0</v>
      </c>
      <c r="EO157" s="1795">
        <f>IF(AND(ACTIONS!BR33&gt;=PROGRESS!$BJ$28,PROGRESS!$BJ$28&lt;&gt;0),EO158+1,0)</f>
        <v>0</v>
      </c>
      <c r="EP157" s="1795">
        <f>IF(AND(ACTIONS!BS33&gt;=PROGRESS!$BJ$29,PROGRESS!$BJ$29&lt;&gt;0),EP158+1,0)</f>
        <v>0</v>
      </c>
      <c r="EQ157" s="1795">
        <f>IF(AND(ACTIONS!BT33&gt;=PROGRESS!$BJ$30,PROGRESS!$BJ$30&lt;&gt;0),EQ158+1,0)</f>
        <v>0</v>
      </c>
      <c r="ER157" s="1795">
        <f>IF(AND(ACTIONS!BU33&gt;=PROGRESS!$BJ$31,PROGRESS!$BJ$31&lt;&gt;0),ER158+1,0)</f>
        <v>0</v>
      </c>
      <c r="ES157" s="1795">
        <f>IF(AND(ACTIONS!BV33&gt;=PROGRESS!$BJ$32,PROGRESS!$BJ$32&lt;&gt;0),ES158+1,0)</f>
        <v>0</v>
      </c>
      <c r="ET157" s="1795">
        <f>IF(AND(ACTIONS!BW33&gt;=PROGRESS!$BJ$33,PROGRESS!$BJ$33&lt;&gt;0),ET158+1,0)</f>
        <v>0</v>
      </c>
      <c r="EU157" s="1795">
        <f>IF(AND(ACTIONS!BX33&gt;=PROGRESS!$BJ$34,PROGRESS!$BJ$34&lt;&gt;0),EU158+1,0)</f>
        <v>0</v>
      </c>
      <c r="EV157" s="1795">
        <f>IF(AND(ACTIONS!BY33&gt;=PROGRESS!$BJ$35,PROGRESS!$BJ$35&lt;&gt;0),EV158+1,0)</f>
        <v>0</v>
      </c>
      <c r="FV157" s="2636"/>
      <c r="FW157" s="2636"/>
      <c r="FX157" s="2636"/>
      <c r="FY157" s="2636"/>
      <c r="FZ157" s="2636"/>
      <c r="GA157" s="2636"/>
      <c r="GB157" s="2636"/>
      <c r="GC157" s="2636"/>
      <c r="GD157" s="2636"/>
      <c r="GE157" s="2636"/>
      <c r="GF157" s="2636"/>
      <c r="GG157" s="2636"/>
      <c r="GH157" s="2636"/>
      <c r="GI157" s="2636"/>
      <c r="GJ157" s="2636"/>
      <c r="GK157" s="2636"/>
      <c r="GL157" s="2636"/>
      <c r="GM157" s="2636"/>
      <c r="GN157" s="2636"/>
      <c r="GO157" s="2636"/>
      <c r="GP157" s="2636"/>
      <c r="GQ157" s="2636"/>
      <c r="GR157" s="2636"/>
      <c r="GS157" s="2636"/>
      <c r="GT157" s="2636"/>
      <c r="GU157" s="2636"/>
      <c r="GV157" s="2636"/>
      <c r="GW157" s="2636"/>
      <c r="GX157" s="2636"/>
      <c r="GY157" s="2636"/>
      <c r="GZ157" s="2636"/>
      <c r="HA157" s="2636"/>
      <c r="HB157" s="2636"/>
      <c r="HC157" s="2636"/>
      <c r="HD157" s="2636"/>
      <c r="HE157" s="2636"/>
      <c r="HF157" s="2636"/>
      <c r="HG157" s="2636"/>
      <c r="HH157" s="2636"/>
      <c r="HI157" s="2636"/>
      <c r="HJ157" s="2636"/>
      <c r="HK157" s="2636"/>
      <c r="HL157" s="2636"/>
      <c r="HM157" s="2636"/>
      <c r="HN157" s="2636"/>
      <c r="IC157" s="1796"/>
      <c r="ID157" s="1796"/>
      <c r="IE157" s="1796"/>
      <c r="IF157" s="1796"/>
      <c r="IG157" s="1796"/>
      <c r="IH157" s="1796"/>
      <c r="II157" s="1796"/>
      <c r="IJ157" s="1796"/>
      <c r="IK157" s="1796"/>
      <c r="IL157" s="1796"/>
      <c r="IM157" s="1796"/>
      <c r="IN157" s="1796"/>
      <c r="IO157" s="1796"/>
      <c r="IP157" s="1796"/>
      <c r="IQ157" s="1796"/>
      <c r="IR157" s="1796"/>
      <c r="IS157" s="1796"/>
      <c r="IT157" s="1796"/>
      <c r="IU157" s="1796"/>
      <c r="IV157" s="1796"/>
      <c r="IW157" s="1796"/>
      <c r="IX157" s="1796"/>
      <c r="IY157" s="1796"/>
      <c r="JB157" s="1796"/>
      <c r="JC157" s="3043"/>
      <c r="JD157" s="3194" t="s">
        <v>1805</v>
      </c>
      <c r="JE157" s="3194" t="s">
        <v>1805</v>
      </c>
      <c r="JF157" s="3194" t="s">
        <v>1805</v>
      </c>
      <c r="JG157" s="3194" t="s">
        <v>1805</v>
      </c>
      <c r="JH157" s="3194" t="s">
        <v>1805</v>
      </c>
      <c r="JI157" s="3195" t="s">
        <v>1804</v>
      </c>
      <c r="JJ157" s="3195" t="s">
        <v>1804</v>
      </c>
      <c r="JK157" s="3195" t="s">
        <v>1804</v>
      </c>
      <c r="JL157" s="3195" t="s">
        <v>1804</v>
      </c>
      <c r="JM157" s="3195" t="s">
        <v>1804</v>
      </c>
      <c r="JN157" s="1796"/>
      <c r="KS157" s="3046"/>
      <c r="KV157" s="3046"/>
      <c r="KW157" s="3047"/>
    </row>
    <row r="158" spans="10:309" ht="17.100000000000001" customHeight="1" x14ac:dyDescent="0.2">
      <c r="EB158" s="5143"/>
      <c r="EC158" s="1808">
        <f t="shared" ref="EC158:EH158" si="56">EC91</f>
        <v>0</v>
      </c>
      <c r="ED158" s="1808">
        <f t="shared" si="56"/>
        <v>0</v>
      </c>
      <c r="EE158" s="1808">
        <f t="shared" si="56"/>
        <v>0</v>
      </c>
      <c r="EF158" s="1808">
        <f t="shared" si="56"/>
        <v>0</v>
      </c>
      <c r="EG158" s="1808">
        <f t="shared" si="56"/>
        <v>0</v>
      </c>
      <c r="EH158" s="1808">
        <f t="shared" si="56"/>
        <v>0</v>
      </c>
      <c r="EI158" s="1808">
        <f>EI91</f>
        <v>0</v>
      </c>
      <c r="EJ158" s="1808">
        <f t="shared" ref="EJ158:EK158" si="57">EJ91</f>
        <v>0</v>
      </c>
      <c r="EK158" s="1808">
        <f t="shared" si="57"/>
        <v>0</v>
      </c>
      <c r="EM158" s="5143"/>
      <c r="EN158" s="1808">
        <f>EN91</f>
        <v>0</v>
      </c>
      <c r="EO158" s="1808">
        <f t="shared" ref="EO158:EV158" si="58">EO91</f>
        <v>0</v>
      </c>
      <c r="EP158" s="1808">
        <f t="shared" si="58"/>
        <v>0</v>
      </c>
      <c r="EQ158" s="1808">
        <f t="shared" si="58"/>
        <v>0</v>
      </c>
      <c r="ER158" s="1808">
        <f t="shared" si="58"/>
        <v>0</v>
      </c>
      <c r="ES158" s="1808">
        <f t="shared" si="58"/>
        <v>0</v>
      </c>
      <c r="ET158" s="1808">
        <f t="shared" si="58"/>
        <v>0</v>
      </c>
      <c r="EU158" s="1808">
        <f t="shared" si="58"/>
        <v>0</v>
      </c>
      <c r="EV158" s="1808">
        <f t="shared" si="58"/>
        <v>0</v>
      </c>
      <c r="FV158" s="2636"/>
      <c r="FW158" s="2636"/>
      <c r="FX158" s="2636"/>
      <c r="FY158" s="2636"/>
      <c r="FZ158" s="2636"/>
      <c r="GA158" s="2636"/>
      <c r="GB158" s="2636"/>
      <c r="GC158" s="2636"/>
      <c r="GD158" s="2636"/>
      <c r="GE158" s="2636"/>
      <c r="GF158" s="2636"/>
      <c r="GG158" s="2636"/>
      <c r="GH158" s="2636"/>
      <c r="GI158" s="2636"/>
      <c r="GJ158" s="2636"/>
      <c r="GK158" s="2636"/>
      <c r="GL158" s="2636"/>
      <c r="GM158" s="2636"/>
      <c r="GN158" s="2636"/>
      <c r="GO158" s="2636"/>
      <c r="GP158" s="2636"/>
      <c r="GQ158" s="2636"/>
      <c r="GR158" s="2636"/>
      <c r="GS158" s="2636"/>
      <c r="GT158" s="2636"/>
      <c r="GU158" s="2636"/>
      <c r="GV158" s="2636"/>
      <c r="GW158" s="2636"/>
      <c r="GX158" s="2636"/>
      <c r="GY158" s="2636"/>
      <c r="GZ158" s="2636"/>
      <c r="HA158" s="2636"/>
      <c r="HB158" s="2636"/>
      <c r="HC158" s="2636"/>
      <c r="HD158" s="2636"/>
      <c r="HE158" s="2636"/>
      <c r="HF158" s="2636"/>
      <c r="HG158" s="2636"/>
      <c r="HH158" s="2636"/>
      <c r="HI158" s="2636"/>
      <c r="HJ158" s="2636"/>
      <c r="HK158" s="2636"/>
      <c r="HL158" s="2636"/>
      <c r="HM158" s="2636"/>
      <c r="HN158" s="2636"/>
      <c r="IC158" s="1796"/>
      <c r="ID158" s="1796"/>
      <c r="IE158" s="1796"/>
      <c r="IF158" s="1796"/>
      <c r="IG158" s="1796"/>
      <c r="IH158" s="1796"/>
      <c r="II158" s="1796"/>
      <c r="IJ158" s="1796"/>
      <c r="IK158" s="1796"/>
      <c r="IL158" s="1796"/>
      <c r="IM158" s="1796"/>
      <c r="IN158" s="1796"/>
      <c r="IO158" s="1796"/>
      <c r="IP158" s="1796"/>
      <c r="IQ158" s="1796"/>
      <c r="IR158" s="1796"/>
      <c r="IS158" s="1796"/>
      <c r="IT158" s="1796"/>
      <c r="IU158" s="1796"/>
      <c r="IV158" s="1796"/>
      <c r="IW158" s="1796"/>
      <c r="IX158" s="1796"/>
      <c r="IY158" s="1796"/>
      <c r="JB158" s="1796"/>
      <c r="JC158" s="1796"/>
      <c r="JD158" s="1796"/>
      <c r="JE158" s="1796"/>
      <c r="JF158" s="1796"/>
      <c r="JG158" s="1796"/>
      <c r="JH158" s="1796"/>
      <c r="JI158" s="1796"/>
      <c r="JJ158" s="1796"/>
      <c r="JK158" s="1796"/>
      <c r="JL158" s="1796"/>
      <c r="JM158" s="1796"/>
      <c r="JN158" s="1796"/>
      <c r="KS158" s="3046"/>
      <c r="KV158" s="3046"/>
      <c r="KW158" s="3047"/>
    </row>
    <row r="159" spans="10:309" ht="17.100000000000001" customHeight="1" x14ac:dyDescent="0.2">
      <c r="EB159" s="5144"/>
      <c r="EM159" s="5144"/>
      <c r="EU159" s="1808"/>
      <c r="EV159" s="1808"/>
      <c r="FV159" s="2636"/>
      <c r="FW159" s="2636"/>
      <c r="FX159" s="2636"/>
      <c r="FY159" s="2636"/>
      <c r="FZ159" s="2636"/>
      <c r="GA159" s="2636"/>
      <c r="GB159" s="2636"/>
      <c r="GC159" s="2636"/>
      <c r="GD159" s="2636"/>
      <c r="GE159" s="2636"/>
      <c r="GF159" s="2636"/>
      <c r="GG159" s="2636"/>
      <c r="GH159" s="2636"/>
      <c r="GI159" s="2636"/>
      <c r="GJ159" s="2636"/>
      <c r="GK159" s="2636"/>
      <c r="GL159" s="2636"/>
      <c r="GM159" s="2636"/>
      <c r="GN159" s="2636"/>
      <c r="GO159" s="2636"/>
      <c r="GP159" s="2636"/>
      <c r="GQ159" s="2636"/>
      <c r="GR159" s="2636"/>
      <c r="GS159" s="2636"/>
      <c r="GT159" s="2636"/>
      <c r="GU159" s="2636"/>
      <c r="GV159" s="2636"/>
      <c r="GW159" s="2636"/>
      <c r="GX159" s="2636"/>
      <c r="GY159" s="2636"/>
      <c r="GZ159" s="2636"/>
      <c r="HA159" s="2636"/>
      <c r="HB159" s="2636"/>
      <c r="HC159" s="2636"/>
      <c r="HD159" s="2636"/>
      <c r="HE159" s="2636"/>
      <c r="HF159" s="2636"/>
      <c r="HG159" s="2636"/>
      <c r="HH159" s="2636"/>
      <c r="HI159" s="2636"/>
      <c r="HJ159" s="2636"/>
      <c r="HK159" s="2636"/>
      <c r="HL159" s="2636"/>
      <c r="HM159" s="2636"/>
      <c r="HN159" s="2636"/>
      <c r="IC159" s="1796"/>
      <c r="ID159" s="1796"/>
      <c r="IE159" s="1796"/>
      <c r="IF159" s="1796"/>
      <c r="IG159" s="1796"/>
      <c r="IH159" s="1796"/>
      <c r="II159" s="1796"/>
      <c r="IJ159" s="1796"/>
      <c r="IK159" s="1796"/>
      <c r="IL159" s="1796"/>
      <c r="IM159" s="1796"/>
      <c r="IN159" s="1796"/>
      <c r="IO159" s="1796"/>
      <c r="IP159" s="1796"/>
      <c r="IQ159" s="1796"/>
      <c r="IR159" s="1796"/>
      <c r="IS159" s="1796"/>
      <c r="IT159" s="1796"/>
      <c r="IU159" s="1796"/>
      <c r="IV159" s="1796"/>
      <c r="IW159" s="1796"/>
      <c r="IX159" s="1796"/>
      <c r="IY159" s="1796"/>
      <c r="JB159" s="1796"/>
      <c r="JC159" s="1796"/>
      <c r="JD159" s="1796"/>
      <c r="JE159" s="1796"/>
      <c r="JF159" s="1796"/>
      <c r="JG159" s="1796"/>
      <c r="JH159" s="1796"/>
      <c r="JI159" s="1796"/>
      <c r="JJ159" s="1796"/>
      <c r="JK159" s="1796"/>
      <c r="JL159" s="1796"/>
      <c r="JM159" s="1796"/>
      <c r="JN159" s="1796"/>
      <c r="KS159" s="3046"/>
    </row>
    <row r="160" spans="10:309" ht="17.100000000000001" customHeight="1" x14ac:dyDescent="0.2">
      <c r="EB160" s="5135" t="s">
        <v>514</v>
      </c>
      <c r="EC160" s="5136"/>
      <c r="ED160" s="5136"/>
      <c r="EE160" s="5136"/>
      <c r="EF160" s="5136"/>
      <c r="EG160" s="5136"/>
      <c r="EH160" s="5136"/>
      <c r="EI160" s="5136"/>
      <c r="EJ160" s="5136"/>
      <c r="EK160" s="5137"/>
      <c r="EM160" s="5135" t="s">
        <v>514</v>
      </c>
      <c r="EN160" s="5136"/>
      <c r="EO160" s="5136"/>
      <c r="EP160" s="5136"/>
      <c r="EQ160" s="5136"/>
      <c r="ER160" s="5136"/>
      <c r="ES160" s="5136"/>
      <c r="ET160" s="5136"/>
      <c r="EU160" s="5136"/>
      <c r="EV160" s="5137"/>
      <c r="FV160" s="2636"/>
      <c r="FW160" s="2636"/>
      <c r="FX160" s="2636"/>
      <c r="FY160" s="2636"/>
      <c r="FZ160" s="2636"/>
      <c r="GA160" s="2636"/>
      <c r="GB160" s="2636"/>
      <c r="GC160" s="2636"/>
      <c r="GD160" s="2636"/>
      <c r="GE160" s="2636"/>
      <c r="GF160" s="2636"/>
      <c r="GG160" s="2636"/>
      <c r="GH160" s="2636"/>
      <c r="GI160" s="2636"/>
      <c r="GJ160" s="2636"/>
      <c r="GK160" s="2636"/>
      <c r="GL160" s="2636"/>
      <c r="GM160" s="2636"/>
      <c r="GN160" s="2636"/>
      <c r="GO160" s="2636"/>
      <c r="GP160" s="2636"/>
      <c r="GQ160" s="2636"/>
      <c r="GR160" s="2636"/>
      <c r="GS160" s="2636"/>
      <c r="GT160" s="2636"/>
      <c r="GU160" s="2636"/>
      <c r="GV160" s="2636"/>
      <c r="GW160" s="2636"/>
      <c r="GX160" s="2636"/>
      <c r="GY160" s="2636"/>
      <c r="GZ160" s="2636"/>
      <c r="HA160" s="2636"/>
      <c r="HB160" s="2636"/>
      <c r="HC160" s="2636"/>
      <c r="HD160" s="2636"/>
      <c r="HE160" s="2636"/>
      <c r="HF160" s="2636"/>
      <c r="HG160" s="2636"/>
      <c r="HH160" s="2636"/>
      <c r="HI160" s="2636"/>
      <c r="HJ160" s="2636"/>
      <c r="HK160" s="2636"/>
      <c r="HL160" s="2636"/>
      <c r="HM160" s="2636"/>
      <c r="HN160" s="2636"/>
      <c r="IC160" s="1796"/>
      <c r="ID160" s="1796"/>
      <c r="IE160" s="1796"/>
      <c r="IF160" s="1796"/>
      <c r="IG160" s="1796"/>
      <c r="IH160" s="1796"/>
      <c r="II160" s="1796"/>
      <c r="IJ160" s="1796"/>
      <c r="IK160" s="1796"/>
      <c r="IL160" s="1796"/>
      <c r="IM160" s="1796"/>
      <c r="IN160" s="1796"/>
      <c r="IO160" s="1796"/>
      <c r="IP160" s="1796"/>
      <c r="IQ160" s="1796"/>
      <c r="IR160" s="1796"/>
      <c r="IS160" s="1796"/>
      <c r="IT160" s="1796"/>
      <c r="IU160" s="1796"/>
      <c r="IV160" s="1796"/>
      <c r="IW160" s="1796"/>
      <c r="IX160" s="1796"/>
      <c r="IY160" s="1796"/>
      <c r="JB160" s="1796"/>
      <c r="JC160" s="1796"/>
      <c r="JD160" s="1796"/>
      <c r="JE160" s="1796"/>
      <c r="JF160" s="1796"/>
      <c r="JG160" s="1796"/>
      <c r="JH160" s="1796"/>
      <c r="JI160" s="1796"/>
      <c r="JJ160" s="1796"/>
      <c r="JK160" s="1796"/>
      <c r="JL160" s="1796"/>
      <c r="JM160" s="1796"/>
      <c r="JN160" s="1796"/>
      <c r="KV160" s="3046"/>
    </row>
    <row r="161" spans="132:309" ht="17.100000000000001" customHeight="1" x14ac:dyDescent="0.2">
      <c r="EB161" s="1773"/>
      <c r="EC161" s="1773" t="str">
        <f>ACTIONS!$C$34</f>
        <v>MND1</v>
      </c>
      <c r="ED161" s="1773" t="str">
        <f>ACTIONS!$D$34</f>
        <v>MND2</v>
      </c>
      <c r="EE161" s="1773" t="str">
        <f>ACTIONS!$E$34</f>
        <v>MND3</v>
      </c>
      <c r="EF161" s="1773" t="str">
        <f>ACTIONS!$F$34</f>
        <v>MND4</v>
      </c>
      <c r="EG161" s="1773" t="str">
        <f>ACTIONS!$G$34</f>
        <v>MND5</v>
      </c>
      <c r="EH161" s="1773" t="str">
        <f>ACTIONS!$H$34</f>
        <v>MND6</v>
      </c>
      <c r="EI161" s="1773" t="str">
        <f>ACTIONS!$I$34</f>
        <v>MND7</v>
      </c>
      <c r="EJ161" s="1773" t="str">
        <f>ACTIONS!$J$34</f>
        <v>MND8</v>
      </c>
      <c r="EK161" s="1773" t="str">
        <f>ACTIONS!$K$34</f>
        <v>MND9</v>
      </c>
      <c r="EM161" s="1773"/>
      <c r="EN161" s="1773" t="str">
        <f>ACTIONS!$BY$34</f>
        <v>BDY9</v>
      </c>
      <c r="EO161" s="1773" t="str">
        <f>ACTIONS!$BX$34</f>
        <v>BDY8</v>
      </c>
      <c r="EP161" s="1773" t="str">
        <f>ACTIONS!$BW$34</f>
        <v>BDY7</v>
      </c>
      <c r="EQ161" s="1773" t="str">
        <f>ACTIONS!$BV$34</f>
        <v>BDY6</v>
      </c>
      <c r="ER161" s="1773" t="str">
        <f>ACTIONS!$BU$34</f>
        <v>BDY5</v>
      </c>
      <c r="ES161" s="1773" t="str">
        <f>ACTIONS!$BT$34</f>
        <v>BDY4</v>
      </c>
      <c r="ET161" s="1773" t="str">
        <f>ACTIONS!$BS$34</f>
        <v>BDY3</v>
      </c>
      <c r="EU161" s="1773" t="str">
        <f>ACTIONS!$BR$34</f>
        <v>BDY2</v>
      </c>
      <c r="EV161" s="1773" t="str">
        <f>ACTIONS!$BQ$34</f>
        <v>BDY1</v>
      </c>
      <c r="FV161" s="2636"/>
      <c r="FW161" s="2636"/>
      <c r="FX161" s="2636"/>
      <c r="FY161" s="2636"/>
      <c r="FZ161" s="2636"/>
      <c r="GA161" s="2636"/>
      <c r="GB161" s="2636"/>
      <c r="GC161" s="2636"/>
      <c r="GD161" s="2636"/>
      <c r="GE161" s="2636"/>
      <c r="GF161" s="2636"/>
      <c r="GG161" s="2636"/>
      <c r="GH161" s="2636"/>
      <c r="GI161" s="2636"/>
      <c r="GJ161" s="2636"/>
      <c r="GK161" s="2636"/>
      <c r="GL161" s="2636"/>
      <c r="GM161" s="2636"/>
      <c r="GN161" s="2636"/>
      <c r="GO161" s="2636"/>
      <c r="GP161" s="2636"/>
      <c r="GQ161" s="2636"/>
      <c r="GR161" s="2636"/>
      <c r="GS161" s="2636"/>
      <c r="GT161" s="2636"/>
      <c r="GU161" s="2636"/>
      <c r="GV161" s="2636"/>
      <c r="GW161" s="2636"/>
      <c r="GX161" s="2636"/>
      <c r="GY161" s="2636"/>
      <c r="GZ161" s="2636"/>
      <c r="HA161" s="2636"/>
      <c r="HB161" s="2636"/>
      <c r="HC161" s="2636"/>
      <c r="HD161" s="2636"/>
      <c r="HE161" s="2636"/>
      <c r="HF161" s="2636"/>
      <c r="HG161" s="2636"/>
      <c r="HH161" s="2636"/>
      <c r="HI161" s="2636"/>
      <c r="HJ161" s="2636"/>
      <c r="HK161" s="2636"/>
      <c r="HL161" s="2636"/>
      <c r="HM161" s="2636"/>
      <c r="HN161" s="2636"/>
      <c r="IC161" s="1796"/>
      <c r="ID161" s="1796"/>
      <c r="IE161" s="1796"/>
      <c r="IF161" s="1796"/>
      <c r="IG161" s="1796"/>
      <c r="IH161" s="1796"/>
      <c r="II161" s="1796"/>
      <c r="IJ161" s="1796"/>
      <c r="IK161" s="1796"/>
      <c r="IL161" s="1796"/>
      <c r="IM161" s="1796"/>
      <c r="IN161" s="1796"/>
      <c r="IO161" s="1796"/>
      <c r="IP161" s="1796"/>
      <c r="IQ161" s="1796"/>
      <c r="IR161" s="1796"/>
      <c r="IS161" s="1796"/>
      <c r="IT161" s="1796"/>
      <c r="IU161" s="1796"/>
      <c r="IV161" s="1796"/>
      <c r="IW161" s="1796"/>
      <c r="IX161" s="1796"/>
      <c r="IY161" s="1796"/>
      <c r="JB161" s="1796"/>
      <c r="JC161" s="1796"/>
      <c r="JD161" s="1818" t="s">
        <v>1805</v>
      </c>
      <c r="JE161" s="1818" t="s">
        <v>1805</v>
      </c>
      <c r="JF161" s="1818" t="s">
        <v>1805</v>
      </c>
      <c r="JG161" s="1818" t="s">
        <v>1805</v>
      </c>
      <c r="JH161" s="1818" t="s">
        <v>1805</v>
      </c>
      <c r="JI161" s="1818" t="s">
        <v>1804</v>
      </c>
      <c r="JJ161" s="1818" t="s">
        <v>1804</v>
      </c>
      <c r="JK161" s="1818" t="s">
        <v>1804</v>
      </c>
      <c r="JL161" s="1818" t="s">
        <v>1804</v>
      </c>
      <c r="JM161" s="1818" t="s">
        <v>1804</v>
      </c>
      <c r="JN161" s="1796"/>
      <c r="KS161" s="3046"/>
      <c r="KT161" s="3047"/>
    </row>
    <row r="162" spans="132:309" ht="17.100000000000001" customHeight="1" x14ac:dyDescent="0.2">
      <c r="EB162" s="1773">
        <v>0</v>
      </c>
      <c r="EC162" s="1946">
        <v>0</v>
      </c>
      <c r="ED162" s="1946">
        <v>0</v>
      </c>
      <c r="EE162" s="1946">
        <v>0</v>
      </c>
      <c r="EF162" s="1946">
        <v>0</v>
      </c>
      <c r="EG162" s="1946">
        <v>0</v>
      </c>
      <c r="EH162" s="1946">
        <v>0</v>
      </c>
      <c r="EI162" s="1946">
        <v>0</v>
      </c>
      <c r="EJ162" s="1946">
        <v>0</v>
      </c>
      <c r="EK162" s="1946">
        <v>0</v>
      </c>
      <c r="EM162" s="1773">
        <v>0</v>
      </c>
      <c r="EN162" s="1947">
        <v>0</v>
      </c>
      <c r="EO162" s="1947">
        <v>0</v>
      </c>
      <c r="EP162" s="1947">
        <v>0</v>
      </c>
      <c r="EQ162" s="1947">
        <v>0</v>
      </c>
      <c r="ER162" s="1947">
        <v>0</v>
      </c>
      <c r="ES162" s="1947">
        <v>0</v>
      </c>
      <c r="ET162" s="1947">
        <v>0</v>
      </c>
      <c r="EU162" s="1947">
        <v>0</v>
      </c>
      <c r="EV162" s="1947">
        <v>0</v>
      </c>
      <c r="FV162" s="2636"/>
      <c r="FW162" s="2636"/>
      <c r="FX162" s="2636"/>
      <c r="FY162" s="2636"/>
      <c r="FZ162" s="2636"/>
      <c r="GA162" s="2636"/>
      <c r="GB162" s="2636"/>
      <c r="GC162" s="2636"/>
      <c r="GD162" s="2636"/>
      <c r="GE162" s="2636"/>
      <c r="GF162" s="2636"/>
      <c r="GG162" s="2636"/>
      <c r="GH162" s="2636"/>
      <c r="GI162" s="2636"/>
      <c r="GJ162" s="2636"/>
      <c r="GK162" s="2636"/>
      <c r="GL162" s="2636"/>
      <c r="GM162" s="2636"/>
      <c r="GN162" s="2636"/>
      <c r="GO162" s="2636"/>
      <c r="GP162" s="2636"/>
      <c r="GQ162" s="2636"/>
      <c r="GR162" s="2636"/>
      <c r="GS162" s="2636"/>
      <c r="GT162" s="2636"/>
      <c r="GU162" s="2636"/>
      <c r="GV162" s="2636"/>
      <c r="GW162" s="2636"/>
      <c r="GX162" s="2636"/>
      <c r="GY162" s="2636"/>
      <c r="GZ162" s="2636"/>
      <c r="HA162" s="2636"/>
      <c r="HB162" s="2636"/>
      <c r="HC162" s="2636"/>
      <c r="HD162" s="2636"/>
      <c r="HE162" s="2636"/>
      <c r="HF162" s="2636"/>
      <c r="HG162" s="2636"/>
      <c r="HH162" s="2636"/>
      <c r="HI162" s="2636"/>
      <c r="HJ162" s="2636"/>
      <c r="HK162" s="2636"/>
      <c r="HL162" s="2636"/>
      <c r="HM162" s="2636"/>
      <c r="HN162" s="2636"/>
      <c r="IC162" s="1796"/>
      <c r="ID162" s="1796"/>
      <c r="IE162" s="1796"/>
      <c r="IF162" s="1796"/>
      <c r="IG162" s="1796"/>
      <c r="IH162" s="1796"/>
      <c r="II162" s="1796"/>
      <c r="IJ162" s="1796"/>
      <c r="IK162" s="1796"/>
      <c r="IL162" s="1796"/>
      <c r="IM162" s="1796"/>
      <c r="IN162" s="1796"/>
      <c r="IO162" s="1796"/>
      <c r="IP162" s="1796"/>
      <c r="IQ162" s="1796"/>
      <c r="IR162" s="1796"/>
      <c r="IS162" s="1796"/>
      <c r="IT162" s="1796"/>
      <c r="IU162" s="1796"/>
      <c r="IV162" s="1796"/>
      <c r="IW162" s="1796"/>
      <c r="IX162" s="1796"/>
      <c r="IY162" s="1796"/>
      <c r="JB162" s="1796"/>
      <c r="JC162" s="1796"/>
      <c r="JD162" s="1818" t="s">
        <v>1181</v>
      </c>
      <c r="JE162" s="1818" t="s">
        <v>1188</v>
      </c>
      <c r="JF162" s="1818" t="s">
        <v>1195</v>
      </c>
      <c r="JG162" s="1818" t="s">
        <v>1198</v>
      </c>
      <c r="JH162" s="1818" t="s">
        <v>1201</v>
      </c>
      <c r="JI162" s="1818" t="s">
        <v>1204</v>
      </c>
      <c r="JJ162" s="1818" t="s">
        <v>1207</v>
      </c>
      <c r="JK162" s="1818" t="s">
        <v>1210</v>
      </c>
      <c r="JL162" s="1818" t="s">
        <v>1213</v>
      </c>
      <c r="JM162" s="1818" t="s">
        <v>1216</v>
      </c>
      <c r="JN162" s="1796"/>
      <c r="KS162" s="3046"/>
      <c r="KT162" s="3047"/>
    </row>
    <row r="163" spans="132:309" ht="17.100000000000001" customHeight="1" x14ac:dyDescent="0.2">
      <c r="EB163" s="1948">
        <v>1</v>
      </c>
      <c r="EC163" s="1949">
        <f ca="1">EC164/2</f>
        <v>0</v>
      </c>
      <c r="ED163" s="1946">
        <v>0</v>
      </c>
      <c r="EE163" s="1946">
        <v>0</v>
      </c>
      <c r="EF163" s="1946">
        <v>0</v>
      </c>
      <c r="EG163" s="1946">
        <v>0</v>
      </c>
      <c r="EH163" s="1946">
        <v>0</v>
      </c>
      <c r="EI163" s="1946">
        <v>0</v>
      </c>
      <c r="EJ163" s="1946">
        <v>0</v>
      </c>
      <c r="EK163" s="1946">
        <v>0</v>
      </c>
      <c r="EM163" s="1948">
        <v>1</v>
      </c>
      <c r="EN163" s="1947">
        <v>0</v>
      </c>
      <c r="EO163" s="1947">
        <v>0</v>
      </c>
      <c r="EP163" s="1947">
        <v>0</v>
      </c>
      <c r="EQ163" s="1947">
        <v>0</v>
      </c>
      <c r="ER163" s="1947">
        <v>0</v>
      </c>
      <c r="ES163" s="1947">
        <v>0</v>
      </c>
      <c r="ET163" s="1947">
        <v>0</v>
      </c>
      <c r="EU163" s="1947">
        <v>0</v>
      </c>
      <c r="EV163" s="1949">
        <f ca="1">EV164/2</f>
        <v>0</v>
      </c>
      <c r="FV163" s="2636"/>
      <c r="FW163" s="2636"/>
      <c r="FX163" s="2636"/>
      <c r="FY163" s="2636"/>
      <c r="FZ163" s="2636"/>
      <c r="GA163" s="2636"/>
      <c r="GB163" s="2636"/>
      <c r="GC163" s="2636"/>
      <c r="GD163" s="2636"/>
      <c r="GE163" s="2636"/>
      <c r="GF163" s="2636"/>
      <c r="GG163" s="2636"/>
      <c r="GH163" s="2636"/>
      <c r="GI163" s="2636"/>
      <c r="GJ163" s="2636"/>
      <c r="GK163" s="2636"/>
      <c r="GL163" s="2636"/>
      <c r="GM163" s="2636"/>
      <c r="GN163" s="2636"/>
      <c r="GO163" s="2636"/>
      <c r="GP163" s="2636"/>
      <c r="GQ163" s="2636"/>
      <c r="GR163" s="2636"/>
      <c r="GS163" s="2636"/>
      <c r="GT163" s="2636"/>
      <c r="GU163" s="2636"/>
      <c r="GV163" s="2636"/>
      <c r="GW163" s="2636"/>
      <c r="GX163" s="2636"/>
      <c r="GY163" s="2636"/>
      <c r="GZ163" s="2636"/>
      <c r="HA163" s="2636"/>
      <c r="HB163" s="2636"/>
      <c r="HC163" s="2636"/>
      <c r="HD163" s="2636"/>
      <c r="HE163" s="2636"/>
      <c r="HF163" s="2636"/>
      <c r="HG163" s="2636"/>
      <c r="HH163" s="2636"/>
      <c r="HI163" s="2636"/>
      <c r="HJ163" s="2636"/>
      <c r="HK163" s="2636"/>
      <c r="HL163" s="2636"/>
      <c r="HM163" s="2636"/>
      <c r="HN163" s="2636"/>
      <c r="IC163" s="1796"/>
      <c r="ID163" s="1796"/>
      <c r="IE163" s="1796"/>
      <c r="IF163" s="1796"/>
      <c r="IG163" s="1796"/>
      <c r="IH163" s="1796"/>
      <c r="II163" s="1796"/>
      <c r="IJ163" s="1796"/>
      <c r="IK163" s="1796"/>
      <c r="IL163" s="1796"/>
      <c r="IM163" s="1796"/>
      <c r="IN163" s="1796"/>
      <c r="IO163" s="1796"/>
      <c r="IP163" s="1796"/>
      <c r="IQ163" s="1796"/>
      <c r="IR163" s="1796"/>
      <c r="IS163" s="1796"/>
      <c r="IT163" s="1796"/>
      <c r="IU163" s="1796"/>
      <c r="IV163" s="1796"/>
      <c r="IW163" s="1796"/>
      <c r="IX163" s="1796"/>
      <c r="IY163" s="1796"/>
      <c r="JB163" s="1796"/>
      <c r="JC163" s="1796"/>
      <c r="JD163" s="1818" t="s">
        <v>1182</v>
      </c>
      <c r="JE163" s="1818" t="s">
        <v>1189</v>
      </c>
      <c r="JF163" s="1818" t="s">
        <v>1196</v>
      </c>
      <c r="JG163" s="1818" t="s">
        <v>1199</v>
      </c>
      <c r="JH163" s="1818" t="s">
        <v>1202</v>
      </c>
      <c r="JI163" s="1818" t="s">
        <v>1205</v>
      </c>
      <c r="JJ163" s="1818" t="s">
        <v>1208</v>
      </c>
      <c r="JK163" s="1818" t="s">
        <v>1211</v>
      </c>
      <c r="JL163" s="1818" t="s">
        <v>1214</v>
      </c>
      <c r="JM163" s="1818" t="s">
        <v>1217</v>
      </c>
      <c r="JN163" s="1796"/>
      <c r="KS163" s="3046"/>
      <c r="KT163" s="3047"/>
    </row>
    <row r="164" spans="132:309" ht="17.100000000000001" customHeight="1" x14ac:dyDescent="0.2">
      <c r="EB164" s="1773">
        <v>2</v>
      </c>
      <c r="EC164" s="1950">
        <f ca="1">_xlfn.IFS(HUD!$CC$20="T",
_xlfn.IFS(
PLANS!$B$1=1,$EC$52,
PLANS!$B$1=2,$EC$51,
PLANS!$B$1=3,$EC$50,
PLANS!$B$1=4,$EC$49,
PLANS!$B$1=5,$EC$48,
PLANS!$B$1=6,$EC$47,
PLANS!$B$1=7,$EC$46,
PLANS!$B$1=8,$EC$45,
PLANS!$B$1=9,$EC$44,
PLANS!$B$1=10,$EC$43,
PLANS!$B$1=11,$EC$42,
PLANS!$B$1=12,$EC$41,
PLANS!$B$1=13,$EC$40,
PLANS!$B$1=14,$EC$39,
PLANS!$B$1=15,$EC$38,
PLANS!$B$1=16,$EC$37,
PLANS!$B$1=17,$EC$36,
PLANS!$B$1=18,$EC$35,
PLANS!$B$1=19,$EC$34,
PLANS!$B$1=20,$EC$33,
PLANS!$B$1=21,$EC$32,
PLANS!$B$1=22,$EC$31,
PLANS!$B$1=23,$EC$30,
PLANS!$B$1=24,$EC$29,
PLANS!$B$1=25,$EC$28,
PLANS!$B$1=26,$EC$27,
PLANS!$B$1=27,$EC$26,
PLANS!$B$1=28,$EC$25,
PLANS!$B$1=29,$EC$24,
PLANS!$B$1=30,$EC$23,
PLANS!$B$1=31,$EC$22,
PLANS!$B$1=32,0,
TRUE,0),
HUD!$CC$20="Y",
_xlfn.IFS(
PLANS!$B$1=1,0,
PLANS!$B$1=2,$EC$52,
PLANS!$B$1=3,$EC$51,
PLANS!$B$1=4,$EC$50,
PLANS!$B$1=5,$EC$49,
PLANS!$B$1=6,$EC$48,
PLANS!$B$1=7,$EC$47,
PLANS!$B$1=8,$EC$46,
PLANS!$B$1=9,$EC$45,
PLANS!$B$1=10,$EC$44,
PLANS!$B$1=11,$EC$43,
PLANS!$B$1=12,$EC$42,
PLANS!$B$1=13,$EC$41,
PLANS!$B$1=14,$EC$40,
PLANS!$B$1=15,$EC$39,
PLANS!$B$1=16,$EC$38,
PLANS!$B$1=17,$EC$37,
PLANS!$B$1=18,$EC$36,
PLANS!$B$1=19,$EC$35,
PLANS!$B$1=20,$EC$34,
PLANS!$B$1=21,$EC$33,
PLANS!$B$1=22,$EC$32,
PLANS!$B$1=23,$EC$31,
PLANS!$B$1=24,$EC$30,
PLANS!$B$1=25,$EC$29,
PLANS!$B$1=26,$EC$28,
PLANS!$B$1=27,$EC$27,
PLANS!$B$1=28,$EC$26,
PLANS!$B$1=29,$EC$25,
PLANS!$B$1=30,$EC$24,
PLANS!$B$1=31,$EC$23,
PLANS!$B$1=32,0,
TRUE,0),
HUD!$CC$20="A", $EC$193,
HUD!$CC$20="M", $EC$196,
TRUE,0
)</f>
        <v>0</v>
      </c>
      <c r="ED164" s="1946">
        <v>0</v>
      </c>
      <c r="EE164" s="1946">
        <v>0</v>
      </c>
      <c r="EF164" s="1946">
        <v>0</v>
      </c>
      <c r="EG164" s="1946">
        <v>0</v>
      </c>
      <c r="EH164" s="1946">
        <v>0</v>
      </c>
      <c r="EI164" s="1946">
        <v>0</v>
      </c>
      <c r="EJ164" s="1946">
        <v>0</v>
      </c>
      <c r="EK164" s="1946">
        <v>0</v>
      </c>
      <c r="EM164" s="1948">
        <v>2</v>
      </c>
      <c r="EN164" s="1947">
        <v>0</v>
      </c>
      <c r="EO164" s="1947">
        <v>0</v>
      </c>
      <c r="EP164" s="1947">
        <v>0</v>
      </c>
      <c r="EQ164" s="1947">
        <v>0</v>
      </c>
      <c r="ER164" s="1947">
        <v>0</v>
      </c>
      <c r="ES164" s="1947">
        <v>0</v>
      </c>
      <c r="ET164" s="1947">
        <v>0</v>
      </c>
      <c r="EU164" s="1947">
        <v>0</v>
      </c>
      <c r="EV164" s="1950">
        <f ca="1">_xlfn.IFS(HUD!$CC$20="T",
_xlfn.IFS(
PLANS!$B$1=1,$EN$52,
PLANS!$B$1=2,$EN$51,
PLANS!$B$1=3,$EN$50,
PLANS!$B$1=4,$EN$49,
PLANS!$B$1=5,$EN$48,
PLANS!$B$1=6,$EN$47,
PLANS!$B$1=7,$EN$46,
PLANS!$B$1=8,$EN$45,
PLANS!$B$1=9,$EN$44,
PLANS!$B$1=10,$EN$43,
PLANS!$B$1=11,$EN$42,
PLANS!$B$1=12,$EN$41,
PLANS!$B$1=13,$EN$40,
PLANS!$B$1=14,$EN$39,
PLANS!$B$1=15,$EN$38,
PLANS!$B$1=16,$EN$37,
PLANS!$B$1=17,$EN$36,
PLANS!$B$1=18,$EN$35,
PLANS!$B$1=19,$EN$34,
PLANS!$B$1=20,$EN$33,
PLANS!$B$1=21,$EN$32,
PLANS!$B$1=22,$EN$31,
PLANS!$B$1=23,$EN$30,
PLANS!$B$1=24,$EN$29,
PLANS!$B$1=25,$EN$28,
PLANS!$B$1=26,$EN$27,
PLANS!$B$1=27,$EN$26,
PLANS!$B$1=28,$EN$25,
PLANS!$B$1=29,$EN$24,
PLANS!$B$1=30,$EN$23,
PLANS!$B$1=31,$EN$22,
PLANS!$B$1=32,0,
TRUE,0),
HUD!$CC$20="Y",
_xlfn.IFS(
PLANS!$B$1=1,0,
PLANS!$B$1=2,$EN$52,
PLANS!$B$1=3,$EN$51,
PLANS!$B$1=4,$EN$50,
PLANS!$B$1=5,$EN$49,
PLANS!$B$1=6,$EN$48,
PLANS!$B$1=7,$EN$47,
PLANS!$B$1=8,$EN$46,
PLANS!$B$1=9,$EN$45,
PLANS!$B$1=10,$EN$44,
PLANS!$B$1=11,$EN$43,
PLANS!$B$1=12,$EN$42,
PLANS!$B$1=13,$EN$41,
PLANS!$B$1=14,$EN$40,
PLANS!$B$1=15,$EN$39,
PLANS!$B$1=16,$EN$38,
PLANS!$B$1=17,$EN$37,
PLANS!$B$1=18,$EN$36,
PLANS!$B$1=19,$EN$35,
PLANS!$B$1=20,$EN$34,
PLANS!$B$1=21,$EN$33,
PLANS!$B$1=22,$EN$32,
PLANS!$B$1=23,$EN$31,
PLANS!$B$1=24,$EN$30,
PLANS!$B$1=25,$EN$29,
PLANS!$B$1=26,$EN$28,
PLANS!$B$1=27,$EN$27,
PLANS!$B$1=28,$EN$26,
PLANS!$B$1=29,$EN$25,
PLANS!$B$1=30,$EN$24,
PLANS!$B$1=31,$EN$23,
PLANS!$B$1=32,0,
TRUE,0),
HUD!$CC$20="A", $EV$193,
HUD!$CC$20="M", $EV$196,
TRUE,0
)</f>
        <v>0</v>
      </c>
      <c r="FV164" s="2636"/>
      <c r="FW164" s="2636"/>
      <c r="FX164" s="2636"/>
      <c r="FY164" s="2636"/>
      <c r="FZ164" s="2636"/>
      <c r="GA164" s="2636"/>
      <c r="GB164" s="2636"/>
      <c r="GC164" s="2636"/>
      <c r="GD164" s="2636"/>
      <c r="GE164" s="2636"/>
      <c r="GF164" s="2636"/>
      <c r="GG164" s="2636"/>
      <c r="GH164" s="2636"/>
      <c r="GI164" s="2636"/>
      <c r="GJ164" s="2636"/>
      <c r="GK164" s="2636"/>
      <c r="GL164" s="2636"/>
      <c r="GM164" s="2636"/>
      <c r="GN164" s="2636"/>
      <c r="GO164" s="2636"/>
      <c r="GP164" s="2636"/>
      <c r="GQ164" s="2636"/>
      <c r="GR164" s="2636"/>
      <c r="GS164" s="2636"/>
      <c r="GT164" s="2636"/>
      <c r="GU164" s="2636"/>
      <c r="GV164" s="2636"/>
      <c r="GW164" s="2636"/>
      <c r="GX164" s="2636"/>
      <c r="GY164" s="2636"/>
      <c r="GZ164" s="2636"/>
      <c r="HA164" s="2636"/>
      <c r="HB164" s="2636"/>
      <c r="HC164" s="2636"/>
      <c r="HD164" s="2636"/>
      <c r="HE164" s="2636"/>
      <c r="HF164" s="2636"/>
      <c r="HG164" s="2636"/>
      <c r="HH164" s="2636"/>
      <c r="HI164" s="2636"/>
      <c r="HJ164" s="2636"/>
      <c r="HK164" s="2636"/>
      <c r="HL164" s="2636"/>
      <c r="HM164" s="2636"/>
      <c r="HN164" s="2636"/>
      <c r="IC164" s="1796"/>
      <c r="ID164" s="1796"/>
      <c r="IE164" s="1796"/>
      <c r="IF164" s="1796"/>
      <c r="IG164" s="1796"/>
      <c r="IH164" s="1796"/>
      <c r="II164" s="1796"/>
      <c r="IJ164" s="1796"/>
      <c r="IK164" s="1796"/>
      <c r="IL164" s="1796"/>
      <c r="IM164" s="1796"/>
      <c r="IN164" s="1796"/>
      <c r="IO164" s="1796"/>
      <c r="IP164" s="1796"/>
      <c r="IQ164" s="1796"/>
      <c r="IR164" s="1796"/>
      <c r="IS164" s="1796"/>
      <c r="IT164" s="1796"/>
      <c r="IU164" s="1796"/>
      <c r="IV164" s="1796"/>
      <c r="IW164" s="1796"/>
      <c r="IX164" s="1796"/>
      <c r="IY164" s="1796"/>
      <c r="JB164" s="1796"/>
      <c r="JC164" s="1796"/>
      <c r="JD164" s="1818" t="s">
        <v>1183</v>
      </c>
      <c r="JE164" s="1818" t="s">
        <v>1190</v>
      </c>
      <c r="JF164" s="1818" t="s">
        <v>1197</v>
      </c>
      <c r="JG164" s="1818" t="s">
        <v>1200</v>
      </c>
      <c r="JH164" s="1818" t="s">
        <v>1203</v>
      </c>
      <c r="JI164" s="1818" t="s">
        <v>1206</v>
      </c>
      <c r="JJ164" s="1818" t="s">
        <v>1209</v>
      </c>
      <c r="JK164" s="1818" t="s">
        <v>1212</v>
      </c>
      <c r="JL164" s="1818" t="s">
        <v>1215</v>
      </c>
      <c r="JM164" s="1818" t="s">
        <v>1218</v>
      </c>
      <c r="JN164" s="1796"/>
      <c r="KS164" s="3046"/>
      <c r="KT164" s="3047"/>
      <c r="KV164" s="3046"/>
      <c r="KW164" s="3047"/>
    </row>
    <row r="165" spans="132:309" ht="17.100000000000001" customHeight="1" x14ac:dyDescent="0.2">
      <c r="EB165" s="1948">
        <v>3</v>
      </c>
      <c r="EC165" s="1949">
        <f ca="1">EC164/2</f>
        <v>0</v>
      </c>
      <c r="ED165" s="1946">
        <v>0</v>
      </c>
      <c r="EE165" s="1946">
        <v>0</v>
      </c>
      <c r="EF165" s="1946">
        <v>0</v>
      </c>
      <c r="EG165" s="1946">
        <v>0</v>
      </c>
      <c r="EH165" s="1946">
        <v>0</v>
      </c>
      <c r="EI165" s="1946">
        <v>0</v>
      </c>
      <c r="EJ165" s="1946">
        <v>0</v>
      </c>
      <c r="EK165" s="1946">
        <v>0</v>
      </c>
      <c r="EM165" s="1948">
        <v>3</v>
      </c>
      <c r="EN165" s="1947">
        <v>0</v>
      </c>
      <c r="EO165" s="1947">
        <v>0</v>
      </c>
      <c r="EP165" s="1947">
        <v>0</v>
      </c>
      <c r="EQ165" s="1947">
        <v>0</v>
      </c>
      <c r="ER165" s="1947">
        <v>0</v>
      </c>
      <c r="ES165" s="1947">
        <v>0</v>
      </c>
      <c r="ET165" s="1947">
        <v>0</v>
      </c>
      <c r="EU165" s="1947">
        <v>0</v>
      </c>
      <c r="EV165" s="1949">
        <f ca="1">EV164/2</f>
        <v>0</v>
      </c>
      <c r="FV165" s="2636"/>
      <c r="FW165" s="2636"/>
      <c r="FX165" s="2636"/>
      <c r="FY165" s="2636"/>
      <c r="FZ165" s="2636"/>
      <c r="GA165" s="2636"/>
      <c r="GB165" s="2636"/>
      <c r="GC165" s="2636"/>
      <c r="GD165" s="2636"/>
      <c r="GE165" s="2636"/>
      <c r="GF165" s="2636"/>
      <c r="GG165" s="2636"/>
      <c r="GH165" s="2636"/>
      <c r="GI165" s="2636"/>
      <c r="GJ165" s="2636"/>
      <c r="GK165" s="2636"/>
      <c r="GL165" s="2636"/>
      <c r="GM165" s="2636"/>
      <c r="GN165" s="2636"/>
      <c r="GO165" s="2636"/>
      <c r="GP165" s="2636"/>
      <c r="GQ165" s="2636"/>
      <c r="GR165" s="2636"/>
      <c r="GS165" s="2636"/>
      <c r="GT165" s="2636"/>
      <c r="GU165" s="2636"/>
      <c r="GV165" s="2636"/>
      <c r="GW165" s="2636"/>
      <c r="GX165" s="2636"/>
      <c r="GY165" s="2636"/>
      <c r="GZ165" s="2636"/>
      <c r="HA165" s="2636"/>
      <c r="HB165" s="2636"/>
      <c r="HC165" s="2636"/>
      <c r="HD165" s="2636"/>
      <c r="HE165" s="2636"/>
      <c r="HF165" s="2636"/>
      <c r="HG165" s="2636"/>
      <c r="HH165" s="2636"/>
      <c r="HI165" s="2636"/>
      <c r="HJ165" s="2636"/>
      <c r="HK165" s="2636"/>
      <c r="HL165" s="2636"/>
      <c r="HM165" s="2636"/>
      <c r="HN165" s="2636"/>
      <c r="IC165" s="1796"/>
      <c r="ID165" s="1796"/>
      <c r="IE165" s="1796"/>
      <c r="IF165" s="1796"/>
      <c r="IG165" s="1796"/>
      <c r="IH165" s="1796"/>
      <c r="II165" s="1796"/>
      <c r="IJ165" s="1796"/>
      <c r="IK165" s="1796"/>
      <c r="IL165" s="1796"/>
      <c r="IM165" s="1796"/>
      <c r="IN165" s="1796"/>
      <c r="IO165" s="1796"/>
      <c r="IP165" s="1796"/>
      <c r="IQ165" s="1796"/>
      <c r="IR165" s="1796"/>
      <c r="IS165" s="1796"/>
      <c r="IT165" s="1796"/>
      <c r="IU165" s="1796"/>
      <c r="IV165" s="1796"/>
      <c r="IW165" s="1796"/>
      <c r="IX165" s="1796"/>
      <c r="IY165" s="1796"/>
      <c r="JB165" s="1796"/>
      <c r="JC165" s="1796"/>
      <c r="JD165" s="3202" t="s">
        <v>1342</v>
      </c>
      <c r="JE165" s="3202" t="s">
        <v>1346</v>
      </c>
      <c r="JF165" s="3202" t="s">
        <v>1439</v>
      </c>
      <c r="JG165" s="3202" t="s">
        <v>1184</v>
      </c>
      <c r="JH165" s="3202" t="s">
        <v>1191</v>
      </c>
      <c r="JI165" s="3202" t="s">
        <v>1443</v>
      </c>
      <c r="JJ165" s="3202" t="s">
        <v>1444</v>
      </c>
      <c r="JK165" s="3202" t="s">
        <v>1445</v>
      </c>
      <c r="JL165" s="3202" t="s">
        <v>1446</v>
      </c>
      <c r="JM165" s="3202" t="s">
        <v>1447</v>
      </c>
      <c r="JN165" s="1796"/>
      <c r="KS165" s="3046"/>
      <c r="KT165" s="3047"/>
      <c r="KV165" s="3046"/>
      <c r="KW165" s="3047"/>
    </row>
    <row r="166" spans="132:309" ht="17.100000000000001" customHeight="1" x14ac:dyDescent="0.2">
      <c r="EB166" s="1773">
        <v>4</v>
      </c>
      <c r="EC166" s="1946">
        <v>0</v>
      </c>
      <c r="ED166" s="1949">
        <f ca="1">ED167/2</f>
        <v>0</v>
      </c>
      <c r="EE166" s="1946">
        <v>0</v>
      </c>
      <c r="EF166" s="1946">
        <v>0</v>
      </c>
      <c r="EG166" s="1946">
        <v>0</v>
      </c>
      <c r="EH166" s="1946">
        <v>0</v>
      </c>
      <c r="EI166" s="1946">
        <v>0</v>
      </c>
      <c r="EJ166" s="1946">
        <v>0</v>
      </c>
      <c r="EK166" s="1946">
        <v>0</v>
      </c>
      <c r="EM166" s="1948">
        <v>4</v>
      </c>
      <c r="EN166" s="1947">
        <v>0</v>
      </c>
      <c r="EO166" s="1947">
        <v>0</v>
      </c>
      <c r="EP166" s="1947">
        <v>0</v>
      </c>
      <c r="EQ166" s="1947">
        <v>0</v>
      </c>
      <c r="ER166" s="1947">
        <v>0</v>
      </c>
      <c r="ES166" s="1947">
        <v>0</v>
      </c>
      <c r="ET166" s="1947">
        <v>0</v>
      </c>
      <c r="EU166" s="1949">
        <f ca="1">EU167/2</f>
        <v>0</v>
      </c>
      <c r="EV166" s="1947">
        <v>0</v>
      </c>
      <c r="IC166" s="1796"/>
      <c r="ID166" s="1796"/>
      <c r="IE166" s="1796"/>
      <c r="IF166" s="1796"/>
      <c r="IG166" s="1796"/>
      <c r="IH166" s="1796"/>
      <c r="II166" s="1796"/>
      <c r="IJ166" s="1796"/>
      <c r="IK166" s="1796"/>
      <c r="IL166" s="1796"/>
      <c r="IM166" s="1796"/>
      <c r="IN166" s="1796"/>
      <c r="IO166" s="1796"/>
      <c r="IP166" s="1796"/>
      <c r="IQ166" s="1796"/>
      <c r="IR166" s="1796"/>
      <c r="IS166" s="1796"/>
      <c r="IT166" s="1796"/>
      <c r="IU166" s="1796"/>
      <c r="IV166" s="1796"/>
      <c r="IW166" s="1796"/>
      <c r="IX166" s="1796"/>
      <c r="IY166" s="1796"/>
      <c r="JB166" s="1796"/>
      <c r="JC166" s="3043"/>
      <c r="JD166" s="3202" t="s">
        <v>1343</v>
      </c>
      <c r="JE166" s="3202" t="s">
        <v>1347</v>
      </c>
      <c r="JF166" s="3202" t="s">
        <v>1440</v>
      </c>
      <c r="JG166" s="3202" t="s">
        <v>1185</v>
      </c>
      <c r="JH166" s="3202" t="s">
        <v>1192</v>
      </c>
      <c r="JI166" s="3202" t="s">
        <v>1345</v>
      </c>
      <c r="JJ166" s="3202" t="s">
        <v>1349</v>
      </c>
      <c r="JK166" s="3202" t="s">
        <v>1442</v>
      </c>
      <c r="JL166" s="3202" t="s">
        <v>1187</v>
      </c>
      <c r="JM166" s="3202" t="s">
        <v>1194</v>
      </c>
      <c r="JN166" s="1796"/>
      <c r="KV166" s="3046"/>
      <c r="KW166" s="3047"/>
    </row>
    <row r="167" spans="132:309" ht="17.100000000000001" customHeight="1" x14ac:dyDescent="0.2">
      <c r="EB167" s="1948">
        <v>5</v>
      </c>
      <c r="EC167" s="1946">
        <v>0</v>
      </c>
      <c r="ED167" s="1950">
        <f ca="1">_xlfn.IFS(HUD!$CC$20="T",
_xlfn.IFS(
PLANS!$B$1=1,$ED$52,
PLANS!$B$1=2,$ED$51,
PLANS!$B$1=3,$ED$50,
PLANS!$B$1=4,$ED$49,
PLANS!$B$1=5,$ED$48,
PLANS!$B$1=6,$ED$47,
PLANS!$B$1=7,$ED$46,
PLANS!$B$1=8,$ED$45,
PLANS!$B$1=9,$ED$44,
PLANS!$B$1=10,$ED$43,
PLANS!$B$1=11,$ED$42,
PLANS!$B$1=12,$ED$41,
PLANS!$B$1=13,$ED$40,
PLANS!$B$1=14,$ED$39,
PLANS!$B$1=15,$ED$38,
PLANS!$B$1=16,$ED$37,
PLANS!$B$1=17,$ED$36,
PLANS!$B$1=18,$ED$35,
PLANS!$B$1=19,$ED$34,
PLANS!$B$1=20,$ED$33,
PLANS!$B$1=21,$ED$32,
PLANS!$B$1=22,$ED$31,
PLANS!$B$1=23,$ED$30,
PLANS!$B$1=24,$ED$29,
PLANS!$B$1=25,$ED$28,
PLANS!$B$1=26,$ED$27,
PLANS!$B$1=27,$ED$26,
PLANS!$B$1=28,$ED$25,
PLANS!$B$1=29,$ED$24,
PLANS!$B$1=30,$ED$23,
PLANS!$B$1=31,$ED$22,
PLANS!$B$1=32,0,
TRUE,0),
HUD!$CC$20="Y",
_xlfn.IFS(
PLANS!$B$1=1,0,
PLANS!$B$1=2,$ED$52,
PLANS!$B$1=3,$ED$51,
PLANS!$B$1=4,$ED$50,
PLANS!$B$1=5,$ED$49,
PLANS!$B$1=6,$ED$48,
PLANS!$B$1=7,$ED$47,
PLANS!$B$1=8,$ED$46,
PLANS!$B$1=9,$ED$45,
PLANS!$B$1=10,$ED$44,
PLANS!$B$1=11,$ED$43,
PLANS!$B$1=12,$ED$42,
PLANS!$B$1=13,$ED$41,
PLANS!$B$1=14,$ED$40,
PLANS!$B$1=15,$ED$39,
PLANS!$B$1=16,$ED$38,
PLANS!$B$1=17,$ED$37,
PLANS!$B$1=18,$ED$36,
PLANS!$B$1=19,$ED$35,
PLANS!$B$1=20,$ED$34,
PLANS!$B$1=21,$ED$33,
PLANS!$B$1=22,$ED$32,
PLANS!$B$1=23,$ED$31,
PLANS!$B$1=24,$ED$30,
PLANS!$B$1=25,$ED$29,
PLANS!$B$1=26,$ED$28,
PLANS!$B$1=27,$ED$27,
PLANS!$B$1=28,$ED$26,
PLANS!$B$1=29,$ED$25,
PLANS!$B$1=30,$ED$24,
PLANS!$B$1=31,$ED$23,
PLANS!$B$1=32,0,
TRUE,0),
HUD!$CC$20="A", $ED$193,
HUD!$CC$20="M", $ED$196,
TRUE,0
)</f>
        <v>0</v>
      </c>
      <c r="EE167" s="1946">
        <v>0</v>
      </c>
      <c r="EF167" s="1946">
        <v>0</v>
      </c>
      <c r="EG167" s="1946">
        <v>0</v>
      </c>
      <c r="EH167" s="1946">
        <v>0</v>
      </c>
      <c r="EI167" s="1946">
        <v>0</v>
      </c>
      <c r="EJ167" s="1946">
        <v>0</v>
      </c>
      <c r="EK167" s="1946">
        <v>0</v>
      </c>
      <c r="EM167" s="1948">
        <v>5</v>
      </c>
      <c r="EN167" s="1947">
        <v>0</v>
      </c>
      <c r="EO167" s="1947">
        <v>0</v>
      </c>
      <c r="EP167" s="1947">
        <v>0</v>
      </c>
      <c r="EQ167" s="1947">
        <v>0</v>
      </c>
      <c r="ER167" s="1947">
        <v>0</v>
      </c>
      <c r="ES167" s="1947">
        <v>0</v>
      </c>
      <c r="ET167" s="1947">
        <v>0</v>
      </c>
      <c r="EU167" s="1950">
        <f ca="1">_xlfn.IFS(HUD!$CC$20="T",
_xlfn.IFS(
PLANS!$B$1=1,$EO$52,
PLANS!$B$1=2,$EO$51,
PLANS!$B$1=3,$EO$50,
PLANS!$B$1=4,$EO$49,
PLANS!$B$1=5,$EO$48,
PLANS!$B$1=6,$EO$47,
PLANS!$B$1=7,$EO$46,
PLANS!$B$1=8,$EO$45,
PLANS!$B$1=9,$EO$44,
PLANS!$B$1=10,$EO$43,
PLANS!$B$1=11,$EO$42,
PLANS!$B$1=12,$EO$41,
PLANS!$B$1=13,$EO$40,
PLANS!$B$1=14,$EO$39,
PLANS!$B$1=15,$EO$38,
PLANS!$B$1=16,$EO$37,
PLANS!$B$1=17,$EO$36,
PLANS!$B$1=18,$EO$35,
PLANS!$B$1=19,$EO$34,
PLANS!$B$1=20,$EO$33,
PLANS!$B$1=21,$EO$32,
PLANS!$B$1=22,$EO$31,
PLANS!$B$1=23,$EO$30,
PLANS!$B$1=24,$EO$29,
PLANS!$B$1=25,$EO$28,
PLANS!$B$1=26,$EO$27,
PLANS!$B$1=27,$EO$26,
PLANS!$B$1=28,$EO$25,
PLANS!$B$1=29,$EO$24,
PLANS!$B$1=30,$EO$23,
PLANS!$B$1=31,$EO$22,
PLANS!$B$1=32,0,
TRUE,0),
HUD!$CC$20="Y",
_xlfn.IFS(
PLANS!$B$1=1,0,
PLANS!$B$1=2,$EO$52,
PLANS!$B$1=3,$EO$51,
PLANS!$B$1=4,$EO$50,
PLANS!$B$1=5,$EO$49,
PLANS!$B$1=6,$EO$48,
PLANS!$B$1=7,$EO$47,
PLANS!$B$1=8,$EO$46,
PLANS!$B$1=9,$EO$45,
PLANS!$B$1=10,$EO$44,
PLANS!$B$1=11,$EO$43,
PLANS!$B$1=12,$EO$42,
PLANS!$B$1=13,$EO$41,
PLANS!$B$1=14,$EO$40,
PLANS!$B$1=15,$EO$39,
PLANS!$B$1=16,$EO$38,
PLANS!$B$1=17,$EO$37,
PLANS!$B$1=18,$EO$36,
PLANS!$B$1=19,$EO$35,
PLANS!$B$1=20,$EO$34,
PLANS!$B$1=21,$EO$33,
PLANS!$B$1=22,$EO$32,
PLANS!$B$1=23,$EO$31,
PLANS!$B$1=24,$EO$30,
PLANS!$B$1=25,$EO$29,
PLANS!$B$1=26,$EO$28,
PLANS!$B$1=27,$EO$27,
PLANS!$B$1=28,$EO$26,
PLANS!$B$1=29,$EO$25,
PLANS!$B$1=30,$EO$24,
PLANS!$B$1=31,$EO$23,
PLANS!$B$1=32,0,
TRUE,0),
HUD!$CC$20="A", $EU$193,
HUD!$CC$20="M", $EU$196,
TRUE,0
)</f>
        <v>0</v>
      </c>
      <c r="EV167" s="1947">
        <v>0</v>
      </c>
      <c r="IC167" s="1796"/>
      <c r="ID167" s="1796"/>
      <c r="IE167" s="1796"/>
      <c r="IF167" s="1796"/>
      <c r="IG167" s="1796"/>
      <c r="IH167" s="1796"/>
      <c r="II167" s="1796"/>
      <c r="IJ167" s="1796"/>
      <c r="IK167" s="1796"/>
      <c r="IL167" s="1796"/>
      <c r="IM167" s="1796"/>
      <c r="IN167" s="1796"/>
      <c r="IO167" s="1796"/>
      <c r="IP167" s="1796"/>
      <c r="IQ167" s="1796"/>
      <c r="IR167" s="1796"/>
      <c r="IS167" s="1796"/>
      <c r="IT167" s="1796"/>
      <c r="IU167" s="1796"/>
      <c r="IV167" s="1796"/>
      <c r="IW167" s="1796"/>
      <c r="IX167" s="1796"/>
      <c r="IY167" s="1796"/>
      <c r="JB167" s="1796"/>
      <c r="JC167" s="3043"/>
      <c r="JD167" s="3202" t="s">
        <v>1344</v>
      </c>
      <c r="JE167" s="3202" t="s">
        <v>1348</v>
      </c>
      <c r="JF167" s="3202" t="s">
        <v>1441</v>
      </c>
      <c r="JG167" s="3202" t="s">
        <v>1186</v>
      </c>
      <c r="JH167" s="3202" t="s">
        <v>1193</v>
      </c>
      <c r="JI167" s="1818" t="s">
        <v>1724</v>
      </c>
      <c r="JJ167" s="1818" t="s">
        <v>1718</v>
      </c>
      <c r="JK167" s="1818" t="s">
        <v>1717</v>
      </c>
      <c r="JL167" s="1818" t="s">
        <v>1719</v>
      </c>
      <c r="JM167" s="1818" t="s">
        <v>1719</v>
      </c>
      <c r="JN167" s="1796"/>
      <c r="KV167" s="3046"/>
    </row>
    <row r="168" spans="132:309" ht="17.100000000000001" customHeight="1" x14ac:dyDescent="0.2">
      <c r="EB168" s="1773">
        <v>6</v>
      </c>
      <c r="EC168" s="1946">
        <v>0</v>
      </c>
      <c r="ED168" s="1949">
        <f ca="1">ED167/2</f>
        <v>0</v>
      </c>
      <c r="EE168" s="1946">
        <v>0</v>
      </c>
      <c r="EF168" s="1946">
        <v>0</v>
      </c>
      <c r="EG168" s="1946">
        <v>0</v>
      </c>
      <c r="EH168" s="1946">
        <v>0</v>
      </c>
      <c r="EI168" s="1946">
        <v>0</v>
      </c>
      <c r="EJ168" s="1946">
        <v>0</v>
      </c>
      <c r="EK168" s="1946">
        <v>0</v>
      </c>
      <c r="EM168" s="1948">
        <v>6</v>
      </c>
      <c r="EN168" s="1947">
        <v>0</v>
      </c>
      <c r="EO168" s="1947">
        <v>0</v>
      </c>
      <c r="EP168" s="1947">
        <v>0</v>
      </c>
      <c r="EQ168" s="1947">
        <v>0</v>
      </c>
      <c r="ER168" s="1947">
        <v>0</v>
      </c>
      <c r="ES168" s="1947">
        <v>0</v>
      </c>
      <c r="ET168" s="1947">
        <v>0</v>
      </c>
      <c r="EU168" s="1949">
        <f ca="1">EU167/2</f>
        <v>0</v>
      </c>
      <c r="EV168" s="1947">
        <v>0</v>
      </c>
      <c r="IC168" s="1796"/>
      <c r="ID168" s="1796"/>
      <c r="IE168" s="1796"/>
      <c r="IF168" s="1796"/>
      <c r="IG168" s="1796"/>
      <c r="IH168" s="1796"/>
      <c r="II168" s="1796"/>
      <c r="IJ168" s="1796"/>
      <c r="IK168" s="1796"/>
      <c r="IL168" s="1796"/>
      <c r="IM168" s="1796"/>
      <c r="IN168" s="1796"/>
      <c r="IO168" s="1796"/>
      <c r="IP168" s="1796"/>
      <c r="IQ168" s="1796"/>
      <c r="IR168" s="1796"/>
      <c r="IS168" s="1796"/>
      <c r="IT168" s="1796"/>
      <c r="IU168" s="1796"/>
      <c r="IV168" s="1796"/>
      <c r="IW168" s="1796"/>
      <c r="IX168" s="1796"/>
      <c r="IY168" s="1796"/>
      <c r="JB168" s="1796"/>
      <c r="JC168" s="3043"/>
      <c r="JD168" s="1818" t="s">
        <v>453</v>
      </c>
      <c r="JE168" s="1818" t="s">
        <v>453</v>
      </c>
      <c r="JF168" s="1818" t="s">
        <v>453</v>
      </c>
      <c r="JG168" s="1818" t="s">
        <v>452</v>
      </c>
      <c r="JH168" s="1818" t="s">
        <v>452</v>
      </c>
      <c r="JI168" s="1818" t="s">
        <v>452</v>
      </c>
      <c r="JJ168" s="1818" t="s">
        <v>1179</v>
      </c>
      <c r="JK168" s="1818" t="s">
        <v>1179</v>
      </c>
      <c r="JL168" s="1818" t="s">
        <v>1180</v>
      </c>
      <c r="JM168" s="1818" t="s">
        <v>1180</v>
      </c>
      <c r="JN168" s="1796"/>
    </row>
    <row r="169" spans="132:309" ht="17.100000000000001" customHeight="1" x14ac:dyDescent="0.2">
      <c r="EB169" s="1948">
        <v>7</v>
      </c>
      <c r="EC169" s="1946">
        <v>0</v>
      </c>
      <c r="ED169" s="1946">
        <v>0</v>
      </c>
      <c r="EE169" s="1949">
        <f ca="1">EE170/2</f>
        <v>0</v>
      </c>
      <c r="EF169" s="1946">
        <v>0</v>
      </c>
      <c r="EG169" s="1946">
        <v>0</v>
      </c>
      <c r="EH169" s="1946">
        <v>0</v>
      </c>
      <c r="EI169" s="1946">
        <v>0</v>
      </c>
      <c r="EJ169" s="1946">
        <v>0</v>
      </c>
      <c r="EK169" s="1946">
        <v>0</v>
      </c>
      <c r="EM169" s="1948">
        <v>7</v>
      </c>
      <c r="EN169" s="1947">
        <v>0</v>
      </c>
      <c r="EO169" s="1947">
        <v>0</v>
      </c>
      <c r="EP169" s="1947">
        <v>0</v>
      </c>
      <c r="EQ169" s="1947">
        <v>0</v>
      </c>
      <c r="ER169" s="1947">
        <v>0</v>
      </c>
      <c r="ES169" s="1947">
        <v>0</v>
      </c>
      <c r="ET169" s="1949">
        <f ca="1">ET170/2</f>
        <v>0</v>
      </c>
      <c r="EU169" s="1947">
        <v>0</v>
      </c>
      <c r="EV169" s="1947">
        <v>0</v>
      </c>
      <c r="JB169" s="1796"/>
      <c r="JC169" s="3043"/>
      <c r="JD169" s="1818" t="s">
        <v>1805</v>
      </c>
      <c r="JE169" s="1818" t="s">
        <v>1805</v>
      </c>
      <c r="JF169" s="1818" t="s">
        <v>1805</v>
      </c>
      <c r="JG169" s="1818" t="s">
        <v>1805</v>
      </c>
      <c r="JH169" s="1818" t="s">
        <v>1805</v>
      </c>
      <c r="JI169" s="1818" t="s">
        <v>1804</v>
      </c>
      <c r="JJ169" s="1818" t="s">
        <v>1804</v>
      </c>
      <c r="JK169" s="1818" t="s">
        <v>1804</v>
      </c>
      <c r="JL169" s="1818" t="s">
        <v>1804</v>
      </c>
      <c r="JM169" s="1818" t="s">
        <v>1804</v>
      </c>
      <c r="JN169" s="1796"/>
    </row>
    <row r="170" spans="132:309" ht="17.100000000000001" customHeight="1" x14ac:dyDescent="0.2">
      <c r="EB170" s="1773">
        <v>8</v>
      </c>
      <c r="EC170" s="1946">
        <v>0</v>
      </c>
      <c r="ED170" s="1946">
        <v>0</v>
      </c>
      <c r="EE170" s="1950">
        <f ca="1">_xlfn.IFS(HUD!$CC$20="T",
_xlfn.IFS(
PLANS!$B$1=1,$EE$52,
PLANS!$B$1=2,$EE$51,
PLANS!$B$1=3,$EE$50,
PLANS!$B$1=4,$EE$49,
PLANS!$B$1=5,$EE$48,
PLANS!$B$1=6,$EE$47,
PLANS!$B$1=7,$EE$46,
PLANS!$B$1=8,$EE$45,
PLANS!$B$1=9,$EE$44,
PLANS!$B$1=10,$EE$43,
PLANS!$B$1=11,$EE$42,
PLANS!$B$1=12,$EE$41,
PLANS!$B$1=13,$EE$40,
PLANS!$B$1=14,$EE$39,
PLANS!$B$1=15,$EE$38,
PLANS!$B$1=16,$EE$37,
PLANS!$B$1=17,$EE$36,
PLANS!$B$1=18,$EE$35,
PLANS!$B$1=19,$EE$34,
PLANS!$B$1=20,$EE$33,
PLANS!$B$1=21,$EE$32,
PLANS!$B$1=22,$EE$31,
PLANS!$B$1=23,$EE$30,
PLANS!$B$1=24,$EE$29,
PLANS!$B$1=25,$EE$28,
PLANS!$B$1=26,$EE$27,
PLANS!$B$1=27,$EE$26,
PLANS!$B$1=28,$EE$25,
PLANS!$B$1=29,$EE$24,
PLANS!$B$1=30,$EE$23,
PLANS!$B$1=31,$EE$22,
PLANS!$B$1=32,0,
TRUE,0),
HUD!$CC$20="Y",
_xlfn.IFS(
PLANS!$B$1=1,0,
PLANS!$B$1=2,$EE$52,
PLANS!$B$1=3,$EE$51,
PLANS!$B$1=4,$EE$50,
PLANS!$B$1=5,$EE$49,
PLANS!$B$1=6,$EE$48,
PLANS!$B$1=7,$EE$47,
PLANS!$B$1=8,$EE$46,
PLANS!$B$1=9,$EE$45,
PLANS!$B$1=10,$EE$44,
PLANS!$B$1=11,$EE$43,
PLANS!$B$1=12,$EE$42,
PLANS!$B$1=13,$EE$41,
PLANS!$B$1=14,$EE$40,
PLANS!$B$1=15,$EE$39,
PLANS!$B$1=16,$EE$38,
PLANS!$B$1=17,$EE$37,
PLANS!$B$1=18,$EE$36,
PLANS!$B$1=19,$EE$35,
PLANS!$B$1=20,$EE$34,
PLANS!$B$1=21,$EE$33,
PLANS!$B$1=22,$EE$32,
PLANS!$B$1=23,$EE$31,
PLANS!$B$1=24,$EE$30,
PLANS!$B$1=25,$EE$29,
PLANS!$B$1=26,$EE$28,
PLANS!$B$1=27,$EE$27,
PLANS!$B$1=28,$EE$26,
PLANS!$B$1=29,$EE$25,
PLANS!$B$1=30,$EE$24,
PLANS!$B$1=31,$EE$23,
PLANS!$B$1=32,0,
TRUE,0),
HUD!$CC$20="A", $EE$193,
HUD!$CC$20="M", $EE$196,
TRUE,0
)</f>
        <v>0</v>
      </c>
      <c r="EF170" s="1946">
        <v>0</v>
      </c>
      <c r="EG170" s="1946">
        <v>0</v>
      </c>
      <c r="EH170" s="1946">
        <v>0</v>
      </c>
      <c r="EI170" s="1946">
        <v>0</v>
      </c>
      <c r="EJ170" s="1946">
        <v>0</v>
      </c>
      <c r="EK170" s="1946">
        <v>0</v>
      </c>
      <c r="EM170" s="1948">
        <v>8</v>
      </c>
      <c r="EN170" s="1947">
        <v>0</v>
      </c>
      <c r="EO170" s="1947">
        <v>0</v>
      </c>
      <c r="EP170" s="1947">
        <v>0</v>
      </c>
      <c r="EQ170" s="1947">
        <v>0</v>
      </c>
      <c r="ER170" s="1947">
        <v>0</v>
      </c>
      <c r="ES170" s="1947">
        <v>0</v>
      </c>
      <c r="ET170" s="1950">
        <f ca="1">_xlfn.IFS(HUD!$CC$20="T",
_xlfn.IFS(
PLANS!$B$1=1,$EP$52,
PLANS!$B$1=2,$EP$51,
PLANS!$B$1=3,$EP$50,
PLANS!$B$1=4,$EP$49,
PLANS!$B$1=5,$EP$48,
PLANS!$B$1=6,$EP$47,
PLANS!$B$1=7,$EP$46,
PLANS!$B$1=8,$EP$45,
PLANS!$B$1=9,$EP$44,
PLANS!$B$1=10,$EP$43,
PLANS!$B$1=11,$EP$42,
PLANS!$B$1=12,$EP$41,
PLANS!$B$1=13,$EP$40,
PLANS!$B$1=14,$EP$39,
PLANS!$B$1=15,$EP$38,
PLANS!$B$1=16,$EP$37,
PLANS!$B$1=17,$EP$36,
PLANS!$B$1=18,$EP$35,
PLANS!$B$1=19,$EP$34,
PLANS!$B$1=20,$EP$33,
PLANS!$B$1=21,$EP$32,
PLANS!$B$1=22,$EP$31,
PLANS!$B$1=23,$EP$30,
PLANS!$B$1=24,$EP$29,
PLANS!$B$1=25,$EP$28,
PLANS!$B$1=26,$EP$27,
PLANS!$B$1=27,$EP$26,
PLANS!$B$1=28,$EP$25,
PLANS!$B$1=29,$EP$24,
PLANS!$B$1=30,$EP$23,
PLANS!$B$1=31,$EP$22,
PLANS!$B$1=32,0,
TRUE,0),
HUD!$CC$20="Y",
_xlfn.IFS(
PLANS!$B$1=1,0,
PLANS!$B$1=2,$EP$52,
PLANS!$B$1=3,$EP$51,
PLANS!$B$1=4,$EP$50,
PLANS!$B$1=5,$EP$49,
PLANS!$B$1=6,$EP$48,
PLANS!$B$1=7,$EP$47,
PLANS!$B$1=8,$EP$46,
PLANS!$B$1=9,$EP$45,
PLANS!$B$1=10,$EP$44,
PLANS!$B$1=11,$EP$43,
PLANS!$B$1=12,$EP$42,
PLANS!$B$1=13,$EP$41,
PLANS!$B$1=14,$EP$40,
PLANS!$B$1=15,$EP$39,
PLANS!$B$1=16,$EP$38,
PLANS!$B$1=17,$EP$37,
PLANS!$B$1=18,$EP$36,
PLANS!$B$1=19,$EP$35,
PLANS!$B$1=20,$EP$34,
PLANS!$B$1=21,$EP$33,
PLANS!$B$1=22,$EP$32,
PLANS!$B$1=23,$EP$31,
PLANS!$B$1=24,$EP$30,
PLANS!$B$1=25,$EP$29,
PLANS!$B$1=26,$EP$28,
PLANS!$B$1=27,$EP$27,
PLANS!$B$1=28,$EP$26,
PLANS!$B$1=29,$EP$25,
PLANS!$B$1=30,$EP$24,
PLANS!$B$1=31,$EP$23,
PLANS!$B$1=32,0,
TRUE,0),
HUD!$CC$20="A", $ET$193,
HUD!$CC$20="M", $ET$196,
TRUE,0
)</f>
        <v>0</v>
      </c>
      <c r="EU170" s="1947">
        <v>0</v>
      </c>
      <c r="EV170" s="1947">
        <v>0</v>
      </c>
      <c r="JB170" s="1796"/>
      <c r="JC170" s="3043"/>
      <c r="JD170" s="3044"/>
      <c r="JL170" s="3044"/>
      <c r="JN170" s="1796"/>
      <c r="KV170" s="3046"/>
      <c r="KW170" s="3047"/>
    </row>
    <row r="171" spans="132:309" ht="17.100000000000001" customHeight="1" x14ac:dyDescent="0.2">
      <c r="EB171" s="1948">
        <v>9</v>
      </c>
      <c r="EC171" s="1946">
        <v>0</v>
      </c>
      <c r="ED171" s="1946">
        <v>0</v>
      </c>
      <c r="EE171" s="1949">
        <f ca="1">EE170/2</f>
        <v>0</v>
      </c>
      <c r="EF171" s="1946">
        <v>0</v>
      </c>
      <c r="EG171" s="1946">
        <v>0</v>
      </c>
      <c r="EH171" s="1946">
        <v>0</v>
      </c>
      <c r="EI171" s="1946">
        <v>0</v>
      </c>
      <c r="EJ171" s="1946">
        <v>0</v>
      </c>
      <c r="EK171" s="1946">
        <v>0</v>
      </c>
      <c r="EM171" s="1948">
        <v>9</v>
      </c>
      <c r="EN171" s="1947">
        <v>0</v>
      </c>
      <c r="EO171" s="1947">
        <v>0</v>
      </c>
      <c r="EP171" s="1947">
        <v>0</v>
      </c>
      <c r="EQ171" s="1947">
        <v>0</v>
      </c>
      <c r="ER171" s="1947">
        <v>0</v>
      </c>
      <c r="ES171" s="1947">
        <v>0</v>
      </c>
      <c r="ET171" s="1949">
        <f ca="1">ET170/2</f>
        <v>0</v>
      </c>
      <c r="EU171" s="1947">
        <v>0</v>
      </c>
      <c r="EV171" s="1947">
        <v>0</v>
      </c>
      <c r="JB171" s="1796"/>
      <c r="JC171" s="3203"/>
      <c r="JD171" s="3203"/>
      <c r="JE171" s="3203"/>
      <c r="JF171" s="3203"/>
      <c r="JG171" s="3203"/>
      <c r="JH171" s="3203"/>
      <c r="JI171" s="3203"/>
      <c r="JJ171" s="3203"/>
      <c r="JK171" s="3203"/>
      <c r="JL171" s="3203"/>
      <c r="JM171" s="3203"/>
      <c r="JN171" s="3203"/>
      <c r="KV171" s="3046"/>
      <c r="KW171" s="3047"/>
    </row>
    <row r="172" spans="132:309" ht="17.100000000000001" customHeight="1" x14ac:dyDescent="0.2">
      <c r="EB172" s="1773">
        <v>10</v>
      </c>
      <c r="EC172" s="1946">
        <v>0</v>
      </c>
      <c r="ED172" s="1946">
        <v>0</v>
      </c>
      <c r="EE172" s="1946">
        <v>0</v>
      </c>
      <c r="EF172" s="1949">
        <f ca="1">EF173/2</f>
        <v>0</v>
      </c>
      <c r="EG172" s="1946">
        <v>0</v>
      </c>
      <c r="EH172" s="1946">
        <v>0</v>
      </c>
      <c r="EI172" s="1946">
        <v>0</v>
      </c>
      <c r="EJ172" s="1946">
        <v>0</v>
      </c>
      <c r="EK172" s="1946">
        <v>0</v>
      </c>
      <c r="EM172" s="1948">
        <v>10</v>
      </c>
      <c r="EN172" s="1947">
        <v>0</v>
      </c>
      <c r="EO172" s="1947">
        <v>0</v>
      </c>
      <c r="EP172" s="1947">
        <v>0</v>
      </c>
      <c r="EQ172" s="1947">
        <v>0</v>
      </c>
      <c r="ER172" s="1947">
        <v>0</v>
      </c>
      <c r="ES172" s="1949">
        <f ca="1">ES173/2</f>
        <v>0</v>
      </c>
      <c r="ET172" s="1947">
        <v>0</v>
      </c>
      <c r="EU172" s="1947">
        <v>0</v>
      </c>
      <c r="EV172" s="1947">
        <v>0</v>
      </c>
      <c r="JB172" s="1796"/>
      <c r="JC172" s="3203"/>
      <c r="JD172" s="3203"/>
      <c r="JE172" s="3203"/>
      <c r="JF172" s="3203"/>
      <c r="JG172" s="3203"/>
      <c r="JH172" s="3203"/>
      <c r="JI172" s="3203"/>
      <c r="JJ172" s="3203"/>
      <c r="JK172" s="3203"/>
      <c r="JL172" s="3203"/>
      <c r="JM172" s="3203"/>
      <c r="JN172" s="3203"/>
      <c r="KV172" s="3046"/>
      <c r="KW172" s="3047"/>
    </row>
    <row r="173" spans="132:309" ht="17.100000000000001" customHeight="1" x14ac:dyDescent="0.2">
      <c r="EB173" s="1948">
        <v>11</v>
      </c>
      <c r="EC173" s="1946">
        <v>0</v>
      </c>
      <c r="ED173" s="1946">
        <v>0</v>
      </c>
      <c r="EE173" s="1946">
        <v>0</v>
      </c>
      <c r="EF173" s="1950">
        <f ca="1">_xlfn.IFS(HUD!$CC$20="T",
_xlfn.IFS(
PLANS!$B$1=1,$EF$52,
PLANS!$B$1=2,$EF$51,
PLANS!$B$1=3,$EF$50,
PLANS!$B$1=4,$EF$49,
PLANS!$B$1=5,$EF$48,
PLANS!$B$1=6,$EF$47,
PLANS!$B$1=7,$EF$46,
PLANS!$B$1=8,$EF$45,
PLANS!$B$1=9,$EF$44,
PLANS!$B$1=10,$EF$43,
PLANS!$B$1=11,$EF$42,
PLANS!$B$1=12,$EF$41,
PLANS!$B$1=13,$EF$40,
PLANS!$B$1=14,$EF$39,
PLANS!$B$1=15,$EF$38,
PLANS!$B$1=16,$EF$37,
PLANS!$B$1=17,$EF$36,
PLANS!$B$1=18,$EF$35,
PLANS!$B$1=19,$EF$34,
PLANS!$B$1=20,$EF$33,
PLANS!$B$1=21,$EF$32,
PLANS!$B$1=22,$EF$31,
PLANS!$B$1=23,$EF$30,
PLANS!$B$1=24,$EF$29,
PLANS!$B$1=25,$EF$28,
PLANS!$B$1=26,$EF$27,
PLANS!$B$1=27,$EF$26,
PLANS!$B$1=28,$EF$25,
PLANS!$B$1=29,$EF$24,
PLANS!$B$1=30,$EF$23,
PLANS!$B$1=31,$EF$22,
PLANS!$B$1=32,0,
TRUE,0),
HUD!$CC$20="Y",
_xlfn.IFS(
PLANS!$B$1=1,0,
PLANS!$B$1=2,$EF$52,
PLANS!$B$1=3,$EF$51,
PLANS!$B$1=4,$EF$50,
PLANS!$B$1=5,$EF$49,
PLANS!$B$1=6,$EF$48,
PLANS!$B$1=7,$EF$47,
PLANS!$B$1=8,$EF$46,
PLANS!$B$1=9,$EF$45,
PLANS!$B$1=10,$EF$44,
PLANS!$B$1=11,$EF$43,
PLANS!$B$1=12,$EF$42,
PLANS!$B$1=13,$EF$41,
PLANS!$B$1=14,$EF$40,
PLANS!$B$1=15,$EF$39,
PLANS!$B$1=16,$EF$38,
PLANS!$B$1=17,$EF$37,
PLANS!$B$1=18,$EF$36,
PLANS!$B$1=19,$EF$35,
PLANS!$B$1=20,$EF$34,
PLANS!$B$1=21,$EF$33,
PLANS!$B$1=22,$EF$32,
PLANS!$B$1=23,$EF$31,
PLANS!$B$1=24,$EF$30,
PLANS!$B$1=25,$EF$29,
PLANS!$B$1=26,$EF$28,
PLANS!$B$1=27,$EF$27,
PLANS!$B$1=28,$EF$26,
PLANS!$B$1=29,$EF$25,
PLANS!$B$1=30,$EF$24,
PLANS!$B$1=31,$EF$23,
PLANS!$B$1=32,0,
TRUE,0),
HUD!$CC$20="A", $EF$193,
HUD!$CC$20="M", $EF$196,
TRUE,0
)</f>
        <v>0</v>
      </c>
      <c r="EG173" s="1946">
        <v>0</v>
      </c>
      <c r="EH173" s="1946">
        <v>0</v>
      </c>
      <c r="EI173" s="1946">
        <v>0</v>
      </c>
      <c r="EJ173" s="1946">
        <v>0</v>
      </c>
      <c r="EK173" s="1946">
        <v>0</v>
      </c>
      <c r="EM173" s="1948">
        <v>11</v>
      </c>
      <c r="EN173" s="1947">
        <v>0</v>
      </c>
      <c r="EO173" s="1947">
        <v>0</v>
      </c>
      <c r="EP173" s="1947">
        <v>0</v>
      </c>
      <c r="EQ173" s="1947">
        <v>0</v>
      </c>
      <c r="ER173" s="1947">
        <v>0</v>
      </c>
      <c r="ES173" s="1950">
        <f ca="1">_xlfn.IFS(HUD!$CC$20="T",
_xlfn.IFS(
PLANS!$B$1=1,$EQ$52,
PLANS!$B$1=2,$EQ$51,
PLANS!$B$1=3,$EQ$50,
PLANS!$B$1=4,$EQ$49,
PLANS!$B$1=5,$EQ$48,
PLANS!$B$1=6,$EQ$47,
PLANS!$B$1=7,$EQ$46,
PLANS!$B$1=8,$EQ$45,
PLANS!$B$1=9,$EQ$44,
PLANS!$B$1=10,$EQ$43,
PLANS!$B$1=11,$EQ$42,
PLANS!$B$1=12,$EQ$41,
PLANS!$B$1=13,$EQ$40,
PLANS!$B$1=14,$EQ$39,
PLANS!$B$1=15,$EQ$38,
PLANS!$B$1=16,$EQ$37,
PLANS!$B$1=17,$EQ$36,
PLANS!$B$1=18,$EQ$35,
PLANS!$B$1=19,$EQ$34,
PLANS!$B$1=20,$EQ$33,
PLANS!$B$1=21,$EQ$32,
PLANS!$B$1=22,$EQ$31,
PLANS!$B$1=23,$EQ$30,
PLANS!$B$1=24,$EQ$29,
PLANS!$B$1=25,$EQ$28,
PLANS!$B$1=26,$EQ$27,
PLANS!$B$1=27,$EQ$26,
PLANS!$B$1=28,$EQ$25,
PLANS!$B$1=29,$EQ$24,
PLANS!$B$1=30,$EQ$23,
PLANS!$B$1=31,$EQ$22,
PLANS!$B$1=32,0,
TRUE,0),
HUD!$CC$20="Y",
_xlfn.IFS(
PLANS!$B$1=1,0,
PLANS!$B$1=2,$EQ$52,
PLANS!$B$1=3,$EQ$51,
PLANS!$B$1=4,$EQ$50,
PLANS!$B$1=5,$EQ$49,
PLANS!$B$1=6,$EQ$48,
PLANS!$B$1=7,$EQ$47,
PLANS!$B$1=8,$EQ$46,
PLANS!$B$1=9,$EQ$45,
PLANS!$B$1=10,$EQ$44,
PLANS!$B$1=11,$EQ$43,
PLANS!$B$1=12,$EQ$42,
PLANS!$B$1=13,$EQ$41,
PLANS!$B$1=14,$EQ$40,
PLANS!$B$1=15,$EQ$39,
PLANS!$B$1=16,$EQ$38,
PLANS!$B$1=17,$EQ$37,
PLANS!$B$1=18,$EQ$36,
PLANS!$B$1=19,$EQ$35,
PLANS!$B$1=20,$EQ$34,
PLANS!$B$1=21,$EQ$33,
PLANS!$B$1=22,$EQ$32,
PLANS!$B$1=23,$EQ$31,
PLANS!$B$1=24,$EQ$30,
PLANS!$B$1=25,$EQ$29,
PLANS!$B$1=26,$EQ$28,
PLANS!$B$1=27,$EQ$27,
PLANS!$B$1=28,$EQ$26,
PLANS!$B$1=29,$EQ$25,
PLANS!$B$1=30,$EQ$24,
PLANS!$B$1=31,$EQ$23,
PLANS!$B$1=32,0,
TRUE,0),
HUD!$CC$20="A", $ES$193,
HUD!$CC$20="M", $ES$196,
TRUE,0
)</f>
        <v>0</v>
      </c>
      <c r="ET173" s="1947">
        <v>0</v>
      </c>
      <c r="EU173" s="1947">
        <v>0</v>
      </c>
      <c r="EV173" s="1947">
        <v>0</v>
      </c>
      <c r="JB173" s="1796"/>
      <c r="JC173" s="3203"/>
      <c r="JD173" s="3203"/>
      <c r="JE173" s="3203"/>
      <c r="JF173" s="3203"/>
      <c r="JG173" s="3203"/>
      <c r="JH173" s="3203"/>
      <c r="JI173" s="3203"/>
      <c r="JJ173" s="3203"/>
      <c r="JK173" s="3203"/>
      <c r="JL173" s="3203"/>
      <c r="JM173" s="3203"/>
      <c r="JN173" s="3203"/>
      <c r="KV173" s="3046"/>
    </row>
    <row r="174" spans="132:309" ht="17.100000000000001" customHeight="1" x14ac:dyDescent="0.2">
      <c r="EB174" s="1773">
        <v>12</v>
      </c>
      <c r="EC174" s="1946">
        <v>0</v>
      </c>
      <c r="ED174" s="1946">
        <v>0</v>
      </c>
      <c r="EE174" s="1946">
        <v>0</v>
      </c>
      <c r="EF174" s="1949">
        <f ca="1">EF173/2</f>
        <v>0</v>
      </c>
      <c r="EG174" s="1946">
        <v>0</v>
      </c>
      <c r="EH174" s="1946">
        <v>0</v>
      </c>
      <c r="EI174" s="1946">
        <v>0</v>
      </c>
      <c r="EJ174" s="1946">
        <v>0</v>
      </c>
      <c r="EK174" s="1946">
        <v>0</v>
      </c>
      <c r="EM174" s="1948">
        <v>12</v>
      </c>
      <c r="EN174" s="1947">
        <v>0</v>
      </c>
      <c r="EO174" s="1947">
        <v>0</v>
      </c>
      <c r="EP174" s="1947">
        <v>0</v>
      </c>
      <c r="EQ174" s="1947">
        <v>0</v>
      </c>
      <c r="ER174" s="1947">
        <v>0</v>
      </c>
      <c r="ES174" s="1949">
        <f ca="1">ES173/2</f>
        <v>0</v>
      </c>
      <c r="ET174" s="1947">
        <v>0</v>
      </c>
      <c r="EU174" s="1947">
        <v>0</v>
      </c>
      <c r="EV174" s="1947">
        <v>0</v>
      </c>
      <c r="JB174" s="1796"/>
      <c r="JC174" s="3203"/>
      <c r="JD174" s="3203"/>
      <c r="JE174" s="3203"/>
      <c r="JF174" s="3203"/>
      <c r="JG174" s="3203"/>
      <c r="JH174" s="3203"/>
      <c r="JI174" s="3203"/>
      <c r="JJ174" s="3203"/>
      <c r="JK174" s="3203"/>
      <c r="JL174" s="3203"/>
      <c r="JM174" s="3203"/>
      <c r="JN174" s="3203"/>
      <c r="KV174" s="3046"/>
      <c r="KW174" s="3047"/>
    </row>
    <row r="175" spans="132:309" ht="17.100000000000001" customHeight="1" x14ac:dyDescent="0.2">
      <c r="EB175" s="1948">
        <v>13</v>
      </c>
      <c r="EC175" s="1946">
        <v>0</v>
      </c>
      <c r="ED175" s="1946">
        <v>0</v>
      </c>
      <c r="EE175" s="1946">
        <v>0</v>
      </c>
      <c r="EF175" s="1946">
        <v>0</v>
      </c>
      <c r="EG175" s="1949">
        <f ca="1">EG176/2</f>
        <v>0</v>
      </c>
      <c r="EH175" s="1946">
        <v>0</v>
      </c>
      <c r="EI175" s="1946">
        <v>0</v>
      </c>
      <c r="EJ175" s="1946">
        <v>0</v>
      </c>
      <c r="EK175" s="1946">
        <v>0</v>
      </c>
      <c r="EM175" s="1948">
        <v>13</v>
      </c>
      <c r="EN175" s="1947">
        <v>0</v>
      </c>
      <c r="EO175" s="1947">
        <v>0</v>
      </c>
      <c r="EP175" s="1947">
        <v>0</v>
      </c>
      <c r="EQ175" s="1947">
        <v>0</v>
      </c>
      <c r="ER175" s="1949">
        <f ca="1">ER176/2</f>
        <v>0</v>
      </c>
      <c r="ES175" s="1947">
        <v>0</v>
      </c>
      <c r="ET175" s="1947">
        <v>0</v>
      </c>
      <c r="EU175" s="1947">
        <v>0</v>
      </c>
      <c r="EV175" s="1947">
        <v>0</v>
      </c>
      <c r="JB175" s="1796"/>
      <c r="JC175" s="3203"/>
      <c r="JD175" s="3203"/>
      <c r="JE175" s="3203"/>
      <c r="JF175" s="3203"/>
      <c r="JG175" s="3203"/>
      <c r="JH175" s="3203"/>
      <c r="JI175" s="3203"/>
      <c r="JJ175" s="3203"/>
      <c r="JK175" s="3203"/>
      <c r="JL175" s="3203"/>
      <c r="JM175" s="3203"/>
      <c r="JN175" s="3203"/>
      <c r="KV175" s="3046"/>
    </row>
    <row r="176" spans="132:309" ht="17.100000000000001" customHeight="1" x14ac:dyDescent="0.2">
      <c r="EB176" s="1773">
        <v>14</v>
      </c>
      <c r="EC176" s="1946">
        <v>0</v>
      </c>
      <c r="ED176" s="1946">
        <v>0</v>
      </c>
      <c r="EE176" s="1946">
        <v>0</v>
      </c>
      <c r="EF176" s="1946">
        <v>0</v>
      </c>
      <c r="EG176" s="1950">
        <f ca="1">_xlfn.IFS(HUD!$CC$20="T",
_xlfn.IFS(
PLANS!$B$1=1,$EG$52,
PLANS!$B$1=2,$EG$51,
PLANS!$B$1=3,$EG$50,
PLANS!$B$1=4,$EG$49,
PLANS!$B$1=5,$EG$48,
PLANS!$B$1=6,$EG$47,
PLANS!$B$1=7,$EG$46,
PLANS!$B$1=8,$EG$45,
PLANS!$B$1=9,$EG$44,
PLANS!$B$1=10,$EG$43,
PLANS!$B$1=11,$EG$42,
PLANS!$B$1=12,$EG$41,
PLANS!$B$1=13,$EG$40,
PLANS!$B$1=14,$EG$39,
PLANS!$B$1=15,$EG$38,
PLANS!$B$1=16,$EG$37,
PLANS!$B$1=17,$EG$36,
PLANS!$B$1=18,$EG$35,
PLANS!$B$1=19,$EG$34,
PLANS!$B$1=20,$EG$33,
PLANS!$B$1=21,$EG$32,
PLANS!$B$1=22,$EG$31,
PLANS!$B$1=23,$EG$30,
PLANS!$B$1=24,$EG$29,
PLANS!$B$1=25,$EG$28,
PLANS!$B$1=26,$EG$27,
PLANS!$B$1=27,$EG$26,
PLANS!$B$1=28,$EG$25,
PLANS!$B$1=29,$EG$24,
PLANS!$B$1=30,$EG$23,
PLANS!$B$1=31,$EG$22,
PLANS!$B$1=32,0,
TRUE,0),
HUD!$CC$20="Y",
_xlfn.IFS(
PLANS!$B$1=1,0,
PLANS!$B$1=2,$EG$52,
PLANS!$B$1=3,$EG$51,
PLANS!$B$1=4,$EG$50,
PLANS!$B$1=5,$EG$49,
PLANS!$B$1=6,$EG$48,
PLANS!$B$1=7,$EG$47,
PLANS!$B$1=8,$EG$46,
PLANS!$B$1=9,$EG$45,
PLANS!$B$1=10,$EG$44,
PLANS!$B$1=11,$EG$43,
PLANS!$B$1=12,$EG$42,
PLANS!$B$1=13,$EG$41,
PLANS!$B$1=14,$EG$40,
PLANS!$B$1=15,$EG$39,
PLANS!$B$1=16,$EG$38,
PLANS!$B$1=17,$EG$37,
PLANS!$B$1=18,$EG$36,
PLANS!$B$1=19,$EG$35,
PLANS!$B$1=20,$EG$34,
PLANS!$B$1=21,$EG$33,
PLANS!$B$1=22,$EG$32,
PLANS!$B$1=23,$EG$31,
PLANS!$B$1=24,$EG$30,
PLANS!$B$1=25,$EG$29,
PLANS!$B$1=26,$EG$28,
PLANS!$B$1=27,$EG$27,
PLANS!$B$1=28,$EG$26,
PLANS!$B$1=29,$EG$25,
PLANS!$B$1=30,$EG$24,
PLANS!$B$1=31,$EG$23,
PLANS!$B$1=32,0,
TRUE,0),
HUD!$CC$20="A", $EG$193,
HUD!$CC$20="M", $EG$196,
TRUE,0
)</f>
        <v>0</v>
      </c>
      <c r="EH176" s="1946">
        <v>0</v>
      </c>
      <c r="EI176" s="1946">
        <v>0</v>
      </c>
      <c r="EJ176" s="1946">
        <v>0</v>
      </c>
      <c r="EK176" s="1946">
        <v>0</v>
      </c>
      <c r="EM176" s="1948">
        <v>14</v>
      </c>
      <c r="EN176" s="1947">
        <v>0</v>
      </c>
      <c r="EO176" s="1947">
        <v>0</v>
      </c>
      <c r="EP176" s="1947">
        <v>0</v>
      </c>
      <c r="EQ176" s="1947">
        <v>0</v>
      </c>
      <c r="ER176" s="1950">
        <f ca="1">_xlfn.IFS(HUD!$CC$20="T",
_xlfn.IFS(
PLANS!$B$1=1,$ER$52,
PLANS!$B$1=2,$ER$51,
PLANS!$B$1=3,$ER$50,
PLANS!$B$1=4,$ER$49,
PLANS!$B$1=5,$ER$48,
PLANS!$B$1=6,$ER$47,
PLANS!$B$1=7,$ER$46,
PLANS!$B$1=8,$ER$45,
PLANS!$B$1=9,$ER$44,
PLANS!$B$1=10,$ER$43,
PLANS!$B$1=11,$ER$42,
PLANS!$B$1=12,$ER$41,
PLANS!$B$1=13,$ER$40,
PLANS!$B$1=14,$ER$39,
PLANS!$B$1=15,$ER$38,
PLANS!$B$1=16,$ER$37,
PLANS!$B$1=17,$ER$36,
PLANS!$B$1=18,$ER$35,
PLANS!$B$1=19,$ER$34,
PLANS!$B$1=20,$ER$33,
PLANS!$B$1=21,$ER$32,
PLANS!$B$1=22,$ER$31,
PLANS!$B$1=23,$ER$30,
PLANS!$B$1=24,$ER$29,
PLANS!$B$1=25,$ER$28,
PLANS!$B$1=26,$ER$27,
PLANS!$B$1=27,$ER$26,
PLANS!$B$1=28,$ER$25,
PLANS!$B$1=29,$ER$24,
PLANS!$B$1=30,$ER$23,
PLANS!$B$1=31,$ER$22,
PLANS!$B$1=32,0,
TRUE,0),
HUD!$CC$20="Y",
_xlfn.IFS(
PLANS!$B$1=1,0,
PLANS!$B$1=2,$ER$52,
PLANS!$B$1=3,$ER$51,
PLANS!$B$1=4,$ER$50,
PLANS!$B$1=5,$ER$49,
PLANS!$B$1=6,$ER$48,
PLANS!$B$1=7,$ER$47,
PLANS!$B$1=8,$ER$46,
PLANS!$B$1=9,$ER$45,
PLANS!$B$1=10,$ER$44,
PLANS!$B$1=11,$ER$43,
PLANS!$B$1=12,$ER$42,
PLANS!$B$1=13,$ER$41,
PLANS!$B$1=14,$ER$40,
PLANS!$B$1=15,$ER$39,
PLANS!$B$1=16,$ER$38,
PLANS!$B$1=17,$ER$37,
PLANS!$B$1=18,$ER$36,
PLANS!$B$1=19,$ER$35,
PLANS!$B$1=20,$ER$34,
PLANS!$B$1=21,$ER$33,
PLANS!$B$1=22,$ER$32,
PLANS!$B$1=23,$ER$31,
PLANS!$B$1=24,$ER$30,
PLANS!$B$1=25,$ER$29,
PLANS!$B$1=26,$ER$28,
PLANS!$B$1=27,$ER$27,
PLANS!$B$1=28,$ER$26,
PLANS!$B$1=29,$ER$25,
PLANS!$B$1=30,$ER$24,
PLANS!$B$1=31,$ER$23,
PLANS!$B$1=32,0,
TRUE,0),
HUD!$CC$20="A", $ER$193,
HUD!$CC$20="M", $ER$196,
TRUE,0
)</f>
        <v>0</v>
      </c>
      <c r="ES176" s="1947">
        <v>0</v>
      </c>
      <c r="ET176" s="1947">
        <v>0</v>
      </c>
      <c r="EU176" s="1947">
        <v>0</v>
      </c>
      <c r="EV176" s="1947">
        <v>0</v>
      </c>
      <c r="JB176" s="1796"/>
      <c r="JC176" s="3203"/>
      <c r="JD176" s="3203"/>
      <c r="JE176" s="3203"/>
      <c r="JF176" s="3203"/>
      <c r="JG176" s="3203"/>
      <c r="JH176" s="3203"/>
      <c r="JI176" s="3203"/>
      <c r="JJ176" s="3203"/>
      <c r="JK176" s="3203"/>
      <c r="JL176" s="3203"/>
      <c r="JM176" s="3203"/>
      <c r="JN176" s="3203"/>
    </row>
    <row r="177" spans="132:309" ht="17.100000000000001" customHeight="1" x14ac:dyDescent="0.2">
      <c r="EB177" s="1948">
        <v>15</v>
      </c>
      <c r="EC177" s="1946">
        <v>0</v>
      </c>
      <c r="ED177" s="1946">
        <v>0</v>
      </c>
      <c r="EE177" s="1946">
        <v>0</v>
      </c>
      <c r="EF177" s="1946">
        <v>0</v>
      </c>
      <c r="EG177" s="1949">
        <f ca="1">EG176/2</f>
        <v>0</v>
      </c>
      <c r="EH177" s="1946">
        <v>0</v>
      </c>
      <c r="EI177" s="1946">
        <v>0</v>
      </c>
      <c r="EJ177" s="1946">
        <v>0</v>
      </c>
      <c r="EK177" s="1946">
        <v>0</v>
      </c>
      <c r="EM177" s="1948">
        <v>15</v>
      </c>
      <c r="EN177" s="1947">
        <v>0</v>
      </c>
      <c r="EO177" s="1947">
        <v>0</v>
      </c>
      <c r="EP177" s="1947">
        <v>0</v>
      </c>
      <c r="EQ177" s="1947">
        <v>0</v>
      </c>
      <c r="ER177" s="1949">
        <f ca="1">ER176/2</f>
        <v>0</v>
      </c>
      <c r="ES177" s="1947">
        <v>0</v>
      </c>
      <c r="ET177" s="1947">
        <v>0</v>
      </c>
      <c r="EU177" s="1947">
        <v>0</v>
      </c>
      <c r="EV177" s="1947">
        <v>0</v>
      </c>
      <c r="JB177" s="1796"/>
      <c r="JC177" s="3203"/>
      <c r="JD177" s="3203"/>
      <c r="JE177" s="3203"/>
      <c r="JF177" s="3203"/>
      <c r="JG177" s="3203"/>
      <c r="JH177" s="3203"/>
      <c r="JI177" s="3203"/>
      <c r="JJ177" s="3203"/>
      <c r="JK177" s="3203"/>
      <c r="JL177" s="3203"/>
      <c r="JM177" s="3203"/>
      <c r="JN177" s="3203"/>
      <c r="KV177" s="3046"/>
      <c r="KW177" s="3047"/>
    </row>
    <row r="178" spans="132:309" ht="17.100000000000001" customHeight="1" x14ac:dyDescent="0.2">
      <c r="EB178" s="1773">
        <v>16</v>
      </c>
      <c r="EC178" s="1946">
        <v>0</v>
      </c>
      <c r="ED178" s="1946">
        <v>0</v>
      </c>
      <c r="EE178" s="1946">
        <v>0</v>
      </c>
      <c r="EF178" s="1946">
        <v>0</v>
      </c>
      <c r="EG178" s="1946">
        <v>0</v>
      </c>
      <c r="EH178" s="1949">
        <f ca="1">EH179/2</f>
        <v>0</v>
      </c>
      <c r="EI178" s="1946">
        <v>0</v>
      </c>
      <c r="EJ178" s="1946">
        <v>0</v>
      </c>
      <c r="EK178" s="1946">
        <v>0</v>
      </c>
      <c r="EM178" s="1948">
        <v>16</v>
      </c>
      <c r="EN178" s="1947">
        <v>0</v>
      </c>
      <c r="EO178" s="1947">
        <v>0</v>
      </c>
      <c r="EP178" s="1947">
        <v>0</v>
      </c>
      <c r="EQ178" s="1949">
        <f ca="1">EQ179/2</f>
        <v>0</v>
      </c>
      <c r="ER178" s="1947">
        <v>0</v>
      </c>
      <c r="ES178" s="1947">
        <v>0</v>
      </c>
      <c r="ET178" s="1947">
        <v>0</v>
      </c>
      <c r="EU178" s="1947">
        <v>0</v>
      </c>
      <c r="EV178" s="1947">
        <v>0</v>
      </c>
      <c r="JB178" s="1796"/>
      <c r="JC178" s="3203"/>
      <c r="JD178" s="3203"/>
      <c r="JE178" s="3203"/>
      <c r="JF178" s="3203"/>
      <c r="JG178" s="3203"/>
      <c r="JH178" s="3203"/>
      <c r="JI178" s="3203"/>
      <c r="JJ178" s="3203"/>
      <c r="JK178" s="3203"/>
      <c r="JL178" s="3203"/>
      <c r="JM178" s="3203"/>
      <c r="JN178" s="3203"/>
      <c r="KV178" s="3046"/>
      <c r="KW178" s="3047"/>
    </row>
    <row r="179" spans="132:309" ht="17.100000000000001" customHeight="1" x14ac:dyDescent="0.2">
      <c r="EB179" s="1948">
        <v>17</v>
      </c>
      <c r="EC179" s="1946">
        <v>0</v>
      </c>
      <c r="ED179" s="1946">
        <v>0</v>
      </c>
      <c r="EE179" s="1946">
        <v>0</v>
      </c>
      <c r="EF179" s="1946">
        <v>0</v>
      </c>
      <c r="EG179" s="1946">
        <v>0</v>
      </c>
      <c r="EH179" s="1950">
        <f ca="1">_xlfn.IFS(HUD!$CC$20="T",
_xlfn.IFS(
PLANS!$B$1=1,$EH$52,
PLANS!$B$1=2,$EH$51,
PLANS!$B$1=3,$EH$50,
PLANS!$B$1=4,$EH$49,
PLANS!$B$1=5,$EH$48,
PLANS!$B$1=6,$EH$47,
PLANS!$B$1=7,$EH$46,
PLANS!$B$1=8,$EH$45,
PLANS!$B$1=9,$EH$44,
PLANS!$B$1=10,$EH$43,
PLANS!$B$1=11,$EH$42,
PLANS!$B$1=12,$EH$41,
PLANS!$B$1=13,$EH$40,
PLANS!$B$1=14,$EH$39,
PLANS!$B$1=15,$EH$38,
PLANS!$B$1=16,$EH$37,
PLANS!$B$1=17,$EH$36,
PLANS!$B$1=18,$EH$35,
PLANS!$B$1=19,$EH$34,
PLANS!$B$1=20,$EH$33,
PLANS!$B$1=21,$EH$32,
PLANS!$B$1=22,$EH$31,
PLANS!$B$1=23,$EH$30,
PLANS!$B$1=24,$EH$29,
PLANS!$B$1=25,$EH$28,
PLANS!$B$1=26,$EH$27,
PLANS!$B$1=27,$EH$26,
PLANS!$B$1=28,$EH$25,
PLANS!$B$1=29,$EH$24,
PLANS!$B$1=30,$EH$23,
PLANS!$B$1=31,$EH$22,
PLANS!$B$1=32,0,
TRUE,0),
HUD!$CC$20="Y",
_xlfn.IFS(
PLANS!$B$1=1,0,
PLANS!$B$1=2,$EH$52,
PLANS!$B$1=3,$EH$51,
PLANS!$B$1=4,$EH$50,
PLANS!$B$1=5,$EH$49,
PLANS!$B$1=6,$EH$48,
PLANS!$B$1=7,$EH$47,
PLANS!$B$1=8,$EH$46,
PLANS!$B$1=9,$EH$45,
PLANS!$B$1=10,$EH$44,
PLANS!$B$1=11,$EH$43,
PLANS!$B$1=12,$EH$42,
PLANS!$B$1=13,$EH$41,
PLANS!$B$1=14,$EH$40,
PLANS!$B$1=15,$EH$39,
PLANS!$B$1=16,$EH$38,
PLANS!$B$1=17,$EH$37,
PLANS!$B$1=18,$EH$36,
PLANS!$B$1=19,$EH$35,
PLANS!$B$1=20,$EH$34,
PLANS!$B$1=21,$EH$33,
PLANS!$B$1=22,$EH$32,
PLANS!$B$1=23,$EH$31,
PLANS!$B$1=24,$EH$30,
PLANS!$B$1=25,$EH$29,
PLANS!$B$1=26,$EH$28,
PLANS!$B$1=27,$EH$27,
PLANS!$B$1=28,$EH$26,
PLANS!$B$1=29,$EH$25,
PLANS!$B$1=30,$EH$24,
PLANS!$B$1=31,$EH$23,
PLANS!$B$1=32,0,
TRUE,0),
HUD!$CC$20="A", $EH$193,
HUD!$CC$20="M", $EH$196,
TRUE,0
)</f>
        <v>0</v>
      </c>
      <c r="EI179" s="1946">
        <v>0</v>
      </c>
      <c r="EJ179" s="1946">
        <v>0</v>
      </c>
      <c r="EK179" s="1946">
        <v>0</v>
      </c>
      <c r="EM179" s="1948">
        <v>17</v>
      </c>
      <c r="EN179" s="1947">
        <v>0</v>
      </c>
      <c r="EO179" s="1947">
        <v>0</v>
      </c>
      <c r="EP179" s="1947">
        <v>0</v>
      </c>
      <c r="EQ179" s="1950">
        <f ca="1">_xlfn.IFS(HUD!$CC$20="T",
_xlfn.IFS(
PLANS!$B$1=1,$ES$52,
PLANS!$B$1=2,$ES$51,
PLANS!$B$1=3,$ES$50,
PLANS!$B$1=4,$ES$49,
PLANS!$B$1=5,$ES$48,
PLANS!$B$1=6,$ES$47,
PLANS!$B$1=7,$ES$46,
PLANS!$B$1=8,$ES$45,
PLANS!$B$1=9,$ES$44,
PLANS!$B$1=10,$ES$43,
PLANS!$B$1=11,$ES$42,
PLANS!$B$1=12,$ES$41,
PLANS!$B$1=13,$ES$40,
PLANS!$B$1=14,$ES$39,
PLANS!$B$1=15,$ES$38,
PLANS!$B$1=16,$ES$37,
PLANS!$B$1=17,$ES$36,
PLANS!$B$1=18,$ES$35,
PLANS!$B$1=19,$ES$34,
PLANS!$B$1=20,$ES$33,
PLANS!$B$1=21,$ES$32,
PLANS!$B$1=22,$ES$31,
PLANS!$B$1=23,$ES$30,
PLANS!$B$1=24,$ES$29,
PLANS!$B$1=25,$ES$28,
PLANS!$B$1=26,$ES$27,
PLANS!$B$1=27,$ES$26,
PLANS!$B$1=28,$ES$25,
PLANS!$B$1=29,$ES$24,
PLANS!$B$1=30,$ES$23,
PLANS!$B$1=31,$ES$22,
PLANS!$B$1=32,0,
TRUE,0),
HUD!$CC$20="Y",
_xlfn.IFS(
PLANS!$B$1=1,0,
PLANS!$B$1=2,$ES$52,
PLANS!$B$1=3,$ES$51,
PLANS!$B$1=4,$ES$50,
PLANS!$B$1=5,$ES$49,
PLANS!$B$1=6,$ES$48,
PLANS!$B$1=7,$ES$47,
PLANS!$B$1=8,$ES$46,
PLANS!$B$1=9,$ES$45,
PLANS!$B$1=10,$ES$44,
PLANS!$B$1=11,$ES$43,
PLANS!$B$1=12,$ES$42,
PLANS!$B$1=13,$ES$41,
PLANS!$B$1=14,$ES$40,
PLANS!$B$1=15,$ES$39,
PLANS!$B$1=16,$ES$38,
PLANS!$B$1=17,$ES$37,
PLANS!$B$1=18,$ES$36,
PLANS!$B$1=19,$ES$35,
PLANS!$B$1=20,$ES$34,
PLANS!$B$1=21,$ES$33,
PLANS!$B$1=22,$ES$32,
PLANS!$B$1=23,$ES$31,
PLANS!$B$1=24,$ES$30,
PLANS!$B$1=25,$ES$29,
PLANS!$B$1=26,$ES$28,
PLANS!$B$1=27,$ES$27,
PLANS!$B$1=28,$ES$26,
PLANS!$B$1=29,$ES$25,
PLANS!$B$1=30,$ES$24,
PLANS!$B$1=31,$ES$23,
PLANS!$B$1=32,0,
TRUE,0),
HUD!$CC$20="A", $EQ$193,
HUD!$CC$20="M", $EQ$196,
TRUE,0
)</f>
        <v>0</v>
      </c>
      <c r="ER179" s="1947">
        <v>0</v>
      </c>
      <c r="ES179" s="1947">
        <v>0</v>
      </c>
      <c r="ET179" s="1947">
        <v>0</v>
      </c>
      <c r="EU179" s="1947">
        <v>0</v>
      </c>
      <c r="EV179" s="1947">
        <v>0</v>
      </c>
      <c r="JB179" s="1796"/>
      <c r="JC179" s="3203"/>
      <c r="JD179" s="3203"/>
      <c r="JE179" s="3203"/>
      <c r="JF179" s="3203"/>
      <c r="JG179" s="3203"/>
      <c r="JH179" s="3203"/>
      <c r="JI179" s="3203"/>
      <c r="JJ179" s="3203"/>
      <c r="JK179" s="3203"/>
      <c r="JL179" s="3203"/>
      <c r="JM179" s="3203"/>
      <c r="JN179" s="3203"/>
      <c r="KV179" s="3046"/>
      <c r="KW179" s="3047"/>
    </row>
    <row r="180" spans="132:309" ht="17.100000000000001" customHeight="1" x14ac:dyDescent="0.2">
      <c r="EB180" s="1773">
        <v>18</v>
      </c>
      <c r="EC180" s="1946">
        <v>0</v>
      </c>
      <c r="ED180" s="1946">
        <v>0</v>
      </c>
      <c r="EE180" s="1946">
        <v>0</v>
      </c>
      <c r="EF180" s="1946">
        <v>0</v>
      </c>
      <c r="EG180" s="1946">
        <v>0</v>
      </c>
      <c r="EH180" s="1949">
        <f ca="1">EH179/2</f>
        <v>0</v>
      </c>
      <c r="EI180" s="1946">
        <v>0</v>
      </c>
      <c r="EJ180" s="1946">
        <v>0</v>
      </c>
      <c r="EK180" s="1946">
        <v>0</v>
      </c>
      <c r="EM180" s="1948">
        <v>18</v>
      </c>
      <c r="EN180" s="1947">
        <v>0</v>
      </c>
      <c r="EO180" s="1947">
        <v>0</v>
      </c>
      <c r="EP180" s="1947">
        <v>0</v>
      </c>
      <c r="EQ180" s="1949">
        <f ca="1">EQ179/2</f>
        <v>0</v>
      </c>
      <c r="ER180" s="1947">
        <v>0</v>
      </c>
      <c r="ES180" s="1947">
        <v>0</v>
      </c>
      <c r="ET180" s="1947">
        <v>0</v>
      </c>
      <c r="EU180" s="1947">
        <v>0</v>
      </c>
      <c r="EV180" s="1947">
        <v>0</v>
      </c>
      <c r="JB180" s="1796"/>
      <c r="JC180" s="3203"/>
      <c r="JD180" s="3203"/>
      <c r="JE180" s="3203"/>
      <c r="JF180" s="3203"/>
      <c r="JG180" s="3203"/>
      <c r="JH180" s="3203"/>
      <c r="JI180" s="3203"/>
      <c r="JJ180" s="3203"/>
      <c r="JK180" s="3203"/>
      <c r="JL180" s="3203"/>
      <c r="JM180" s="3203"/>
      <c r="JN180" s="3203"/>
      <c r="KV180" s="3046"/>
      <c r="KW180" s="3047"/>
    </row>
    <row r="181" spans="132:309" ht="17.100000000000001" customHeight="1" x14ac:dyDescent="0.2">
      <c r="EB181" s="1948">
        <v>19</v>
      </c>
      <c r="EC181" s="1946">
        <v>0</v>
      </c>
      <c r="ED181" s="1946">
        <v>0</v>
      </c>
      <c r="EE181" s="1946">
        <v>0</v>
      </c>
      <c r="EF181" s="1946">
        <v>0</v>
      </c>
      <c r="EG181" s="1946">
        <v>0</v>
      </c>
      <c r="EH181" s="1946">
        <v>0</v>
      </c>
      <c r="EI181" s="1949">
        <f ca="1">EI182/2</f>
        <v>0</v>
      </c>
      <c r="EJ181" s="1946">
        <v>0</v>
      </c>
      <c r="EK181" s="1946">
        <v>0</v>
      </c>
      <c r="EM181" s="1948">
        <v>19</v>
      </c>
      <c r="EN181" s="1947">
        <v>0</v>
      </c>
      <c r="EO181" s="1947">
        <v>0</v>
      </c>
      <c r="EP181" s="1949">
        <f ca="1">EP182/2</f>
        <v>0</v>
      </c>
      <c r="EQ181" s="1947">
        <v>0</v>
      </c>
      <c r="ER181" s="1947">
        <v>0</v>
      </c>
      <c r="ES181" s="1947">
        <v>0</v>
      </c>
      <c r="ET181" s="1947">
        <v>0</v>
      </c>
      <c r="EU181" s="1947">
        <v>0</v>
      </c>
      <c r="EV181" s="1947">
        <v>0</v>
      </c>
      <c r="JB181" s="1796"/>
      <c r="JC181" s="3203"/>
      <c r="JD181" s="3203"/>
      <c r="JE181" s="3203"/>
      <c r="JF181" s="3203"/>
      <c r="JG181" s="3203"/>
      <c r="JH181" s="3203"/>
      <c r="JI181" s="3203"/>
      <c r="JJ181" s="3203"/>
      <c r="JK181" s="3203"/>
      <c r="JL181" s="3203"/>
      <c r="JM181" s="3203"/>
      <c r="JN181" s="3203"/>
    </row>
    <row r="182" spans="132:309" ht="17.100000000000001" customHeight="1" x14ac:dyDescent="0.2">
      <c r="EB182" s="1773">
        <v>20</v>
      </c>
      <c r="EC182" s="1946">
        <v>0</v>
      </c>
      <c r="ED182" s="1946">
        <v>0</v>
      </c>
      <c r="EE182" s="1946">
        <v>0</v>
      </c>
      <c r="EF182" s="1946">
        <v>0</v>
      </c>
      <c r="EG182" s="1946">
        <v>0</v>
      </c>
      <c r="EH182" s="1946">
        <v>0</v>
      </c>
      <c r="EI182" s="1950">
        <f ca="1">_xlfn.IFS(HUD!$CC$20="T",
_xlfn.IFS(
PLANS!$B$1=1,$EI$52,
PLANS!$B$1=2,$EI$51,
PLANS!$B$1=3,$EI$50,
PLANS!$B$1=4,$EI$49,
PLANS!$B$1=5,$EI$48,
PLANS!$B$1=6,$EI$47,
PLANS!$B$1=7,$EI$46,
PLANS!$B$1=8,$EI$45,
PLANS!$B$1=9,$EI$44,
PLANS!$B$1=10,$EI$43,
PLANS!$B$1=11,$EI$42,
PLANS!$B$1=12,$EI$41,
PLANS!$B$1=13,$EI$40,
PLANS!$B$1=14,$EI$39,
PLANS!$B$1=15,$EI$38,
PLANS!$B$1=16,$EI$37,
PLANS!$B$1=17,$EI$36,
PLANS!$B$1=18,$EI$35,
PLANS!$B$1=19,$EI$34,
PLANS!$B$1=20,$EI$33,
PLANS!$B$1=21,$EI$32,
PLANS!$B$1=22,$EI$31,
PLANS!$B$1=23,$EI$30,
PLANS!$B$1=24,$EI$29,
PLANS!$B$1=25,$EI$28,
PLANS!$B$1=26,$EI$27,
PLANS!$B$1=27,$EI$26,
PLANS!$B$1=28,$EI$25,
PLANS!$B$1=29,$EI$24,
PLANS!$B$1=30,$EI$23,
PLANS!$B$1=31,$EI$22,
PLANS!$B$1=32,0,
TRUE,0),
HUD!$CC$20="Y",
_xlfn.IFS(
PLANS!$B$1=1,0,
PLANS!$B$1=2,$EI$52,
PLANS!$B$1=3,$EI$51,
PLANS!$B$1=4,$EI$50,
PLANS!$B$1=5,$EI$49,
PLANS!$B$1=6,$EI$48,
PLANS!$B$1=7,$EI$47,
PLANS!$B$1=8,$EI$46,
PLANS!$B$1=9,$EI$45,
PLANS!$B$1=10,$EI$44,
PLANS!$B$1=11,$EI$43,
PLANS!$B$1=12,$EI$42,
PLANS!$B$1=13,$EI$41,
PLANS!$B$1=14,$EI$40,
PLANS!$B$1=15,$EI$39,
PLANS!$B$1=16,$EI$38,
PLANS!$B$1=17,$EI$37,
PLANS!$B$1=18,$EI$36,
PLANS!$B$1=19,$EI$35,
PLANS!$B$1=20,$EI$34,
PLANS!$B$1=21,$EI$33,
PLANS!$B$1=22,$EI$32,
PLANS!$B$1=23,$EI$31,
PLANS!$B$1=24,$EI$30,
PLANS!$B$1=25,$EI$29,
PLANS!$B$1=26,$EI$28,
PLANS!$B$1=27,$EI$27,
PLANS!$B$1=28,$EI$26,
PLANS!$B$1=29,$EI$25,
PLANS!$B$1=30,$EI$24,
PLANS!$B$1=31,$EI$23,
PLANS!$B$1=32,0,
TRUE,0),
HUD!$CC$20="A", $EI$193,
HUD!$CC$20="M", $EI$196,
TRUE,0
)</f>
        <v>0</v>
      </c>
      <c r="EJ182" s="1946">
        <v>0</v>
      </c>
      <c r="EK182" s="1946">
        <v>0</v>
      </c>
      <c r="EM182" s="1948">
        <v>20</v>
      </c>
      <c r="EN182" s="1947">
        <v>0</v>
      </c>
      <c r="EO182" s="1947">
        <v>0</v>
      </c>
      <c r="EP182" s="1950">
        <f ca="1">_xlfn.IFS(HUD!$CC$20="T",
_xlfn.IFS(
PLANS!$B$1=1,$ET$52,
PLANS!$B$1=2,$ET$51,
PLANS!$B$1=3,$ET$50,
PLANS!$B$1=4,$ET$49,
PLANS!$B$1=5,$ET$48,
PLANS!$B$1=6,$ET$47,
PLANS!$B$1=7,$ET$46,
PLANS!$B$1=8,$ET$45,
PLANS!$B$1=9,$ET$44,
PLANS!$B$1=10,$ET$43,
PLANS!$B$1=11,$ET$42,
PLANS!$B$1=12,$ET$41,
PLANS!$B$1=13,$ET$40,
PLANS!$B$1=14,$ET$39,
PLANS!$B$1=15,$ET$38,
PLANS!$B$1=16,$ET$37,
PLANS!$B$1=17,$ET$36,
PLANS!$B$1=18,$ET$35,
PLANS!$B$1=19,$ET$34,
PLANS!$B$1=20,$ET$33,
PLANS!$B$1=21,$ET$32,
PLANS!$B$1=22,$ET$31,
PLANS!$B$1=23,$ET$30,
PLANS!$B$1=24,$ET$29,
PLANS!$B$1=25,$ET$28,
PLANS!$B$1=26,$ET$27,
PLANS!$B$1=27,$ET$26,
PLANS!$B$1=28,$ET$25,
PLANS!$B$1=29,$ET$24,
PLANS!$B$1=30,$ET$23,
PLANS!$B$1=31,$ET$22,
PLANS!$B$1=32,0,
TRUE,0),
HUD!$CC$20="Y",
_xlfn.IFS(
PLANS!$B$1=1,0,
PLANS!$B$1=2,$ET$52,
PLANS!$B$1=3,$ET$51,
PLANS!$B$1=4,$ET$50,
PLANS!$B$1=5,$ET$49,
PLANS!$B$1=6,$ET$48,
PLANS!$B$1=7,$ET$47,
PLANS!$B$1=8,$ET$46,
PLANS!$B$1=9,$ET$45,
PLANS!$B$1=10,$ET$44,
PLANS!$B$1=11,$ET$43,
PLANS!$B$1=12,$ET$42,
PLANS!$B$1=13,$ET$41,
PLANS!$B$1=14,$ET$40,
PLANS!$B$1=15,$ET$39,
PLANS!$B$1=16,$ET$38,
PLANS!$B$1=17,$ET$37,
PLANS!$B$1=18,$ET$36,
PLANS!$B$1=19,$ET$35,
PLANS!$B$1=20,$ET$34,
PLANS!$B$1=21,$ET$33,
PLANS!$B$1=22,$ET$32,
PLANS!$B$1=23,$ET$31,
PLANS!$B$1=24,$ET$30,
PLANS!$B$1=25,$ET$29,
PLANS!$B$1=26,$ET$28,
PLANS!$B$1=27,$ET$27,
PLANS!$B$1=28,$ET$26,
PLANS!$B$1=29,$ET$25,
PLANS!$B$1=30,$ET$24,
PLANS!$B$1=31,$ET$23,
PLANS!$B$1=32,0,
TRUE,0),
HUD!$CC$20="A", $EP$193,
HUD!$CC$20="M", $EP$196,
TRUE,0
)</f>
        <v>0</v>
      </c>
      <c r="EQ182" s="1947">
        <v>0</v>
      </c>
      <c r="ER182" s="1947">
        <v>0</v>
      </c>
      <c r="ES182" s="1947">
        <v>0</v>
      </c>
      <c r="ET182" s="1947">
        <v>0</v>
      </c>
      <c r="EU182" s="1947">
        <v>0</v>
      </c>
      <c r="EV182" s="1947">
        <v>0</v>
      </c>
      <c r="JC182" s="3203"/>
      <c r="JD182" s="3203"/>
      <c r="JE182" s="3203"/>
      <c r="JF182" s="3203"/>
      <c r="JG182" s="3203"/>
      <c r="JH182" s="3203"/>
      <c r="JI182" s="3203"/>
      <c r="JJ182" s="3203"/>
      <c r="JK182" s="3203"/>
      <c r="JL182" s="3203"/>
      <c r="JM182" s="3203"/>
      <c r="JN182" s="3203"/>
      <c r="KV182" s="3046"/>
    </row>
    <row r="183" spans="132:309" ht="17.100000000000001" customHeight="1" x14ac:dyDescent="0.2">
      <c r="EB183" s="1948">
        <v>21</v>
      </c>
      <c r="EC183" s="1946">
        <v>0</v>
      </c>
      <c r="ED183" s="1946">
        <v>0</v>
      </c>
      <c r="EE183" s="1946">
        <v>0</v>
      </c>
      <c r="EF183" s="1946">
        <v>0</v>
      </c>
      <c r="EG183" s="1946">
        <v>0</v>
      </c>
      <c r="EH183" s="1946">
        <v>0</v>
      </c>
      <c r="EI183" s="1949">
        <f ca="1">EI182/2</f>
        <v>0</v>
      </c>
      <c r="EJ183" s="1946">
        <v>0</v>
      </c>
      <c r="EK183" s="1946">
        <v>0</v>
      </c>
      <c r="EM183" s="1948">
        <v>21</v>
      </c>
      <c r="EN183" s="1947">
        <v>0</v>
      </c>
      <c r="EO183" s="1947">
        <v>0</v>
      </c>
      <c r="EP183" s="1949">
        <f ca="1">EP182/2</f>
        <v>0</v>
      </c>
      <c r="EQ183" s="1947">
        <v>0</v>
      </c>
      <c r="ER183" s="1947">
        <v>0</v>
      </c>
      <c r="ES183" s="1947">
        <v>0</v>
      </c>
      <c r="ET183" s="1947">
        <v>0</v>
      </c>
      <c r="EU183" s="1947">
        <v>0</v>
      </c>
      <c r="EV183" s="1947">
        <v>0</v>
      </c>
      <c r="JC183" s="3203"/>
      <c r="JD183" s="3203"/>
      <c r="JE183" s="3203"/>
      <c r="JF183" s="3203"/>
      <c r="JG183" s="3203"/>
      <c r="JH183" s="3203"/>
      <c r="JI183" s="3203"/>
      <c r="JJ183" s="3203"/>
      <c r="JK183" s="3203"/>
      <c r="JL183" s="3203"/>
      <c r="JM183" s="3203"/>
      <c r="JN183" s="3203"/>
      <c r="KV183" s="3046"/>
    </row>
    <row r="184" spans="132:309" ht="17.100000000000001" customHeight="1" x14ac:dyDescent="0.2">
      <c r="EB184" s="1773">
        <v>22</v>
      </c>
      <c r="EC184" s="1946">
        <v>0</v>
      </c>
      <c r="ED184" s="1946">
        <v>0</v>
      </c>
      <c r="EE184" s="1946">
        <v>0</v>
      </c>
      <c r="EF184" s="1946">
        <v>0</v>
      </c>
      <c r="EG184" s="1946">
        <v>0</v>
      </c>
      <c r="EH184" s="1946">
        <v>0</v>
      </c>
      <c r="EI184" s="1946">
        <v>0</v>
      </c>
      <c r="EJ184" s="1949">
        <f ca="1">EJ185/2</f>
        <v>0</v>
      </c>
      <c r="EK184" s="1946">
        <v>0</v>
      </c>
      <c r="EM184" s="1948">
        <v>22</v>
      </c>
      <c r="EN184" s="1947">
        <v>0</v>
      </c>
      <c r="EO184" s="1949">
        <f ca="1">EO185/2</f>
        <v>0</v>
      </c>
      <c r="EP184" s="1947">
        <v>0</v>
      </c>
      <c r="EQ184" s="1947">
        <v>0</v>
      </c>
      <c r="ER184" s="1947">
        <v>0</v>
      </c>
      <c r="ES184" s="1947">
        <v>0</v>
      </c>
      <c r="ET184" s="1947">
        <v>0</v>
      </c>
      <c r="EU184" s="1947">
        <v>0</v>
      </c>
      <c r="EV184" s="1947">
        <v>0</v>
      </c>
      <c r="JC184" s="3203"/>
      <c r="JD184" s="3203"/>
      <c r="JE184" s="3203"/>
      <c r="JF184" s="3203"/>
      <c r="JG184" s="3203"/>
      <c r="JH184" s="3203"/>
      <c r="JI184" s="3203"/>
      <c r="JJ184" s="3203"/>
      <c r="JK184" s="3203"/>
      <c r="JL184" s="3203"/>
      <c r="JM184" s="3203"/>
      <c r="JN184" s="3203"/>
      <c r="KV184" s="3046"/>
    </row>
    <row r="185" spans="132:309" ht="17.100000000000001" customHeight="1" x14ac:dyDescent="0.2">
      <c r="EB185" s="1948">
        <v>23</v>
      </c>
      <c r="EC185" s="1946">
        <v>0</v>
      </c>
      <c r="ED185" s="1946">
        <v>0</v>
      </c>
      <c r="EE185" s="1946">
        <v>0</v>
      </c>
      <c r="EF185" s="1946">
        <v>0</v>
      </c>
      <c r="EG185" s="1946">
        <v>0</v>
      </c>
      <c r="EH185" s="1946">
        <v>0</v>
      </c>
      <c r="EI185" s="1946">
        <v>0</v>
      </c>
      <c r="EJ185" s="1950">
        <f ca="1">_xlfn.IFS(HUD!$CC$20="T",
_xlfn.IFS(
PLANS!$B$1=1,$EJ$52,
PLANS!$B$1=2,$EJ$51,
PLANS!$B$1=3,$EJ$50,
PLANS!$B$1=4,$EJ$49,
PLANS!$B$1=5,$EJ$48,
PLANS!$B$1=6,$EJ$47,
PLANS!$B$1=7,$EJ$46,
PLANS!$B$1=8,$EJ$45,
PLANS!$B$1=9,$EJ$44,
PLANS!$B$1=10,$EJ$43,
PLANS!$B$1=11,$EJ$42,
PLANS!$B$1=12,$EJ$41,
PLANS!$B$1=13,$EJ$40,
PLANS!$B$1=14,$EJ$39,
PLANS!$B$1=15,$EJ$38,
PLANS!$B$1=16,$EJ$37,
PLANS!$B$1=17,$EJ$36,
PLANS!$B$1=18,$EJ$35,
PLANS!$B$1=19,$EJ$34,
PLANS!$B$1=20,$EJ$33,
PLANS!$B$1=21,$EJ$32,
PLANS!$B$1=22,$EJ$31,
PLANS!$B$1=23,$EJ$30,
PLANS!$B$1=24,$EJ$29,
PLANS!$B$1=25,$EJ$28,
PLANS!$B$1=26,$EJ$27,
PLANS!$B$1=27,$EJ$26,
PLANS!$B$1=28,$EJ$25,
PLANS!$B$1=29,$EJ$24,
PLANS!$B$1=30,$EJ$23,
PLANS!$B$1=31,$EJ$22,
PLANS!$B$1=32,0,
TRUE,0),
HUD!$CC$20="Y",
_xlfn.IFS(
PLANS!$B$1=1,0,
PLANS!$B$1=2,$EJ$52,
PLANS!$B$1=3,$EJ$51,
PLANS!$B$1=4,$EJ$50,
PLANS!$B$1=5,$EJ$49,
PLANS!$B$1=6,$EJ$48,
PLANS!$B$1=7,$EJ$47,
PLANS!$B$1=8,$EJ$46,
PLANS!$B$1=9,$EJ$45,
PLANS!$B$1=10,$EJ$44,
PLANS!$B$1=11,$EJ$43,
PLANS!$B$1=12,$EJ$42,
PLANS!$B$1=13,$EJ$41,
PLANS!$B$1=14,$EJ$40,
PLANS!$B$1=15,$EJ$39,
PLANS!$B$1=16,$EJ$38,
PLANS!$B$1=17,$EJ$37,
PLANS!$B$1=18,$EJ$36,
PLANS!$B$1=19,$EJ$35,
PLANS!$B$1=20,$EJ$34,
PLANS!$B$1=21,$EJ$33,
PLANS!$B$1=22,$EJ$32,
PLANS!$B$1=23,$EJ$31,
PLANS!$B$1=24,$EJ$30,
PLANS!$B$1=25,$EJ$29,
PLANS!$B$1=26,$EJ$28,
PLANS!$B$1=27,$EJ$27,
PLANS!$B$1=28,$EJ$26,
PLANS!$B$1=29,$EJ$25,
PLANS!$B$1=30,$EJ$24,
PLANS!$B$1=31,$EJ$23,
PLANS!$B$1=32,0,
TRUE,0),
HUD!$CC$20="A", $EJ$193,
HUD!$CC$20="M", $EJ$196,
TRUE,0
)</f>
        <v>0</v>
      </c>
      <c r="EK185" s="1946">
        <v>0</v>
      </c>
      <c r="EM185" s="1948">
        <v>23</v>
      </c>
      <c r="EN185" s="1947">
        <v>0</v>
      </c>
      <c r="EO185" s="1950">
        <f ca="1">_xlfn.IFS(HUD!$CC$20="T",
_xlfn.IFS(
PLANS!$B$1=1,$EU$52,
PLANS!$B$1=2,$EU$51,
PLANS!$B$1=3,$EU$50,
PLANS!$B$1=4,$EU$49,
PLANS!$B$1=5,$EU$48,
PLANS!$B$1=6,$EU$47,
PLANS!$B$1=7,$EU$46,
PLANS!$B$1=8,$EU$45,
PLANS!$B$1=9,$EU$44,
PLANS!$B$1=10,$EU$43,
PLANS!$B$1=11,$EU$42,
PLANS!$B$1=12,$EU$41,
PLANS!$B$1=13,$EU$40,
PLANS!$B$1=14,$EU$39,
PLANS!$B$1=15,$EU$38,
PLANS!$B$1=16,$EU$37,
PLANS!$B$1=17,$EU$36,
PLANS!$B$1=18,$EU$35,
PLANS!$B$1=19,$EU$34,
PLANS!$B$1=20,$EU$33,
PLANS!$B$1=21,$EU$32,
PLANS!$B$1=22,$EU$31,
PLANS!$B$1=23,$EU$30,
PLANS!$B$1=24,$EU$29,
PLANS!$B$1=25,$EU$28,
PLANS!$B$1=26,$EU$27,
PLANS!$B$1=27,$EU$26,
PLANS!$B$1=28,$EU$25,
PLANS!$B$1=29,$EU$24,
PLANS!$B$1=30,$EU$23,
PLANS!$B$1=31,$EU$22,
PLANS!$B$1=32,0,
TRUE,0),
HUD!$CC$20="Y",
_xlfn.IFS(
PLANS!$B$1=1,0,
PLANS!$B$1=2,$EU$52,
PLANS!$B$1=3,$EU$51,
PLANS!$B$1=4,$EU$50,
PLANS!$B$1=5,$EU$49,
PLANS!$B$1=6,$EU$48,
PLANS!$B$1=7,$EU$47,
PLANS!$B$1=8,$EU$46,
PLANS!$B$1=9,$EU$45,
PLANS!$B$1=10,$EU$44,
PLANS!$B$1=11,$EU$43,
PLANS!$B$1=12,$EU$42,
PLANS!$B$1=13,$EU$41,
PLANS!$B$1=14,$EU$40,
PLANS!$B$1=15,$EU$39,
PLANS!$B$1=16,$EU$38,
PLANS!$B$1=17,$EU$37,
PLANS!$B$1=18,$EU$36,
PLANS!$B$1=19,$EU$35,
PLANS!$B$1=20,$EU$34,
PLANS!$B$1=21,$EU$33,
PLANS!$B$1=22,$EU$32,
PLANS!$B$1=23,$EU$31,
PLANS!$B$1=24,$EU$30,
PLANS!$B$1=25,$EU$29,
PLANS!$B$1=26,$EU$28,
PLANS!$B$1=27,$EU$27,
PLANS!$B$1=28,$EU$26,
PLANS!$B$1=29,$EU$25,
PLANS!$B$1=30,$EU$24,
PLANS!$B$1=31,$EU$23,
PLANS!$B$1=32,0,
TRUE,0),
HUD!$CC$20="A", $EO$193,
HUD!$CC$20="M", $EO$196,
TRUE,0
)</f>
        <v>0</v>
      </c>
      <c r="EP185" s="1947">
        <v>0</v>
      </c>
      <c r="EQ185" s="1947">
        <v>0</v>
      </c>
      <c r="ER185" s="1947">
        <v>0</v>
      </c>
      <c r="ES185" s="1947">
        <v>0</v>
      </c>
      <c r="ET185" s="1947">
        <v>0</v>
      </c>
      <c r="EU185" s="1947">
        <v>0</v>
      </c>
      <c r="EV185" s="1947">
        <v>0</v>
      </c>
      <c r="JC185" s="3203"/>
      <c r="JD185" s="3203"/>
      <c r="JE185" s="3203"/>
      <c r="JF185" s="3203"/>
      <c r="JG185" s="3203"/>
      <c r="JH185" s="3203"/>
      <c r="JI185" s="3203"/>
      <c r="JJ185" s="3203"/>
      <c r="JK185" s="3203"/>
      <c r="JL185" s="3203"/>
      <c r="JM185" s="3203"/>
      <c r="JN185" s="3203"/>
    </row>
    <row r="186" spans="132:309" ht="17.100000000000001" customHeight="1" x14ac:dyDescent="0.2">
      <c r="EB186" s="1773">
        <v>24</v>
      </c>
      <c r="EC186" s="1946">
        <v>0</v>
      </c>
      <c r="ED186" s="1946">
        <v>0</v>
      </c>
      <c r="EE186" s="1946">
        <v>0</v>
      </c>
      <c r="EF186" s="1946">
        <v>0</v>
      </c>
      <c r="EG186" s="1946">
        <v>0</v>
      </c>
      <c r="EH186" s="1946">
        <v>0</v>
      </c>
      <c r="EI186" s="1946">
        <v>0</v>
      </c>
      <c r="EJ186" s="1949">
        <f ca="1">EJ185/2</f>
        <v>0</v>
      </c>
      <c r="EK186" s="1946">
        <v>0</v>
      </c>
      <c r="EM186" s="1948">
        <v>24</v>
      </c>
      <c r="EN186" s="1947">
        <v>0</v>
      </c>
      <c r="EO186" s="1949">
        <f ca="1">EO185/2</f>
        <v>0</v>
      </c>
      <c r="EP186" s="1947">
        <v>0</v>
      </c>
      <c r="EQ186" s="1947">
        <v>0</v>
      </c>
      <c r="ER186" s="1947">
        <v>0</v>
      </c>
      <c r="ES186" s="1947">
        <v>0</v>
      </c>
      <c r="ET186" s="1947">
        <v>0</v>
      </c>
      <c r="EU186" s="1947">
        <v>0</v>
      </c>
      <c r="EV186" s="1947">
        <v>0</v>
      </c>
      <c r="JC186" s="3203"/>
      <c r="JD186" s="3203"/>
      <c r="JE186" s="3203"/>
      <c r="JF186" s="3203"/>
      <c r="JG186" s="3203"/>
      <c r="JH186" s="3203"/>
      <c r="JI186" s="3203"/>
      <c r="JJ186" s="3203"/>
      <c r="JK186" s="3203"/>
      <c r="JL186" s="3203"/>
      <c r="JM186" s="3203"/>
      <c r="JN186" s="3203"/>
      <c r="KV186" s="3046"/>
    </row>
    <row r="187" spans="132:309" ht="17.100000000000001" customHeight="1" x14ac:dyDescent="0.2">
      <c r="EB187" s="1948">
        <v>25</v>
      </c>
      <c r="EC187" s="1946">
        <v>0</v>
      </c>
      <c r="ED187" s="1946">
        <v>0</v>
      </c>
      <c r="EE187" s="1946">
        <v>0</v>
      </c>
      <c r="EF187" s="1946">
        <v>0</v>
      </c>
      <c r="EG187" s="1946">
        <v>0</v>
      </c>
      <c r="EH187" s="1946">
        <v>0</v>
      </c>
      <c r="EI187" s="1946">
        <v>0</v>
      </c>
      <c r="EJ187" s="1946">
        <v>0</v>
      </c>
      <c r="EK187" s="1949">
        <f ca="1">EK188/2</f>
        <v>0</v>
      </c>
      <c r="EM187" s="1948">
        <v>25</v>
      </c>
      <c r="EN187" s="1949">
        <f ca="1">EN188/2</f>
        <v>0</v>
      </c>
      <c r="EO187" s="1947">
        <v>0</v>
      </c>
      <c r="EP187" s="1947">
        <v>0</v>
      </c>
      <c r="EQ187" s="1947">
        <v>0</v>
      </c>
      <c r="ER187" s="1947">
        <v>0</v>
      </c>
      <c r="ES187" s="1947">
        <v>0</v>
      </c>
      <c r="ET187" s="1947">
        <v>0</v>
      </c>
      <c r="EU187" s="1947">
        <v>0</v>
      </c>
      <c r="EV187" s="1947">
        <v>0</v>
      </c>
      <c r="JC187" s="3203"/>
      <c r="JD187" s="3203"/>
      <c r="JE187" s="3203"/>
      <c r="JF187" s="3203"/>
      <c r="JG187" s="3203"/>
      <c r="JH187" s="3203"/>
      <c r="JI187" s="3203"/>
      <c r="JJ187" s="3203"/>
      <c r="JK187" s="3203"/>
      <c r="JL187" s="3203"/>
      <c r="JM187" s="3203"/>
      <c r="JN187" s="3203"/>
      <c r="KV187" s="3046"/>
    </row>
    <row r="188" spans="132:309" ht="17.100000000000001" customHeight="1" x14ac:dyDescent="0.2">
      <c r="EB188" s="1773">
        <v>26</v>
      </c>
      <c r="EC188" s="1946">
        <v>0</v>
      </c>
      <c r="ED188" s="1946">
        <v>0</v>
      </c>
      <c r="EE188" s="1946">
        <v>0</v>
      </c>
      <c r="EF188" s="1946">
        <v>0</v>
      </c>
      <c r="EG188" s="1946">
        <v>0</v>
      </c>
      <c r="EH188" s="1946">
        <v>0</v>
      </c>
      <c r="EI188" s="1946">
        <v>0</v>
      </c>
      <c r="EJ188" s="1946">
        <v>0</v>
      </c>
      <c r="EK188" s="1950">
        <f ca="1">_xlfn.IFS(HUD!$CC$20="T",
_xlfn.IFS(
PLANS!$B$1=1,$EK$52,
PLANS!$B$1=2,$EK$51,
PLANS!$B$1=3,$EK$50,
PLANS!$B$1=4,$EK$49,
PLANS!$B$1=5,$EK$48,
PLANS!$B$1=6,$EK$47,
PLANS!$B$1=7,$EK$46,
PLANS!$B$1=8,$EK$45,
PLANS!$B$1=9,$EK$44,
PLANS!$B$1=10,$EK$43,
PLANS!$B$1=11,$EK$42,
PLANS!$B$1=12,$EK$41,
PLANS!$B$1=13,$EK$40,
PLANS!$B$1=14,$EK$39,
PLANS!$B$1=15,$EK$38,
PLANS!$B$1=16,$EK$37,
PLANS!$B$1=17,$EK$36,
PLANS!$B$1=18,$EK$35,
PLANS!$B$1=19,$EK$34,
PLANS!$B$1=20,$EK$33,
PLANS!$B$1=21,$EK$32,
PLANS!$B$1=22,$EK$31,
PLANS!$B$1=23,$EK$30,
PLANS!$B$1=24,$EK$29,
PLANS!$B$1=25,$EK$28,
PLANS!$B$1=26,$EK$27,
PLANS!$B$1=27,$EK$26,
PLANS!$B$1=28,$EK$25,
PLANS!$B$1=29,$EK$24,
PLANS!$B$1=30,$EK$23,
PLANS!$B$1=31,$EK$22,
PLANS!$B$1=32,0,
TRUE,0),
HUD!$CC$20="Y",
_xlfn.IFS(
PLANS!$B$1=1,0,
PLANS!$B$1=2,$EK$52,
PLANS!$B$1=3,$EK$51,
PLANS!$B$1=4,$EK$50,
PLANS!$B$1=5,$EK$49,
PLANS!$B$1=6,$EK$48,
PLANS!$B$1=7,$EK$47,
PLANS!$B$1=8,$EK$46,
PLANS!$B$1=9,$EK$45,
PLANS!$B$1=10,$EK$44,
PLANS!$B$1=11,$EK$43,
PLANS!$B$1=12,$EK$42,
PLANS!$B$1=13,$EK$41,
PLANS!$B$1=14,$EK$40,
PLANS!$B$1=15,$EK$39,
PLANS!$B$1=16,$EK$38,
PLANS!$B$1=17,$EK$37,
PLANS!$B$1=18,$EK$36,
PLANS!$B$1=19,$EK$35,
PLANS!$B$1=20,$EK$34,
PLANS!$B$1=21,$EK$33,
PLANS!$B$1=22,$EK$32,
PLANS!$B$1=23,$EK$31,
PLANS!$B$1=24,$EK$30,
PLANS!$B$1=25,$EK$29,
PLANS!$B$1=26,$EK$28,
PLANS!$B$1=27,$EK$27,
PLANS!$B$1=28,$EK$26,
PLANS!$B$1=29,$EK$25,
PLANS!$B$1=30,$EK$24,
PLANS!$B$1=31,$EK$23,
PLANS!$B$1=32,0,
TRUE,0),
HUD!$CC$20="A", $EK$193,
HUD!$CC$20="M", $EK$196,
TRUE,0
)</f>
        <v>0</v>
      </c>
      <c r="EL188" s="1796"/>
      <c r="EM188" s="1948">
        <v>26</v>
      </c>
      <c r="EN188" s="1950">
        <f ca="1">_xlfn.IFS(HUD!$CC$20="T",
_xlfn.IFS(
PLANS!$B$1=1,$EV$52,
PLANS!$B$1=2,$EV$51,
PLANS!$B$1=3,$EV$50,
PLANS!$B$1=4,$EV$49,
PLANS!$B$1=5,$EV$48,
PLANS!$B$1=6,$EV$47,
PLANS!$B$1=7,$EV$46,
PLANS!$B$1=8,$EV$45,
PLANS!$B$1=9,$EV$44,
PLANS!$B$1=10,$EV$43,
PLANS!$B$1=11,$EV$42,
PLANS!$B$1=12,$EV$41,
PLANS!$B$1=13,$EV$40,
PLANS!$B$1=14,$EV$39,
PLANS!$B$1=15,$EV$38,
PLANS!$B$1=16,$EV$37,
PLANS!$B$1=17,$EV$36,
PLANS!$B$1=18,$EV$35,
PLANS!$B$1=19,$EV$34,
PLANS!$B$1=20,$EV$33,
PLANS!$B$1=21,$EV$32,
PLANS!$B$1=22,$EV$31,
PLANS!$B$1=23,$EV$30,
PLANS!$B$1=24,$EV$29,
PLANS!$B$1=25,$EV$28,
PLANS!$B$1=26,$EV$27,
PLANS!$B$1=27,$EV$26,
PLANS!$B$1=28,$EV$25,
PLANS!$B$1=29,$EV$24,
PLANS!$B$1=30,$EV$23,
PLANS!$B$1=31,$EV$22,
PLANS!$B$1=32,0,
TRUE,0),
HUD!$CC$20="Y",
_xlfn.IFS(
PLANS!$B$1=1,0,
PLANS!$B$1=2,$EV$52,
PLANS!$B$1=3,$EV$51,
PLANS!$B$1=4,$EV$50,
PLANS!$B$1=5,$EV$49,
PLANS!$B$1=6,$EV$48,
PLANS!$B$1=7,$EV$47,
PLANS!$B$1=8,$EV$46,
PLANS!$B$1=9,$EV$45,
PLANS!$B$1=10,$EV$44,
PLANS!$B$1=11,$EV$43,
PLANS!$B$1=12,$EV$42,
PLANS!$B$1=13,$EV$41,
PLANS!$B$1=14,$EV$40,
PLANS!$B$1=15,$EV$39,
PLANS!$B$1=16,$EV$38,
PLANS!$B$1=17,$EV$37,
PLANS!$B$1=18,$EV$36,
PLANS!$B$1=19,$EV$35,
PLANS!$B$1=20,$EV$34,
PLANS!$B$1=21,$EV$33,
PLANS!$B$1=22,$EV$32,
PLANS!$B$1=23,$EV$31,
PLANS!$B$1=24,$EV$30,
PLANS!$B$1=25,$EV$29,
PLANS!$B$1=26,$EV$28,
PLANS!$B$1=27,$EV$27,
PLANS!$B$1=28,$EV$26,
PLANS!$B$1=29,$EV$25,
PLANS!$B$1=30,$EV$24,
PLANS!$B$1=31,$EV$23,
PLANS!$B$1=32,0,
TRUE,0),
HUD!$CC$20="A", $EN$193,
HUD!$CC$20="M", $EN$196,
TRUE,0
)</f>
        <v>0</v>
      </c>
      <c r="EO188" s="1947">
        <v>0</v>
      </c>
      <c r="EP188" s="1947">
        <v>0</v>
      </c>
      <c r="EQ188" s="1947">
        <v>0</v>
      </c>
      <c r="ER188" s="1947">
        <v>0</v>
      </c>
      <c r="ES188" s="1947">
        <v>0</v>
      </c>
      <c r="ET188" s="1947">
        <v>0</v>
      </c>
      <c r="EU188" s="1947">
        <v>0</v>
      </c>
      <c r="EV188" s="1947">
        <v>0</v>
      </c>
      <c r="JC188" s="3203"/>
      <c r="JD188" s="3203"/>
      <c r="JE188" s="3203"/>
      <c r="JF188" s="3203"/>
      <c r="JG188" s="3203"/>
      <c r="JH188" s="3203"/>
      <c r="JI188" s="3203"/>
      <c r="JJ188" s="3203"/>
      <c r="JK188" s="3203"/>
      <c r="JL188" s="3203"/>
      <c r="JM188" s="3203"/>
      <c r="JN188" s="3203"/>
    </row>
    <row r="189" spans="132:309" ht="17.100000000000001" customHeight="1" x14ac:dyDescent="0.2">
      <c r="EB189" s="1948">
        <v>27</v>
      </c>
      <c r="EC189" s="1946">
        <v>0</v>
      </c>
      <c r="ED189" s="1946">
        <v>0</v>
      </c>
      <c r="EE189" s="1946">
        <v>0</v>
      </c>
      <c r="EF189" s="1946">
        <v>0</v>
      </c>
      <c r="EG189" s="1946">
        <v>0</v>
      </c>
      <c r="EH189" s="1946">
        <v>0</v>
      </c>
      <c r="EI189" s="1946">
        <v>0</v>
      </c>
      <c r="EJ189" s="1946">
        <v>0</v>
      </c>
      <c r="EK189" s="1949">
        <f ca="1">EK188/2</f>
        <v>0</v>
      </c>
      <c r="EL189" s="1796"/>
      <c r="EM189" s="1948">
        <v>27</v>
      </c>
      <c r="EN189" s="1949">
        <f ca="1">EN188/2</f>
        <v>0</v>
      </c>
      <c r="EO189" s="1947">
        <v>0</v>
      </c>
      <c r="EP189" s="1947">
        <v>0</v>
      </c>
      <c r="EQ189" s="1947">
        <v>0</v>
      </c>
      <c r="ER189" s="1947">
        <v>0</v>
      </c>
      <c r="ES189" s="1947">
        <v>0</v>
      </c>
      <c r="ET189" s="1947">
        <v>0</v>
      </c>
      <c r="EU189" s="1947">
        <v>0</v>
      </c>
      <c r="EV189" s="1947">
        <v>0</v>
      </c>
      <c r="JC189" s="3203"/>
      <c r="JD189" s="3203"/>
      <c r="JE189" s="3203"/>
      <c r="JF189" s="3203"/>
      <c r="JG189" s="3203"/>
      <c r="JH189" s="3203"/>
      <c r="JI189" s="3203"/>
      <c r="JJ189" s="3203"/>
      <c r="JK189" s="3203"/>
      <c r="JL189" s="3203"/>
      <c r="JM189" s="3203"/>
      <c r="JN189" s="3203"/>
    </row>
    <row r="190" spans="132:309" ht="17.100000000000001" customHeight="1" x14ac:dyDescent="0.2">
      <c r="EB190" s="1773">
        <v>28</v>
      </c>
      <c r="EC190" s="1946">
        <v>0</v>
      </c>
      <c r="ED190" s="1946">
        <v>0</v>
      </c>
      <c r="EE190" s="1946">
        <v>0</v>
      </c>
      <c r="EF190" s="1946">
        <v>0</v>
      </c>
      <c r="EG190" s="1946">
        <v>0</v>
      </c>
      <c r="EH190" s="1946">
        <v>0</v>
      </c>
      <c r="EI190" s="1946">
        <v>0</v>
      </c>
      <c r="EJ190" s="1946">
        <v>0</v>
      </c>
      <c r="EK190" s="1946">
        <v>0</v>
      </c>
      <c r="EL190" s="1796"/>
      <c r="EM190" s="1948">
        <v>28</v>
      </c>
      <c r="EN190" s="1947">
        <v>0</v>
      </c>
      <c r="EO190" s="1947">
        <v>0</v>
      </c>
      <c r="EP190" s="1947">
        <v>0</v>
      </c>
      <c r="EQ190" s="1947">
        <v>0</v>
      </c>
      <c r="ER190" s="1947">
        <v>0</v>
      </c>
      <c r="ES190" s="1947">
        <v>0</v>
      </c>
      <c r="ET190" s="1947">
        <v>0</v>
      </c>
      <c r="EU190" s="1947">
        <v>0</v>
      </c>
      <c r="EV190" s="1947">
        <v>0</v>
      </c>
      <c r="JC190" s="3203"/>
      <c r="JD190" s="3203"/>
      <c r="JE190" s="3203"/>
      <c r="JF190" s="3203"/>
      <c r="JG190" s="3203"/>
      <c r="JH190" s="3203"/>
      <c r="JI190" s="3203"/>
      <c r="JJ190" s="3203"/>
      <c r="JK190" s="3203"/>
      <c r="JL190" s="3203"/>
      <c r="JM190" s="3203"/>
      <c r="JN190" s="3203"/>
      <c r="KV190" s="3046"/>
      <c r="KW190" s="3047"/>
    </row>
    <row r="191" spans="132:309" ht="17.100000000000001" customHeight="1" x14ac:dyDescent="0.2">
      <c r="EB191" s="1796"/>
      <c r="EC191" s="1796"/>
      <c r="ED191" s="1796"/>
      <c r="EE191" s="1796"/>
      <c r="EF191" s="1796"/>
      <c r="EG191" s="1796"/>
      <c r="EH191" s="1796"/>
      <c r="EI191" s="1796"/>
      <c r="EJ191" s="1796"/>
      <c r="EK191" s="1796"/>
      <c r="EL191" s="1796"/>
      <c r="EM191" s="1796"/>
      <c r="EN191" s="1796"/>
      <c r="EO191" s="1796"/>
      <c r="EP191" s="1796"/>
      <c r="EQ191" s="1796"/>
      <c r="ER191" s="1796"/>
      <c r="ES191" s="1796"/>
      <c r="ET191" s="1796"/>
      <c r="EU191" s="1796"/>
      <c r="EV191" s="1796"/>
      <c r="JC191" s="3203"/>
      <c r="JD191" s="3203"/>
      <c r="JE191" s="3203"/>
      <c r="JF191" s="3203"/>
      <c r="JG191" s="3203"/>
      <c r="JH191" s="3203"/>
      <c r="JI191" s="3203"/>
      <c r="JJ191" s="3203"/>
      <c r="JK191" s="3203"/>
      <c r="JL191" s="3203"/>
      <c r="JM191" s="3203"/>
      <c r="JN191" s="3203"/>
      <c r="KV191" s="3046"/>
      <c r="KW191" s="3047"/>
    </row>
    <row r="192" spans="132:309" ht="17.100000000000001" customHeight="1" x14ac:dyDescent="0.2">
      <c r="EB192" s="1796"/>
      <c r="EC192" s="5142" t="s">
        <v>100</v>
      </c>
      <c r="ED192" s="5142"/>
      <c r="EE192" s="5142"/>
      <c r="EF192" s="5142"/>
      <c r="EG192" s="5142"/>
      <c r="EH192" s="5142"/>
      <c r="EI192" s="5142"/>
      <c r="EJ192" s="5142"/>
      <c r="EK192" s="5142"/>
      <c r="EL192" s="1796"/>
      <c r="EM192" s="1796"/>
      <c r="EN192" s="5142" t="s">
        <v>100</v>
      </c>
      <c r="EO192" s="5142"/>
      <c r="EP192" s="5142"/>
      <c r="EQ192" s="5142"/>
      <c r="ER192" s="5142"/>
      <c r="ES192" s="5142"/>
      <c r="ET192" s="5142"/>
      <c r="EU192" s="5142"/>
      <c r="EV192" s="5142"/>
      <c r="JC192" s="3203"/>
      <c r="JD192" s="3203"/>
      <c r="JE192" s="3203"/>
      <c r="JF192" s="3203"/>
      <c r="JG192" s="3203"/>
      <c r="JH192" s="3203"/>
      <c r="JI192" s="3203"/>
      <c r="JJ192" s="3203"/>
      <c r="JK192" s="3203"/>
      <c r="JL192" s="3203"/>
      <c r="JM192" s="3203"/>
      <c r="JN192" s="3203"/>
    </row>
    <row r="193" spans="132:309" ht="17.100000000000001" customHeight="1" x14ac:dyDescent="0.2">
      <c r="EB193" s="1796"/>
      <c r="EC193" s="1950">
        <f ca="1">PROGRESS!$C$43</f>
        <v>0</v>
      </c>
      <c r="ED193" s="1950">
        <f ca="1">PROGRESS!$D$43</f>
        <v>0</v>
      </c>
      <c r="EE193" s="1950">
        <f ca="1">PROGRESS!$E$43</f>
        <v>0</v>
      </c>
      <c r="EF193" s="1950">
        <f ca="1">PROGRESS!$F$43</f>
        <v>0</v>
      </c>
      <c r="EG193" s="1950">
        <f ca="1">PROGRESS!$G$43</f>
        <v>0</v>
      </c>
      <c r="EH193" s="1950">
        <f ca="1">PROGRESS!$H$43</f>
        <v>0</v>
      </c>
      <c r="EI193" s="1950">
        <f ca="1">PROGRESS!$I$43</f>
        <v>0</v>
      </c>
      <c r="EJ193" s="1950">
        <f ca="1">PROGRESS!$J$43</f>
        <v>0</v>
      </c>
      <c r="EK193" s="1950">
        <f ca="1">PROGRESS!$K$43</f>
        <v>0</v>
      </c>
      <c r="EL193" s="1796"/>
      <c r="EM193" s="1796"/>
      <c r="EN193" s="1950">
        <f ca="1">PROGRESS!$BY$43</f>
        <v>0</v>
      </c>
      <c r="EO193" s="1950">
        <f ca="1">PROGRESS!$BX$43</f>
        <v>0</v>
      </c>
      <c r="EP193" s="1950">
        <f ca="1">PROGRESS!$BW$43</f>
        <v>0</v>
      </c>
      <c r="EQ193" s="1950">
        <f ca="1">PROGRESS!$BV$43</f>
        <v>0</v>
      </c>
      <c r="ER193" s="1950">
        <f ca="1">PROGRESS!$BU$43</f>
        <v>0</v>
      </c>
      <c r="ES193" s="1950">
        <f ca="1">PROGRESS!$BT$43</f>
        <v>0</v>
      </c>
      <c r="ET193" s="1950">
        <f ca="1">PROGRESS!$BS$43</f>
        <v>0</v>
      </c>
      <c r="EU193" s="1950">
        <f ca="1">PROGRESS!$BR$43</f>
        <v>0</v>
      </c>
      <c r="EV193" s="1950">
        <f ca="1">PROGRESS!$BQ$43</f>
        <v>0</v>
      </c>
      <c r="JC193" s="3203"/>
      <c r="JD193" s="3203"/>
      <c r="JE193" s="3203"/>
      <c r="JF193" s="3203"/>
      <c r="JG193" s="3203"/>
      <c r="JH193" s="3203"/>
      <c r="JI193" s="3203"/>
      <c r="JJ193" s="3203"/>
      <c r="JK193" s="3203"/>
      <c r="JL193" s="3203"/>
      <c r="JM193" s="3203"/>
      <c r="JN193" s="3203"/>
      <c r="KV193" s="3046"/>
      <c r="KW193" s="3047"/>
    </row>
    <row r="194" spans="132:309" ht="17.100000000000001" customHeight="1" x14ac:dyDescent="0.2">
      <c r="EB194" s="1812"/>
      <c r="EC194" s="1812"/>
      <c r="ED194" s="1812"/>
      <c r="EE194" s="1812"/>
      <c r="EF194" s="1812"/>
      <c r="EG194" s="1812"/>
      <c r="EH194" s="1812"/>
      <c r="EI194" s="1812"/>
      <c r="EJ194" s="1812"/>
      <c r="EK194" s="1812"/>
      <c r="EL194" s="1796"/>
      <c r="EM194" s="1796"/>
      <c r="EN194" s="1796"/>
      <c r="EO194" s="1796"/>
      <c r="EP194" s="1796"/>
      <c r="EQ194" s="1796"/>
      <c r="ER194" s="1796"/>
      <c r="ES194" s="1796"/>
      <c r="ET194" s="1796"/>
      <c r="EU194" s="1796"/>
      <c r="EV194" s="1796"/>
      <c r="JC194" s="3203"/>
      <c r="JD194" s="3203"/>
      <c r="JE194" s="3203"/>
      <c r="JF194" s="3203"/>
      <c r="JG194" s="3203"/>
      <c r="JH194" s="3203"/>
      <c r="JI194" s="3203"/>
      <c r="JJ194" s="3203"/>
      <c r="JK194" s="3203"/>
      <c r="JL194" s="3203"/>
      <c r="JM194" s="3203"/>
      <c r="JN194" s="3203"/>
      <c r="KV194" s="3046"/>
      <c r="KW194" s="3047"/>
    </row>
    <row r="195" spans="132:309" ht="17.100000000000001" customHeight="1" x14ac:dyDescent="0.2">
      <c r="EB195" s="1796"/>
      <c r="EC195" s="5142" t="s">
        <v>367</v>
      </c>
      <c r="ED195" s="5142"/>
      <c r="EE195" s="5142"/>
      <c r="EF195" s="5142"/>
      <c r="EG195" s="5142"/>
      <c r="EH195" s="5142"/>
      <c r="EI195" s="5142"/>
      <c r="EJ195" s="5142"/>
      <c r="EK195" s="5142"/>
      <c r="EL195" s="1796"/>
      <c r="EM195" s="1796"/>
      <c r="EN195" s="5142" t="s">
        <v>367</v>
      </c>
      <c r="EO195" s="5142"/>
      <c r="EP195" s="5142"/>
      <c r="EQ195" s="5142"/>
      <c r="ER195" s="5142"/>
      <c r="ES195" s="5142"/>
      <c r="ET195" s="5142"/>
      <c r="EU195" s="5142"/>
      <c r="EV195" s="5142"/>
      <c r="EW195" s="1796"/>
      <c r="JB195" s="1796"/>
      <c r="JC195" s="3043"/>
      <c r="JD195" s="3044"/>
      <c r="JE195" s="3044"/>
      <c r="JF195" s="3044"/>
      <c r="JG195" s="3044"/>
      <c r="JH195" s="3044"/>
      <c r="JI195" s="3044"/>
      <c r="JJ195" s="3044"/>
      <c r="JK195" s="3044"/>
      <c r="JL195" s="3044"/>
      <c r="JM195" s="3044"/>
      <c r="JN195" s="1796"/>
    </row>
    <row r="196" spans="132:309" ht="17.100000000000001" customHeight="1" x14ac:dyDescent="0.2">
      <c r="EB196" s="1796"/>
      <c r="EC196" s="1950">
        <f ca="1">PROGRESS!$C$47</f>
        <v>0</v>
      </c>
      <c r="ED196" s="1950">
        <f ca="1">PROGRESS!$D$47</f>
        <v>0</v>
      </c>
      <c r="EE196" s="1950">
        <f ca="1">PROGRESS!$E$47</f>
        <v>0</v>
      </c>
      <c r="EF196" s="1950">
        <f ca="1">PROGRESS!$F$47</f>
        <v>0</v>
      </c>
      <c r="EG196" s="1950">
        <f ca="1">PROGRESS!$G$47</f>
        <v>0</v>
      </c>
      <c r="EH196" s="1950">
        <f ca="1">PROGRESS!$H$47</f>
        <v>0</v>
      </c>
      <c r="EI196" s="1950">
        <f ca="1">PROGRESS!$I$47</f>
        <v>0</v>
      </c>
      <c r="EJ196" s="1950">
        <f ca="1">PROGRESS!$J$47</f>
        <v>0</v>
      </c>
      <c r="EK196" s="1950">
        <f ca="1">PROGRESS!$K$47</f>
        <v>0</v>
      </c>
      <c r="EL196" s="1796"/>
      <c r="EM196" s="1796"/>
      <c r="EN196" s="1950">
        <f ca="1">PROGRESS!$BY$47</f>
        <v>0</v>
      </c>
      <c r="EO196" s="1950">
        <f ca="1">PROGRESS!$BX$47</f>
        <v>0</v>
      </c>
      <c r="EP196" s="1950">
        <f ca="1">PROGRESS!$BW$47</f>
        <v>0</v>
      </c>
      <c r="EQ196" s="1950">
        <f ca="1">PROGRESS!$BV$47</f>
        <v>0</v>
      </c>
      <c r="ER196" s="1950">
        <f ca="1">PROGRESS!$BU$47</f>
        <v>0</v>
      </c>
      <c r="ES196" s="1950">
        <f ca="1">PROGRESS!$BT$47</f>
        <v>0</v>
      </c>
      <c r="ET196" s="1950">
        <f ca="1">PROGRESS!$BS$47</f>
        <v>0</v>
      </c>
      <c r="EU196" s="1950">
        <f ca="1">PROGRESS!$BR$47</f>
        <v>0</v>
      </c>
      <c r="EV196" s="1950">
        <f ca="1">PROGRESS!$BQ$47</f>
        <v>0</v>
      </c>
      <c r="EW196" s="1796"/>
      <c r="JB196" s="1796"/>
      <c r="JC196" s="3043"/>
      <c r="JD196" s="3044"/>
      <c r="JE196" s="3044"/>
      <c r="JF196" s="3044"/>
      <c r="JG196" s="3044"/>
      <c r="JH196" s="3044"/>
      <c r="JI196" s="3044"/>
      <c r="JJ196" s="3044"/>
      <c r="JK196" s="3044"/>
      <c r="JL196" s="3044"/>
      <c r="JM196" s="3044"/>
      <c r="JN196" s="1796"/>
      <c r="KV196" s="3046"/>
      <c r="KW196" s="3047"/>
    </row>
    <row r="197" spans="132:309" ht="17.100000000000001" customHeight="1" x14ac:dyDescent="0.2">
      <c r="EB197" s="1796"/>
      <c r="EC197" s="1796"/>
      <c r="ED197" s="1796"/>
      <c r="EE197" s="1796"/>
      <c r="EF197" s="1796"/>
      <c r="EG197" s="1796"/>
      <c r="EH197" s="1796"/>
      <c r="EI197" s="1796"/>
      <c r="EJ197" s="1796"/>
      <c r="EK197" s="1796"/>
      <c r="EL197" s="1796"/>
      <c r="EM197" s="1796"/>
      <c r="EN197" s="1796"/>
      <c r="EO197" s="1796"/>
      <c r="EP197" s="1796"/>
      <c r="EQ197" s="1796"/>
      <c r="ER197" s="1796"/>
      <c r="ES197" s="1796"/>
      <c r="ET197" s="1796"/>
      <c r="EU197" s="1796"/>
      <c r="EV197" s="1796"/>
      <c r="EW197" s="1796"/>
      <c r="JB197" s="1796"/>
      <c r="JC197" s="3043"/>
      <c r="JH197" s="1796"/>
      <c r="JI197" s="1796"/>
      <c r="JJ197" s="1796"/>
      <c r="JK197" s="1796"/>
      <c r="JL197" s="1796"/>
      <c r="JM197" s="1796"/>
      <c r="JN197" s="1796"/>
      <c r="KV197" s="3046"/>
      <c r="KW197" s="3047"/>
    </row>
    <row r="198" spans="132:309" ht="17.100000000000001" customHeight="1" x14ac:dyDescent="0.2">
      <c r="EB198" s="1796"/>
      <c r="EC198" s="1796"/>
      <c r="ED198" s="1796"/>
      <c r="EE198" s="1796"/>
      <c r="EF198" s="1796"/>
      <c r="EG198" s="1796"/>
      <c r="EH198" s="1796"/>
      <c r="EI198" s="1796"/>
      <c r="EJ198" s="1796"/>
      <c r="EK198" s="1796"/>
      <c r="EL198" s="1796"/>
      <c r="EM198" s="1796"/>
      <c r="ER198" s="1796"/>
      <c r="ES198" s="1796"/>
      <c r="ET198" s="1796"/>
      <c r="EU198" s="1796"/>
      <c r="EV198" s="1796"/>
      <c r="JB198" s="1796"/>
      <c r="JC198" s="3043"/>
      <c r="JH198" s="1796"/>
      <c r="JI198" s="1796"/>
      <c r="JJ198" s="1796"/>
      <c r="JK198" s="1796"/>
      <c r="JL198" s="1796"/>
      <c r="JM198" s="1796"/>
      <c r="JN198" s="1796"/>
      <c r="KV198" s="3046"/>
      <c r="KW198" s="3047"/>
    </row>
    <row r="199" spans="132:309" ht="17.100000000000001" customHeight="1" x14ac:dyDescent="0.2">
      <c r="EB199" s="1796"/>
      <c r="EC199" s="1796"/>
      <c r="ED199" s="1796"/>
      <c r="EE199" s="1796"/>
      <c r="EF199" s="1796"/>
      <c r="EG199" s="1796"/>
      <c r="EH199" s="1796"/>
      <c r="EI199" s="1796"/>
      <c r="EJ199" s="1796"/>
      <c r="EK199" s="1796"/>
      <c r="EL199" s="1796"/>
      <c r="EM199" s="1796"/>
      <c r="EN199" s="1796"/>
      <c r="EO199" s="1796"/>
      <c r="EP199" s="1796"/>
      <c r="EQ199" s="1796"/>
      <c r="ER199" s="1796"/>
      <c r="ES199" s="1796"/>
      <c r="ET199" s="1796"/>
      <c r="EU199" s="1796"/>
      <c r="EV199" s="1796"/>
      <c r="JB199" s="1796"/>
      <c r="JC199" s="3043"/>
      <c r="JH199" s="1796"/>
      <c r="JI199" s="1796"/>
      <c r="JJ199" s="1796"/>
      <c r="JK199" s="1796"/>
      <c r="JL199" s="1796"/>
      <c r="JM199" s="1796"/>
      <c r="JN199" s="1796"/>
      <c r="KV199" s="3046"/>
    </row>
    <row r="200" spans="132:309" ht="17.100000000000001" customHeight="1" x14ac:dyDescent="0.2">
      <c r="EB200" s="1896"/>
      <c r="EC200" s="1896"/>
      <c r="ED200" s="1896"/>
      <c r="EE200" s="1896"/>
      <c r="EF200" s="1896"/>
      <c r="EG200" s="1896"/>
      <c r="EH200" s="1896"/>
      <c r="EI200" s="1896"/>
      <c r="EJ200" s="1896"/>
      <c r="EK200" s="1896"/>
      <c r="EL200" s="1796"/>
      <c r="EM200" s="1796"/>
      <c r="EN200" s="1796"/>
      <c r="EO200" s="1796"/>
      <c r="EP200" s="1796"/>
      <c r="EQ200" s="1796"/>
      <c r="ER200" s="1796"/>
      <c r="ES200" s="1796"/>
      <c r="ET200" s="1796"/>
      <c r="EU200" s="1796"/>
      <c r="EV200" s="1796"/>
      <c r="JB200" s="1796"/>
      <c r="JC200" s="1796"/>
      <c r="JD200" s="1796"/>
      <c r="JE200" s="1796"/>
      <c r="JF200" s="1796"/>
      <c r="JG200" s="1796"/>
      <c r="JH200" s="1796"/>
      <c r="JI200" s="3045"/>
      <c r="JJ200" s="3045"/>
      <c r="JK200" s="3045"/>
      <c r="JL200" s="3045"/>
      <c r="JM200" s="3045"/>
      <c r="JN200" s="1796"/>
      <c r="KV200" s="3046"/>
    </row>
    <row r="201" spans="132:309" ht="17.100000000000001" customHeight="1" x14ac:dyDescent="0.2">
      <c r="EB201" s="1896"/>
      <c r="EC201" s="1896"/>
      <c r="ED201" s="1896"/>
      <c r="EE201" s="1896"/>
      <c r="EF201" s="1896"/>
      <c r="EG201" s="1896"/>
      <c r="EH201" s="1896"/>
      <c r="EI201" s="1896"/>
      <c r="EJ201" s="1896"/>
      <c r="EK201" s="1896"/>
      <c r="EL201" s="1796"/>
      <c r="EM201" s="1796"/>
      <c r="EN201" s="1796"/>
      <c r="EO201" s="1796"/>
      <c r="EP201" s="1796"/>
      <c r="EQ201" s="1796"/>
      <c r="ER201" s="1796"/>
      <c r="ES201" s="1796"/>
      <c r="ET201" s="1796"/>
      <c r="EU201" s="1796"/>
      <c r="EV201" s="1796"/>
      <c r="JB201" s="1796"/>
      <c r="JC201" s="1796"/>
      <c r="JD201" s="1796"/>
      <c r="JE201" s="1796"/>
      <c r="JF201" s="1796"/>
      <c r="JG201" s="1796"/>
      <c r="JH201" s="1796"/>
      <c r="JI201" s="1796"/>
      <c r="JJ201" s="1796"/>
      <c r="JK201" s="1796"/>
      <c r="JL201" s="1796"/>
      <c r="JM201" s="1796"/>
      <c r="JN201" s="1796"/>
    </row>
    <row r="202" spans="132:309" ht="17.100000000000001" customHeight="1" x14ac:dyDescent="0.2">
      <c r="EB202" s="1896"/>
      <c r="EC202" s="1896"/>
      <c r="ED202" s="1896"/>
      <c r="EE202" s="1896"/>
      <c r="EF202" s="1896"/>
      <c r="EG202" s="1896"/>
      <c r="EH202" s="1896"/>
      <c r="EI202" s="1896"/>
      <c r="EJ202" s="1896"/>
      <c r="EK202" s="1896"/>
      <c r="EL202" s="1796"/>
      <c r="EM202" s="1796"/>
      <c r="EN202" s="1796"/>
      <c r="EO202" s="1796"/>
      <c r="EP202" s="1796"/>
      <c r="EQ202" s="1796"/>
      <c r="ER202" s="1796"/>
      <c r="ES202" s="1796"/>
      <c r="ET202" s="1796"/>
      <c r="EU202" s="1796"/>
      <c r="EV202" s="1796"/>
      <c r="JB202" s="1796"/>
      <c r="JC202" s="1796"/>
      <c r="JN202" s="1796"/>
    </row>
    <row r="203" spans="132:309" ht="17.100000000000001" customHeight="1" x14ac:dyDescent="0.2">
      <c r="EB203" s="1896"/>
      <c r="EC203" s="1896"/>
      <c r="ED203" s="1896"/>
      <c r="EE203" s="1896"/>
      <c r="EF203" s="1896"/>
      <c r="EG203" s="1896"/>
      <c r="EH203" s="1896"/>
      <c r="EI203" s="1896"/>
      <c r="EJ203" s="1896"/>
      <c r="EK203" s="1896"/>
      <c r="EL203" s="1796"/>
      <c r="EM203" s="1796"/>
      <c r="EN203" s="1796"/>
      <c r="EO203" s="1796"/>
      <c r="EP203" s="1796"/>
      <c r="EQ203" s="1796"/>
      <c r="ER203" s="1796"/>
      <c r="ES203" s="1796"/>
      <c r="ET203" s="1796"/>
      <c r="EU203" s="1796"/>
      <c r="EV203" s="1796"/>
      <c r="JB203" s="1796"/>
      <c r="JC203" s="1796"/>
      <c r="JI203" s="3045"/>
      <c r="JJ203" s="3045"/>
      <c r="JK203" s="3045"/>
      <c r="JL203" s="3045"/>
      <c r="JM203" s="3045"/>
      <c r="JN203" s="1796"/>
      <c r="KV203" s="3046"/>
      <c r="KW203" s="3047"/>
    </row>
    <row r="204" spans="132:309" ht="17.100000000000001" customHeight="1" x14ac:dyDescent="0.2">
      <c r="EB204" s="1896"/>
      <c r="EC204" s="1896"/>
      <c r="ED204" s="1896"/>
      <c r="EE204" s="1896"/>
      <c r="EF204" s="1896"/>
      <c r="EG204" s="1896"/>
      <c r="EH204" s="1896"/>
      <c r="EI204" s="1896"/>
      <c r="EJ204" s="1896"/>
      <c r="EK204" s="1896"/>
      <c r="EL204" s="1796"/>
      <c r="EM204" s="1796"/>
      <c r="EN204" s="1796"/>
      <c r="EO204" s="1796"/>
      <c r="EP204" s="1796"/>
      <c r="EQ204" s="1796"/>
      <c r="ER204" s="1796"/>
      <c r="ES204" s="1796"/>
      <c r="ET204" s="1796"/>
      <c r="EU204" s="1796"/>
      <c r="EV204" s="1796"/>
      <c r="JB204" s="1796"/>
      <c r="JC204" s="1796"/>
      <c r="JN204" s="1796"/>
      <c r="KV204" s="3046"/>
      <c r="KW204" s="3047"/>
    </row>
    <row r="205" spans="132:309" ht="17.100000000000001" customHeight="1" x14ac:dyDescent="0.2">
      <c r="EB205" s="1896"/>
      <c r="EC205" s="1896"/>
      <c r="ED205" s="1896"/>
      <c r="EE205" s="1896"/>
      <c r="EF205" s="1896"/>
      <c r="EG205" s="1896"/>
      <c r="EH205" s="1896"/>
      <c r="EI205" s="1896"/>
      <c r="EJ205" s="1896"/>
      <c r="EK205" s="1896"/>
      <c r="EL205" s="1796"/>
      <c r="EM205" s="1796"/>
      <c r="EN205" s="1796"/>
      <c r="EO205" s="1796"/>
      <c r="EP205" s="1796"/>
      <c r="EQ205" s="1796"/>
      <c r="ER205" s="1796"/>
      <c r="ES205" s="1796"/>
      <c r="ET205" s="1796"/>
      <c r="EU205" s="1796"/>
      <c r="EV205" s="1796"/>
      <c r="JB205" s="1796"/>
      <c r="JC205" s="1796"/>
      <c r="JD205" s="1796"/>
      <c r="JE205" s="1796"/>
      <c r="JF205" s="1796"/>
      <c r="JG205" s="1796"/>
      <c r="JH205" s="1796"/>
      <c r="JI205" s="1796"/>
      <c r="JJ205" s="1796"/>
      <c r="JK205" s="1796"/>
      <c r="JL205" s="1796"/>
      <c r="JM205" s="1796"/>
      <c r="JN205" s="1796"/>
    </row>
    <row r="206" spans="132:309" ht="17.100000000000001" customHeight="1" x14ac:dyDescent="0.2">
      <c r="EB206" s="1896"/>
      <c r="EC206" s="1896"/>
      <c r="ED206" s="1896"/>
      <c r="EE206" s="1896"/>
      <c r="EF206" s="1896"/>
      <c r="EG206" s="1896"/>
      <c r="EH206" s="1896"/>
      <c r="EI206" s="1896"/>
      <c r="EJ206" s="1896"/>
      <c r="EK206" s="1896"/>
      <c r="EL206" s="1796"/>
      <c r="EM206" s="1796"/>
      <c r="EN206" s="1796"/>
      <c r="EO206" s="1796"/>
      <c r="EP206" s="1796"/>
      <c r="EQ206" s="1796"/>
      <c r="ER206" s="1796"/>
      <c r="ES206" s="1796"/>
      <c r="ET206" s="1796"/>
      <c r="EU206" s="1796"/>
      <c r="EV206" s="1796"/>
      <c r="JB206" s="1796"/>
      <c r="JC206" s="1796"/>
      <c r="JD206" s="1796"/>
      <c r="JE206" s="1796"/>
      <c r="JF206" s="1796"/>
      <c r="JG206" s="1796"/>
      <c r="JH206" s="1796"/>
      <c r="JI206" s="3045"/>
      <c r="JJ206" s="3045"/>
      <c r="JK206" s="3045"/>
      <c r="JL206" s="3045"/>
      <c r="JM206" s="3045"/>
      <c r="JN206" s="1796"/>
    </row>
    <row r="207" spans="132:309" ht="17.100000000000001" customHeight="1" x14ac:dyDescent="0.2">
      <c r="EB207" s="1896"/>
      <c r="EC207" s="1896"/>
      <c r="ED207" s="1896"/>
      <c r="EE207" s="1896"/>
      <c r="EF207" s="1896"/>
      <c r="EG207" s="1896"/>
      <c r="EH207" s="1896"/>
      <c r="EI207" s="1896"/>
      <c r="EJ207" s="1896"/>
      <c r="EK207" s="1896"/>
      <c r="EL207" s="1796"/>
      <c r="EM207" s="1796"/>
      <c r="EN207" s="1796"/>
      <c r="EO207" s="1796"/>
      <c r="EP207" s="1796"/>
      <c r="EQ207" s="1796"/>
      <c r="ER207" s="1796"/>
      <c r="ES207" s="1796"/>
      <c r="ET207" s="1796"/>
      <c r="EU207" s="1796"/>
      <c r="EV207" s="1796"/>
      <c r="JB207" s="1796"/>
      <c r="JC207" s="1796"/>
      <c r="JD207" s="1796"/>
      <c r="JE207" s="1796"/>
      <c r="JF207" s="1796"/>
      <c r="JG207" s="1796"/>
      <c r="JH207" s="1796"/>
      <c r="JI207" s="1796"/>
      <c r="JJ207" s="1796"/>
      <c r="JK207" s="1796"/>
      <c r="JL207" s="1796"/>
      <c r="JM207" s="1796"/>
      <c r="JN207" s="1796"/>
      <c r="KV207" s="3046"/>
      <c r="KW207" s="3047"/>
    </row>
    <row r="208" spans="132:309" ht="17.100000000000001" customHeight="1" x14ac:dyDescent="0.2">
      <c r="EB208" s="1896"/>
      <c r="EC208" s="1896"/>
      <c r="ED208" s="1896"/>
      <c r="EE208" s="1896"/>
      <c r="EF208" s="1896"/>
      <c r="EG208" s="1896"/>
      <c r="EH208" s="1896"/>
      <c r="EI208" s="1896"/>
      <c r="EJ208" s="1896"/>
      <c r="EK208" s="1896"/>
      <c r="EL208" s="1796"/>
      <c r="EM208" s="1796"/>
      <c r="EN208" s="1796"/>
      <c r="EO208" s="1796"/>
      <c r="EP208" s="1796"/>
      <c r="EQ208" s="1796"/>
      <c r="ER208" s="1796"/>
      <c r="ES208" s="1796"/>
      <c r="ET208" s="1796"/>
      <c r="EU208" s="1796"/>
      <c r="EV208" s="1796"/>
      <c r="JB208" s="1796"/>
      <c r="JC208" s="1796"/>
      <c r="JD208" s="1796"/>
      <c r="JE208" s="1796"/>
      <c r="JF208" s="1796"/>
      <c r="JG208" s="1796"/>
      <c r="JH208" s="1796"/>
      <c r="JI208" s="1796"/>
      <c r="JJ208" s="1796"/>
      <c r="JK208" s="1796"/>
      <c r="JL208" s="1796"/>
      <c r="JM208" s="1796"/>
      <c r="JN208" s="1796"/>
      <c r="KV208" s="3046"/>
      <c r="KW208" s="3047"/>
    </row>
    <row r="209" spans="132:309" ht="17.100000000000001" customHeight="1" x14ac:dyDescent="0.2">
      <c r="EB209" s="1896"/>
      <c r="EC209" s="1896"/>
      <c r="ED209" s="1896"/>
      <c r="EE209" s="1896"/>
      <c r="EF209" s="1896"/>
      <c r="EG209" s="1896"/>
      <c r="EH209" s="1896"/>
      <c r="EI209" s="1896"/>
      <c r="EJ209" s="1896"/>
      <c r="EK209" s="1896"/>
      <c r="EL209" s="1796"/>
      <c r="EM209" s="1796"/>
      <c r="EN209" s="1796"/>
      <c r="EO209" s="1796"/>
      <c r="EP209" s="1796"/>
      <c r="EQ209" s="1796"/>
      <c r="ER209" s="1796"/>
      <c r="ES209" s="1796"/>
      <c r="ET209" s="1796"/>
      <c r="EU209" s="1796"/>
      <c r="EV209" s="1796"/>
    </row>
    <row r="210" spans="132:309" ht="17.100000000000001" customHeight="1" x14ac:dyDescent="0.2">
      <c r="EB210" s="1896"/>
      <c r="EC210" s="1896"/>
      <c r="ED210" s="1896"/>
      <c r="EE210" s="1896"/>
      <c r="EF210" s="1896"/>
      <c r="EG210" s="1896"/>
      <c r="EH210" s="1896"/>
      <c r="EI210" s="1896"/>
      <c r="EJ210" s="1896"/>
      <c r="EK210" s="1896"/>
      <c r="EL210" s="1796"/>
      <c r="EM210" s="1796"/>
      <c r="EN210" s="1796"/>
      <c r="EO210" s="1796"/>
      <c r="EP210" s="1796"/>
      <c r="EQ210" s="1796"/>
      <c r="ER210" s="1796"/>
      <c r="ES210" s="1796"/>
      <c r="ET210" s="1796"/>
      <c r="EU210" s="1796"/>
      <c r="EV210" s="1796"/>
    </row>
    <row r="211" spans="132:309" ht="17.100000000000001" customHeight="1" x14ac:dyDescent="0.2">
      <c r="EB211" s="1896"/>
      <c r="EC211" s="1896"/>
      <c r="ED211" s="1896"/>
      <c r="EE211" s="1896"/>
      <c r="EF211" s="1896"/>
      <c r="EG211" s="1896"/>
      <c r="EH211" s="1896"/>
      <c r="EI211" s="1896"/>
      <c r="EJ211" s="1896"/>
      <c r="EK211" s="1896"/>
      <c r="EL211" s="1796"/>
      <c r="EM211" s="1796"/>
      <c r="EN211" s="1796"/>
      <c r="EO211" s="1796"/>
      <c r="EP211" s="1796"/>
      <c r="EQ211" s="1796"/>
      <c r="ER211" s="1796"/>
      <c r="ES211" s="1796"/>
      <c r="ET211" s="1796"/>
      <c r="EU211" s="1796"/>
      <c r="EV211" s="1796"/>
      <c r="KV211" s="3046"/>
      <c r="KW211" s="3047"/>
    </row>
    <row r="212" spans="132:309" ht="17.100000000000001" customHeight="1" x14ac:dyDescent="0.2">
      <c r="EB212" s="1896"/>
      <c r="EC212" s="1896"/>
      <c r="ED212" s="1896"/>
      <c r="EE212" s="1896"/>
      <c r="EF212" s="1896"/>
      <c r="EG212" s="1896"/>
      <c r="EH212" s="1896"/>
      <c r="EI212" s="1896"/>
      <c r="EJ212" s="1896"/>
      <c r="EK212" s="1896"/>
      <c r="EL212" s="1796"/>
      <c r="EM212" s="1796"/>
      <c r="EN212" s="1796"/>
      <c r="EO212" s="1796"/>
      <c r="EP212" s="1796"/>
      <c r="EQ212" s="1796"/>
      <c r="ER212" s="1796"/>
      <c r="ES212" s="1796"/>
      <c r="ET212" s="1796"/>
      <c r="EU212" s="1796"/>
      <c r="EV212" s="1796"/>
      <c r="KV212" s="3046"/>
      <c r="KW212" s="3047"/>
    </row>
    <row r="213" spans="132:309" ht="17.100000000000001" customHeight="1" x14ac:dyDescent="0.2">
      <c r="EB213" s="1896"/>
      <c r="EC213" s="1896"/>
      <c r="ED213" s="1896"/>
      <c r="EE213" s="1896"/>
      <c r="EF213" s="1896"/>
      <c r="EG213" s="1896"/>
      <c r="EH213" s="1896"/>
      <c r="EI213" s="1896"/>
      <c r="EJ213" s="1896"/>
      <c r="EK213" s="1896"/>
      <c r="EL213" s="1796"/>
      <c r="EM213" s="1796"/>
      <c r="EN213" s="1796"/>
      <c r="EO213" s="1796"/>
      <c r="EP213" s="1796"/>
      <c r="EQ213" s="1796"/>
      <c r="ER213" s="1796"/>
      <c r="ES213" s="1796"/>
      <c r="ET213" s="1796"/>
      <c r="EU213" s="1796"/>
      <c r="EV213" s="1796"/>
    </row>
    <row r="214" spans="132:309" ht="17.100000000000001" customHeight="1" x14ac:dyDescent="0.2">
      <c r="EB214" s="1896"/>
      <c r="EC214" s="1896"/>
      <c r="ED214" s="1896"/>
      <c r="EE214" s="1896"/>
      <c r="EF214" s="1896"/>
      <c r="EG214" s="1896"/>
      <c r="EH214" s="1896"/>
      <c r="EI214" s="1896"/>
      <c r="EJ214" s="1896"/>
      <c r="EK214" s="1896"/>
      <c r="EL214" s="1796"/>
      <c r="EM214" s="1796"/>
      <c r="EN214" s="1796"/>
      <c r="EO214" s="1796"/>
      <c r="EP214" s="1796"/>
      <c r="EQ214" s="1796"/>
      <c r="ER214" s="1796"/>
      <c r="ES214" s="1796"/>
      <c r="ET214" s="1796"/>
      <c r="EU214" s="1796"/>
      <c r="EV214" s="1796"/>
    </row>
    <row r="215" spans="132:309" ht="17.100000000000001" customHeight="1" x14ac:dyDescent="0.2">
      <c r="EB215" s="1896"/>
      <c r="EC215" s="1896"/>
      <c r="ED215" s="1896"/>
      <c r="EE215" s="1896"/>
      <c r="EF215" s="1896"/>
      <c r="EG215" s="1896"/>
      <c r="EH215" s="1896"/>
      <c r="EI215" s="1896"/>
      <c r="EJ215" s="1896"/>
      <c r="EK215" s="1896"/>
    </row>
    <row r="216" spans="132:309" ht="17.100000000000001" customHeight="1" x14ac:dyDescent="0.2">
      <c r="EB216" s="1896"/>
      <c r="EC216" s="1896"/>
      <c r="ED216" s="1896"/>
      <c r="EE216" s="1896"/>
      <c r="EF216" s="1896"/>
      <c r="EG216" s="1896"/>
      <c r="EH216" s="1896"/>
      <c r="EI216" s="1896"/>
      <c r="EJ216" s="1896"/>
      <c r="EK216" s="1896"/>
    </row>
    <row r="217" spans="132:309" ht="17.100000000000001" customHeight="1" x14ac:dyDescent="0.2">
      <c r="EB217" s="1896"/>
      <c r="EC217" s="1896"/>
      <c r="ED217" s="1896"/>
      <c r="EE217" s="1896"/>
      <c r="EF217" s="1896"/>
      <c r="EG217" s="1896"/>
      <c r="EH217" s="1896"/>
      <c r="EI217" s="1896"/>
      <c r="EJ217" s="1896"/>
      <c r="EK217" s="1896"/>
    </row>
    <row r="218" spans="132:309" ht="17.100000000000001" customHeight="1" x14ac:dyDescent="0.2">
      <c r="EB218" s="1896"/>
      <c r="EC218" s="1896"/>
      <c r="ED218" s="1896"/>
      <c r="EE218" s="1896"/>
      <c r="EF218" s="1896"/>
      <c r="EG218" s="1896"/>
      <c r="EH218" s="1896"/>
      <c r="EI218" s="1896"/>
      <c r="EJ218" s="1896"/>
      <c r="EK218" s="1896"/>
    </row>
    <row r="219" spans="132:309" ht="17.100000000000001" customHeight="1" x14ac:dyDescent="0.2">
      <c r="EB219" s="1896"/>
      <c r="EC219" s="1896"/>
      <c r="ED219" s="1896"/>
      <c r="EE219" s="1896"/>
      <c r="EF219" s="1896"/>
      <c r="EG219" s="1896"/>
      <c r="EH219" s="1896"/>
      <c r="EI219" s="1896"/>
      <c r="EJ219" s="1896"/>
      <c r="EK219" s="1896"/>
    </row>
    <row r="220" spans="132:309" ht="17.100000000000001" customHeight="1" x14ac:dyDescent="0.2">
      <c r="EB220" s="1896"/>
      <c r="EC220" s="1896"/>
      <c r="ED220" s="1896"/>
      <c r="EE220" s="1896"/>
      <c r="EF220" s="1896"/>
      <c r="EG220" s="1896"/>
      <c r="EH220" s="1896"/>
      <c r="EI220" s="1896"/>
      <c r="EJ220" s="1896"/>
      <c r="EK220" s="1896"/>
    </row>
    <row r="221" spans="132:309" ht="17.100000000000001" customHeight="1" x14ac:dyDescent="0.2">
      <c r="EB221" s="1896"/>
      <c r="EC221" s="1896"/>
      <c r="ED221" s="1896"/>
      <c r="EE221" s="1896"/>
      <c r="EF221" s="1896"/>
      <c r="EG221" s="1896"/>
      <c r="EH221" s="1896"/>
      <c r="EI221" s="1896"/>
      <c r="EJ221" s="1896"/>
      <c r="EK221" s="1896"/>
    </row>
    <row r="222" spans="132:309" ht="17.100000000000001" customHeight="1" x14ac:dyDescent="0.2">
      <c r="EB222" s="1896"/>
      <c r="EC222" s="1896"/>
      <c r="ED222" s="1896"/>
      <c r="EE222" s="1896"/>
      <c r="EF222" s="1896"/>
      <c r="EG222" s="1896"/>
      <c r="EH222" s="1896"/>
      <c r="EI222" s="1896"/>
      <c r="EJ222" s="1896"/>
      <c r="EK222" s="1896"/>
    </row>
    <row r="223" spans="132:309" ht="17.100000000000001" customHeight="1" x14ac:dyDescent="0.2">
      <c r="EB223" s="1896"/>
      <c r="EC223" s="1896"/>
      <c r="ED223" s="1896"/>
      <c r="EE223" s="1896"/>
      <c r="EF223" s="1896"/>
      <c r="EG223" s="1896"/>
      <c r="EH223" s="1896"/>
      <c r="EI223" s="1896"/>
      <c r="EJ223" s="1896"/>
      <c r="EK223" s="1896"/>
    </row>
    <row r="224" spans="132:309" ht="17.100000000000001" customHeight="1" x14ac:dyDescent="0.2">
      <c r="EB224" s="1896"/>
      <c r="EC224" s="1896"/>
      <c r="ED224" s="1896"/>
      <c r="EE224" s="1896"/>
      <c r="EF224" s="1896"/>
      <c r="EG224" s="1896"/>
      <c r="EH224" s="1896"/>
      <c r="EI224" s="1896"/>
      <c r="EJ224" s="1896"/>
      <c r="EK224" s="1896"/>
    </row>
    <row r="225" spans="132:141" ht="17.100000000000001" customHeight="1" x14ac:dyDescent="0.2">
      <c r="EB225" s="1896"/>
      <c r="EC225" s="1896"/>
      <c r="ED225" s="1896"/>
      <c r="EE225" s="1896"/>
      <c r="EF225" s="1896"/>
      <c r="EG225" s="1896"/>
      <c r="EH225" s="1896"/>
      <c r="EI225" s="1896"/>
      <c r="EJ225" s="1896"/>
      <c r="EK225" s="1896"/>
    </row>
    <row r="226" spans="132:141" ht="17.100000000000001" customHeight="1" x14ac:dyDescent="0.2">
      <c r="EB226" s="1896"/>
      <c r="EC226" s="1896"/>
      <c r="ED226" s="1896"/>
      <c r="EE226" s="1896"/>
      <c r="EF226" s="1896"/>
      <c r="EG226" s="1896"/>
      <c r="EH226" s="1896"/>
      <c r="EI226" s="1896"/>
      <c r="EJ226" s="1896"/>
      <c r="EK226" s="1896"/>
    </row>
    <row r="227" spans="132:141" ht="17.100000000000001" customHeight="1" x14ac:dyDescent="0.2">
      <c r="EB227" s="1896"/>
      <c r="EC227" s="1896"/>
      <c r="ED227" s="1896"/>
      <c r="EE227" s="1896"/>
      <c r="EF227" s="1896"/>
      <c r="EG227" s="1896"/>
      <c r="EH227" s="1896"/>
      <c r="EI227" s="1896"/>
      <c r="EJ227" s="1896"/>
      <c r="EK227" s="1896"/>
    </row>
    <row r="228" spans="132:141" ht="17.100000000000001" customHeight="1" x14ac:dyDescent="0.2">
      <c r="EB228" s="1896"/>
      <c r="EC228" s="1896"/>
      <c r="ED228" s="1896"/>
      <c r="EE228" s="1896"/>
      <c r="EF228" s="1896"/>
      <c r="EG228" s="1896"/>
      <c r="EH228" s="1896"/>
      <c r="EI228" s="1896"/>
      <c r="EJ228" s="1896"/>
      <c r="EK228" s="1896"/>
    </row>
    <row r="229" spans="132:141" ht="17.100000000000001" customHeight="1" x14ac:dyDescent="0.2">
      <c r="EB229" s="1896"/>
      <c r="EC229" s="1896"/>
      <c r="ED229" s="1896"/>
      <c r="EE229" s="1896"/>
      <c r="EF229" s="1896"/>
      <c r="EG229" s="1896"/>
      <c r="EH229" s="1896"/>
      <c r="EI229" s="1896"/>
      <c r="EJ229" s="1896"/>
      <c r="EK229" s="1896"/>
    </row>
    <row r="230" spans="132:141" ht="17.100000000000001" customHeight="1" x14ac:dyDescent="0.2">
      <c r="EB230" s="1896"/>
      <c r="EC230" s="1896"/>
      <c r="ED230" s="1896"/>
      <c r="EE230" s="1896"/>
      <c r="EF230" s="1896"/>
      <c r="EG230" s="1896"/>
      <c r="EH230" s="1896"/>
      <c r="EI230" s="1896"/>
      <c r="EJ230" s="1896"/>
      <c r="EK230" s="1896"/>
    </row>
    <row r="231" spans="132:141" ht="17.100000000000001" customHeight="1" x14ac:dyDescent="0.2">
      <c r="EB231" s="1896"/>
      <c r="EC231" s="1896"/>
      <c r="ED231" s="1896"/>
      <c r="EE231" s="1896"/>
      <c r="EF231" s="1896"/>
      <c r="EG231" s="1896"/>
      <c r="EH231" s="1896"/>
      <c r="EI231" s="1896"/>
      <c r="EJ231" s="1896"/>
      <c r="EK231" s="1896"/>
    </row>
    <row r="232" spans="132:141" ht="17.100000000000001" customHeight="1" x14ac:dyDescent="0.2">
      <c r="EB232" s="1896"/>
      <c r="EC232" s="1896"/>
      <c r="ED232" s="1896"/>
      <c r="EE232" s="1896"/>
      <c r="EF232" s="1896"/>
      <c r="EG232" s="1896"/>
      <c r="EH232" s="1896"/>
      <c r="EI232" s="1896"/>
      <c r="EJ232" s="1896"/>
      <c r="EK232" s="1896"/>
    </row>
    <row r="233" spans="132:141" ht="17.100000000000001" customHeight="1" x14ac:dyDescent="0.2">
      <c r="EB233" s="1896"/>
      <c r="EC233" s="1896"/>
      <c r="ED233" s="1896"/>
      <c r="EE233" s="1896"/>
      <c r="EF233" s="1896"/>
      <c r="EG233" s="1896"/>
      <c r="EH233" s="1896"/>
      <c r="EI233" s="1896"/>
      <c r="EJ233" s="1896"/>
      <c r="EK233" s="1896"/>
    </row>
    <row r="234" spans="132:141" ht="17.100000000000001" customHeight="1" x14ac:dyDescent="0.2">
      <c r="EB234" s="1896"/>
      <c r="EC234" s="1896"/>
      <c r="ED234" s="1896"/>
      <c r="EE234" s="1896"/>
      <c r="EF234" s="1896"/>
      <c r="EG234" s="1896"/>
      <c r="EH234" s="1896"/>
      <c r="EI234" s="1896"/>
      <c r="EJ234" s="1896"/>
      <c r="EK234" s="1896"/>
    </row>
    <row r="235" spans="132:141" ht="17.100000000000001" customHeight="1" x14ac:dyDescent="0.2">
      <c r="EB235" s="1896"/>
      <c r="EC235" s="1896"/>
      <c r="ED235" s="1896"/>
      <c r="EE235" s="1896"/>
      <c r="EF235" s="1896"/>
      <c r="EG235" s="1896"/>
      <c r="EH235" s="1896"/>
      <c r="EI235" s="1896"/>
      <c r="EJ235" s="1896"/>
      <c r="EK235" s="1896"/>
    </row>
    <row r="236" spans="132:141" ht="17.100000000000001" customHeight="1" x14ac:dyDescent="0.2">
      <c r="EB236" s="1896"/>
      <c r="EC236" s="1896"/>
      <c r="ED236" s="1896"/>
      <c r="EE236" s="1896"/>
      <c r="EF236" s="1896"/>
      <c r="EG236" s="1896"/>
      <c r="EH236" s="1896"/>
      <c r="EI236" s="1896"/>
      <c r="EJ236" s="1896"/>
      <c r="EK236" s="1896"/>
    </row>
    <row r="237" spans="132:141" ht="17.100000000000001" customHeight="1" x14ac:dyDescent="0.2">
      <c r="EB237" s="1896"/>
      <c r="EC237" s="1896"/>
      <c r="ED237" s="1896"/>
      <c r="EE237" s="1896"/>
      <c r="EF237" s="1896"/>
      <c r="EG237" s="1896"/>
      <c r="EH237" s="1896"/>
      <c r="EI237" s="1896"/>
      <c r="EJ237" s="1896"/>
      <c r="EK237" s="1896"/>
    </row>
    <row r="238" spans="132:141" ht="17.100000000000001" customHeight="1" x14ac:dyDescent="0.2">
      <c r="EB238" s="1896"/>
      <c r="EC238" s="1896"/>
      <c r="ED238" s="1896"/>
      <c r="EE238" s="1896"/>
      <c r="EF238" s="1896"/>
      <c r="EG238" s="1896"/>
      <c r="EH238" s="1896"/>
      <c r="EI238" s="1896"/>
      <c r="EJ238" s="1896"/>
      <c r="EK238" s="1896"/>
    </row>
    <row r="239" spans="132:141" ht="17.100000000000001" customHeight="1" x14ac:dyDescent="0.2">
      <c r="EB239" s="1896"/>
      <c r="EC239" s="1896"/>
      <c r="ED239" s="1896"/>
      <c r="EE239" s="1896"/>
      <c r="EF239" s="1896"/>
      <c r="EG239" s="1896"/>
      <c r="EH239" s="1896"/>
      <c r="EI239" s="1896"/>
      <c r="EJ239" s="1896"/>
      <c r="EK239" s="1896"/>
    </row>
    <row r="240" spans="132:141" ht="17.100000000000001" customHeight="1" x14ac:dyDescent="0.2">
      <c r="EB240" s="1896"/>
      <c r="EC240" s="1896"/>
      <c r="ED240" s="1896"/>
      <c r="EE240" s="1896"/>
      <c r="EF240" s="1896"/>
      <c r="EG240" s="1896"/>
      <c r="EH240" s="1896"/>
      <c r="EI240" s="1896"/>
      <c r="EJ240" s="1896"/>
      <c r="EK240" s="1896"/>
    </row>
    <row r="241" spans="132:141" ht="17.100000000000001" customHeight="1" x14ac:dyDescent="0.2">
      <c r="EB241" s="1896"/>
      <c r="EC241" s="1896"/>
      <c r="ED241" s="1896"/>
      <c r="EE241" s="1896"/>
      <c r="EF241" s="1896"/>
      <c r="EG241" s="1896"/>
      <c r="EH241" s="1896"/>
      <c r="EI241" s="1896"/>
      <c r="EJ241" s="1896"/>
      <c r="EK241" s="1896"/>
    </row>
    <row r="242" spans="132:141" ht="17.100000000000001" customHeight="1" x14ac:dyDescent="0.2">
      <c r="EB242" s="1896"/>
      <c r="EC242" s="1896"/>
      <c r="ED242" s="1896"/>
      <c r="EE242" s="1896"/>
      <c r="EF242" s="1896"/>
      <c r="EG242" s="1896"/>
      <c r="EH242" s="1896"/>
      <c r="EI242" s="1896"/>
      <c r="EJ242" s="1896"/>
      <c r="EK242" s="1896"/>
    </row>
    <row r="243" spans="132:141" ht="17.100000000000001" customHeight="1" x14ac:dyDescent="0.2">
      <c r="EB243" s="1896"/>
      <c r="EC243" s="1896"/>
      <c r="ED243" s="1896"/>
      <c r="EE243" s="1896"/>
      <c r="EF243" s="1896"/>
      <c r="EG243" s="1896"/>
      <c r="EH243" s="1896"/>
      <c r="EI243" s="1896"/>
      <c r="EJ243" s="1896"/>
      <c r="EK243" s="1896"/>
    </row>
    <row r="244" spans="132:141" ht="17.100000000000001" customHeight="1" x14ac:dyDescent="0.2">
      <c r="EB244" s="1896"/>
      <c r="EC244" s="1896"/>
      <c r="ED244" s="1896"/>
      <c r="EE244" s="1896"/>
      <c r="EF244" s="1896"/>
      <c r="EG244" s="1896"/>
      <c r="EH244" s="1896"/>
      <c r="EI244" s="1896"/>
      <c r="EJ244" s="1896"/>
      <c r="EK244" s="1896"/>
    </row>
    <row r="245" spans="132:141" ht="17.100000000000001" customHeight="1" x14ac:dyDescent="0.2">
      <c r="EB245" s="1896"/>
      <c r="EC245" s="1896"/>
      <c r="ED245" s="1896"/>
      <c r="EE245" s="1896"/>
      <c r="EF245" s="1896"/>
      <c r="EG245" s="1896"/>
      <c r="EH245" s="1896"/>
      <c r="EI245" s="1896"/>
      <c r="EJ245" s="1896"/>
      <c r="EK245" s="1896"/>
    </row>
    <row r="246" spans="132:141" ht="17.100000000000001" customHeight="1" x14ac:dyDescent="0.2">
      <c r="EB246" s="1896"/>
      <c r="EC246" s="1896"/>
      <c r="ED246" s="1896"/>
      <c r="EE246" s="1896"/>
      <c r="EF246" s="1896"/>
      <c r="EG246" s="1896"/>
      <c r="EH246" s="1896"/>
      <c r="EI246" s="1896"/>
      <c r="EJ246" s="1896"/>
      <c r="EK246" s="1896"/>
    </row>
    <row r="247" spans="132:141" ht="17.100000000000001" customHeight="1" x14ac:dyDescent="0.2">
      <c r="EB247" s="1896"/>
      <c r="EC247" s="1896"/>
      <c r="ED247" s="1896"/>
      <c r="EE247" s="1896"/>
      <c r="EF247" s="1896"/>
      <c r="EG247" s="1896"/>
      <c r="EH247" s="1896"/>
      <c r="EI247" s="1896"/>
      <c r="EJ247" s="1896"/>
      <c r="EK247" s="1896"/>
    </row>
    <row r="248" spans="132:141" ht="17.100000000000001" customHeight="1" x14ac:dyDescent="0.2">
      <c r="EB248" s="1896"/>
      <c r="EC248" s="1896"/>
      <c r="ED248" s="1896"/>
      <c r="EE248" s="1896"/>
      <c r="EF248" s="1896"/>
      <c r="EG248" s="1896"/>
      <c r="EH248" s="1896"/>
      <c r="EI248" s="1896"/>
      <c r="EJ248" s="1896"/>
      <c r="EK248" s="1896"/>
    </row>
    <row r="249" spans="132:141" ht="17.100000000000001" customHeight="1" x14ac:dyDescent="0.2">
      <c r="EB249" s="1896"/>
      <c r="EC249" s="1896"/>
      <c r="ED249" s="1896"/>
      <c r="EE249" s="1896"/>
      <c r="EF249" s="1896"/>
      <c r="EG249" s="1896"/>
      <c r="EH249" s="1896"/>
      <c r="EI249" s="1896"/>
      <c r="EJ249" s="1896"/>
      <c r="EK249" s="1896"/>
    </row>
    <row r="250" spans="132:141" ht="17.100000000000001" customHeight="1" x14ac:dyDescent="0.2">
      <c r="EB250" s="1896"/>
      <c r="EC250" s="1896"/>
      <c r="ED250" s="1896"/>
      <c r="EE250" s="1896"/>
      <c r="EF250" s="1896"/>
      <c r="EG250" s="1896"/>
      <c r="EH250" s="1896"/>
      <c r="EI250" s="1896"/>
      <c r="EJ250" s="1896"/>
      <c r="EK250" s="1896"/>
    </row>
    <row r="251" spans="132:141" ht="17.100000000000001" customHeight="1" x14ac:dyDescent="0.2">
      <c r="EB251" s="1896"/>
      <c r="EC251" s="1896"/>
      <c r="ED251" s="1896"/>
      <c r="EE251" s="1896"/>
      <c r="EF251" s="1896"/>
      <c r="EG251" s="1896"/>
      <c r="EH251" s="1896"/>
      <c r="EI251" s="1896"/>
      <c r="EJ251" s="1896"/>
      <c r="EK251" s="1896"/>
    </row>
    <row r="252" spans="132:141" ht="17.100000000000001" customHeight="1" x14ac:dyDescent="0.2">
      <c r="EB252" s="1896"/>
      <c r="EC252" s="1896"/>
      <c r="ED252" s="1896"/>
      <c r="EE252" s="1896"/>
      <c r="EF252" s="1896"/>
      <c r="EG252" s="1896"/>
      <c r="EH252" s="1896"/>
      <c r="EI252" s="1896"/>
      <c r="EJ252" s="1896"/>
      <c r="EK252" s="1896"/>
    </row>
    <row r="253" spans="132:141" ht="17.100000000000001" customHeight="1" x14ac:dyDescent="0.2">
      <c r="EB253" s="1896"/>
      <c r="EC253" s="1896"/>
      <c r="ED253" s="1896"/>
      <c r="EE253" s="1896"/>
      <c r="EF253" s="1896"/>
      <c r="EG253" s="1896"/>
      <c r="EH253" s="1896"/>
      <c r="EI253" s="1896"/>
      <c r="EJ253" s="1896"/>
      <c r="EK253" s="1896"/>
    </row>
    <row r="254" spans="132:141" ht="17.100000000000001" customHeight="1" x14ac:dyDescent="0.2">
      <c r="EB254" s="1896"/>
      <c r="EC254" s="1896"/>
      <c r="ED254" s="1896"/>
      <c r="EE254" s="1896"/>
      <c r="EF254" s="1896"/>
      <c r="EG254" s="1896"/>
      <c r="EH254" s="1896"/>
      <c r="EI254" s="1896"/>
      <c r="EJ254" s="1896"/>
      <c r="EK254" s="1896"/>
    </row>
    <row r="255" spans="132:141" ht="17.100000000000001" customHeight="1" x14ac:dyDescent="0.2">
      <c r="EB255" s="1896"/>
      <c r="EC255" s="1896"/>
      <c r="ED255" s="1896"/>
      <c r="EE255" s="1896"/>
      <c r="EF255" s="1896"/>
      <c r="EG255" s="1896"/>
      <c r="EH255" s="1896"/>
      <c r="EI255" s="1896"/>
      <c r="EJ255" s="1896"/>
      <c r="EK255" s="1896"/>
    </row>
    <row r="256" spans="132:141" ht="17.100000000000001" customHeight="1" x14ac:dyDescent="0.2">
      <c r="EB256" s="1896"/>
      <c r="EC256" s="1896"/>
      <c r="ED256" s="1896"/>
      <c r="EE256" s="1896"/>
      <c r="EF256" s="1896"/>
      <c r="EG256" s="1896"/>
      <c r="EH256" s="1896"/>
      <c r="EI256" s="1896"/>
      <c r="EJ256" s="1896"/>
      <c r="EK256" s="1896"/>
    </row>
    <row r="257" spans="132:141" ht="17.100000000000001" customHeight="1" x14ac:dyDescent="0.2">
      <c r="EB257" s="1896"/>
      <c r="EC257" s="1896"/>
      <c r="ED257" s="1896"/>
      <c r="EE257" s="1896"/>
      <c r="EF257" s="1896"/>
      <c r="EG257" s="1896"/>
      <c r="EH257" s="1896"/>
      <c r="EI257" s="1896"/>
      <c r="EJ257" s="1896"/>
      <c r="EK257" s="1896"/>
    </row>
    <row r="258" spans="132:141" ht="17.100000000000001" customHeight="1" x14ac:dyDescent="0.2">
      <c r="EB258" s="1951"/>
      <c r="EC258" s="1951"/>
      <c r="ED258" s="1951"/>
      <c r="EE258" s="1951"/>
      <c r="EF258" s="1951"/>
      <c r="EG258" s="1951"/>
      <c r="EH258" s="1951"/>
      <c r="EI258" s="1951"/>
      <c r="EJ258" s="1951"/>
      <c r="EK258" s="1951"/>
    </row>
    <row r="277" spans="133:141" ht="17.100000000000001" customHeight="1" x14ac:dyDescent="0.2">
      <c r="EC277" s="1770"/>
      <c r="ED277" s="1770"/>
      <c r="EE277" s="1770"/>
      <c r="EF277" s="1770"/>
      <c r="EG277" s="1770"/>
      <c r="EH277" s="1770"/>
      <c r="EI277" s="1770"/>
      <c r="EJ277" s="1770"/>
      <c r="EK277" s="1770"/>
    </row>
    <row r="278" spans="133:141" ht="17.100000000000001" customHeight="1" x14ac:dyDescent="0.2">
      <c r="EC278" s="1770"/>
      <c r="ED278" s="1770"/>
      <c r="EE278" s="1770"/>
      <c r="EF278" s="1770"/>
      <c r="EG278" s="1770"/>
      <c r="EH278" s="1770"/>
      <c r="EI278" s="1770"/>
      <c r="EJ278" s="1770"/>
      <c r="EK278" s="1770"/>
    </row>
    <row r="279" spans="133:141" ht="17.100000000000001" customHeight="1" x14ac:dyDescent="0.2">
      <c r="EC279" s="1770"/>
      <c r="ED279" s="1770"/>
      <c r="EE279" s="1770"/>
      <c r="EF279" s="1770"/>
      <c r="EG279" s="1770"/>
      <c r="EH279" s="1770"/>
      <c r="EI279" s="1770"/>
      <c r="EJ279" s="1770"/>
      <c r="EK279" s="1770"/>
    </row>
    <row r="280" spans="133:141" ht="17.100000000000001" customHeight="1" x14ac:dyDescent="0.2">
      <c r="EC280" s="1770"/>
      <c r="ED280" s="1770"/>
      <c r="EE280" s="1770"/>
      <c r="EF280" s="1770"/>
      <c r="EG280" s="1770"/>
      <c r="EH280" s="1770"/>
      <c r="EI280" s="1770"/>
      <c r="EJ280" s="1770"/>
      <c r="EK280" s="1770"/>
    </row>
    <row r="281" spans="133:141" ht="17.100000000000001" customHeight="1" x14ac:dyDescent="0.2">
      <c r="EC281" s="1770"/>
      <c r="ED281" s="1770"/>
      <c r="EE281" s="1770"/>
      <c r="EF281" s="1770"/>
      <c r="EG281" s="1770"/>
      <c r="EH281" s="1770"/>
      <c r="EI281" s="1770"/>
      <c r="EJ281" s="1770"/>
      <c r="EK281" s="1770"/>
    </row>
    <row r="282" spans="133:141" ht="17.100000000000001" customHeight="1" x14ac:dyDescent="0.2">
      <c r="EC282" s="1770"/>
      <c r="ED282" s="1770"/>
      <c r="EE282" s="1770"/>
      <c r="EF282" s="1770"/>
      <c r="EG282" s="1770"/>
      <c r="EH282" s="1770"/>
      <c r="EI282" s="1770"/>
      <c r="EJ282" s="1770"/>
      <c r="EK282" s="1770"/>
    </row>
    <row r="283" spans="133:141" ht="17.100000000000001" customHeight="1" x14ac:dyDescent="0.2">
      <c r="EC283" s="1770"/>
      <c r="ED283" s="1770"/>
      <c r="EE283" s="1770"/>
      <c r="EF283" s="1770"/>
      <c r="EG283" s="1770"/>
      <c r="EH283" s="1770"/>
      <c r="EI283" s="1770"/>
      <c r="EJ283" s="1770"/>
      <c r="EK283" s="1770"/>
    </row>
    <row r="284" spans="133:141" ht="17.100000000000001" customHeight="1" x14ac:dyDescent="0.2">
      <c r="EC284" s="1770"/>
      <c r="ED284" s="1770"/>
      <c r="EE284" s="1770"/>
      <c r="EF284" s="1770"/>
      <c r="EG284" s="1770"/>
      <c r="EH284" s="1770"/>
      <c r="EI284" s="1770"/>
      <c r="EJ284" s="1770"/>
      <c r="EK284" s="1770"/>
    </row>
    <row r="285" spans="133:141" ht="17.100000000000001" customHeight="1" x14ac:dyDescent="0.2">
      <c r="EC285" s="1770"/>
      <c r="ED285" s="1770"/>
      <c r="EE285" s="1770"/>
      <c r="EF285" s="1770"/>
      <c r="EG285" s="1770"/>
      <c r="EH285" s="1770"/>
      <c r="EI285" s="1770"/>
      <c r="EJ285" s="1770"/>
      <c r="EK285" s="1770"/>
    </row>
    <row r="286" spans="133:141" ht="17.100000000000001" customHeight="1" x14ac:dyDescent="0.2">
      <c r="EC286" s="1770"/>
      <c r="ED286" s="1770"/>
      <c r="EE286" s="1770"/>
      <c r="EF286" s="1770"/>
      <c r="EG286" s="1770"/>
      <c r="EH286" s="1770"/>
      <c r="EI286" s="1770"/>
      <c r="EJ286" s="1770"/>
      <c r="EK286" s="1770"/>
    </row>
    <row r="287" spans="133:141" ht="17.100000000000001" customHeight="1" x14ac:dyDescent="0.2">
      <c r="EC287" s="1770"/>
      <c r="ED287" s="1770"/>
      <c r="EE287" s="1770"/>
      <c r="EF287" s="1770"/>
      <c r="EG287" s="1770"/>
      <c r="EH287" s="1770"/>
      <c r="EI287" s="1770"/>
      <c r="EJ287" s="1770"/>
      <c r="EK287" s="1770"/>
    </row>
    <row r="288" spans="133:141" ht="17.100000000000001" customHeight="1" x14ac:dyDescent="0.2">
      <c r="EC288" s="1770"/>
      <c r="ED288" s="1770"/>
      <c r="EE288" s="1770"/>
      <c r="EF288" s="1770"/>
      <c r="EG288" s="1770"/>
      <c r="EH288" s="1770"/>
      <c r="EI288" s="1770"/>
      <c r="EJ288" s="1770"/>
      <c r="EK288" s="1770"/>
    </row>
    <row r="289" spans="133:141" ht="17.100000000000001" customHeight="1" x14ac:dyDescent="0.2">
      <c r="EC289" s="1770"/>
      <c r="ED289" s="1770"/>
      <c r="EE289" s="1770"/>
      <c r="EF289" s="1770"/>
      <c r="EG289" s="1770"/>
      <c r="EH289" s="1770"/>
      <c r="EI289" s="1770"/>
      <c r="EJ289" s="1770"/>
      <c r="EK289" s="1770"/>
    </row>
    <row r="290" spans="133:141" ht="17.100000000000001" customHeight="1" x14ac:dyDescent="0.2">
      <c r="EC290" s="1770"/>
      <c r="ED290" s="1770"/>
      <c r="EE290" s="1770"/>
      <c r="EF290" s="1770"/>
      <c r="EG290" s="1770"/>
      <c r="EH290" s="1770"/>
      <c r="EI290" s="1770"/>
      <c r="EJ290" s="1770"/>
      <c r="EK290" s="1770"/>
    </row>
    <row r="291" spans="133:141" ht="17.100000000000001" customHeight="1" x14ac:dyDescent="0.2">
      <c r="EC291" s="1770"/>
      <c r="ED291" s="1770"/>
      <c r="EE291" s="1770"/>
      <c r="EF291" s="1770"/>
      <c r="EG291" s="1770"/>
      <c r="EH291" s="1770"/>
      <c r="EI291" s="1770"/>
      <c r="EJ291" s="1770"/>
      <c r="EK291" s="1770"/>
    </row>
  </sheetData>
  <sortState xmlns:xlrd2="http://schemas.microsoft.com/office/spreadsheetml/2017/richdata2" ref="IL24:IW45">
    <sortCondition ref="IL23:IL45"/>
  </sortState>
  <mergeCells count="448">
    <mergeCell ref="AX8:AY13"/>
    <mergeCell ref="AS8:AT13"/>
    <mergeCell ref="AN8:AO13"/>
    <mergeCell ref="AI8:AJ13"/>
    <mergeCell ref="AD8:AE13"/>
    <mergeCell ref="I31:I33"/>
    <mergeCell ref="I25:I27"/>
    <mergeCell ref="I23:I24"/>
    <mergeCell ref="I29:I30"/>
    <mergeCell ref="H22:I22"/>
    <mergeCell ref="EC195:EK195"/>
    <mergeCell ref="EN195:EV195"/>
    <mergeCell ref="BJ23:BL23"/>
    <mergeCell ref="EC192:EK192"/>
    <mergeCell ref="EN192:EV192"/>
    <mergeCell ref="EB125:EK125"/>
    <mergeCell ref="EM125:EV125"/>
    <mergeCell ref="EB158:EB159"/>
    <mergeCell ref="EM158:EM159"/>
    <mergeCell ref="EB160:EK160"/>
    <mergeCell ref="EM160:EV160"/>
    <mergeCell ref="ED101:ED103"/>
    <mergeCell ref="EB101:EB122"/>
    <mergeCell ref="EC101:EC103"/>
    <mergeCell ref="EJ101:EJ103"/>
    <mergeCell ref="EE101:EE103"/>
    <mergeCell ref="EF101:EF103"/>
    <mergeCell ref="EM91:EM92"/>
    <mergeCell ref="EB91:EB92"/>
    <mergeCell ref="EB58:EK58"/>
    <mergeCell ref="EM58:EV58"/>
    <mergeCell ref="DA37:DB37"/>
    <mergeCell ref="CX35:CY37"/>
    <mergeCell ref="EK101:EK103"/>
    <mergeCell ref="V2:W2"/>
    <mergeCell ref="E41:E42"/>
    <mergeCell ref="D41:D42"/>
    <mergeCell ref="B21:I21"/>
    <mergeCell ref="K21:AF21"/>
    <mergeCell ref="EB20:EK20"/>
    <mergeCell ref="EM20:EV20"/>
    <mergeCell ref="AH21:BD21"/>
    <mergeCell ref="I40:I41"/>
    <mergeCell ref="F40:F41"/>
    <mergeCell ref="BF22:BH22"/>
    <mergeCell ref="C8:D13"/>
    <mergeCell ref="F8:G13"/>
    <mergeCell ref="I8:J13"/>
    <mergeCell ref="L8:M13"/>
    <mergeCell ref="Q8:R13"/>
    <mergeCell ref="Y8:Z13"/>
    <mergeCell ref="V8:W13"/>
    <mergeCell ref="CX21:CX33"/>
    <mergeCell ref="DA36:DB36"/>
    <mergeCell ref="CO27:CP27"/>
    <mergeCell ref="CL36:CN36"/>
    <mergeCell ref="CL37:CM37"/>
    <mergeCell ref="CQ27:CR27"/>
    <mergeCell ref="CL25:CM25"/>
    <mergeCell ref="CL30:CM30"/>
    <mergeCell ref="CT25:CU25"/>
    <mergeCell ref="CT27:CU27"/>
    <mergeCell ref="CQ25:CR25"/>
    <mergeCell ref="CO25:CP25"/>
    <mergeCell ref="EG101:EG103"/>
    <mergeCell ref="EH101:EH103"/>
    <mergeCell ref="EI101:EI103"/>
    <mergeCell ref="GL32:GM33"/>
    <mergeCell ref="HP22:HQ23"/>
    <mergeCell ref="FR22:FS23"/>
    <mergeCell ref="FT22:FU23"/>
    <mergeCell ref="HK22:HL23"/>
    <mergeCell ref="GQ22:GR23"/>
    <mergeCell ref="HN22:HO23"/>
    <mergeCell ref="GQ24:GR25"/>
    <mergeCell ref="FO32:FP33"/>
    <mergeCell ref="FT28:FU29"/>
    <mergeCell ref="FR28:FS29"/>
    <mergeCell ref="FV28:FW29"/>
    <mergeCell ref="FY28:FZ29"/>
    <mergeCell ref="FR30:FS31"/>
    <mergeCell ref="FV30:FW31"/>
    <mergeCell ref="FY30:FZ31"/>
    <mergeCell ref="HI30:HJ31"/>
    <mergeCell ref="HN26:HO27"/>
    <mergeCell ref="HP26:HQ27"/>
    <mergeCell ref="FV24:FW25"/>
    <mergeCell ref="FY24:FZ25"/>
    <mergeCell ref="FO24:FP25"/>
    <mergeCell ref="GL38:GM39"/>
    <mergeCell ref="FM24:FN25"/>
    <mergeCell ref="FR24:FS25"/>
    <mergeCell ref="FT24:FU25"/>
    <mergeCell ref="DV30:DV34"/>
    <mergeCell ref="GO32:GP33"/>
    <mergeCell ref="JF83:JF84"/>
    <mergeCell ref="DV21:DW21"/>
    <mergeCell ref="DV22:DW22"/>
    <mergeCell ref="DV25:DW25"/>
    <mergeCell ref="DV24:DW24"/>
    <mergeCell ref="DV27:DZ27"/>
    <mergeCell ref="HR22:HS23"/>
    <mergeCell ref="HU22:HV23"/>
    <mergeCell ref="FY38:FZ39"/>
    <mergeCell ref="FO22:FP23"/>
    <mergeCell ref="GE32:GF33"/>
    <mergeCell ref="GH32:GI33"/>
    <mergeCell ref="GJ32:GK33"/>
    <mergeCell ref="FV22:FW23"/>
    <mergeCell ref="FY22:FZ23"/>
    <mergeCell ref="FO26:FP27"/>
    <mergeCell ref="FO28:FP29"/>
    <mergeCell ref="FO30:FP31"/>
    <mergeCell ref="GJ40:GK41"/>
    <mergeCell ref="FY42:FZ43"/>
    <mergeCell ref="FR40:FS41"/>
    <mergeCell ref="FY44:FZ45"/>
    <mergeCell ref="GH38:GI39"/>
    <mergeCell ref="GE36:GF37"/>
    <mergeCell ref="GH36:GI37"/>
    <mergeCell ref="GE42:GF43"/>
    <mergeCell ref="GH42:GI43"/>
    <mergeCell ref="GJ42:GK43"/>
    <mergeCell ref="GE40:GF41"/>
    <mergeCell ref="GJ38:GK39"/>
    <mergeCell ref="GC44:GD45"/>
    <mergeCell ref="FO36:FP37"/>
    <mergeCell ref="FO38:FP39"/>
    <mergeCell ref="FO40:FP41"/>
    <mergeCell ref="FO42:FP43"/>
    <mergeCell ref="FY40:FZ41"/>
    <mergeCell ref="FR42:FS43"/>
    <mergeCell ref="GC42:GD43"/>
    <mergeCell ref="FT44:FU45"/>
    <mergeCell ref="FV44:FW45"/>
    <mergeCell ref="FT38:FU39"/>
    <mergeCell ref="FV38:FW39"/>
    <mergeCell ref="GC38:GD39"/>
    <mergeCell ref="FT36:FU37"/>
    <mergeCell ref="FT42:FU43"/>
    <mergeCell ref="FV42:FW43"/>
    <mergeCell ref="GC36:GD37"/>
    <mergeCell ref="FV36:FW37"/>
    <mergeCell ref="FT40:FU41"/>
    <mergeCell ref="FV40:FW41"/>
    <mergeCell ref="GC40:GD41"/>
    <mergeCell ref="FR38:FS39"/>
    <mergeCell ref="FR36:FS37"/>
    <mergeCell ref="FM26:FN27"/>
    <mergeCell ref="FM34:FN35"/>
    <mergeCell ref="FO34:FP35"/>
    <mergeCell ref="FR32:FS33"/>
    <mergeCell ref="FT32:FU33"/>
    <mergeCell ref="FV32:FW33"/>
    <mergeCell ref="FY32:FZ33"/>
    <mergeCell ref="FR26:FS27"/>
    <mergeCell ref="FT26:FU27"/>
    <mergeCell ref="FR34:FS35"/>
    <mergeCell ref="FT34:FU35"/>
    <mergeCell ref="FV26:FW27"/>
    <mergeCell ref="FY26:FZ27"/>
    <mergeCell ref="FT30:FU31"/>
    <mergeCell ref="FV34:FW35"/>
    <mergeCell ref="FY34:FZ35"/>
    <mergeCell ref="FM28:FN29"/>
    <mergeCell ref="FM30:FN31"/>
    <mergeCell ref="GL34:GM35"/>
    <mergeCell ref="GO44:GP45"/>
    <mergeCell ref="GL40:GM41"/>
    <mergeCell ref="GO40:GP41"/>
    <mergeCell ref="GH52:GI53"/>
    <mergeCell ref="GJ52:GK53"/>
    <mergeCell ref="FY52:FZ53"/>
    <mergeCell ref="FY46:FZ47"/>
    <mergeCell ref="GE38:GF39"/>
    <mergeCell ref="GH40:GI41"/>
    <mergeCell ref="FY36:FZ37"/>
    <mergeCell ref="GJ36:GK37"/>
    <mergeCell ref="GC46:GD47"/>
    <mergeCell ref="GC34:GD35"/>
    <mergeCell ref="GE34:GF35"/>
    <mergeCell ref="GH34:GI35"/>
    <mergeCell ref="GJ34:GK35"/>
    <mergeCell ref="GL42:GM43"/>
    <mergeCell ref="GO34:GP35"/>
    <mergeCell ref="GO36:GP37"/>
    <mergeCell ref="GL36:GM37"/>
    <mergeCell ref="GE44:GF45"/>
    <mergeCell ref="GH44:GI45"/>
    <mergeCell ref="GO38:GP39"/>
    <mergeCell ref="GH56:GI57"/>
    <mergeCell ref="GJ56:GK57"/>
    <mergeCell ref="GL56:GM57"/>
    <mergeCell ref="GO56:GP57"/>
    <mergeCell ref="GC56:GD57"/>
    <mergeCell ref="GE56:GF57"/>
    <mergeCell ref="FY50:FZ51"/>
    <mergeCell ref="GO54:GP55"/>
    <mergeCell ref="GL54:GM55"/>
    <mergeCell ref="GC54:GD55"/>
    <mergeCell ref="GE54:GF55"/>
    <mergeCell ref="GH54:GI55"/>
    <mergeCell ref="GJ54:GK55"/>
    <mergeCell ref="FY56:FZ57"/>
    <mergeCell ref="FY54:FZ55"/>
    <mergeCell ref="GC52:GD53"/>
    <mergeCell ref="GE52:GF53"/>
    <mergeCell ref="GO50:GP51"/>
    <mergeCell ref="GL50:GM51"/>
    <mergeCell ref="GC50:GD51"/>
    <mergeCell ref="GE50:GF51"/>
    <mergeCell ref="GH50:GI51"/>
    <mergeCell ref="GJ50:GK51"/>
    <mergeCell ref="GL52:GM53"/>
    <mergeCell ref="FO56:FP57"/>
    <mergeCell ref="FM52:FN53"/>
    <mergeCell ref="FR52:FS53"/>
    <mergeCell ref="FT52:FU53"/>
    <mergeCell ref="FV52:FW53"/>
    <mergeCell ref="FM56:FN57"/>
    <mergeCell ref="FR56:FS57"/>
    <mergeCell ref="FT56:FU57"/>
    <mergeCell ref="FV56:FW57"/>
    <mergeCell ref="FO52:FP53"/>
    <mergeCell ref="FM54:FN55"/>
    <mergeCell ref="FR54:FS55"/>
    <mergeCell ref="FT54:FU55"/>
    <mergeCell ref="FV54:FW55"/>
    <mergeCell ref="FO54:FP55"/>
    <mergeCell ref="GS36:GT37"/>
    <mergeCell ref="GU36:GV37"/>
    <mergeCell ref="GX36:GY37"/>
    <mergeCell ref="GZ46:HA47"/>
    <mergeCell ref="HB46:HC47"/>
    <mergeCell ref="HI38:HJ39"/>
    <mergeCell ref="GS40:GT41"/>
    <mergeCell ref="GU40:GV41"/>
    <mergeCell ref="GX40:GY41"/>
    <mergeCell ref="GS38:GT39"/>
    <mergeCell ref="GU38:GV39"/>
    <mergeCell ref="GS44:GT45"/>
    <mergeCell ref="GU44:GV45"/>
    <mergeCell ref="GX44:GY45"/>
    <mergeCell ref="GZ44:HA45"/>
    <mergeCell ref="HB40:HC41"/>
    <mergeCell ref="GZ36:HA37"/>
    <mergeCell ref="HB36:HC37"/>
    <mergeCell ref="HE36:HF37"/>
    <mergeCell ref="GS46:GT47"/>
    <mergeCell ref="GU46:GV47"/>
    <mergeCell ref="GX46:GY47"/>
    <mergeCell ref="HU24:HV25"/>
    <mergeCell ref="GS34:GT35"/>
    <mergeCell ref="GU34:GV35"/>
    <mergeCell ref="GX34:GY35"/>
    <mergeCell ref="GZ34:HA35"/>
    <mergeCell ref="HB34:HC35"/>
    <mergeCell ref="HE34:HF35"/>
    <mergeCell ref="HN32:HO33"/>
    <mergeCell ref="HI24:HJ25"/>
    <mergeCell ref="HK24:HL25"/>
    <mergeCell ref="HN24:HO25"/>
    <mergeCell ref="HP24:HQ25"/>
    <mergeCell ref="HR24:HS25"/>
    <mergeCell ref="HI32:HJ33"/>
    <mergeCell ref="HK32:HL33"/>
    <mergeCell ref="GU32:GV33"/>
    <mergeCell ref="HU26:HV27"/>
    <mergeCell ref="HI26:HJ27"/>
    <mergeCell ref="HK26:HL27"/>
    <mergeCell ref="HP32:HQ33"/>
    <mergeCell ref="HR32:HS33"/>
    <mergeCell ref="HU32:HV33"/>
    <mergeCell ref="HI28:HJ29"/>
    <mergeCell ref="GX32:GY33"/>
    <mergeCell ref="HR34:HS35"/>
    <mergeCell ref="HK36:HL37"/>
    <mergeCell ref="HN36:HO37"/>
    <mergeCell ref="HP36:HQ37"/>
    <mergeCell ref="HR36:HS37"/>
    <mergeCell ref="HP30:HQ31"/>
    <mergeCell ref="HR30:HS31"/>
    <mergeCell ref="GS42:GT43"/>
    <mergeCell ref="GZ32:HA33"/>
    <mergeCell ref="HB32:HC33"/>
    <mergeCell ref="HE32:HF33"/>
    <mergeCell ref="GU42:GV43"/>
    <mergeCell ref="GX42:GY43"/>
    <mergeCell ref="GZ42:HA43"/>
    <mergeCell ref="HB42:HC43"/>
    <mergeCell ref="HE42:HF43"/>
    <mergeCell ref="GX38:GY39"/>
    <mergeCell ref="GZ38:HA39"/>
    <mergeCell ref="HR38:HS39"/>
    <mergeCell ref="HN40:HO41"/>
    <mergeCell ref="HI42:HJ43"/>
    <mergeCell ref="HK42:HL43"/>
    <mergeCell ref="GZ40:HA41"/>
    <mergeCell ref="HI36:HJ37"/>
    <mergeCell ref="HR26:HS27"/>
    <mergeCell ref="HU28:HV29"/>
    <mergeCell ref="HE38:HF39"/>
    <mergeCell ref="HI34:HJ35"/>
    <mergeCell ref="HR44:HS45"/>
    <mergeCell ref="HU44:HV45"/>
    <mergeCell ref="HU30:HV31"/>
    <mergeCell ref="HU38:HV39"/>
    <mergeCell ref="HU34:HV35"/>
    <mergeCell ref="HU36:HV37"/>
    <mergeCell ref="HE40:HF41"/>
    <mergeCell ref="HE44:HF45"/>
    <mergeCell ref="HI44:HJ45"/>
    <mergeCell ref="HN28:HO29"/>
    <mergeCell ref="HP28:HQ29"/>
    <mergeCell ref="HR28:HS29"/>
    <mergeCell ref="HK30:HL31"/>
    <mergeCell ref="HN30:HO31"/>
    <mergeCell ref="HK28:HL29"/>
    <mergeCell ref="HK34:HL35"/>
    <mergeCell ref="HN34:HO35"/>
    <mergeCell ref="HU42:HV43"/>
    <mergeCell ref="HU40:HV41"/>
    <mergeCell ref="HP34:HQ35"/>
    <mergeCell ref="HU56:HV57"/>
    <mergeCell ref="HN56:HO57"/>
    <mergeCell ref="HP56:HQ57"/>
    <mergeCell ref="HN54:HO55"/>
    <mergeCell ref="HP54:HQ55"/>
    <mergeCell ref="HU46:HV47"/>
    <mergeCell ref="HR54:HS55"/>
    <mergeCell ref="HP44:HQ45"/>
    <mergeCell ref="HU50:HV51"/>
    <mergeCell ref="HU52:HV53"/>
    <mergeCell ref="HU48:HV49"/>
    <mergeCell ref="HU54:HV55"/>
    <mergeCell ref="HN46:HO47"/>
    <mergeCell ref="HP46:HQ47"/>
    <mergeCell ref="HR46:HS47"/>
    <mergeCell ref="HN52:HO53"/>
    <mergeCell ref="HP52:HQ53"/>
    <mergeCell ref="HR52:HS53"/>
    <mergeCell ref="HR50:HS51"/>
    <mergeCell ref="HP50:HQ51"/>
    <mergeCell ref="HR40:HS41"/>
    <mergeCell ref="HN42:HO43"/>
    <mergeCell ref="GS56:GT57"/>
    <mergeCell ref="GU56:GV57"/>
    <mergeCell ref="GX56:GY57"/>
    <mergeCell ref="GZ56:HA57"/>
    <mergeCell ref="HB56:HC57"/>
    <mergeCell ref="HE56:HF57"/>
    <mergeCell ref="HE54:HF55"/>
    <mergeCell ref="HI56:HJ57"/>
    <mergeCell ref="HK56:HL57"/>
    <mergeCell ref="HI54:HJ55"/>
    <mergeCell ref="HK54:HL55"/>
    <mergeCell ref="GS54:GT55"/>
    <mergeCell ref="GX54:GY55"/>
    <mergeCell ref="GZ54:HA55"/>
    <mergeCell ref="GU54:GV55"/>
    <mergeCell ref="HB54:HC55"/>
    <mergeCell ref="HR56:HS57"/>
    <mergeCell ref="GS48:GT49"/>
    <mergeCell ref="HN44:HO45"/>
    <mergeCell ref="HP40:HQ41"/>
    <mergeCell ref="HB50:HC51"/>
    <mergeCell ref="HI50:HJ51"/>
    <mergeCell ref="HK38:HL39"/>
    <mergeCell ref="HN38:HO39"/>
    <mergeCell ref="HP38:HQ39"/>
    <mergeCell ref="HK44:HL45"/>
    <mergeCell ref="HB38:HC39"/>
    <mergeCell ref="HN48:HO49"/>
    <mergeCell ref="HP48:HQ49"/>
    <mergeCell ref="HK48:HL49"/>
    <mergeCell ref="HI48:HJ49"/>
    <mergeCell ref="HI46:HJ47"/>
    <mergeCell ref="HI40:HJ41"/>
    <mergeCell ref="HK40:HL41"/>
    <mergeCell ref="HB44:HC45"/>
    <mergeCell ref="FO46:FP47"/>
    <mergeCell ref="GL44:GM45"/>
    <mergeCell ref="GL46:GM47"/>
    <mergeCell ref="GH48:GI49"/>
    <mergeCell ref="GJ48:GK49"/>
    <mergeCell ref="GJ44:GK45"/>
    <mergeCell ref="GC48:GD49"/>
    <mergeCell ref="GE46:GF47"/>
    <mergeCell ref="FO48:FP49"/>
    <mergeCell ref="FR46:FS47"/>
    <mergeCell ref="FT46:FU47"/>
    <mergeCell ref="GE48:GF49"/>
    <mergeCell ref="FY48:FZ49"/>
    <mergeCell ref="GL48:GM49"/>
    <mergeCell ref="FR48:FS49"/>
    <mergeCell ref="FT48:FU49"/>
    <mergeCell ref="FV48:FW49"/>
    <mergeCell ref="FV46:FW47"/>
    <mergeCell ref="FO44:FP45"/>
    <mergeCell ref="FR44:FS45"/>
    <mergeCell ref="GS52:GT53"/>
    <mergeCell ref="FO50:FP51"/>
    <mergeCell ref="FR50:FS51"/>
    <mergeCell ref="FT50:FU51"/>
    <mergeCell ref="GX52:GY53"/>
    <mergeCell ref="FV50:FW51"/>
    <mergeCell ref="HR42:HS43"/>
    <mergeCell ref="HK46:HL47"/>
    <mergeCell ref="HR48:HS49"/>
    <mergeCell ref="GO48:GP49"/>
    <mergeCell ref="HP42:HQ43"/>
    <mergeCell ref="GO46:GP47"/>
    <mergeCell ref="GO42:GP43"/>
    <mergeCell ref="GX48:GY49"/>
    <mergeCell ref="GZ48:HA49"/>
    <mergeCell ref="HK52:HL53"/>
    <mergeCell ref="HB52:HC53"/>
    <mergeCell ref="HE52:HF53"/>
    <mergeCell ref="HI52:HJ53"/>
    <mergeCell ref="HE50:HF51"/>
    <mergeCell ref="HK50:HL51"/>
    <mergeCell ref="HN50:HO51"/>
    <mergeCell ref="HE48:HF49"/>
    <mergeCell ref="HE46:HF47"/>
    <mergeCell ref="BN23:BP23"/>
    <mergeCell ref="BN24:BP24"/>
    <mergeCell ref="E48:F48"/>
    <mergeCell ref="LA37:LA41"/>
    <mergeCell ref="GU52:GV53"/>
    <mergeCell ref="HB48:HC49"/>
    <mergeCell ref="GZ52:HA53"/>
    <mergeCell ref="GU48:GV49"/>
    <mergeCell ref="FM32:FN33"/>
    <mergeCell ref="FM36:FN37"/>
    <mergeCell ref="FM38:FN39"/>
    <mergeCell ref="FM40:FN41"/>
    <mergeCell ref="FM42:FN43"/>
    <mergeCell ref="FM44:FN45"/>
    <mergeCell ref="FM46:FN47"/>
    <mergeCell ref="GO52:GP53"/>
    <mergeCell ref="GH46:GI47"/>
    <mergeCell ref="GJ46:GK47"/>
    <mergeCell ref="FM48:FN49"/>
    <mergeCell ref="FM50:FN51"/>
    <mergeCell ref="GS50:GT51"/>
    <mergeCell ref="GU50:GV51"/>
    <mergeCell ref="GX50:GY51"/>
    <mergeCell ref="GZ50:HA51"/>
  </mergeCells>
  <phoneticPr fontId="39" type="noConversion"/>
  <conditionalFormatting sqref="EN60:EV90">
    <cfRule type="expression" dxfId="261" priority="687">
      <formula>EN60=0</formula>
    </cfRule>
  </conditionalFormatting>
  <conditionalFormatting sqref="EC60:EK90">
    <cfRule type="expression" dxfId="260" priority="686">
      <formula>EC60=0</formula>
    </cfRule>
  </conditionalFormatting>
  <conditionalFormatting sqref="EN127:EV157">
    <cfRule type="expression" dxfId="259" priority="685">
      <formula>EN127=0</formula>
    </cfRule>
  </conditionalFormatting>
  <conditionalFormatting sqref="EC127:EK157">
    <cfRule type="expression" dxfId="258" priority="684">
      <formula>EC127=0</formula>
    </cfRule>
  </conditionalFormatting>
  <conditionalFormatting sqref="G23:G34">
    <cfRule type="expression" dxfId="257" priority="58784">
      <formula>C23=$B$41</formula>
    </cfRule>
  </conditionalFormatting>
  <printOptions horizontalCentered="1" verticalCentered="1" gridLines="1"/>
  <pageMargins left="0.39370078740157483" right="0.39370078740157483" top="0.39370078740157483" bottom="0.39370078740157483" header="0" footer="0"/>
  <pageSetup paperSize="9" scale="50" fitToWidth="0" fitToHeight="0" orientation="landscape" r:id="rId1"/>
  <headerFooter>
    <oddHeader>&amp;C&amp;"Lucida Console,Bold"GAMEPLAN</oddHeader>
  </headerFooter>
  <drawing r:id="rId2"/>
  <extLst>
    <ext xmlns:x14="http://schemas.microsoft.com/office/spreadsheetml/2009/9/main" uri="{78C0D931-6437-407d-A8EE-F0AAD7539E65}">
      <x14:conditionalFormattings>
        <x14:conditionalFormatting xmlns:xm="http://schemas.microsoft.com/office/excel/2006/main">
          <x14:cfRule type="expression" priority="412" id="{8463689B-6D51-4265-AC5E-CE460D6EB801}">
            <xm:f>PLANS!$F$3="JUNE"</xm:f>
            <x14:dxf>
              <font>
                <color rgb="FFFFC000"/>
              </font>
            </x14:dxf>
          </x14:cfRule>
          <x14:cfRule type="expression" priority="413" id="{6C9C99F4-6F74-4AB8-8F90-130AFD75C28C}">
            <xm:f>PLANS!$F$3="MAY"</xm:f>
            <x14:dxf>
              <font>
                <color rgb="FFEBE600"/>
              </font>
            </x14:dxf>
          </x14:cfRule>
          <x14:cfRule type="expression" priority="414" id="{F082F045-A129-4045-A41E-3545E0258FEE}">
            <xm:f>PLANS!$F$3="APRIL"</xm:f>
            <x14:dxf>
              <font>
                <color rgb="FF92D050"/>
              </font>
            </x14:dxf>
          </x14:cfRule>
          <x14:cfRule type="expression" priority="415" id="{643C4049-DF4D-419F-B5FE-C60C3DC7B07F}">
            <xm:f>PLANS!$F$3="MARCH"</xm:f>
            <x14:dxf>
              <font>
                <color rgb="FF00B050"/>
              </font>
            </x14:dxf>
          </x14:cfRule>
          <x14:cfRule type="expression" priority="416" id="{19B2564B-546E-48DA-A5F3-3C21968FBAFB}">
            <xm:f>PLANS!$F$3="FEBRUARY"</xm:f>
            <x14:dxf>
              <font>
                <color rgb="FF00B0F0"/>
              </font>
            </x14:dxf>
          </x14:cfRule>
          <x14:cfRule type="expression" priority="417" id="{A1E83C71-B2F3-4278-A574-6C1667846833}">
            <xm:f>PLANS!$F$3="JANUARY"</xm:f>
            <x14:dxf>
              <font>
                <color rgb="FF0070C0"/>
              </font>
            </x14:dxf>
          </x14:cfRule>
          <x14:cfRule type="expression" priority="418" id="{8972BFC7-7DDD-432F-A6AA-01CEE53EA3EC}">
            <xm:f>PLANS!$F$3="DECEMBER"</xm:f>
            <x14:dxf>
              <font>
                <color rgb="FF6600CC"/>
              </font>
            </x14:dxf>
          </x14:cfRule>
          <x14:cfRule type="expression" priority="419" id="{2B71A180-0CDB-4244-87B2-522945C5F12F}">
            <xm:f>PLANS!$F$3="NOVEMBER"</xm:f>
            <x14:dxf>
              <font>
                <color rgb="FF9900CC"/>
              </font>
            </x14:dxf>
          </x14:cfRule>
          <x14:cfRule type="expression" priority="420" id="{AAF571AB-0EB9-46BE-9B3B-36C884B9BBD9}">
            <xm:f>PLANS!$F$3="OCTOBER"</xm:f>
            <x14:dxf>
              <font>
                <color rgb="FFFF00FF"/>
              </font>
            </x14:dxf>
          </x14:cfRule>
          <x14:cfRule type="expression" priority="421" id="{13AD6387-EA63-4622-820B-58AA2298741D}">
            <xm:f>PLANS!$F$3="SEPTEMBER"</xm:f>
            <x14:dxf>
              <font>
                <color rgb="FFFF0000"/>
              </font>
            </x14:dxf>
          </x14:cfRule>
          <x14:cfRule type="expression" priority="422" id="{6D1101D4-00B0-4E3E-B33B-9C743DB6C4EE}">
            <xm:f>PLANS!$F$3="AUGUST"</xm:f>
            <x14:dxf>
              <font>
                <color rgb="FFC00000"/>
              </font>
            </x14:dxf>
          </x14:cfRule>
          <x14:cfRule type="expression" priority="423" id="{1CA5BCF4-30D0-4C81-B1D1-018DB7B56A73}">
            <xm:f>PLANS!$F$3="JULY"</xm:f>
            <x14:dxf>
              <font>
                <color rgb="FFFF6600"/>
              </font>
            </x14:dxf>
          </x14:cfRule>
          <xm:sqref>GQ22</xm:sqref>
        </x14:conditionalFormatting>
        <x14:conditionalFormatting xmlns:xm="http://schemas.microsoft.com/office/excel/2006/main">
          <x14:cfRule type="expression" priority="400" id="{E7345D72-079C-4076-9BA6-81EAD47EC6D9}">
            <xm:f>PLANS!$F$3="JUNE"</xm:f>
            <x14:dxf>
              <font>
                <color rgb="FFFFC000"/>
              </font>
            </x14:dxf>
          </x14:cfRule>
          <x14:cfRule type="expression" priority="401" id="{0D36FEC5-3F2E-4B7E-8566-F3FBC026D094}">
            <xm:f>PLANS!$F$3="MAY"</xm:f>
            <x14:dxf>
              <font>
                <color rgb="FFEBE600"/>
              </font>
            </x14:dxf>
          </x14:cfRule>
          <x14:cfRule type="expression" priority="402" id="{4EA966BE-D96E-431A-A5D6-B068A1C94800}">
            <xm:f>PLANS!$F$3="APRIL"</xm:f>
            <x14:dxf>
              <font>
                <color rgb="FF92D050"/>
              </font>
            </x14:dxf>
          </x14:cfRule>
          <x14:cfRule type="expression" priority="403" id="{362CEDFB-7851-49B8-9791-FEBD1225AE5C}">
            <xm:f>PLANS!$F$3="MARCH"</xm:f>
            <x14:dxf>
              <font>
                <color rgb="FF00B050"/>
              </font>
            </x14:dxf>
          </x14:cfRule>
          <x14:cfRule type="expression" priority="404" id="{BE534EBE-97AE-41F8-80A5-EFAE57E9FF06}">
            <xm:f>PLANS!$F$3="FEBRUARY"</xm:f>
            <x14:dxf>
              <font>
                <color rgb="FF00B0F0"/>
              </font>
            </x14:dxf>
          </x14:cfRule>
          <x14:cfRule type="expression" priority="405" id="{AEEBFA21-DA39-4254-9BF5-D7BD04C4025C}">
            <xm:f>PLANS!$F$3="JANUARY"</xm:f>
            <x14:dxf>
              <font>
                <color rgb="FF0070C0"/>
              </font>
            </x14:dxf>
          </x14:cfRule>
          <x14:cfRule type="expression" priority="406" id="{E89FF67A-9045-4F55-8FC3-F62EC096806C}">
            <xm:f>PLANS!$F$3="DECEMBER"</xm:f>
            <x14:dxf>
              <font>
                <color rgb="FF6600CC"/>
              </font>
            </x14:dxf>
          </x14:cfRule>
          <x14:cfRule type="expression" priority="407" id="{2FA99B71-EFD4-46F1-B1F4-0797EDD98993}">
            <xm:f>PLANS!$F$3="NOVEMBER"</xm:f>
            <x14:dxf>
              <font>
                <color rgb="FF9900CC"/>
              </font>
            </x14:dxf>
          </x14:cfRule>
          <x14:cfRule type="expression" priority="408" id="{AACCF5A9-F21D-4705-8B4C-2487659A1123}">
            <xm:f>PLANS!$F$3="OCTOBER"</xm:f>
            <x14:dxf>
              <font>
                <color rgb="FFFF00FF"/>
              </font>
            </x14:dxf>
          </x14:cfRule>
          <x14:cfRule type="expression" priority="409" id="{ACE1E853-E8FB-4E8C-9679-80BCF00ACFF1}">
            <xm:f>PLANS!$F$3="SEPTEMBER"</xm:f>
            <x14:dxf>
              <font>
                <color rgb="FFFF0000"/>
              </font>
            </x14:dxf>
          </x14:cfRule>
          <x14:cfRule type="expression" priority="410" id="{9A4BBA59-51EF-4506-BC2D-9DDBAB14EDF9}">
            <xm:f>PLANS!$F$3="AUGUST"</xm:f>
            <x14:dxf>
              <font>
                <color rgb="FFC00000"/>
              </font>
            </x14:dxf>
          </x14:cfRule>
          <x14:cfRule type="expression" priority="411" id="{C7CBA6BB-A3C2-46E3-8EB3-A15554FC44F7}">
            <xm:f>PLANS!$F$3="JULY"</xm:f>
            <x14:dxf>
              <font>
                <color rgb="FFFF6600"/>
              </font>
            </x14:dxf>
          </x14:cfRule>
          <xm:sqref>GQ24</xm:sqref>
        </x14:conditionalFormatting>
        <x14:conditionalFormatting xmlns:xm="http://schemas.microsoft.com/office/excel/2006/main">
          <x14:cfRule type="expression" priority="343" id="{9E0A3335-2A22-42DE-B6E2-B8F3128A937B}">
            <xm:f>PLANS!$F$3="JUNE"</xm:f>
            <x14:dxf>
              <font>
                <color rgb="FFFFC000"/>
              </font>
            </x14:dxf>
          </x14:cfRule>
          <x14:cfRule type="expression" priority="344" id="{F0C99655-77D8-4373-B07C-2E6BE44B1C2C}">
            <xm:f>PLANS!$F$3="MAY"</xm:f>
            <x14:dxf>
              <font>
                <color rgb="FFEBE600"/>
              </font>
            </x14:dxf>
          </x14:cfRule>
          <x14:cfRule type="expression" priority="345" id="{9CEC20DC-3DFD-49F9-B5E1-58FE6991B090}">
            <xm:f>PLANS!$F$3="APRIL"</xm:f>
            <x14:dxf>
              <font>
                <color rgb="FF92D050"/>
              </font>
            </x14:dxf>
          </x14:cfRule>
          <x14:cfRule type="expression" priority="346" id="{4164E102-3239-41A8-B00B-4B82980376F5}">
            <xm:f>PLANS!$F$3="MARCH"</xm:f>
            <x14:dxf>
              <font>
                <color rgb="FF00B050"/>
              </font>
            </x14:dxf>
          </x14:cfRule>
          <x14:cfRule type="expression" priority="347" id="{DE3B3329-73B5-4AC0-9086-8688955538EA}">
            <xm:f>PLANS!$F$3="FEBRUARY"</xm:f>
            <x14:dxf>
              <font>
                <color rgb="FF00B0F0"/>
              </font>
            </x14:dxf>
          </x14:cfRule>
          <x14:cfRule type="expression" priority="348" id="{53387216-7ADE-41A9-B88F-CD8D92E17A58}">
            <xm:f>PLANS!$F$3="JANUARY"</xm:f>
            <x14:dxf>
              <font>
                <color rgb="FF0070C0"/>
              </font>
            </x14:dxf>
          </x14:cfRule>
          <x14:cfRule type="expression" priority="349" id="{FB3A6CA4-FD43-4F7D-9A5B-F745262320D9}">
            <xm:f>PLANS!$F$3="DECEMBER"</xm:f>
            <x14:dxf>
              <font>
                <color rgb="FF6600CC"/>
              </font>
            </x14:dxf>
          </x14:cfRule>
          <x14:cfRule type="expression" priority="350" id="{8750C1BD-EB60-4D2C-BA2A-0A44AAD22170}">
            <xm:f>PLANS!$F$3="NOVEMBER"</xm:f>
            <x14:dxf>
              <font>
                <color rgb="FF9900CC"/>
              </font>
            </x14:dxf>
          </x14:cfRule>
          <x14:cfRule type="expression" priority="351" id="{A6311AF0-E2E9-4104-B177-9F885174DD26}">
            <xm:f>PLANS!$F$3="OCTOBER"</xm:f>
            <x14:dxf>
              <font>
                <color rgb="FFFF00FF"/>
              </font>
            </x14:dxf>
          </x14:cfRule>
          <x14:cfRule type="expression" priority="352" id="{17ED178C-27A6-4382-8B69-2B7F2814D44B}">
            <xm:f>PLANS!$F$3="SEPTEMBER"</xm:f>
            <x14:dxf>
              <font>
                <color rgb="FFFF0000"/>
              </font>
            </x14:dxf>
          </x14:cfRule>
          <x14:cfRule type="expression" priority="353" id="{92D5E923-7095-4937-91DE-7C65C733C1AF}">
            <xm:f>PLANS!$F$3="AUGUST"</xm:f>
            <x14:dxf>
              <font>
                <color rgb="FFC00000"/>
              </font>
            </x14:dxf>
          </x14:cfRule>
          <x14:cfRule type="expression" priority="354" id="{E047F09B-8904-4E7D-B703-138C26F80388}">
            <xm:f>PLANS!$F$3="JULY"</xm:f>
            <x14:dxf>
              <font>
                <color rgb="FFFF6600"/>
              </font>
            </x14:dxf>
          </x14:cfRule>
          <xm:sqref>B23:B35</xm:sqref>
        </x14:conditionalFormatting>
        <x14:conditionalFormatting xmlns:xm="http://schemas.microsoft.com/office/excel/2006/main">
          <x14:cfRule type="expression" priority="331" id="{FF5F240D-91D8-4A62-A728-A4221588ED6E}">
            <xm:f>PLANS!$F$3="JUNE"</xm:f>
            <x14:dxf>
              <font>
                <color rgb="FFFFC000"/>
              </font>
            </x14:dxf>
          </x14:cfRule>
          <x14:cfRule type="expression" priority="332" id="{2AE366B5-73E7-45E8-83D3-C6279677F368}">
            <xm:f>PLANS!$F$3="MAY"</xm:f>
            <x14:dxf>
              <font>
                <color rgb="FFEBE600"/>
              </font>
            </x14:dxf>
          </x14:cfRule>
          <x14:cfRule type="expression" priority="333" id="{71D721E5-85D8-47F4-BA74-7F3DEBBCAD5D}">
            <xm:f>PLANS!$F$3="APRIL"</xm:f>
            <x14:dxf>
              <font>
                <color rgb="FF92D050"/>
              </font>
            </x14:dxf>
          </x14:cfRule>
          <x14:cfRule type="expression" priority="334" id="{3F61384D-6C5B-48C9-8360-0568E2BD367E}">
            <xm:f>PLANS!$F$3="MARCH"</xm:f>
            <x14:dxf>
              <font>
                <color rgb="FF00B050"/>
              </font>
            </x14:dxf>
          </x14:cfRule>
          <x14:cfRule type="expression" priority="335" id="{431F10FA-404C-4C33-A0AD-772F157AEAC1}">
            <xm:f>PLANS!$F$3="FEBRUARY"</xm:f>
            <x14:dxf>
              <font>
                <color rgb="FF00B0F0"/>
              </font>
            </x14:dxf>
          </x14:cfRule>
          <x14:cfRule type="expression" priority="336" id="{F5F7DEDD-D77A-4B3B-9D92-BF6631B1A9B5}">
            <xm:f>PLANS!$F$3="JANUARY"</xm:f>
            <x14:dxf>
              <font>
                <color rgb="FF0070C0"/>
              </font>
            </x14:dxf>
          </x14:cfRule>
          <x14:cfRule type="expression" priority="337" id="{08D164F3-6C49-4BF8-915B-31C107F14C1B}">
            <xm:f>PLANS!$F$3="DECEMBER"</xm:f>
            <x14:dxf>
              <font>
                <color rgb="FF6600CC"/>
              </font>
            </x14:dxf>
          </x14:cfRule>
          <x14:cfRule type="expression" priority="338" id="{0857395A-0085-4862-A52E-5A83CE02E01C}">
            <xm:f>PLANS!$F$3="NOVEMBER"</xm:f>
            <x14:dxf>
              <font>
                <color rgb="FF9900CC"/>
              </font>
            </x14:dxf>
          </x14:cfRule>
          <x14:cfRule type="expression" priority="339" id="{A4694B73-BD04-45F9-A2FF-FB8D9D0A9D81}">
            <xm:f>PLANS!$F$3="OCTOBER"</xm:f>
            <x14:dxf>
              <font>
                <color rgb="FFFF00FF"/>
              </font>
            </x14:dxf>
          </x14:cfRule>
          <x14:cfRule type="expression" priority="340" id="{8435A65B-787B-41FF-A967-4797841F790D}">
            <xm:f>PLANS!$F$3="SEPTEMBER"</xm:f>
            <x14:dxf>
              <font>
                <color rgb="FFFF0000"/>
              </font>
            </x14:dxf>
          </x14:cfRule>
          <x14:cfRule type="expression" priority="341" id="{82E0541E-F2FA-4CDB-A143-ABD45B86840A}">
            <xm:f>PLANS!$F$3="AUGUST"</xm:f>
            <x14:dxf>
              <font>
                <color rgb="FFC00000"/>
              </font>
            </x14:dxf>
          </x14:cfRule>
          <x14:cfRule type="expression" priority="342" id="{877CD34C-A1F6-4D55-ABCE-A4D5C6146126}">
            <xm:f>PLANS!$F$3="JULY"</xm:f>
            <x14:dxf>
              <font>
                <color rgb="FFFF6600"/>
              </font>
            </x14:dxf>
          </x14:cfRule>
          <xm:sqref>AH23:AH143 K23:K143</xm:sqref>
        </x14:conditionalFormatting>
        <x14:conditionalFormatting xmlns:xm="http://schemas.microsoft.com/office/excel/2006/main">
          <x14:cfRule type="expression" priority="58444" id="{A18C3D51-09B7-400D-A7BD-1AAADBE1E3C4}">
            <xm:f>BOUNTY!$AB$19="£"</xm:f>
            <x14:dxf>
              <numFmt numFmtId="167" formatCode="&quot;£&quot;#,##0"/>
            </x14:dxf>
          </x14:cfRule>
          <xm:sqref>B42 I34 I28 I49 F49:F54 D35:F35 I42 I45 F42 D43:F43 D23:H34</xm:sqref>
        </x14:conditionalFormatting>
        <x14:conditionalFormatting xmlns:xm="http://schemas.microsoft.com/office/excel/2006/main">
          <x14:cfRule type="expression" priority="58452" id="{5E3A6544-96D2-4951-A95B-C44CCDD75FF1}">
            <xm:f>BOUNTY!$AB$19="$"</xm:f>
            <x14:dxf>
              <numFmt numFmtId="185" formatCode="[$$-409]#,##0"/>
            </x14:dxf>
          </x14:cfRule>
          <x14:cfRule type="expression" priority="58453" id="{05FE38EE-3B36-4A40-B739-725999C7E8B7}">
            <xm:f>BOUNTY!$AB$19="€"</xm:f>
            <x14:dxf>
              <numFmt numFmtId="184" formatCode="[$€-2]\ #,##0"/>
            </x14:dxf>
          </x14:cfRule>
          <x14:cfRule type="expression" priority="58454" id="{A43F59B1-9327-44AC-A585-36B18FAD09ED}">
            <xm:f>BOUNTY!$AB$19="¥"</xm:f>
            <x14:dxf>
              <numFmt numFmtId="183" formatCode="[$¥-804]#,##0"/>
            </x14:dxf>
          </x14:cfRule>
          <x14:cfRule type="expression" priority="58455" id="{401C8220-DB49-4E4E-BA39-F17F9F2EF673}">
            <xm:f>BOUNTY!$AB$19="₹"</xm:f>
            <x14:dxf>
              <numFmt numFmtId="182" formatCode="[$₹-4009]\ #,##0"/>
            </x14:dxf>
          </x14:cfRule>
          <xm:sqref>B42 I34 I28 I49 F49:F54 D35:F35 I42 I45 F42 D43:F43 D23:H34</xm:sqref>
        </x14:conditionalFormatting>
        <x14:conditionalFormatting xmlns:xm="http://schemas.microsoft.com/office/excel/2006/main">
          <x14:cfRule type="expression" priority="229" id="{9A3198BA-B269-4E3C-8ED8-AB39891B988D}">
            <xm:f>PLANS!$F$3="JUNE"</xm:f>
            <x14:dxf>
              <fill>
                <patternFill>
                  <bgColor rgb="FFFFC000"/>
                </patternFill>
              </fill>
            </x14:dxf>
          </x14:cfRule>
          <x14:cfRule type="expression" priority="230" id="{1341E406-2D6A-4543-BF1E-7CDADA0F0CA1}">
            <xm:f>PLANS!$F$3="MAY"</xm:f>
            <x14:dxf>
              <fill>
                <patternFill>
                  <bgColor rgb="FFEBE600"/>
                </patternFill>
              </fill>
            </x14:dxf>
          </x14:cfRule>
          <x14:cfRule type="expression" priority="231" id="{108E4E6D-AF8A-494D-97D5-58E3983AA1F9}">
            <xm:f>PLANS!$F$3="APRIL"</xm:f>
            <x14:dxf>
              <fill>
                <patternFill>
                  <bgColor rgb="FF92D050"/>
                </patternFill>
              </fill>
            </x14:dxf>
          </x14:cfRule>
          <x14:cfRule type="expression" priority="232" id="{6A956BE5-D290-437C-A86B-B1170848AB2F}">
            <xm:f>PLANS!$F$3="MARCH"</xm:f>
            <x14:dxf>
              <fill>
                <patternFill>
                  <bgColor rgb="FF00B050"/>
                </patternFill>
              </fill>
            </x14:dxf>
          </x14:cfRule>
          <x14:cfRule type="expression" priority="233" id="{1A8E18FB-FFAA-471C-A7FF-4C4BD6F8C9E3}">
            <xm:f>PLANS!$F$3="FEBRUARY"</xm:f>
            <x14:dxf>
              <fill>
                <patternFill>
                  <bgColor rgb="FF00B0F0"/>
                </patternFill>
              </fill>
            </x14:dxf>
          </x14:cfRule>
          <x14:cfRule type="expression" priority="234" id="{DBF09632-BFF2-4CC8-B200-4C0F053572FB}">
            <xm:f>PLANS!$F$3="JANUARY"</xm:f>
            <x14:dxf>
              <fill>
                <patternFill>
                  <bgColor rgb="FF0070C0"/>
                </patternFill>
              </fill>
            </x14:dxf>
          </x14:cfRule>
          <x14:cfRule type="expression" priority="235" id="{37B57190-0E8B-443C-9B4D-9F31E2FC7D7E}">
            <xm:f>PLANS!$F$3="DECEMBER"</xm:f>
            <x14:dxf>
              <fill>
                <patternFill>
                  <bgColor rgb="FF6600CC"/>
                </patternFill>
              </fill>
            </x14:dxf>
          </x14:cfRule>
          <x14:cfRule type="expression" priority="236" id="{C3640170-D403-4091-B860-E1E9FD1F3586}">
            <xm:f>PLANS!$F$3="NOVEMBER"</xm:f>
            <x14:dxf>
              <fill>
                <patternFill>
                  <bgColor rgb="FF9900CC"/>
                </patternFill>
              </fill>
            </x14:dxf>
          </x14:cfRule>
          <x14:cfRule type="expression" priority="237" id="{AE2A3FD6-6450-49B4-ADDE-D4EBC473930E}">
            <xm:f>PLANS!$F$3="OCTOBER"</xm:f>
            <x14:dxf>
              <fill>
                <patternFill>
                  <bgColor rgb="FFFF00FF"/>
                </patternFill>
              </fill>
            </x14:dxf>
          </x14:cfRule>
          <x14:cfRule type="expression" priority="238" id="{B4D7A2C9-B1EC-4BA1-A27B-E118A45622CD}">
            <xm:f>PLANS!$F$3="SEPTEMBER"</xm:f>
            <x14:dxf>
              <fill>
                <patternFill>
                  <bgColor rgb="FFFF0000"/>
                </patternFill>
              </fill>
            </x14:dxf>
          </x14:cfRule>
          <x14:cfRule type="expression" priority="239" id="{C552EE09-E139-46CA-A8AC-DE509088CCAC}">
            <xm:f>PLANS!$F$3="AUGUST"</xm:f>
            <x14:dxf>
              <fill>
                <patternFill>
                  <bgColor rgb="FFC00000"/>
                </patternFill>
              </fill>
            </x14:dxf>
          </x14:cfRule>
          <x14:cfRule type="expression" priority="240" id="{3EBEF0F5-7BC1-4CAA-89F2-AA6B25DB66C0}">
            <xm:f>PLANS!$F$3="JULY"</xm:f>
            <x14:dxf>
              <fill>
                <patternFill>
                  <bgColor rgb="FFFF6600"/>
                </patternFill>
              </fill>
            </x14:dxf>
          </x14:cfRule>
          <xm:sqref>K21</xm:sqref>
        </x14:conditionalFormatting>
        <x14:conditionalFormatting xmlns:xm="http://schemas.microsoft.com/office/excel/2006/main">
          <x14:cfRule type="expression" priority="217" id="{87F1DDB7-803E-498F-9427-FAB2ADF9801E}">
            <xm:f>PLANS!$F$3="JUNE"</xm:f>
            <x14:dxf>
              <fill>
                <patternFill>
                  <bgColor rgb="FFFFC000"/>
                </patternFill>
              </fill>
            </x14:dxf>
          </x14:cfRule>
          <x14:cfRule type="expression" priority="218" id="{E0ADBAB0-21A8-4971-9CB3-B127B9ED3134}">
            <xm:f>PLANS!$F$3="MAY"</xm:f>
            <x14:dxf>
              <fill>
                <patternFill>
                  <bgColor rgb="FFEBE600"/>
                </patternFill>
              </fill>
            </x14:dxf>
          </x14:cfRule>
          <x14:cfRule type="expression" priority="219" id="{9467B90E-8D26-4A9E-B7DB-C85C260B87BB}">
            <xm:f>PLANS!$F$3="APRIL"</xm:f>
            <x14:dxf>
              <fill>
                <patternFill>
                  <bgColor rgb="FF92D050"/>
                </patternFill>
              </fill>
            </x14:dxf>
          </x14:cfRule>
          <x14:cfRule type="expression" priority="220" id="{207A61DD-E153-4344-9857-47263EBCAB47}">
            <xm:f>PLANS!$F$3="MARCH"</xm:f>
            <x14:dxf>
              <fill>
                <patternFill>
                  <bgColor rgb="FF00B050"/>
                </patternFill>
              </fill>
            </x14:dxf>
          </x14:cfRule>
          <x14:cfRule type="expression" priority="221" id="{E3E8CDF1-3E60-4776-9D0C-34EA4C9A5818}">
            <xm:f>PLANS!$F$3="FEBRUARY"</xm:f>
            <x14:dxf>
              <fill>
                <patternFill>
                  <bgColor rgb="FF00B0F0"/>
                </patternFill>
              </fill>
            </x14:dxf>
          </x14:cfRule>
          <x14:cfRule type="expression" priority="222" id="{369A16AD-CCD5-45E1-A55C-EB3D10178345}">
            <xm:f>PLANS!$F$3="JANUARY"</xm:f>
            <x14:dxf>
              <fill>
                <patternFill>
                  <bgColor rgb="FF0070C0"/>
                </patternFill>
              </fill>
            </x14:dxf>
          </x14:cfRule>
          <x14:cfRule type="expression" priority="223" id="{7E696691-461A-450C-8DFA-BB0BD3F7E451}">
            <xm:f>PLANS!$F$3="DECEMBER"</xm:f>
            <x14:dxf>
              <fill>
                <patternFill>
                  <bgColor rgb="FF6600CC"/>
                </patternFill>
              </fill>
            </x14:dxf>
          </x14:cfRule>
          <x14:cfRule type="expression" priority="224" id="{A3C8FF35-59C4-42AB-8892-0D6C80F15291}">
            <xm:f>PLANS!$F$3="NOVEMBER"</xm:f>
            <x14:dxf>
              <fill>
                <patternFill>
                  <bgColor rgb="FF9900CC"/>
                </patternFill>
              </fill>
            </x14:dxf>
          </x14:cfRule>
          <x14:cfRule type="expression" priority="225" id="{B75A3627-7203-4F91-91E0-84EC7959637A}">
            <xm:f>PLANS!$F$3="OCTOBER"</xm:f>
            <x14:dxf>
              <fill>
                <patternFill>
                  <bgColor rgb="FFFF00FF"/>
                </patternFill>
              </fill>
            </x14:dxf>
          </x14:cfRule>
          <x14:cfRule type="expression" priority="226" id="{3B892A09-E122-42CD-9DE4-ADE7421DCAC9}">
            <xm:f>PLANS!$F$3="SEPTEMBER"</xm:f>
            <x14:dxf>
              <fill>
                <patternFill>
                  <bgColor rgb="FFFF0000"/>
                </patternFill>
              </fill>
            </x14:dxf>
          </x14:cfRule>
          <x14:cfRule type="expression" priority="227" id="{87D8CCF1-1B59-47C9-830F-AE7ECA3AAD0B}">
            <xm:f>PLANS!$F$3="AUGUST"</xm:f>
            <x14:dxf>
              <fill>
                <patternFill>
                  <bgColor rgb="FFC00000"/>
                </patternFill>
              </fill>
            </x14:dxf>
          </x14:cfRule>
          <x14:cfRule type="expression" priority="228" id="{A4F4F12C-C52C-48DC-B02E-C0C9CB974EA6}">
            <xm:f>PLANS!$F$3="JULY"</xm:f>
            <x14:dxf>
              <fill>
                <patternFill>
                  <bgColor rgb="FFFF6600"/>
                </patternFill>
              </fill>
            </x14:dxf>
          </x14:cfRule>
          <xm:sqref>AH21</xm:sqref>
        </x14:conditionalFormatting>
        <x14:conditionalFormatting xmlns:xm="http://schemas.microsoft.com/office/excel/2006/main">
          <x14:cfRule type="expression" priority="205" id="{1D4FE13E-5748-4EBC-89C1-31D58D5432D9}">
            <xm:f>PLANS!$F$3="JUNE"</xm:f>
            <x14:dxf>
              <fill>
                <patternFill>
                  <bgColor rgb="FFFFC000"/>
                </patternFill>
              </fill>
            </x14:dxf>
          </x14:cfRule>
          <x14:cfRule type="expression" priority="206" id="{6D4A94D0-80E6-4625-BF25-1DDCABF93C98}">
            <xm:f>PLANS!$F$3="MAY"</xm:f>
            <x14:dxf>
              <fill>
                <patternFill>
                  <bgColor rgb="FFEBE600"/>
                </patternFill>
              </fill>
            </x14:dxf>
          </x14:cfRule>
          <x14:cfRule type="expression" priority="207" id="{AD4A55A1-3CD6-478B-A068-5A9A5460CC42}">
            <xm:f>PLANS!$F$3="APRIL"</xm:f>
            <x14:dxf>
              <fill>
                <patternFill>
                  <bgColor rgb="FF92D050"/>
                </patternFill>
              </fill>
            </x14:dxf>
          </x14:cfRule>
          <x14:cfRule type="expression" priority="208" id="{DAB91714-DE9F-43DC-8479-8B42EE04C9AC}">
            <xm:f>PLANS!$F$3="MARCH"</xm:f>
            <x14:dxf>
              <fill>
                <patternFill>
                  <bgColor rgb="FF00B050"/>
                </patternFill>
              </fill>
            </x14:dxf>
          </x14:cfRule>
          <x14:cfRule type="expression" priority="209" id="{8AA7AB19-2756-4BF8-BD53-8FD2DAD42AE8}">
            <xm:f>PLANS!$F$3="FEBRUARY"</xm:f>
            <x14:dxf>
              <fill>
                <patternFill>
                  <bgColor rgb="FF00B0F0"/>
                </patternFill>
              </fill>
            </x14:dxf>
          </x14:cfRule>
          <x14:cfRule type="expression" priority="210" id="{BD20B6AD-1D00-4D44-A1D4-51035E8E9730}">
            <xm:f>PLANS!$F$3="JANUARY"</xm:f>
            <x14:dxf>
              <fill>
                <patternFill>
                  <bgColor rgb="FF0070C0"/>
                </patternFill>
              </fill>
            </x14:dxf>
          </x14:cfRule>
          <x14:cfRule type="expression" priority="211" id="{ABB0AF43-E521-40D6-BEE0-1D74F27B46E3}">
            <xm:f>PLANS!$F$3="DECEMBER"</xm:f>
            <x14:dxf>
              <fill>
                <patternFill>
                  <bgColor rgb="FF6600CC"/>
                </patternFill>
              </fill>
            </x14:dxf>
          </x14:cfRule>
          <x14:cfRule type="expression" priority="212" id="{E4860D77-F01C-4EB4-8CA8-27E6F3600F4C}">
            <xm:f>PLANS!$F$3="NOVEMBER"</xm:f>
            <x14:dxf>
              <fill>
                <patternFill>
                  <bgColor rgb="FF9900CC"/>
                </patternFill>
              </fill>
            </x14:dxf>
          </x14:cfRule>
          <x14:cfRule type="expression" priority="213" id="{08416EB5-6588-4B05-A3E8-3ED6E3B17795}">
            <xm:f>PLANS!$F$3="OCTOBER"</xm:f>
            <x14:dxf>
              <fill>
                <patternFill>
                  <bgColor rgb="FFFF00FF"/>
                </patternFill>
              </fill>
            </x14:dxf>
          </x14:cfRule>
          <x14:cfRule type="expression" priority="214" id="{5D1EC5E4-C9EE-42C7-87B9-A6D8283180FF}">
            <xm:f>PLANS!$F$3="SEPTEMBER"</xm:f>
            <x14:dxf>
              <fill>
                <patternFill>
                  <bgColor rgb="FFFF0000"/>
                </patternFill>
              </fill>
            </x14:dxf>
          </x14:cfRule>
          <x14:cfRule type="expression" priority="215" id="{0B5A062C-D2F8-41AD-9EA7-BFDD19BEF817}">
            <xm:f>PLANS!$F$3="AUGUST"</xm:f>
            <x14:dxf>
              <fill>
                <patternFill>
                  <bgColor rgb="FFC00000"/>
                </patternFill>
              </fill>
            </x14:dxf>
          </x14:cfRule>
          <x14:cfRule type="expression" priority="216" id="{00118439-5E4B-4F4D-B0A3-CAC13E63AE91}">
            <xm:f>PLANS!$F$3="JULY"</xm:f>
            <x14:dxf>
              <fill>
                <patternFill>
                  <bgColor rgb="FFFF6600"/>
                </patternFill>
              </fill>
            </x14:dxf>
          </x14:cfRule>
          <xm:sqref>B21</xm:sqref>
        </x14:conditionalFormatting>
        <x14:conditionalFormatting xmlns:xm="http://schemas.microsoft.com/office/excel/2006/main">
          <x14:cfRule type="expression" priority="169" id="{FEE89F35-B01A-4A24-82C5-E61026C0C2FB}">
            <xm:f>PLANS!$F$3="JUNE"</xm:f>
            <x14:dxf>
              <font>
                <color rgb="FFFFC000"/>
              </font>
            </x14:dxf>
          </x14:cfRule>
          <x14:cfRule type="expression" priority="170" id="{1FB00A8F-90A6-4EE9-AEC2-E9CBB6278514}">
            <xm:f>PLANS!$F$3="MAY"</xm:f>
            <x14:dxf>
              <font>
                <color rgb="FFEBE600"/>
              </font>
            </x14:dxf>
          </x14:cfRule>
          <x14:cfRule type="expression" priority="171" id="{D03B3DE1-4D2D-41A8-AA0E-80B371779BA4}">
            <xm:f>PLANS!$F$3="APRIL"</xm:f>
            <x14:dxf>
              <font>
                <color rgb="FF92D050"/>
              </font>
            </x14:dxf>
          </x14:cfRule>
          <x14:cfRule type="expression" priority="172" id="{8F14BDEB-CDAF-48CD-82D9-E96B4C8B806F}">
            <xm:f>PLANS!$F$3="MARCH"</xm:f>
            <x14:dxf>
              <font>
                <color rgb="FF00B050"/>
              </font>
            </x14:dxf>
          </x14:cfRule>
          <x14:cfRule type="expression" priority="173" id="{BE5FCB1F-3E0A-4064-981F-30B4A5A19816}">
            <xm:f>PLANS!$F$3="FEBRUARY"</xm:f>
            <x14:dxf>
              <font>
                <color rgb="FF00B0F0"/>
              </font>
            </x14:dxf>
          </x14:cfRule>
          <x14:cfRule type="expression" priority="174" id="{E5799E4B-B137-4656-BB67-EF806569B8F7}">
            <xm:f>PLANS!$F$3="JANUARY"</xm:f>
            <x14:dxf>
              <font>
                <color rgb="FF0070C0"/>
              </font>
            </x14:dxf>
          </x14:cfRule>
          <x14:cfRule type="expression" priority="175" id="{9BB986DA-CDFC-4635-A3F5-C7CB218103B6}">
            <xm:f>PLANS!$F$3="DECEMBER"</xm:f>
            <x14:dxf>
              <font>
                <color rgb="FF6600CC"/>
              </font>
            </x14:dxf>
          </x14:cfRule>
          <x14:cfRule type="expression" priority="176" id="{2F7DFD6C-1C36-4112-87A0-BF0E699A04C3}">
            <xm:f>PLANS!$F$3="NOVEMBER"</xm:f>
            <x14:dxf>
              <font>
                <color rgb="FF9900CC"/>
              </font>
            </x14:dxf>
          </x14:cfRule>
          <x14:cfRule type="expression" priority="177" id="{58B99773-0A61-4F67-8D1D-0475DBB40CE4}">
            <xm:f>PLANS!$F$3="OCTOBER"</xm:f>
            <x14:dxf>
              <font>
                <color rgb="FFFF00FF"/>
              </font>
            </x14:dxf>
          </x14:cfRule>
          <x14:cfRule type="expression" priority="178" id="{3913FB13-E34C-4AAF-9FFF-0D970E0ECEA8}">
            <xm:f>PLANS!$F$3="SEPTEMBER"</xm:f>
            <x14:dxf>
              <font>
                <color rgb="FFFF0000"/>
              </font>
            </x14:dxf>
          </x14:cfRule>
          <x14:cfRule type="expression" priority="179" id="{999A6E60-3180-4908-9E9D-62C2DFE960A5}">
            <xm:f>PLANS!$F$3="AUGUST"</xm:f>
            <x14:dxf>
              <font>
                <color rgb="FFC00000"/>
              </font>
            </x14:dxf>
          </x14:cfRule>
          <x14:cfRule type="expression" priority="180" id="{F332ACCB-3324-4496-8F47-26C30DDABDF9}">
            <xm:f>PLANS!$F$3="JULY"</xm:f>
            <x14:dxf>
              <font>
                <color rgb="FFFF6600"/>
              </font>
            </x14:dxf>
          </x14:cfRule>
          <xm:sqref>T17:AC17</xm:sqref>
        </x14:conditionalFormatting>
        <x14:conditionalFormatting xmlns:xm="http://schemas.microsoft.com/office/excel/2006/main">
          <x14:cfRule type="expression" priority="157" id="{1D5677FD-AF73-411C-B5A5-B0B098246552}">
            <xm:f>PLANS!$F$3="JUNE"</xm:f>
            <x14:dxf>
              <font>
                <color rgb="FFFFC000"/>
              </font>
            </x14:dxf>
          </x14:cfRule>
          <x14:cfRule type="expression" priority="158" id="{F53A56E4-24F1-483A-B763-C81B97180EFA}">
            <xm:f>PLANS!$F$3="MAY"</xm:f>
            <x14:dxf>
              <font>
                <color rgb="FFEBE600"/>
              </font>
            </x14:dxf>
          </x14:cfRule>
          <x14:cfRule type="expression" priority="159" id="{898FE431-F439-43F4-9F76-9EF1ACD753C5}">
            <xm:f>PLANS!$F$3="APRIL"</xm:f>
            <x14:dxf>
              <font>
                <color rgb="FF92D050"/>
              </font>
            </x14:dxf>
          </x14:cfRule>
          <x14:cfRule type="expression" priority="160" id="{B328060F-D79C-46CC-B50D-7107C6AB805B}">
            <xm:f>PLANS!$F$3="MARCH"</xm:f>
            <x14:dxf>
              <font>
                <color rgb="FF00B050"/>
              </font>
            </x14:dxf>
          </x14:cfRule>
          <x14:cfRule type="expression" priority="161" id="{A0899056-9D87-42D3-82E7-FC8C109AA522}">
            <xm:f>PLANS!$F$3="FEBRUARY"</xm:f>
            <x14:dxf>
              <font>
                <color rgb="FF00B0F0"/>
              </font>
            </x14:dxf>
          </x14:cfRule>
          <x14:cfRule type="expression" priority="162" id="{D48E1D7B-F4BD-4F6F-89F4-23ADC5C528C5}">
            <xm:f>PLANS!$F$3="JANUARY"</xm:f>
            <x14:dxf>
              <font>
                <color rgb="FF0070C0"/>
              </font>
            </x14:dxf>
          </x14:cfRule>
          <x14:cfRule type="expression" priority="163" id="{40A85269-AC61-47C5-8F85-274589F0D2B9}">
            <xm:f>PLANS!$F$3="DECEMBER"</xm:f>
            <x14:dxf>
              <font>
                <color rgb="FF6600CC"/>
              </font>
            </x14:dxf>
          </x14:cfRule>
          <x14:cfRule type="expression" priority="164" id="{9326B166-C20E-433C-A3A1-9AA7427682E3}">
            <xm:f>PLANS!$F$3="NOVEMBER"</xm:f>
            <x14:dxf>
              <font>
                <color rgb="FF9900CC"/>
              </font>
            </x14:dxf>
          </x14:cfRule>
          <x14:cfRule type="expression" priority="165" id="{93780819-4326-42D7-865A-8EDEB032F6A6}">
            <xm:f>PLANS!$F$3="OCTOBER"</xm:f>
            <x14:dxf>
              <font>
                <color rgb="FFFF00FF"/>
              </font>
            </x14:dxf>
          </x14:cfRule>
          <x14:cfRule type="expression" priority="166" id="{F43493E1-737D-4F58-B235-77CFFA54B7C7}">
            <xm:f>PLANS!$F$3="SEPTEMBER"</xm:f>
            <x14:dxf>
              <font>
                <color rgb="FFFF0000"/>
              </font>
            </x14:dxf>
          </x14:cfRule>
          <x14:cfRule type="expression" priority="167" id="{09145EA3-FFF4-486C-81E0-1C161F0968FF}">
            <xm:f>PLANS!$F$3="AUGUST"</xm:f>
            <x14:dxf>
              <font>
                <color rgb="FFC00000"/>
              </font>
            </x14:dxf>
          </x14:cfRule>
          <x14:cfRule type="expression" priority="168" id="{F4BA912E-6A11-4FD6-8969-6E6AF071EB90}">
            <xm:f>PLANS!$F$3="JULY"</xm:f>
            <x14:dxf>
              <font>
                <color rgb="FFFF6600"/>
              </font>
            </x14:dxf>
          </x14:cfRule>
          <xm:sqref>AC16</xm:sqref>
        </x14:conditionalFormatting>
        <x14:conditionalFormatting xmlns:xm="http://schemas.microsoft.com/office/excel/2006/main">
          <x14:cfRule type="expression" priority="145" id="{AEE8A537-C590-40F4-A897-949BDF4AA00A}">
            <xm:f>PLANS!$F$3="JUNE"</xm:f>
            <x14:dxf>
              <font>
                <color rgb="FFFFC000"/>
              </font>
            </x14:dxf>
          </x14:cfRule>
          <x14:cfRule type="expression" priority="146" id="{1569B4C6-76C0-4185-BEDB-60E6450F6D2B}">
            <xm:f>PLANS!$F$3="MAY"</xm:f>
            <x14:dxf>
              <font>
                <color rgb="FFEBE600"/>
              </font>
            </x14:dxf>
          </x14:cfRule>
          <x14:cfRule type="expression" priority="147" id="{55878AED-FE01-4336-B16F-C241ED5AFD1B}">
            <xm:f>PLANS!$F$3="APRIL"</xm:f>
            <x14:dxf>
              <font>
                <color rgb="FF92D050"/>
              </font>
            </x14:dxf>
          </x14:cfRule>
          <x14:cfRule type="expression" priority="148" id="{269F7C2A-20BC-447E-9AC8-B4F131D4D285}">
            <xm:f>PLANS!$F$3="MARCH"</xm:f>
            <x14:dxf>
              <font>
                <color rgb="FF00B050"/>
              </font>
            </x14:dxf>
          </x14:cfRule>
          <x14:cfRule type="expression" priority="149" id="{66EEA911-E4B5-4124-89B1-B84620BBC909}">
            <xm:f>PLANS!$F$3="FEBRUARY"</xm:f>
            <x14:dxf>
              <font>
                <color rgb="FF00B0F0"/>
              </font>
            </x14:dxf>
          </x14:cfRule>
          <x14:cfRule type="expression" priority="150" id="{524C338B-43C4-42A0-9849-0CC87D304F75}">
            <xm:f>PLANS!$F$3="JANUARY"</xm:f>
            <x14:dxf>
              <font>
                <color rgb="FF0070C0"/>
              </font>
            </x14:dxf>
          </x14:cfRule>
          <x14:cfRule type="expression" priority="151" id="{260855DE-04CE-4CF3-B70C-45430D4DD53F}">
            <xm:f>PLANS!$F$3="DECEMBER"</xm:f>
            <x14:dxf>
              <font>
                <color rgb="FF6600CC"/>
              </font>
            </x14:dxf>
          </x14:cfRule>
          <x14:cfRule type="expression" priority="152" id="{D777D973-3AA1-479D-959F-2F5ED5B29B54}">
            <xm:f>PLANS!$F$3="NOVEMBER"</xm:f>
            <x14:dxf>
              <font>
                <color rgb="FF9900CC"/>
              </font>
            </x14:dxf>
          </x14:cfRule>
          <x14:cfRule type="expression" priority="153" id="{6C05CA9B-D5F1-49E4-BF07-DA4FB4195993}">
            <xm:f>PLANS!$F$3="OCTOBER"</xm:f>
            <x14:dxf>
              <font>
                <color rgb="FFFF00FF"/>
              </font>
            </x14:dxf>
          </x14:cfRule>
          <x14:cfRule type="expression" priority="154" id="{F6652D9B-38FF-484D-9B89-B8C2FB279245}">
            <xm:f>PLANS!$F$3="SEPTEMBER"</xm:f>
            <x14:dxf>
              <font>
                <color rgb="FFFF0000"/>
              </font>
            </x14:dxf>
          </x14:cfRule>
          <x14:cfRule type="expression" priority="155" id="{8289B84E-5D50-4945-941E-E74415670F4A}">
            <xm:f>PLANS!$F$3="AUGUST"</xm:f>
            <x14:dxf>
              <font>
                <color rgb="FFC00000"/>
              </font>
            </x14:dxf>
          </x14:cfRule>
          <x14:cfRule type="expression" priority="156" id="{234A6EAD-3055-46D2-B338-8096D2F89FF7}">
            <xm:f>PLANS!$F$3="JULY"</xm:f>
            <x14:dxf>
              <font>
                <color rgb="FFFF6600"/>
              </font>
            </x14:dxf>
          </x14:cfRule>
          <xm:sqref>V18:V20</xm:sqref>
        </x14:conditionalFormatting>
        <x14:conditionalFormatting xmlns:xm="http://schemas.microsoft.com/office/excel/2006/main">
          <x14:cfRule type="expression" priority="133" id="{AA03BC93-2C6E-403C-8BF7-2155C30E587B}">
            <xm:f>PLANS!$F$3="JUNE"</xm:f>
            <x14:dxf>
              <font>
                <color rgb="FFFFC000"/>
              </font>
            </x14:dxf>
          </x14:cfRule>
          <x14:cfRule type="expression" priority="134" id="{2D077525-D30A-47BA-8EAF-509A19FEAB1B}">
            <xm:f>PLANS!$F$3="MAY"</xm:f>
            <x14:dxf>
              <font>
                <color rgb="FFEBE600"/>
              </font>
            </x14:dxf>
          </x14:cfRule>
          <x14:cfRule type="expression" priority="135" id="{A4685B87-ABE4-4631-8E81-27D49FC87573}">
            <xm:f>PLANS!$F$3="APRIL"</xm:f>
            <x14:dxf>
              <font>
                <color rgb="FF92D050"/>
              </font>
            </x14:dxf>
          </x14:cfRule>
          <x14:cfRule type="expression" priority="136" id="{602B8F54-F169-409C-9C0F-37F4CBCE32D7}">
            <xm:f>PLANS!$F$3="MARCH"</xm:f>
            <x14:dxf>
              <font>
                <color rgb="FF00B050"/>
              </font>
            </x14:dxf>
          </x14:cfRule>
          <x14:cfRule type="expression" priority="137" id="{D15874F1-CEC3-4BE2-B603-6183C6D36E6F}">
            <xm:f>PLANS!$F$3="FEBRUARY"</xm:f>
            <x14:dxf>
              <font>
                <color rgb="FF00B0F0"/>
              </font>
            </x14:dxf>
          </x14:cfRule>
          <x14:cfRule type="expression" priority="138" id="{8C6F4822-597D-4A57-B164-B4CE9642E370}">
            <xm:f>PLANS!$F$3="JANUARY"</xm:f>
            <x14:dxf>
              <font>
                <color rgb="FF0070C0"/>
              </font>
            </x14:dxf>
          </x14:cfRule>
          <x14:cfRule type="expression" priority="139" id="{3E362670-8864-4BDA-B322-765FC42DB6DD}">
            <xm:f>PLANS!$F$3="DECEMBER"</xm:f>
            <x14:dxf>
              <font>
                <color rgb="FF6600CC"/>
              </font>
            </x14:dxf>
          </x14:cfRule>
          <x14:cfRule type="expression" priority="140" id="{3F087280-C3FD-4727-9475-42354027461A}">
            <xm:f>PLANS!$F$3="NOVEMBER"</xm:f>
            <x14:dxf>
              <font>
                <color rgb="FF9900CC"/>
              </font>
            </x14:dxf>
          </x14:cfRule>
          <x14:cfRule type="expression" priority="141" id="{241667DD-3949-46DB-B4E0-F2C07770A789}">
            <xm:f>PLANS!$F$3="OCTOBER"</xm:f>
            <x14:dxf>
              <font>
                <color rgb="FFFF00FF"/>
              </font>
            </x14:dxf>
          </x14:cfRule>
          <x14:cfRule type="expression" priority="142" id="{268CF884-9FFF-427F-933F-2C4A2B447E98}">
            <xm:f>PLANS!$F$3="SEPTEMBER"</xm:f>
            <x14:dxf>
              <font>
                <color rgb="FFFF0000"/>
              </font>
            </x14:dxf>
          </x14:cfRule>
          <x14:cfRule type="expression" priority="143" id="{9966326F-9706-474C-9838-ADF0F416AEAB}">
            <xm:f>PLANS!$F$3="AUGUST"</xm:f>
            <x14:dxf>
              <font>
                <color rgb="FFC00000"/>
              </font>
            </x14:dxf>
          </x14:cfRule>
          <x14:cfRule type="expression" priority="144" id="{878E3DB8-AF71-4CE9-AAEE-6D376E3DD1C4}">
            <xm:f>PLANS!$F$3="JULY"</xm:f>
            <x14:dxf>
              <font>
                <color rgb="FFFF6600"/>
              </font>
            </x14:dxf>
          </x14:cfRule>
          <xm:sqref>V5:V6</xm:sqref>
        </x14:conditionalFormatting>
        <x14:conditionalFormatting xmlns:xm="http://schemas.microsoft.com/office/excel/2006/main">
          <x14:cfRule type="expression" priority="121" id="{0B19E6E1-0D17-4F0C-B3BD-D694CBB5304F}">
            <xm:f>PLANS!$F$3="JUNE"</xm:f>
            <x14:dxf>
              <font>
                <color rgb="FFFFC000"/>
              </font>
            </x14:dxf>
          </x14:cfRule>
          <x14:cfRule type="expression" priority="122" id="{22B3E6B5-8BD7-42E1-85C5-BD6A40B8E884}">
            <xm:f>PLANS!$F$3="MAY"</xm:f>
            <x14:dxf>
              <font>
                <color rgb="FFEBE600"/>
              </font>
            </x14:dxf>
          </x14:cfRule>
          <x14:cfRule type="expression" priority="123" id="{9D9B60F1-96BB-4C52-9B68-7E2395E276C2}">
            <xm:f>PLANS!$F$3="APRIL"</xm:f>
            <x14:dxf>
              <font>
                <color rgb="FF92D050"/>
              </font>
            </x14:dxf>
          </x14:cfRule>
          <x14:cfRule type="expression" priority="124" id="{63193AD3-10B5-4E7B-8347-2630585AD180}">
            <xm:f>PLANS!$F$3="MARCH"</xm:f>
            <x14:dxf>
              <font>
                <color rgb="FF00B050"/>
              </font>
            </x14:dxf>
          </x14:cfRule>
          <x14:cfRule type="expression" priority="125" id="{F7A9BBDC-1B45-4773-90C9-492105E6A340}">
            <xm:f>PLANS!$F$3="FEBRUARY"</xm:f>
            <x14:dxf>
              <font>
                <color rgb="FF00B0F0"/>
              </font>
            </x14:dxf>
          </x14:cfRule>
          <x14:cfRule type="expression" priority="126" id="{19A41A85-DD27-4565-A19B-096D6D0253A5}">
            <xm:f>PLANS!$F$3="JANUARY"</xm:f>
            <x14:dxf>
              <font>
                <color rgb="FF0070C0"/>
              </font>
            </x14:dxf>
          </x14:cfRule>
          <x14:cfRule type="expression" priority="127" id="{E6DD8A1A-4C14-4B75-83FC-9A2E76707B5D}">
            <xm:f>PLANS!$F$3="DECEMBER"</xm:f>
            <x14:dxf>
              <font>
                <color rgb="FF6600CC"/>
              </font>
            </x14:dxf>
          </x14:cfRule>
          <x14:cfRule type="expression" priority="128" id="{1202784B-DEC3-485A-8A97-80784607A0F7}">
            <xm:f>PLANS!$F$3="NOVEMBER"</xm:f>
            <x14:dxf>
              <font>
                <color rgb="FF9900CC"/>
              </font>
            </x14:dxf>
          </x14:cfRule>
          <x14:cfRule type="expression" priority="129" id="{CE34EAD4-3CBA-4AC1-BC2A-F022F26C046D}">
            <xm:f>PLANS!$F$3="OCTOBER"</xm:f>
            <x14:dxf>
              <font>
                <color rgb="FFFF00FF"/>
              </font>
            </x14:dxf>
          </x14:cfRule>
          <x14:cfRule type="expression" priority="130" id="{8DDDD528-5A1F-49D0-86A8-33EA23F93BD9}">
            <xm:f>PLANS!$F$3="SEPTEMBER"</xm:f>
            <x14:dxf>
              <font>
                <color rgb="FFFF0000"/>
              </font>
            </x14:dxf>
          </x14:cfRule>
          <x14:cfRule type="expression" priority="131" id="{A2C77A10-77AA-47F0-AFD1-29244738F313}">
            <xm:f>PLANS!$F$3="AUGUST"</xm:f>
            <x14:dxf>
              <font>
                <color rgb="FFC00000"/>
              </font>
            </x14:dxf>
          </x14:cfRule>
          <x14:cfRule type="expression" priority="132" id="{1791C7D7-DC41-43B7-B3ED-833E88425AB1}">
            <xm:f>PLANS!$F$3="JULY"</xm:f>
            <x14:dxf>
              <font>
                <color rgb="FFFF6600"/>
              </font>
            </x14:dxf>
          </x14:cfRule>
          <xm:sqref>AD5:AD6</xm:sqref>
        </x14:conditionalFormatting>
        <x14:conditionalFormatting xmlns:xm="http://schemas.microsoft.com/office/excel/2006/main">
          <x14:cfRule type="expression" priority="109" id="{692ED89F-E2C5-440C-BEFC-F21BC3C1C75C}">
            <xm:f>PLANS!$F$3="JUNE"</xm:f>
            <x14:dxf>
              <font>
                <color rgb="FFFFC000"/>
              </font>
            </x14:dxf>
          </x14:cfRule>
          <x14:cfRule type="expression" priority="110" id="{C8C74EFF-CDBB-40E2-BE7A-6FB191D01E7D}">
            <xm:f>PLANS!$F$3="MAY"</xm:f>
            <x14:dxf>
              <font>
                <color rgb="FFEBE600"/>
              </font>
            </x14:dxf>
          </x14:cfRule>
          <x14:cfRule type="expression" priority="111" id="{81EFA679-2775-40E6-91D1-7DD6B7F554C5}">
            <xm:f>PLANS!$F$3="APRIL"</xm:f>
            <x14:dxf>
              <font>
                <color rgb="FF92D050"/>
              </font>
            </x14:dxf>
          </x14:cfRule>
          <x14:cfRule type="expression" priority="112" id="{B52DE7AB-6B23-4853-87C2-278E8065B40D}">
            <xm:f>PLANS!$F$3="MARCH"</xm:f>
            <x14:dxf>
              <font>
                <color rgb="FF00B050"/>
              </font>
            </x14:dxf>
          </x14:cfRule>
          <x14:cfRule type="expression" priority="113" id="{EC73CD93-AB16-415D-85E3-ADA2575F9012}">
            <xm:f>PLANS!$F$3="FEBRUARY"</xm:f>
            <x14:dxf>
              <font>
                <color rgb="FF00B0F0"/>
              </font>
            </x14:dxf>
          </x14:cfRule>
          <x14:cfRule type="expression" priority="114" id="{5BEBC23E-A844-4829-9B7B-4F4E9779504C}">
            <xm:f>PLANS!$F$3="JANUARY"</xm:f>
            <x14:dxf>
              <font>
                <color rgb="FF0070C0"/>
              </font>
            </x14:dxf>
          </x14:cfRule>
          <x14:cfRule type="expression" priority="115" id="{E5215185-C0D6-444F-89F7-A1D8B3A670D8}">
            <xm:f>PLANS!$F$3="DECEMBER"</xm:f>
            <x14:dxf>
              <font>
                <color rgb="FF6600CC"/>
              </font>
            </x14:dxf>
          </x14:cfRule>
          <x14:cfRule type="expression" priority="116" id="{DD912CAC-9D00-40C0-B3CC-29AAAE0A0F6A}">
            <xm:f>PLANS!$F$3="NOVEMBER"</xm:f>
            <x14:dxf>
              <font>
                <color rgb="FF9900CC"/>
              </font>
            </x14:dxf>
          </x14:cfRule>
          <x14:cfRule type="expression" priority="117" id="{4C0F6A2D-052C-45FC-AD39-FBA7E381EA22}">
            <xm:f>PLANS!$F$3="OCTOBER"</xm:f>
            <x14:dxf>
              <font>
                <color rgb="FFFF00FF"/>
              </font>
            </x14:dxf>
          </x14:cfRule>
          <x14:cfRule type="expression" priority="118" id="{683D3F31-89A5-45DD-AA40-53B489E0F75A}">
            <xm:f>PLANS!$F$3="SEPTEMBER"</xm:f>
            <x14:dxf>
              <font>
                <color rgb="FFFF0000"/>
              </font>
            </x14:dxf>
          </x14:cfRule>
          <x14:cfRule type="expression" priority="119" id="{A57D5F20-42ED-45F2-A444-1A798EEFFE0C}">
            <xm:f>PLANS!$F$3="AUGUST"</xm:f>
            <x14:dxf>
              <font>
                <color rgb="FFC00000"/>
              </font>
            </x14:dxf>
          </x14:cfRule>
          <x14:cfRule type="expression" priority="120" id="{EC2005FB-70DF-4C85-8542-2BB14B656375}">
            <xm:f>PLANS!$F$3="JULY"</xm:f>
            <x14:dxf>
              <font>
                <color rgb="FFFF6600"/>
              </font>
            </x14:dxf>
          </x14:cfRule>
          <xm:sqref>AN5:AN6</xm:sqref>
        </x14:conditionalFormatting>
        <x14:conditionalFormatting xmlns:xm="http://schemas.microsoft.com/office/excel/2006/main">
          <x14:cfRule type="expression" priority="97" id="{91242E56-6685-4A37-884E-A04EBBF7DEB5}">
            <xm:f>PLANS!$F$3="JUNE"</xm:f>
            <x14:dxf>
              <font>
                <color rgb="FFFFC000"/>
              </font>
            </x14:dxf>
          </x14:cfRule>
          <x14:cfRule type="expression" priority="98" id="{924FBEF6-64F8-4830-A457-B493D43D3870}">
            <xm:f>PLANS!$F$3="MAY"</xm:f>
            <x14:dxf>
              <font>
                <color rgb="FFEBE600"/>
              </font>
            </x14:dxf>
          </x14:cfRule>
          <x14:cfRule type="expression" priority="99" id="{9EC9D34C-C2E3-4D0C-AF10-EE122804AD16}">
            <xm:f>PLANS!$F$3="APRIL"</xm:f>
            <x14:dxf>
              <font>
                <color rgb="FF92D050"/>
              </font>
            </x14:dxf>
          </x14:cfRule>
          <x14:cfRule type="expression" priority="100" id="{005014F9-A0BB-44AA-A0BB-E6CEF2107E96}">
            <xm:f>PLANS!$F$3="MARCH"</xm:f>
            <x14:dxf>
              <font>
                <color rgb="FF00B050"/>
              </font>
            </x14:dxf>
          </x14:cfRule>
          <x14:cfRule type="expression" priority="101" id="{532A9670-2651-47B0-A8D1-8744B0F560B0}">
            <xm:f>PLANS!$F$3="FEBRUARY"</xm:f>
            <x14:dxf>
              <font>
                <color rgb="FF00B0F0"/>
              </font>
            </x14:dxf>
          </x14:cfRule>
          <x14:cfRule type="expression" priority="102" id="{8A9D5B6D-739F-414C-A195-B90548563979}">
            <xm:f>PLANS!$F$3="JANUARY"</xm:f>
            <x14:dxf>
              <font>
                <color rgb="FF0070C0"/>
              </font>
            </x14:dxf>
          </x14:cfRule>
          <x14:cfRule type="expression" priority="103" id="{E852A8E4-DBB6-456D-B2BE-641DD1E6E6AD}">
            <xm:f>PLANS!$F$3="DECEMBER"</xm:f>
            <x14:dxf>
              <font>
                <color rgb="FF6600CC"/>
              </font>
            </x14:dxf>
          </x14:cfRule>
          <x14:cfRule type="expression" priority="104" id="{D1B6E329-793D-4561-9430-6EEFC2CF2521}">
            <xm:f>PLANS!$F$3="NOVEMBER"</xm:f>
            <x14:dxf>
              <font>
                <color rgb="FF9900CC"/>
              </font>
            </x14:dxf>
          </x14:cfRule>
          <x14:cfRule type="expression" priority="105" id="{FAD06984-7658-4F06-BCBA-519CD80CDB14}">
            <xm:f>PLANS!$F$3="OCTOBER"</xm:f>
            <x14:dxf>
              <font>
                <color rgb="FFFF00FF"/>
              </font>
            </x14:dxf>
          </x14:cfRule>
          <x14:cfRule type="expression" priority="106" id="{BB15C000-E29A-4EB9-8BD9-B9EBBBE9BFD0}">
            <xm:f>PLANS!$F$3="SEPTEMBER"</xm:f>
            <x14:dxf>
              <font>
                <color rgb="FFFF0000"/>
              </font>
            </x14:dxf>
          </x14:cfRule>
          <x14:cfRule type="expression" priority="107" id="{187FB955-70B2-43B6-8C1C-85275E7DAA26}">
            <xm:f>PLANS!$F$3="AUGUST"</xm:f>
            <x14:dxf>
              <font>
                <color rgb="FFC00000"/>
              </font>
            </x14:dxf>
          </x14:cfRule>
          <x14:cfRule type="expression" priority="108" id="{94528ED5-B32A-4662-A6BD-56956FD84F94}">
            <xm:f>PLANS!$F$3="JULY"</xm:f>
            <x14:dxf>
              <font>
                <color rgb="FFFF6600"/>
              </font>
            </x14:dxf>
          </x14:cfRule>
          <xm:sqref>AN17:AT17</xm:sqref>
        </x14:conditionalFormatting>
        <x14:conditionalFormatting xmlns:xm="http://schemas.microsoft.com/office/excel/2006/main">
          <x14:cfRule type="expression" priority="73" id="{B39CB6EC-75C4-4F1A-9CA2-C23239313055}">
            <xm:f>PLANS!$F$3="JUNE"</xm:f>
            <x14:dxf>
              <font>
                <color rgb="FFFFC000"/>
              </font>
            </x14:dxf>
          </x14:cfRule>
          <x14:cfRule type="expression" priority="74" id="{D8A70CFD-3DDC-47D7-8680-BE5D08902F5F}">
            <xm:f>PLANS!$F$3="MAY"</xm:f>
            <x14:dxf>
              <font>
                <color rgb="FFEBE600"/>
              </font>
            </x14:dxf>
          </x14:cfRule>
          <x14:cfRule type="expression" priority="75" id="{BBE08740-3BF4-43D3-9AF9-451D79FC5A12}">
            <xm:f>PLANS!$F$3="APRIL"</xm:f>
            <x14:dxf>
              <font>
                <color rgb="FF92D050"/>
              </font>
            </x14:dxf>
          </x14:cfRule>
          <x14:cfRule type="expression" priority="76" id="{F027003B-DCD8-4A90-AC38-1C6A7B2C939F}">
            <xm:f>PLANS!$F$3="MARCH"</xm:f>
            <x14:dxf>
              <font>
                <color rgb="FF00B050"/>
              </font>
            </x14:dxf>
          </x14:cfRule>
          <x14:cfRule type="expression" priority="77" id="{84E4D0D0-9B68-4A7C-BA30-01FEE047E38D}">
            <xm:f>PLANS!$F$3="FEBRUARY"</xm:f>
            <x14:dxf>
              <font>
                <color rgb="FF00B0F0"/>
              </font>
            </x14:dxf>
          </x14:cfRule>
          <x14:cfRule type="expression" priority="78" id="{013213DA-ACA9-49D7-B512-E218BA0F2B7A}">
            <xm:f>PLANS!$F$3="JANUARY"</xm:f>
            <x14:dxf>
              <font>
                <color rgb="FF0070C0"/>
              </font>
            </x14:dxf>
          </x14:cfRule>
          <x14:cfRule type="expression" priority="79" id="{A2380C40-1FD5-441F-BDF6-55EAC029650B}">
            <xm:f>PLANS!$F$3="DECEMBER"</xm:f>
            <x14:dxf>
              <font>
                <color rgb="FF6600CC"/>
              </font>
            </x14:dxf>
          </x14:cfRule>
          <x14:cfRule type="expression" priority="80" id="{BA3ABEFF-A08B-4DAB-8CE2-8295826FD38C}">
            <xm:f>PLANS!$F$3="NOVEMBER"</xm:f>
            <x14:dxf>
              <font>
                <color rgb="FF9900CC"/>
              </font>
            </x14:dxf>
          </x14:cfRule>
          <x14:cfRule type="expression" priority="81" id="{8F81E0E4-3231-404A-8AF9-7C7C28C40E75}">
            <xm:f>PLANS!$F$3="OCTOBER"</xm:f>
            <x14:dxf>
              <font>
                <color rgb="FFFF00FF"/>
              </font>
            </x14:dxf>
          </x14:cfRule>
          <x14:cfRule type="expression" priority="82" id="{382E8D58-1174-4B79-A113-0D2249B29751}">
            <xm:f>PLANS!$F$3="SEPTEMBER"</xm:f>
            <x14:dxf>
              <font>
                <color rgb="FFFF0000"/>
              </font>
            </x14:dxf>
          </x14:cfRule>
          <x14:cfRule type="expression" priority="83" id="{2D1A1D01-BC31-4635-9C29-3082137F84C4}">
            <xm:f>PLANS!$F$3="AUGUST"</xm:f>
            <x14:dxf>
              <font>
                <color rgb="FFC00000"/>
              </font>
            </x14:dxf>
          </x14:cfRule>
          <x14:cfRule type="expression" priority="84" id="{DF03D0E8-C500-40AA-BB63-097C809A5191}">
            <xm:f>PLANS!$F$3="JULY"</xm:f>
            <x14:dxf>
              <font>
                <color rgb="FFFF6600"/>
              </font>
            </x14:dxf>
          </x14:cfRule>
          <xm:sqref>AM16</xm:sqref>
        </x14:conditionalFormatting>
        <x14:conditionalFormatting xmlns:xm="http://schemas.microsoft.com/office/excel/2006/main">
          <x14:cfRule type="expression" priority="61" id="{8355824F-EDA9-499C-834E-77D51BBE1F14}">
            <xm:f>PLANS!$F$3="JUNE"</xm:f>
            <x14:dxf>
              <font>
                <color rgb="FFFFC000"/>
              </font>
            </x14:dxf>
          </x14:cfRule>
          <x14:cfRule type="expression" priority="62" id="{743E82BB-948F-449C-9CA9-D6D11D696DD6}">
            <xm:f>PLANS!$F$3="MAY"</xm:f>
            <x14:dxf>
              <font>
                <color rgb="FFEBE600"/>
              </font>
            </x14:dxf>
          </x14:cfRule>
          <x14:cfRule type="expression" priority="63" id="{5D6C047B-914A-49F1-8A63-87DE142AF68C}">
            <xm:f>PLANS!$F$3="APRIL"</xm:f>
            <x14:dxf>
              <font>
                <color rgb="FF92D050"/>
              </font>
            </x14:dxf>
          </x14:cfRule>
          <x14:cfRule type="expression" priority="64" id="{53AE878B-175F-49A5-9371-B5DA017CA460}">
            <xm:f>PLANS!$F$3="MARCH"</xm:f>
            <x14:dxf>
              <font>
                <color rgb="FF00B050"/>
              </font>
            </x14:dxf>
          </x14:cfRule>
          <x14:cfRule type="expression" priority="65" id="{54997226-3A49-4FCE-8007-4F49F7991A3A}">
            <xm:f>PLANS!$F$3="FEBRUARY"</xm:f>
            <x14:dxf>
              <font>
                <color rgb="FF00B0F0"/>
              </font>
            </x14:dxf>
          </x14:cfRule>
          <x14:cfRule type="expression" priority="66" id="{1D9CFAEB-C913-4909-BFFA-CC7D7C151FC9}">
            <xm:f>PLANS!$F$3="JANUARY"</xm:f>
            <x14:dxf>
              <font>
                <color rgb="FF0070C0"/>
              </font>
            </x14:dxf>
          </x14:cfRule>
          <x14:cfRule type="expression" priority="67" id="{3BC7F591-5FF4-448C-A161-5829CE9A55B9}">
            <xm:f>PLANS!$F$3="DECEMBER"</xm:f>
            <x14:dxf>
              <font>
                <color rgb="FF6600CC"/>
              </font>
            </x14:dxf>
          </x14:cfRule>
          <x14:cfRule type="expression" priority="68" id="{7E456AB0-BF75-41AC-B35A-603C1B3D73F1}">
            <xm:f>PLANS!$F$3="NOVEMBER"</xm:f>
            <x14:dxf>
              <font>
                <color rgb="FF9900CC"/>
              </font>
            </x14:dxf>
          </x14:cfRule>
          <x14:cfRule type="expression" priority="69" id="{930FABC3-5749-4DF1-8BA4-FD3994E608DA}">
            <xm:f>PLANS!$F$3="OCTOBER"</xm:f>
            <x14:dxf>
              <font>
                <color rgb="FFFF00FF"/>
              </font>
            </x14:dxf>
          </x14:cfRule>
          <x14:cfRule type="expression" priority="70" id="{0EF7A28E-6F1D-419F-875B-DD0E7637270E}">
            <xm:f>PLANS!$F$3="SEPTEMBER"</xm:f>
            <x14:dxf>
              <font>
                <color rgb="FFFF0000"/>
              </font>
            </x14:dxf>
          </x14:cfRule>
          <x14:cfRule type="expression" priority="71" id="{15158733-AD3E-41C3-BC4B-03C78914EC20}">
            <xm:f>PLANS!$F$3="AUGUST"</xm:f>
            <x14:dxf>
              <font>
                <color rgb="FFC00000"/>
              </font>
            </x14:dxf>
          </x14:cfRule>
          <x14:cfRule type="expression" priority="72" id="{1EBA23BC-BBAD-4E84-8BB9-3E07A67C975A}">
            <xm:f>PLANS!$F$3="JULY"</xm:f>
            <x14:dxf>
              <font>
                <color rgb="FFFF6600"/>
              </font>
            </x14:dxf>
          </x14:cfRule>
          <xm:sqref>AM17</xm:sqref>
        </x14:conditionalFormatting>
        <x14:conditionalFormatting xmlns:xm="http://schemas.microsoft.com/office/excel/2006/main">
          <x14:cfRule type="expression" priority="49" id="{A106CD34-4657-401E-B190-A6FBBF719012}">
            <xm:f>PLANS!$F$3="JUNE"</xm:f>
            <x14:dxf>
              <font>
                <color rgb="FFFFC000"/>
              </font>
            </x14:dxf>
          </x14:cfRule>
          <x14:cfRule type="expression" priority="50" id="{F7B4D7E7-E092-4F58-A547-BFA9FC875698}">
            <xm:f>PLANS!$F$3="MAY"</xm:f>
            <x14:dxf>
              <font>
                <color rgb="FFEBE600"/>
              </font>
            </x14:dxf>
          </x14:cfRule>
          <x14:cfRule type="expression" priority="51" id="{B955E36E-1BA5-43B8-A930-15EEB86B7C0F}">
            <xm:f>PLANS!$F$3="APRIL"</xm:f>
            <x14:dxf>
              <font>
                <color rgb="FF92D050"/>
              </font>
            </x14:dxf>
          </x14:cfRule>
          <x14:cfRule type="expression" priority="52" id="{F9EFE758-4E87-4E17-BD57-D3DD7F9C546D}">
            <xm:f>PLANS!$F$3="MARCH"</xm:f>
            <x14:dxf>
              <font>
                <color rgb="FF00B050"/>
              </font>
            </x14:dxf>
          </x14:cfRule>
          <x14:cfRule type="expression" priority="53" id="{8628A3BE-9F8B-4F39-BE90-43E5ADCB7CE1}">
            <xm:f>PLANS!$F$3="FEBRUARY"</xm:f>
            <x14:dxf>
              <font>
                <color rgb="FF00B0F0"/>
              </font>
            </x14:dxf>
          </x14:cfRule>
          <x14:cfRule type="expression" priority="54" id="{F6EF8C6A-1B87-4002-A6AD-04929722E16E}">
            <xm:f>PLANS!$F$3="JANUARY"</xm:f>
            <x14:dxf>
              <font>
                <color rgb="FF0070C0"/>
              </font>
            </x14:dxf>
          </x14:cfRule>
          <x14:cfRule type="expression" priority="55" id="{9FEC8381-B7A9-4DC5-AA1D-DF57367B9A3E}">
            <xm:f>PLANS!$F$3="DECEMBER"</xm:f>
            <x14:dxf>
              <font>
                <color rgb="FF6600CC"/>
              </font>
            </x14:dxf>
          </x14:cfRule>
          <x14:cfRule type="expression" priority="56" id="{2545AACD-CCC2-4BB2-8E9C-63A3BD05AB70}">
            <xm:f>PLANS!$F$3="NOVEMBER"</xm:f>
            <x14:dxf>
              <font>
                <color rgb="FF9900CC"/>
              </font>
            </x14:dxf>
          </x14:cfRule>
          <x14:cfRule type="expression" priority="57" id="{1B998A65-2B38-4C07-BA35-544890BCB882}">
            <xm:f>PLANS!$F$3="OCTOBER"</xm:f>
            <x14:dxf>
              <font>
                <color rgb="FFFF00FF"/>
              </font>
            </x14:dxf>
          </x14:cfRule>
          <x14:cfRule type="expression" priority="58" id="{1D9D2F28-704D-402E-B42D-5CBBCE9B917D}">
            <xm:f>PLANS!$F$3="SEPTEMBER"</xm:f>
            <x14:dxf>
              <font>
                <color rgb="FFFF0000"/>
              </font>
            </x14:dxf>
          </x14:cfRule>
          <x14:cfRule type="expression" priority="59" id="{8553C732-30E4-48B4-B0C6-EAFAD3840732}">
            <xm:f>PLANS!$F$3="AUGUST"</xm:f>
            <x14:dxf>
              <font>
                <color rgb="FFC00000"/>
              </font>
            </x14:dxf>
          </x14:cfRule>
          <x14:cfRule type="expression" priority="60" id="{11B9378D-A6D0-4DEF-9313-49F7AA5AC328}">
            <xm:f>PLANS!$F$3="JULY"</xm:f>
            <x14:dxf>
              <font>
                <color rgb="FFFF6600"/>
              </font>
            </x14:dxf>
          </x14:cfRule>
          <xm:sqref>AT18:AT20</xm:sqref>
        </x14:conditionalFormatting>
        <x14:conditionalFormatting xmlns:xm="http://schemas.microsoft.com/office/excel/2006/main">
          <x14:cfRule type="expression" priority="37" id="{7D18BF54-9D3B-492E-925D-7F00993CBEB4}">
            <xm:f>PLANS!$F$3="JUNE"</xm:f>
            <x14:dxf>
              <font>
                <color rgb="FFFFC000"/>
              </font>
            </x14:dxf>
          </x14:cfRule>
          <x14:cfRule type="expression" priority="38" id="{BED6C50B-F2F8-4BD7-AEA1-68A9E5BDF31F}">
            <xm:f>PLANS!$F$3="MAY"</xm:f>
            <x14:dxf>
              <font>
                <color rgb="FFEBE600"/>
              </font>
            </x14:dxf>
          </x14:cfRule>
          <x14:cfRule type="expression" priority="39" id="{F2580CCB-6CA4-4CAE-8CCB-C3940CF649F9}">
            <xm:f>PLANS!$F$3="APRIL"</xm:f>
            <x14:dxf>
              <font>
                <color rgb="FF92D050"/>
              </font>
            </x14:dxf>
          </x14:cfRule>
          <x14:cfRule type="expression" priority="40" id="{E9BBE330-92AE-42B1-8D82-6ACDC718BF87}">
            <xm:f>PLANS!$F$3="MARCH"</xm:f>
            <x14:dxf>
              <font>
                <color rgb="FF00B050"/>
              </font>
            </x14:dxf>
          </x14:cfRule>
          <x14:cfRule type="expression" priority="41" id="{6DDB0E6A-4F33-4080-81F5-8F596FF49986}">
            <xm:f>PLANS!$F$3="FEBRUARY"</xm:f>
            <x14:dxf>
              <font>
                <color rgb="FF00B0F0"/>
              </font>
            </x14:dxf>
          </x14:cfRule>
          <x14:cfRule type="expression" priority="42" id="{6172EB3B-24BA-4952-9A2A-6DFB5994B548}">
            <xm:f>PLANS!$F$3="JANUARY"</xm:f>
            <x14:dxf>
              <font>
                <color rgb="FF0070C0"/>
              </font>
            </x14:dxf>
          </x14:cfRule>
          <x14:cfRule type="expression" priority="43" id="{A83AFFFD-F130-4ED1-8D3B-AF034EDC9C3B}">
            <xm:f>PLANS!$F$3="DECEMBER"</xm:f>
            <x14:dxf>
              <font>
                <color rgb="FF6600CC"/>
              </font>
            </x14:dxf>
          </x14:cfRule>
          <x14:cfRule type="expression" priority="44" id="{54E1CC52-14D6-460D-8180-E3F7991E92D4}">
            <xm:f>PLANS!$F$3="NOVEMBER"</xm:f>
            <x14:dxf>
              <font>
                <color rgb="FF9900CC"/>
              </font>
            </x14:dxf>
          </x14:cfRule>
          <x14:cfRule type="expression" priority="45" id="{01A1C1B6-2AD2-48EF-B8CD-3042813E1154}">
            <xm:f>PLANS!$F$3="OCTOBER"</xm:f>
            <x14:dxf>
              <font>
                <color rgb="FFFF00FF"/>
              </font>
            </x14:dxf>
          </x14:cfRule>
          <x14:cfRule type="expression" priority="46" id="{B36C293C-46CC-4173-8BC0-0E63C1547D7C}">
            <xm:f>PLANS!$F$3="SEPTEMBER"</xm:f>
            <x14:dxf>
              <font>
                <color rgb="FFFF0000"/>
              </font>
            </x14:dxf>
          </x14:cfRule>
          <x14:cfRule type="expression" priority="47" id="{B3758EEF-7923-4B4D-A203-23AF6F988BCF}">
            <xm:f>PLANS!$F$3="AUGUST"</xm:f>
            <x14:dxf>
              <font>
                <color rgb="FFC00000"/>
              </font>
            </x14:dxf>
          </x14:cfRule>
          <x14:cfRule type="expression" priority="48" id="{7639A722-A610-4C01-BA63-D965DF6B861A}">
            <xm:f>PLANS!$F$3="JULY"</xm:f>
            <x14:dxf>
              <font>
                <color rgb="FFFF6600"/>
              </font>
            </x14:dxf>
          </x14:cfRule>
          <xm:sqref>U16</xm:sqref>
        </x14:conditionalFormatting>
        <x14:conditionalFormatting xmlns:xm="http://schemas.microsoft.com/office/excel/2006/main">
          <x14:cfRule type="expression" priority="25" id="{C93E8DD6-882F-42CF-A612-F9E68BB20B7C}">
            <xm:f>PLANS!$F$3="JUNE"</xm:f>
            <x14:dxf>
              <font>
                <color rgb="FFFFC000"/>
              </font>
            </x14:dxf>
          </x14:cfRule>
          <x14:cfRule type="expression" priority="26" id="{2E50415E-6A6E-4E3D-A03D-4BFA4323BCD5}">
            <xm:f>PLANS!$F$3="MAY"</xm:f>
            <x14:dxf>
              <font>
                <color rgb="FFEBE600"/>
              </font>
            </x14:dxf>
          </x14:cfRule>
          <x14:cfRule type="expression" priority="27" id="{96FF1E7D-FB89-4104-BC03-DA3E5D44FA01}">
            <xm:f>PLANS!$F$3="APRIL"</xm:f>
            <x14:dxf>
              <font>
                <color rgb="FF92D050"/>
              </font>
            </x14:dxf>
          </x14:cfRule>
          <x14:cfRule type="expression" priority="28" id="{DA2D82A9-7E9C-41B9-AD19-29158D3BAF95}">
            <xm:f>PLANS!$F$3="MARCH"</xm:f>
            <x14:dxf>
              <font>
                <color rgb="FF00B050"/>
              </font>
            </x14:dxf>
          </x14:cfRule>
          <x14:cfRule type="expression" priority="29" id="{B0F1126A-8671-4D1B-B8C4-962BD97CAC1D}">
            <xm:f>PLANS!$F$3="FEBRUARY"</xm:f>
            <x14:dxf>
              <font>
                <color rgb="FF00B0F0"/>
              </font>
            </x14:dxf>
          </x14:cfRule>
          <x14:cfRule type="expression" priority="30" id="{71E0421A-74AC-44C7-BDD0-48FF1EC5E655}">
            <xm:f>PLANS!$F$3="JANUARY"</xm:f>
            <x14:dxf>
              <font>
                <color rgb="FF0070C0"/>
              </font>
            </x14:dxf>
          </x14:cfRule>
          <x14:cfRule type="expression" priority="31" id="{3BC975CE-18E8-4816-AC31-81D864240A4A}">
            <xm:f>PLANS!$F$3="DECEMBER"</xm:f>
            <x14:dxf>
              <font>
                <color rgb="FF6600CC"/>
              </font>
            </x14:dxf>
          </x14:cfRule>
          <x14:cfRule type="expression" priority="32" id="{2AB42FD7-DAD9-49C1-8DC7-72F3B230C545}">
            <xm:f>PLANS!$F$3="NOVEMBER"</xm:f>
            <x14:dxf>
              <font>
                <color rgb="FF9900CC"/>
              </font>
            </x14:dxf>
          </x14:cfRule>
          <x14:cfRule type="expression" priority="33" id="{10DD95A0-8F3B-42B3-94FE-D39CB1CA13FD}">
            <xm:f>PLANS!$F$3="OCTOBER"</xm:f>
            <x14:dxf>
              <font>
                <color rgb="FFFF00FF"/>
              </font>
            </x14:dxf>
          </x14:cfRule>
          <x14:cfRule type="expression" priority="34" id="{3DA7AF82-1482-480D-8A57-2302ACD56E74}">
            <xm:f>PLANS!$F$3="SEPTEMBER"</xm:f>
            <x14:dxf>
              <font>
                <color rgb="FFFF0000"/>
              </font>
            </x14:dxf>
          </x14:cfRule>
          <x14:cfRule type="expression" priority="35" id="{02209BE1-C7F3-4819-8C1F-EBD4067D8F4C}">
            <xm:f>PLANS!$F$3="AUGUST"</xm:f>
            <x14:dxf>
              <font>
                <color rgb="FFC00000"/>
              </font>
            </x14:dxf>
          </x14:cfRule>
          <x14:cfRule type="expression" priority="36" id="{1110A88D-628B-4DA7-AEB9-FBB87F616934}">
            <xm:f>PLANS!$F$3="JULY"</xm:f>
            <x14:dxf>
              <font>
                <color rgb="FFFF6600"/>
              </font>
            </x14:dxf>
          </x14:cfRule>
          <xm:sqref>E17</xm:sqref>
        </x14:conditionalFormatting>
        <x14:conditionalFormatting xmlns:xm="http://schemas.microsoft.com/office/excel/2006/main">
          <x14:cfRule type="expression" priority="13" id="{797E2D66-C9E3-4E07-BB77-A6AF4F140BE6}">
            <xm:f>PLANS!$F$3="JUNE"</xm:f>
            <x14:dxf>
              <font>
                <color rgb="FFFFC000"/>
              </font>
            </x14:dxf>
          </x14:cfRule>
          <x14:cfRule type="expression" priority="14" id="{02FAB242-55E3-4858-B73D-AEAAD9775186}">
            <xm:f>PLANS!$F$3="MAY"</xm:f>
            <x14:dxf>
              <font>
                <color rgb="FFEBE600"/>
              </font>
            </x14:dxf>
          </x14:cfRule>
          <x14:cfRule type="expression" priority="15" id="{9890DB08-29DA-4C37-A2EC-46DB46F87B4A}">
            <xm:f>PLANS!$F$3="APRIL"</xm:f>
            <x14:dxf>
              <font>
                <color rgb="FF92D050"/>
              </font>
            </x14:dxf>
          </x14:cfRule>
          <x14:cfRule type="expression" priority="16" id="{073FAE33-EEA1-44BF-BC13-EC60F42651E8}">
            <xm:f>PLANS!$F$3="MARCH"</xm:f>
            <x14:dxf>
              <font>
                <color rgb="FF00B050"/>
              </font>
            </x14:dxf>
          </x14:cfRule>
          <x14:cfRule type="expression" priority="17" id="{1A1328D7-9C48-4447-9255-2E85A72338F1}">
            <xm:f>PLANS!$F$3="FEBRUARY"</xm:f>
            <x14:dxf>
              <font>
                <color rgb="FF00B0F0"/>
              </font>
            </x14:dxf>
          </x14:cfRule>
          <x14:cfRule type="expression" priority="18" id="{8A173768-6B0D-4EE2-ABB9-B6F9867415EF}">
            <xm:f>PLANS!$F$3="JANUARY"</xm:f>
            <x14:dxf>
              <font>
                <color rgb="FF0070C0"/>
              </font>
            </x14:dxf>
          </x14:cfRule>
          <x14:cfRule type="expression" priority="19" id="{0AEA1682-D368-43F9-928D-573616D16F24}">
            <xm:f>PLANS!$F$3="DECEMBER"</xm:f>
            <x14:dxf>
              <font>
                <color rgb="FF6600CC"/>
              </font>
            </x14:dxf>
          </x14:cfRule>
          <x14:cfRule type="expression" priority="20" id="{F5E88A62-4763-44B4-8345-F885934D0A17}">
            <xm:f>PLANS!$F$3="NOVEMBER"</xm:f>
            <x14:dxf>
              <font>
                <color rgb="FF9900CC"/>
              </font>
            </x14:dxf>
          </x14:cfRule>
          <x14:cfRule type="expression" priority="21" id="{E7B65F1A-5679-404B-91B6-76F742BDE277}">
            <xm:f>PLANS!$F$3="OCTOBER"</xm:f>
            <x14:dxf>
              <font>
                <color rgb="FFFF00FF"/>
              </font>
            </x14:dxf>
          </x14:cfRule>
          <x14:cfRule type="expression" priority="22" id="{D5B79428-C67F-4DFD-A234-BCEB13CED475}">
            <xm:f>PLANS!$F$3="SEPTEMBER"</xm:f>
            <x14:dxf>
              <font>
                <color rgb="FFFF0000"/>
              </font>
            </x14:dxf>
          </x14:cfRule>
          <x14:cfRule type="expression" priority="23" id="{23699C7E-8B3E-4EB2-9DB4-424A07D9AD6C}">
            <xm:f>PLANS!$F$3="AUGUST"</xm:f>
            <x14:dxf>
              <font>
                <color rgb="FFC00000"/>
              </font>
            </x14:dxf>
          </x14:cfRule>
          <x14:cfRule type="expression" priority="24" id="{028076B1-4DE2-40A9-B44D-32D719E8946A}">
            <xm:f>PLANS!$F$3="JULY"</xm:f>
            <x14:dxf>
              <font>
                <color rgb="FFFF6600"/>
              </font>
            </x14:dxf>
          </x14:cfRule>
          <xm:sqref>E18:E20</xm:sqref>
        </x14:conditionalFormatting>
        <x14:conditionalFormatting xmlns:xm="http://schemas.microsoft.com/office/excel/2006/main">
          <x14:cfRule type="expression" priority="1" id="{F0B71EA6-8EA0-4156-9EFF-52A203B91E2A}">
            <xm:f>PLANS!$F$3="JUNE"</xm:f>
            <x14:dxf>
              <font>
                <color rgb="FFFFC000"/>
              </font>
            </x14:dxf>
          </x14:cfRule>
          <x14:cfRule type="expression" priority="2" id="{C691A670-B725-45B4-A079-E88EEEE193B8}">
            <xm:f>PLANS!$F$3="MAY"</xm:f>
            <x14:dxf>
              <font>
                <color rgb="FFEBE600"/>
              </font>
            </x14:dxf>
          </x14:cfRule>
          <x14:cfRule type="expression" priority="3" id="{53DC05AB-E70F-4CE3-AC0D-0E64F6D89527}">
            <xm:f>PLANS!$F$3="APRIL"</xm:f>
            <x14:dxf>
              <font>
                <color rgb="FF92D050"/>
              </font>
            </x14:dxf>
          </x14:cfRule>
          <x14:cfRule type="expression" priority="4" id="{9085D179-2E7C-4FA9-BC3E-CD34FBFFB8FC}">
            <xm:f>PLANS!$F$3="MARCH"</xm:f>
            <x14:dxf>
              <font>
                <color rgb="FF00B050"/>
              </font>
            </x14:dxf>
          </x14:cfRule>
          <x14:cfRule type="expression" priority="5" id="{3CAF3B66-FEBE-4020-AB1D-9EEADE267DF4}">
            <xm:f>PLANS!$F$3="FEBRUARY"</xm:f>
            <x14:dxf>
              <font>
                <color rgb="FF00B0F0"/>
              </font>
            </x14:dxf>
          </x14:cfRule>
          <x14:cfRule type="expression" priority="6" id="{49CB42C3-E2FA-4B54-9624-EF4F275BA121}">
            <xm:f>PLANS!$F$3="JANUARY"</xm:f>
            <x14:dxf>
              <font>
                <color rgb="FF0070C0"/>
              </font>
            </x14:dxf>
          </x14:cfRule>
          <x14:cfRule type="expression" priority="7" id="{64887B50-883E-4924-9220-99D515CAC825}">
            <xm:f>PLANS!$F$3="DECEMBER"</xm:f>
            <x14:dxf>
              <font>
                <color rgb="FF6600CC"/>
              </font>
            </x14:dxf>
          </x14:cfRule>
          <x14:cfRule type="expression" priority="8" id="{DBBC226E-6CA9-432F-A884-D24F670A7A86}">
            <xm:f>PLANS!$F$3="NOVEMBER"</xm:f>
            <x14:dxf>
              <font>
                <color rgb="FF9900CC"/>
              </font>
            </x14:dxf>
          </x14:cfRule>
          <x14:cfRule type="expression" priority="9" id="{99A80912-AA4B-4EDC-A6D9-CA314D95E4BF}">
            <xm:f>PLANS!$F$3="OCTOBER"</xm:f>
            <x14:dxf>
              <font>
                <color rgb="FFFF00FF"/>
              </font>
            </x14:dxf>
          </x14:cfRule>
          <x14:cfRule type="expression" priority="10" id="{840FBAB4-A755-4426-9452-D8F8580E58DB}">
            <xm:f>PLANS!$F$3="SEPTEMBER"</xm:f>
            <x14:dxf>
              <font>
                <color rgb="FFFF0000"/>
              </font>
            </x14:dxf>
          </x14:cfRule>
          <x14:cfRule type="expression" priority="11" id="{506BFD30-8E12-414D-8BF1-E46318069FD4}">
            <xm:f>PLANS!$F$3="AUGUST"</xm:f>
            <x14:dxf>
              <font>
                <color rgb="FFC00000"/>
              </font>
            </x14:dxf>
          </x14:cfRule>
          <x14:cfRule type="expression" priority="12" id="{F7903DCC-59F0-4E27-AC1F-742F3DAB31C3}">
            <xm:f>PLANS!$F$3="JULY"</xm:f>
            <x14:dxf>
              <font>
                <color rgb="FFFF6600"/>
              </font>
            </x14:dxf>
          </x14:cfRule>
          <xm:sqref>F17:S17</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DE395-BFFF-47F1-847B-F52DF6D53CE5}">
  <sheetPr codeName="Sheet14"/>
  <dimension ref="D4:D34"/>
  <sheetViews>
    <sheetView topLeftCell="C1" workbookViewId="0">
      <selection activeCell="I8" sqref="I8"/>
    </sheetView>
  </sheetViews>
  <sheetFormatPr defaultColWidth="3.42578125" defaultRowHeight="17.100000000000001" customHeight="1" x14ac:dyDescent="0.25"/>
  <sheetData>
    <row r="4" spans="4:4" ht="17.100000000000001" customHeight="1" x14ac:dyDescent="0.25">
      <c r="D4" s="3265"/>
    </row>
    <row r="5" spans="4:4" ht="17.100000000000001" customHeight="1" x14ac:dyDescent="0.25">
      <c r="D5" s="3265"/>
    </row>
    <row r="6" spans="4:4" ht="17.100000000000001" customHeight="1" x14ac:dyDescent="0.25">
      <c r="D6" s="3265"/>
    </row>
    <row r="7" spans="4:4" ht="17.100000000000001" customHeight="1" x14ac:dyDescent="0.25">
      <c r="D7" s="3265"/>
    </row>
    <row r="8" spans="4:4" ht="17.100000000000001" customHeight="1" x14ac:dyDescent="0.25">
      <c r="D8" s="3265"/>
    </row>
    <row r="9" spans="4:4" ht="17.100000000000001" customHeight="1" x14ac:dyDescent="0.25">
      <c r="D9" s="3265"/>
    </row>
    <row r="10" spans="4:4" ht="17.100000000000001" customHeight="1" x14ac:dyDescent="0.25">
      <c r="D10" s="3265"/>
    </row>
    <row r="11" spans="4:4" ht="17.100000000000001" customHeight="1" x14ac:dyDescent="0.25">
      <c r="D11" s="3265"/>
    </row>
    <row r="12" spans="4:4" ht="17.100000000000001" customHeight="1" x14ac:dyDescent="0.25">
      <c r="D12" s="3265"/>
    </row>
    <row r="13" spans="4:4" ht="17.100000000000001" customHeight="1" x14ac:dyDescent="0.25">
      <c r="D13" s="3265"/>
    </row>
    <row r="14" spans="4:4" ht="17.100000000000001" customHeight="1" x14ac:dyDescent="0.25">
      <c r="D14" s="3265"/>
    </row>
    <row r="15" spans="4:4" ht="17.100000000000001" customHeight="1" x14ac:dyDescent="0.25">
      <c r="D15" s="3265"/>
    </row>
    <row r="16" spans="4:4" ht="17.100000000000001" customHeight="1" x14ac:dyDescent="0.25">
      <c r="D16" s="3265"/>
    </row>
    <row r="17" spans="4:4" ht="17.100000000000001" customHeight="1" x14ac:dyDescent="0.25">
      <c r="D17" s="3265"/>
    </row>
    <row r="18" spans="4:4" ht="17.100000000000001" customHeight="1" x14ac:dyDescent="0.25">
      <c r="D18" s="3265"/>
    </row>
    <row r="19" spans="4:4" ht="17.100000000000001" customHeight="1" x14ac:dyDescent="0.25">
      <c r="D19" s="3265"/>
    </row>
    <row r="20" spans="4:4" ht="17.100000000000001" customHeight="1" x14ac:dyDescent="0.25">
      <c r="D20" s="3265"/>
    </row>
    <row r="21" spans="4:4" ht="17.100000000000001" customHeight="1" x14ac:dyDescent="0.25">
      <c r="D21" s="3265"/>
    </row>
    <row r="22" spans="4:4" ht="17.100000000000001" customHeight="1" x14ac:dyDescent="0.25">
      <c r="D22" s="3265"/>
    </row>
    <row r="23" spans="4:4" ht="17.100000000000001" customHeight="1" x14ac:dyDescent="0.25">
      <c r="D23" s="3265"/>
    </row>
    <row r="24" spans="4:4" ht="17.100000000000001" customHeight="1" x14ac:dyDescent="0.25">
      <c r="D24" s="3265"/>
    </row>
    <row r="25" spans="4:4" ht="17.100000000000001" customHeight="1" x14ac:dyDescent="0.25">
      <c r="D25" s="3265"/>
    </row>
    <row r="26" spans="4:4" ht="17.100000000000001" customHeight="1" x14ac:dyDescent="0.25">
      <c r="D26" s="3265"/>
    </row>
    <row r="27" spans="4:4" ht="17.100000000000001" customHeight="1" x14ac:dyDescent="0.25">
      <c r="D27" s="3265"/>
    </row>
    <row r="28" spans="4:4" ht="17.100000000000001" customHeight="1" x14ac:dyDescent="0.25">
      <c r="D28" s="3265"/>
    </row>
    <row r="29" spans="4:4" ht="17.100000000000001" customHeight="1" x14ac:dyDescent="0.25">
      <c r="D29" s="3265"/>
    </row>
    <row r="30" spans="4:4" ht="17.100000000000001" customHeight="1" x14ac:dyDescent="0.25">
      <c r="D30" s="3265"/>
    </row>
    <row r="31" spans="4:4" ht="17.100000000000001" customHeight="1" x14ac:dyDescent="0.25">
      <c r="D31" s="3265"/>
    </row>
    <row r="32" spans="4:4" ht="17.100000000000001" customHeight="1" x14ac:dyDescent="0.25">
      <c r="D32" s="3265"/>
    </row>
    <row r="33" spans="4:4" ht="17.100000000000001" customHeight="1" x14ac:dyDescent="0.25">
      <c r="D33" s="3265"/>
    </row>
    <row r="34" spans="4:4" ht="17.100000000000001" customHeight="1" x14ac:dyDescent="0.25">
      <c r="D34" s="3265"/>
    </row>
  </sheetData>
  <phoneticPr fontId="39"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vt:lpstr>
      <vt:lpstr>HUD</vt:lpstr>
      <vt:lpstr>LOGS</vt:lpstr>
      <vt:lpstr>PLANS</vt:lpstr>
      <vt:lpstr>NOTES</vt:lpstr>
      <vt:lpstr>TIMINGS</vt:lpstr>
      <vt:lpstr>MISSIONS</vt:lpstr>
      <vt:lpstr>ACTIONS</vt:lpstr>
      <vt:lpstr>PROGRESS</vt:lpstr>
      <vt:lpstr>JOURNEY</vt:lpstr>
      <vt:lpstr>BOUNTY</vt:lpstr>
      <vt:lpstr>MONEY</vt:lpstr>
      <vt:lpstr>VICTORY</vt:lpstr>
      <vt:lpstr>RESPITE</vt:lpstr>
      <vt:lpstr>GUIDE</vt:lpstr>
      <vt:lpstr>data</vt:lpstr>
      <vt:lpstr>grid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Toby Lawson</dc:creator>
  <cp:keywords/>
  <dc:description/>
  <cp:lastModifiedBy>Toby Lawson</cp:lastModifiedBy>
  <cp:revision/>
  <dcterms:created xsi:type="dcterms:W3CDTF">2015-06-05T18:17:20Z</dcterms:created>
  <dcterms:modified xsi:type="dcterms:W3CDTF">2024-06-11T13:53:09Z</dcterms:modified>
  <cp:category/>
  <cp:contentStatus/>
</cp:coreProperties>
</file>